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65C549E0-3D63-473C-81C0-77B066BC9A5D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</calcChain>
</file>

<file path=xl/sharedStrings.xml><?xml version="1.0" encoding="utf-8"?>
<sst xmlns="http://schemas.openxmlformats.org/spreadsheetml/2006/main" count="13894" uniqueCount="62">
  <si>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</si>
  <si>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</si>
  <si>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</si>
  <si>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</si>
  <si>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</si>
  <si>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</si>
  <si>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</si>
  <si>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</si>
  <si>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</si>
  <si>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</si>
  <si>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</si>
  <si>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</si>
  <si>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</si>
  <si>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</si>
  <si>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</si>
  <si>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</si>
  <si>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</si>
  <si>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</si>
  <si>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</si>
  <si>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</si>
  <si>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</si>
  <si>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</si>
  <si>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</si>
  <si>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</si>
  <si>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</si>
  <si>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</si>
  <si>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</si>
  <si>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</si>
  <si>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</si>
  <si>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</si>
  <si>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</si>
  <si>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</si>
  <si>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</si>
  <si>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</si>
  <si>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</si>
  <si>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</si>
  <si>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</si>
  <si>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</si>
  <si>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</si>
  <si>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</si>
  <si>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</si>
  <si>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mcp_road_part_02</t>
  </si>
  <si>
    <t>Floor 01</t>
  </si>
  <si>
    <t>Plane_01</t>
  </si>
  <si>
    <t>Kooper</t>
  </si>
  <si>
    <t>Building 07 (16)</t>
  </si>
  <si>
    <t>mcp_roads_turn_01 (1)</t>
  </si>
  <si>
    <t>mcp_roads_T_cross_01</t>
  </si>
  <si>
    <t>mcp_road_part_01</t>
  </si>
  <si>
    <t>mcp_roads_cross_01</t>
  </si>
  <si>
    <t>mcp_roads_cross_02</t>
  </si>
  <si>
    <t>Building 13 (1)</t>
  </si>
  <si>
    <t>mcp_roads_turn_01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</si>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</sst>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928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"20190312172608996"</f>
        <v>20190312172608996</v>
      </c>
      <c r="B2" t="str">
        <f>"1552382768988708"</f>
        <v>1552382768988708</v>
      </c>
      <c r="C2" t="s">
        <v>40</v>
      </c>
      <c r="D2">
        <v>3.1739160000000002</v>
      </c>
      <c r="E2">
        <v>0.51108549999999997</v>
      </c>
      <c r="F2" t="s">
        <v>41</v>
      </c>
      <c r="G2">
        <v>-443.81459999999998</v>
      </c>
      <c r="H2" s="1">
        <v>-3.6122590000000001E-6</v>
      </c>
      <c r="I2">
        <v>365.62549999999999</v>
      </c>
      <c r="J2">
        <v>-476.60539999999997</v>
      </c>
      <c r="K2">
        <v>1.109399</v>
      </c>
      <c r="L2">
        <v>367.21620000000001</v>
      </c>
      <c r="M2">
        <v>0.99996510000000005</v>
      </c>
      <c r="N2">
        <v>0</v>
      </c>
      <c r="O2" s="1">
        <v>-8.240397E-6</v>
      </c>
      <c r="P2">
        <v>0.98682939999999997</v>
      </c>
      <c r="Q2">
        <v>0.15962019999999999</v>
      </c>
      <c r="R2">
        <v>-2.6261090000000001E-2</v>
      </c>
      <c r="S2">
        <v>3.0522459999999998</v>
      </c>
      <c r="T2">
        <v>-0.10325570000000001</v>
      </c>
      <c r="U2">
        <v>-0.14801029999999901</v>
      </c>
      <c r="V2">
        <v>2.6259379999999999E-2</v>
      </c>
      <c r="W2">
        <v>0.16788220000000001</v>
      </c>
      <c r="X2">
        <v>0.98545720000000003</v>
      </c>
      <c r="Y2">
        <v>4.8399480000000002E-2</v>
      </c>
      <c r="Z2">
        <v>-8.1767069999999996E-4</v>
      </c>
      <c r="AA2">
        <v>0.99882769999999999</v>
      </c>
      <c r="AB2">
        <v>1</v>
      </c>
      <c r="AC2">
        <v>32.790799999999898</v>
      </c>
      <c r="AD2">
        <v>-1.1094026122589999</v>
      </c>
      <c r="AE2">
        <v>-1.59070000000002</v>
      </c>
      <c r="AF2">
        <v>1.5886156347740099</v>
      </c>
      <c r="AG2">
        <v>-1.1094026122589999</v>
      </c>
      <c r="AH2">
        <v>32.753409796263199</v>
      </c>
      <c r="AI2">
        <v>91.937668379936994</v>
      </c>
      <c r="AJ2">
        <v>87.223199126649803</v>
      </c>
      <c r="AK2">
        <v>32.810673980780798</v>
      </c>
      <c r="AL2">
        <v>80.335290964172202</v>
      </c>
      <c r="AM2">
        <v>88.473606268945602</v>
      </c>
      <c r="AN2">
        <v>0.99999994057332997</v>
      </c>
    </row>
    <row r="3" spans="1:40" x14ac:dyDescent="0.25">
      <c r="A3" t="str">
        <f>"20190312172609017"</f>
        <v>20190312172609017</v>
      </c>
      <c r="B3" t="str">
        <f>"1552382769008229"</f>
        <v>1552382769008229</v>
      </c>
      <c r="C3" t="s">
        <v>40</v>
      </c>
      <c r="D3">
        <v>3.1735220000000002</v>
      </c>
      <c r="E3">
        <v>0.51107650000000004</v>
      </c>
      <c r="F3" t="s">
        <v>41</v>
      </c>
      <c r="G3">
        <v>-443.1413</v>
      </c>
      <c r="H3" s="1">
        <v>-3.9417849999999999E-6</v>
      </c>
      <c r="I3">
        <v>365.56200000000001</v>
      </c>
      <c r="J3">
        <v>-476.59699999999998</v>
      </c>
      <c r="K3">
        <v>1.109507</v>
      </c>
      <c r="L3">
        <v>367.21609999999998</v>
      </c>
      <c r="M3">
        <v>0.99996580000000002</v>
      </c>
      <c r="N3">
        <v>0</v>
      </c>
      <c r="O3" s="1">
        <v>-7.1530830000000003E-6</v>
      </c>
      <c r="P3">
        <v>0.98679079999999997</v>
      </c>
      <c r="Q3">
        <v>0.15967999999999999</v>
      </c>
      <c r="R3">
        <v>-2.7321209999999999E-2</v>
      </c>
      <c r="S3">
        <v>3.0523989999999999</v>
      </c>
      <c r="T3">
        <v>-0.1011932</v>
      </c>
      <c r="U3">
        <v>-0.15087890000000001</v>
      </c>
      <c r="V3">
        <v>2.732002E-2</v>
      </c>
      <c r="W3">
        <v>0.16784360000000001</v>
      </c>
      <c r="X3">
        <v>0.98543499999999995</v>
      </c>
      <c r="Y3">
        <v>4.9335169999999998E-2</v>
      </c>
      <c r="Z3">
        <v>-8.1682049999999996E-4</v>
      </c>
      <c r="AA3">
        <v>0.9987819</v>
      </c>
      <c r="AB3">
        <v>1</v>
      </c>
      <c r="AC3">
        <v>33.455699999999901</v>
      </c>
      <c r="AD3">
        <v>-1.109510941785</v>
      </c>
      <c r="AE3">
        <v>-1.6541000000000201</v>
      </c>
      <c r="AF3">
        <v>1.65204814990126</v>
      </c>
      <c r="AG3">
        <v>-1.109510941785</v>
      </c>
      <c r="AH3">
        <v>33.419046411030202</v>
      </c>
      <c r="AI3">
        <v>91.899201572566696</v>
      </c>
      <c r="AJ3">
        <v>87.169925393923194</v>
      </c>
      <c r="AK3">
        <v>33.478245782031699</v>
      </c>
      <c r="AL3">
        <v>80.337534979183204</v>
      </c>
      <c r="AM3">
        <v>88.411949051578802</v>
      </c>
      <c r="AN3">
        <v>0.99999999838938003</v>
      </c>
    </row>
    <row r="4" spans="1:40" x14ac:dyDescent="0.25">
      <c r="A4" t="str">
        <f>"20190312172609041"</f>
        <v>20190312172609041</v>
      </c>
      <c r="B4" t="str">
        <f>"1552382769028725"</f>
        <v>1552382769028725</v>
      </c>
      <c r="C4" t="s">
        <v>40</v>
      </c>
      <c r="D4">
        <v>3.1646019999999999</v>
      </c>
      <c r="E4">
        <v>0.511131</v>
      </c>
      <c r="F4" t="s">
        <v>41</v>
      </c>
      <c r="G4">
        <v>-442.99310000000003</v>
      </c>
      <c r="H4" s="1">
        <v>-4.0203719999999997E-6</v>
      </c>
      <c r="I4">
        <v>365.51400000000001</v>
      </c>
      <c r="J4">
        <v>-476.59219999999999</v>
      </c>
      <c r="K4">
        <v>1.109915</v>
      </c>
      <c r="L4">
        <v>367.21609999999998</v>
      </c>
      <c r="M4">
        <v>0.99995599999999996</v>
      </c>
      <c r="N4">
        <v>0</v>
      </c>
      <c r="O4" s="1">
        <v>-8.8998749999999992E-6</v>
      </c>
      <c r="P4">
        <v>0.98694340000000003</v>
      </c>
      <c r="Q4">
        <v>0.15862570000000001</v>
      </c>
      <c r="R4">
        <v>-2.795222E-2</v>
      </c>
      <c r="S4">
        <v>3.052155</v>
      </c>
      <c r="T4">
        <v>-0.1007738</v>
      </c>
      <c r="U4">
        <v>-0.15460209999999999</v>
      </c>
      <c r="V4">
        <v>2.7949060000000001E-2</v>
      </c>
      <c r="W4">
        <v>0.16789490000000001</v>
      </c>
      <c r="X4">
        <v>0.98540859999999997</v>
      </c>
      <c r="Y4">
        <v>5.0552199999999999E-2</v>
      </c>
      <c r="Z4">
        <v>-8.3349300000000004E-4</v>
      </c>
      <c r="AA4">
        <v>0.99872110000000003</v>
      </c>
      <c r="AB4">
        <v>1</v>
      </c>
      <c r="AC4">
        <v>33.5990999999999</v>
      </c>
      <c r="AD4">
        <v>-1.109919020372</v>
      </c>
      <c r="AE4">
        <v>-1.70209999999997</v>
      </c>
      <c r="AF4">
        <v>1.69995062346906</v>
      </c>
      <c r="AG4">
        <v>-1.109919020372</v>
      </c>
      <c r="AH4">
        <v>33.562583474868298</v>
      </c>
      <c r="AI4">
        <v>91.891665478034597</v>
      </c>
      <c r="AJ4">
        <v>87.100436774428204</v>
      </c>
      <c r="AK4">
        <v>33.623931386164799</v>
      </c>
      <c r="AL4">
        <v>80.334553197595497</v>
      </c>
      <c r="AM4">
        <v>88.375360253263096</v>
      </c>
      <c r="AN4">
        <v>0.99999997817742603</v>
      </c>
    </row>
    <row r="5" spans="1:40" x14ac:dyDescent="0.25">
      <c r="A5" t="str">
        <f>"20190312172609063"</f>
        <v>20190312172609063</v>
      </c>
      <c r="B5" t="str">
        <f>"1552382769058982"</f>
        <v>1552382769058982</v>
      </c>
      <c r="C5" t="s">
        <v>40</v>
      </c>
      <c r="D5">
        <v>3.2598229999999999</v>
      </c>
      <c r="E5">
        <v>0.54652659999999997</v>
      </c>
      <c r="F5" t="s">
        <v>41</v>
      </c>
      <c r="G5">
        <v>-444.01549999999997</v>
      </c>
      <c r="H5" s="1">
        <v>-3.5330739999999998E-6</v>
      </c>
      <c r="I5">
        <v>365.53660000000002</v>
      </c>
      <c r="J5">
        <v>-476.58949999999999</v>
      </c>
      <c r="K5">
        <v>1.1103000000000001</v>
      </c>
      <c r="L5">
        <v>367.21609999999998</v>
      </c>
      <c r="M5">
        <v>0.99994249999999996</v>
      </c>
      <c r="N5">
        <v>0</v>
      </c>
      <c r="O5" s="1">
        <v>-1.1199319999999999E-5</v>
      </c>
      <c r="P5">
        <v>0.98706000000000005</v>
      </c>
      <c r="Q5">
        <v>0.15777099999999999</v>
      </c>
      <c r="R5">
        <v>-2.8655110000000001E-2</v>
      </c>
      <c r="S5">
        <v>3.0519409999999998</v>
      </c>
      <c r="T5">
        <v>-0.1039824</v>
      </c>
      <c r="U5">
        <v>-0.15734860000000001</v>
      </c>
      <c r="V5">
        <v>2.8650080000000001E-2</v>
      </c>
      <c r="W5">
        <v>0.168349</v>
      </c>
      <c r="X5">
        <v>0.98531100000000005</v>
      </c>
      <c r="Y5">
        <v>5.1447560000000003E-2</v>
      </c>
      <c r="Z5">
        <v>-8.7521639999999998E-4</v>
      </c>
      <c r="AA5">
        <v>0.99867530000000004</v>
      </c>
      <c r="AB5">
        <v>1</v>
      </c>
      <c r="AC5">
        <v>32.573999999999998</v>
      </c>
      <c r="AD5">
        <v>-1.1103035330740001</v>
      </c>
      <c r="AE5">
        <v>-1.67949999999996</v>
      </c>
      <c r="AF5">
        <v>1.6771917329591</v>
      </c>
      <c r="AG5">
        <v>-1.1103035330740001</v>
      </c>
      <c r="AH5">
        <v>32.536317478691799</v>
      </c>
      <c r="AI5">
        <v>91.951873477277502</v>
      </c>
      <c r="AJ5">
        <v>87.0491120593055</v>
      </c>
      <c r="AK5">
        <v>32.598430960997</v>
      </c>
      <c r="AL5">
        <v>80.308159614561703</v>
      </c>
      <c r="AM5">
        <v>88.334468738379201</v>
      </c>
      <c r="AN5">
        <v>0.99999998980300298</v>
      </c>
    </row>
    <row r="6" spans="1:40" x14ac:dyDescent="0.25">
      <c r="A6" t="str">
        <f>"20190312172609130"</f>
        <v>20190312172609130</v>
      </c>
      <c r="B6" t="str">
        <f>"1552382769118518"</f>
        <v>1552382769118518</v>
      </c>
      <c r="C6" t="s">
        <v>40</v>
      </c>
      <c r="D6">
        <v>3.2204480000000002</v>
      </c>
      <c r="E6">
        <v>0.57697769999999904</v>
      </c>
      <c r="F6" t="s">
        <v>42</v>
      </c>
      <c r="G6">
        <v>-372.96460000000002</v>
      </c>
      <c r="H6">
        <v>0.98799870000000001</v>
      </c>
      <c r="I6">
        <v>344.53449999999998</v>
      </c>
      <c r="J6">
        <v>-476.55930000000001</v>
      </c>
      <c r="K6">
        <v>1.109494</v>
      </c>
      <c r="L6">
        <v>367.21609999999998</v>
      </c>
      <c r="M6">
        <v>0.99996859999999999</v>
      </c>
      <c r="N6">
        <v>0</v>
      </c>
      <c r="O6" s="1">
        <v>-5.3789840000000001E-6</v>
      </c>
      <c r="P6">
        <v>0.98627450000000005</v>
      </c>
      <c r="Q6">
        <v>0.16206229999999999</v>
      </c>
      <c r="R6">
        <v>-3.160176E-2</v>
      </c>
      <c r="S6">
        <v>3.0205690000000001</v>
      </c>
      <c r="T6">
        <v>-3.5482650000000001E-3</v>
      </c>
      <c r="U6">
        <v>-0.66125489999999998</v>
      </c>
      <c r="V6">
        <v>3.1602909999999998E-2</v>
      </c>
      <c r="W6">
        <v>0.16987639999999901</v>
      </c>
      <c r="X6">
        <v>0.98495849999999996</v>
      </c>
      <c r="Y6">
        <v>0.2138475</v>
      </c>
      <c r="Z6">
        <v>-1.2412729999999999E-4</v>
      </c>
      <c r="AA6">
        <v>0.97686700000000004</v>
      </c>
      <c r="AB6">
        <v>1</v>
      </c>
      <c r="AC6">
        <v>103.5947</v>
      </c>
      <c r="AD6">
        <v>-0.1214953</v>
      </c>
      <c r="AE6">
        <v>-22.6816</v>
      </c>
      <c r="AF6">
        <v>22.681012978471401</v>
      </c>
      <c r="AG6">
        <v>-0.1214953</v>
      </c>
      <c r="AH6">
        <v>103.594686035349</v>
      </c>
      <c r="AI6">
        <v>90.065641324065993</v>
      </c>
      <c r="AJ6">
        <v>77.650528070405699</v>
      </c>
      <c r="AK6">
        <v>106.04858360959</v>
      </c>
      <c r="AL6">
        <v>80.219367138866005</v>
      </c>
      <c r="AM6">
        <v>88.162265332059505</v>
      </c>
      <c r="AN6">
        <v>0.99999999095983805</v>
      </c>
    </row>
    <row r="7" spans="1:40" x14ac:dyDescent="0.25">
      <c r="A7" t="str">
        <f>"20190312172609150"</f>
        <v>20190312172609150</v>
      </c>
      <c r="B7" t="str">
        <f>"1552382769148775"</f>
        <v>1552382769148775</v>
      </c>
      <c r="C7" t="s">
        <v>40</v>
      </c>
      <c r="D7">
        <v>3.2147519999999998</v>
      </c>
      <c r="E7">
        <v>0.58045190000000002</v>
      </c>
      <c r="F7" t="s">
        <v>42</v>
      </c>
      <c r="G7">
        <v>-372.96460000000002</v>
      </c>
      <c r="H7">
        <v>1.4993190000000001</v>
      </c>
      <c r="I7">
        <v>343.29599999999999</v>
      </c>
      <c r="J7">
        <v>-476.54860000000002</v>
      </c>
      <c r="K7">
        <v>1.1096269999999999</v>
      </c>
      <c r="L7">
        <v>367.21609999999998</v>
      </c>
      <c r="M7">
        <v>0.99996700000000005</v>
      </c>
      <c r="N7">
        <v>0</v>
      </c>
      <c r="O7" s="1">
        <v>-2.9978459999999999E-6</v>
      </c>
      <c r="P7">
        <v>0.98628510000000003</v>
      </c>
      <c r="Q7">
        <v>0.16184219999999999</v>
      </c>
      <c r="R7">
        <v>-3.2387810000000003E-2</v>
      </c>
      <c r="S7">
        <v>3.0175169999999998</v>
      </c>
      <c r="T7">
        <v>1.135719E-2</v>
      </c>
      <c r="U7">
        <v>-0.6967468</v>
      </c>
      <c r="V7">
        <v>3.2391349999999999E-2</v>
      </c>
      <c r="W7">
        <v>0.16986080000000001</v>
      </c>
      <c r="X7">
        <v>0.98493560000000002</v>
      </c>
      <c r="Y7">
        <v>0.2249767</v>
      </c>
      <c r="Z7">
        <v>4.1786820000000002E-4</v>
      </c>
      <c r="AA7">
        <v>0.97436400000000001</v>
      </c>
      <c r="AB7">
        <v>1</v>
      </c>
      <c r="AC7">
        <v>103.584</v>
      </c>
      <c r="AD7">
        <v>0.38969199999999898</v>
      </c>
      <c r="AE7">
        <v>-23.920099999999898</v>
      </c>
      <c r="AF7">
        <v>23.9194680604807</v>
      </c>
      <c r="AG7">
        <v>0.38969199999999898</v>
      </c>
      <c r="AH7">
        <v>103.58267989449401</v>
      </c>
      <c r="AI7">
        <v>89.789973598188396</v>
      </c>
      <c r="AJ7">
        <v>76.997100091985004</v>
      </c>
      <c r="AK7">
        <v>106.309286453613</v>
      </c>
      <c r="AL7">
        <v>80.220274357649203</v>
      </c>
      <c r="AM7">
        <v>88.116405773560203</v>
      </c>
      <c r="AN7">
        <v>1.00000001353941</v>
      </c>
    </row>
    <row r="8" spans="1:40" x14ac:dyDescent="0.25">
      <c r="A8" t="str">
        <f>"20190312172609174"</f>
        <v>20190312172609174</v>
      </c>
      <c r="B8" t="str">
        <f>"1552382769168293"</f>
        <v>1552382769168293</v>
      </c>
      <c r="C8" t="s">
        <v>40</v>
      </c>
      <c r="D8">
        <v>3.2294930000000002</v>
      </c>
      <c r="E8">
        <v>0.58202640000000005</v>
      </c>
      <c r="F8" t="s">
        <v>42</v>
      </c>
      <c r="G8">
        <v>-372.96460000000002</v>
      </c>
      <c r="H8">
        <v>1.678968</v>
      </c>
      <c r="I8">
        <v>342.24799999999999</v>
      </c>
      <c r="J8">
        <v>-476.54160000000002</v>
      </c>
      <c r="K8">
        <v>1.1100749999999999</v>
      </c>
      <c r="L8">
        <v>367.21609999999998</v>
      </c>
      <c r="M8">
        <v>0.99995389999999995</v>
      </c>
      <c r="N8">
        <v>0</v>
      </c>
      <c r="O8" s="1">
        <v>-2.777015E-6</v>
      </c>
      <c r="P8">
        <v>0.98644940000000003</v>
      </c>
      <c r="Q8">
        <v>0.1606938</v>
      </c>
      <c r="R8">
        <v>-3.309372E-2</v>
      </c>
      <c r="S8">
        <v>3.0151370000000002</v>
      </c>
      <c r="T8">
        <v>1.6574740000000001E-2</v>
      </c>
      <c r="U8">
        <v>-0.72677609999999904</v>
      </c>
      <c r="V8">
        <v>3.3097550000000003E-2</v>
      </c>
      <c r="W8">
        <v>0.17015359999999999</v>
      </c>
      <c r="X8">
        <v>0.9848616</v>
      </c>
      <c r="Y8">
        <v>0.23432510000000001</v>
      </c>
      <c r="Z8">
        <v>6.3495079999999996E-4</v>
      </c>
      <c r="AA8">
        <v>0.97215810000000002</v>
      </c>
      <c r="AB8">
        <v>1</v>
      </c>
      <c r="AC8">
        <v>103.577</v>
      </c>
      <c r="AD8">
        <v>0.56889299999999998</v>
      </c>
      <c r="AE8">
        <v>-24.9680999999999</v>
      </c>
      <c r="AF8">
        <v>24.967100528501799</v>
      </c>
      <c r="AG8">
        <v>0.56889299999999998</v>
      </c>
      <c r="AH8">
        <v>103.574116394971</v>
      </c>
      <c r="AI8">
        <v>89.694062355315495</v>
      </c>
      <c r="AJ8">
        <v>76.447103588457693</v>
      </c>
      <c r="AK8">
        <v>106.542373425059</v>
      </c>
      <c r="AL8">
        <v>80.203250527087306</v>
      </c>
      <c r="AM8">
        <v>88.075225484736904</v>
      </c>
      <c r="AN8">
        <v>1.00000003328176</v>
      </c>
    </row>
    <row r="9" spans="1:40" x14ac:dyDescent="0.25">
      <c r="A9" t="str">
        <f>"20190312172609195"</f>
        <v>20190312172609195</v>
      </c>
      <c r="B9" t="str">
        <f>"1552382769188790"</f>
        <v>1552382769188790</v>
      </c>
      <c r="C9" t="s">
        <v>40</v>
      </c>
      <c r="D9">
        <v>3.2053189999999998</v>
      </c>
      <c r="E9">
        <v>0.5831054</v>
      </c>
      <c r="F9" t="s">
        <v>42</v>
      </c>
      <c r="G9">
        <v>-372.96460000000002</v>
      </c>
      <c r="H9">
        <v>1.6079840000000001</v>
      </c>
      <c r="I9">
        <v>341.74079999999998</v>
      </c>
      <c r="J9">
        <v>-476.53500000000003</v>
      </c>
      <c r="K9">
        <v>1.110298</v>
      </c>
      <c r="L9">
        <v>367.21609999999998</v>
      </c>
      <c r="M9">
        <v>0.99994459999999996</v>
      </c>
      <c r="N9">
        <v>0</v>
      </c>
      <c r="O9" s="1">
        <v>-3.8459239999999997E-6</v>
      </c>
      <c r="P9">
        <v>0.98651990000000001</v>
      </c>
      <c r="Q9">
        <v>0.16017979999999901</v>
      </c>
      <c r="R9">
        <v>-3.3481339999999998E-2</v>
      </c>
      <c r="S9">
        <v>3.0139770000000001</v>
      </c>
      <c r="T9">
        <v>1.449084E-2</v>
      </c>
      <c r="U9">
        <v>-0.74130249999999998</v>
      </c>
      <c r="V9">
        <v>3.3484380000000001E-2</v>
      </c>
      <c r="W9">
        <v>0.170568</v>
      </c>
      <c r="X9">
        <v>0.98477680000000001</v>
      </c>
      <c r="Y9">
        <v>0.2388306</v>
      </c>
      <c r="Z9">
        <v>5.6568340000000001E-4</v>
      </c>
      <c r="AA9">
        <v>0.97106110000000001</v>
      </c>
      <c r="AB9">
        <v>1</v>
      </c>
      <c r="AC9">
        <v>103.57040000000001</v>
      </c>
      <c r="AD9">
        <v>0.49768600000000002</v>
      </c>
      <c r="AE9">
        <v>-25.475300000000001</v>
      </c>
      <c r="AF9">
        <v>25.474346988236199</v>
      </c>
      <c r="AG9">
        <v>0.49768600000000002</v>
      </c>
      <c r="AH9">
        <v>103.568242937893</v>
      </c>
      <c r="AI9">
        <v>89.732642094622904</v>
      </c>
      <c r="AJ9">
        <v>76.181455365125402</v>
      </c>
      <c r="AK9">
        <v>106.65632185235999</v>
      </c>
      <c r="AL9">
        <v>80.179154552103199</v>
      </c>
      <c r="AM9">
        <v>88.052579211997596</v>
      </c>
      <c r="AN9">
        <v>0.99999999607311196</v>
      </c>
    </row>
    <row r="10" spans="1:40" x14ac:dyDescent="0.25">
      <c r="A10" t="str">
        <f>"20190312172609243"</f>
        <v>20190312172609243</v>
      </c>
      <c r="B10" t="str">
        <f>"1552382769238565"</f>
        <v>1552382769238565</v>
      </c>
      <c r="C10" t="s">
        <v>40</v>
      </c>
      <c r="D10">
        <v>3.2037520000000002</v>
      </c>
      <c r="E10">
        <v>0.58498000000000006</v>
      </c>
      <c r="F10" t="s">
        <v>42</v>
      </c>
      <c r="G10">
        <v>-372.96460000000002</v>
      </c>
      <c r="H10">
        <v>1.5634729999999999</v>
      </c>
      <c r="I10">
        <v>341.05500000000001</v>
      </c>
      <c r="J10">
        <v>-476.50490000000002</v>
      </c>
      <c r="K10">
        <v>1.1095469999999901</v>
      </c>
      <c r="L10">
        <v>367.21609999999998</v>
      </c>
      <c r="M10">
        <v>0.99996759999999996</v>
      </c>
      <c r="N10">
        <v>0</v>
      </c>
      <c r="O10" s="1">
        <v>1.4120779999999901E-6</v>
      </c>
      <c r="P10">
        <v>0.98596969999999995</v>
      </c>
      <c r="Q10">
        <v>0.16337449999999901</v>
      </c>
      <c r="R10">
        <v>-3.4240840000000002E-2</v>
      </c>
      <c r="S10">
        <v>3.0131839999999999</v>
      </c>
      <c r="T10">
        <v>1.319742E-2</v>
      </c>
      <c r="U10">
        <v>-0.76119999999999999</v>
      </c>
      <c r="V10">
        <v>3.4248979999999998E-2</v>
      </c>
      <c r="W10">
        <v>0.1713037</v>
      </c>
      <c r="X10">
        <v>0.98462280000000002</v>
      </c>
      <c r="Y10">
        <v>0.2449277</v>
      </c>
      <c r="Z10">
        <v>5.2808710000000003E-4</v>
      </c>
      <c r="AA10">
        <v>0.96954119999999999</v>
      </c>
      <c r="AB10">
        <v>1</v>
      </c>
      <c r="AC10">
        <v>103.5403</v>
      </c>
      <c r="AD10">
        <v>0.453926</v>
      </c>
      <c r="AE10">
        <v>-26.161099999999902</v>
      </c>
      <c r="AF10">
        <v>26.160773577071701</v>
      </c>
      <c r="AG10">
        <v>0.453926</v>
      </c>
      <c r="AH10">
        <v>103.53839247684699</v>
      </c>
      <c r="AI10">
        <v>89.756462784208907</v>
      </c>
      <c r="AJ10">
        <v>75.820007820056702</v>
      </c>
      <c r="AK10">
        <v>106.79321532594599</v>
      </c>
      <c r="AL10">
        <v>80.1363724664741</v>
      </c>
      <c r="AM10">
        <v>88.007834913832099</v>
      </c>
      <c r="AN10">
        <v>1.0000000042722801</v>
      </c>
    </row>
    <row r="11" spans="1:40" x14ac:dyDescent="0.25">
      <c r="A11" t="str">
        <f>"20190312172609265"</f>
        <v>20190312172609265</v>
      </c>
      <c r="B11" t="str">
        <f>"1552382769259061"</f>
        <v>1552382769259061</v>
      </c>
      <c r="C11" t="s">
        <v>40</v>
      </c>
      <c r="D11">
        <v>3.2268819999999998</v>
      </c>
      <c r="E11">
        <v>0.58531080000000002</v>
      </c>
      <c r="F11" t="s">
        <v>42</v>
      </c>
      <c r="G11">
        <v>-372.96460000000002</v>
      </c>
      <c r="H11">
        <v>1.835871</v>
      </c>
      <c r="I11">
        <v>340.80029999999999</v>
      </c>
      <c r="J11">
        <v>-476.48970000000003</v>
      </c>
      <c r="K11">
        <v>1.109583</v>
      </c>
      <c r="L11">
        <v>367.21609999999998</v>
      </c>
      <c r="M11">
        <v>0.99996850000000004</v>
      </c>
      <c r="N11">
        <v>0</v>
      </c>
      <c r="O11" s="1">
        <v>4.7020799999999997E-6</v>
      </c>
      <c r="P11">
        <v>0.98595449999999996</v>
      </c>
      <c r="Q11">
        <v>0.1635897</v>
      </c>
      <c r="R11">
        <v>-3.3648869999999997E-2</v>
      </c>
      <c r="S11">
        <v>3.012451</v>
      </c>
      <c r="T11">
        <v>2.1134259999999998E-2</v>
      </c>
      <c r="U11">
        <v>-0.76855469999999904</v>
      </c>
      <c r="V11">
        <v>3.3660030000000001E-2</v>
      </c>
      <c r="W11">
        <v>0.1714137</v>
      </c>
      <c r="X11">
        <v>0.98462400000000005</v>
      </c>
      <c r="Y11">
        <v>0.24720639999999999</v>
      </c>
      <c r="Z11">
        <v>8.5350809999999895E-4</v>
      </c>
      <c r="AA11">
        <v>0.96896249999999995</v>
      </c>
      <c r="AB11">
        <v>2</v>
      </c>
      <c r="AC11">
        <v>103.52509999999999</v>
      </c>
      <c r="AD11">
        <v>0.72628799999999905</v>
      </c>
      <c r="AE11">
        <v>-26.415799999999901</v>
      </c>
      <c r="AF11">
        <v>26.415066167437502</v>
      </c>
      <c r="AG11">
        <v>0.72628799999999905</v>
      </c>
      <c r="AH11">
        <v>103.520192154108</v>
      </c>
      <c r="AI11">
        <v>89.610504593502199</v>
      </c>
      <c r="AJ11">
        <v>75.685397127499996</v>
      </c>
      <c r="AK11">
        <v>106.839662104073</v>
      </c>
      <c r="AL11">
        <v>80.129975642462099</v>
      </c>
      <c r="AM11">
        <v>88.042067936779901</v>
      </c>
      <c r="AN11">
        <v>1.00000003777164</v>
      </c>
    </row>
    <row r="12" spans="1:40" x14ac:dyDescent="0.25">
      <c r="A12" t="str">
        <f>"20190312172609285"</f>
        <v>20190312172609285</v>
      </c>
      <c r="B12" t="str">
        <f>"1552382769278582"</f>
        <v>1552382769278582</v>
      </c>
      <c r="C12" t="s">
        <v>40</v>
      </c>
      <c r="D12">
        <v>3.225781</v>
      </c>
      <c r="E12">
        <v>0.58558650000000001</v>
      </c>
      <c r="F12" t="s">
        <v>42</v>
      </c>
      <c r="G12">
        <v>-372.96460000000002</v>
      </c>
      <c r="H12">
        <v>1.8623940000000001</v>
      </c>
      <c r="I12">
        <v>340.78250000000003</v>
      </c>
      <c r="J12">
        <v>-476.48039999999997</v>
      </c>
      <c r="K12">
        <v>1.1099600000000001</v>
      </c>
      <c r="L12">
        <v>367.21609999999998</v>
      </c>
      <c r="M12">
        <v>0.99995809999999996</v>
      </c>
      <c r="N12">
        <v>0</v>
      </c>
      <c r="O12" s="1">
        <v>5.8450970000000003E-6</v>
      </c>
      <c r="P12">
        <v>0.98615030000000004</v>
      </c>
      <c r="Q12">
        <v>0.16249160000000001</v>
      </c>
      <c r="R12">
        <v>-3.3230599999999999E-2</v>
      </c>
      <c r="S12">
        <v>3.012848</v>
      </c>
      <c r="T12">
        <v>2.1911030000000001E-2</v>
      </c>
      <c r="U12">
        <v>-0.7692871</v>
      </c>
      <c r="V12">
        <v>3.3242920000000002E-2</v>
      </c>
      <c r="W12">
        <v>0.17151659999999999</v>
      </c>
      <c r="X12">
        <v>0.98462019999999995</v>
      </c>
      <c r="Y12">
        <v>0.2473977</v>
      </c>
      <c r="Z12">
        <v>8.8543070000000001E-4</v>
      </c>
      <c r="AA12">
        <v>0.96891360000000004</v>
      </c>
      <c r="AB12">
        <v>2</v>
      </c>
      <c r="AC12">
        <v>103.515799999999</v>
      </c>
      <c r="AD12">
        <v>0.75243399999999905</v>
      </c>
      <c r="AE12">
        <v>-26.433599999999899</v>
      </c>
      <c r="AF12">
        <v>26.432893990501601</v>
      </c>
      <c r="AG12">
        <v>0.75243399999999905</v>
      </c>
      <c r="AH12">
        <v>103.510511274354</v>
      </c>
      <c r="AI12">
        <v>89.5964646377668</v>
      </c>
      <c r="AJ12">
        <v>75.674848939845305</v>
      </c>
      <c r="AK12">
        <v>106.83487251789801</v>
      </c>
      <c r="AL12">
        <v>80.123990773497198</v>
      </c>
      <c r="AM12">
        <v>88.066304342973993</v>
      </c>
      <c r="AN12">
        <v>0.99999998702686299</v>
      </c>
    </row>
    <row r="13" spans="1:40" x14ac:dyDescent="0.25">
      <c r="A13" t="str">
        <f>"20190312172609306"</f>
        <v>20190312172609306</v>
      </c>
      <c r="B13" t="str">
        <f>"1552382769298102"</f>
        <v>1552382769298102</v>
      </c>
      <c r="C13" t="s">
        <v>40</v>
      </c>
      <c r="D13">
        <v>3.1890969999999998</v>
      </c>
      <c r="E13">
        <v>0.5860223</v>
      </c>
      <c r="F13" t="s">
        <v>42</v>
      </c>
      <c r="G13">
        <v>-372.96460000000002</v>
      </c>
      <c r="H13">
        <v>1.75118</v>
      </c>
      <c r="I13">
        <v>340.76080000000002</v>
      </c>
      <c r="J13">
        <v>-476.46679999999998</v>
      </c>
      <c r="K13">
        <v>1.1099190000000001</v>
      </c>
      <c r="L13">
        <v>367.21609999999998</v>
      </c>
      <c r="M13">
        <v>0.99995889999999998</v>
      </c>
      <c r="N13">
        <v>0</v>
      </c>
      <c r="O13" s="1">
        <v>7.8050399999999899E-6</v>
      </c>
      <c r="P13">
        <v>0.98612610000000001</v>
      </c>
      <c r="Q13">
        <v>0.16279560000000001</v>
      </c>
      <c r="R13">
        <v>-3.245344E-2</v>
      </c>
      <c r="S13">
        <v>3.0130919999999999</v>
      </c>
      <c r="T13">
        <v>1.866663E-2</v>
      </c>
      <c r="U13">
        <v>-0.77005000000000001</v>
      </c>
      <c r="V13">
        <v>3.2467639999999999E-2</v>
      </c>
      <c r="W13">
        <v>0.17173269999999999</v>
      </c>
      <c r="X13">
        <v>0.98460840000000005</v>
      </c>
      <c r="Y13">
        <v>0.24761269999999999</v>
      </c>
      <c r="Z13">
        <v>7.5491139999999996E-4</v>
      </c>
      <c r="AA13">
        <v>0.96885880000000002</v>
      </c>
      <c r="AB13">
        <v>1</v>
      </c>
      <c r="AC13">
        <v>103.50219999999899</v>
      </c>
      <c r="AD13">
        <v>0.64126099999999897</v>
      </c>
      <c r="AE13">
        <v>-26.455299999999902</v>
      </c>
      <c r="AF13">
        <v>26.4551546453622</v>
      </c>
      <c r="AG13">
        <v>0.64126099999999897</v>
      </c>
      <c r="AH13">
        <v>103.498264278818</v>
      </c>
      <c r="AI13">
        <v>89.656065440903305</v>
      </c>
      <c r="AJ13">
        <v>75.6616554826292</v>
      </c>
      <c r="AK13">
        <v>106.827791944363</v>
      </c>
      <c r="AL13">
        <v>80.111422651090805</v>
      </c>
      <c r="AM13">
        <v>88.111345664180206</v>
      </c>
      <c r="AN13">
        <v>0.99999998462350903</v>
      </c>
    </row>
    <row r="14" spans="1:40" x14ac:dyDescent="0.25">
      <c r="A14" t="str">
        <f>"20190312172609329"</f>
        <v>20190312172609329</v>
      </c>
      <c r="B14" t="str">
        <f>"1552382769318597"</f>
        <v>1552382769318597</v>
      </c>
      <c r="C14" t="s">
        <v>40</v>
      </c>
      <c r="D14">
        <v>3.2204269999999999</v>
      </c>
      <c r="E14">
        <v>0.58660249999999903</v>
      </c>
      <c r="F14" t="s">
        <v>42</v>
      </c>
      <c r="G14">
        <v>-372.96460000000002</v>
      </c>
      <c r="H14">
        <v>1.731781</v>
      </c>
      <c r="I14">
        <v>340.74189999999999</v>
      </c>
      <c r="J14">
        <v>-476.44810000000001</v>
      </c>
      <c r="K14">
        <v>1.109583</v>
      </c>
      <c r="L14">
        <v>367.21609999999998</v>
      </c>
      <c r="M14">
        <v>0.999969</v>
      </c>
      <c r="N14">
        <v>0</v>
      </c>
      <c r="O14" s="1">
        <v>1.0933929999999999E-5</v>
      </c>
      <c r="P14">
        <v>0.98600849999999995</v>
      </c>
      <c r="Q14">
        <v>0.16357650000000001</v>
      </c>
      <c r="R14">
        <v>-3.2095560000000002E-2</v>
      </c>
      <c r="S14">
        <v>3.0138850000000001</v>
      </c>
      <c r="T14">
        <v>1.8110279999999999E-2</v>
      </c>
      <c r="U14">
        <v>-0.77090449999999999</v>
      </c>
      <c r="V14">
        <v>3.2112700000000001E-2</v>
      </c>
      <c r="W14">
        <v>0.171349799999999</v>
      </c>
      <c r="X14">
        <v>0.98468679999999997</v>
      </c>
      <c r="Y14">
        <v>0.2478127</v>
      </c>
      <c r="Z14">
        <v>7.3280960000000005E-4</v>
      </c>
      <c r="AA14">
        <v>0.96880770000000005</v>
      </c>
      <c r="AB14">
        <v>1</v>
      </c>
      <c r="AC14">
        <v>103.48350000000001</v>
      </c>
      <c r="AD14">
        <v>0.62219800000000003</v>
      </c>
      <c r="AE14">
        <v>-26.4742</v>
      </c>
      <c r="AF14">
        <v>26.474433240525901</v>
      </c>
      <c r="AG14">
        <v>0.62219800000000003</v>
      </c>
      <c r="AH14">
        <v>103.47969946412</v>
      </c>
      <c r="AI14">
        <v>89.666248204829998</v>
      </c>
      <c r="AJ14">
        <v>75.649170130237906</v>
      </c>
      <c r="AK14">
        <v>106.81446974517399</v>
      </c>
      <c r="AL14">
        <v>80.133691814767701</v>
      </c>
      <c r="AM14">
        <v>88.132126568196597</v>
      </c>
      <c r="AN14">
        <v>1.0000000367777799</v>
      </c>
    </row>
    <row r="15" spans="1:40" x14ac:dyDescent="0.25">
      <c r="A15" t="str">
        <f>"20190312172609351"</f>
        <v>20190312172609351</v>
      </c>
      <c r="B15" t="str">
        <f>"1552382769348853"</f>
        <v>1552382769348853</v>
      </c>
      <c r="C15" t="s">
        <v>40</v>
      </c>
      <c r="D15">
        <v>3.2094330000000002</v>
      </c>
      <c r="E15">
        <v>0.58684530000000001</v>
      </c>
      <c r="F15" t="s">
        <v>42</v>
      </c>
      <c r="G15">
        <v>-372.96460000000002</v>
      </c>
      <c r="H15">
        <v>1.790138</v>
      </c>
      <c r="I15">
        <v>340.6259</v>
      </c>
      <c r="J15">
        <v>-476.42689999999999</v>
      </c>
      <c r="K15">
        <v>1.109378</v>
      </c>
      <c r="L15">
        <v>367.21609999999998</v>
      </c>
      <c r="M15">
        <v>0.99997599999999998</v>
      </c>
      <c r="N15">
        <v>0</v>
      </c>
      <c r="O15" s="1">
        <v>1.4799029999999901E-5</v>
      </c>
      <c r="P15">
        <v>0.98588229999999999</v>
      </c>
      <c r="Q15">
        <v>0.16448979999999999</v>
      </c>
      <c r="R15">
        <v>-3.1299830000000001E-2</v>
      </c>
      <c r="S15">
        <v>3.0140989999999999</v>
      </c>
      <c r="T15">
        <v>1.9824390000000001E-2</v>
      </c>
      <c r="U15">
        <v>-0.77447509999999997</v>
      </c>
      <c r="V15">
        <v>3.1320569999999999E-2</v>
      </c>
      <c r="W15">
        <v>0.17133670000000001</v>
      </c>
      <c r="X15">
        <v>0.9847146</v>
      </c>
      <c r="Y15">
        <v>0.24887580000000001</v>
      </c>
      <c r="Z15">
        <v>8.0546179999999902E-4</v>
      </c>
      <c r="AA15">
        <v>0.96853509999999998</v>
      </c>
      <c r="AB15">
        <v>2</v>
      </c>
      <c r="AC15">
        <v>103.462299999999</v>
      </c>
      <c r="AD15">
        <v>0.68076000000000003</v>
      </c>
      <c r="AE15">
        <v>-26.5901999999999</v>
      </c>
      <c r="AF15">
        <v>26.590651297197098</v>
      </c>
      <c r="AG15">
        <v>0.68076000000000003</v>
      </c>
      <c r="AH15">
        <v>103.45770492826701</v>
      </c>
      <c r="AI15">
        <v>89.634861763566903</v>
      </c>
      <c r="AJ15">
        <v>75.585854630616296</v>
      </c>
      <c r="AK15">
        <v>106.822389411635</v>
      </c>
      <c r="AL15">
        <v>80.134453719640604</v>
      </c>
      <c r="AM15">
        <v>88.178221709240105</v>
      </c>
      <c r="AN15">
        <v>1.00000004316258</v>
      </c>
    </row>
    <row r="16" spans="1:40" x14ac:dyDescent="0.25">
      <c r="A16" t="str">
        <f>"20190312172609374"</f>
        <v>20190312172609374</v>
      </c>
      <c r="B16" t="str">
        <f>"1552382769368374"</f>
        <v>1552382769368374</v>
      </c>
      <c r="C16" t="s">
        <v>40</v>
      </c>
      <c r="D16">
        <v>3.1729189999999998</v>
      </c>
      <c r="E16">
        <v>0.5443848</v>
      </c>
      <c r="F16" t="s">
        <v>42</v>
      </c>
      <c r="G16">
        <v>-372.96460000000002</v>
      </c>
      <c r="H16">
        <v>1.863089</v>
      </c>
      <c r="I16">
        <v>340.6472</v>
      </c>
      <c r="J16">
        <v>-476.41059999999999</v>
      </c>
      <c r="K16">
        <v>1.109712</v>
      </c>
      <c r="L16">
        <v>367.21620000000001</v>
      </c>
      <c r="M16">
        <v>0.99996879999999999</v>
      </c>
      <c r="N16">
        <v>0</v>
      </c>
      <c r="O16" s="1">
        <v>1.7523789999999999E-5</v>
      </c>
      <c r="P16">
        <v>0.986012</v>
      </c>
      <c r="Q16">
        <v>0.16381409999999999</v>
      </c>
      <c r="R16">
        <v>-3.0744469999999999E-2</v>
      </c>
      <c r="S16">
        <v>3.0147089999999999</v>
      </c>
      <c r="T16">
        <v>2.1964069999999999E-2</v>
      </c>
      <c r="U16">
        <v>-0.77416989999999997</v>
      </c>
      <c r="V16">
        <v>3.076802E-2</v>
      </c>
      <c r="W16">
        <v>0.17159360000000001</v>
      </c>
      <c r="X16">
        <v>0.98468730000000004</v>
      </c>
      <c r="Y16">
        <v>0.24873809999999999</v>
      </c>
      <c r="Z16">
        <v>8.9175679999999903E-4</v>
      </c>
      <c r="AA16">
        <v>0.96857040000000005</v>
      </c>
      <c r="AB16">
        <v>2</v>
      </c>
      <c r="AC16">
        <v>103.445999999999</v>
      </c>
      <c r="AD16">
        <v>0.75337699999999996</v>
      </c>
      <c r="AE16">
        <v>-26.568999999999999</v>
      </c>
      <c r="AF16">
        <v>26.569490801545601</v>
      </c>
      <c r="AG16">
        <v>0.75337699999999996</v>
      </c>
      <c r="AH16">
        <v>103.440387501475</v>
      </c>
      <c r="AI16">
        <v>89.595830136500197</v>
      </c>
      <c r="AJ16">
        <v>75.594536907777197</v>
      </c>
      <c r="AK16">
        <v>106.80083887691499</v>
      </c>
      <c r="AL16">
        <v>80.119513302778401</v>
      </c>
      <c r="AM16">
        <v>88.210290412611798</v>
      </c>
      <c r="AN16">
        <v>1.0000000566984799</v>
      </c>
    </row>
    <row r="17" spans="1:40" x14ac:dyDescent="0.25">
      <c r="A17" t="str">
        <f>"20190312172609396"</f>
        <v>20190312172609396</v>
      </c>
      <c r="B17" t="str">
        <f>"1552382769388869"</f>
        <v>1552382769388869</v>
      </c>
      <c r="C17" t="s">
        <v>40</v>
      </c>
      <c r="D17">
        <v>3.1257030000000001</v>
      </c>
      <c r="E17">
        <v>0.52798350000000005</v>
      </c>
      <c r="F17" t="s">
        <v>43</v>
      </c>
      <c r="G17">
        <v>-360.8827</v>
      </c>
      <c r="H17">
        <v>-0.05</v>
      </c>
      <c r="I17">
        <v>350.7484</v>
      </c>
      <c r="J17">
        <v>-476.3981</v>
      </c>
      <c r="K17">
        <v>1.110233</v>
      </c>
      <c r="L17">
        <v>367.21609999999998</v>
      </c>
      <c r="M17">
        <v>0.99995250000000002</v>
      </c>
      <c r="N17">
        <v>0</v>
      </c>
      <c r="O17" s="1">
        <v>1.8038669999999999E-5</v>
      </c>
      <c r="P17">
        <v>0.98632379999999997</v>
      </c>
      <c r="Q17">
        <v>0.1619941</v>
      </c>
      <c r="R17">
        <v>-3.038238E-2</v>
      </c>
      <c r="S17">
        <v>3.034119</v>
      </c>
      <c r="T17">
        <v>-3.0457620000000001E-2</v>
      </c>
      <c r="U17">
        <v>-0.43249510000000002</v>
      </c>
      <c r="V17">
        <v>3.0406880000000001E-2</v>
      </c>
      <c r="W17">
        <v>0.1716067</v>
      </c>
      <c r="X17">
        <v>0.98469609999999996</v>
      </c>
      <c r="Y17">
        <v>0.14112829999999901</v>
      </c>
      <c r="Z17">
        <v>-7.0495009999999904E-4</v>
      </c>
      <c r="AA17">
        <v>0.98999110000000001</v>
      </c>
      <c r="AB17">
        <v>2</v>
      </c>
      <c r="AC17">
        <v>115.5154</v>
      </c>
      <c r="AD17">
        <v>-1.1602330000000001</v>
      </c>
      <c r="AE17">
        <v>-16.467699999999901</v>
      </c>
      <c r="AF17">
        <v>16.4681556021538</v>
      </c>
      <c r="AG17">
        <v>-1.1602330000000001</v>
      </c>
      <c r="AH17">
        <v>115.503682839633</v>
      </c>
      <c r="AI17">
        <v>90.569754495413704</v>
      </c>
      <c r="AJ17">
        <v>81.885634559131304</v>
      </c>
      <c r="AK17">
        <v>116.677534423168</v>
      </c>
      <c r="AL17">
        <v>80.118750098545306</v>
      </c>
      <c r="AM17">
        <v>88.231299524483205</v>
      </c>
      <c r="AN17">
        <v>0.99999992359571399</v>
      </c>
    </row>
    <row r="18" spans="1:40" x14ac:dyDescent="0.25">
      <c r="A18" t="str">
        <f>"20190312172609418"</f>
        <v>20190312172609418</v>
      </c>
      <c r="B18" t="str">
        <f>"1552382769408389"</f>
        <v>1552382769408389</v>
      </c>
      <c r="C18" t="s">
        <v>40</v>
      </c>
      <c r="D18">
        <v>3.0882770000000002</v>
      </c>
      <c r="E18">
        <v>0.51959719999999998</v>
      </c>
      <c r="F18" t="s">
        <v>43</v>
      </c>
      <c r="G18">
        <v>-421.6764</v>
      </c>
      <c r="H18">
        <v>-0.05</v>
      </c>
      <c r="I18">
        <v>361.82299999999998</v>
      </c>
      <c r="J18">
        <v>-476.38529999999997</v>
      </c>
      <c r="K18">
        <v>1.1103909999999999</v>
      </c>
      <c r="L18">
        <v>367.21609999999998</v>
      </c>
      <c r="M18">
        <v>0.99994349999999999</v>
      </c>
      <c r="N18">
        <v>0</v>
      </c>
      <c r="O18" s="1">
        <v>1.837811E-5</v>
      </c>
      <c r="P18">
        <v>0.98643170000000002</v>
      </c>
      <c r="Q18">
        <v>0.16144139999999901</v>
      </c>
      <c r="R18">
        <v>-2.9825709999999998E-2</v>
      </c>
      <c r="S18">
        <v>3.0429379999999999</v>
      </c>
      <c r="T18">
        <v>-6.4517619999999998E-2</v>
      </c>
      <c r="U18">
        <v>-0.2998962</v>
      </c>
      <c r="V18">
        <v>2.9850649999999999E-2</v>
      </c>
      <c r="W18">
        <v>0.171929</v>
      </c>
      <c r="X18">
        <v>0.984657</v>
      </c>
      <c r="Y18">
        <v>9.8076090000000005E-2</v>
      </c>
      <c r="Z18">
        <v>-1.0374850000000001E-3</v>
      </c>
      <c r="AA18">
        <v>0.99517840000000002</v>
      </c>
      <c r="AB18">
        <v>1</v>
      </c>
      <c r="AC18">
        <v>54.7088999999999</v>
      </c>
      <c r="AD18">
        <v>-1.160391</v>
      </c>
      <c r="AE18">
        <v>-5.3930999999999401</v>
      </c>
      <c r="AF18">
        <v>5.3917032489181302</v>
      </c>
      <c r="AG18">
        <v>-1.160391</v>
      </c>
      <c r="AH18">
        <v>54.684436424590103</v>
      </c>
      <c r="AI18">
        <v>91.209756431158695</v>
      </c>
      <c r="AJ18">
        <v>84.369026758711897</v>
      </c>
      <c r="AK18">
        <v>54.961846387037603</v>
      </c>
      <c r="AL18">
        <v>80.100006082405599</v>
      </c>
      <c r="AM18">
        <v>88.263565286309202</v>
      </c>
      <c r="AN18">
        <v>1.0000000249977099</v>
      </c>
    </row>
    <row r="19" spans="1:40" x14ac:dyDescent="0.25">
      <c r="A19" t="str">
        <f>"20190312172609443"</f>
        <v>20190312172609443</v>
      </c>
      <c r="B19" t="str">
        <f>"1552382769438645"</f>
        <v>1552382769438645</v>
      </c>
      <c r="C19" t="s">
        <v>40</v>
      </c>
      <c r="D19">
        <v>3.0859480000000001</v>
      </c>
      <c r="E19">
        <v>0.51334970000000002</v>
      </c>
      <c r="F19" t="s">
        <v>43</v>
      </c>
      <c r="G19">
        <v>-430.29849999999999</v>
      </c>
      <c r="H19">
        <v>-0.05</v>
      </c>
      <c r="I19">
        <v>363.72489999999999</v>
      </c>
      <c r="J19">
        <v>-476.36509999999998</v>
      </c>
      <c r="K19">
        <v>1.1099810000000001</v>
      </c>
      <c r="L19">
        <v>367.21620000000001</v>
      </c>
      <c r="M19">
        <v>0.99995420000000002</v>
      </c>
      <c r="N19">
        <v>0</v>
      </c>
      <c r="O19" s="1">
        <v>2.1269089999999999E-5</v>
      </c>
      <c r="P19">
        <v>0.98624449999999997</v>
      </c>
      <c r="Q19">
        <v>0.16262750000000001</v>
      </c>
      <c r="R19">
        <v>-2.956348E-2</v>
      </c>
      <c r="S19">
        <v>3.0468139999999999</v>
      </c>
      <c r="T19">
        <v>-7.6713920000000005E-2</v>
      </c>
      <c r="U19">
        <v>-0.23080439999999999</v>
      </c>
      <c r="V19">
        <v>2.9591369999999999E-2</v>
      </c>
      <c r="W19">
        <v>0.17205490000000001</v>
      </c>
      <c r="X19">
        <v>0.98464280000000004</v>
      </c>
      <c r="Y19">
        <v>7.5533699999999995E-2</v>
      </c>
      <c r="Z19">
        <v>-9.4993349999999998E-4</v>
      </c>
      <c r="AA19">
        <v>0.9971428</v>
      </c>
      <c r="AB19">
        <v>1</v>
      </c>
      <c r="AC19">
        <v>46.066600000000001</v>
      </c>
      <c r="AD19">
        <v>-1.1599809999999999</v>
      </c>
      <c r="AE19">
        <v>-3.4913000000000198</v>
      </c>
      <c r="AF19">
        <v>3.4900795616426201</v>
      </c>
      <c r="AG19">
        <v>-1.1599809999999999</v>
      </c>
      <c r="AH19">
        <v>46.037501960814602</v>
      </c>
      <c r="AI19">
        <v>91.439216112871307</v>
      </c>
      <c r="AJ19">
        <v>85.664728513883702</v>
      </c>
      <c r="AK19">
        <v>46.184172592555598</v>
      </c>
      <c r="AL19">
        <v>80.092683080989801</v>
      </c>
      <c r="AM19">
        <v>88.278613875070306</v>
      </c>
      <c r="AN19">
        <v>0.99999999069216305</v>
      </c>
    </row>
    <row r="20" spans="1:40" x14ac:dyDescent="0.25">
      <c r="A20" t="str">
        <f>"20190312172609464"</f>
        <v>20190312172609464</v>
      </c>
      <c r="B20" t="str">
        <f>"1552382769458165"</f>
        <v>1552382769458165</v>
      </c>
      <c r="C20" t="s">
        <v>40</v>
      </c>
      <c r="D20">
        <v>3.045023</v>
      </c>
      <c r="E20">
        <v>0.51094289999999998</v>
      </c>
      <c r="F20" t="s">
        <v>43</v>
      </c>
      <c r="G20">
        <v>-434.63529999999997</v>
      </c>
      <c r="H20">
        <v>-0.05</v>
      </c>
      <c r="I20">
        <v>364.74759999999998</v>
      </c>
      <c r="J20">
        <v>-476.3433</v>
      </c>
      <c r="K20">
        <v>1.1095870000000001</v>
      </c>
      <c r="L20">
        <v>367.21620000000001</v>
      </c>
      <c r="M20">
        <v>0.99996629999999997</v>
      </c>
      <c r="N20">
        <v>0</v>
      </c>
      <c r="O20" s="1">
        <v>2.5597779999999999E-5</v>
      </c>
      <c r="P20">
        <v>0.98605500000000001</v>
      </c>
      <c r="Q20">
        <v>0.1638474</v>
      </c>
      <c r="R20">
        <v>-2.9155540000000001E-2</v>
      </c>
      <c r="S20">
        <v>3.0504150000000001</v>
      </c>
      <c r="T20">
        <v>-8.4793809999999997E-2</v>
      </c>
      <c r="U20">
        <v>-0.18045040000000001</v>
      </c>
      <c r="V20">
        <v>2.9187459999999998E-2</v>
      </c>
      <c r="W20">
        <v>0.17195250000000001</v>
      </c>
      <c r="X20">
        <v>0.98467269999999896</v>
      </c>
      <c r="Y20">
        <v>5.9055610000000001E-2</v>
      </c>
      <c r="Z20">
        <v>-8.2063419999999995E-4</v>
      </c>
      <c r="AA20">
        <v>0.99825439999999999</v>
      </c>
      <c r="AB20">
        <v>2</v>
      </c>
      <c r="AC20">
        <v>41.707999999999998</v>
      </c>
      <c r="AD20">
        <v>-1.1595869999999999</v>
      </c>
      <c r="AE20">
        <v>-2.4686000000000301</v>
      </c>
      <c r="AF20">
        <v>2.4677667934776601</v>
      </c>
      <c r="AG20">
        <v>-1.1595869999999999</v>
      </c>
      <c r="AH20">
        <v>41.675834689425002</v>
      </c>
      <c r="AI20">
        <v>91.590999284410699</v>
      </c>
      <c r="AJ20">
        <v>86.611280409106897</v>
      </c>
      <c r="AK20">
        <v>41.764933999922</v>
      </c>
      <c r="AL20">
        <v>80.098638507127703</v>
      </c>
      <c r="AM20">
        <v>88.302147764824696</v>
      </c>
      <c r="AN20">
        <v>0.99999994810139403</v>
      </c>
    </row>
    <row r="21" spans="1:40" x14ac:dyDescent="0.25">
      <c r="A21" t="str">
        <f>"20190312172609486"</f>
        <v>20190312172609486</v>
      </c>
      <c r="B21" t="str">
        <f>"1552382769478661"</f>
        <v>1552382769478661</v>
      </c>
      <c r="C21" t="s">
        <v>40</v>
      </c>
      <c r="D21">
        <v>3.0629490000000001</v>
      </c>
      <c r="E21">
        <v>0.50923660000000004</v>
      </c>
      <c r="F21" t="s">
        <v>43</v>
      </c>
      <c r="G21">
        <v>-435.11450000000002</v>
      </c>
      <c r="H21">
        <v>-0.05</v>
      </c>
      <c r="I21">
        <v>365.04930000000002</v>
      </c>
      <c r="J21">
        <v>-476.31959999999998</v>
      </c>
      <c r="K21">
        <v>1.1093440000000001</v>
      </c>
      <c r="L21">
        <v>367.21620000000001</v>
      </c>
      <c r="M21">
        <v>0.99997429999999998</v>
      </c>
      <c r="N21">
        <v>0</v>
      </c>
      <c r="O21" s="1">
        <v>3.1081780000000003E-5</v>
      </c>
      <c r="P21">
        <v>0.98587519999999995</v>
      </c>
      <c r="Q21">
        <v>0.16501160000000001</v>
      </c>
      <c r="R21">
        <v>-2.865966E-2</v>
      </c>
      <c r="S21">
        <v>3.051971</v>
      </c>
      <c r="T21">
        <v>-8.5838789999999998E-2</v>
      </c>
      <c r="U21">
        <v>-0.1604004</v>
      </c>
      <c r="V21">
        <v>2.8696679999999999E-2</v>
      </c>
      <c r="W21">
        <v>0.17206939999999901</v>
      </c>
      <c r="X21">
        <v>0.98466679999999995</v>
      </c>
      <c r="Y21">
        <v>5.2494209999999999E-2</v>
      </c>
      <c r="Z21">
        <v>-7.3843679999999895E-4</v>
      </c>
      <c r="AA21">
        <v>0.99862090000000003</v>
      </c>
      <c r="AB21">
        <v>2</v>
      </c>
      <c r="AC21">
        <v>41.205099999999902</v>
      </c>
      <c r="AD21">
        <v>-1.1593439999999999</v>
      </c>
      <c r="AE21">
        <v>-2.1668999999999898</v>
      </c>
      <c r="AF21">
        <v>2.1664704448509502</v>
      </c>
      <c r="AG21">
        <v>-1.1593439999999999</v>
      </c>
      <c r="AH21">
        <v>41.172529073426702</v>
      </c>
      <c r="AI21">
        <v>91.610692275108704</v>
      </c>
      <c r="AJ21">
        <v>86.987912994201096</v>
      </c>
      <c r="AK21">
        <v>41.245785518049203</v>
      </c>
      <c r="AL21">
        <v>80.091840232195693</v>
      </c>
      <c r="AM21">
        <v>88.330670446909494</v>
      </c>
      <c r="AN21">
        <v>1.00000004244081</v>
      </c>
    </row>
    <row r="22" spans="1:40" x14ac:dyDescent="0.25">
      <c r="A22" t="str">
        <f>"20190312172609508"</f>
        <v>20190312172609508</v>
      </c>
      <c r="B22" t="str">
        <f>"1552382769498181"</f>
        <v>1552382769498181</v>
      </c>
      <c r="C22" t="s">
        <v>40</v>
      </c>
      <c r="D22">
        <v>3.065353</v>
      </c>
      <c r="E22">
        <v>0.50798789999999905</v>
      </c>
      <c r="F22" t="s">
        <v>43</v>
      </c>
      <c r="G22">
        <v>-435.0453</v>
      </c>
      <c r="H22">
        <v>-0.05</v>
      </c>
      <c r="I22">
        <v>365.245</v>
      </c>
      <c r="J22">
        <v>-476.29899999999998</v>
      </c>
      <c r="K22">
        <v>1.1095999999999999</v>
      </c>
      <c r="L22">
        <v>367.21620000000001</v>
      </c>
      <c r="M22">
        <v>0.99996980000000002</v>
      </c>
      <c r="N22">
        <v>0</v>
      </c>
      <c r="O22" s="1">
        <v>3.4131999999999998E-5</v>
      </c>
      <c r="P22">
        <v>0.98590529999999998</v>
      </c>
      <c r="Q22">
        <v>0.16494900000000001</v>
      </c>
      <c r="R22">
        <v>-2.797558E-2</v>
      </c>
      <c r="S22">
        <v>3.053131</v>
      </c>
      <c r="T22">
        <v>-8.5758689999999999E-2</v>
      </c>
      <c r="U22">
        <v>-0.145813</v>
      </c>
      <c r="V22">
        <v>2.801557E-2</v>
      </c>
      <c r="W22">
        <v>0.17261479999999901</v>
      </c>
      <c r="X22">
        <v>0.98459090000000005</v>
      </c>
      <c r="Y22">
        <v>4.771943E-2</v>
      </c>
      <c r="Z22">
        <v>-6.7063449999999998E-4</v>
      </c>
      <c r="AA22">
        <v>0.99886050000000004</v>
      </c>
      <c r="AB22">
        <v>2</v>
      </c>
      <c r="AC22">
        <v>41.253700000000002</v>
      </c>
      <c r="AD22">
        <v>-1.1596</v>
      </c>
      <c r="AE22">
        <v>-1.9712000000000101</v>
      </c>
      <c r="AF22">
        <v>1.9710542996376399</v>
      </c>
      <c r="AG22">
        <v>-1.1596</v>
      </c>
      <c r="AH22">
        <v>41.221137423621698</v>
      </c>
      <c r="AI22">
        <v>91.609535952877906</v>
      </c>
      <c r="AJ22">
        <v>87.262396274624606</v>
      </c>
      <c r="AK22">
        <v>41.2845237069441</v>
      </c>
      <c r="AL22">
        <v>80.060115918816393</v>
      </c>
      <c r="AM22">
        <v>88.370144460723196</v>
      </c>
      <c r="AN22">
        <v>0.99999999085213698</v>
      </c>
    </row>
    <row r="23" spans="1:40" x14ac:dyDescent="0.25">
      <c r="A23" t="str">
        <f>"20190312172609530"</f>
        <v>20190312172609530</v>
      </c>
      <c r="B23" t="str">
        <f>"1552382769518681"</f>
        <v>1552382769518681</v>
      </c>
      <c r="C23" t="s">
        <v>40</v>
      </c>
      <c r="D23">
        <v>3.1660430000000002</v>
      </c>
      <c r="E23">
        <v>0.50715940000000004</v>
      </c>
      <c r="F23" t="s">
        <v>43</v>
      </c>
      <c r="G23">
        <v>-436.19639999999998</v>
      </c>
      <c r="H23">
        <v>-0.05</v>
      </c>
      <c r="I23">
        <v>365.45319999999998</v>
      </c>
      <c r="J23">
        <v>-476.28300000000002</v>
      </c>
      <c r="K23">
        <v>1.110087</v>
      </c>
      <c r="L23">
        <v>367.21620000000001</v>
      </c>
      <c r="M23">
        <v>0.9999555</v>
      </c>
      <c r="N23">
        <v>0</v>
      </c>
      <c r="O23" s="1">
        <v>3.5132600000000003E-5</v>
      </c>
      <c r="P23">
        <v>0.98602710000000005</v>
      </c>
      <c r="Q23">
        <v>0.1642895</v>
      </c>
      <c r="R23">
        <v>-2.7558429999999998E-2</v>
      </c>
      <c r="S23">
        <v>3.053833</v>
      </c>
      <c r="T23">
        <v>-8.8304160000000007E-2</v>
      </c>
      <c r="U23">
        <v>-0.134246799999999</v>
      </c>
      <c r="V23">
        <v>2.7599539999999999E-2</v>
      </c>
      <c r="W23">
        <v>0.17357420000000001</v>
      </c>
      <c r="X23">
        <v>0.98443389999999997</v>
      </c>
      <c r="Y23">
        <v>4.3934460000000002E-2</v>
      </c>
      <c r="Z23">
        <v>-6.3577719999999998E-4</v>
      </c>
      <c r="AA23">
        <v>0.99903419999999998</v>
      </c>
      <c r="AB23">
        <v>2</v>
      </c>
      <c r="AC23">
        <v>40.086599999999997</v>
      </c>
      <c r="AD23">
        <v>-1.1600870000000001</v>
      </c>
      <c r="AE23">
        <v>-1.7630000000000301</v>
      </c>
      <c r="AF23">
        <v>1.7629348077135101</v>
      </c>
      <c r="AG23">
        <v>-1.1600870000000001</v>
      </c>
      <c r="AH23">
        <v>40.053058519346898</v>
      </c>
      <c r="AI23">
        <v>91.657433324418193</v>
      </c>
      <c r="AJ23">
        <v>87.479753737155306</v>
      </c>
      <c r="AK23">
        <v>40.108617998355903</v>
      </c>
      <c r="AL23">
        <v>80.004303164050697</v>
      </c>
      <c r="AM23">
        <v>88.394079037909805</v>
      </c>
      <c r="AN23">
        <v>0.99999992049152697</v>
      </c>
    </row>
    <row r="24" spans="1:40" x14ac:dyDescent="0.25">
      <c r="A24" t="str">
        <f>"20190312172609552"</f>
        <v>20190312172609552</v>
      </c>
      <c r="B24" t="str">
        <f>"1552382769548935"</f>
        <v>1552382769548935</v>
      </c>
      <c r="C24" t="s">
        <v>40</v>
      </c>
      <c r="D24">
        <v>3.055898</v>
      </c>
      <c r="E24">
        <v>0.50602440000000004</v>
      </c>
      <c r="F24" t="s">
        <v>43</v>
      </c>
      <c r="G24">
        <v>-437.4194</v>
      </c>
      <c r="H24">
        <v>-0.05</v>
      </c>
      <c r="I24">
        <v>365.60809999999998</v>
      </c>
      <c r="J24">
        <v>-476.26780000000002</v>
      </c>
      <c r="K24">
        <v>1.1104210000000001</v>
      </c>
      <c r="L24">
        <v>367.21620000000001</v>
      </c>
      <c r="M24">
        <v>0.99994130000000003</v>
      </c>
      <c r="N24">
        <v>0</v>
      </c>
      <c r="O24" s="1">
        <v>3.4307760000000001E-5</v>
      </c>
      <c r="P24">
        <v>0.98625640000000003</v>
      </c>
      <c r="Q24">
        <v>0.16292519999999999</v>
      </c>
      <c r="R24">
        <v>-2.7464559999999999E-2</v>
      </c>
      <c r="S24">
        <v>3.0541689999999999</v>
      </c>
      <c r="T24">
        <v>-9.1167810000000002E-2</v>
      </c>
      <c r="U24">
        <v>-0.12637329999999999</v>
      </c>
      <c r="V24">
        <v>2.7505080000000001E-2</v>
      </c>
      <c r="W24">
        <v>0.1736161</v>
      </c>
      <c r="X24">
        <v>0.9844292</v>
      </c>
      <c r="Y24">
        <v>4.1357810000000002E-2</v>
      </c>
      <c r="Z24">
        <v>-6.1789349999999995E-4</v>
      </c>
      <c r="AA24">
        <v>0.99914420000000004</v>
      </c>
      <c r="AB24">
        <v>2</v>
      </c>
      <c r="AC24">
        <v>38.848399999999998</v>
      </c>
      <c r="AD24">
        <v>-1.1604209999999999</v>
      </c>
      <c r="AE24">
        <v>-1.6081000000000301</v>
      </c>
      <c r="AF24">
        <v>1.60800060004693</v>
      </c>
      <c r="AG24">
        <v>-1.1604209999999999</v>
      </c>
      <c r="AH24">
        <v>38.813772587155</v>
      </c>
      <c r="AI24">
        <v>91.711003324496701</v>
      </c>
      <c r="AJ24">
        <v>87.627672176971004</v>
      </c>
      <c r="AK24">
        <v>38.864394827069901</v>
      </c>
      <c r="AL24">
        <v>80.001865905901496</v>
      </c>
      <c r="AM24">
        <v>88.399564835407304</v>
      </c>
      <c r="AN24">
        <v>0.99999996470882702</v>
      </c>
    </row>
    <row r="25" spans="1:40" x14ac:dyDescent="0.25">
      <c r="A25" t="str">
        <f>"20190312172609574"</f>
        <v>20190312172609574</v>
      </c>
      <c r="B25" t="str">
        <f>"1552382769568453"</f>
        <v>1552382769568453</v>
      </c>
      <c r="C25" t="s">
        <v>40</v>
      </c>
      <c r="D25">
        <v>3.073391</v>
      </c>
      <c r="E25">
        <v>0.5054845</v>
      </c>
      <c r="F25" t="s">
        <v>41</v>
      </c>
      <c r="G25">
        <v>-441.35090000000002</v>
      </c>
      <c r="H25" s="1">
        <v>-4.7325089999999996E-6</v>
      </c>
      <c r="I25">
        <v>365.87560000000002</v>
      </c>
      <c r="J25">
        <v>-476.24619999999999</v>
      </c>
      <c r="K25">
        <v>1.1101049999999999</v>
      </c>
      <c r="L25">
        <v>367.21620000000001</v>
      </c>
      <c r="M25">
        <v>0.99994950000000005</v>
      </c>
      <c r="N25">
        <v>0</v>
      </c>
      <c r="O25" s="1">
        <v>3.6370959999999998E-5</v>
      </c>
      <c r="P25">
        <v>0.98619369999999995</v>
      </c>
      <c r="Q25">
        <v>0.16341900000000001</v>
      </c>
      <c r="R25">
        <v>-2.6776600000000001E-2</v>
      </c>
      <c r="S25">
        <v>3.0545960000000001</v>
      </c>
      <c r="T25">
        <v>-9.7142220000000001E-2</v>
      </c>
      <c r="U25">
        <v>-0.1172791</v>
      </c>
      <c r="V25">
        <v>2.6818979999999999E-2</v>
      </c>
      <c r="W25">
        <v>0.17334179999999999</v>
      </c>
      <c r="X25">
        <v>0.9844965</v>
      </c>
      <c r="Y25">
        <v>3.8382979999999997E-2</v>
      </c>
      <c r="Z25">
        <v>-6.1110489999999999E-4</v>
      </c>
      <c r="AA25">
        <v>0.99926289999999995</v>
      </c>
      <c r="AB25">
        <v>1</v>
      </c>
      <c r="AC25">
        <v>34.895299999999899</v>
      </c>
      <c r="AD25">
        <v>-1.1101097325089999</v>
      </c>
      <c r="AE25">
        <v>-1.34059999999999</v>
      </c>
      <c r="AF25">
        <v>1.3405145829201199</v>
      </c>
      <c r="AG25">
        <v>-1.1101097325089999</v>
      </c>
      <c r="AH25">
        <v>34.860023449078497</v>
      </c>
      <c r="AI25">
        <v>91.822608872410896</v>
      </c>
      <c r="AJ25">
        <v>87.797821238348902</v>
      </c>
      <c r="AK25">
        <v>34.9034462171794</v>
      </c>
      <c r="AL25">
        <v>80.017824438642606</v>
      </c>
      <c r="AM25">
        <v>88.439573495371903</v>
      </c>
      <c r="AN25">
        <v>0.99999999791386496</v>
      </c>
    </row>
    <row r="26" spans="1:40" x14ac:dyDescent="0.25">
      <c r="A26" t="str">
        <f>"20190312172609596"</f>
        <v>20190312172609596</v>
      </c>
      <c r="B26" t="str">
        <f>"1552382769588950"</f>
        <v>1552382769588950</v>
      </c>
      <c r="C26" t="s">
        <v>40</v>
      </c>
      <c r="D26">
        <v>3.0673490000000001</v>
      </c>
      <c r="E26">
        <v>0.50509110000000002</v>
      </c>
      <c r="F26" t="s">
        <v>41</v>
      </c>
      <c r="G26">
        <v>-441.07229999999998</v>
      </c>
      <c r="H26" s="1">
        <v>-4.8540350000000004E-6</v>
      </c>
      <c r="I26">
        <v>365.93299999999999</v>
      </c>
      <c r="J26">
        <v>-476.22070000000002</v>
      </c>
      <c r="K26">
        <v>1.1096569999999999</v>
      </c>
      <c r="L26">
        <v>367.21620000000001</v>
      </c>
      <c r="M26">
        <v>0.99996309999999999</v>
      </c>
      <c r="N26">
        <v>0</v>
      </c>
      <c r="O26" s="1">
        <v>4.171273E-5</v>
      </c>
      <c r="P26">
        <v>0.98594919999999997</v>
      </c>
      <c r="Q26">
        <v>0.164907</v>
      </c>
      <c r="R26">
        <v>-2.6645820000000001E-2</v>
      </c>
      <c r="S26">
        <v>3.0549930000000001</v>
      </c>
      <c r="T26">
        <v>-9.6417310000000006E-2</v>
      </c>
      <c r="U26">
        <v>-0.1114502</v>
      </c>
      <c r="V26">
        <v>2.6693769999999999E-2</v>
      </c>
      <c r="W26">
        <v>0.17338029999999999</v>
      </c>
      <c r="X26">
        <v>0.98449310000000001</v>
      </c>
      <c r="Y26">
        <v>3.6480609999999997E-2</v>
      </c>
      <c r="Z26">
        <v>-5.7665560000000002E-4</v>
      </c>
      <c r="AA26">
        <v>0.99933419999999895</v>
      </c>
      <c r="AB26">
        <v>2</v>
      </c>
      <c r="AC26">
        <v>35.148400000000002</v>
      </c>
      <c r="AD26">
        <v>-1.1096618540349901</v>
      </c>
      <c r="AE26">
        <v>-1.2831999999999599</v>
      </c>
      <c r="AF26">
        <v>1.2833887209317401</v>
      </c>
      <c r="AG26">
        <v>-1.1096618540349901</v>
      </c>
      <c r="AH26">
        <v>35.113395043232302</v>
      </c>
      <c r="AI26">
        <v>91.808865409187405</v>
      </c>
      <c r="AJ26">
        <v>87.906780605655001</v>
      </c>
      <c r="AK26">
        <v>35.154358869155999</v>
      </c>
      <c r="AL26">
        <v>80.015584404329701</v>
      </c>
      <c r="AM26">
        <v>88.446849733940596</v>
      </c>
      <c r="AN26">
        <v>0.99999997486625603</v>
      </c>
    </row>
    <row r="27" spans="1:40" x14ac:dyDescent="0.25">
      <c r="A27" t="str">
        <f>"20190312172609620"</f>
        <v>20190312172609620</v>
      </c>
      <c r="B27" t="str">
        <f>"1552382769609445"</f>
        <v>1552382769609445</v>
      </c>
      <c r="C27" t="s">
        <v>40</v>
      </c>
      <c r="D27">
        <v>3.0662400000000001</v>
      </c>
      <c r="E27">
        <v>0.50468100000000005</v>
      </c>
      <c r="F27" t="s">
        <v>43</v>
      </c>
      <c r="G27">
        <v>-437.90570000000002</v>
      </c>
      <c r="H27">
        <v>-0.05</v>
      </c>
      <c r="I27">
        <v>365.858</v>
      </c>
      <c r="J27">
        <v>-476.19240000000002</v>
      </c>
      <c r="K27">
        <v>1.1093649999999999</v>
      </c>
      <c r="L27">
        <v>367.21620000000001</v>
      </c>
      <c r="M27">
        <v>0.9999728</v>
      </c>
      <c r="N27">
        <v>0</v>
      </c>
      <c r="O27" s="1">
        <v>4.824185E-5</v>
      </c>
      <c r="P27">
        <v>0.98572490000000001</v>
      </c>
      <c r="Q27">
        <v>0.16623350000000001</v>
      </c>
      <c r="R27">
        <v>-2.6702449999999999E-2</v>
      </c>
      <c r="S27">
        <v>3.0553279999999998</v>
      </c>
      <c r="T27">
        <v>-9.2473749999999993E-2</v>
      </c>
      <c r="U27">
        <v>-0.1083069</v>
      </c>
      <c r="V27">
        <v>2.6756579999999999E-2</v>
      </c>
      <c r="W27">
        <v>0.17351549999999999</v>
      </c>
      <c r="X27">
        <v>0.9844676</v>
      </c>
      <c r="Y27">
        <v>3.5458259999999998E-2</v>
      </c>
      <c r="Z27">
        <v>-5.3776479999999998E-4</v>
      </c>
      <c r="AA27">
        <v>0.99937100000000001</v>
      </c>
      <c r="AB27">
        <v>3</v>
      </c>
      <c r="AC27">
        <v>38.286700000000003</v>
      </c>
      <c r="AD27">
        <v>-1.159365</v>
      </c>
      <c r="AE27">
        <v>-1.3582000000000101</v>
      </c>
      <c r="AF27">
        <v>1.35880268506736</v>
      </c>
      <c r="AG27">
        <v>-1.159365</v>
      </c>
      <c r="AH27">
        <v>38.251603800597302</v>
      </c>
      <c r="AI27">
        <v>91.734948411830302</v>
      </c>
      <c r="AJ27">
        <v>87.965551006931705</v>
      </c>
      <c r="AK27">
        <v>38.293284858549796</v>
      </c>
      <c r="AL27">
        <v>80.007719043551404</v>
      </c>
      <c r="AM27">
        <v>88.443156688383397</v>
      </c>
      <c r="AN27">
        <v>0.99999999938165296</v>
      </c>
    </row>
    <row r="28" spans="1:40" x14ac:dyDescent="0.25">
      <c r="A28" t="str">
        <f>"20190312172609643"</f>
        <v>20190312172609643</v>
      </c>
      <c r="B28" t="str">
        <f>"1552382769638726"</f>
        <v>1552382769638726</v>
      </c>
      <c r="C28" t="s">
        <v>40</v>
      </c>
      <c r="D28">
        <v>3.0462180000000001</v>
      </c>
      <c r="E28">
        <v>0.50420089999999995</v>
      </c>
      <c r="F28" t="s">
        <v>43</v>
      </c>
      <c r="G28">
        <v>-436.37060000000002</v>
      </c>
      <c r="H28">
        <v>-0.05</v>
      </c>
      <c r="I28">
        <v>365.84480000000002</v>
      </c>
      <c r="J28">
        <v>-476.1651</v>
      </c>
      <c r="K28">
        <v>1.1095090000000001</v>
      </c>
      <c r="L28">
        <v>367.21620000000001</v>
      </c>
      <c r="M28">
        <v>0.9999711</v>
      </c>
      <c r="N28">
        <v>0</v>
      </c>
      <c r="O28" s="1">
        <v>5.3531759999999897E-5</v>
      </c>
      <c r="P28">
        <v>0.98579600000000001</v>
      </c>
      <c r="Q28">
        <v>0.16586090000000001</v>
      </c>
      <c r="R28">
        <v>-2.6389900000000001E-2</v>
      </c>
      <c r="S28">
        <v>3.055542</v>
      </c>
      <c r="T28">
        <v>-8.8958499999999996E-2</v>
      </c>
      <c r="U28">
        <v>-0.1052246</v>
      </c>
      <c r="V28">
        <v>2.6449009999999998E-2</v>
      </c>
      <c r="W28">
        <v>0.1733507</v>
      </c>
      <c r="X28">
        <v>0.98450490000000002</v>
      </c>
      <c r="Y28">
        <v>3.4455800000000002E-2</v>
      </c>
      <c r="Z28">
        <v>-5.0287309999999996E-4</v>
      </c>
      <c r="AA28">
        <v>0.99940609999999996</v>
      </c>
      <c r="AB28">
        <v>3</v>
      </c>
      <c r="AC28">
        <v>39.7944999999999</v>
      </c>
      <c r="AD28">
        <v>-1.1595089999999999</v>
      </c>
      <c r="AE28">
        <v>-1.37139999999999</v>
      </c>
      <c r="AF28">
        <v>1.37236658696966</v>
      </c>
      <c r="AG28">
        <v>-1.1595089999999999</v>
      </c>
      <c r="AH28">
        <v>39.760710158302999</v>
      </c>
      <c r="AI28">
        <v>91.669402896457598</v>
      </c>
      <c r="AJ28">
        <v>88.023183934876201</v>
      </c>
      <c r="AK28">
        <v>39.801280424914601</v>
      </c>
      <c r="AL28">
        <v>80.017306252223904</v>
      </c>
      <c r="AM28">
        <v>88.461102405656803</v>
      </c>
      <c r="AN28">
        <v>0.99999995672223896</v>
      </c>
    </row>
    <row r="29" spans="1:40" x14ac:dyDescent="0.25">
      <c r="A29" t="str">
        <f>"20190312172609666"</f>
        <v>20190312172609666</v>
      </c>
      <c r="B29" t="str">
        <f>"1552382769658246"</f>
        <v>1552382769658246</v>
      </c>
      <c r="C29" t="s">
        <v>40</v>
      </c>
      <c r="D29">
        <v>3.0527679999999999</v>
      </c>
      <c r="E29">
        <v>0.50395820000000002</v>
      </c>
      <c r="F29" t="s">
        <v>43</v>
      </c>
      <c r="G29">
        <v>-437.0829</v>
      </c>
      <c r="H29">
        <v>-0.05</v>
      </c>
      <c r="I29">
        <v>365.93130000000002</v>
      </c>
      <c r="J29">
        <v>-476.14359999999999</v>
      </c>
      <c r="K29">
        <v>1.1099950000000001</v>
      </c>
      <c r="L29">
        <v>367.21620000000001</v>
      </c>
      <c r="M29">
        <v>0.99995789999999996</v>
      </c>
      <c r="N29">
        <v>0</v>
      </c>
      <c r="O29" s="1">
        <v>5.5030010000000001E-5</v>
      </c>
      <c r="P29">
        <v>0.98619900000000005</v>
      </c>
      <c r="Q29">
        <v>0.16348489999999999</v>
      </c>
      <c r="R29">
        <v>-2.615663E-2</v>
      </c>
      <c r="S29">
        <v>3.0557859999999999</v>
      </c>
      <c r="T29">
        <v>-9.0660329999999997E-2</v>
      </c>
      <c r="U29">
        <v>-0.10046389999999999</v>
      </c>
      <c r="V29">
        <v>2.6217359999999999E-2</v>
      </c>
      <c r="W29">
        <v>0.172521799999999</v>
      </c>
      <c r="X29">
        <v>0.9846568</v>
      </c>
      <c r="Y29">
        <v>3.2899379999999999E-2</v>
      </c>
      <c r="Z29">
        <v>-4.8942910000000003E-4</v>
      </c>
      <c r="AA29">
        <v>0.99945859999999997</v>
      </c>
      <c r="AB29">
        <v>3</v>
      </c>
      <c r="AC29">
        <v>39.060699999999997</v>
      </c>
      <c r="AD29">
        <v>-1.1599950000000001</v>
      </c>
      <c r="AE29">
        <v>-1.2848999999999899</v>
      </c>
      <c r="AF29">
        <v>1.2859167415770401</v>
      </c>
      <c r="AG29">
        <v>-1.1599950000000001</v>
      </c>
      <c r="AH29">
        <v>39.026248166347401</v>
      </c>
      <c r="AI29">
        <v>91.701604431142897</v>
      </c>
      <c r="AJ29">
        <v>88.112784117067505</v>
      </c>
      <c r="AK29">
        <v>39.064654308052297</v>
      </c>
      <c r="AL29">
        <v>80.065526354898793</v>
      </c>
      <c r="AM29">
        <v>88.474809442936007</v>
      </c>
      <c r="AN29">
        <v>1.00000006761342</v>
      </c>
    </row>
    <row r="30" spans="1:40" x14ac:dyDescent="0.25">
      <c r="A30" t="str">
        <f>"20190312172609687"</f>
        <v>20190312172609687</v>
      </c>
      <c r="B30" t="str">
        <f>"1552382769678742"</f>
        <v>1552382769678742</v>
      </c>
      <c r="C30" t="s">
        <v>40</v>
      </c>
      <c r="D30">
        <v>3.0638550000000002</v>
      </c>
      <c r="E30">
        <v>0.50374180000000002</v>
      </c>
      <c r="F30" t="s">
        <v>41</v>
      </c>
      <c r="G30">
        <v>-441.63819999999998</v>
      </c>
      <c r="H30" s="1">
        <v>-4.554892E-6</v>
      </c>
      <c r="I30">
        <v>366.1114</v>
      </c>
      <c r="J30">
        <v>-476.1189</v>
      </c>
      <c r="K30">
        <v>1.1099319999999999</v>
      </c>
      <c r="L30">
        <v>367.21620000000001</v>
      </c>
      <c r="M30">
        <v>0.99995919999999905</v>
      </c>
      <c r="N30">
        <v>0</v>
      </c>
      <c r="O30" s="1">
        <v>5.911618E-5</v>
      </c>
      <c r="P30">
        <v>0.98620479999999999</v>
      </c>
      <c r="Q30">
        <v>0.16349089999999999</v>
      </c>
      <c r="R30">
        <v>-2.5903470000000001E-2</v>
      </c>
      <c r="S30">
        <v>3.0557560000000001</v>
      </c>
      <c r="T30">
        <v>-9.8299979999999995E-2</v>
      </c>
      <c r="U30">
        <v>-9.783936E-2</v>
      </c>
      <c r="V30">
        <v>2.596766E-2</v>
      </c>
      <c r="W30">
        <v>0.1724086</v>
      </c>
      <c r="X30">
        <v>0.98468319999999998</v>
      </c>
      <c r="Y30">
        <v>3.2044160000000002E-2</v>
      </c>
      <c r="Z30">
        <v>-5.1704669999999998E-4</v>
      </c>
      <c r="AA30">
        <v>0.99948630000000005</v>
      </c>
      <c r="AB30">
        <v>2</v>
      </c>
      <c r="AC30">
        <v>34.480699999999999</v>
      </c>
      <c r="AD30">
        <v>-1.1099365548919999</v>
      </c>
      <c r="AE30">
        <v>-1.10480000000001</v>
      </c>
      <c r="AF30">
        <v>1.1056939019966401</v>
      </c>
      <c r="AG30">
        <v>-1.1099365548919999</v>
      </c>
      <c r="AH30">
        <v>34.444979295763197</v>
      </c>
      <c r="AI30">
        <v>91.8446803644444</v>
      </c>
      <c r="AJ30">
        <v>88.161420067958105</v>
      </c>
      <c r="AK30">
        <v>34.480590436452097</v>
      </c>
      <c r="AL30">
        <v>80.072110470156005</v>
      </c>
      <c r="AM30">
        <v>88.489369418609698</v>
      </c>
      <c r="AN30">
        <v>1.0000000245410301</v>
      </c>
    </row>
    <row r="31" spans="1:40" x14ac:dyDescent="0.25">
      <c r="A31" t="str">
        <f>"20190312172609708"</f>
        <v>20190312172609708</v>
      </c>
      <c r="B31" t="str">
        <f>"1552382769698261"</f>
        <v>1552382769698261</v>
      </c>
      <c r="C31" t="s">
        <v>40</v>
      </c>
      <c r="D31">
        <v>3.0628139999999999</v>
      </c>
      <c r="E31">
        <v>0.50355890000000003</v>
      </c>
      <c r="F31" t="s">
        <v>41</v>
      </c>
      <c r="G31">
        <v>-441.68979999999999</v>
      </c>
      <c r="H31" s="1">
        <v>-4.5244229999999998E-6</v>
      </c>
      <c r="I31">
        <v>366.14550000000003</v>
      </c>
      <c r="J31">
        <v>-476.0899</v>
      </c>
      <c r="K31">
        <v>1.1095549999999901</v>
      </c>
      <c r="L31">
        <v>367.21620000000001</v>
      </c>
      <c r="M31">
        <v>0.99997009999999997</v>
      </c>
      <c r="N31">
        <v>0</v>
      </c>
      <c r="O31" s="1">
        <v>6.9067100000000001E-5</v>
      </c>
      <c r="P31">
        <v>0.98591169999999995</v>
      </c>
      <c r="Q31">
        <v>0.16525200000000001</v>
      </c>
      <c r="R31">
        <v>-2.5886019999999999E-2</v>
      </c>
      <c r="S31">
        <v>3.0557859999999999</v>
      </c>
      <c r="T31">
        <v>-9.8513600000000007E-2</v>
      </c>
      <c r="U31">
        <v>-9.5031740000000003E-2</v>
      </c>
      <c r="V31">
        <v>2.595915E-2</v>
      </c>
      <c r="W31">
        <v>0.172877799999999</v>
      </c>
      <c r="X31">
        <v>0.98460110000000001</v>
      </c>
      <c r="Y31">
        <v>3.1136759999999999E-2</v>
      </c>
      <c r="Z31">
        <v>-5.0387350000000001E-4</v>
      </c>
      <c r="AA31">
        <v>0.99951500000000004</v>
      </c>
      <c r="AB31">
        <v>2</v>
      </c>
      <c r="AC31">
        <v>34.400100000000002</v>
      </c>
      <c r="AD31">
        <v>-1.1095595244230001</v>
      </c>
      <c r="AE31">
        <v>-1.07069999999998</v>
      </c>
      <c r="AF31">
        <v>1.0719618414808101</v>
      </c>
      <c r="AG31">
        <v>-1.1095595244230001</v>
      </c>
      <c r="AH31">
        <v>34.364309465161497</v>
      </c>
      <c r="AI31">
        <v>91.848433004046399</v>
      </c>
      <c r="AJ31">
        <v>88.213292212205104</v>
      </c>
      <c r="AK31">
        <v>34.3989242498252</v>
      </c>
      <c r="AL31">
        <v>80.044816908884897</v>
      </c>
      <c r="AM31">
        <v>88.4897383832391</v>
      </c>
      <c r="AN31">
        <v>0.99999996866138496</v>
      </c>
    </row>
    <row r="32" spans="1:40" x14ac:dyDescent="0.25">
      <c r="A32" t="str">
        <f>"20190312172609732"</f>
        <v>20190312172609732</v>
      </c>
      <c r="B32" t="str">
        <f>"1552382769728519"</f>
        <v>1552382769728519</v>
      </c>
      <c r="C32" t="s">
        <v>40</v>
      </c>
      <c r="D32">
        <v>3.055393</v>
      </c>
      <c r="E32">
        <v>0.50327569999999999</v>
      </c>
      <c r="F32" t="s">
        <v>43</v>
      </c>
      <c r="G32">
        <v>-438.15230000000003</v>
      </c>
      <c r="H32">
        <v>-0.05</v>
      </c>
      <c r="I32">
        <v>366.06040000000002</v>
      </c>
      <c r="J32">
        <v>-476.05599999999998</v>
      </c>
      <c r="K32">
        <v>1.109248</v>
      </c>
      <c r="L32">
        <v>367.21620000000001</v>
      </c>
      <c r="M32">
        <v>0.99997930000000002</v>
      </c>
      <c r="N32">
        <v>0</v>
      </c>
      <c r="O32" s="1">
        <v>8.5983950000000005E-5</v>
      </c>
      <c r="P32">
        <v>0.98566860000000001</v>
      </c>
      <c r="Q32">
        <v>0.16669629999999999</v>
      </c>
      <c r="R32">
        <v>-2.5884020000000001E-2</v>
      </c>
      <c r="S32">
        <v>3.0560610000000001</v>
      </c>
      <c r="T32">
        <v>-9.3407989999999996E-2</v>
      </c>
      <c r="U32">
        <v>-9.3109129999999998E-2</v>
      </c>
      <c r="V32">
        <v>2.597271E-2</v>
      </c>
      <c r="W32">
        <v>0.17304410000000001</v>
      </c>
      <c r="X32">
        <v>0.98457159999999999</v>
      </c>
      <c r="Y32">
        <v>3.0524579999999999E-2</v>
      </c>
      <c r="Z32">
        <v>-4.6889920000000001E-4</v>
      </c>
      <c r="AA32">
        <v>0.99953389999999998</v>
      </c>
      <c r="AB32">
        <v>3</v>
      </c>
      <c r="AC32">
        <v>37.903699999999901</v>
      </c>
      <c r="AD32">
        <v>-1.1592480000000001</v>
      </c>
      <c r="AE32">
        <v>-1.1557999999999899</v>
      </c>
      <c r="AF32">
        <v>1.1579770271441101</v>
      </c>
      <c r="AG32">
        <v>-1.1592480000000001</v>
      </c>
      <c r="AH32">
        <v>37.868212098693498</v>
      </c>
      <c r="AI32">
        <v>91.752611867535407</v>
      </c>
      <c r="AJ32">
        <v>88.248490639078895</v>
      </c>
      <c r="AK32">
        <v>37.9036443402548</v>
      </c>
      <c r="AL32">
        <v>80.035143525894298</v>
      </c>
      <c r="AM32">
        <v>88.488904596388707</v>
      </c>
      <c r="AN32">
        <v>1.0000000388680499</v>
      </c>
    </row>
    <row r="33" spans="1:40" x14ac:dyDescent="0.25">
      <c r="A33" t="str">
        <f>"20190312172609754"</f>
        <v>20190312172609754</v>
      </c>
      <c r="B33" t="str">
        <f>"1552382769749013"</f>
        <v>1552382769749013</v>
      </c>
      <c r="C33" t="s">
        <v>40</v>
      </c>
      <c r="D33">
        <v>3.0766719999999999</v>
      </c>
      <c r="E33">
        <v>0.50309349999999997</v>
      </c>
      <c r="F33" t="s">
        <v>43</v>
      </c>
      <c r="G33">
        <v>-436.64359999999999</v>
      </c>
      <c r="H33">
        <v>-0.05</v>
      </c>
      <c r="I33">
        <v>366.04669999999999</v>
      </c>
      <c r="J33">
        <v>-476.02140000000003</v>
      </c>
      <c r="K33">
        <v>1.1092519999999999</v>
      </c>
      <c r="L33">
        <v>367.21620000000001</v>
      </c>
      <c r="M33">
        <v>0.99998129999999996</v>
      </c>
      <c r="N33">
        <v>0</v>
      </c>
      <c r="O33">
        <v>1.057355E-4</v>
      </c>
      <c r="P33">
        <v>0.98566200000000004</v>
      </c>
      <c r="Q33">
        <v>0.16683509999999999</v>
      </c>
      <c r="R33">
        <v>-2.5230320000000001E-2</v>
      </c>
      <c r="S33">
        <v>3.0564580000000001</v>
      </c>
      <c r="T33">
        <v>-8.990049E-2</v>
      </c>
      <c r="U33">
        <v>-9.0698239999999999E-2</v>
      </c>
      <c r="V33">
        <v>2.5337680000000001E-2</v>
      </c>
      <c r="W33">
        <v>0.1728642</v>
      </c>
      <c r="X33">
        <v>0.98461969999999999</v>
      </c>
      <c r="Y33">
        <v>2.9754030000000001E-2</v>
      </c>
      <c r="Z33">
        <v>-4.4049999999999997E-4</v>
      </c>
      <c r="AA33">
        <v>0.99955709999999998</v>
      </c>
      <c r="AB33">
        <v>3</v>
      </c>
      <c r="AC33">
        <v>39.377800000000001</v>
      </c>
      <c r="AD33">
        <v>-1.1592519999999999</v>
      </c>
      <c r="AE33">
        <v>-1.16950000000002</v>
      </c>
      <c r="AF33">
        <v>1.17264830144416</v>
      </c>
      <c r="AG33">
        <v>-1.1592519999999999</v>
      </c>
      <c r="AH33">
        <v>39.343608319548402</v>
      </c>
      <c r="AI33">
        <v>91.686972322757796</v>
      </c>
      <c r="AJ33">
        <v>88.292787153367698</v>
      </c>
      <c r="AK33">
        <v>39.378147300760901</v>
      </c>
      <c r="AL33">
        <v>80.045608273598901</v>
      </c>
      <c r="AM33">
        <v>88.525906194520999</v>
      </c>
      <c r="AN33">
        <v>0.99999999164875597</v>
      </c>
    </row>
    <row r="34" spans="1:40" x14ac:dyDescent="0.25">
      <c r="A34" t="str">
        <f>"20190312172609776"</f>
        <v>20190312172609776</v>
      </c>
      <c r="B34" t="str">
        <f>"1552382769768533"</f>
        <v>1552382769768533</v>
      </c>
      <c r="C34" t="s">
        <v>40</v>
      </c>
      <c r="D34">
        <v>3.0705469999999999</v>
      </c>
      <c r="E34">
        <v>0.50291189999999997</v>
      </c>
      <c r="F34" t="s">
        <v>43</v>
      </c>
      <c r="G34">
        <v>-436.63029999999998</v>
      </c>
      <c r="H34">
        <v>-0.05</v>
      </c>
      <c r="I34">
        <v>366.08749999999998</v>
      </c>
      <c r="J34">
        <v>-475.99099999999999</v>
      </c>
      <c r="K34">
        <v>1.1094759999999999</v>
      </c>
      <c r="L34">
        <v>367.21629999999999</v>
      </c>
      <c r="M34">
        <v>0.99997800000000003</v>
      </c>
      <c r="N34">
        <v>0</v>
      </c>
      <c r="O34">
        <v>1.224916E-4</v>
      </c>
      <c r="P34">
        <v>0.98582389999999998</v>
      </c>
      <c r="Q34">
        <v>0.16587769999999999</v>
      </c>
      <c r="R34">
        <v>-2.522172E-2</v>
      </c>
      <c r="S34">
        <v>3.05661</v>
      </c>
      <c r="T34">
        <v>-8.9954019999999996E-2</v>
      </c>
      <c r="U34">
        <v>-8.7585449999999995E-2</v>
      </c>
      <c r="V34">
        <v>2.534527E-2</v>
      </c>
      <c r="W34">
        <v>0.17242080000000001</v>
      </c>
      <c r="X34">
        <v>0.9846973</v>
      </c>
      <c r="Y34">
        <v>2.8752639999999999E-2</v>
      </c>
      <c r="Z34">
        <v>-4.265106E-4</v>
      </c>
      <c r="AA34">
        <v>0.99958650000000004</v>
      </c>
      <c r="AB34">
        <v>4</v>
      </c>
      <c r="AC34">
        <v>39.360700000000001</v>
      </c>
      <c r="AD34">
        <v>-1.159476</v>
      </c>
      <c r="AE34">
        <v>-1.12880000000001</v>
      </c>
      <c r="AF34">
        <v>1.13263940510804</v>
      </c>
      <c r="AG34">
        <v>-1.159476</v>
      </c>
      <c r="AH34">
        <v>39.326463680327997</v>
      </c>
      <c r="AI34">
        <v>91.688082877955793</v>
      </c>
      <c r="AJ34">
        <v>88.350283320691901</v>
      </c>
      <c r="AK34">
        <v>39.3598526701604</v>
      </c>
      <c r="AL34">
        <v>80.071401027688907</v>
      </c>
      <c r="AM34">
        <v>88.525580969781402</v>
      </c>
      <c r="AN34">
        <v>1.00000004380565</v>
      </c>
    </row>
    <row r="35" spans="1:40" x14ac:dyDescent="0.25">
      <c r="A35" t="str">
        <f>"20190312172609798"</f>
        <v>20190312172609798</v>
      </c>
      <c r="B35" t="str">
        <f>"1552382769789029"</f>
        <v>1552382769789029</v>
      </c>
      <c r="C35" t="s">
        <v>40</v>
      </c>
      <c r="D35">
        <v>3.109067</v>
      </c>
      <c r="E35">
        <v>0.50279819999999997</v>
      </c>
      <c r="F35" t="s">
        <v>43</v>
      </c>
      <c r="G35">
        <v>-438.12520000000001</v>
      </c>
      <c r="H35">
        <v>-0.05</v>
      </c>
      <c r="I35">
        <v>366.1472</v>
      </c>
      <c r="J35">
        <v>-475.9538</v>
      </c>
      <c r="K35">
        <v>1.109345</v>
      </c>
      <c r="L35">
        <v>367.21629999999999</v>
      </c>
      <c r="M35">
        <v>0.99998209999999998</v>
      </c>
      <c r="N35">
        <v>0</v>
      </c>
      <c r="O35">
        <v>1.516996E-4</v>
      </c>
      <c r="P35">
        <v>0.98566480000000001</v>
      </c>
      <c r="Q35">
        <v>0.16689489999999901</v>
      </c>
      <c r="R35">
        <v>-2.472121E-2</v>
      </c>
      <c r="S35">
        <v>3.0566409999999999</v>
      </c>
      <c r="T35">
        <v>-9.359634E-2</v>
      </c>
      <c r="U35">
        <v>-8.6303710000000006E-2</v>
      </c>
      <c r="V35">
        <v>2.487205E-2</v>
      </c>
      <c r="W35">
        <v>0.17279510000000001</v>
      </c>
      <c r="X35">
        <v>0.98464370000000001</v>
      </c>
      <c r="Y35">
        <v>2.8361859999999999E-2</v>
      </c>
      <c r="Z35">
        <v>-4.3868439999999998E-4</v>
      </c>
      <c r="AA35">
        <v>0.99959759999999998</v>
      </c>
      <c r="AB35">
        <v>3</v>
      </c>
      <c r="AC35">
        <v>37.828600000000002</v>
      </c>
      <c r="AD35">
        <v>-1.1593450000000001</v>
      </c>
      <c r="AE35">
        <v>-1.0690999999999899</v>
      </c>
      <c r="AF35">
        <v>1.0738308746802401</v>
      </c>
      <c r="AG35">
        <v>-1.1593450000000001</v>
      </c>
      <c r="AH35">
        <v>37.7929683661865</v>
      </c>
      <c r="AI35">
        <v>91.756357909598606</v>
      </c>
      <c r="AJ35">
        <v>88.372463701593006</v>
      </c>
      <c r="AK35">
        <v>37.825991745148102</v>
      </c>
      <c r="AL35">
        <v>80.049627890912703</v>
      </c>
      <c r="AM35">
        <v>88.553019214541393</v>
      </c>
      <c r="AN35">
        <v>0.99999999070245105</v>
      </c>
    </row>
    <row r="36" spans="1:40" x14ac:dyDescent="0.25">
      <c r="A36" t="str">
        <f>"20190312172609821"</f>
        <v>20190312172609821</v>
      </c>
      <c r="B36" t="str">
        <f>"1552382769818309"</f>
        <v>1552382769818309</v>
      </c>
      <c r="C36" t="s">
        <v>40</v>
      </c>
      <c r="D36">
        <v>3.09538</v>
      </c>
      <c r="E36">
        <v>0.50262700000000005</v>
      </c>
      <c r="F36" t="s">
        <v>43</v>
      </c>
      <c r="G36">
        <v>-437.09010000000001</v>
      </c>
      <c r="H36">
        <v>-0.05</v>
      </c>
      <c r="I36">
        <v>366.14389999999997</v>
      </c>
      <c r="J36">
        <v>-475.91489999999999</v>
      </c>
      <c r="K36">
        <v>1.109105</v>
      </c>
      <c r="L36">
        <v>367.21629999999999</v>
      </c>
      <c r="M36">
        <v>0.99998799999999999</v>
      </c>
      <c r="N36">
        <v>0</v>
      </c>
      <c r="O36">
        <v>1.8867309999999999E-4</v>
      </c>
      <c r="P36">
        <v>0.98536990000000002</v>
      </c>
      <c r="Q36">
        <v>0.16869129999999999</v>
      </c>
      <c r="R36">
        <v>-2.4292609999999999E-2</v>
      </c>
      <c r="S36">
        <v>3.0569459999999999</v>
      </c>
      <c r="T36">
        <v>-9.1192010000000004E-2</v>
      </c>
      <c r="U36">
        <v>-8.4350590000000003E-2</v>
      </c>
      <c r="V36">
        <v>2.447833E-2</v>
      </c>
      <c r="W36">
        <v>0.17353859999999999</v>
      </c>
      <c r="X36">
        <v>0.98452280000000003</v>
      </c>
      <c r="Y36">
        <v>2.7758769999999999E-2</v>
      </c>
      <c r="Z36">
        <v>-4.194925E-4</v>
      </c>
      <c r="AA36">
        <v>0.99961449999999996</v>
      </c>
      <c r="AB36">
        <v>3</v>
      </c>
      <c r="AC36">
        <v>38.824799999999897</v>
      </c>
      <c r="AD36">
        <v>-1.1591049999999901</v>
      </c>
      <c r="AE36">
        <v>-1.07240000000001</v>
      </c>
      <c r="AF36">
        <v>1.0787644872145301</v>
      </c>
      <c r="AG36">
        <v>-1.1591049999999901</v>
      </c>
      <c r="AH36">
        <v>38.790049505750098</v>
      </c>
      <c r="AI36">
        <v>91.710913631169007</v>
      </c>
      <c r="AJ36">
        <v>88.406995458803905</v>
      </c>
      <c r="AK36">
        <v>38.822354357746597</v>
      </c>
      <c r="AL36">
        <v>80.006375017991203</v>
      </c>
      <c r="AM36">
        <v>88.5757403409592</v>
      </c>
      <c r="AN36">
        <v>0.999999989024694</v>
      </c>
    </row>
    <row r="37" spans="1:40" x14ac:dyDescent="0.25">
      <c r="A37" t="str">
        <f>"20190312172609844"</f>
        <v>20190312172609844</v>
      </c>
      <c r="B37" t="str">
        <f>"1552382769838809"</f>
        <v>1552382769838809</v>
      </c>
      <c r="C37" t="s">
        <v>40</v>
      </c>
      <c r="D37">
        <v>3.068044</v>
      </c>
      <c r="E37">
        <v>0.50252719999999995</v>
      </c>
      <c r="F37" t="s">
        <v>43</v>
      </c>
      <c r="G37">
        <v>-434.89729999999997</v>
      </c>
      <c r="H37">
        <v>-0.05</v>
      </c>
      <c r="I37">
        <v>366.11540000000002</v>
      </c>
      <c r="J37">
        <v>-475.87299999999999</v>
      </c>
      <c r="K37">
        <v>1.109113</v>
      </c>
      <c r="L37">
        <v>367.21640000000002</v>
      </c>
      <c r="M37">
        <v>0.99998960000000003</v>
      </c>
      <c r="N37">
        <v>0</v>
      </c>
      <c r="O37">
        <v>2.2793330000000001E-4</v>
      </c>
      <c r="P37">
        <v>0.98530450000000003</v>
      </c>
      <c r="Q37">
        <v>0.1691221</v>
      </c>
      <c r="R37">
        <v>-2.3936099999999998E-2</v>
      </c>
      <c r="S37">
        <v>3.0572810000000001</v>
      </c>
      <c r="T37">
        <v>-8.6394910000000005E-2</v>
      </c>
      <c r="U37">
        <v>-8.2061770000000006E-2</v>
      </c>
      <c r="V37">
        <v>2.415983E-2</v>
      </c>
      <c r="W37">
        <v>0.17363580000000001</v>
      </c>
      <c r="X37">
        <v>0.98451350000000004</v>
      </c>
      <c r="Y37">
        <v>2.7048719999999998E-2</v>
      </c>
      <c r="Z37">
        <v>-3.88475E-4</v>
      </c>
      <c r="AA37">
        <v>0.99963400000000002</v>
      </c>
      <c r="AB37">
        <v>4</v>
      </c>
      <c r="AC37">
        <v>40.975700000000003</v>
      </c>
      <c r="AD37">
        <v>-1.1591129999999901</v>
      </c>
      <c r="AE37">
        <v>-1.10099999999999</v>
      </c>
      <c r="AF37">
        <v>1.10945265079809</v>
      </c>
      <c r="AG37">
        <v>-1.1591129999999901</v>
      </c>
      <c r="AH37">
        <v>40.942709240637598</v>
      </c>
      <c r="AI37">
        <v>91.621050484216994</v>
      </c>
      <c r="AJ37">
        <v>88.447796842319804</v>
      </c>
      <c r="AK37">
        <v>40.974136575338903</v>
      </c>
      <c r="AL37">
        <v>80.000719724117701</v>
      </c>
      <c r="AM37">
        <v>88.594251349119602</v>
      </c>
      <c r="AN37">
        <v>0.999999960054758</v>
      </c>
    </row>
    <row r="38" spans="1:40" x14ac:dyDescent="0.25">
      <c r="A38" t="str">
        <f>"20190312172609887"</f>
        <v>20190312172609887</v>
      </c>
      <c r="B38" t="str">
        <f>"1552382769878825"</f>
        <v>1552382769878825</v>
      </c>
      <c r="C38" t="s">
        <v>40</v>
      </c>
      <c r="D38">
        <v>3.1067239999999998</v>
      </c>
      <c r="E38">
        <v>0.50240959999999901</v>
      </c>
      <c r="F38" t="s">
        <v>43</v>
      </c>
      <c r="G38">
        <v>-434.3485</v>
      </c>
      <c r="H38">
        <v>-0.05</v>
      </c>
      <c r="I38">
        <v>366.1259</v>
      </c>
      <c r="J38">
        <v>-475.80509999999998</v>
      </c>
      <c r="K38">
        <v>1.110082</v>
      </c>
      <c r="L38">
        <v>367.2165</v>
      </c>
      <c r="M38">
        <v>0.9999692</v>
      </c>
      <c r="N38">
        <v>0</v>
      </c>
      <c r="O38">
        <v>2.779983E-4</v>
      </c>
      <c r="P38">
        <v>0.98585650000000002</v>
      </c>
      <c r="Q38">
        <v>0.16600000000000001</v>
      </c>
      <c r="R38">
        <v>-2.304397E-2</v>
      </c>
      <c r="S38">
        <v>3.0574340000000002</v>
      </c>
      <c r="T38">
        <v>-8.5345030000000002E-2</v>
      </c>
      <c r="U38">
        <v>-8.0291749999999995E-2</v>
      </c>
      <c r="V38">
        <v>2.332184E-2</v>
      </c>
      <c r="W38">
        <v>0.17374899999999999</v>
      </c>
      <c r="X38">
        <v>0.98451379999999999</v>
      </c>
      <c r="Y38">
        <v>2.6519580000000001E-2</v>
      </c>
      <c r="Z38">
        <v>-3.7775459999999999E-4</v>
      </c>
      <c r="AA38">
        <v>0.99964819999999999</v>
      </c>
      <c r="AB38">
        <v>4</v>
      </c>
      <c r="AC38">
        <v>41.456599999999902</v>
      </c>
      <c r="AD38">
        <v>-1.1600820000000001</v>
      </c>
      <c r="AE38">
        <v>-1.09059999999999</v>
      </c>
      <c r="AF38">
        <v>1.10126342773191</v>
      </c>
      <c r="AG38">
        <v>-1.1600820000000001</v>
      </c>
      <c r="AH38">
        <v>41.4238806279279</v>
      </c>
      <c r="AI38">
        <v>91.603591333615498</v>
      </c>
      <c r="AJ38">
        <v>88.477137182879403</v>
      </c>
      <c r="AK38">
        <v>41.454751931000601</v>
      </c>
      <c r="AL38">
        <v>79.994134368603994</v>
      </c>
      <c r="AM38">
        <v>88.642991961516898</v>
      </c>
      <c r="AN38">
        <v>1.00000002280621</v>
      </c>
    </row>
    <row r="39" spans="1:40" x14ac:dyDescent="0.25">
      <c r="A39" t="str">
        <f>"20190312172609910"</f>
        <v>20190312172609910</v>
      </c>
      <c r="B39" t="str">
        <f>"1552382769898349"</f>
        <v>1552382769898349</v>
      </c>
      <c r="C39" t="s">
        <v>40</v>
      </c>
      <c r="D39">
        <v>3.0899510000000001</v>
      </c>
      <c r="E39">
        <v>0.50235240000000003</v>
      </c>
      <c r="F39" t="s">
        <v>41</v>
      </c>
      <c r="G39">
        <v>-440.74349999999998</v>
      </c>
      <c r="H39" s="1">
        <v>-4.9389079999999996E-6</v>
      </c>
      <c r="I39">
        <v>366.33080000000001</v>
      </c>
      <c r="J39">
        <v>-475.76760000000002</v>
      </c>
      <c r="K39">
        <v>1.1099779999999999</v>
      </c>
      <c r="L39">
        <v>367.21660000000003</v>
      </c>
      <c r="M39">
        <v>0.99996929999999995</v>
      </c>
      <c r="N39">
        <v>0</v>
      </c>
      <c r="O39">
        <v>3.0941349999999998E-4</v>
      </c>
      <c r="P39">
        <v>0.98595889999999997</v>
      </c>
      <c r="Q39">
        <v>0.16535449999999999</v>
      </c>
      <c r="R39">
        <v>-2.3308490000000001E-2</v>
      </c>
      <c r="S39">
        <v>3.0574949999999999</v>
      </c>
      <c r="T39">
        <v>-9.6803429999999996E-2</v>
      </c>
      <c r="U39">
        <v>-7.7239989999999994E-2</v>
      </c>
      <c r="V39">
        <v>2.3616930000000001E-2</v>
      </c>
      <c r="W39">
        <v>0.1730891</v>
      </c>
      <c r="X39">
        <v>0.98462300000000003</v>
      </c>
      <c r="Y39">
        <v>2.5550819999999998E-2</v>
      </c>
      <c r="Z39">
        <v>-4.1410950000000002E-4</v>
      </c>
      <c r="AA39">
        <v>0.99967340000000005</v>
      </c>
      <c r="AB39">
        <v>4</v>
      </c>
      <c r="AC39">
        <v>35.024099999999997</v>
      </c>
      <c r="AD39">
        <v>-1.109982938908</v>
      </c>
      <c r="AE39">
        <v>-0.88580000000001702</v>
      </c>
      <c r="AF39">
        <v>0.895738131569771</v>
      </c>
      <c r="AG39">
        <v>-1.109982938908</v>
      </c>
      <c r="AH39">
        <v>34.988704698072702</v>
      </c>
      <c r="AI39">
        <v>91.816449233799304</v>
      </c>
      <c r="AJ39">
        <v>88.533503678135304</v>
      </c>
      <c r="AK39">
        <v>35.017764996840498</v>
      </c>
      <c r="AL39">
        <v>80.032525563997297</v>
      </c>
      <c r="AM39">
        <v>88.625980698250103</v>
      </c>
      <c r="AN39">
        <v>1.00000002402521</v>
      </c>
    </row>
    <row r="40" spans="1:40" x14ac:dyDescent="0.25">
      <c r="A40" t="str">
        <f>"20190312172609932"</f>
        <v>20190312172609932</v>
      </c>
      <c r="B40" t="str">
        <f>"1552382769928603"</f>
        <v>1552382769928603</v>
      </c>
      <c r="C40" t="s">
        <v>40</v>
      </c>
      <c r="D40">
        <v>3.0816330000000001</v>
      </c>
      <c r="E40">
        <v>0.50227370000000005</v>
      </c>
      <c r="F40" t="s">
        <v>41</v>
      </c>
      <c r="G40">
        <v>-441.66140000000001</v>
      </c>
      <c r="H40" s="1">
        <v>-4.5009719999999998E-6</v>
      </c>
      <c r="I40">
        <v>366.35329999999999</v>
      </c>
      <c r="J40">
        <v>-475.72460000000001</v>
      </c>
      <c r="K40">
        <v>1.109575</v>
      </c>
      <c r="L40">
        <v>367.21660000000003</v>
      </c>
      <c r="M40">
        <v>0.99997760000000002</v>
      </c>
      <c r="N40">
        <v>0</v>
      </c>
      <c r="O40">
        <v>3.5678130000000002E-4</v>
      </c>
      <c r="P40">
        <v>0.98585250000000002</v>
      </c>
      <c r="Q40">
        <v>0.16599810000000001</v>
      </c>
      <c r="R40">
        <v>-2.322625E-2</v>
      </c>
      <c r="S40">
        <v>3.057617</v>
      </c>
      <c r="T40">
        <v>-9.9510070000000006E-2</v>
      </c>
      <c r="U40">
        <v>-7.7392580000000002E-2</v>
      </c>
      <c r="V40">
        <v>2.358064E-2</v>
      </c>
      <c r="W40">
        <v>0.1725814</v>
      </c>
      <c r="X40">
        <v>0.98471299999999995</v>
      </c>
      <c r="Y40">
        <v>2.5646209999999999E-2</v>
      </c>
      <c r="Z40">
        <v>-4.287572E-4</v>
      </c>
      <c r="AA40">
        <v>0.99967099999999998</v>
      </c>
      <c r="AB40">
        <v>4</v>
      </c>
      <c r="AC40">
        <v>34.063199999999902</v>
      </c>
      <c r="AD40">
        <v>-1.109579500972</v>
      </c>
      <c r="AE40">
        <v>-0.86330000000003704</v>
      </c>
      <c r="AF40">
        <v>0.874525987541657</v>
      </c>
      <c r="AG40">
        <v>-1.109579500972</v>
      </c>
      <c r="AH40">
        <v>34.026808006669498</v>
      </c>
      <c r="AI40">
        <v>91.8670790054191</v>
      </c>
      <c r="AJ40">
        <v>88.527760231270406</v>
      </c>
      <c r="AK40">
        <v>34.056124639991197</v>
      </c>
      <c r="AL40">
        <v>80.062059241561201</v>
      </c>
      <c r="AM40">
        <v>88.628216562590197</v>
      </c>
      <c r="AN40">
        <v>1.0000000392888799</v>
      </c>
    </row>
    <row r="41" spans="1:40" x14ac:dyDescent="0.25">
      <c r="A41" t="str">
        <f>"20190312172609953"</f>
        <v>20190312172609953</v>
      </c>
      <c r="B41" t="str">
        <f>"1552382769948121"</f>
        <v>1552382769948121</v>
      </c>
      <c r="C41" t="s">
        <v>40</v>
      </c>
      <c r="D41">
        <v>3.116282</v>
      </c>
      <c r="E41">
        <v>0.50225739999999996</v>
      </c>
      <c r="F41" t="s">
        <v>41</v>
      </c>
      <c r="G41">
        <v>-441.32799999999997</v>
      </c>
      <c r="H41" s="1">
        <v>-4.6578690000000001E-6</v>
      </c>
      <c r="I41">
        <v>366.35739999999998</v>
      </c>
      <c r="J41">
        <v>-475.68029999999999</v>
      </c>
      <c r="K41">
        <v>1.1092709999999999</v>
      </c>
      <c r="L41">
        <v>367.21660000000003</v>
      </c>
      <c r="M41">
        <v>0.99998430000000005</v>
      </c>
      <c r="N41">
        <v>0</v>
      </c>
      <c r="O41">
        <v>4.0970930000000001E-4</v>
      </c>
      <c r="P41">
        <v>0.98577919999999997</v>
      </c>
      <c r="Q41">
        <v>0.16646340000000001</v>
      </c>
      <c r="R41">
        <v>-2.3016229999999999E-2</v>
      </c>
      <c r="S41">
        <v>3.0578310000000002</v>
      </c>
      <c r="T41">
        <v>-9.8640679999999994E-2</v>
      </c>
      <c r="U41">
        <v>-7.6385499999999995E-2</v>
      </c>
      <c r="V41">
        <v>2.342114E-2</v>
      </c>
      <c r="W41">
        <v>0.17198729999999901</v>
      </c>
      <c r="X41">
        <v>0.98482069999999999</v>
      </c>
      <c r="Y41">
        <v>2.5368680000000001E-2</v>
      </c>
      <c r="Z41">
        <v>-4.2221739999999999E-4</v>
      </c>
      <c r="AA41">
        <v>0.99967810000000001</v>
      </c>
      <c r="AB41">
        <v>4</v>
      </c>
      <c r="AC41">
        <v>34.3522999999999</v>
      </c>
      <c r="AD41">
        <v>-1.109275657869</v>
      </c>
      <c r="AE41">
        <v>-0.85920000000004304</v>
      </c>
      <c r="AF41">
        <v>0.87236554094001195</v>
      </c>
      <c r="AG41">
        <v>-1.109275657869</v>
      </c>
      <c r="AH41">
        <v>34.3161853176086</v>
      </c>
      <c r="AI41">
        <v>91.850852135338897</v>
      </c>
      <c r="AJ41">
        <v>88.543774598026999</v>
      </c>
      <c r="AK41">
        <v>34.345190185448303</v>
      </c>
      <c r="AL41">
        <v>80.096614940738107</v>
      </c>
      <c r="AM41">
        <v>88.637640775955106</v>
      </c>
      <c r="AN41">
        <v>0.99999999615433899</v>
      </c>
    </row>
    <row r="42" spans="1:40" x14ac:dyDescent="0.25">
      <c r="A42" t="str">
        <f>"20190312172609976"</f>
        <v>20190312172609976</v>
      </c>
      <c r="B42" t="str">
        <f>"1552382769968617"</f>
        <v>1552382769968617</v>
      </c>
      <c r="C42" t="s">
        <v>40</v>
      </c>
      <c r="D42">
        <v>3.128034</v>
      </c>
      <c r="E42">
        <v>0.50218059999999998</v>
      </c>
      <c r="F42" t="s">
        <v>41</v>
      </c>
      <c r="G42">
        <v>-441.09530000000001</v>
      </c>
      <c r="H42" s="1">
        <v>-4.7672550000000003E-6</v>
      </c>
      <c r="I42">
        <v>366.36070000000001</v>
      </c>
      <c r="J42">
        <v>-475.63369999999998</v>
      </c>
      <c r="K42">
        <v>1.1092470000000001</v>
      </c>
      <c r="L42">
        <v>367.21679999999998</v>
      </c>
      <c r="M42">
        <v>0.99998580000000004</v>
      </c>
      <c r="N42">
        <v>0</v>
      </c>
      <c r="O42">
        <v>4.6357530000000003E-4</v>
      </c>
      <c r="P42">
        <v>0.9857553</v>
      </c>
      <c r="Q42">
        <v>0.16656799999999999</v>
      </c>
      <c r="R42">
        <v>-2.328218E-2</v>
      </c>
      <c r="S42">
        <v>3.0581049999999999</v>
      </c>
      <c r="T42">
        <v>-9.8085519999999995E-2</v>
      </c>
      <c r="U42">
        <v>-7.5683589999999995E-2</v>
      </c>
      <c r="V42">
        <v>2.3739380000000001E-2</v>
      </c>
      <c r="W42">
        <v>0.17182430000000001</v>
      </c>
      <c r="X42">
        <v>0.98484150000000004</v>
      </c>
      <c r="Y42">
        <v>2.51912E-2</v>
      </c>
      <c r="Z42">
        <v>-4.186878E-4</v>
      </c>
      <c r="AA42">
        <v>0.99968250000000003</v>
      </c>
      <c r="AB42">
        <v>5</v>
      </c>
      <c r="AC42">
        <v>34.538399999999903</v>
      </c>
      <c r="AD42">
        <v>-1.109251767255</v>
      </c>
      <c r="AE42">
        <v>-0.856099999999969</v>
      </c>
      <c r="AF42">
        <v>0.87121320587380402</v>
      </c>
      <c r="AG42">
        <v>-1.109251767255</v>
      </c>
      <c r="AH42">
        <v>34.502433106521401</v>
      </c>
      <c r="AI42">
        <v>91.840836260039197</v>
      </c>
      <c r="AJ42">
        <v>88.553544480907703</v>
      </c>
      <c r="AK42">
        <v>34.5312516744359</v>
      </c>
      <c r="AL42">
        <v>80.106094963426301</v>
      </c>
      <c r="AM42">
        <v>88.619165686016501</v>
      </c>
      <c r="AN42">
        <v>0.99999996417776105</v>
      </c>
    </row>
    <row r="43" spans="1:40" x14ac:dyDescent="0.25">
      <c r="A43" t="str">
        <f>"20190312172609999"</f>
        <v>20190312172609999</v>
      </c>
      <c r="B43" t="str">
        <f>"1552382769989113"</f>
        <v>1552382769989113</v>
      </c>
      <c r="C43" t="s">
        <v>40</v>
      </c>
      <c r="D43">
        <v>3.1290399999999998</v>
      </c>
      <c r="E43">
        <v>0.50216149999999904</v>
      </c>
      <c r="F43" t="s">
        <v>41</v>
      </c>
      <c r="G43">
        <v>-441.0985</v>
      </c>
      <c r="H43" s="1">
        <v>-4.7658180000000003E-6</v>
      </c>
      <c r="I43">
        <v>366.36040000000003</v>
      </c>
      <c r="J43">
        <v>-475.59120000000001</v>
      </c>
      <c r="K43">
        <v>1.109653</v>
      </c>
      <c r="L43">
        <v>367.21679999999998</v>
      </c>
      <c r="M43">
        <v>0.99997780000000003</v>
      </c>
      <c r="N43">
        <v>0</v>
      </c>
      <c r="O43">
        <v>5.0259719999999999E-4</v>
      </c>
      <c r="P43">
        <v>0.98587749999999996</v>
      </c>
      <c r="Q43">
        <v>0.1658599</v>
      </c>
      <c r="R43">
        <v>-2.315325E-2</v>
      </c>
      <c r="S43">
        <v>3.0581670000000001</v>
      </c>
      <c r="T43">
        <v>-9.8226549999999996E-2</v>
      </c>
      <c r="U43">
        <v>-7.5836180000000003E-2</v>
      </c>
      <c r="V43">
        <v>2.3650279999999999E-2</v>
      </c>
      <c r="W43">
        <v>0.1724067</v>
      </c>
      <c r="X43">
        <v>0.98474189999999995</v>
      </c>
      <c r="Y43">
        <v>2.527946E-2</v>
      </c>
      <c r="Z43">
        <v>-4.2195079999999999E-4</v>
      </c>
      <c r="AA43">
        <v>0.99968029999999997</v>
      </c>
      <c r="AB43">
        <v>5</v>
      </c>
      <c r="AC43">
        <v>34.492699999999999</v>
      </c>
      <c r="AD43">
        <v>-1.109657765818</v>
      </c>
      <c r="AE43">
        <v>-0.85639999999995098</v>
      </c>
      <c r="AF43">
        <v>0.87283341745478504</v>
      </c>
      <c r="AG43">
        <v>-1.109657765818</v>
      </c>
      <c r="AH43">
        <v>34.4566259362201</v>
      </c>
      <c r="AI43">
        <v>91.8439522517683</v>
      </c>
      <c r="AJ43">
        <v>88.548929934604601</v>
      </c>
      <c r="AK43">
        <v>34.4855368153152</v>
      </c>
      <c r="AL43">
        <v>80.072220818986494</v>
      </c>
      <c r="AM43">
        <v>88.624207232540698</v>
      </c>
      <c r="AN43">
        <v>1.0000000077822799</v>
      </c>
    </row>
    <row r="44" spans="1:40" x14ac:dyDescent="0.25">
      <c r="A44" t="str">
        <f>"20190312172610022"</f>
        <v>20190312172610022</v>
      </c>
      <c r="B44" t="str">
        <f>"1552382770018393"</f>
        <v>1552382770018393</v>
      </c>
      <c r="C44" t="s">
        <v>40</v>
      </c>
      <c r="D44">
        <v>3.154258</v>
      </c>
      <c r="E44">
        <v>0.50215659999999995</v>
      </c>
      <c r="F44" t="s">
        <v>41</v>
      </c>
      <c r="G44">
        <v>-442.12619999999998</v>
      </c>
      <c r="H44" s="1">
        <v>-4.2738849999999997E-6</v>
      </c>
      <c r="I44">
        <v>366.39499999999998</v>
      </c>
      <c r="J44">
        <v>-475.55410000000001</v>
      </c>
      <c r="K44">
        <v>1.1101829999999999</v>
      </c>
      <c r="L44">
        <v>367.21690000000001</v>
      </c>
      <c r="M44">
        <v>0.99996200000000002</v>
      </c>
      <c r="N44">
        <v>0</v>
      </c>
      <c r="O44">
        <v>5.2898259999999999E-4</v>
      </c>
      <c r="P44">
        <v>0.9862554</v>
      </c>
      <c r="Q44">
        <v>0.16356860000000001</v>
      </c>
      <c r="R44">
        <v>-2.3359330000000001E-2</v>
      </c>
      <c r="S44">
        <v>3.0582280000000002</v>
      </c>
      <c r="T44">
        <v>-0.10140680000000001</v>
      </c>
      <c r="U44">
        <v>-7.5103760000000006E-2</v>
      </c>
      <c r="V44">
        <v>2.3885549999999998E-2</v>
      </c>
      <c r="W44">
        <v>0.17214979999999999</v>
      </c>
      <c r="X44">
        <v>0.98478109999999996</v>
      </c>
      <c r="Y44">
        <v>2.5065319999999999E-2</v>
      </c>
      <c r="Z44">
        <v>-4.3292340000000002E-4</v>
      </c>
      <c r="AA44">
        <v>0.99968570000000001</v>
      </c>
      <c r="AB44">
        <v>4</v>
      </c>
      <c r="AC44">
        <v>33.427900000000001</v>
      </c>
      <c r="AD44">
        <v>-1.1101872738849901</v>
      </c>
      <c r="AE44">
        <v>-0.82190000000002705</v>
      </c>
      <c r="AF44">
        <v>0.83865885269372598</v>
      </c>
      <c r="AG44">
        <v>-1.1101872738849901</v>
      </c>
      <c r="AH44">
        <v>33.390652999297401</v>
      </c>
      <c r="AI44">
        <v>91.9036941181852</v>
      </c>
      <c r="AJ44">
        <v>88.561228730579998</v>
      </c>
      <c r="AK44">
        <v>33.419628546316702</v>
      </c>
      <c r="AL44">
        <v>80.087162884743705</v>
      </c>
      <c r="AM44">
        <v>88.610581646110305</v>
      </c>
      <c r="AN44">
        <v>0.99999994402802395</v>
      </c>
    </row>
    <row r="45" spans="1:40" x14ac:dyDescent="0.25">
      <c r="A45" t="str">
        <f>"20190312172610046"</f>
        <v>20190312172610046</v>
      </c>
      <c r="B45" t="str">
        <f>"1552382770038889"</f>
        <v>1552382770038889</v>
      </c>
      <c r="C45" t="s">
        <v>40</v>
      </c>
      <c r="D45">
        <v>3.1346419999999999</v>
      </c>
      <c r="E45">
        <v>0.50217789999999995</v>
      </c>
      <c r="F45" t="s">
        <v>41</v>
      </c>
      <c r="G45">
        <v>-444.63889999999998</v>
      </c>
      <c r="H45" s="1">
        <v>-3.0753410000000001E-6</v>
      </c>
      <c r="I45">
        <v>366.45580000000001</v>
      </c>
      <c r="J45">
        <v>-475.50959999999998</v>
      </c>
      <c r="K45">
        <v>1.110196</v>
      </c>
      <c r="L45">
        <v>367.21690000000001</v>
      </c>
      <c r="M45">
        <v>0.99995670000000003</v>
      </c>
      <c r="N45">
        <v>0</v>
      </c>
      <c r="O45">
        <v>5.6202699999999999E-4</v>
      </c>
      <c r="P45">
        <v>0.9863961</v>
      </c>
      <c r="Q45">
        <v>0.1627207</v>
      </c>
      <c r="R45">
        <v>-2.334164E-2</v>
      </c>
      <c r="S45">
        <v>3.0582280000000002</v>
      </c>
      <c r="T45">
        <v>-0.109823</v>
      </c>
      <c r="U45">
        <v>-7.5286870000000006E-2</v>
      </c>
      <c r="V45">
        <v>2.3901499999999999E-2</v>
      </c>
      <c r="W45">
        <v>0.17187729999999901</v>
      </c>
      <c r="X45">
        <v>0.98482840000000005</v>
      </c>
      <c r="Y45">
        <v>2.515566E-2</v>
      </c>
      <c r="Z45">
        <v>-4.7163860000000001E-4</v>
      </c>
      <c r="AA45">
        <v>0.9996834</v>
      </c>
      <c r="AB45">
        <v>4</v>
      </c>
      <c r="AC45">
        <v>30.870699999999999</v>
      </c>
      <c r="AD45">
        <v>-1.110199075341</v>
      </c>
      <c r="AE45">
        <v>-0.761099999999999</v>
      </c>
      <c r="AF45">
        <v>0.77744591328406798</v>
      </c>
      <c r="AG45">
        <v>-1.110199075341</v>
      </c>
      <c r="AH45">
        <v>30.830417718445499</v>
      </c>
      <c r="AI45">
        <v>92.061667161634404</v>
      </c>
      <c r="AJ45">
        <v>88.555487250452899</v>
      </c>
      <c r="AK45">
        <v>30.860194763300001</v>
      </c>
      <c r="AL45">
        <v>80.103013113096594</v>
      </c>
      <c r="AM45">
        <v>88.609720951653102</v>
      </c>
      <c r="AN45">
        <v>1.00000003270204</v>
      </c>
    </row>
    <row r="46" spans="1:40" x14ac:dyDescent="0.25">
      <c r="A46" t="str">
        <f>"20190312172610070"</f>
        <v>20190312172610070</v>
      </c>
      <c r="B46" t="str">
        <f>"1552382770058409"</f>
        <v>1552382770058409</v>
      </c>
      <c r="C46" t="s">
        <v>40</v>
      </c>
      <c r="D46">
        <v>3.1452140000000002</v>
      </c>
      <c r="E46">
        <v>0.50216740000000004</v>
      </c>
      <c r="F46" t="s">
        <v>41</v>
      </c>
      <c r="G46">
        <v>-445.61599999999999</v>
      </c>
      <c r="H46" s="1">
        <v>-2.6096310000000002E-6</v>
      </c>
      <c r="I46">
        <v>366.47719999999998</v>
      </c>
      <c r="J46">
        <v>-475.46269999999998</v>
      </c>
      <c r="K46">
        <v>1.109729</v>
      </c>
      <c r="L46">
        <v>367.21699999999998</v>
      </c>
      <c r="M46">
        <v>0.99996779999999996</v>
      </c>
      <c r="N46">
        <v>0</v>
      </c>
      <c r="O46">
        <v>6.0853760000000002E-4</v>
      </c>
      <c r="P46">
        <v>0.9861801</v>
      </c>
      <c r="Q46">
        <v>0.16407330000000001</v>
      </c>
      <c r="R46">
        <v>-2.2999829999999999E-2</v>
      </c>
      <c r="S46">
        <v>3.058319</v>
      </c>
      <c r="T46">
        <v>-0.1135811</v>
      </c>
      <c r="U46">
        <v>-7.5683589999999995E-2</v>
      </c>
      <c r="V46">
        <v>2.3604730000000001E-2</v>
      </c>
      <c r="W46">
        <v>0.17197029999999999</v>
      </c>
      <c r="X46">
        <v>0.98481929999999995</v>
      </c>
      <c r="Y46">
        <v>2.532972E-2</v>
      </c>
      <c r="Z46">
        <v>-4.9270839999999896E-4</v>
      </c>
      <c r="AA46">
        <v>0.99967899999999998</v>
      </c>
      <c r="AB46">
        <v>4</v>
      </c>
      <c r="AC46">
        <v>29.846699999999998</v>
      </c>
      <c r="AD46">
        <v>-1.1097316096309999</v>
      </c>
      <c r="AE46">
        <v>-0.73980000000000201</v>
      </c>
      <c r="AF46">
        <v>0.75691754036644299</v>
      </c>
      <c r="AG46">
        <v>-1.1097316096309999</v>
      </c>
      <c r="AH46">
        <v>29.8050661324644</v>
      </c>
      <c r="AI46">
        <v>92.131621348429704</v>
      </c>
      <c r="AJ46">
        <v>88.545251982502293</v>
      </c>
      <c r="AK46">
        <v>29.835321274772699</v>
      </c>
      <c r="AL46">
        <v>80.097603844428903</v>
      </c>
      <c r="AM46">
        <v>88.626963846711305</v>
      </c>
      <c r="AN46">
        <v>1.0000000105064699</v>
      </c>
    </row>
    <row r="47" spans="1:40" x14ac:dyDescent="0.25">
      <c r="A47" t="str">
        <f>"20190312172610091"</f>
        <v>20190312172610091</v>
      </c>
      <c r="B47" t="str">
        <f>"1552382770088666"</f>
        <v>1552382770088666</v>
      </c>
      <c r="C47" t="s">
        <v>40</v>
      </c>
      <c r="D47">
        <v>3.1536840000000002</v>
      </c>
      <c r="E47">
        <v>0.50214269999999905</v>
      </c>
      <c r="F47" t="s">
        <v>41</v>
      </c>
      <c r="G47">
        <v>-444.63850000000002</v>
      </c>
      <c r="H47" s="1">
        <v>-3.0742109999999998E-6</v>
      </c>
      <c r="I47">
        <v>366.46319999999997</v>
      </c>
      <c r="J47">
        <v>-475.41329999999999</v>
      </c>
      <c r="K47">
        <v>1.1093550000000001</v>
      </c>
      <c r="L47">
        <v>367.21710000000002</v>
      </c>
      <c r="M47">
        <v>0.99997740000000002</v>
      </c>
      <c r="N47">
        <v>0</v>
      </c>
      <c r="O47">
        <v>6.6448609999999997E-4</v>
      </c>
      <c r="P47">
        <v>0.98597650000000003</v>
      </c>
      <c r="Q47">
        <v>0.165296</v>
      </c>
      <c r="R47">
        <v>-2.2974919999999999E-2</v>
      </c>
      <c r="S47">
        <v>3.058624</v>
      </c>
      <c r="T47">
        <v>-0.1101164</v>
      </c>
      <c r="U47">
        <v>-7.4798580000000003E-2</v>
      </c>
      <c r="V47">
        <v>2.363322E-2</v>
      </c>
      <c r="W47">
        <v>0.17190359999999999</v>
      </c>
      <c r="X47">
        <v>0.98483030000000005</v>
      </c>
      <c r="Y47">
        <v>2.5095280000000001E-2</v>
      </c>
      <c r="Z47">
        <v>-4.7543759999999998E-4</v>
      </c>
      <c r="AA47">
        <v>0.99968489999999999</v>
      </c>
      <c r="AB47">
        <v>5</v>
      </c>
      <c r="AC47">
        <v>30.7747999999999</v>
      </c>
      <c r="AD47">
        <v>-1.1093580742110001</v>
      </c>
      <c r="AE47">
        <v>-0.75390000000004398</v>
      </c>
      <c r="AF47">
        <v>0.77334541220957298</v>
      </c>
      <c r="AG47">
        <v>-1.1093580742110001</v>
      </c>
      <c r="AH47">
        <v>30.734379004862799</v>
      </c>
      <c r="AI47">
        <v>92.066541430714395</v>
      </c>
      <c r="AJ47">
        <v>88.558614753636505</v>
      </c>
      <c r="AK47">
        <v>30.764115317654699</v>
      </c>
      <c r="AL47">
        <v>80.101483622846402</v>
      </c>
      <c r="AM47">
        <v>88.625322629140598</v>
      </c>
      <c r="AN47">
        <v>1.0000000482892999</v>
      </c>
    </row>
    <row r="48" spans="1:40" x14ac:dyDescent="0.25">
      <c r="A48" t="str">
        <f>"20190312172610113"</f>
        <v>20190312172610113</v>
      </c>
      <c r="B48" t="str">
        <f>"1552382770108185"</f>
        <v>1552382770108185</v>
      </c>
      <c r="C48" t="s">
        <v>40</v>
      </c>
      <c r="D48">
        <v>3.1757170000000001</v>
      </c>
      <c r="E48">
        <v>0.50211919999999999</v>
      </c>
      <c r="F48" t="s">
        <v>41</v>
      </c>
      <c r="G48">
        <v>-443.66860000000003</v>
      </c>
      <c r="H48" s="1">
        <v>-3.5356219999999998E-6</v>
      </c>
      <c r="I48">
        <v>366.44659999999999</v>
      </c>
      <c r="J48">
        <v>-475.3655</v>
      </c>
      <c r="K48">
        <v>1.1092519999999999</v>
      </c>
      <c r="L48">
        <v>367.21719999999999</v>
      </c>
      <c r="M48">
        <v>0.99998089999999995</v>
      </c>
      <c r="N48">
        <v>0</v>
      </c>
      <c r="O48">
        <v>7.1928849999999996E-4</v>
      </c>
      <c r="P48">
        <v>0.9859021</v>
      </c>
      <c r="Q48">
        <v>0.16575879999999901</v>
      </c>
      <c r="R48">
        <v>-2.2838310000000001E-2</v>
      </c>
      <c r="S48">
        <v>3.0588679999999999</v>
      </c>
      <c r="T48">
        <v>-0.1068959</v>
      </c>
      <c r="U48">
        <v>-7.4249270000000006E-2</v>
      </c>
      <c r="V48">
        <v>2.3549E-2</v>
      </c>
      <c r="W48">
        <v>0.17183880000000001</v>
      </c>
      <c r="X48">
        <v>0.98484360000000004</v>
      </c>
      <c r="Y48">
        <v>2.4969700000000001E-2</v>
      </c>
      <c r="Z48">
        <v>-4.6122680000000002E-4</v>
      </c>
      <c r="AA48">
        <v>0.99968809999999997</v>
      </c>
      <c r="AB48">
        <v>5</v>
      </c>
      <c r="AC48">
        <v>31.6968999999999</v>
      </c>
      <c r="AD48">
        <v>-1.109255535622</v>
      </c>
      <c r="AE48">
        <v>-0.77060000000000095</v>
      </c>
      <c r="AF48">
        <v>0.79242953089664803</v>
      </c>
      <c r="AG48">
        <v>-1.109255535622</v>
      </c>
      <c r="AH48">
        <v>31.657589366167102</v>
      </c>
      <c r="AI48">
        <v>92.006147463955699</v>
      </c>
      <c r="AJ48">
        <v>88.566113543410395</v>
      </c>
      <c r="AK48">
        <v>31.6869272237243</v>
      </c>
      <c r="AL48">
        <v>80.105252214287603</v>
      </c>
      <c r="AM48">
        <v>88.630238089295702</v>
      </c>
      <c r="AN48">
        <v>1.00000002252369</v>
      </c>
    </row>
    <row r="49" spans="1:40" x14ac:dyDescent="0.25">
      <c r="A49" t="str">
        <f>"20190312172610134"</f>
        <v>20190312172610134</v>
      </c>
      <c r="B49" t="str">
        <f>"1552382770128683"</f>
        <v>1552382770128683</v>
      </c>
      <c r="C49" t="s">
        <v>40</v>
      </c>
      <c r="D49">
        <v>3.182045</v>
      </c>
      <c r="E49">
        <v>0.50211410000000001</v>
      </c>
      <c r="F49" t="s">
        <v>41</v>
      </c>
      <c r="G49">
        <v>-443.32389999999998</v>
      </c>
      <c r="H49" s="1">
        <v>-3.69783E-6</v>
      </c>
      <c r="I49">
        <v>366.45060000000001</v>
      </c>
      <c r="J49">
        <v>-475.32279999999997</v>
      </c>
      <c r="K49">
        <v>1.109602</v>
      </c>
      <c r="L49">
        <v>367.21730000000002</v>
      </c>
      <c r="M49">
        <v>0.99997340000000001</v>
      </c>
      <c r="N49">
        <v>0</v>
      </c>
      <c r="O49">
        <v>7.5927329999999997E-4</v>
      </c>
      <c r="P49">
        <v>0.98618899999999998</v>
      </c>
      <c r="Q49">
        <v>0.16404959999999999</v>
      </c>
      <c r="R49">
        <v>-2.278906E-2</v>
      </c>
      <c r="S49">
        <v>3.0589900000000001</v>
      </c>
      <c r="T49">
        <v>-0.10589990000000001</v>
      </c>
      <c r="U49">
        <v>-7.318115E-2</v>
      </c>
      <c r="V49">
        <v>2.3540249999999999E-2</v>
      </c>
      <c r="W49">
        <v>0.17121069999999999</v>
      </c>
      <c r="X49">
        <v>0.98495319999999997</v>
      </c>
      <c r="Y49">
        <v>2.4660310000000001E-2</v>
      </c>
      <c r="Z49">
        <v>-4.5294619999999998E-4</v>
      </c>
      <c r="AA49">
        <v>0.99969580000000002</v>
      </c>
      <c r="AB49">
        <v>5</v>
      </c>
      <c r="AC49">
        <v>31.9988999999999</v>
      </c>
      <c r="AD49">
        <v>-1.10960569783</v>
      </c>
      <c r="AE49">
        <v>-0.76670000000001404</v>
      </c>
      <c r="AF49">
        <v>0.79004688136346601</v>
      </c>
      <c r="AG49">
        <v>-1.10960569783</v>
      </c>
      <c r="AH49">
        <v>31.959900472729</v>
      </c>
      <c r="AI49">
        <v>91.987828621465994</v>
      </c>
      <c r="AJ49">
        <v>88.583940054795804</v>
      </c>
      <c r="AK49">
        <v>31.988914284579099</v>
      </c>
      <c r="AL49">
        <v>80.1417810989457</v>
      </c>
      <c r="AM49">
        <v>88.630899156726699</v>
      </c>
      <c r="AN49">
        <v>1.0000000266773901</v>
      </c>
    </row>
    <row r="50" spans="1:40" x14ac:dyDescent="0.25">
      <c r="A50" t="str">
        <f>"20190312172610156"</f>
        <v>20190312172610156</v>
      </c>
      <c r="B50" t="str">
        <f>"1552382770148201"</f>
        <v>1552382770148201</v>
      </c>
      <c r="C50" t="s">
        <v>40</v>
      </c>
      <c r="D50">
        <v>3.1827040000000002</v>
      </c>
      <c r="E50">
        <v>0.50208940000000002</v>
      </c>
      <c r="F50" t="s">
        <v>41</v>
      </c>
      <c r="G50">
        <v>-444.90660000000003</v>
      </c>
      <c r="H50" s="1">
        <v>-2.9425330000000001E-6</v>
      </c>
      <c r="I50">
        <v>366.49110000000002</v>
      </c>
      <c r="J50">
        <v>-475.28089999999997</v>
      </c>
      <c r="K50">
        <v>1.1101529999999999</v>
      </c>
      <c r="L50">
        <v>367.21730000000002</v>
      </c>
      <c r="M50">
        <v>0.99995599999999996</v>
      </c>
      <c r="N50">
        <v>0</v>
      </c>
      <c r="O50">
        <v>7.8991909999999996E-4</v>
      </c>
      <c r="P50">
        <v>0.98655919999999997</v>
      </c>
      <c r="Q50">
        <v>0.1618116</v>
      </c>
      <c r="R50">
        <v>-2.2759189999999999E-2</v>
      </c>
      <c r="S50">
        <v>3.0588679999999999</v>
      </c>
      <c r="T50">
        <v>-0.11158940000000001</v>
      </c>
      <c r="U50">
        <v>-7.3028560000000006E-2</v>
      </c>
      <c r="V50">
        <v>2.3543459999999999E-2</v>
      </c>
      <c r="W50">
        <v>0.1710303</v>
      </c>
      <c r="X50">
        <v>0.98498450000000004</v>
      </c>
      <c r="Y50">
        <v>2.4640390000000002E-2</v>
      </c>
      <c r="Z50">
        <v>-4.7803940000000001E-4</v>
      </c>
      <c r="AA50">
        <v>0.99969629999999998</v>
      </c>
      <c r="AB50">
        <v>5</v>
      </c>
      <c r="AC50">
        <v>30.374299999999899</v>
      </c>
      <c r="AD50">
        <v>-1.1101559425329901</v>
      </c>
      <c r="AE50">
        <v>-0.72620000000000495</v>
      </c>
      <c r="AF50">
        <v>0.74919382780867305</v>
      </c>
      <c r="AG50">
        <v>-1.1101559425329901</v>
      </c>
      <c r="AH50">
        <v>30.333219588016799</v>
      </c>
      <c r="AI50">
        <v>92.095376209244606</v>
      </c>
      <c r="AJ50">
        <v>88.585151213751701</v>
      </c>
      <c r="AK50">
        <v>30.362772406076701</v>
      </c>
      <c r="AL50">
        <v>80.152272344587104</v>
      </c>
      <c r="AM50">
        <v>88.630756029700393</v>
      </c>
      <c r="AN50">
        <v>1.00000006163355</v>
      </c>
    </row>
    <row r="51" spans="1:40" x14ac:dyDescent="0.25">
      <c r="A51" t="str">
        <f>"20190312172610178"</f>
        <v>20190312172610178</v>
      </c>
      <c r="B51" t="str">
        <f>"1552382770168697"</f>
        <v>1552382770168697</v>
      </c>
      <c r="C51" t="s">
        <v>40</v>
      </c>
      <c r="D51">
        <v>3.1758479999999998</v>
      </c>
      <c r="E51">
        <v>0.50207139999999995</v>
      </c>
      <c r="F51" t="s">
        <v>41</v>
      </c>
      <c r="G51">
        <v>-446.68599999999998</v>
      </c>
      <c r="H51" s="1">
        <v>-2.092989E-6</v>
      </c>
      <c r="I51">
        <v>366.53829999999999</v>
      </c>
      <c r="J51">
        <v>-475.23919999999998</v>
      </c>
      <c r="K51">
        <v>1.110355</v>
      </c>
      <c r="L51">
        <v>367.2174</v>
      </c>
      <c r="M51">
        <v>0.99994490000000003</v>
      </c>
      <c r="N51">
        <v>0</v>
      </c>
      <c r="O51">
        <v>8.1728210000000005E-4</v>
      </c>
      <c r="P51">
        <v>0.98671850000000005</v>
      </c>
      <c r="Q51">
        <v>0.1607991</v>
      </c>
      <c r="R51">
        <v>-2.3031449999999998E-2</v>
      </c>
      <c r="S51">
        <v>3.0586549999999999</v>
      </c>
      <c r="T51">
        <v>-0.1187482</v>
      </c>
      <c r="U51">
        <v>-7.2631840000000003E-2</v>
      </c>
      <c r="V51">
        <v>2.3844170000000001E-2</v>
      </c>
      <c r="W51">
        <v>0.1711309</v>
      </c>
      <c r="X51">
        <v>0.98495969999999999</v>
      </c>
      <c r="Y51">
        <v>2.4537639999999999E-2</v>
      </c>
      <c r="Z51">
        <v>-5.0778949999999998E-4</v>
      </c>
      <c r="AA51">
        <v>0.9996988</v>
      </c>
      <c r="AB51">
        <v>4</v>
      </c>
      <c r="AC51">
        <v>28.5532</v>
      </c>
      <c r="AD51">
        <v>-1.1103570929890001</v>
      </c>
      <c r="AE51">
        <v>-0.67910000000000503</v>
      </c>
      <c r="AF51">
        <v>0.70137703184103295</v>
      </c>
      <c r="AG51">
        <v>-1.1103570929890001</v>
      </c>
      <c r="AH51">
        <v>28.509547004145102</v>
      </c>
      <c r="AI51">
        <v>92.229688999808303</v>
      </c>
      <c r="AJ51">
        <v>88.590723331195093</v>
      </c>
      <c r="AK51">
        <v>28.539780885569201</v>
      </c>
      <c r="AL51">
        <v>80.146421228264998</v>
      </c>
      <c r="AM51">
        <v>88.613239177366495</v>
      </c>
      <c r="AN51">
        <v>0.99999997000094398</v>
      </c>
    </row>
    <row r="52" spans="1:40" x14ac:dyDescent="0.25">
      <c r="A52" t="str">
        <f>"20190312172610200"</f>
        <v>20190312172610200</v>
      </c>
      <c r="B52" t="str">
        <f>"1552382770198954"</f>
        <v>1552382770198954</v>
      </c>
      <c r="C52" t="s">
        <v>40</v>
      </c>
      <c r="D52">
        <v>3.1527090000000002</v>
      </c>
      <c r="E52">
        <v>0.5020656</v>
      </c>
      <c r="F52" t="s">
        <v>41</v>
      </c>
      <c r="G52">
        <v>-447.48219999999998</v>
      </c>
      <c r="H52" s="1">
        <v>-1.7660769999999999E-6</v>
      </c>
      <c r="I52">
        <v>366.55329999999998</v>
      </c>
      <c r="J52">
        <v>-475.1909</v>
      </c>
      <c r="K52">
        <v>1.109982</v>
      </c>
      <c r="L52">
        <v>367.21749999999997</v>
      </c>
      <c r="M52">
        <v>0.9999538</v>
      </c>
      <c r="N52">
        <v>0</v>
      </c>
      <c r="O52">
        <v>8.5879299999999995E-4</v>
      </c>
      <c r="P52">
        <v>0.98660329999999996</v>
      </c>
      <c r="Q52">
        <v>0.16146529999999901</v>
      </c>
      <c r="R52">
        <v>-2.3303580000000001E-2</v>
      </c>
      <c r="S52">
        <v>3.0585629999999999</v>
      </c>
      <c r="T52">
        <v>-0.12235119999999999</v>
      </c>
      <c r="U52">
        <v>-7.318115E-2</v>
      </c>
      <c r="V52">
        <v>2.4156E-2</v>
      </c>
      <c r="W52">
        <v>0.17090999999999901</v>
      </c>
      <c r="X52">
        <v>0.98499049999999999</v>
      </c>
      <c r="Y52">
        <v>2.4757899999999999E-2</v>
      </c>
      <c r="Z52">
        <v>-5.2926139999999997E-4</v>
      </c>
      <c r="AA52">
        <v>0.99969330000000001</v>
      </c>
      <c r="AB52">
        <v>4</v>
      </c>
      <c r="AC52">
        <v>27.7087</v>
      </c>
      <c r="AD52">
        <v>-1.109983766077</v>
      </c>
      <c r="AE52">
        <v>-0.66419999999999302</v>
      </c>
      <c r="AF52">
        <v>0.68689523749233194</v>
      </c>
      <c r="AG52">
        <v>-1.109983766077</v>
      </c>
      <c r="AH52">
        <v>27.663752089325001</v>
      </c>
      <c r="AI52">
        <v>92.297003092953602</v>
      </c>
      <c r="AJ52">
        <v>88.577629210921799</v>
      </c>
      <c r="AK52">
        <v>27.694531385959198</v>
      </c>
      <c r="AL52">
        <v>80.159267543725704</v>
      </c>
      <c r="AM52">
        <v>88.595154488950797</v>
      </c>
      <c r="AN52">
        <v>1.0000000127631199</v>
      </c>
    </row>
    <row r="53" spans="1:40" x14ac:dyDescent="0.25">
      <c r="A53" t="str">
        <f>"20190312172610222"</f>
        <v>20190312172610222</v>
      </c>
      <c r="B53" t="str">
        <f>"1552382770218475"</f>
        <v>1552382770218475</v>
      </c>
      <c r="C53" t="s">
        <v>40</v>
      </c>
      <c r="D53">
        <v>3.1792039999999999</v>
      </c>
      <c r="E53">
        <v>0.50206720000000005</v>
      </c>
      <c r="F53" t="s">
        <v>41</v>
      </c>
      <c r="G53">
        <v>-447.23719999999997</v>
      </c>
      <c r="H53" s="1">
        <v>-1.862938E-6</v>
      </c>
      <c r="I53">
        <v>366.54289999999997</v>
      </c>
      <c r="J53">
        <v>-475.14240000000001</v>
      </c>
      <c r="K53">
        <v>1.1095469999999901</v>
      </c>
      <c r="L53">
        <v>367.2176</v>
      </c>
      <c r="M53">
        <v>0.99996609999999997</v>
      </c>
      <c r="N53">
        <v>0</v>
      </c>
      <c r="O53">
        <v>9.1019440000000005E-4</v>
      </c>
      <c r="P53">
        <v>0.98635569999999895</v>
      </c>
      <c r="Q53">
        <v>0.16291639999999999</v>
      </c>
      <c r="R53">
        <v>-2.368845E-2</v>
      </c>
      <c r="S53">
        <v>3.0588679999999999</v>
      </c>
      <c r="T53">
        <v>-0.1214614</v>
      </c>
      <c r="U53">
        <v>-7.3822020000000002E-2</v>
      </c>
      <c r="V53">
        <v>2.4590020000000001E-2</v>
      </c>
      <c r="W53">
        <v>0.17097860000000001</v>
      </c>
      <c r="X53">
        <v>0.98496779999999995</v>
      </c>
      <c r="Y53">
        <v>2.501627E-2</v>
      </c>
      <c r="Z53">
        <v>-5.3252829999999999E-4</v>
      </c>
      <c r="AA53">
        <v>0.99968690000000004</v>
      </c>
      <c r="AB53">
        <v>4</v>
      </c>
      <c r="AC53">
        <v>27.905200000000001</v>
      </c>
      <c r="AD53">
        <v>-1.1095488629379999</v>
      </c>
      <c r="AE53">
        <v>-0.67470000000002905</v>
      </c>
      <c r="AF53">
        <v>0.69899528553368595</v>
      </c>
      <c r="AG53">
        <v>-1.1095488629379999</v>
      </c>
      <c r="AH53">
        <v>27.860553452102</v>
      </c>
      <c r="AI53">
        <v>92.279887315557005</v>
      </c>
      <c r="AJ53">
        <v>88.562803865223998</v>
      </c>
      <c r="AK53">
        <v>27.891398884707701</v>
      </c>
      <c r="AL53">
        <v>80.155277799261796</v>
      </c>
      <c r="AM53">
        <v>88.569890542632606</v>
      </c>
      <c r="AN53">
        <v>0.99999995888919901</v>
      </c>
    </row>
    <row r="54" spans="1:40" x14ac:dyDescent="0.25">
      <c r="A54" t="str">
        <f>"20190312172610246"</f>
        <v>20190312172610246</v>
      </c>
      <c r="B54" t="str">
        <f>"1552382770238729"</f>
        <v>1552382770238729</v>
      </c>
      <c r="C54" t="s">
        <v>40</v>
      </c>
      <c r="D54">
        <v>3.1532070000000001</v>
      </c>
      <c r="E54">
        <v>0.50206130000000004</v>
      </c>
      <c r="F54" t="s">
        <v>41</v>
      </c>
      <c r="G54">
        <v>-446.26369999999997</v>
      </c>
      <c r="H54" s="1">
        <v>-2.298227E-6</v>
      </c>
      <c r="I54">
        <v>366.50689999999997</v>
      </c>
      <c r="J54">
        <v>-475.08449999999999</v>
      </c>
      <c r="K54">
        <v>1.1092340000000001</v>
      </c>
      <c r="L54">
        <v>367.21769999999998</v>
      </c>
      <c r="M54">
        <v>0.99997570000000002</v>
      </c>
      <c r="N54">
        <v>0</v>
      </c>
      <c r="O54">
        <v>9.7641619999999998E-4</v>
      </c>
      <c r="P54">
        <v>0.98615909999999996</v>
      </c>
      <c r="Q54">
        <v>0.1640761</v>
      </c>
      <c r="R54">
        <v>-2.386137E-2</v>
      </c>
      <c r="S54">
        <v>3.0591430000000002</v>
      </c>
      <c r="T54">
        <v>-0.1175354</v>
      </c>
      <c r="U54">
        <v>-7.5286870000000006E-2</v>
      </c>
      <c r="V54">
        <v>2.4826029999999999E-2</v>
      </c>
      <c r="W54">
        <v>0.17087620000000001</v>
      </c>
      <c r="X54">
        <v>0.98497970000000001</v>
      </c>
      <c r="Y54">
        <v>2.5559559999999999E-2</v>
      </c>
      <c r="Z54">
        <v>-5.2825309999999896E-4</v>
      </c>
      <c r="AA54">
        <v>0.99967320000000004</v>
      </c>
      <c r="AB54">
        <v>5</v>
      </c>
      <c r="AC54">
        <v>28.820799999999998</v>
      </c>
      <c r="AD54">
        <v>-1.1092362982269901</v>
      </c>
      <c r="AE54">
        <v>-0.71080000000000598</v>
      </c>
      <c r="AF54">
        <v>0.73784913353028103</v>
      </c>
      <c r="AG54">
        <v>-1.1092362982269901</v>
      </c>
      <c r="AH54">
        <v>28.7774907041264</v>
      </c>
      <c r="AI54">
        <v>92.206664326752204</v>
      </c>
      <c r="AJ54">
        <v>88.531269409068102</v>
      </c>
      <c r="AK54">
        <v>28.808311261426599</v>
      </c>
      <c r="AL54">
        <v>80.161233011708006</v>
      </c>
      <c r="AM54">
        <v>88.556187862209796</v>
      </c>
      <c r="AN54">
        <v>1.00000000845204</v>
      </c>
    </row>
    <row r="55" spans="1:40" x14ac:dyDescent="0.25">
      <c r="A55" t="str">
        <f>"20190312172610269"</f>
        <v>20190312172610269</v>
      </c>
      <c r="B55" t="str">
        <f>"1552382770258250"</f>
        <v>1552382770258250</v>
      </c>
      <c r="C55" t="s">
        <v>40</v>
      </c>
      <c r="D55">
        <v>3.169737</v>
      </c>
      <c r="E55">
        <v>0.5020481</v>
      </c>
      <c r="F55" t="s">
        <v>41</v>
      </c>
      <c r="G55">
        <v>-445.4468</v>
      </c>
      <c r="H55" s="1">
        <v>-2.6883269999999998E-6</v>
      </c>
      <c r="I55">
        <v>366.48450000000003</v>
      </c>
      <c r="J55">
        <v>-475.03339999999997</v>
      </c>
      <c r="K55">
        <v>1.1095549999999901</v>
      </c>
      <c r="L55">
        <v>367.21780000000001</v>
      </c>
      <c r="M55">
        <v>0.99996940000000001</v>
      </c>
      <c r="N55">
        <v>0</v>
      </c>
      <c r="O55">
        <v>1.0259469999999999E-3</v>
      </c>
      <c r="P55">
        <v>0.98627359999999997</v>
      </c>
      <c r="Q55">
        <v>0.1633984</v>
      </c>
      <c r="R55">
        <v>-2.378191E-2</v>
      </c>
      <c r="S55">
        <v>3.059326</v>
      </c>
      <c r="T55">
        <v>-0.1144999</v>
      </c>
      <c r="U55">
        <v>-7.5683589999999995E-2</v>
      </c>
      <c r="V55">
        <v>2.4795620000000001E-2</v>
      </c>
      <c r="W55">
        <v>0.17105989999999999</v>
      </c>
      <c r="X55">
        <v>0.98494859999999995</v>
      </c>
      <c r="Y55">
        <v>2.5738009999999999E-2</v>
      </c>
      <c r="Z55">
        <v>-5.1977960000000004E-4</v>
      </c>
      <c r="AA55">
        <v>0.99966860000000002</v>
      </c>
      <c r="AB55">
        <v>5</v>
      </c>
      <c r="AC55">
        <v>29.586599999999901</v>
      </c>
      <c r="AD55">
        <v>-1.10955768832699</v>
      </c>
      <c r="AE55">
        <v>-0.73329999999998496</v>
      </c>
      <c r="AF55">
        <v>0.76258297022179899</v>
      </c>
      <c r="AG55">
        <v>-1.10955768832699</v>
      </c>
      <c r="AH55">
        <v>29.544306398686398</v>
      </c>
      <c r="AI55">
        <v>92.150058010295893</v>
      </c>
      <c r="AJ55">
        <v>88.521438079901003</v>
      </c>
      <c r="AK55">
        <v>29.574967314092898</v>
      </c>
      <c r="AL55">
        <v>80.150550692257895</v>
      </c>
      <c r="AM55">
        <v>88.557910161439693</v>
      </c>
      <c r="AN55">
        <v>1.0000000284005699</v>
      </c>
    </row>
    <row r="56" spans="1:40" x14ac:dyDescent="0.25">
      <c r="A56" t="str">
        <f>"20190312172610292"</f>
        <v>20190312172610292</v>
      </c>
      <c r="B56" t="str">
        <f>"1552382770288506"</f>
        <v>1552382770288506</v>
      </c>
      <c r="C56" t="s">
        <v>40</v>
      </c>
      <c r="D56">
        <v>3.1956929999999999</v>
      </c>
      <c r="E56">
        <v>0.50203940000000002</v>
      </c>
      <c r="F56" t="s">
        <v>41</v>
      </c>
      <c r="G56">
        <v>-445.9538</v>
      </c>
      <c r="H56" s="1">
        <v>-2.44522E-6</v>
      </c>
      <c r="I56">
        <v>366.50389999999999</v>
      </c>
      <c r="J56">
        <v>-474.98750000000001</v>
      </c>
      <c r="K56">
        <v>1.110012</v>
      </c>
      <c r="L56">
        <v>367.21789999999999</v>
      </c>
      <c r="M56">
        <v>0.99995560000000006</v>
      </c>
      <c r="N56">
        <v>0</v>
      </c>
      <c r="O56">
        <v>1.062201E-3</v>
      </c>
      <c r="P56">
        <v>0.98658809999999997</v>
      </c>
      <c r="Q56">
        <v>0.16150429999999999</v>
      </c>
      <c r="R56">
        <v>-2.3674850000000001E-2</v>
      </c>
      <c r="S56">
        <v>3.0592039999999998</v>
      </c>
      <c r="T56">
        <v>-0.1167266</v>
      </c>
      <c r="U56">
        <v>-7.5103760000000006E-2</v>
      </c>
      <c r="V56">
        <v>2.4726270000000002E-2</v>
      </c>
      <c r="W56">
        <v>0.1707409</v>
      </c>
      <c r="X56">
        <v>0.98500569999999998</v>
      </c>
      <c r="Y56">
        <v>2.5585239999999999E-2</v>
      </c>
      <c r="Z56">
        <v>-5.2837320000000002E-4</v>
      </c>
      <c r="AA56">
        <v>0.99967249999999996</v>
      </c>
      <c r="AB56">
        <v>5</v>
      </c>
      <c r="AC56">
        <v>29.0337</v>
      </c>
      <c r="AD56">
        <v>-1.11001444522</v>
      </c>
      <c r="AE56">
        <v>-0.71399999999999797</v>
      </c>
      <c r="AF56">
        <v>0.74375410039453405</v>
      </c>
      <c r="AG56">
        <v>-1.11001444522</v>
      </c>
      <c r="AH56">
        <v>28.990575823500699</v>
      </c>
      <c r="AI56">
        <v>92.191995157903605</v>
      </c>
      <c r="AJ56">
        <v>88.530397406779798</v>
      </c>
      <c r="AK56">
        <v>29.021350568307302</v>
      </c>
      <c r="AL56">
        <v>80.169101028542102</v>
      </c>
      <c r="AM56">
        <v>88.562025123996904</v>
      </c>
      <c r="AN56">
        <v>1.0000000361967001</v>
      </c>
    </row>
    <row r="57" spans="1:40" x14ac:dyDescent="0.25">
      <c r="A57" t="str">
        <f>"20190312172610312"</f>
        <v>20190312172610312</v>
      </c>
      <c r="B57" t="str">
        <f>"1552382770309002"</f>
        <v>1552382770309002</v>
      </c>
      <c r="C57" t="s">
        <v>40</v>
      </c>
      <c r="D57">
        <v>3.1768360000000002</v>
      </c>
      <c r="E57">
        <v>0.50207879999999905</v>
      </c>
      <c r="F57" t="s">
        <v>41</v>
      </c>
      <c r="G57">
        <v>-447.44920000000002</v>
      </c>
      <c r="H57" s="1">
        <v>-1.7807970000000001E-6</v>
      </c>
      <c r="I57">
        <v>366.54570000000001</v>
      </c>
      <c r="J57">
        <v>-474.94099999999997</v>
      </c>
      <c r="K57">
        <v>1.1099399999999999</v>
      </c>
      <c r="L57">
        <v>367.21800000000002</v>
      </c>
      <c r="M57">
        <v>0.99995630000000002</v>
      </c>
      <c r="N57">
        <v>0</v>
      </c>
      <c r="O57">
        <v>1.1006519999999999E-3</v>
      </c>
      <c r="P57">
        <v>0.98654560000000002</v>
      </c>
      <c r="Q57">
        <v>0.1617333</v>
      </c>
      <c r="R57">
        <v>-2.3881329999999999E-2</v>
      </c>
      <c r="S57">
        <v>3.0592039999999998</v>
      </c>
      <c r="T57">
        <v>-0.1233103</v>
      </c>
      <c r="U57">
        <v>-7.4676510000000001E-2</v>
      </c>
      <c r="V57">
        <v>2.4970389999999999E-2</v>
      </c>
      <c r="W57">
        <v>0.17089360000000001</v>
      </c>
      <c r="X57">
        <v>0.98497299999999999</v>
      </c>
      <c r="Y57">
        <v>2.548195E-2</v>
      </c>
      <c r="Z57">
        <v>-5.5762070000000001E-4</v>
      </c>
      <c r="AA57">
        <v>0.99967519999999999</v>
      </c>
      <c r="AB57">
        <v>4</v>
      </c>
      <c r="AC57">
        <v>27.491799999999898</v>
      </c>
      <c r="AD57">
        <v>-1.109941780797</v>
      </c>
      <c r="AE57">
        <v>-0.672300000000007</v>
      </c>
      <c r="AF57">
        <v>0.70141715783669201</v>
      </c>
      <c r="AG57">
        <v>-1.109941780797</v>
      </c>
      <c r="AH57">
        <v>27.446331899943999</v>
      </c>
      <c r="AI57">
        <v>92.315049686193603</v>
      </c>
      <c r="AJ57">
        <v>88.536070418261502</v>
      </c>
      <c r="AK57">
        <v>27.477719911738401</v>
      </c>
      <c r="AL57">
        <v>80.160220867735404</v>
      </c>
      <c r="AM57">
        <v>88.547786001052202</v>
      </c>
      <c r="AN57">
        <v>0.99999997681335495</v>
      </c>
    </row>
    <row r="58" spans="1:40" x14ac:dyDescent="0.25">
      <c r="A58" t="str">
        <f>"20190312172610334"</f>
        <v>20190312172610334</v>
      </c>
      <c r="B58" t="str">
        <f>"1552382770328522"</f>
        <v>1552382770328522</v>
      </c>
      <c r="C58" t="s">
        <v>40</v>
      </c>
      <c r="D58">
        <v>3.2560760000000002</v>
      </c>
      <c r="E58">
        <v>0.52116359999999995</v>
      </c>
      <c r="F58" t="s">
        <v>41</v>
      </c>
      <c r="G58">
        <v>-447.4384</v>
      </c>
      <c r="H58" s="1">
        <v>-1.786776E-6</v>
      </c>
      <c r="I58">
        <v>366.53870000000001</v>
      </c>
      <c r="J58">
        <v>-474.8879</v>
      </c>
      <c r="K58">
        <v>1.1095630000000001</v>
      </c>
      <c r="L58">
        <v>367.21809999999999</v>
      </c>
      <c r="M58">
        <v>0.99996719999999895</v>
      </c>
      <c r="N58">
        <v>0</v>
      </c>
      <c r="O58">
        <v>1.151434E-3</v>
      </c>
      <c r="P58">
        <v>0.98639379999999999</v>
      </c>
      <c r="Q58">
        <v>0.16264100000000001</v>
      </c>
      <c r="R58">
        <v>-2.398836E-2</v>
      </c>
      <c r="S58">
        <v>3.0593569999999999</v>
      </c>
      <c r="T58">
        <v>-0.1234686</v>
      </c>
      <c r="U58">
        <v>-7.5561519999999993E-2</v>
      </c>
      <c r="V58">
        <v>2.5126220000000001E-2</v>
      </c>
      <c r="W58">
        <v>0.17056379999999999</v>
      </c>
      <c r="X58">
        <v>0.98502619999999996</v>
      </c>
      <c r="Y58">
        <v>2.582013E-2</v>
      </c>
      <c r="Z58">
        <v>-5.671745E-4</v>
      </c>
      <c r="AA58">
        <v>0.99966650000000001</v>
      </c>
      <c r="AB58">
        <v>5</v>
      </c>
      <c r="AC58">
        <v>27.4495</v>
      </c>
      <c r="AD58">
        <v>-1.1095647867759999</v>
      </c>
      <c r="AE58">
        <v>-0.67939999999998602</v>
      </c>
      <c r="AF58">
        <v>0.70984771353522003</v>
      </c>
      <c r="AG58">
        <v>-1.1095647867759999</v>
      </c>
      <c r="AH58">
        <v>27.4039504598239</v>
      </c>
      <c r="AI58">
        <v>92.317818775455294</v>
      </c>
      <c r="AJ58">
        <v>88.5161925693656</v>
      </c>
      <c r="AK58">
        <v>27.4355885411074</v>
      </c>
      <c r="AL58">
        <v>80.179398571506198</v>
      </c>
      <c r="AM58">
        <v>88.538806131392207</v>
      </c>
      <c r="AN58">
        <v>0.99999997574418298</v>
      </c>
    </row>
    <row r="59" spans="1:40" x14ac:dyDescent="0.25">
      <c r="A59" t="str">
        <f>"20190312172610356"</f>
        <v>20190312172610356</v>
      </c>
      <c r="B59" t="str">
        <f>"1552382770348588"</f>
        <v>1552382770348588</v>
      </c>
      <c r="C59" t="s">
        <v>40</v>
      </c>
      <c r="D59">
        <v>3.2174749999999999</v>
      </c>
      <c r="E59">
        <v>0.53563079999999996</v>
      </c>
      <c r="F59" t="s">
        <v>41</v>
      </c>
      <c r="G59">
        <v>-447.30059999999997</v>
      </c>
      <c r="H59" s="1">
        <v>-2.207215E-6</v>
      </c>
      <c r="I59">
        <v>365.15750000000003</v>
      </c>
      <c r="J59">
        <v>-474.83080000000001</v>
      </c>
      <c r="K59">
        <v>1.109226</v>
      </c>
      <c r="L59">
        <v>367.21820000000002</v>
      </c>
      <c r="M59">
        <v>0.999977</v>
      </c>
      <c r="N59">
        <v>0</v>
      </c>
      <c r="O59">
        <v>1.213057E-3</v>
      </c>
      <c r="P59">
        <v>0.98622209999999999</v>
      </c>
      <c r="Q59">
        <v>0.16362769999999999</v>
      </c>
      <c r="R59">
        <v>-2.4343610000000002E-2</v>
      </c>
      <c r="S59">
        <v>3.0561219999999998</v>
      </c>
      <c r="T59">
        <v>-0.12291779999999999</v>
      </c>
      <c r="U59">
        <v>-0.22827149999999999</v>
      </c>
      <c r="V59">
        <v>2.5540630000000002E-2</v>
      </c>
      <c r="W59">
        <v>0.1702217</v>
      </c>
      <c r="X59">
        <v>0.98507480000000003</v>
      </c>
      <c r="Y59">
        <v>7.5633590000000001E-2</v>
      </c>
      <c r="Z59">
        <v>-1.566975E-3</v>
      </c>
      <c r="AA59">
        <v>0.99713439999999998</v>
      </c>
      <c r="AB59">
        <v>5</v>
      </c>
      <c r="AC59">
        <v>27.530200000000001</v>
      </c>
      <c r="AD59">
        <v>-1.1092282072149999</v>
      </c>
      <c r="AE59">
        <v>-2.06069999999999</v>
      </c>
      <c r="AF59">
        <v>2.09071978440346</v>
      </c>
      <c r="AG59">
        <v>-1.1092282072149999</v>
      </c>
      <c r="AH59">
        <v>27.4833123711974</v>
      </c>
      <c r="AI59">
        <v>92.304555454619106</v>
      </c>
      <c r="AJ59">
        <v>85.649754898410507</v>
      </c>
      <c r="AK59">
        <v>27.585031363502001</v>
      </c>
      <c r="AL59">
        <v>80.199291148056901</v>
      </c>
      <c r="AM59">
        <v>88.514790425101296</v>
      </c>
      <c r="AN59">
        <v>1.00000005626336</v>
      </c>
    </row>
    <row r="60" spans="1:40" x14ac:dyDescent="0.25">
      <c r="A60" t="str">
        <f>"20190312172610379"</f>
        <v>20190312172610379</v>
      </c>
      <c r="B60" t="str">
        <f>"1552382770369086"</f>
        <v>1552382770369086</v>
      </c>
      <c r="C60" t="s">
        <v>40</v>
      </c>
      <c r="D60">
        <v>3.3012600000000001</v>
      </c>
      <c r="E60">
        <v>0.54161219999999999</v>
      </c>
      <c r="F60" t="s">
        <v>41</v>
      </c>
      <c r="G60">
        <v>-446.18790000000001</v>
      </c>
      <c r="H60" s="1">
        <v>-2.9469009999999999E-6</v>
      </c>
      <c r="I60">
        <v>363.98349999999999</v>
      </c>
      <c r="J60">
        <v>-474.7713</v>
      </c>
      <c r="K60">
        <v>1.109294</v>
      </c>
      <c r="L60">
        <v>367.2183</v>
      </c>
      <c r="M60">
        <v>0.99997749999999996</v>
      </c>
      <c r="N60">
        <v>0</v>
      </c>
      <c r="O60">
        <v>1.2761630000000001E-3</v>
      </c>
      <c r="P60">
        <v>0.98628590000000005</v>
      </c>
      <c r="Q60">
        <v>0.1632063</v>
      </c>
      <c r="R60">
        <v>-2.4571010000000001E-2</v>
      </c>
      <c r="S60">
        <v>3.0530400000000002</v>
      </c>
      <c r="T60">
        <v>-0.11823210000000001</v>
      </c>
      <c r="U60">
        <v>-0.34478760000000003</v>
      </c>
      <c r="V60">
        <v>2.5830680000000002E-2</v>
      </c>
      <c r="W60">
        <v>0.16971800000000001</v>
      </c>
      <c r="X60">
        <v>0.98515410000000003</v>
      </c>
      <c r="Y60">
        <v>0.1134024</v>
      </c>
      <c r="Z60">
        <v>-2.2372920000000001E-3</v>
      </c>
      <c r="AA60">
        <v>0.99354659999999995</v>
      </c>
      <c r="AB60">
        <v>6</v>
      </c>
      <c r="AC60">
        <v>28.583399999999902</v>
      </c>
      <c r="AD60">
        <v>-1.1092969469009999</v>
      </c>
      <c r="AE60">
        <v>-3.2347999999999999</v>
      </c>
      <c r="AF60">
        <v>3.2664177361973099</v>
      </c>
      <c r="AG60">
        <v>-1.1092969469009999</v>
      </c>
      <c r="AH60">
        <v>28.536811337132001</v>
      </c>
      <c r="AI60">
        <v>92.211681935654497</v>
      </c>
      <c r="AJ60">
        <v>83.470154445503894</v>
      </c>
      <c r="AK60">
        <v>28.744558195157801</v>
      </c>
      <c r="AL60">
        <v>80.228576728702905</v>
      </c>
      <c r="AM60">
        <v>88.498052305764702</v>
      </c>
      <c r="AN60">
        <v>1.0000000121500301</v>
      </c>
    </row>
    <row r="61" spans="1:40" x14ac:dyDescent="0.25">
      <c r="A61" t="str">
        <f>"20190312172610402"</f>
        <v>20190312172610402</v>
      </c>
      <c r="B61" t="str">
        <f>"1552382770398365"</f>
        <v>1552382770398365</v>
      </c>
      <c r="C61" t="s">
        <v>40</v>
      </c>
      <c r="D61">
        <v>3.204599</v>
      </c>
      <c r="E61">
        <v>0.54613730000000005</v>
      </c>
      <c r="F61" t="s">
        <v>41</v>
      </c>
      <c r="G61">
        <v>-446.70010000000002</v>
      </c>
      <c r="H61" s="1">
        <v>-2.8522080000000002E-6</v>
      </c>
      <c r="I61">
        <v>363.6001</v>
      </c>
      <c r="J61">
        <v>-474.72</v>
      </c>
      <c r="K61">
        <v>1.1097980000000001</v>
      </c>
      <c r="L61">
        <v>367.21850000000001</v>
      </c>
      <c r="M61">
        <v>0.99996549999999995</v>
      </c>
      <c r="N61">
        <v>0</v>
      </c>
      <c r="O61">
        <v>1.322246E-3</v>
      </c>
      <c r="P61">
        <v>0.98659969999999997</v>
      </c>
      <c r="Q61">
        <v>0.161242</v>
      </c>
      <c r="R61">
        <v>-2.495553E-2</v>
      </c>
      <c r="S61">
        <v>3.0518800000000001</v>
      </c>
      <c r="T61">
        <v>-0.12060170000000001</v>
      </c>
      <c r="U61">
        <v>-0.39337159999999999</v>
      </c>
      <c r="V61">
        <v>2.626264E-2</v>
      </c>
      <c r="W61">
        <v>0.16933779999999901</v>
      </c>
      <c r="X61">
        <v>0.98520810000000003</v>
      </c>
      <c r="Y61">
        <v>0.12904849999999901</v>
      </c>
      <c r="Z61">
        <v>-2.5903530000000001E-3</v>
      </c>
      <c r="AA61">
        <v>0.99163489999999999</v>
      </c>
      <c r="AB61">
        <v>6</v>
      </c>
      <c r="AC61">
        <v>28.0199</v>
      </c>
      <c r="AD61">
        <v>-1.1098008522080001</v>
      </c>
      <c r="AE61">
        <v>-3.6183999999999998</v>
      </c>
      <c r="AF61">
        <v>3.6498155100831902</v>
      </c>
      <c r="AG61">
        <v>-1.1098008522080001</v>
      </c>
      <c r="AH61">
        <v>27.9719294149604</v>
      </c>
      <c r="AI61">
        <v>92.252970212340799</v>
      </c>
      <c r="AJ61">
        <v>82.565967761990606</v>
      </c>
      <c r="AK61">
        <v>28.230863365910999</v>
      </c>
      <c r="AL61">
        <v>80.250680492289206</v>
      </c>
      <c r="AM61">
        <v>88.473031064216997</v>
      </c>
      <c r="AN61">
        <v>1.0000000085371099</v>
      </c>
    </row>
    <row r="62" spans="1:40" x14ac:dyDescent="0.25">
      <c r="A62" t="str">
        <f>"20190312172610424"</f>
        <v>20190312172610424</v>
      </c>
      <c r="B62" t="str">
        <f>"1552382770418861"</f>
        <v>1552382770418861</v>
      </c>
      <c r="C62" t="s">
        <v>40</v>
      </c>
      <c r="D62">
        <v>3.220024</v>
      </c>
      <c r="E62">
        <v>0.54810819999999905</v>
      </c>
      <c r="F62" t="s">
        <v>41</v>
      </c>
      <c r="G62">
        <v>-447.61970000000002</v>
      </c>
      <c r="H62" s="1">
        <v>-2.5550180000000002E-6</v>
      </c>
      <c r="I62">
        <v>363.3897</v>
      </c>
      <c r="J62">
        <v>-474.67149999999998</v>
      </c>
      <c r="K62">
        <v>1.1103749999999999</v>
      </c>
      <c r="L62">
        <v>367.21859999999998</v>
      </c>
      <c r="M62">
        <v>0.99994470000000002</v>
      </c>
      <c r="N62">
        <v>0</v>
      </c>
      <c r="O62">
        <v>1.3585750000000001E-3</v>
      </c>
      <c r="P62">
        <v>0.9869928</v>
      </c>
      <c r="Q62">
        <v>0.1586941</v>
      </c>
      <c r="R62">
        <v>-2.5722109999999999E-2</v>
      </c>
      <c r="S62">
        <v>3.0502319999999998</v>
      </c>
      <c r="T62">
        <v>-0.1249118</v>
      </c>
      <c r="U62">
        <v>-0.43093870000000001</v>
      </c>
      <c r="V62">
        <v>2.706882E-2</v>
      </c>
      <c r="W62">
        <v>0.16897879999999901</v>
      </c>
      <c r="X62">
        <v>0.98524789999999995</v>
      </c>
      <c r="Y62">
        <v>0.14111949999999901</v>
      </c>
      <c r="Z62">
        <v>-2.9294120000000002E-3</v>
      </c>
      <c r="AA62">
        <v>0.98998819999999998</v>
      </c>
      <c r="AB62">
        <v>5</v>
      </c>
      <c r="AC62">
        <v>27.051799999999901</v>
      </c>
      <c r="AD62">
        <v>-1.110377555018</v>
      </c>
      <c r="AE62">
        <v>-3.8288999999999702</v>
      </c>
      <c r="AF62">
        <v>3.8592759473763301</v>
      </c>
      <c r="AG62">
        <v>-1.110377555018</v>
      </c>
      <c r="AH62">
        <v>27.001973389673999</v>
      </c>
      <c r="AI62">
        <v>92.331132407853005</v>
      </c>
      <c r="AJ62">
        <v>81.8660482100602</v>
      </c>
      <c r="AK62">
        <v>27.298965476540499</v>
      </c>
      <c r="AL62">
        <v>80.271550255513603</v>
      </c>
      <c r="AM62">
        <v>88.426244713499003</v>
      </c>
      <c r="AN62">
        <v>0.99999999016002095</v>
      </c>
    </row>
    <row r="63" spans="1:40" x14ac:dyDescent="0.25">
      <c r="A63" t="str">
        <f>"20190312172610449"</f>
        <v>20190312172610449</v>
      </c>
      <c r="B63" t="str">
        <f>"1552382770438053"</f>
        <v>1552382770438053</v>
      </c>
      <c r="C63" t="s">
        <v>40</v>
      </c>
      <c r="D63">
        <v>3.209797</v>
      </c>
      <c r="E63">
        <v>0.54941890000000004</v>
      </c>
      <c r="F63" t="s">
        <v>41</v>
      </c>
      <c r="G63">
        <v>-449.58909999999997</v>
      </c>
      <c r="H63" s="1">
        <v>-1.7628300000000001E-6</v>
      </c>
      <c r="I63">
        <v>363.52480000000003</v>
      </c>
      <c r="J63">
        <v>-474.61700000000002</v>
      </c>
      <c r="K63">
        <v>1.1104270000000001</v>
      </c>
      <c r="L63">
        <v>367.21870000000001</v>
      </c>
      <c r="M63">
        <v>0.99993730000000003</v>
      </c>
      <c r="N63">
        <v>0</v>
      </c>
      <c r="O63">
        <v>1.395461E-3</v>
      </c>
      <c r="P63">
        <v>0.98705100000000001</v>
      </c>
      <c r="Q63">
        <v>0.15812010000000001</v>
      </c>
      <c r="R63">
        <v>-2.6992539999999999E-2</v>
      </c>
      <c r="S63">
        <v>3.0495610000000002</v>
      </c>
      <c r="T63">
        <v>-0.13500119999999999</v>
      </c>
      <c r="U63">
        <v>-0.44909670000000002</v>
      </c>
      <c r="V63">
        <v>2.8375919999999999E-2</v>
      </c>
      <c r="W63">
        <v>0.1690892</v>
      </c>
      <c r="X63">
        <v>0.98519219999999996</v>
      </c>
      <c r="Y63">
        <v>0.14693299999999901</v>
      </c>
      <c r="Z63">
        <v>-3.2947100000000002E-3</v>
      </c>
      <c r="AA63">
        <v>0.98914100000000005</v>
      </c>
      <c r="AB63">
        <v>5</v>
      </c>
      <c r="AC63">
        <v>25.027899999999899</v>
      </c>
      <c r="AD63">
        <v>-1.11042876283</v>
      </c>
      <c r="AE63">
        <v>-3.6938999999999802</v>
      </c>
      <c r="AF63">
        <v>3.7216541710001598</v>
      </c>
      <c r="AG63">
        <v>-1.11042876283</v>
      </c>
      <c r="AH63">
        <v>24.974606503772801</v>
      </c>
      <c r="AI63">
        <v>92.518057751243006</v>
      </c>
      <c r="AJ63">
        <v>81.524295014176701</v>
      </c>
      <c r="AK63">
        <v>25.274784505987999</v>
      </c>
      <c r="AL63">
        <v>80.265132652163103</v>
      </c>
      <c r="AM63">
        <v>88.350198979400105</v>
      </c>
      <c r="AN63">
        <v>1.00000001066666</v>
      </c>
    </row>
    <row r="64" spans="1:40" x14ac:dyDescent="0.25">
      <c r="A64" t="str">
        <f>"20190312172610470"</f>
        <v>20190312172610470</v>
      </c>
      <c r="B64" t="str">
        <f>"1552382770458549"</f>
        <v>1552382770458549</v>
      </c>
      <c r="C64" t="s">
        <v>40</v>
      </c>
      <c r="D64">
        <v>3.1953930000000001</v>
      </c>
      <c r="E64">
        <v>0.55014569999999996</v>
      </c>
      <c r="F64" t="s">
        <v>41</v>
      </c>
      <c r="G64">
        <v>-450.03919999999999</v>
      </c>
      <c r="H64" s="1">
        <v>-5.3436650000000003E-6</v>
      </c>
      <c r="I64">
        <v>363.48149999999998</v>
      </c>
      <c r="J64">
        <v>-474.56380000000001</v>
      </c>
      <c r="K64">
        <v>1.1099749999999999</v>
      </c>
      <c r="L64">
        <v>367.21879999999999</v>
      </c>
      <c r="M64">
        <v>0.99995000000000001</v>
      </c>
      <c r="N64">
        <v>0</v>
      </c>
      <c r="O64">
        <v>1.44253E-3</v>
      </c>
      <c r="P64">
        <v>0.98680880000000004</v>
      </c>
      <c r="Q64">
        <v>0.1594235</v>
      </c>
      <c r="R64">
        <v>-2.8154479999999999E-2</v>
      </c>
      <c r="S64">
        <v>3.048737</v>
      </c>
      <c r="T64">
        <v>-0.13774229999999901</v>
      </c>
      <c r="U64">
        <v>-0.46356199999999997</v>
      </c>
      <c r="V64">
        <v>2.9582859999999999E-2</v>
      </c>
      <c r="W64">
        <v>0.16918839999999999</v>
      </c>
      <c r="X64">
        <v>0.98513969999999995</v>
      </c>
      <c r="Y64">
        <v>0.15159619999999999</v>
      </c>
      <c r="Z64">
        <v>-3.468067E-3</v>
      </c>
      <c r="AA64">
        <v>0.98843639999999999</v>
      </c>
      <c r="AB64">
        <v>5</v>
      </c>
      <c r="AC64">
        <v>24.5246</v>
      </c>
      <c r="AD64">
        <v>-1.109980343665</v>
      </c>
      <c r="AE64">
        <v>-3.7372999999999998</v>
      </c>
      <c r="AF64">
        <v>3.7651376394019702</v>
      </c>
      <c r="AG64">
        <v>-1.109980343665</v>
      </c>
      <c r="AH64">
        <v>24.4701945676746</v>
      </c>
      <c r="AI64">
        <v>92.567017106574596</v>
      </c>
      <c r="AJ64">
        <v>81.252711647391905</v>
      </c>
      <c r="AK64">
        <v>24.783033308834799</v>
      </c>
      <c r="AL64">
        <v>80.259366155692206</v>
      </c>
      <c r="AM64">
        <v>88.279976108472397</v>
      </c>
      <c r="AN64">
        <v>1.00000004440821</v>
      </c>
    </row>
    <row r="65" spans="1:40" x14ac:dyDescent="0.25">
      <c r="A65" t="str">
        <f>"20190312172610493"</f>
        <v>20190312172610493</v>
      </c>
      <c r="B65" t="str">
        <f>"1552382770488806"</f>
        <v>1552382770488806</v>
      </c>
      <c r="C65" t="s">
        <v>40</v>
      </c>
      <c r="D65">
        <v>3.2913389999999998</v>
      </c>
      <c r="E65">
        <v>0.55095229999999995</v>
      </c>
      <c r="F65" t="s">
        <v>41</v>
      </c>
      <c r="G65">
        <v>-449.02359999999999</v>
      </c>
      <c r="H65" s="1">
        <v>-2.0519510000000001E-6</v>
      </c>
      <c r="I65">
        <v>363.25420000000003</v>
      </c>
      <c r="J65">
        <v>-474.50279999999998</v>
      </c>
      <c r="K65">
        <v>1.109532</v>
      </c>
      <c r="L65">
        <v>367.21899999999999</v>
      </c>
      <c r="M65">
        <v>0.99996390000000002</v>
      </c>
      <c r="N65">
        <v>0</v>
      </c>
      <c r="O65">
        <v>1.50547299999999E-3</v>
      </c>
      <c r="P65">
        <v>0.98652220000000002</v>
      </c>
      <c r="Q65">
        <v>0.1610576</v>
      </c>
      <c r="R65">
        <v>-2.8897820000000001E-2</v>
      </c>
      <c r="S65">
        <v>3.048035</v>
      </c>
      <c r="T65">
        <v>-0.13246769999999999</v>
      </c>
      <c r="U65">
        <v>-0.47314450000000002</v>
      </c>
      <c r="V65">
        <v>3.0385550000000001E-2</v>
      </c>
      <c r="W65">
        <v>0.16932179999999999</v>
      </c>
      <c r="X65">
        <v>0.98509230000000003</v>
      </c>
      <c r="Y65">
        <v>0.15473580000000001</v>
      </c>
      <c r="Z65">
        <v>-3.4058629999999999E-3</v>
      </c>
      <c r="AA65">
        <v>0.98794999999999999</v>
      </c>
      <c r="AB65">
        <v>6</v>
      </c>
      <c r="AC65">
        <v>25.479199999999899</v>
      </c>
      <c r="AD65">
        <v>-1.109534051951</v>
      </c>
      <c r="AE65">
        <v>-3.9647999999999599</v>
      </c>
      <c r="AF65">
        <v>3.9957570338521302</v>
      </c>
      <c r="AG65">
        <v>-1.109534051951</v>
      </c>
      <c r="AH65">
        <v>25.426126067869699</v>
      </c>
      <c r="AI65">
        <v>92.468406100432304</v>
      </c>
      <c r="AJ65">
        <v>81.068919634700194</v>
      </c>
      <c r="AK65">
        <v>25.762085065173199</v>
      </c>
      <c r="AL65">
        <v>80.251610538965195</v>
      </c>
      <c r="AM65">
        <v>88.233249870449299</v>
      </c>
      <c r="AN65">
        <v>0.99999999656166605</v>
      </c>
    </row>
    <row r="66" spans="1:40" x14ac:dyDescent="0.25">
      <c r="A66" t="str">
        <f>"20190312172610536"</f>
        <v>20190312172610536</v>
      </c>
      <c r="B66" t="str">
        <f>"1552382770528821"</f>
        <v>1552382770528821</v>
      </c>
      <c r="C66" t="s">
        <v>40</v>
      </c>
      <c r="D66">
        <v>3.1872919999999998</v>
      </c>
      <c r="E66">
        <v>0.55150840000000001</v>
      </c>
      <c r="F66" t="s">
        <v>41</v>
      </c>
      <c r="G66">
        <v>-447.99329999999998</v>
      </c>
      <c r="H66" s="1">
        <v>-2.507664E-6</v>
      </c>
      <c r="I66">
        <v>363.02859999999998</v>
      </c>
      <c r="J66">
        <v>-474.38580000000002</v>
      </c>
      <c r="K66">
        <v>1.1093150000000001</v>
      </c>
      <c r="L66">
        <v>367.2192</v>
      </c>
      <c r="M66">
        <v>0.99997340000000001</v>
      </c>
      <c r="N66">
        <v>0</v>
      </c>
      <c r="O66">
        <v>1.634836E-3</v>
      </c>
      <c r="P66">
        <v>0.98653360000000001</v>
      </c>
      <c r="Q66">
        <v>0.16114519999999999</v>
      </c>
      <c r="R66">
        <v>-2.7995240000000001E-2</v>
      </c>
      <c r="S66">
        <v>3.0476679999999998</v>
      </c>
      <c r="T66">
        <v>-0.12755759999999999</v>
      </c>
      <c r="U66">
        <v>-0.48175050000000003</v>
      </c>
      <c r="V66">
        <v>2.960782E-2</v>
      </c>
      <c r="W66">
        <v>0.1681501</v>
      </c>
      <c r="X66">
        <v>0.98531659999999999</v>
      </c>
      <c r="Y66">
        <v>0.1576118</v>
      </c>
      <c r="Z66">
        <v>-3.3445749999999998E-3</v>
      </c>
      <c r="AA66">
        <v>0.98749549999999997</v>
      </c>
      <c r="AB66">
        <v>6</v>
      </c>
      <c r="AC66">
        <v>26.392499999999998</v>
      </c>
      <c r="AD66">
        <v>-1.1093175076639901</v>
      </c>
      <c r="AE66">
        <v>-4.1906000000000097</v>
      </c>
      <c r="AF66">
        <v>4.2264598347635003</v>
      </c>
      <c r="AG66">
        <v>-1.1093175076639901</v>
      </c>
      <c r="AH66">
        <v>26.340223960383302</v>
      </c>
      <c r="AI66">
        <v>92.381161912527006</v>
      </c>
      <c r="AJ66">
        <v>80.884222901381904</v>
      </c>
      <c r="AK66">
        <v>26.700204987056399</v>
      </c>
      <c r="AL66">
        <v>80.319720072920404</v>
      </c>
      <c r="AM66">
        <v>88.278834623488606</v>
      </c>
      <c r="AN66">
        <v>0.99999994068535902</v>
      </c>
    </row>
    <row r="67" spans="1:40" x14ac:dyDescent="0.25">
      <c r="A67" t="str">
        <f>"20190312172610558"</f>
        <v>20190312172610558</v>
      </c>
      <c r="B67" t="str">
        <f>"1552382770548574"</f>
        <v>1552382770548574</v>
      </c>
      <c r="C67" t="s">
        <v>40</v>
      </c>
      <c r="D67">
        <v>3.1502309999999998</v>
      </c>
      <c r="E67">
        <v>0.55171510000000001</v>
      </c>
      <c r="F67" t="s">
        <v>41</v>
      </c>
      <c r="G67">
        <v>-447.35809999999998</v>
      </c>
      <c r="H67" s="1">
        <v>-2.7771110000000002E-6</v>
      </c>
      <c r="I67">
        <v>362.93259999999998</v>
      </c>
      <c r="J67">
        <v>-474.33100000000002</v>
      </c>
      <c r="K67">
        <v>1.1097600000000001</v>
      </c>
      <c r="L67">
        <v>367.21940000000001</v>
      </c>
      <c r="M67">
        <v>0.99996280000000004</v>
      </c>
      <c r="N67">
        <v>0</v>
      </c>
      <c r="O67">
        <v>1.6841060000000001E-3</v>
      </c>
      <c r="P67">
        <v>0.98679260000000002</v>
      </c>
      <c r="Q67">
        <v>0.15965779999999999</v>
      </c>
      <c r="R67">
        <v>-2.7383020000000001E-2</v>
      </c>
      <c r="S67">
        <v>3.0476679999999998</v>
      </c>
      <c r="T67">
        <v>-0.1250879</v>
      </c>
      <c r="U67">
        <v>-0.48336790000000002</v>
      </c>
      <c r="V67">
        <v>2.904617E-2</v>
      </c>
      <c r="W67">
        <v>0.16800209999999999</v>
      </c>
      <c r="X67">
        <v>0.98535870000000003</v>
      </c>
      <c r="Y67">
        <v>0.1581765</v>
      </c>
      <c r="Z67">
        <v>-3.293256E-3</v>
      </c>
      <c r="AA67">
        <v>0.98740539999999999</v>
      </c>
      <c r="AB67">
        <v>6</v>
      </c>
      <c r="AC67">
        <v>26.9728999999999</v>
      </c>
      <c r="AD67">
        <v>-1.1097627771109999</v>
      </c>
      <c r="AE67">
        <v>-4.2868000000000199</v>
      </c>
      <c r="AF67">
        <v>4.3250796595291998</v>
      </c>
      <c r="AG67">
        <v>-1.1097627771109999</v>
      </c>
      <c r="AH67">
        <v>26.9211926680617</v>
      </c>
      <c r="AI67">
        <v>92.330693910772894</v>
      </c>
      <c r="AJ67">
        <v>80.8730197953345</v>
      </c>
      <c r="AK67">
        <v>27.288981332281899</v>
      </c>
      <c r="AL67">
        <v>80.3283235502537</v>
      </c>
      <c r="AM67">
        <v>88.311537547309399</v>
      </c>
      <c r="AN67">
        <v>1.0000000766308801</v>
      </c>
    </row>
    <row r="68" spans="1:40" x14ac:dyDescent="0.25">
      <c r="A68" t="str">
        <f>"20190312172610580"</f>
        <v>20190312172610580</v>
      </c>
      <c r="B68" t="str">
        <f>"1552382770568094"</f>
        <v>1552382770568094</v>
      </c>
      <c r="C68" t="s">
        <v>40</v>
      </c>
      <c r="D68">
        <v>3.1822330000000001</v>
      </c>
      <c r="E68">
        <v>0.55193610000000004</v>
      </c>
      <c r="F68" t="s">
        <v>41</v>
      </c>
      <c r="G68">
        <v>-448.05990000000003</v>
      </c>
      <c r="H68" s="1">
        <v>-2.4750259999999999E-6</v>
      </c>
      <c r="I68">
        <v>363.05500000000001</v>
      </c>
      <c r="J68">
        <v>-474.27539999999999</v>
      </c>
      <c r="K68">
        <v>1.110141</v>
      </c>
      <c r="L68">
        <v>367.21960000000001</v>
      </c>
      <c r="M68">
        <v>0.99994930000000004</v>
      </c>
      <c r="N68">
        <v>0</v>
      </c>
      <c r="O68">
        <v>1.7241229999999999E-3</v>
      </c>
      <c r="P68">
        <v>0.9870101</v>
      </c>
      <c r="Q68">
        <v>0.15835150000000001</v>
      </c>
      <c r="R68">
        <v>-2.712964E-2</v>
      </c>
      <c r="S68">
        <v>3.047577</v>
      </c>
      <c r="T68">
        <v>-0.1287382</v>
      </c>
      <c r="U68">
        <v>-0.4830933</v>
      </c>
      <c r="V68">
        <v>2.883461E-2</v>
      </c>
      <c r="W68">
        <v>0.1681327</v>
      </c>
      <c r="X68">
        <v>0.98534259999999996</v>
      </c>
      <c r="Y68">
        <v>0.15812599999999999</v>
      </c>
      <c r="Z68">
        <v>-3.3900229999999998E-3</v>
      </c>
      <c r="AA68">
        <v>0.98741310000000004</v>
      </c>
      <c r="AB68">
        <v>6</v>
      </c>
      <c r="AC68">
        <v>26.215499999999899</v>
      </c>
      <c r="AD68">
        <v>-1.110143475026</v>
      </c>
      <c r="AE68">
        <v>-4.1646000000000001</v>
      </c>
      <c r="AF68">
        <v>4.2024442311402996</v>
      </c>
      <c r="AG68">
        <v>-1.110143475026</v>
      </c>
      <c r="AH68">
        <v>26.162519196216898</v>
      </c>
      <c r="AI68">
        <v>92.399035180118403</v>
      </c>
      <c r="AJ68">
        <v>80.874619218711402</v>
      </c>
      <c r="AK68">
        <v>26.521130570611099</v>
      </c>
      <c r="AL68">
        <v>80.320732383437601</v>
      </c>
      <c r="AM68">
        <v>88.323801179240306</v>
      </c>
      <c r="AN68">
        <v>1.0000000394589501</v>
      </c>
    </row>
    <row r="69" spans="1:40" x14ac:dyDescent="0.25">
      <c r="A69" t="str">
        <f>"20190312172610603"</f>
        <v>20190312172610603</v>
      </c>
      <c r="B69" t="str">
        <f>"1552382770598350"</f>
        <v>1552382770598350</v>
      </c>
      <c r="C69" t="s">
        <v>40</v>
      </c>
      <c r="D69">
        <v>3.1677409999999999</v>
      </c>
      <c r="E69">
        <v>0.55208020000000002</v>
      </c>
      <c r="F69" t="s">
        <v>41</v>
      </c>
      <c r="G69">
        <v>-448.50150000000002</v>
      </c>
      <c r="H69" s="1">
        <v>-2.2868339999999999E-6</v>
      </c>
      <c r="I69">
        <v>363.12509999999997</v>
      </c>
      <c r="J69">
        <v>-474.21859999999998</v>
      </c>
      <c r="K69">
        <v>1.1100239999999999</v>
      </c>
      <c r="L69">
        <v>367.21980000000002</v>
      </c>
      <c r="M69">
        <v>0.99995109999999998</v>
      </c>
      <c r="N69">
        <v>0</v>
      </c>
      <c r="O69">
        <v>1.7655500000000001E-3</v>
      </c>
      <c r="P69">
        <v>0.9870352</v>
      </c>
      <c r="Q69">
        <v>0.1582036</v>
      </c>
      <c r="R69">
        <v>-2.7084049999999998E-2</v>
      </c>
      <c r="S69">
        <v>3.047272</v>
      </c>
      <c r="T69">
        <v>-0.13125309999999901</v>
      </c>
      <c r="U69">
        <v>-0.48410029999999998</v>
      </c>
      <c r="V69">
        <v>2.8830330000000001E-2</v>
      </c>
      <c r="W69">
        <v>0.1678164</v>
      </c>
      <c r="X69">
        <v>0.98539659999999996</v>
      </c>
      <c r="Y69">
        <v>0.15849460000000001</v>
      </c>
      <c r="Z69">
        <v>-3.4661000000000002E-3</v>
      </c>
      <c r="AA69">
        <v>0.9873537</v>
      </c>
      <c r="AB69">
        <v>5</v>
      </c>
      <c r="AC69">
        <v>25.717099999999899</v>
      </c>
      <c r="AD69">
        <v>-1.1100262868339901</v>
      </c>
      <c r="AE69">
        <v>-4.0947000000000404</v>
      </c>
      <c r="AF69">
        <v>4.1325917614666796</v>
      </c>
      <c r="AG69">
        <v>-1.1100262868339901</v>
      </c>
      <c r="AH69">
        <v>25.6632006830853</v>
      </c>
      <c r="AI69">
        <v>92.445243789732501</v>
      </c>
      <c r="AJ69">
        <v>80.852089442124296</v>
      </c>
      <c r="AK69">
        <v>26.017500693277899</v>
      </c>
      <c r="AL69">
        <v>80.339115820920895</v>
      </c>
      <c r="AM69">
        <v>88.324141630256193</v>
      </c>
      <c r="AN69">
        <v>0.99999999566421405</v>
      </c>
    </row>
    <row r="70" spans="1:40" x14ac:dyDescent="0.25">
      <c r="A70" t="str">
        <f>"20190312172610624"</f>
        <v>20190312172610624</v>
      </c>
      <c r="B70" t="str">
        <f>"1552382770618846"</f>
        <v>1552382770618846</v>
      </c>
      <c r="C70" t="s">
        <v>40</v>
      </c>
      <c r="D70">
        <v>3.1777129999999998</v>
      </c>
      <c r="E70">
        <v>0.55219649999999998</v>
      </c>
      <c r="F70" t="s">
        <v>41</v>
      </c>
      <c r="G70">
        <v>-448.46039999999999</v>
      </c>
      <c r="H70" s="1">
        <v>-2.3051970000000001E-6</v>
      </c>
      <c r="I70">
        <v>363.11540000000002</v>
      </c>
      <c r="J70">
        <v>-474.15769999999998</v>
      </c>
      <c r="K70">
        <v>1.1096140000000001</v>
      </c>
      <c r="L70">
        <v>367.2199</v>
      </c>
      <c r="M70">
        <v>0.99996280000000004</v>
      </c>
      <c r="N70">
        <v>0</v>
      </c>
      <c r="O70">
        <v>1.8219270000000001E-3</v>
      </c>
      <c r="P70">
        <v>0.98685500000000004</v>
      </c>
      <c r="Q70">
        <v>0.15933359999999999</v>
      </c>
      <c r="R70">
        <v>-2.70215E-2</v>
      </c>
      <c r="S70">
        <v>3.0471189999999999</v>
      </c>
      <c r="T70">
        <v>-0.1313126</v>
      </c>
      <c r="U70">
        <v>-0.48553469999999999</v>
      </c>
      <c r="V70">
        <v>2.8822339999999998E-2</v>
      </c>
      <c r="W70">
        <v>0.16765050000000001</v>
      </c>
      <c r="X70">
        <v>0.98542510000000005</v>
      </c>
      <c r="Y70">
        <v>0.1590105</v>
      </c>
      <c r="Z70">
        <v>-3.4811669999999999E-3</v>
      </c>
      <c r="AA70">
        <v>0.9872708</v>
      </c>
      <c r="AB70">
        <v>5</v>
      </c>
      <c r="AC70">
        <v>25.697299999999899</v>
      </c>
      <c r="AD70">
        <v>-1.1096163051969901</v>
      </c>
      <c r="AE70">
        <v>-4.1044999999999696</v>
      </c>
      <c r="AF70">
        <v>4.1437794400854804</v>
      </c>
      <c r="AG70">
        <v>-1.1096163051969901</v>
      </c>
      <c r="AH70">
        <v>25.643155857740101</v>
      </c>
      <c r="AI70">
        <v>92.4460341935835</v>
      </c>
      <c r="AJ70">
        <v>80.820696989184</v>
      </c>
      <c r="AK70">
        <v>25.999492278449999</v>
      </c>
      <c r="AL70">
        <v>80.348758056749602</v>
      </c>
      <c r="AM70">
        <v>88.324654238062706</v>
      </c>
      <c r="AN70">
        <v>1.0000000225716601</v>
      </c>
    </row>
    <row r="71" spans="1:40" x14ac:dyDescent="0.25">
      <c r="A71" t="str">
        <f>"20190312172610649"</f>
        <v>20190312172610649</v>
      </c>
      <c r="B71" t="str">
        <f>"1552382770638366"</f>
        <v>1552382770638366</v>
      </c>
      <c r="C71" t="s">
        <v>40</v>
      </c>
      <c r="D71">
        <v>3.1714790000000002</v>
      </c>
      <c r="E71">
        <v>0.55227369999999898</v>
      </c>
      <c r="F71" t="s">
        <v>41</v>
      </c>
      <c r="G71">
        <v>-447.5532</v>
      </c>
      <c r="H71" s="1">
        <v>-2.6904830000000001E-6</v>
      </c>
      <c r="I71">
        <v>362.97660000000002</v>
      </c>
      <c r="J71">
        <v>-474.08699999999999</v>
      </c>
      <c r="K71">
        <v>1.1092569999999999</v>
      </c>
      <c r="L71">
        <v>367.22019999999998</v>
      </c>
      <c r="M71">
        <v>0.99997380000000002</v>
      </c>
      <c r="N71">
        <v>0</v>
      </c>
      <c r="O71">
        <v>1.8965799999999999E-3</v>
      </c>
      <c r="P71">
        <v>0.98666640000000005</v>
      </c>
      <c r="Q71">
        <v>0.16050619999999999</v>
      </c>
      <c r="R71">
        <v>-2.6970919999999999E-2</v>
      </c>
      <c r="S71">
        <v>3.0472109999999999</v>
      </c>
      <c r="T71">
        <v>-0.1270927</v>
      </c>
      <c r="U71">
        <v>-0.48602289999999998</v>
      </c>
      <c r="V71">
        <v>2.8843609999999999E-2</v>
      </c>
      <c r="W71">
        <v>0.16741210000000001</v>
      </c>
      <c r="X71">
        <v>0.98546500000000004</v>
      </c>
      <c r="Y71">
        <v>0.15924289999999999</v>
      </c>
      <c r="Z71">
        <v>-3.3771560000000001E-3</v>
      </c>
      <c r="AA71">
        <v>0.98723360000000004</v>
      </c>
      <c r="AB71">
        <v>6</v>
      </c>
      <c r="AC71">
        <v>26.5337999999999</v>
      </c>
      <c r="AD71">
        <v>-1.1092596904830001</v>
      </c>
      <c r="AE71">
        <v>-4.2435999999999501</v>
      </c>
      <c r="AF71">
        <v>4.2866121917520896</v>
      </c>
      <c r="AG71">
        <v>-1.1092596904830001</v>
      </c>
      <c r="AH71">
        <v>26.4805778156801</v>
      </c>
      <c r="AI71">
        <v>92.367904188015302</v>
      </c>
      <c r="AJ71">
        <v>80.804861028979801</v>
      </c>
      <c r="AK71">
        <v>26.848212279325001</v>
      </c>
      <c r="AL71">
        <v>80.362613120842397</v>
      </c>
      <c r="AM71">
        <v>88.323486433347</v>
      </c>
      <c r="AN71">
        <v>1.00000001564462</v>
      </c>
    </row>
    <row r="72" spans="1:40" x14ac:dyDescent="0.25">
      <c r="A72" t="str">
        <f>"20190312172610693"</f>
        <v>20190312172610693</v>
      </c>
      <c r="B72" t="str">
        <f>"1552382770688142"</f>
        <v>1552382770688142</v>
      </c>
      <c r="C72" t="s">
        <v>40</v>
      </c>
      <c r="D72">
        <v>3.173168</v>
      </c>
      <c r="E72">
        <v>0.55249419999999905</v>
      </c>
      <c r="F72" t="s">
        <v>41</v>
      </c>
      <c r="G72">
        <v>-446.56709999999998</v>
      </c>
      <c r="H72" s="1">
        <v>-3.1086659999999999E-6</v>
      </c>
      <c r="I72">
        <v>362.82810000000001</v>
      </c>
      <c r="J72">
        <v>-473.95339999999999</v>
      </c>
      <c r="K72">
        <v>1.1090990000000001</v>
      </c>
      <c r="L72">
        <v>367.22050000000002</v>
      </c>
      <c r="M72">
        <v>0.99998189999999998</v>
      </c>
      <c r="N72">
        <v>0</v>
      </c>
      <c r="O72">
        <v>2.0426009999999998E-3</v>
      </c>
      <c r="P72">
        <v>0.98648000000000002</v>
      </c>
      <c r="Q72">
        <v>0.1614939</v>
      </c>
      <c r="R72">
        <v>-2.7884160000000002E-2</v>
      </c>
      <c r="S72">
        <v>3.0472410000000001</v>
      </c>
      <c r="T72">
        <v>-0.1228269</v>
      </c>
      <c r="U72">
        <v>-0.48632809999999999</v>
      </c>
      <c r="V72">
        <v>2.9897569999999998E-2</v>
      </c>
      <c r="W72">
        <v>0.16710739999999999</v>
      </c>
      <c r="X72">
        <v>0.98548530000000001</v>
      </c>
      <c r="Y72">
        <v>0.15949059999999901</v>
      </c>
      <c r="Z72">
        <v>-3.2746419999999999E-3</v>
      </c>
      <c r="AA72">
        <v>0.98719400000000002</v>
      </c>
      <c r="AB72">
        <v>7</v>
      </c>
      <c r="AC72">
        <v>27.386299999999999</v>
      </c>
      <c r="AD72">
        <v>-1.109102108666</v>
      </c>
      <c r="AE72">
        <v>-4.3924000000000003</v>
      </c>
      <c r="AF72">
        <v>4.4412295328286504</v>
      </c>
      <c r="AG72">
        <v>-1.109102108666</v>
      </c>
      <c r="AH72">
        <v>27.333564695201101</v>
      </c>
      <c r="AI72">
        <v>92.293545618748595</v>
      </c>
      <c r="AJ72">
        <v>80.771083272475494</v>
      </c>
      <c r="AK72">
        <v>27.714227144148499</v>
      </c>
      <c r="AL72">
        <v>80.380320558477194</v>
      </c>
      <c r="AM72">
        <v>88.262298458302595</v>
      </c>
      <c r="AN72">
        <v>1.0000000121713699</v>
      </c>
    </row>
    <row r="73" spans="1:40" x14ac:dyDescent="0.25">
      <c r="A73" t="str">
        <f>"20190312172610713"</f>
        <v>20190312172610713</v>
      </c>
      <c r="B73" t="str">
        <f>"1552382770708639"</f>
        <v>1552382770708639</v>
      </c>
      <c r="C73" t="s">
        <v>40</v>
      </c>
      <c r="D73">
        <v>3.1522070000000002</v>
      </c>
      <c r="E73">
        <v>0.53612289999999996</v>
      </c>
      <c r="F73" t="s">
        <v>41</v>
      </c>
      <c r="G73">
        <v>-445.82440000000003</v>
      </c>
      <c r="H73" s="1">
        <v>-3.4302729999999999E-6</v>
      </c>
      <c r="I73">
        <v>362.69130000000001</v>
      </c>
      <c r="J73">
        <v>-473.89249999999998</v>
      </c>
      <c r="K73">
        <v>1.109521</v>
      </c>
      <c r="L73">
        <v>367.2208</v>
      </c>
      <c r="M73">
        <v>0.99997409999999998</v>
      </c>
      <c r="N73">
        <v>0</v>
      </c>
      <c r="O73">
        <v>2.0973939999999998E-3</v>
      </c>
      <c r="P73">
        <v>0.98679130000000004</v>
      </c>
      <c r="Q73">
        <v>0.15946749999999901</v>
      </c>
      <c r="R73">
        <v>-2.8515700000000001E-2</v>
      </c>
      <c r="S73">
        <v>3.0469059999999999</v>
      </c>
      <c r="T73">
        <v>-0.1201371</v>
      </c>
      <c r="U73">
        <v>-0.4906006</v>
      </c>
      <c r="V73">
        <v>3.0585290000000001E-2</v>
      </c>
      <c r="W73">
        <v>0.1662631</v>
      </c>
      <c r="X73">
        <v>0.98560700000000001</v>
      </c>
      <c r="Y73">
        <v>0.16091539999999999</v>
      </c>
      <c r="Z73">
        <v>-3.2330269999999999E-3</v>
      </c>
      <c r="AA73">
        <v>0.98696289999999998</v>
      </c>
      <c r="AB73">
        <v>7</v>
      </c>
      <c r="AC73">
        <v>28.068099999999902</v>
      </c>
      <c r="AD73">
        <v>-1.1095244302730001</v>
      </c>
      <c r="AE73">
        <v>-4.5294999999999801</v>
      </c>
      <c r="AF73">
        <v>4.5813841270673601</v>
      </c>
      <c r="AG73">
        <v>-1.1095244302730001</v>
      </c>
      <c r="AH73">
        <v>28.0158714202494</v>
      </c>
      <c r="AI73">
        <v>92.238225412413897</v>
      </c>
      <c r="AJ73">
        <v>80.712728995444294</v>
      </c>
      <c r="AK73">
        <v>28.409666953645701</v>
      </c>
      <c r="AL73">
        <v>80.429381804806496</v>
      </c>
      <c r="AM73">
        <v>88.222571628259402</v>
      </c>
      <c r="AN73">
        <v>1.00000001841749</v>
      </c>
    </row>
    <row r="74" spans="1:40" x14ac:dyDescent="0.25">
      <c r="A74" t="str">
        <f>"20190312172610736"</f>
        <v>20190312172610736</v>
      </c>
      <c r="B74" t="str">
        <f>"1552382770728158"</f>
        <v>1552382770728158</v>
      </c>
      <c r="C74" t="s">
        <v>40</v>
      </c>
      <c r="D74">
        <v>3.2521330000000002</v>
      </c>
      <c r="E74">
        <v>0.53296980000000005</v>
      </c>
      <c r="F74" t="s">
        <v>44</v>
      </c>
      <c r="G74">
        <v>-473.13159999999999</v>
      </c>
      <c r="H74">
        <v>1.026977</v>
      </c>
      <c r="I74">
        <v>367.13220000000001</v>
      </c>
      <c r="J74">
        <v>-473.82920000000001</v>
      </c>
      <c r="K74">
        <v>1.110026</v>
      </c>
      <c r="L74">
        <v>367.22089999999997</v>
      </c>
      <c r="M74">
        <v>0.99995979999999995</v>
      </c>
      <c r="N74">
        <v>0</v>
      </c>
      <c r="O74">
        <v>2.145905E-3</v>
      </c>
      <c r="P74">
        <v>0.98721289999999995</v>
      </c>
      <c r="Q74">
        <v>0.1568417</v>
      </c>
      <c r="R74">
        <v>-2.8489879999999999E-2</v>
      </c>
      <c r="S74">
        <v>3.0838619999999999</v>
      </c>
      <c r="T74">
        <v>-0.33467639999999999</v>
      </c>
      <c r="U74">
        <v>-0.358429</v>
      </c>
      <c r="V74">
        <v>3.061084E-2</v>
      </c>
      <c r="W74">
        <v>0.16544249999999999</v>
      </c>
      <c r="X74">
        <v>0.98574419999999996</v>
      </c>
      <c r="Y74">
        <v>0.1168918</v>
      </c>
      <c r="Z74">
        <v>-6.5346919999999999E-3</v>
      </c>
      <c r="AA74">
        <v>0.99312319999999998</v>
      </c>
      <c r="AB74">
        <v>6</v>
      </c>
      <c r="AC74">
        <v>0.69760000000002198</v>
      </c>
      <c r="AD74">
        <v>-8.3048999999999901E-2</v>
      </c>
      <c r="AE74">
        <v>-8.86999999999602E-2</v>
      </c>
      <c r="AF74">
        <v>8.8956136287187806E-2</v>
      </c>
      <c r="AG74">
        <v>-8.3048999999999901E-2</v>
      </c>
      <c r="AH74">
        <v>0.68781487187257395</v>
      </c>
      <c r="AI74">
        <v>96.828422223877695</v>
      </c>
      <c r="AJ74">
        <v>82.630756175202393</v>
      </c>
      <c r="AK74">
        <v>0.69849812351446605</v>
      </c>
      <c r="AL74">
        <v>80.477058235402794</v>
      </c>
      <c r="AM74">
        <v>88.221335210895006</v>
      </c>
      <c r="AN74">
        <v>0.999999936082695</v>
      </c>
    </row>
    <row r="75" spans="1:40" x14ac:dyDescent="0.25">
      <c r="A75" t="str">
        <f>"20190312172610759"</f>
        <v>20190312172610759</v>
      </c>
      <c r="B75" t="str">
        <f>"1552382770748654"</f>
        <v>1552382770748654</v>
      </c>
      <c r="C75" t="s">
        <v>40</v>
      </c>
      <c r="D75">
        <v>3.1631450000000001</v>
      </c>
      <c r="E75">
        <v>0.53082940000000001</v>
      </c>
      <c r="F75" t="s">
        <v>44</v>
      </c>
      <c r="G75">
        <v>-473.08600000000001</v>
      </c>
      <c r="H75">
        <v>1.009841</v>
      </c>
      <c r="I75">
        <v>367.14069999999998</v>
      </c>
      <c r="J75">
        <v>-473.76609999999999</v>
      </c>
      <c r="K75">
        <v>1.110141</v>
      </c>
      <c r="L75">
        <v>367.22120000000001</v>
      </c>
      <c r="M75">
        <v>0.99995299999999998</v>
      </c>
      <c r="N75">
        <v>0</v>
      </c>
      <c r="O75">
        <v>2.1917310000000001E-3</v>
      </c>
      <c r="P75">
        <v>0.98739719999999997</v>
      </c>
      <c r="Q75">
        <v>0.155643</v>
      </c>
      <c r="R75">
        <v>-2.8673690000000002E-2</v>
      </c>
      <c r="S75">
        <v>3.0956730000000001</v>
      </c>
      <c r="T75">
        <v>-0.41763689999999998</v>
      </c>
      <c r="U75">
        <v>-0.33175660000000001</v>
      </c>
      <c r="V75">
        <v>3.0841549999999999E-2</v>
      </c>
      <c r="W75">
        <v>0.16496240000000001</v>
      </c>
      <c r="X75">
        <v>0.98581759999999996</v>
      </c>
      <c r="Y75">
        <v>0.107752</v>
      </c>
      <c r="Z75">
        <v>-7.5087940000000001E-3</v>
      </c>
      <c r="AA75">
        <v>0.99414939999999996</v>
      </c>
      <c r="AB75">
        <v>6</v>
      </c>
      <c r="AC75">
        <v>0.68009999999998105</v>
      </c>
      <c r="AD75">
        <v>-0.1003</v>
      </c>
      <c r="AE75">
        <v>-8.0500000000029104E-2</v>
      </c>
      <c r="AF75">
        <v>8.0268757367415206E-2</v>
      </c>
      <c r="AG75">
        <v>-0.1003</v>
      </c>
      <c r="AH75">
        <v>0.66564429230206801</v>
      </c>
      <c r="AI75">
        <v>98.508200164176998</v>
      </c>
      <c r="AJ75">
        <v>83.124013544622301</v>
      </c>
      <c r="AK75">
        <v>0.67792734661144105</v>
      </c>
      <c r="AL75">
        <v>80.504950431516804</v>
      </c>
      <c r="AM75">
        <v>88.208071692250797</v>
      </c>
      <c r="AN75">
        <v>1.0000000675449501</v>
      </c>
    </row>
    <row r="76" spans="1:40" x14ac:dyDescent="0.25">
      <c r="A76" t="str">
        <f>"20190312172610780"</f>
        <v>20190312172610780</v>
      </c>
      <c r="B76" t="str">
        <f>"1552382770778911"</f>
        <v>1552382770778911</v>
      </c>
      <c r="C76" t="s">
        <v>40</v>
      </c>
      <c r="D76">
        <v>3.1221640000000002</v>
      </c>
      <c r="E76">
        <v>0.52915509999999999</v>
      </c>
      <c r="F76" t="s">
        <v>44</v>
      </c>
      <c r="G76">
        <v>-473.03390000000002</v>
      </c>
      <c r="H76">
        <v>0.99715670000000001</v>
      </c>
      <c r="I76">
        <v>367.14690000000002</v>
      </c>
      <c r="J76">
        <v>-473.69929999999999</v>
      </c>
      <c r="K76">
        <v>1.109796</v>
      </c>
      <c r="L76">
        <v>367.22129999999999</v>
      </c>
      <c r="M76">
        <v>0.99996110000000005</v>
      </c>
      <c r="N76">
        <v>0</v>
      </c>
      <c r="O76">
        <v>2.249633E-3</v>
      </c>
      <c r="P76">
        <v>0.98737229999999998</v>
      </c>
      <c r="Q76">
        <v>0.1556978</v>
      </c>
      <c r="R76">
        <v>-2.9227059999999999E-2</v>
      </c>
      <c r="S76">
        <v>3.1047669999999998</v>
      </c>
      <c r="T76">
        <v>-0.47928019999999999</v>
      </c>
      <c r="U76">
        <v>-0.3139343</v>
      </c>
      <c r="V76">
        <v>3.1451109999999997E-2</v>
      </c>
      <c r="W76">
        <v>0.16411809999999999</v>
      </c>
      <c r="X76">
        <v>0.98593920000000002</v>
      </c>
      <c r="Y76">
        <v>0.10162069999999999</v>
      </c>
      <c r="Z76">
        <v>-8.1222800000000008E-3</v>
      </c>
      <c r="AA76">
        <v>0.99479010000000001</v>
      </c>
      <c r="AB76">
        <v>6</v>
      </c>
      <c r="AC76">
        <v>0.66539999999997601</v>
      </c>
      <c r="AD76">
        <v>-0.1126393</v>
      </c>
      <c r="AE76">
        <v>-7.43999999999687E-2</v>
      </c>
      <c r="AF76">
        <v>7.3807855933377506E-2</v>
      </c>
      <c r="AG76">
        <v>-0.1126393</v>
      </c>
      <c r="AH76">
        <v>0.64692170583099795</v>
      </c>
      <c r="AI76">
        <v>99.814662605598599</v>
      </c>
      <c r="AJ76">
        <v>83.4912186898258</v>
      </c>
      <c r="AK76">
        <v>0.66078960719525603</v>
      </c>
      <c r="AL76">
        <v>80.553993193125905</v>
      </c>
      <c r="AM76">
        <v>88.172904575903402</v>
      </c>
      <c r="AN76">
        <v>1.0000000145822401</v>
      </c>
    </row>
    <row r="77" spans="1:40" x14ac:dyDescent="0.25">
      <c r="A77" t="str">
        <f>"20190312172610803"</f>
        <v>20190312172610803</v>
      </c>
      <c r="B77" t="str">
        <f>"1552382770798430"</f>
        <v>1552382770798430</v>
      </c>
      <c r="C77" t="s">
        <v>40</v>
      </c>
      <c r="D77">
        <v>3.3559220000000001</v>
      </c>
      <c r="E77">
        <v>0.52863870000000002</v>
      </c>
      <c r="F77" t="s">
        <v>44</v>
      </c>
      <c r="G77">
        <v>-472.97390000000001</v>
      </c>
      <c r="H77">
        <v>0.99272629999999995</v>
      </c>
      <c r="I77">
        <v>367.15039999999999</v>
      </c>
      <c r="J77">
        <v>-473.63049999999998</v>
      </c>
      <c r="K77">
        <v>1.1094329999999999</v>
      </c>
      <c r="L77">
        <v>367.22160000000002</v>
      </c>
      <c r="M77">
        <v>0.99997060000000004</v>
      </c>
      <c r="N77">
        <v>0</v>
      </c>
      <c r="O77">
        <v>2.3183309999999999E-3</v>
      </c>
      <c r="P77">
        <v>0.98734469999999996</v>
      </c>
      <c r="Q77">
        <v>0.1557471</v>
      </c>
      <c r="R77">
        <v>-2.9886139999999999E-2</v>
      </c>
      <c r="S77">
        <v>3.1086429999999998</v>
      </c>
      <c r="T77">
        <v>-0.5020232</v>
      </c>
      <c r="U77">
        <v>-0.3018188</v>
      </c>
      <c r="V77">
        <v>3.2176490000000002E-2</v>
      </c>
      <c r="W77">
        <v>0.16295470000000001</v>
      </c>
      <c r="X77">
        <v>0.98610869999999995</v>
      </c>
      <c r="Y77">
        <v>9.7659770000000007E-2</v>
      </c>
      <c r="Z77">
        <v>-8.18803699999999E-3</v>
      </c>
      <c r="AA77">
        <v>0.99518620000000002</v>
      </c>
      <c r="AB77">
        <v>7</v>
      </c>
      <c r="AC77">
        <v>0.65659999999996899</v>
      </c>
      <c r="AD77">
        <v>-0.116706699999999</v>
      </c>
      <c r="AE77">
        <v>-7.1200000000033001E-2</v>
      </c>
      <c r="AF77">
        <v>7.0520024745781104E-2</v>
      </c>
      <c r="AG77">
        <v>-0.116706699999999</v>
      </c>
      <c r="AH77">
        <v>0.63655622006522095</v>
      </c>
      <c r="AI77">
        <v>100.32745989982099</v>
      </c>
      <c r="AJ77">
        <v>83.678341963028998</v>
      </c>
      <c r="AK77">
        <v>0.65099719586090199</v>
      </c>
      <c r="AL77">
        <v>80.621560273813799</v>
      </c>
      <c r="AM77">
        <v>88.131115557602698</v>
      </c>
      <c r="AN77">
        <v>0.99999996448824902</v>
      </c>
    </row>
    <row r="78" spans="1:40" x14ac:dyDescent="0.25">
      <c r="A78" t="str">
        <f>"20190312172610825"</f>
        <v>20190312172610825</v>
      </c>
      <c r="B78" t="str">
        <f>"1552382770818926"</f>
        <v>1552382770818926</v>
      </c>
      <c r="C78" t="s">
        <v>40</v>
      </c>
      <c r="D78">
        <v>3.169702</v>
      </c>
      <c r="E78">
        <v>0.52813849999999996</v>
      </c>
      <c r="F78" t="s">
        <v>44</v>
      </c>
      <c r="G78">
        <v>-472.91070000000002</v>
      </c>
      <c r="H78">
        <v>0.99085000000000001</v>
      </c>
      <c r="I78">
        <v>367.1524</v>
      </c>
      <c r="J78">
        <v>-473.5573</v>
      </c>
      <c r="K78">
        <v>1.109199</v>
      </c>
      <c r="L78">
        <v>367.22179999999997</v>
      </c>
      <c r="M78">
        <v>0.99997729999999996</v>
      </c>
      <c r="N78">
        <v>0</v>
      </c>
      <c r="O78">
        <v>2.3963809999999999E-3</v>
      </c>
      <c r="P78">
        <v>0.98720030000000003</v>
      </c>
      <c r="Q78">
        <v>0.15647949999999999</v>
      </c>
      <c r="R78">
        <v>-3.082058E-2</v>
      </c>
      <c r="S78">
        <v>3.1101990000000002</v>
      </c>
      <c r="T78">
        <v>-0.51227889999999998</v>
      </c>
      <c r="U78">
        <v>-0.29928589999999999</v>
      </c>
      <c r="V78">
        <v>3.3185729999999997E-2</v>
      </c>
      <c r="W78">
        <v>0.16270770000000001</v>
      </c>
      <c r="X78">
        <v>0.98611610000000005</v>
      </c>
      <c r="Y78">
        <v>9.6844890000000003E-2</v>
      </c>
      <c r="Z78">
        <v>-8.2955630000000006E-3</v>
      </c>
      <c r="AA78">
        <v>0.99526490000000001</v>
      </c>
      <c r="AB78">
        <v>7</v>
      </c>
      <c r="AC78">
        <v>0.64659999999997797</v>
      </c>
      <c r="AD78">
        <v>-0.118349</v>
      </c>
      <c r="AE78">
        <v>-6.9399999999973205E-2</v>
      </c>
      <c r="AF78">
        <v>6.86748566083588E-2</v>
      </c>
      <c r="AG78">
        <v>-0.118349</v>
      </c>
      <c r="AH78">
        <v>0.62570869149643005</v>
      </c>
      <c r="AI78">
        <v>100.648151344506</v>
      </c>
      <c r="AJ78">
        <v>83.736553501671096</v>
      </c>
      <c r="AK78">
        <v>0.64049518994708599</v>
      </c>
      <c r="AL78">
        <v>80.635904337361595</v>
      </c>
      <c r="AM78">
        <v>88.072554577388502</v>
      </c>
      <c r="AN78">
        <v>1.00000002549706</v>
      </c>
    </row>
    <row r="79" spans="1:40" x14ac:dyDescent="0.25">
      <c r="A79" t="str">
        <f>"20190312172610850"</f>
        <v>20190312172610850</v>
      </c>
      <c r="B79" t="str">
        <f>"1552382770838447"</f>
        <v>1552382770838447</v>
      </c>
      <c r="C79" t="s">
        <v>40</v>
      </c>
      <c r="D79">
        <v>2.9435190000000002</v>
      </c>
      <c r="E79">
        <v>0.52742889999999998</v>
      </c>
      <c r="F79" t="s">
        <v>44</v>
      </c>
      <c r="G79">
        <v>-472.84539999999998</v>
      </c>
      <c r="H79">
        <v>0.99016199999999999</v>
      </c>
      <c r="I79">
        <v>367.15350000000001</v>
      </c>
      <c r="J79">
        <v>-473.476</v>
      </c>
      <c r="K79">
        <v>1.1090629999999999</v>
      </c>
      <c r="L79">
        <v>367.22210000000001</v>
      </c>
      <c r="M79">
        <v>0.99998189999999998</v>
      </c>
      <c r="N79">
        <v>0</v>
      </c>
      <c r="O79">
        <v>2.4834940000000002E-3</v>
      </c>
      <c r="P79">
        <v>0.98705489999999996</v>
      </c>
      <c r="Q79">
        <v>0.15718670000000001</v>
      </c>
      <c r="R79">
        <v>-3.1862799999999997E-2</v>
      </c>
      <c r="S79">
        <v>3.1121219999999998</v>
      </c>
      <c r="T79">
        <v>-0.52051069999999999</v>
      </c>
      <c r="U79">
        <v>-0.29718020000000001</v>
      </c>
      <c r="V79">
        <v>3.4311790000000002E-2</v>
      </c>
      <c r="W79">
        <v>0.16262019999999999</v>
      </c>
      <c r="X79">
        <v>0.98609199999999997</v>
      </c>
      <c r="Y79">
        <v>9.6172629999999995E-2</v>
      </c>
      <c r="Z79">
        <v>-8.3809469999999997E-3</v>
      </c>
      <c r="AA79">
        <v>0.99532940000000003</v>
      </c>
      <c r="AB79">
        <v>7</v>
      </c>
      <c r="AC79">
        <v>0.63060000000001504</v>
      </c>
      <c r="AD79">
        <v>-0.11890099999999899</v>
      </c>
      <c r="AE79">
        <v>-6.8600000000003505E-2</v>
      </c>
      <c r="AF79">
        <v>6.7784228968245305E-2</v>
      </c>
      <c r="AG79">
        <v>-0.11890099999999899</v>
      </c>
      <c r="AH79">
        <v>0.60902878114237702</v>
      </c>
      <c r="AI79">
        <v>100.980792249828</v>
      </c>
      <c r="AJ79">
        <v>83.649180588747896</v>
      </c>
      <c r="AK79">
        <v>0.62421807548130903</v>
      </c>
      <c r="AL79">
        <v>80.640985436301506</v>
      </c>
      <c r="AM79">
        <v>88.007155597748906</v>
      </c>
      <c r="AN79">
        <v>1.0000000304225201</v>
      </c>
    </row>
    <row r="80" spans="1:40" x14ac:dyDescent="0.25">
      <c r="A80" t="str">
        <f>"20190312172610872"</f>
        <v>20190312172610872</v>
      </c>
      <c r="B80" t="str">
        <f>"1552382770868702"</f>
        <v>1552382770868702</v>
      </c>
      <c r="C80" t="s">
        <v>40</v>
      </c>
      <c r="D80">
        <v>3.1548690000000001</v>
      </c>
      <c r="E80">
        <v>0.52704549999999994</v>
      </c>
      <c r="F80" t="s">
        <v>44</v>
      </c>
      <c r="G80">
        <v>-472.71379999999999</v>
      </c>
      <c r="H80">
        <v>0.98070990000000002</v>
      </c>
      <c r="I80">
        <v>367.14949999999999</v>
      </c>
      <c r="J80">
        <v>-473.3965</v>
      </c>
      <c r="K80">
        <v>1.1089800000000001</v>
      </c>
      <c r="L80">
        <v>367.22239999999999</v>
      </c>
      <c r="M80">
        <v>0.99998520000000002</v>
      </c>
      <c r="N80">
        <v>0</v>
      </c>
      <c r="O80">
        <v>2.5640939999999998E-3</v>
      </c>
      <c r="P80">
        <v>0.98693679999999995</v>
      </c>
      <c r="Q80">
        <v>0.15772059999999999</v>
      </c>
      <c r="R80">
        <v>-3.2867779999999999E-2</v>
      </c>
      <c r="S80">
        <v>3.1134339999999998</v>
      </c>
      <c r="T80">
        <v>-0.52461950000000002</v>
      </c>
      <c r="U80">
        <v>-0.2943115</v>
      </c>
      <c r="V80">
        <v>3.5394679999999998E-2</v>
      </c>
      <c r="W80">
        <v>0.16247149999999999</v>
      </c>
      <c r="X80">
        <v>0.98607820000000002</v>
      </c>
      <c r="Y80">
        <v>9.5294970000000007E-2</v>
      </c>
      <c r="Z80">
        <v>-8.3832460000000004E-3</v>
      </c>
      <c r="AA80">
        <v>0.99541380000000002</v>
      </c>
      <c r="AB80">
        <v>8</v>
      </c>
      <c r="AC80">
        <v>0.68270000000001096</v>
      </c>
      <c r="AD80">
        <v>-0.128270099999999</v>
      </c>
      <c r="AE80">
        <v>-7.29000000000041E-2</v>
      </c>
      <c r="AF80">
        <v>7.2132617593461401E-2</v>
      </c>
      <c r="AG80">
        <v>-0.128270099999999</v>
      </c>
      <c r="AH80">
        <v>0.65949234017838099</v>
      </c>
      <c r="AI80">
        <v>100.942839434749</v>
      </c>
      <c r="AJ80">
        <v>83.758030459773494</v>
      </c>
      <c r="AK80">
        <v>0.67571183194380402</v>
      </c>
      <c r="AL80">
        <v>80.649619808931803</v>
      </c>
      <c r="AM80">
        <v>87.944285245264496</v>
      </c>
      <c r="AN80">
        <v>0.99999999409989604</v>
      </c>
    </row>
    <row r="81" spans="1:40" x14ac:dyDescent="0.25">
      <c r="A81" t="str">
        <f>"20190312172610895"</f>
        <v>20190312172610895</v>
      </c>
      <c r="B81" t="str">
        <f>"1552382770889198"</f>
        <v>1552382770889198</v>
      </c>
      <c r="C81" t="s">
        <v>40</v>
      </c>
      <c r="D81">
        <v>3.148844</v>
      </c>
      <c r="E81">
        <v>0.52699459999999998</v>
      </c>
      <c r="F81" t="s">
        <v>44</v>
      </c>
      <c r="G81">
        <v>-472.64280000000002</v>
      </c>
      <c r="H81">
        <v>0.98084439999999995</v>
      </c>
      <c r="I81">
        <v>367.15089999999998</v>
      </c>
      <c r="J81">
        <v>-473.31650000000002</v>
      </c>
      <c r="K81">
        <v>1.108924</v>
      </c>
      <c r="L81">
        <v>367.22269999999997</v>
      </c>
      <c r="M81">
        <v>0.99998770000000003</v>
      </c>
      <c r="N81">
        <v>0</v>
      </c>
      <c r="O81">
        <v>2.6381360000000001E-3</v>
      </c>
      <c r="P81">
        <v>0.98682119999999995</v>
      </c>
      <c r="Q81">
        <v>0.1581525</v>
      </c>
      <c r="R81">
        <v>-3.4234220000000003E-2</v>
      </c>
      <c r="S81">
        <v>3.1145939999999999</v>
      </c>
      <c r="T81">
        <v>-0.52959199999999995</v>
      </c>
      <c r="U81">
        <v>-0.29428100000000001</v>
      </c>
      <c r="V81">
        <v>3.6833610000000003E-2</v>
      </c>
      <c r="W81">
        <v>0.1623262</v>
      </c>
      <c r="X81">
        <v>0.98604950000000002</v>
      </c>
      <c r="Y81">
        <v>9.5298339999999995E-2</v>
      </c>
      <c r="Z81">
        <v>-8.4712599999999996E-3</v>
      </c>
      <c r="AA81">
        <v>0.99541270000000004</v>
      </c>
      <c r="AB81">
        <v>8</v>
      </c>
      <c r="AC81">
        <v>0.67369999999999597</v>
      </c>
      <c r="AD81">
        <v>-0.12807959999999999</v>
      </c>
      <c r="AE81">
        <v>-7.1799999999996006E-2</v>
      </c>
      <c r="AF81">
        <v>7.1038358771610396E-2</v>
      </c>
      <c r="AG81">
        <v>-0.12807959999999999</v>
      </c>
      <c r="AH81">
        <v>0.65026936323200102</v>
      </c>
      <c r="AI81">
        <v>101.078305410488</v>
      </c>
      <c r="AJ81">
        <v>83.765473828305005</v>
      </c>
      <c r="AK81">
        <v>0.66655913249409204</v>
      </c>
      <c r="AL81">
        <v>80.658057537996399</v>
      </c>
      <c r="AM81">
        <v>87.860726451205196</v>
      </c>
      <c r="AN81">
        <v>1.0000000632411501</v>
      </c>
    </row>
    <row r="82" spans="1:40" x14ac:dyDescent="0.25">
      <c r="A82" t="str">
        <f>"20190312172610915"</f>
        <v>20190312172610915</v>
      </c>
      <c r="B82" t="str">
        <f>"1552382770908718"</f>
        <v>1552382770908718</v>
      </c>
      <c r="C82" t="s">
        <v>40</v>
      </c>
      <c r="D82">
        <v>3.1835049999999998</v>
      </c>
      <c r="E82">
        <v>0.52702469999999901</v>
      </c>
      <c r="F82" t="s">
        <v>44</v>
      </c>
      <c r="G82">
        <v>-472.5702</v>
      </c>
      <c r="H82">
        <v>0.98130870000000003</v>
      </c>
      <c r="I82">
        <v>367.15089999999998</v>
      </c>
      <c r="J82">
        <v>-473.24189999999999</v>
      </c>
      <c r="K82">
        <v>1.1090450000000001</v>
      </c>
      <c r="L82">
        <v>367.22289999999998</v>
      </c>
      <c r="M82">
        <v>0.99998690000000001</v>
      </c>
      <c r="N82">
        <v>0</v>
      </c>
      <c r="O82">
        <v>2.7018340000000002E-3</v>
      </c>
      <c r="P82">
        <v>0.98687440000000004</v>
      </c>
      <c r="Q82">
        <v>0.15761339999999999</v>
      </c>
      <c r="R82">
        <v>-3.5167980000000001E-2</v>
      </c>
      <c r="S82">
        <v>3.115173</v>
      </c>
      <c r="T82">
        <v>-0.53289319999999996</v>
      </c>
      <c r="U82">
        <v>-0.29760740000000002</v>
      </c>
      <c r="V82">
        <v>3.7831499999999997E-2</v>
      </c>
      <c r="W82">
        <v>0.1619003</v>
      </c>
      <c r="X82">
        <v>0.98608169999999995</v>
      </c>
      <c r="Y82">
        <v>9.6364839999999993E-2</v>
      </c>
      <c r="Z82">
        <v>-8.6224950000000009E-3</v>
      </c>
      <c r="AA82">
        <v>0.99530879999999999</v>
      </c>
      <c r="AB82">
        <v>8</v>
      </c>
      <c r="AC82">
        <v>0.67169999999998697</v>
      </c>
      <c r="AD82">
        <v>-0.1277363</v>
      </c>
      <c r="AE82">
        <v>-7.2000000000002701E-2</v>
      </c>
      <c r="AF82">
        <v>7.1266559756634706E-2</v>
      </c>
      <c r="AG82">
        <v>-0.1277363</v>
      </c>
      <c r="AH82">
        <v>0.648323300566924</v>
      </c>
      <c r="AI82">
        <v>101.08089443595701</v>
      </c>
      <c r="AJ82">
        <v>83.726980453610096</v>
      </c>
      <c r="AK82">
        <v>0.66461912922757904</v>
      </c>
      <c r="AL82">
        <v>80.682786559490495</v>
      </c>
      <c r="AM82">
        <v>87.802897342176493</v>
      </c>
      <c r="AN82">
        <v>1.00000002430361</v>
      </c>
    </row>
    <row r="83" spans="1:40" x14ac:dyDescent="0.25">
      <c r="A83" t="str">
        <f>"20190312172610937"</f>
        <v>20190312172610937</v>
      </c>
      <c r="B83" t="str">
        <f>"1552382770928238"</f>
        <v>1552382770928238</v>
      </c>
      <c r="C83" t="s">
        <v>40</v>
      </c>
      <c r="D83">
        <v>3.1845309999999998</v>
      </c>
      <c r="E83">
        <v>0.55109269999999999</v>
      </c>
      <c r="F83" t="s">
        <v>44</v>
      </c>
      <c r="G83">
        <v>-472.50099999999998</v>
      </c>
      <c r="H83">
        <v>0.98080579999999995</v>
      </c>
      <c r="I83">
        <v>367.15129999999999</v>
      </c>
      <c r="J83">
        <v>-473.16669999999999</v>
      </c>
      <c r="K83">
        <v>1.109494</v>
      </c>
      <c r="L83">
        <v>367.22320000000002</v>
      </c>
      <c r="M83">
        <v>0.99997970000000003</v>
      </c>
      <c r="N83">
        <v>0</v>
      </c>
      <c r="O83">
        <v>2.7620380000000001E-3</v>
      </c>
      <c r="P83">
        <v>0.98706729999999998</v>
      </c>
      <c r="Q83">
        <v>0.15607799999999999</v>
      </c>
      <c r="R83">
        <v>-3.6579029999999998E-2</v>
      </c>
      <c r="S83">
        <v>3.115265</v>
      </c>
      <c r="T83">
        <v>-0.53920729999999994</v>
      </c>
      <c r="U83">
        <v>-0.30081180000000002</v>
      </c>
      <c r="V83">
        <v>3.9305229999999997E-2</v>
      </c>
      <c r="W83">
        <v>0.16176289999999999</v>
      </c>
      <c r="X83">
        <v>0.9860466</v>
      </c>
      <c r="Y83">
        <v>9.738695E-2</v>
      </c>
      <c r="Z83">
        <v>-8.820441E-3</v>
      </c>
      <c r="AA83">
        <v>0.99520750000000002</v>
      </c>
      <c r="AB83">
        <v>8</v>
      </c>
      <c r="AC83">
        <v>0.66570000000001495</v>
      </c>
      <c r="AD83">
        <v>-0.128688199999999</v>
      </c>
      <c r="AE83">
        <v>-7.1900000000027803E-2</v>
      </c>
      <c r="AF83">
        <v>7.1111661390118597E-2</v>
      </c>
      <c r="AG83">
        <v>-0.128688199999999</v>
      </c>
      <c r="AH83">
        <v>0.64179181212632197</v>
      </c>
      <c r="AI83">
        <v>101.271048344024</v>
      </c>
      <c r="AJ83">
        <v>83.677317292009405</v>
      </c>
      <c r="AK83">
        <v>0.658417991337791</v>
      </c>
      <c r="AL83">
        <v>80.690764089773197</v>
      </c>
      <c r="AM83">
        <v>87.717316650752807</v>
      </c>
      <c r="AN83">
        <v>1.0000000171466601</v>
      </c>
    </row>
    <row r="84" spans="1:40" x14ac:dyDescent="0.25">
      <c r="A84" t="str">
        <f>"20190312172610959"</f>
        <v>20190312172610959</v>
      </c>
      <c r="B84" t="str">
        <f>"1552382770948734"</f>
        <v>1552382770948734</v>
      </c>
      <c r="C84" t="s">
        <v>40</v>
      </c>
      <c r="D84">
        <v>3.1889560000000001</v>
      </c>
      <c r="E84">
        <v>0.55417169999999905</v>
      </c>
      <c r="F84" t="s">
        <v>44</v>
      </c>
      <c r="G84">
        <v>-472.44349999999997</v>
      </c>
      <c r="H84">
        <v>0.96010119999999999</v>
      </c>
      <c r="I84">
        <v>367.10829999999999</v>
      </c>
      <c r="J84">
        <v>-473.09309999999999</v>
      </c>
      <c r="K84">
        <v>1.109917</v>
      </c>
      <c r="L84">
        <v>367.2235</v>
      </c>
      <c r="M84">
        <v>0.99996859999999999</v>
      </c>
      <c r="N84">
        <v>0</v>
      </c>
      <c r="O84">
        <v>2.818849E-3</v>
      </c>
      <c r="P84">
        <v>0.98725430000000003</v>
      </c>
      <c r="Q84">
        <v>0.15451609999999999</v>
      </c>
      <c r="R84">
        <v>-3.8128250000000002E-2</v>
      </c>
      <c r="S84">
        <v>3.1230159999999998</v>
      </c>
      <c r="T84">
        <v>-0.64525790000000005</v>
      </c>
      <c r="U84">
        <v>-0.49484250000000002</v>
      </c>
      <c r="V84">
        <v>4.0913819999999997E-2</v>
      </c>
      <c r="W84">
        <v>0.1618194</v>
      </c>
      <c r="X84">
        <v>0.98597190000000001</v>
      </c>
      <c r="Y84">
        <v>0.1560077</v>
      </c>
      <c r="Z84">
        <v>-1.64253E-2</v>
      </c>
      <c r="AA84">
        <v>0.98761929999999998</v>
      </c>
      <c r="AB84">
        <v>8</v>
      </c>
      <c r="AC84">
        <v>0.64960000000002005</v>
      </c>
      <c r="AD84">
        <v>-0.1498158</v>
      </c>
      <c r="AE84">
        <v>-0.115200000000015</v>
      </c>
      <c r="AF84">
        <v>0.111291693254257</v>
      </c>
      <c r="AG84">
        <v>-0.1498158</v>
      </c>
      <c r="AH84">
        <v>0.61743324965180901</v>
      </c>
      <c r="AI84">
        <v>103.430419784935</v>
      </c>
      <c r="AJ84">
        <v>79.782210888807299</v>
      </c>
      <c r="AK84">
        <v>0.64502281563727104</v>
      </c>
      <c r="AL84">
        <v>80.687483715895496</v>
      </c>
      <c r="AM84">
        <v>87.623821630004699</v>
      </c>
      <c r="AN84">
        <v>1.0000000232364801</v>
      </c>
    </row>
    <row r="85" spans="1:40" x14ac:dyDescent="0.25">
      <c r="A85" t="str">
        <f>"20190312172610983"</f>
        <v>20190312172610983</v>
      </c>
      <c r="B85" t="str">
        <f>"1552382770978990"</f>
        <v>1552382770978990</v>
      </c>
      <c r="C85" t="s">
        <v>40</v>
      </c>
      <c r="D85">
        <v>3.1650040000000002</v>
      </c>
      <c r="E85">
        <v>0.55613100000000004</v>
      </c>
      <c r="F85" t="s">
        <v>44</v>
      </c>
      <c r="G85">
        <v>-472.37759999999997</v>
      </c>
      <c r="H85">
        <v>0.95923890000000001</v>
      </c>
      <c r="I85">
        <v>367.10340000000002</v>
      </c>
      <c r="J85">
        <v>-473.01319999999998</v>
      </c>
      <c r="K85">
        <v>1.1099300000000001</v>
      </c>
      <c r="L85">
        <v>367.22370000000001</v>
      </c>
      <c r="M85">
        <v>0.99996510000000005</v>
      </c>
      <c r="N85">
        <v>0</v>
      </c>
      <c r="O85">
        <v>2.883142E-3</v>
      </c>
      <c r="P85">
        <v>0.98740689999999998</v>
      </c>
      <c r="Q85">
        <v>0.15314120000000001</v>
      </c>
      <c r="R85">
        <v>-3.9695639999999997E-2</v>
      </c>
      <c r="S85">
        <v>3.121429</v>
      </c>
      <c r="T85">
        <v>-0.6574335</v>
      </c>
      <c r="U85">
        <v>-0.52288820000000003</v>
      </c>
      <c r="V85">
        <v>4.2545119999999999E-2</v>
      </c>
      <c r="W85">
        <v>0.1608792</v>
      </c>
      <c r="X85">
        <v>0.98605670000000001</v>
      </c>
      <c r="Y85">
        <v>0.1644833</v>
      </c>
      <c r="Z85">
        <v>-1.7615619999999999E-2</v>
      </c>
      <c r="AA85">
        <v>0.98622259999999995</v>
      </c>
      <c r="AB85">
        <v>7</v>
      </c>
      <c r="AC85">
        <v>0.63560000000001005</v>
      </c>
      <c r="AD85">
        <v>-0.150691099999999</v>
      </c>
      <c r="AE85">
        <v>-0.120299999999986</v>
      </c>
      <c r="AF85">
        <v>0.11584568599145401</v>
      </c>
      <c r="AG85">
        <v>-0.150691099999999</v>
      </c>
      <c r="AH85">
        <v>0.60255282444615099</v>
      </c>
      <c r="AI85">
        <v>103.798190503927</v>
      </c>
      <c r="AJ85">
        <v>79.117210790191905</v>
      </c>
      <c r="AK85">
        <v>0.631821127242572</v>
      </c>
      <c r="AL85">
        <v>80.742068287866203</v>
      </c>
      <c r="AM85">
        <v>87.529406957036898</v>
      </c>
      <c r="AN85">
        <v>1.0000000099216699</v>
      </c>
    </row>
    <row r="86" spans="1:40" x14ac:dyDescent="0.25">
      <c r="A86" t="str">
        <f>"20190312172611006"</f>
        <v>20190312172611006</v>
      </c>
      <c r="B86" t="str">
        <f>"1552382770998511"</f>
        <v>1552382770998511</v>
      </c>
      <c r="C86" t="s">
        <v>40</v>
      </c>
      <c r="D86">
        <v>3.177225</v>
      </c>
      <c r="E86">
        <v>0.55680659999999904</v>
      </c>
      <c r="F86" t="s">
        <v>44</v>
      </c>
      <c r="G86">
        <v>-472.30779999999999</v>
      </c>
      <c r="H86">
        <v>0.95923780000000003</v>
      </c>
      <c r="I86">
        <v>367.10050000000001</v>
      </c>
      <c r="J86">
        <v>-472.93029999999999</v>
      </c>
      <c r="K86">
        <v>1.109631</v>
      </c>
      <c r="L86">
        <v>367.22410000000002</v>
      </c>
      <c r="M86">
        <v>0.99997029999999998</v>
      </c>
      <c r="N86">
        <v>0</v>
      </c>
      <c r="O86">
        <v>2.957285E-3</v>
      </c>
      <c r="P86">
        <v>0.98734900000000003</v>
      </c>
      <c r="Q86">
        <v>0.1531872</v>
      </c>
      <c r="R86">
        <v>-4.0936939999999998E-2</v>
      </c>
      <c r="S86">
        <v>3.1198429999999999</v>
      </c>
      <c r="T86">
        <v>-0.66667529999999997</v>
      </c>
      <c r="U86">
        <v>-0.54260249999999999</v>
      </c>
      <c r="V86">
        <v>4.3857670000000001E-2</v>
      </c>
      <c r="W86">
        <v>0.16021839999999901</v>
      </c>
      <c r="X86">
        <v>0.98610679999999995</v>
      </c>
      <c r="Y86">
        <v>0.17045859999999999</v>
      </c>
      <c r="Z86">
        <v>-1.849988E-2</v>
      </c>
      <c r="AA86">
        <v>0.98519120000000004</v>
      </c>
      <c r="AB86">
        <v>7</v>
      </c>
      <c r="AC86">
        <v>0.62250000000000205</v>
      </c>
      <c r="AD86">
        <v>-0.1503932</v>
      </c>
      <c r="AE86">
        <v>-0.12360000000000999</v>
      </c>
      <c r="AF86">
        <v>0.118770888834193</v>
      </c>
      <c r="AG86">
        <v>-0.1503932</v>
      </c>
      <c r="AH86">
        <v>0.58905369602346702</v>
      </c>
      <c r="AI86">
        <v>104.051150613717</v>
      </c>
      <c r="AJ86">
        <v>78.600296361462995</v>
      </c>
      <c r="AK86">
        <v>0.61944240687864704</v>
      </c>
      <c r="AL86">
        <v>80.780427080529094</v>
      </c>
      <c r="AM86">
        <v>87.453415312148195</v>
      </c>
      <c r="AN86">
        <v>1.00000002596131</v>
      </c>
    </row>
    <row r="87" spans="1:40" x14ac:dyDescent="0.25">
      <c r="A87" t="str">
        <f>"20190312172611026"</f>
        <v>20190312172611026</v>
      </c>
      <c r="B87" t="str">
        <f>"1552382771019006"</f>
        <v>1552382771019006</v>
      </c>
      <c r="C87" t="s">
        <v>40</v>
      </c>
      <c r="D87">
        <v>3.1552859999999998</v>
      </c>
      <c r="E87">
        <v>0.55668899999999999</v>
      </c>
      <c r="F87" t="s">
        <v>44</v>
      </c>
      <c r="G87">
        <v>-472.23469999999998</v>
      </c>
      <c r="H87">
        <v>0.96028780000000002</v>
      </c>
      <c r="I87">
        <v>367.10129999999998</v>
      </c>
      <c r="J87">
        <v>-472.85430000000002</v>
      </c>
      <c r="K87">
        <v>1.1094029999999999</v>
      </c>
      <c r="L87">
        <v>367.2244</v>
      </c>
      <c r="M87">
        <v>0.99997499999999995</v>
      </c>
      <c r="N87">
        <v>0</v>
      </c>
      <c r="O87">
        <v>3.0306450000000002E-3</v>
      </c>
      <c r="P87">
        <v>0.98728890000000002</v>
      </c>
      <c r="Q87">
        <v>0.15319269999999999</v>
      </c>
      <c r="R87">
        <v>-4.2341440000000001E-2</v>
      </c>
      <c r="S87">
        <v>3.119507</v>
      </c>
      <c r="T87">
        <v>-0.66970799999999997</v>
      </c>
      <c r="U87">
        <v>-0.55120849999999999</v>
      </c>
      <c r="V87">
        <v>4.5332509999999999E-2</v>
      </c>
      <c r="W87">
        <v>0.1595114</v>
      </c>
      <c r="X87">
        <v>0.98615469999999905</v>
      </c>
      <c r="Y87">
        <v>0.17309229999999901</v>
      </c>
      <c r="Z87">
        <v>-1.8872770000000001E-2</v>
      </c>
      <c r="AA87">
        <v>0.98472479999999996</v>
      </c>
      <c r="AB87">
        <v>8</v>
      </c>
      <c r="AC87">
        <v>0.619600000000048</v>
      </c>
      <c r="AD87">
        <v>-0.1491152</v>
      </c>
      <c r="AE87">
        <v>-0.123100000000022</v>
      </c>
      <c r="AF87">
        <v>0.118381111387273</v>
      </c>
      <c r="AG87">
        <v>-0.1491152</v>
      </c>
      <c r="AH87">
        <v>0.58654217388111796</v>
      </c>
      <c r="AI87">
        <v>103.993236770617</v>
      </c>
      <c r="AJ87">
        <v>78.589349849033795</v>
      </c>
      <c r="AK87">
        <v>0.61666940263443704</v>
      </c>
      <c r="AL87">
        <v>80.821462794483097</v>
      </c>
      <c r="AM87">
        <v>87.368025240370102</v>
      </c>
      <c r="AN87">
        <v>1.00000000776247</v>
      </c>
    </row>
    <row r="88" spans="1:40" x14ac:dyDescent="0.25">
      <c r="A88" t="str">
        <f>"20190312172611050"</f>
        <v>20190312172611050</v>
      </c>
      <c r="B88" t="str">
        <f>"1552382771038527"</f>
        <v>1552382771038527</v>
      </c>
      <c r="C88" t="s">
        <v>40</v>
      </c>
      <c r="D88">
        <v>3.1899500000000001</v>
      </c>
      <c r="E88">
        <v>0.55677129999999997</v>
      </c>
      <c r="F88" t="s">
        <v>44</v>
      </c>
      <c r="G88">
        <v>-472.16030000000001</v>
      </c>
      <c r="H88">
        <v>0.96066459999999998</v>
      </c>
      <c r="I88">
        <v>367.1003</v>
      </c>
      <c r="J88">
        <v>-472.767</v>
      </c>
      <c r="K88">
        <v>1.1092610000000001</v>
      </c>
      <c r="L88">
        <v>367.22469999999998</v>
      </c>
      <c r="M88">
        <v>0.99997820000000004</v>
      </c>
      <c r="N88">
        <v>0</v>
      </c>
      <c r="O88">
        <v>3.1180439999999999E-3</v>
      </c>
      <c r="P88">
        <v>0.98714979999999997</v>
      </c>
      <c r="Q88">
        <v>0.15383179999999999</v>
      </c>
      <c r="R88">
        <v>-4.3257329999999997E-2</v>
      </c>
      <c r="S88">
        <v>3.1185610000000001</v>
      </c>
      <c r="T88">
        <v>-0.66849919999999996</v>
      </c>
      <c r="U88">
        <v>-0.55505369999999998</v>
      </c>
      <c r="V88">
        <v>4.6332610000000003E-2</v>
      </c>
      <c r="W88">
        <v>0.15959799999999999</v>
      </c>
      <c r="X88">
        <v>0.98609420000000003</v>
      </c>
      <c r="Y88">
        <v>0.1743885</v>
      </c>
      <c r="Z88">
        <v>-1.8997730000000001E-2</v>
      </c>
      <c r="AA88">
        <v>0.98449359999999997</v>
      </c>
      <c r="AB88">
        <v>8</v>
      </c>
      <c r="AC88">
        <v>0.60669999999998903</v>
      </c>
      <c r="AD88">
        <v>-0.14859639999999899</v>
      </c>
      <c r="AE88">
        <v>-0.12439999999998</v>
      </c>
      <c r="AF88">
        <v>0.119416543851912</v>
      </c>
      <c r="AG88">
        <v>-0.14859639999999899</v>
      </c>
      <c r="AH88">
        <v>0.57330499739531804</v>
      </c>
      <c r="AI88">
        <v>104.23809108573801</v>
      </c>
      <c r="AJ88">
        <v>78.233818031762496</v>
      </c>
      <c r="AK88">
        <v>0.60416870249702703</v>
      </c>
      <c r="AL88">
        <v>80.816436534649</v>
      </c>
      <c r="AM88">
        <v>87.309879685995099</v>
      </c>
      <c r="AN88">
        <v>1.00000000181352</v>
      </c>
    </row>
    <row r="89" spans="1:40" x14ac:dyDescent="0.25">
      <c r="A89" t="str">
        <f>"20190312172611073"</f>
        <v>20190312172611073</v>
      </c>
      <c r="B89" t="str">
        <f>"1552382771068782"</f>
        <v>1552382771068782</v>
      </c>
      <c r="C89" t="s">
        <v>40</v>
      </c>
      <c r="D89">
        <v>3.1692550000000002</v>
      </c>
      <c r="E89">
        <v>0.5567628</v>
      </c>
      <c r="F89" t="s">
        <v>44</v>
      </c>
      <c r="G89">
        <v>-472.0138</v>
      </c>
      <c r="H89">
        <v>0.94826529999999998</v>
      </c>
      <c r="I89">
        <v>367.08909999999997</v>
      </c>
      <c r="J89">
        <v>-472.67649999999998</v>
      </c>
      <c r="K89">
        <v>1.1091850000000001</v>
      </c>
      <c r="L89">
        <v>367.2251</v>
      </c>
      <c r="M89">
        <v>0.99998010000000004</v>
      </c>
      <c r="N89">
        <v>0</v>
      </c>
      <c r="O89">
        <v>3.2068169999999998E-3</v>
      </c>
      <c r="P89">
        <v>0.98702029999999996</v>
      </c>
      <c r="Q89">
        <v>0.1544421</v>
      </c>
      <c r="R89">
        <v>-4.4033910000000002E-2</v>
      </c>
      <c r="S89">
        <v>3.118439</v>
      </c>
      <c r="T89">
        <v>-0.66678289999999996</v>
      </c>
      <c r="U89">
        <v>-0.55865480000000001</v>
      </c>
      <c r="V89">
        <v>4.7195170000000002E-2</v>
      </c>
      <c r="W89">
        <v>0.15983240000000001</v>
      </c>
      <c r="X89">
        <v>0.98601530000000004</v>
      </c>
      <c r="Y89">
        <v>0.1755767</v>
      </c>
      <c r="Z89">
        <v>-1.9092149999999999E-2</v>
      </c>
      <c r="AA89">
        <v>0.98428059999999995</v>
      </c>
      <c r="AB89">
        <v>8</v>
      </c>
      <c r="AC89">
        <v>0.66269999999997198</v>
      </c>
      <c r="AD89">
        <v>-0.1609197</v>
      </c>
      <c r="AE89">
        <v>-0.13600000000002399</v>
      </c>
      <c r="AF89">
        <v>0.13072781437094999</v>
      </c>
      <c r="AG89">
        <v>-0.1609197</v>
      </c>
      <c r="AH89">
        <v>0.62679588921252205</v>
      </c>
      <c r="AI89">
        <v>104.107712044728</v>
      </c>
      <c r="AJ89">
        <v>78.218978912543193</v>
      </c>
      <c r="AK89">
        <v>0.66019542412229104</v>
      </c>
      <c r="AL89">
        <v>80.802831521787496</v>
      </c>
      <c r="AM89">
        <v>87.259655244069705</v>
      </c>
      <c r="AN89">
        <v>0.99999997599758905</v>
      </c>
    </row>
    <row r="90" spans="1:40" x14ac:dyDescent="0.25">
      <c r="A90" t="str">
        <f>"20190312172611098"</f>
        <v>20190312172611098</v>
      </c>
      <c r="B90" t="str">
        <f>"1552382771088302"</f>
        <v>1552382771088302</v>
      </c>
      <c r="C90" t="s">
        <v>40</v>
      </c>
      <c r="D90">
        <v>3.186515</v>
      </c>
      <c r="E90">
        <v>0.55697700000000006</v>
      </c>
      <c r="F90" t="s">
        <v>44</v>
      </c>
      <c r="G90">
        <v>-471.9348</v>
      </c>
      <c r="H90">
        <v>0.95095339999999995</v>
      </c>
      <c r="I90">
        <v>367.09179999999998</v>
      </c>
      <c r="J90">
        <v>-472.5806</v>
      </c>
      <c r="K90">
        <v>1.109135</v>
      </c>
      <c r="L90">
        <v>367.22550000000001</v>
      </c>
      <c r="M90">
        <v>0.99998140000000002</v>
      </c>
      <c r="N90">
        <v>0</v>
      </c>
      <c r="O90">
        <v>3.297304E-3</v>
      </c>
      <c r="P90">
        <v>0.98691490000000004</v>
      </c>
      <c r="Q90">
        <v>0.1548302</v>
      </c>
      <c r="R90">
        <v>-4.501786E-2</v>
      </c>
      <c r="S90">
        <v>3.1185610000000001</v>
      </c>
      <c r="T90">
        <v>-0.66540310000000003</v>
      </c>
      <c r="U90">
        <v>-0.56045529999999999</v>
      </c>
      <c r="V90">
        <v>4.8267669999999999E-2</v>
      </c>
      <c r="W90">
        <v>0.1598861</v>
      </c>
      <c r="X90">
        <v>0.98595469999999996</v>
      </c>
      <c r="Y90">
        <v>0.17621049999999999</v>
      </c>
      <c r="Z90">
        <v>-1.913714E-2</v>
      </c>
      <c r="AA90">
        <v>0.9841664</v>
      </c>
      <c r="AB90">
        <v>9</v>
      </c>
      <c r="AC90">
        <v>0.64580000000000803</v>
      </c>
      <c r="AD90">
        <v>-0.15818160000000001</v>
      </c>
      <c r="AE90">
        <v>-0.13370000000003299</v>
      </c>
      <c r="AF90">
        <v>0.12843965420064299</v>
      </c>
      <c r="AG90">
        <v>-0.15818160000000001</v>
      </c>
      <c r="AH90">
        <v>0.61024845543846795</v>
      </c>
      <c r="AI90">
        <v>104.232969860751</v>
      </c>
      <c r="AJ90">
        <v>78.114372213357299</v>
      </c>
      <c r="AK90">
        <v>0.64336718964738704</v>
      </c>
      <c r="AL90">
        <v>80.799714893363998</v>
      </c>
      <c r="AM90">
        <v>87.197307705478906</v>
      </c>
      <c r="AN90">
        <v>1.00000000169626</v>
      </c>
    </row>
    <row r="91" spans="1:40" x14ac:dyDescent="0.25">
      <c r="A91" t="str">
        <f>"20190312172611119"</f>
        <v>20190312172611119</v>
      </c>
      <c r="B91" t="str">
        <f>"1552382771108799"</f>
        <v>1552382771108799</v>
      </c>
      <c r="C91" t="s">
        <v>40</v>
      </c>
      <c r="D91">
        <v>3.183748</v>
      </c>
      <c r="E91">
        <v>0.55712819999999996</v>
      </c>
      <c r="F91" t="s">
        <v>44</v>
      </c>
      <c r="G91">
        <v>-471.8544</v>
      </c>
      <c r="H91">
        <v>0.95389000000000002</v>
      </c>
      <c r="I91">
        <v>367.09350000000001</v>
      </c>
      <c r="J91">
        <v>-472.49400000000003</v>
      </c>
      <c r="K91">
        <v>1.1091139999999999</v>
      </c>
      <c r="L91">
        <v>367.22590000000002</v>
      </c>
      <c r="M91">
        <v>0.9999825</v>
      </c>
      <c r="N91">
        <v>0</v>
      </c>
      <c r="O91">
        <v>3.3757969999999998E-3</v>
      </c>
      <c r="P91">
        <v>0.98689899999999997</v>
      </c>
      <c r="Q91">
        <v>0.15469959999999999</v>
      </c>
      <c r="R91">
        <v>-4.5812489999999997E-2</v>
      </c>
      <c r="S91">
        <v>3.1186219999999998</v>
      </c>
      <c r="T91">
        <v>-0.66686109999999998</v>
      </c>
      <c r="U91">
        <v>-0.56488039999999995</v>
      </c>
      <c r="V91">
        <v>4.9139889999999999E-2</v>
      </c>
      <c r="W91">
        <v>0.1595212</v>
      </c>
      <c r="X91">
        <v>0.98597069999999998</v>
      </c>
      <c r="Y91">
        <v>0.177589</v>
      </c>
      <c r="Z91">
        <v>-1.9336559999999999E-2</v>
      </c>
      <c r="AA91">
        <v>0.98391470000000003</v>
      </c>
      <c r="AB91">
        <v>9</v>
      </c>
      <c r="AC91">
        <v>0.63960000000002903</v>
      </c>
      <c r="AD91">
        <v>-0.155223999999999</v>
      </c>
      <c r="AE91">
        <v>-0.132400000000018</v>
      </c>
      <c r="AF91">
        <v>0.127365114813351</v>
      </c>
      <c r="AG91">
        <v>-0.155223999999999</v>
      </c>
      <c r="AH91">
        <v>0.60498131217208695</v>
      </c>
      <c r="AI91">
        <v>104.094082558803</v>
      </c>
      <c r="AJ91">
        <v>78.111285005099703</v>
      </c>
      <c r="AK91">
        <v>0.63743136942331202</v>
      </c>
      <c r="AL91">
        <v>80.820893770991802</v>
      </c>
      <c r="AM91">
        <v>87.146790882934297</v>
      </c>
      <c r="AN91">
        <v>0.99999998164856996</v>
      </c>
    </row>
    <row r="92" spans="1:40" x14ac:dyDescent="0.25">
      <c r="A92" t="str">
        <f>"20190312172611140"</f>
        <v>20190312172611140</v>
      </c>
      <c r="B92" t="str">
        <f>"1552382771128319"</f>
        <v>1552382771128319</v>
      </c>
      <c r="C92" t="s">
        <v>40</v>
      </c>
      <c r="D92">
        <v>3.225635</v>
      </c>
      <c r="E92">
        <v>0.55736569999999996</v>
      </c>
      <c r="F92" t="s">
        <v>44</v>
      </c>
      <c r="G92">
        <v>-471.77390000000003</v>
      </c>
      <c r="H92">
        <v>0.95452859999999995</v>
      </c>
      <c r="I92">
        <v>367.09429999999998</v>
      </c>
      <c r="J92">
        <v>-472.41160000000002</v>
      </c>
      <c r="K92">
        <v>1.1091150000000001</v>
      </c>
      <c r="L92">
        <v>367.22629999999998</v>
      </c>
      <c r="M92">
        <v>0.99998279999999995</v>
      </c>
      <c r="N92">
        <v>0</v>
      </c>
      <c r="O92">
        <v>3.4504689999999998E-3</v>
      </c>
      <c r="P92">
        <v>0.98686640000000003</v>
      </c>
      <c r="Q92">
        <v>0.154883299999999</v>
      </c>
      <c r="R92">
        <v>-4.589389E-2</v>
      </c>
      <c r="S92">
        <v>3.1183779999999999</v>
      </c>
      <c r="T92">
        <v>-0.66941649999999997</v>
      </c>
      <c r="U92">
        <v>-0.56845089999999998</v>
      </c>
      <c r="V92">
        <v>4.9295409999999998E-2</v>
      </c>
      <c r="W92">
        <v>0.15958429999999901</v>
      </c>
      <c r="X92">
        <v>0.98595270000000002</v>
      </c>
      <c r="Y92">
        <v>0.17871029999999999</v>
      </c>
      <c r="Z92">
        <v>-1.9542380000000002E-2</v>
      </c>
      <c r="AA92">
        <v>0.98370769999999996</v>
      </c>
      <c r="AB92">
        <v>9</v>
      </c>
      <c r="AC92">
        <v>0.63769999999999505</v>
      </c>
      <c r="AD92">
        <v>-0.15458640000000001</v>
      </c>
      <c r="AE92">
        <v>-0.132000000000005</v>
      </c>
      <c r="AF92">
        <v>0.12704092225988001</v>
      </c>
      <c r="AG92">
        <v>-0.15458640000000001</v>
      </c>
      <c r="AH92">
        <v>0.603248065324961</v>
      </c>
      <c r="AI92">
        <v>104.07703306907</v>
      </c>
      <c r="AJ92">
        <v>78.107583176730202</v>
      </c>
      <c r="AK92">
        <v>0.635566345326677</v>
      </c>
      <c r="AL92">
        <v>80.817231257813802</v>
      </c>
      <c r="AM92">
        <v>87.137723750877399</v>
      </c>
      <c r="AN92">
        <v>0.99999995644542305</v>
      </c>
    </row>
    <row r="93" spans="1:40" x14ac:dyDescent="0.25">
      <c r="A93" t="str">
        <f>"20190312172611162"</f>
        <v>20190312172611162</v>
      </c>
      <c r="B93" t="str">
        <f>"1552382771158575"</f>
        <v>1552382771158575</v>
      </c>
      <c r="C93" t="s">
        <v>40</v>
      </c>
      <c r="D93">
        <v>3.2836560000000001</v>
      </c>
      <c r="E93">
        <v>0.55781849999999999</v>
      </c>
      <c r="F93" t="s">
        <v>44</v>
      </c>
      <c r="G93">
        <v>-471.69290000000001</v>
      </c>
      <c r="H93">
        <v>0.95411659999999998</v>
      </c>
      <c r="I93">
        <v>367.09449999999998</v>
      </c>
      <c r="J93">
        <v>-472.32150000000001</v>
      </c>
      <c r="K93">
        <v>1.109143</v>
      </c>
      <c r="L93">
        <v>367.22669999999999</v>
      </c>
      <c r="M93">
        <v>0.9999827</v>
      </c>
      <c r="N93">
        <v>0</v>
      </c>
      <c r="O93">
        <v>3.5333299999999999E-3</v>
      </c>
      <c r="P93">
        <v>0.98682000000000003</v>
      </c>
      <c r="Q93">
        <v>0.1551149</v>
      </c>
      <c r="R93">
        <v>-4.6105439999999998E-2</v>
      </c>
      <c r="S93">
        <v>3.1190190000000002</v>
      </c>
      <c r="T93">
        <v>-0.67279029999999995</v>
      </c>
      <c r="U93">
        <v>-0.57006840000000003</v>
      </c>
      <c r="V93">
        <v>4.9589300000000003E-2</v>
      </c>
      <c r="W93">
        <v>0.15978200000000001</v>
      </c>
      <c r="X93">
        <v>0.98590599999999995</v>
      </c>
      <c r="Y93">
        <v>0.17919889999999999</v>
      </c>
      <c r="Z93">
        <v>-1.9703169999999999E-2</v>
      </c>
      <c r="AA93">
        <v>0.98361549999999998</v>
      </c>
      <c r="AB93">
        <v>9</v>
      </c>
      <c r="AC93">
        <v>0.62860000000000504</v>
      </c>
      <c r="AD93">
        <v>-0.15502640000000001</v>
      </c>
      <c r="AE93">
        <v>-0.132200000000011</v>
      </c>
      <c r="AF93">
        <v>0.12702173545585299</v>
      </c>
      <c r="AG93">
        <v>-0.15502640000000001</v>
      </c>
      <c r="AH93">
        <v>0.59355663190737995</v>
      </c>
      <c r="AI93">
        <v>104.327038039377</v>
      </c>
      <c r="AJ93">
        <v>77.920838489505797</v>
      </c>
      <c r="AK93">
        <v>0.62647999270240895</v>
      </c>
      <c r="AL93">
        <v>80.805757172374001</v>
      </c>
      <c r="AM93">
        <v>87.120551869802199</v>
      </c>
      <c r="AN93">
        <v>1.00000001351724</v>
      </c>
    </row>
    <row r="94" spans="1:40" x14ac:dyDescent="0.25">
      <c r="A94" t="str">
        <f>"20190312172611183"</f>
        <v>20190312172611183</v>
      </c>
      <c r="B94" t="str">
        <f>"1552382771179071"</f>
        <v>1552382771179071</v>
      </c>
      <c r="C94" t="s">
        <v>40</v>
      </c>
      <c r="D94">
        <v>3.2217250000000002</v>
      </c>
      <c r="E94">
        <v>0.55791250000000003</v>
      </c>
      <c r="F94" t="s">
        <v>44</v>
      </c>
      <c r="G94">
        <v>-471.61059999999998</v>
      </c>
      <c r="H94">
        <v>0.95471669999999997</v>
      </c>
      <c r="I94">
        <v>367.09559999999999</v>
      </c>
      <c r="J94">
        <v>-472.23309999999998</v>
      </c>
      <c r="K94">
        <v>1.1091770000000001</v>
      </c>
      <c r="L94">
        <v>367.22710000000001</v>
      </c>
      <c r="M94">
        <v>0.99998220000000004</v>
      </c>
      <c r="N94">
        <v>0</v>
      </c>
      <c r="O94">
        <v>3.6154479999999998E-3</v>
      </c>
      <c r="P94">
        <v>0.98680480000000004</v>
      </c>
      <c r="Q94">
        <v>0.155337</v>
      </c>
      <c r="R94">
        <v>-4.5682960000000002E-2</v>
      </c>
      <c r="S94">
        <v>3.1197509999999999</v>
      </c>
      <c r="T94">
        <v>-0.67771819999999905</v>
      </c>
      <c r="U94">
        <v>-0.57431030000000005</v>
      </c>
      <c r="V94">
        <v>4.9247939999999997E-2</v>
      </c>
      <c r="W94">
        <v>0.1600094</v>
      </c>
      <c r="X94">
        <v>0.98588620000000005</v>
      </c>
      <c r="Y94">
        <v>0.18044650000000001</v>
      </c>
      <c r="Z94">
        <v>-1.998784E-2</v>
      </c>
      <c r="AA94">
        <v>0.98338170000000003</v>
      </c>
      <c r="AB94">
        <v>9</v>
      </c>
      <c r="AC94">
        <v>0.62250000000000205</v>
      </c>
      <c r="AD94">
        <v>-0.15446029999999999</v>
      </c>
      <c r="AE94">
        <v>-0.13150000000001599</v>
      </c>
      <c r="AF94">
        <v>0.126305592520984</v>
      </c>
      <c r="AG94">
        <v>-0.15446029999999999</v>
      </c>
      <c r="AH94">
        <v>0.58740033671131497</v>
      </c>
      <c r="AI94">
        <v>104.417383498269</v>
      </c>
      <c r="AJ94">
        <v>77.864766100817405</v>
      </c>
      <c r="AK94">
        <v>0.62036299256703997</v>
      </c>
      <c r="AL94">
        <v>80.792558015736603</v>
      </c>
      <c r="AM94">
        <v>87.140282899618498</v>
      </c>
      <c r="AN94">
        <v>0.99999998351652097</v>
      </c>
    </row>
    <row r="95" spans="1:40" x14ac:dyDescent="0.25">
      <c r="A95" t="str">
        <f>"20190312172611206"</f>
        <v>20190312172611206</v>
      </c>
      <c r="B95" t="str">
        <f>"1552382771198591"</f>
        <v>1552382771198591</v>
      </c>
      <c r="C95" t="s">
        <v>40</v>
      </c>
      <c r="D95">
        <v>3.2226490000000001</v>
      </c>
      <c r="E95">
        <v>0.5580233</v>
      </c>
      <c r="F95" t="s">
        <v>44</v>
      </c>
      <c r="G95">
        <v>-471.52710000000002</v>
      </c>
      <c r="H95">
        <v>0.95550579999999996</v>
      </c>
      <c r="I95">
        <v>367.09699999999998</v>
      </c>
      <c r="J95">
        <v>-472.13869999999997</v>
      </c>
      <c r="K95">
        <v>1.109194</v>
      </c>
      <c r="L95">
        <v>367.22750000000002</v>
      </c>
      <c r="M95">
        <v>0.99998200000000004</v>
      </c>
      <c r="N95">
        <v>0</v>
      </c>
      <c r="O95">
        <v>3.7029739999999999E-3</v>
      </c>
      <c r="P95">
        <v>0.98672119999999996</v>
      </c>
      <c r="Q95">
        <v>0.1559933</v>
      </c>
      <c r="R95">
        <v>-4.5249890000000001E-2</v>
      </c>
      <c r="S95">
        <v>3.1205440000000002</v>
      </c>
      <c r="T95">
        <v>-0.67934369999999999</v>
      </c>
      <c r="U95">
        <v>-0.57354740000000004</v>
      </c>
      <c r="V95">
        <v>4.8900680000000002E-2</v>
      </c>
      <c r="W95">
        <v>0.1606552</v>
      </c>
      <c r="X95">
        <v>0.98579850000000002</v>
      </c>
      <c r="Y95">
        <v>0.18024019999999999</v>
      </c>
      <c r="Z95">
        <v>-2.00269E-2</v>
      </c>
      <c r="AA95">
        <v>0.98341880000000004</v>
      </c>
      <c r="AB95">
        <v>9</v>
      </c>
      <c r="AC95">
        <v>0.61159999999995296</v>
      </c>
      <c r="AD95">
        <v>-0.153688199999999</v>
      </c>
      <c r="AE95">
        <v>-0.13050000000004</v>
      </c>
      <c r="AF95">
        <v>0.12520212817371801</v>
      </c>
      <c r="AG95">
        <v>-0.153688199999999</v>
      </c>
      <c r="AH95">
        <v>0.57630584147340302</v>
      </c>
      <c r="AI95">
        <v>104.60637449740599</v>
      </c>
      <c r="AJ95">
        <v>77.742987281870001</v>
      </c>
      <c r="AK95">
        <v>0.60944569785571201</v>
      </c>
      <c r="AL95">
        <v>80.7550718377545</v>
      </c>
      <c r="AM95">
        <v>87.160162181390504</v>
      </c>
      <c r="AN95">
        <v>1.00000002619687</v>
      </c>
    </row>
    <row r="96" spans="1:40" x14ac:dyDescent="0.25">
      <c r="A96" t="str">
        <f>"20190312172611228"</f>
        <v>20190312172611228</v>
      </c>
      <c r="B96" t="str">
        <f>"1552382771219087"</f>
        <v>1552382771219087</v>
      </c>
      <c r="C96" t="s">
        <v>40</v>
      </c>
      <c r="D96">
        <v>3.2180759999999999</v>
      </c>
      <c r="E96">
        <v>0.55810249999999995</v>
      </c>
      <c r="F96" t="s">
        <v>44</v>
      </c>
      <c r="G96">
        <v>-471.44209999999998</v>
      </c>
      <c r="H96">
        <v>0.95751679999999995</v>
      </c>
      <c r="I96">
        <v>367.0994</v>
      </c>
      <c r="J96">
        <v>-472.04329999999999</v>
      </c>
      <c r="K96">
        <v>1.109197</v>
      </c>
      <c r="L96">
        <v>367.22789999999998</v>
      </c>
      <c r="M96">
        <v>0.99998189999999998</v>
      </c>
      <c r="N96">
        <v>0</v>
      </c>
      <c r="O96">
        <v>3.7922490000000001E-3</v>
      </c>
      <c r="P96">
        <v>0.98660409999999998</v>
      </c>
      <c r="Q96">
        <v>0.15680629999999901</v>
      </c>
      <c r="R96">
        <v>-4.499011E-2</v>
      </c>
      <c r="S96">
        <v>3.1215820000000001</v>
      </c>
      <c r="T96">
        <v>-0.67972080000000001</v>
      </c>
      <c r="U96">
        <v>-0.57272339999999999</v>
      </c>
      <c r="V96">
        <v>4.8728420000000001E-2</v>
      </c>
      <c r="W96">
        <v>0.1614255</v>
      </c>
      <c r="X96">
        <v>0.98568120000000004</v>
      </c>
      <c r="Y96">
        <v>0.1800195</v>
      </c>
      <c r="Z96">
        <v>-2.0027320000000001E-2</v>
      </c>
      <c r="AA96">
        <v>0.98345919999999998</v>
      </c>
      <c r="AB96">
        <v>9</v>
      </c>
      <c r="AC96">
        <v>0.60120000000000495</v>
      </c>
      <c r="AD96">
        <v>-0.15168019999999999</v>
      </c>
      <c r="AE96">
        <v>-0.128499999999974</v>
      </c>
      <c r="AF96">
        <v>0.12327497840533</v>
      </c>
      <c r="AG96">
        <v>-0.15168019999999999</v>
      </c>
      <c r="AH96">
        <v>0.56624007295758505</v>
      </c>
      <c r="AI96">
        <v>104.66764196874099</v>
      </c>
      <c r="AJ96">
        <v>77.717902407241795</v>
      </c>
      <c r="AK96">
        <v>0.59902539478379901</v>
      </c>
      <c r="AL96">
        <v>80.710353348185293</v>
      </c>
      <c r="AM96">
        <v>87.169813431765107</v>
      </c>
      <c r="AN96">
        <v>1.00000003949969</v>
      </c>
    </row>
    <row r="97" spans="1:40" x14ac:dyDescent="0.25">
      <c r="A97" t="str">
        <f>"20190312172611250"</f>
        <v>20190312172611250</v>
      </c>
      <c r="B97" t="str">
        <f>"1552382771238610"</f>
        <v>1552382771238610</v>
      </c>
      <c r="C97" t="s">
        <v>40</v>
      </c>
      <c r="D97">
        <v>3.2135370000000001</v>
      </c>
      <c r="E97">
        <v>0.55818659999999998</v>
      </c>
      <c r="F97" t="s">
        <v>44</v>
      </c>
      <c r="G97">
        <v>-471.27659999999997</v>
      </c>
      <c r="H97">
        <v>0.94237519999999997</v>
      </c>
      <c r="I97">
        <v>367.08730000000003</v>
      </c>
      <c r="J97">
        <v>-471.94729999999998</v>
      </c>
      <c r="K97">
        <v>1.109192</v>
      </c>
      <c r="L97">
        <v>367.22840000000002</v>
      </c>
      <c r="M97">
        <v>0.99998169999999997</v>
      </c>
      <c r="N97">
        <v>0</v>
      </c>
      <c r="O97">
        <v>3.8822850000000001E-3</v>
      </c>
      <c r="P97">
        <v>0.98658860000000004</v>
      </c>
      <c r="Q97">
        <v>0.15719140000000001</v>
      </c>
      <c r="R97">
        <v>-4.3978580000000003E-2</v>
      </c>
      <c r="S97">
        <v>3.122681</v>
      </c>
      <c r="T97">
        <v>-0.67955710000000003</v>
      </c>
      <c r="U97">
        <v>-0.57141109999999995</v>
      </c>
      <c r="V97">
        <v>4.7804680000000002E-2</v>
      </c>
      <c r="W97">
        <v>0.16174929999999901</v>
      </c>
      <c r="X97">
        <v>0.98567329999999997</v>
      </c>
      <c r="Y97">
        <v>0.17965729999999999</v>
      </c>
      <c r="Z97">
        <v>-1.9997129999999998E-2</v>
      </c>
      <c r="AA97">
        <v>0.98352600000000001</v>
      </c>
      <c r="AB97">
        <v>10</v>
      </c>
      <c r="AC97">
        <v>0.67070000000000995</v>
      </c>
      <c r="AD97">
        <v>-0.16681679999999899</v>
      </c>
      <c r="AE97">
        <v>-0.14109999999999401</v>
      </c>
      <c r="AF97">
        <v>0.13566596409326401</v>
      </c>
      <c r="AG97">
        <v>-0.16681679999999899</v>
      </c>
      <c r="AH97">
        <v>0.63266791399818101</v>
      </c>
      <c r="AI97">
        <v>104.456686810213</v>
      </c>
      <c r="AJ97">
        <v>77.897080837195105</v>
      </c>
      <c r="AK97">
        <v>0.66820789278367898</v>
      </c>
      <c r="AL97">
        <v>80.691553445858901</v>
      </c>
      <c r="AM97">
        <v>87.223358019124007</v>
      </c>
      <c r="AN97">
        <v>0.99999998890664099</v>
      </c>
    </row>
    <row r="98" spans="1:40" x14ac:dyDescent="0.25">
      <c r="A98" t="str">
        <f>"20190312172611273"</f>
        <v>20190312172611273</v>
      </c>
      <c r="B98" t="str">
        <f>"1552382771268863"</f>
        <v>1552382771268863</v>
      </c>
      <c r="C98" t="s">
        <v>40</v>
      </c>
      <c r="D98">
        <v>3.2248990000000002</v>
      </c>
      <c r="E98">
        <v>0.55828339999999999</v>
      </c>
      <c r="F98" t="s">
        <v>44</v>
      </c>
      <c r="G98">
        <v>-471.1884</v>
      </c>
      <c r="H98">
        <v>0.94387540000000003</v>
      </c>
      <c r="I98">
        <v>367.09019999999998</v>
      </c>
      <c r="J98">
        <v>-471.84519999999998</v>
      </c>
      <c r="K98">
        <v>1.1091869999999999</v>
      </c>
      <c r="L98">
        <v>367.22890000000001</v>
      </c>
      <c r="M98">
        <v>0.99998180000000003</v>
      </c>
      <c r="N98">
        <v>0</v>
      </c>
      <c r="O98">
        <v>3.9773359999999997E-3</v>
      </c>
      <c r="P98">
        <v>0.98660780000000003</v>
      </c>
      <c r="Q98">
        <v>0.15734509999999999</v>
      </c>
      <c r="R98">
        <v>-4.2983929999999997E-2</v>
      </c>
      <c r="S98">
        <v>3.123901</v>
      </c>
      <c r="T98">
        <v>-0.68054440000000005</v>
      </c>
      <c r="U98">
        <v>-0.56787109999999996</v>
      </c>
      <c r="V98">
        <v>4.6903479999999997E-2</v>
      </c>
      <c r="W98">
        <v>0.1618377</v>
      </c>
      <c r="X98">
        <v>0.98570210000000003</v>
      </c>
      <c r="Y98">
        <v>0.17861560000000001</v>
      </c>
      <c r="Z98">
        <v>-1.9928990000000001E-2</v>
      </c>
      <c r="AA98">
        <v>0.98371710000000001</v>
      </c>
      <c r="AB98">
        <v>10</v>
      </c>
      <c r="AC98">
        <v>0.65679999999997496</v>
      </c>
      <c r="AD98">
        <v>-0.1653116</v>
      </c>
      <c r="AE98">
        <v>-0.138700000000028</v>
      </c>
      <c r="AF98">
        <v>0.13323146982456099</v>
      </c>
      <c r="AG98">
        <v>-0.1653116</v>
      </c>
      <c r="AH98">
        <v>0.618721029810676</v>
      </c>
      <c r="AI98">
        <v>104.638370753684</v>
      </c>
      <c r="AJ98">
        <v>77.847847899404798</v>
      </c>
      <c r="AK98">
        <v>0.65413627202300595</v>
      </c>
      <c r="AL98">
        <v>80.686421014987403</v>
      </c>
      <c r="AM98">
        <v>87.275702332295097</v>
      </c>
      <c r="AN98">
        <v>1.0000000037609</v>
      </c>
    </row>
    <row r="99" spans="1:40" x14ac:dyDescent="0.25">
      <c r="A99" t="str">
        <f>"20190312172611298"</f>
        <v>20190312172611298</v>
      </c>
      <c r="B99" t="str">
        <f>"1552382771288382"</f>
        <v>1552382771288382</v>
      </c>
      <c r="C99" t="s">
        <v>40</v>
      </c>
      <c r="D99">
        <v>3.2233619999999998</v>
      </c>
      <c r="E99">
        <v>0.55834980000000001</v>
      </c>
      <c r="F99" t="s">
        <v>44</v>
      </c>
      <c r="G99">
        <v>-471.09859999999998</v>
      </c>
      <c r="H99">
        <v>0.94611869999999998</v>
      </c>
      <c r="I99">
        <v>367.09379999999999</v>
      </c>
      <c r="J99">
        <v>-471.73899999999998</v>
      </c>
      <c r="K99">
        <v>1.1091789999999999</v>
      </c>
      <c r="L99">
        <v>367.2294</v>
      </c>
      <c r="M99">
        <v>0.99998160000000003</v>
      </c>
      <c r="N99">
        <v>0</v>
      </c>
      <c r="O99">
        <v>4.075894E-3</v>
      </c>
      <c r="P99">
        <v>0.98663900000000004</v>
      </c>
      <c r="Q99">
        <v>0.1573292</v>
      </c>
      <c r="R99">
        <v>-4.2322869999999999E-2</v>
      </c>
      <c r="S99">
        <v>3.1249690000000001</v>
      </c>
      <c r="T99">
        <v>-0.6825464</v>
      </c>
      <c r="U99">
        <v>-0.56488039999999995</v>
      </c>
      <c r="V99">
        <v>4.6339430000000001E-2</v>
      </c>
      <c r="W99">
        <v>0.16175870000000001</v>
      </c>
      <c r="X99">
        <v>0.98574170000000005</v>
      </c>
      <c r="Y99">
        <v>0.17773720000000001</v>
      </c>
      <c r="Z99">
        <v>-1.9908410000000001E-2</v>
      </c>
      <c r="AA99">
        <v>0.98387659999999999</v>
      </c>
      <c r="AB99">
        <v>10</v>
      </c>
      <c r="AC99">
        <v>0.64040000000005604</v>
      </c>
      <c r="AD99">
        <v>-0.16306029999999999</v>
      </c>
      <c r="AE99">
        <v>-0.13560000000000999</v>
      </c>
      <c r="AF99">
        <v>0.13013419484070199</v>
      </c>
      <c r="AG99">
        <v>-0.16306029999999999</v>
      </c>
      <c r="AH99">
        <v>0.60245902670567497</v>
      </c>
      <c r="AI99">
        <v>104.81847619175301</v>
      </c>
      <c r="AJ99">
        <v>77.811090111356705</v>
      </c>
      <c r="AK99">
        <v>0.63755819260839097</v>
      </c>
      <c r="AL99">
        <v>80.691007401805393</v>
      </c>
      <c r="AM99">
        <v>87.308523580853105</v>
      </c>
      <c r="AN99">
        <v>0.99999995945865106</v>
      </c>
    </row>
    <row r="100" spans="1:40" x14ac:dyDescent="0.25">
      <c r="A100" t="str">
        <f>"20190312172611320"</f>
        <v>20190312172611320</v>
      </c>
      <c r="B100" t="str">
        <f>"1552382771308879"</f>
        <v>1552382771308879</v>
      </c>
      <c r="C100" t="s">
        <v>40</v>
      </c>
      <c r="D100">
        <v>3.2460680000000002</v>
      </c>
      <c r="E100">
        <v>0.55838409999999905</v>
      </c>
      <c r="F100" t="s">
        <v>44</v>
      </c>
      <c r="G100">
        <v>-471.00740000000002</v>
      </c>
      <c r="H100">
        <v>0.94908170000000003</v>
      </c>
      <c r="I100">
        <v>367.09719999999999</v>
      </c>
      <c r="J100">
        <v>-471.6361</v>
      </c>
      <c r="K100">
        <v>1.109167</v>
      </c>
      <c r="L100">
        <v>367.23</v>
      </c>
      <c r="M100">
        <v>0.99998160000000003</v>
      </c>
      <c r="N100">
        <v>0</v>
      </c>
      <c r="O100">
        <v>4.171452E-3</v>
      </c>
      <c r="P100">
        <v>0.9865429</v>
      </c>
      <c r="Q100">
        <v>0.15797620000000001</v>
      </c>
      <c r="R100">
        <v>-4.2153629999999997E-2</v>
      </c>
      <c r="S100">
        <v>3.1255489999999999</v>
      </c>
      <c r="T100">
        <v>-0.68410470000000001</v>
      </c>
      <c r="U100">
        <v>-0.56356809999999902</v>
      </c>
      <c r="V100">
        <v>4.6263579999999999E-2</v>
      </c>
      <c r="W100">
        <v>0.16234970000000001</v>
      </c>
      <c r="X100">
        <v>0.98564819999999997</v>
      </c>
      <c r="Y100">
        <v>0.1773874</v>
      </c>
      <c r="Z100">
        <v>-1.993296E-2</v>
      </c>
      <c r="AA100">
        <v>0.98393920000000001</v>
      </c>
      <c r="AB100">
        <v>10</v>
      </c>
      <c r="AC100">
        <v>0.62869999999998005</v>
      </c>
      <c r="AD100">
        <v>-0.16008530000000001</v>
      </c>
      <c r="AE100">
        <v>-0.132800000000031</v>
      </c>
      <c r="AF100">
        <v>0.127507494887696</v>
      </c>
      <c r="AG100">
        <v>-0.16008530000000001</v>
      </c>
      <c r="AH100">
        <v>0.591432315030059</v>
      </c>
      <c r="AI100">
        <v>104.82052351100801</v>
      </c>
      <c r="AJ100">
        <v>77.833757075365398</v>
      </c>
      <c r="AK100">
        <v>0.625841551664989</v>
      </c>
      <c r="AL100">
        <v>80.656692947222695</v>
      </c>
      <c r="AM100">
        <v>87.312668095002607</v>
      </c>
      <c r="AN100">
        <v>1.00000005904387</v>
      </c>
    </row>
    <row r="101" spans="1:40" x14ac:dyDescent="0.25">
      <c r="A101" t="str">
        <f>"20190312172611342"</f>
        <v>20190312172611342</v>
      </c>
      <c r="B101" t="str">
        <f>"1552382771339135"</f>
        <v>1552382771339135</v>
      </c>
      <c r="C101" t="s">
        <v>40</v>
      </c>
      <c r="D101">
        <v>3.2238349999999998</v>
      </c>
      <c r="E101">
        <v>0.55844249999999995</v>
      </c>
      <c r="F101" t="s">
        <v>44</v>
      </c>
      <c r="G101">
        <v>-470.91520000000003</v>
      </c>
      <c r="H101">
        <v>0.95159179999999999</v>
      </c>
      <c r="I101">
        <v>367.09969999999998</v>
      </c>
      <c r="J101">
        <v>-471.53809999999999</v>
      </c>
      <c r="K101">
        <v>1.1091610000000001</v>
      </c>
      <c r="L101">
        <v>367.23050000000001</v>
      </c>
      <c r="M101">
        <v>0.99998129999999996</v>
      </c>
      <c r="N101">
        <v>0</v>
      </c>
      <c r="O101">
        <v>4.2618689999999997E-3</v>
      </c>
      <c r="P101">
        <v>0.98645590000000005</v>
      </c>
      <c r="Q101">
        <v>0.15856329999999999</v>
      </c>
      <c r="R101">
        <v>-4.198429E-2</v>
      </c>
      <c r="S101">
        <v>3.1263429999999999</v>
      </c>
      <c r="T101">
        <v>-0.68349530000000003</v>
      </c>
      <c r="U101">
        <v>-0.56320190000000003</v>
      </c>
      <c r="V101">
        <v>4.6182649999999999E-2</v>
      </c>
      <c r="W101">
        <v>0.16288610000000001</v>
      </c>
      <c r="X101">
        <v>0.98556350000000004</v>
      </c>
      <c r="Y101">
        <v>0.1773295</v>
      </c>
      <c r="Z101">
        <v>-1.992412E-2</v>
      </c>
      <c r="AA101">
        <v>0.98394979999999999</v>
      </c>
      <c r="AB101">
        <v>10</v>
      </c>
      <c r="AC101">
        <v>0.62289999999995804</v>
      </c>
      <c r="AD101">
        <v>-0.15756919999999999</v>
      </c>
      <c r="AE101">
        <v>-0.13080000000002101</v>
      </c>
      <c r="AF101">
        <v>0.125746937608882</v>
      </c>
      <c r="AG101">
        <v>-0.15756919999999999</v>
      </c>
      <c r="AH101">
        <v>0.58639844382827599</v>
      </c>
      <c r="AI101">
        <v>104.720835345973</v>
      </c>
      <c r="AJ101">
        <v>77.896823561914601</v>
      </c>
      <c r="AK101">
        <v>0.62008344602228804</v>
      </c>
      <c r="AL101">
        <v>80.625544946734394</v>
      </c>
      <c r="AM101">
        <v>87.317132025498793</v>
      </c>
      <c r="AN101">
        <v>1.00000006563323</v>
      </c>
    </row>
    <row r="102" spans="1:40" x14ac:dyDescent="0.25">
      <c r="A102" t="str">
        <f>"20190312172611363"</f>
        <v>20190312172611363</v>
      </c>
      <c r="B102" t="str">
        <f>"1552382771358655"</f>
        <v>1552382771358655</v>
      </c>
      <c r="C102" t="s">
        <v>40</v>
      </c>
      <c r="D102">
        <v>3.273244</v>
      </c>
      <c r="E102">
        <v>0.55850339999999998</v>
      </c>
      <c r="F102" t="s">
        <v>44</v>
      </c>
      <c r="G102">
        <v>-470.82240000000002</v>
      </c>
      <c r="H102">
        <v>0.95273110000000005</v>
      </c>
      <c r="I102">
        <v>367.10129999999998</v>
      </c>
      <c r="J102">
        <v>-471.4393</v>
      </c>
      <c r="K102">
        <v>1.109154</v>
      </c>
      <c r="L102">
        <v>367.23099999999999</v>
      </c>
      <c r="M102">
        <v>0.99998120000000001</v>
      </c>
      <c r="N102">
        <v>0</v>
      </c>
      <c r="O102">
        <v>4.3535300000000004E-3</v>
      </c>
      <c r="P102">
        <v>0.98641109999999999</v>
      </c>
      <c r="Q102">
        <v>0.1589129</v>
      </c>
      <c r="R102">
        <v>-4.1713159999999999E-2</v>
      </c>
      <c r="S102">
        <v>3.1271059999999999</v>
      </c>
      <c r="T102">
        <v>-0.68360639999999995</v>
      </c>
      <c r="U102">
        <v>-0.56326290000000001</v>
      </c>
      <c r="V102">
        <v>4.600162E-2</v>
      </c>
      <c r="W102">
        <v>0.16318669999999999</v>
      </c>
      <c r="X102">
        <v>0.98552220000000001</v>
      </c>
      <c r="Y102">
        <v>0.17739340000000001</v>
      </c>
      <c r="Z102">
        <v>-1.9949089999999999E-2</v>
      </c>
      <c r="AA102">
        <v>0.98393779999999997</v>
      </c>
      <c r="AB102">
        <v>10</v>
      </c>
      <c r="AC102">
        <v>0.61689999999998602</v>
      </c>
      <c r="AD102">
        <v>-0.1564229</v>
      </c>
      <c r="AE102">
        <v>-0.129700000000013</v>
      </c>
      <c r="AF102">
        <v>0.12470603574136099</v>
      </c>
      <c r="AG102">
        <v>-0.1564229</v>
      </c>
      <c r="AH102">
        <v>0.58058167503079505</v>
      </c>
      <c r="AI102">
        <v>104.757412018663</v>
      </c>
      <c r="AJ102">
        <v>77.877347469175206</v>
      </c>
      <c r="AK102">
        <v>0.61408045106182996</v>
      </c>
      <c r="AL102">
        <v>80.608087904712093</v>
      </c>
      <c r="AM102">
        <v>87.327521417054896</v>
      </c>
      <c r="AN102">
        <v>1.00000002739617</v>
      </c>
    </row>
    <row r="103" spans="1:40" x14ac:dyDescent="0.25">
      <c r="A103" t="str">
        <f>"20190312172611384"</f>
        <v>20190312172611384</v>
      </c>
      <c r="B103" t="str">
        <f>"1552382771379152"</f>
        <v>1552382771379152</v>
      </c>
      <c r="C103" t="s">
        <v>40</v>
      </c>
      <c r="D103">
        <v>3.2307359999999998</v>
      </c>
      <c r="E103">
        <v>0.55857829999999997</v>
      </c>
      <c r="F103" t="s">
        <v>44</v>
      </c>
      <c r="G103">
        <v>-470.7285</v>
      </c>
      <c r="H103">
        <v>0.95372650000000003</v>
      </c>
      <c r="I103">
        <v>367.10270000000003</v>
      </c>
      <c r="J103">
        <v>-471.33699999999999</v>
      </c>
      <c r="K103">
        <v>1.1090979999999999</v>
      </c>
      <c r="L103">
        <v>367.23160000000001</v>
      </c>
      <c r="M103">
        <v>0.99998180000000003</v>
      </c>
      <c r="N103">
        <v>0</v>
      </c>
      <c r="O103">
        <v>4.4491679999999999E-3</v>
      </c>
      <c r="P103">
        <v>0.9863478</v>
      </c>
      <c r="Q103">
        <v>0.15937379999999901</v>
      </c>
      <c r="R103">
        <v>-4.1454459999999999E-2</v>
      </c>
      <c r="S103">
        <v>3.1277469999999998</v>
      </c>
      <c r="T103">
        <v>-0.68406299999999998</v>
      </c>
      <c r="U103">
        <v>-0.56314090000000006</v>
      </c>
      <c r="V103">
        <v>4.583653E-2</v>
      </c>
      <c r="W103">
        <v>0.16343929999999901</v>
      </c>
      <c r="X103">
        <v>0.98548800000000003</v>
      </c>
      <c r="Y103">
        <v>0.1774087</v>
      </c>
      <c r="Z103">
        <v>-1.9980390000000001E-2</v>
      </c>
      <c r="AA103">
        <v>0.98393439999999999</v>
      </c>
      <c r="AB103">
        <v>10</v>
      </c>
      <c r="AC103">
        <v>0.60849999999999205</v>
      </c>
      <c r="AD103">
        <v>-0.1553715</v>
      </c>
      <c r="AE103">
        <v>-0.128899999999987</v>
      </c>
      <c r="AF103">
        <v>0.123876635446167</v>
      </c>
      <c r="AG103">
        <v>-0.1553715</v>
      </c>
      <c r="AH103">
        <v>0.57221635495698997</v>
      </c>
      <c r="AI103">
        <v>104.862482099305</v>
      </c>
      <c r="AJ103">
        <v>77.784783569475806</v>
      </c>
      <c r="AK103">
        <v>0.60573697320039499</v>
      </c>
      <c r="AL103">
        <v>80.593417732496604</v>
      </c>
      <c r="AM103">
        <v>87.337006263070506</v>
      </c>
      <c r="AN103">
        <v>0.99999999520546501</v>
      </c>
    </row>
    <row r="104" spans="1:40" x14ac:dyDescent="0.25">
      <c r="A104" t="str">
        <f>"20190312172611406"</f>
        <v>20190312172611406</v>
      </c>
      <c r="B104" t="str">
        <f>"1552382771398671"</f>
        <v>1552382771398671</v>
      </c>
      <c r="C104" t="s">
        <v>40</v>
      </c>
      <c r="D104">
        <v>3.2514430000000001</v>
      </c>
      <c r="E104">
        <v>0.55868960000000001</v>
      </c>
      <c r="F104" t="s">
        <v>44</v>
      </c>
      <c r="G104">
        <v>-470.63260000000002</v>
      </c>
      <c r="H104">
        <v>0.95505300000000004</v>
      </c>
      <c r="I104">
        <v>367.1044</v>
      </c>
      <c r="J104">
        <v>-471.23140000000001</v>
      </c>
      <c r="K104">
        <v>1.109016</v>
      </c>
      <c r="L104">
        <v>367.2321</v>
      </c>
      <c r="M104">
        <v>0.99998120000000001</v>
      </c>
      <c r="N104">
        <v>0</v>
      </c>
      <c r="O104">
        <v>4.5477249999999999E-3</v>
      </c>
      <c r="P104">
        <v>0.98634730000000004</v>
      </c>
      <c r="Q104">
        <v>0.1593484</v>
      </c>
      <c r="R104">
        <v>-4.1560090000000001E-2</v>
      </c>
      <c r="S104">
        <v>3.128387</v>
      </c>
      <c r="T104">
        <v>-0.68407229999999997</v>
      </c>
      <c r="U104">
        <v>-0.56350710000000004</v>
      </c>
      <c r="V104">
        <v>4.6039209999999997E-2</v>
      </c>
      <c r="W104">
        <v>0.16342889999999999</v>
      </c>
      <c r="X104">
        <v>0.98548020000000003</v>
      </c>
      <c r="Y104">
        <v>0.1775775</v>
      </c>
      <c r="Z104">
        <v>-2.001576E-2</v>
      </c>
      <c r="AA104">
        <v>0.98390319999999998</v>
      </c>
      <c r="AB104">
        <v>10</v>
      </c>
      <c r="AC104">
        <v>0.59879999999998201</v>
      </c>
      <c r="AD104">
        <v>-0.15396299999999899</v>
      </c>
      <c r="AE104">
        <v>-0.127700000000004</v>
      </c>
      <c r="AF104">
        <v>0.122665216805616</v>
      </c>
      <c r="AG104">
        <v>-0.15396299999999899</v>
      </c>
      <c r="AH104">
        <v>0.562635152801649</v>
      </c>
      <c r="AI104">
        <v>104.968806324394</v>
      </c>
      <c r="AJ104">
        <v>77.700883210825495</v>
      </c>
      <c r="AK104">
        <v>0.59607858202681896</v>
      </c>
      <c r="AL104">
        <v>80.594021010323502</v>
      </c>
      <c r="AM104">
        <v>87.325226958827898</v>
      </c>
      <c r="AN104">
        <v>0.99999991940233302</v>
      </c>
    </row>
    <row r="105" spans="1:40" x14ac:dyDescent="0.25">
      <c r="A105" t="str">
        <f>"20190312172611428"</f>
        <v>20190312172611428</v>
      </c>
      <c r="B105" t="str">
        <f>"1552382771418191"</f>
        <v>1552382771418191</v>
      </c>
      <c r="C105" t="s">
        <v>40</v>
      </c>
      <c r="D105">
        <v>3.2409500000000002</v>
      </c>
      <c r="E105">
        <v>0.55874509999999999</v>
      </c>
      <c r="F105" t="s">
        <v>44</v>
      </c>
      <c r="G105">
        <v>-470.53579999999999</v>
      </c>
      <c r="H105">
        <v>0.9566038</v>
      </c>
      <c r="I105">
        <v>367.10629999999998</v>
      </c>
      <c r="J105">
        <v>-471.12220000000002</v>
      </c>
      <c r="K105">
        <v>1.108946</v>
      </c>
      <c r="L105">
        <v>367.2328</v>
      </c>
      <c r="M105">
        <v>0.99997970000000003</v>
      </c>
      <c r="N105">
        <v>0</v>
      </c>
      <c r="O105">
        <v>4.6462420000000001E-3</v>
      </c>
      <c r="P105">
        <v>0.9864271</v>
      </c>
      <c r="Q105">
        <v>0.15891710000000001</v>
      </c>
      <c r="R105">
        <v>-4.1320599999999999E-2</v>
      </c>
      <c r="S105">
        <v>3.128479</v>
      </c>
      <c r="T105">
        <v>-0.68564409999999998</v>
      </c>
      <c r="U105">
        <v>-0.56481930000000002</v>
      </c>
      <c r="V105">
        <v>4.5897069999999998E-2</v>
      </c>
      <c r="W105">
        <v>0.16325249999999999</v>
      </c>
      <c r="X105">
        <v>0.98551610000000001</v>
      </c>
      <c r="Y105">
        <v>0.1780379</v>
      </c>
      <c r="Z105">
        <v>-2.0130080000000002E-2</v>
      </c>
      <c r="AA105">
        <v>0.98381770000000002</v>
      </c>
      <c r="AB105">
        <v>11</v>
      </c>
      <c r="AC105">
        <v>0.58640000000002601</v>
      </c>
      <c r="AD105">
        <v>-0.15234219999999901</v>
      </c>
      <c r="AE105">
        <v>-0.12650000000002101</v>
      </c>
      <c r="AF105">
        <v>0.1213943882504</v>
      </c>
      <c r="AG105">
        <v>-0.15234219999999901</v>
      </c>
      <c r="AH105">
        <v>0.55031558947051695</v>
      </c>
      <c r="AI105">
        <v>105.127089440644</v>
      </c>
      <c r="AJ105">
        <v>77.560314520940906</v>
      </c>
      <c r="AK105">
        <v>0.58377392149171203</v>
      </c>
      <c r="AL105">
        <v>80.6042658790481</v>
      </c>
      <c r="AM105">
        <v>87.333570026001098</v>
      </c>
      <c r="AN105">
        <v>0.99999995157502097</v>
      </c>
    </row>
    <row r="106" spans="1:40" x14ac:dyDescent="0.25">
      <c r="A106" t="str">
        <f>"20190312172611451"</f>
        <v>20190312172611451</v>
      </c>
      <c r="B106" t="str">
        <f>"1552382771448447"</f>
        <v>1552382771448447</v>
      </c>
      <c r="C106" t="s">
        <v>40</v>
      </c>
      <c r="D106">
        <v>3.2689620000000001</v>
      </c>
      <c r="E106">
        <v>0.55885839999999998</v>
      </c>
      <c r="F106" t="s">
        <v>44</v>
      </c>
      <c r="G106">
        <v>-470.34879999999998</v>
      </c>
      <c r="H106">
        <v>0.93876490000000001</v>
      </c>
      <c r="I106">
        <v>367.09320000000002</v>
      </c>
      <c r="J106">
        <v>-471.01240000000001</v>
      </c>
      <c r="K106">
        <v>1.1088579999999999</v>
      </c>
      <c r="L106">
        <v>367.23340000000002</v>
      </c>
      <c r="M106">
        <v>0.99997820000000004</v>
      </c>
      <c r="N106">
        <v>0</v>
      </c>
      <c r="O106">
        <v>4.746063E-3</v>
      </c>
      <c r="P106">
        <v>0.98653360000000001</v>
      </c>
      <c r="Q106">
        <v>0.1583754</v>
      </c>
      <c r="R106">
        <v>-4.0850619999999997E-2</v>
      </c>
      <c r="S106">
        <v>3.1285099999999999</v>
      </c>
      <c r="T106">
        <v>-0.68843750000000004</v>
      </c>
      <c r="U106">
        <v>-0.56466669999999997</v>
      </c>
      <c r="V106">
        <v>4.5525969999999999E-2</v>
      </c>
      <c r="W106">
        <v>0.16290299999999999</v>
      </c>
      <c r="X106">
        <v>0.9855912</v>
      </c>
      <c r="Y106">
        <v>0.1780513</v>
      </c>
      <c r="Z106">
        <v>-2.023312E-2</v>
      </c>
      <c r="AA106">
        <v>0.98381320000000005</v>
      </c>
      <c r="AB106">
        <v>11</v>
      </c>
      <c r="AC106">
        <v>0.66360000000003005</v>
      </c>
      <c r="AD106">
        <v>-0.1700931</v>
      </c>
      <c r="AE106">
        <v>-0.140199999999993</v>
      </c>
      <c r="AF106">
        <v>0.13486594603263</v>
      </c>
      <c r="AG106">
        <v>-0.1700931</v>
      </c>
      <c r="AH106">
        <v>0.62370127085624305</v>
      </c>
      <c r="AI106">
        <v>104.925450050005</v>
      </c>
      <c r="AJ106">
        <v>77.7985117355677</v>
      </c>
      <c r="AK106">
        <v>0.66039666968767996</v>
      </c>
      <c r="AL106">
        <v>80.624562989398697</v>
      </c>
      <c r="AM106">
        <v>87.355299911822399</v>
      </c>
      <c r="AN106">
        <v>1.00000000743544</v>
      </c>
    </row>
    <row r="107" spans="1:40" x14ac:dyDescent="0.25">
      <c r="A107" t="str">
        <f>"20190312172611474"</f>
        <v>20190312172611474</v>
      </c>
      <c r="B107" t="str">
        <f>"1552382771468943"</f>
        <v>1552382771468943</v>
      </c>
      <c r="C107" t="s">
        <v>40</v>
      </c>
      <c r="D107">
        <v>3.2606820000000001</v>
      </c>
      <c r="E107">
        <v>0.55895189999999995</v>
      </c>
      <c r="F107" t="s">
        <v>44</v>
      </c>
      <c r="G107">
        <v>-470.2491</v>
      </c>
      <c r="H107">
        <v>0.94013139999999995</v>
      </c>
      <c r="I107">
        <v>367.09500000000003</v>
      </c>
      <c r="J107">
        <v>-470.89949999999999</v>
      </c>
      <c r="K107">
        <v>1.1087530000000001</v>
      </c>
      <c r="L107">
        <v>367.23410000000001</v>
      </c>
      <c r="M107">
        <v>0.99997760000000002</v>
      </c>
      <c r="N107">
        <v>0</v>
      </c>
      <c r="O107">
        <v>4.8492409999999998E-3</v>
      </c>
      <c r="P107">
        <v>0.98659450000000004</v>
      </c>
      <c r="Q107">
        <v>0.1580869</v>
      </c>
      <c r="R107">
        <v>-4.0497980000000003E-2</v>
      </c>
      <c r="S107">
        <v>3.1286010000000002</v>
      </c>
      <c r="T107">
        <v>-0.69176110000000002</v>
      </c>
      <c r="U107">
        <v>-0.56509399999999999</v>
      </c>
      <c r="V107">
        <v>4.52749E-2</v>
      </c>
      <c r="W107">
        <v>0.16264139999999999</v>
      </c>
      <c r="X107">
        <v>0.98564589999999996</v>
      </c>
      <c r="Y107">
        <v>0.178231</v>
      </c>
      <c r="Z107">
        <v>-2.0369580000000002E-2</v>
      </c>
      <c r="AA107">
        <v>0.98377780000000004</v>
      </c>
      <c r="AB107">
        <v>11</v>
      </c>
      <c r="AC107">
        <v>0.65039999999998999</v>
      </c>
      <c r="AD107">
        <v>-0.16862160000000001</v>
      </c>
      <c r="AE107">
        <v>-0.13909999999998399</v>
      </c>
      <c r="AF107">
        <v>0.13366127260705901</v>
      </c>
      <c r="AG107">
        <v>-0.16862160000000001</v>
      </c>
      <c r="AH107">
        <v>0.61047928948925101</v>
      </c>
      <c r="AI107">
        <v>105.099981468203</v>
      </c>
      <c r="AJ107">
        <v>77.650261032255301</v>
      </c>
      <c r="AK107">
        <v>0.64728938093931299</v>
      </c>
      <c r="AL107">
        <v>80.639753530988799</v>
      </c>
      <c r="AM107">
        <v>87.370010321348701</v>
      </c>
      <c r="AN107">
        <v>0.99999994087538802</v>
      </c>
    </row>
    <row r="108" spans="1:40" x14ac:dyDescent="0.25">
      <c r="A108" t="str">
        <f>"20190312172611498"</f>
        <v>20190312172611498</v>
      </c>
      <c r="B108" t="str">
        <f>"1552382771488462"</f>
        <v>1552382771488462</v>
      </c>
      <c r="C108" t="s">
        <v>40</v>
      </c>
      <c r="D108">
        <v>3.2506279999999999</v>
      </c>
      <c r="E108">
        <v>0.55903179999999997</v>
      </c>
      <c r="F108" t="s">
        <v>44</v>
      </c>
      <c r="G108">
        <v>-470.14769999999999</v>
      </c>
      <c r="H108">
        <v>0.9421271</v>
      </c>
      <c r="I108">
        <v>367.09800000000001</v>
      </c>
      <c r="J108">
        <v>-470.77940000000001</v>
      </c>
      <c r="K108">
        <v>1.108657</v>
      </c>
      <c r="L108">
        <v>367.23480000000001</v>
      </c>
      <c r="M108">
        <v>0.99997740000000002</v>
      </c>
      <c r="N108">
        <v>0</v>
      </c>
      <c r="O108">
        <v>4.9604009999999997E-3</v>
      </c>
      <c r="P108">
        <v>0.98662229999999995</v>
      </c>
      <c r="Q108">
        <v>0.15791050000000001</v>
      </c>
      <c r="R108">
        <v>-4.0506729999999998E-2</v>
      </c>
      <c r="S108">
        <v>3.1287229999999999</v>
      </c>
      <c r="T108">
        <v>-0.69357060000000004</v>
      </c>
      <c r="U108">
        <v>-0.56527709999999998</v>
      </c>
      <c r="V108">
        <v>4.5393089999999997E-2</v>
      </c>
      <c r="W108">
        <v>0.16239110000000001</v>
      </c>
      <c r="X108">
        <v>0.98568180000000005</v>
      </c>
      <c r="Y108">
        <v>0.17836179999999999</v>
      </c>
      <c r="Z108">
        <v>-2.0459149999999999E-2</v>
      </c>
      <c r="AA108">
        <v>0.98375230000000002</v>
      </c>
      <c r="AB108">
        <v>11</v>
      </c>
      <c r="AC108">
        <v>0.63170000000002302</v>
      </c>
      <c r="AD108">
        <v>-0.16652989999999901</v>
      </c>
      <c r="AE108">
        <v>-0.13679999999999301</v>
      </c>
      <c r="AF108">
        <v>0.13122096101875799</v>
      </c>
      <c r="AG108">
        <v>-0.16652989999999901</v>
      </c>
      <c r="AH108">
        <v>0.591732512618659</v>
      </c>
      <c r="AI108">
        <v>105.36309730026299</v>
      </c>
      <c r="AJ108">
        <v>77.496583309286095</v>
      </c>
      <c r="AK108">
        <v>0.628568623695685</v>
      </c>
      <c r="AL108">
        <v>80.654288505179693</v>
      </c>
      <c r="AM108">
        <v>87.363250320410401</v>
      </c>
      <c r="AN108">
        <v>1.00000000641509</v>
      </c>
    </row>
    <row r="109" spans="1:40" x14ac:dyDescent="0.25">
      <c r="A109" t="str">
        <f>"20190312172611519"</f>
        <v>20190312172611519</v>
      </c>
      <c r="B109" t="str">
        <f>"1552382771508959"</f>
        <v>1552382771508959</v>
      </c>
      <c r="C109" t="s">
        <v>40</v>
      </c>
      <c r="D109">
        <v>3.291372</v>
      </c>
      <c r="E109">
        <v>0.55910150000000003</v>
      </c>
      <c r="F109" t="s">
        <v>44</v>
      </c>
      <c r="G109">
        <v>-470.04450000000003</v>
      </c>
      <c r="H109">
        <v>0.94537729999999998</v>
      </c>
      <c r="I109">
        <v>367.10160000000002</v>
      </c>
      <c r="J109">
        <v>-470.6671</v>
      </c>
      <c r="K109">
        <v>1.1086</v>
      </c>
      <c r="L109">
        <v>367.23540000000003</v>
      </c>
      <c r="M109">
        <v>0.99997729999999996</v>
      </c>
      <c r="N109">
        <v>0</v>
      </c>
      <c r="O109">
        <v>5.0645450000000002E-3</v>
      </c>
      <c r="P109">
        <v>0.986649</v>
      </c>
      <c r="Q109">
        <v>0.15780169999999999</v>
      </c>
      <c r="R109">
        <v>-4.0278660000000001E-2</v>
      </c>
      <c r="S109">
        <v>3.1286930000000002</v>
      </c>
      <c r="T109">
        <v>-0.69513749999999996</v>
      </c>
      <c r="U109">
        <v>-0.5661621</v>
      </c>
      <c r="V109">
        <v>4.5267559999999998E-2</v>
      </c>
      <c r="W109">
        <v>0.1621996</v>
      </c>
      <c r="X109">
        <v>0.98571909999999896</v>
      </c>
      <c r="Y109">
        <v>0.17870559999999999</v>
      </c>
      <c r="Z109">
        <v>-2.0564120000000002E-2</v>
      </c>
      <c r="AA109">
        <v>0.9836876</v>
      </c>
      <c r="AB109">
        <v>11</v>
      </c>
      <c r="AC109">
        <v>0.62259999999997695</v>
      </c>
      <c r="AD109">
        <v>-0.163222699999999</v>
      </c>
      <c r="AE109">
        <v>-0.133800000000007</v>
      </c>
      <c r="AF109">
        <v>0.12850905232250101</v>
      </c>
      <c r="AG109">
        <v>-0.163222699999999</v>
      </c>
      <c r="AH109">
        <v>0.58357612809992399</v>
      </c>
      <c r="AI109">
        <v>105.277633830331</v>
      </c>
      <c r="AJ109">
        <v>77.581128448963597</v>
      </c>
      <c r="AK109">
        <v>0.61944920987294505</v>
      </c>
      <c r="AL109">
        <v>80.665408036960599</v>
      </c>
      <c r="AM109">
        <v>87.370631097379601</v>
      </c>
      <c r="AN109">
        <v>1.00000000316666</v>
      </c>
    </row>
    <row r="110" spans="1:40" x14ac:dyDescent="0.25">
      <c r="A110" t="str">
        <f>"20190312172611541"</f>
        <v>20190312172611541</v>
      </c>
      <c r="B110" t="str">
        <f>"1552382771538238"</f>
        <v>1552382771538238</v>
      </c>
      <c r="C110" t="s">
        <v>40</v>
      </c>
      <c r="D110">
        <v>3.3044639999999998</v>
      </c>
      <c r="E110">
        <v>0.55915109999999901</v>
      </c>
      <c r="F110" t="s">
        <v>44</v>
      </c>
      <c r="G110">
        <v>-469.9409</v>
      </c>
      <c r="H110">
        <v>0.94699610000000001</v>
      </c>
      <c r="I110">
        <v>367.10390000000001</v>
      </c>
      <c r="J110">
        <v>-470.55619999999999</v>
      </c>
      <c r="K110">
        <v>1.1085799999999999</v>
      </c>
      <c r="L110">
        <v>367.23610000000002</v>
      </c>
      <c r="M110">
        <v>0.99997709999999995</v>
      </c>
      <c r="N110">
        <v>0</v>
      </c>
      <c r="O110">
        <v>5.167123E-3</v>
      </c>
      <c r="P110">
        <v>0.98668520000000004</v>
      </c>
      <c r="Q110">
        <v>0.1575809</v>
      </c>
      <c r="R110">
        <v>-4.0256519999999997E-2</v>
      </c>
      <c r="S110">
        <v>3.1288450000000001</v>
      </c>
      <c r="T110">
        <v>-0.69630119999999995</v>
      </c>
      <c r="U110">
        <v>-0.56631469999999995</v>
      </c>
      <c r="V110">
        <v>4.5346350000000001E-2</v>
      </c>
      <c r="W110">
        <v>0.16190170000000001</v>
      </c>
      <c r="X110">
        <v>0.98576439999999999</v>
      </c>
      <c r="Y110">
        <v>0.1788254</v>
      </c>
      <c r="Z110">
        <v>-2.0632129999999999E-2</v>
      </c>
      <c r="AA110">
        <v>0.98366450000000005</v>
      </c>
      <c r="AB110">
        <v>11</v>
      </c>
      <c r="AC110">
        <v>0.61529999999998997</v>
      </c>
      <c r="AD110">
        <v>-0.1615839</v>
      </c>
      <c r="AE110">
        <v>-0.132200000000011</v>
      </c>
      <c r="AF110">
        <v>0.12700529168733601</v>
      </c>
      <c r="AG110">
        <v>-0.1615839</v>
      </c>
      <c r="AH110">
        <v>0.57659876915318597</v>
      </c>
      <c r="AI110">
        <v>105.305696985151</v>
      </c>
      <c r="AJ110">
        <v>77.578027460603295</v>
      </c>
      <c r="AK110">
        <v>0.61213220912215105</v>
      </c>
      <c r="AL110">
        <v>80.682704594387204</v>
      </c>
      <c r="AM110">
        <v>87.366181885109199</v>
      </c>
      <c r="AN110">
        <v>0.99999995211428505</v>
      </c>
    </row>
    <row r="111" spans="1:40" x14ac:dyDescent="0.25">
      <c r="A111" t="str">
        <f>"20190312172611563"</f>
        <v>20190312172611563</v>
      </c>
      <c r="B111" t="str">
        <f>"1552382771558735"</f>
        <v>1552382771558735</v>
      </c>
      <c r="C111" t="s">
        <v>40</v>
      </c>
      <c r="D111">
        <v>3.2905199999999999</v>
      </c>
      <c r="E111">
        <v>0.55917830000000002</v>
      </c>
      <c r="F111" t="s">
        <v>44</v>
      </c>
      <c r="G111">
        <v>-469.83629999999999</v>
      </c>
      <c r="H111">
        <v>0.94798470000000001</v>
      </c>
      <c r="I111">
        <v>367.1053</v>
      </c>
      <c r="J111">
        <v>-470.44099999999997</v>
      </c>
      <c r="K111">
        <v>1.1085769999999999</v>
      </c>
      <c r="L111">
        <v>367.23680000000002</v>
      </c>
      <c r="M111">
        <v>0.99997709999999995</v>
      </c>
      <c r="N111">
        <v>0</v>
      </c>
      <c r="O111">
        <v>5.2737679999999999E-3</v>
      </c>
      <c r="P111">
        <v>0.98665919999999896</v>
      </c>
      <c r="Q111">
        <v>0.1577819</v>
      </c>
      <c r="R111">
        <v>-4.0108379999999999E-2</v>
      </c>
      <c r="S111">
        <v>3.1288450000000001</v>
      </c>
      <c r="T111">
        <v>-0.69809009999999905</v>
      </c>
      <c r="U111">
        <v>-0.56698609999999905</v>
      </c>
      <c r="V111">
        <v>4.5302969999999998E-2</v>
      </c>
      <c r="W111">
        <v>0.16201750000000001</v>
      </c>
      <c r="X111">
        <v>0.98574740000000005</v>
      </c>
      <c r="Y111">
        <v>0.1791034</v>
      </c>
      <c r="Z111">
        <v>-2.0737249999999999E-2</v>
      </c>
      <c r="AA111">
        <v>0.98361169999999998</v>
      </c>
      <c r="AB111">
        <v>12</v>
      </c>
      <c r="AC111">
        <v>0.60469999999997903</v>
      </c>
      <c r="AD111">
        <v>-0.16059229999999999</v>
      </c>
      <c r="AE111">
        <v>-0.13150000000001599</v>
      </c>
      <c r="AF111">
        <v>0.126189099624854</v>
      </c>
      <c r="AG111">
        <v>-0.16059229999999999</v>
      </c>
      <c r="AH111">
        <v>0.56588857385471503</v>
      </c>
      <c r="AI111">
        <v>105.481919955769</v>
      </c>
      <c r="AJ111">
        <v>77.429123868573896</v>
      </c>
      <c r="AK111">
        <v>0.60161736486137496</v>
      </c>
      <c r="AL111">
        <v>80.675981264007206</v>
      </c>
      <c r="AM111">
        <v>87.368652635140506</v>
      </c>
      <c r="AN111">
        <v>0.99999998300191495</v>
      </c>
    </row>
    <row r="112" spans="1:40" x14ac:dyDescent="0.25">
      <c r="A112" t="str">
        <f>"20190312172611585"</f>
        <v>20190312172611585</v>
      </c>
      <c r="B112" t="str">
        <f>"1552382771578255"</f>
        <v>1552382771578255</v>
      </c>
      <c r="C112" t="s">
        <v>40</v>
      </c>
      <c r="D112">
        <v>3.2929909999999998</v>
      </c>
      <c r="E112">
        <v>0.55921869999999996</v>
      </c>
      <c r="F112" t="s">
        <v>44</v>
      </c>
      <c r="G112">
        <v>-469.73</v>
      </c>
      <c r="H112">
        <v>0.94994040000000002</v>
      </c>
      <c r="I112">
        <v>367.1078</v>
      </c>
      <c r="J112">
        <v>-470.3261</v>
      </c>
      <c r="K112">
        <v>1.108587</v>
      </c>
      <c r="L112">
        <v>367.23759999999999</v>
      </c>
      <c r="M112">
        <v>0.99997689999999995</v>
      </c>
      <c r="N112">
        <v>0</v>
      </c>
      <c r="O112">
        <v>5.3798910000000004E-3</v>
      </c>
      <c r="P112">
        <v>0.98661089999999996</v>
      </c>
      <c r="Q112">
        <v>0.15821160000000001</v>
      </c>
      <c r="R112">
        <v>-3.9602390000000001E-2</v>
      </c>
      <c r="S112">
        <v>3.129181</v>
      </c>
      <c r="T112">
        <v>-0.69830539999999997</v>
      </c>
      <c r="U112">
        <v>-0.56726069999999995</v>
      </c>
      <c r="V112">
        <v>4.4901080000000003E-2</v>
      </c>
      <c r="W112">
        <v>0.16235250000000001</v>
      </c>
      <c r="X112">
        <v>0.98571070000000005</v>
      </c>
      <c r="Y112">
        <v>0.1792647</v>
      </c>
      <c r="Z112">
        <v>-2.078205E-2</v>
      </c>
      <c r="AA112">
        <v>0.98358140000000005</v>
      </c>
      <c r="AB112">
        <v>12</v>
      </c>
      <c r="AC112">
        <v>0.59609999999997798</v>
      </c>
      <c r="AD112">
        <v>-0.158646599999999</v>
      </c>
      <c r="AE112">
        <v>-0.12979999999998801</v>
      </c>
      <c r="AF112">
        <v>0.124580402267835</v>
      </c>
      <c r="AG112">
        <v>-0.158646599999999</v>
      </c>
      <c r="AH112">
        <v>0.55768015925999503</v>
      </c>
      <c r="AI112">
        <v>105.516404444245</v>
      </c>
      <c r="AJ112">
        <v>77.407425336371503</v>
      </c>
      <c r="AK112">
        <v>0.59303977973912503</v>
      </c>
      <c r="AL112">
        <v>80.656529924846694</v>
      </c>
      <c r="AM112">
        <v>87.391866401709393</v>
      </c>
      <c r="AN112">
        <v>1.00000001266795</v>
      </c>
    </row>
    <row r="113" spans="1:40" x14ac:dyDescent="0.25">
      <c r="A113" t="str">
        <f>"20190312172611607"</f>
        <v>20190312172611607</v>
      </c>
      <c r="B113" t="str">
        <f>"1552382771598751"</f>
        <v>1552382771598751</v>
      </c>
      <c r="C113" t="s">
        <v>40</v>
      </c>
      <c r="D113">
        <v>3.3201960000000001</v>
      </c>
      <c r="E113">
        <v>0.55935480000000004</v>
      </c>
      <c r="F113" t="s">
        <v>44</v>
      </c>
      <c r="G113">
        <v>-469.6225</v>
      </c>
      <c r="H113">
        <v>0.95186760000000004</v>
      </c>
      <c r="I113">
        <v>367.10969999999998</v>
      </c>
      <c r="J113">
        <v>-470.20209999999997</v>
      </c>
      <c r="K113">
        <v>1.1086020000000001</v>
      </c>
      <c r="L113">
        <v>367.23840000000001</v>
      </c>
      <c r="M113">
        <v>0.99997659999999999</v>
      </c>
      <c r="N113">
        <v>0</v>
      </c>
      <c r="O113">
        <v>5.4942480000000002E-3</v>
      </c>
      <c r="P113">
        <v>0.98667640000000001</v>
      </c>
      <c r="Q113">
        <v>0.15790290000000001</v>
      </c>
      <c r="R113">
        <v>-3.9200789999999999E-2</v>
      </c>
      <c r="S113">
        <v>3.1298219999999999</v>
      </c>
      <c r="T113">
        <v>-0.69733630000000002</v>
      </c>
      <c r="U113">
        <v>-0.56610109999999902</v>
      </c>
      <c r="V113">
        <v>4.4612239999999997E-2</v>
      </c>
      <c r="W113">
        <v>0.16194310000000001</v>
      </c>
      <c r="X113">
        <v>0.98579110000000003</v>
      </c>
      <c r="Y113">
        <v>0.17900569999999999</v>
      </c>
      <c r="Z113">
        <v>-2.0747160000000001E-2</v>
      </c>
      <c r="AA113">
        <v>0.98362919999999998</v>
      </c>
      <c r="AB113">
        <v>12</v>
      </c>
      <c r="AC113">
        <v>0.57959999999997003</v>
      </c>
      <c r="AD113">
        <v>-0.1567344</v>
      </c>
      <c r="AE113">
        <v>-0.12870000000003701</v>
      </c>
      <c r="AF113">
        <v>0.1232904531765</v>
      </c>
      <c r="AG113">
        <v>-0.1567344</v>
      </c>
      <c r="AH113">
        <v>0.54117005971155896</v>
      </c>
      <c r="AI113">
        <v>105.768922405629</v>
      </c>
      <c r="AJ113">
        <v>77.165811419149804</v>
      </c>
      <c r="AK113">
        <v>0.57674191933311003</v>
      </c>
      <c r="AL113">
        <v>80.680300866257298</v>
      </c>
      <c r="AM113">
        <v>87.408832140184998</v>
      </c>
      <c r="AN113">
        <v>0.99999995621731697</v>
      </c>
    </row>
    <row r="114" spans="1:40" x14ac:dyDescent="0.25">
      <c r="A114" t="str">
        <f>"20190312172611630"</f>
        <v>20190312172611630</v>
      </c>
      <c r="B114" t="str">
        <f>"1552382771618271"</f>
        <v>1552382771618271</v>
      </c>
      <c r="C114" t="s">
        <v>40</v>
      </c>
      <c r="D114">
        <v>3.2890459999999999</v>
      </c>
      <c r="E114">
        <v>0.55950219999999995</v>
      </c>
      <c r="F114" t="s">
        <v>44</v>
      </c>
      <c r="G114">
        <v>-469.51339999999999</v>
      </c>
      <c r="H114">
        <v>0.95470670000000002</v>
      </c>
      <c r="I114">
        <v>367.11360000000002</v>
      </c>
      <c r="J114">
        <v>-470.07889999999998</v>
      </c>
      <c r="K114">
        <v>1.10863</v>
      </c>
      <c r="L114">
        <v>367.23919999999998</v>
      </c>
      <c r="M114">
        <v>0.99997639999999999</v>
      </c>
      <c r="N114">
        <v>0</v>
      </c>
      <c r="O114">
        <v>5.6072589999999999E-3</v>
      </c>
      <c r="P114">
        <v>0.98665959999999997</v>
      </c>
      <c r="Q114">
        <v>0.15805369999999999</v>
      </c>
      <c r="R114">
        <v>-3.901868E-2</v>
      </c>
      <c r="S114">
        <v>3.1299739999999998</v>
      </c>
      <c r="T114">
        <v>-0.69946739999999996</v>
      </c>
      <c r="U114">
        <v>-0.5656738</v>
      </c>
      <c r="V114">
        <v>4.454106E-2</v>
      </c>
      <c r="W114">
        <v>0.16200709999999999</v>
      </c>
      <c r="X114">
        <v>0.98578379999999999</v>
      </c>
      <c r="Y114">
        <v>0.17895079999999999</v>
      </c>
      <c r="Z114">
        <v>-2.0827089999999999E-2</v>
      </c>
      <c r="AA114">
        <v>0.9836376</v>
      </c>
      <c r="AB114">
        <v>12</v>
      </c>
      <c r="AC114">
        <v>0.56549999999998501</v>
      </c>
      <c r="AD114">
        <v>-0.15392330000000001</v>
      </c>
      <c r="AE114">
        <v>-0.12559999999996299</v>
      </c>
      <c r="AF114">
        <v>0.12027688733712601</v>
      </c>
      <c r="AG114">
        <v>-0.15392330000000001</v>
      </c>
      <c r="AH114">
        <v>0.527540213518221</v>
      </c>
      <c r="AI114">
        <v>105.879745877777</v>
      </c>
      <c r="AJ114">
        <v>77.156352684785404</v>
      </c>
      <c r="AK114">
        <v>0.56254563262836599</v>
      </c>
      <c r="AL114">
        <v>80.676584839430006</v>
      </c>
      <c r="AM114">
        <v>87.412941663499197</v>
      </c>
      <c r="AN114">
        <v>0.99999995340938497</v>
      </c>
    </row>
    <row r="115" spans="1:40" x14ac:dyDescent="0.25">
      <c r="A115" t="str">
        <f>"20190312172611652"</f>
        <v>20190312172611652</v>
      </c>
      <c r="B115" t="str">
        <f>"1552382771648527"</f>
        <v>1552382771648527</v>
      </c>
      <c r="C115" t="s">
        <v>40</v>
      </c>
      <c r="D115">
        <v>3.3415550000000001</v>
      </c>
      <c r="E115">
        <v>0.55943909999999997</v>
      </c>
      <c r="F115" t="s">
        <v>44</v>
      </c>
      <c r="G115">
        <v>-469.30189999999999</v>
      </c>
      <c r="H115">
        <v>0.93499849999999995</v>
      </c>
      <c r="I115">
        <v>367.09840000000003</v>
      </c>
      <c r="J115">
        <v>-469.95769999999999</v>
      </c>
      <c r="K115">
        <v>1.108668</v>
      </c>
      <c r="L115">
        <v>367.24</v>
      </c>
      <c r="M115">
        <v>0.99997590000000003</v>
      </c>
      <c r="N115">
        <v>0</v>
      </c>
      <c r="O115">
        <v>5.7181530000000001E-3</v>
      </c>
      <c r="P115">
        <v>0.9866317</v>
      </c>
      <c r="Q115">
        <v>0.15824269999999999</v>
      </c>
      <c r="R115">
        <v>-3.8949659999999997E-2</v>
      </c>
      <c r="S115">
        <v>3.1302189999999999</v>
      </c>
      <c r="T115">
        <v>-0.69962380000000002</v>
      </c>
      <c r="U115">
        <v>-0.56619259999999905</v>
      </c>
      <c r="V115">
        <v>4.4581170000000003E-2</v>
      </c>
      <c r="W115">
        <v>0.16212379999999901</v>
      </c>
      <c r="X115">
        <v>0.98576280000000005</v>
      </c>
      <c r="Y115">
        <v>0.17919460000000001</v>
      </c>
      <c r="Z115">
        <v>-2.088079E-2</v>
      </c>
      <c r="AA115">
        <v>0.98359200000000002</v>
      </c>
      <c r="AB115">
        <v>12</v>
      </c>
      <c r="AC115">
        <v>0.65579999999999905</v>
      </c>
      <c r="AD115">
        <v>-0.17366949999999901</v>
      </c>
      <c r="AE115">
        <v>-0.14159999999998199</v>
      </c>
      <c r="AF115">
        <v>0.13622009310595301</v>
      </c>
      <c r="AG115">
        <v>-0.17366949999999901</v>
      </c>
      <c r="AH115">
        <v>0.61384798389226802</v>
      </c>
      <c r="AI115">
        <v>105.44017373043999</v>
      </c>
      <c r="AJ115">
        <v>77.488143899706301</v>
      </c>
      <c r="AK115">
        <v>0.65232381247709104</v>
      </c>
      <c r="AL115">
        <v>80.669808834990107</v>
      </c>
      <c r="AM115">
        <v>87.410560054507997</v>
      </c>
      <c r="AN115">
        <v>0.99999995255442298</v>
      </c>
    </row>
    <row r="116" spans="1:40" x14ac:dyDescent="0.25">
      <c r="A116" t="str">
        <f>"20190312172611831"</f>
        <v>20190312172611831</v>
      </c>
      <c r="B116" t="str">
        <f>"1552382771828926"</f>
        <v>1552382771828926</v>
      </c>
      <c r="C116" t="s">
        <v>40</v>
      </c>
      <c r="D116">
        <v>3.44509</v>
      </c>
      <c r="E116">
        <v>0.5597124</v>
      </c>
      <c r="F116" t="s">
        <v>44</v>
      </c>
      <c r="G116">
        <v>-468.25259999999997</v>
      </c>
      <c r="H116">
        <v>0.92999799999999999</v>
      </c>
      <c r="I116">
        <v>367.10390000000001</v>
      </c>
      <c r="J116">
        <v>-468.9051</v>
      </c>
      <c r="K116">
        <v>1.1088720000000001</v>
      </c>
      <c r="L116">
        <v>367.2475</v>
      </c>
      <c r="M116">
        <v>0.99997179999999997</v>
      </c>
      <c r="N116">
        <v>0</v>
      </c>
      <c r="O116">
        <v>6.6821049999999998E-3</v>
      </c>
      <c r="P116">
        <v>0.98643709999999996</v>
      </c>
      <c r="Q116">
        <v>0.15982449999999901</v>
      </c>
      <c r="R116">
        <v>-3.7391380000000002E-2</v>
      </c>
      <c r="S116">
        <v>3.1336979999999999</v>
      </c>
      <c r="T116">
        <v>-0.70742459999999996</v>
      </c>
      <c r="U116">
        <v>-0.56216429999999995</v>
      </c>
      <c r="V116">
        <v>4.3969080000000001E-2</v>
      </c>
      <c r="W116">
        <v>0.16322619999999999</v>
      </c>
      <c r="X116">
        <v>0.98560840000000005</v>
      </c>
      <c r="Y116">
        <v>0.17862690000000001</v>
      </c>
      <c r="Z116">
        <v>-2.1238340000000001E-2</v>
      </c>
      <c r="AA116">
        <v>0.9836876</v>
      </c>
      <c r="AB116">
        <v>14</v>
      </c>
      <c r="AC116">
        <v>0.65250000000003106</v>
      </c>
      <c r="AD116">
        <v>-0.17887399999999901</v>
      </c>
      <c r="AE116">
        <v>-0.14359999999999201</v>
      </c>
      <c r="AF116">
        <v>0.138060820505779</v>
      </c>
      <c r="AG116">
        <v>-0.17887399999999901</v>
      </c>
      <c r="AH116">
        <v>0.60794867465325197</v>
      </c>
      <c r="AI116">
        <v>106.009249123758</v>
      </c>
      <c r="AJ116">
        <v>77.205532234850693</v>
      </c>
      <c r="AK116">
        <v>0.64858175201540702</v>
      </c>
      <c r="AL116">
        <v>80.605793659529596</v>
      </c>
      <c r="AM116">
        <v>87.445665558843999</v>
      </c>
      <c r="AN116">
        <v>0.99999999525652306</v>
      </c>
    </row>
    <row r="117" spans="1:40" x14ac:dyDescent="0.25">
      <c r="A117" t="str">
        <f>"20190312172611853"</f>
        <v>20190312172611853</v>
      </c>
      <c r="B117" t="str">
        <f>"1552382771848992"</f>
        <v>1552382771848992</v>
      </c>
      <c r="C117" t="s">
        <v>40</v>
      </c>
      <c r="D117">
        <v>3.349281</v>
      </c>
      <c r="E117">
        <v>0.55974650000000004</v>
      </c>
      <c r="F117" t="s">
        <v>44</v>
      </c>
      <c r="G117">
        <v>-468.12819999999999</v>
      </c>
      <c r="H117">
        <v>0.93312499999999998</v>
      </c>
      <c r="I117">
        <v>367.10809999999998</v>
      </c>
      <c r="J117">
        <v>-468.7722</v>
      </c>
      <c r="K117">
        <v>1.1088880000000001</v>
      </c>
      <c r="L117">
        <v>367.24849999999998</v>
      </c>
      <c r="M117">
        <v>0.99997119999999995</v>
      </c>
      <c r="N117">
        <v>0</v>
      </c>
      <c r="O117">
        <v>6.8030010000000004E-3</v>
      </c>
      <c r="P117">
        <v>0.98645970000000005</v>
      </c>
      <c r="Q117">
        <v>0.15977849999999999</v>
      </c>
      <c r="R117">
        <v>-3.6993949999999998E-2</v>
      </c>
      <c r="S117">
        <v>3.1348569999999998</v>
      </c>
      <c r="T117">
        <v>-0.70925209999999905</v>
      </c>
      <c r="U117">
        <v>-0.56243900000000002</v>
      </c>
      <c r="V117">
        <v>4.3690519999999997E-2</v>
      </c>
      <c r="W117">
        <v>0.1631377</v>
      </c>
      <c r="X117">
        <v>0.9856355</v>
      </c>
      <c r="Y117">
        <v>0.17874039999999999</v>
      </c>
      <c r="Z117">
        <v>-2.1323559999999998E-2</v>
      </c>
      <c r="AA117">
        <v>0.98366520000000002</v>
      </c>
      <c r="AB117">
        <v>14</v>
      </c>
      <c r="AC117">
        <v>0.64400000000000501</v>
      </c>
      <c r="AD117">
        <v>-0.175762999999999</v>
      </c>
      <c r="AE117">
        <v>-0.140399999999999</v>
      </c>
      <c r="AF117">
        <v>0.13516652095218201</v>
      </c>
      <c r="AG117">
        <v>-0.175762999999999</v>
      </c>
      <c r="AH117">
        <v>0.60034104792828902</v>
      </c>
      <c r="AI117">
        <v>105.94050664722999</v>
      </c>
      <c r="AJ117">
        <v>77.311460689704006</v>
      </c>
      <c r="AK117">
        <v>0.63997812023767897</v>
      </c>
      <c r="AL117">
        <v>80.610933790768996</v>
      </c>
      <c r="AM117">
        <v>87.461896654953094</v>
      </c>
      <c r="AN117">
        <v>1.0000000547797001</v>
      </c>
    </row>
    <row r="118" spans="1:40" x14ac:dyDescent="0.25">
      <c r="A118" t="str">
        <f>"20190312172611875"</f>
        <v>20190312172611875</v>
      </c>
      <c r="B118" t="str">
        <f>"1552382771868512"</f>
        <v>1552382771868512</v>
      </c>
      <c r="C118" t="s">
        <v>40</v>
      </c>
      <c r="D118">
        <v>3.4479320000000002</v>
      </c>
      <c r="E118">
        <v>0.55972999999999995</v>
      </c>
      <c r="F118" t="s">
        <v>44</v>
      </c>
      <c r="G118">
        <v>-468.00330000000002</v>
      </c>
      <c r="H118">
        <v>0.93411449999999996</v>
      </c>
      <c r="I118">
        <v>367.11040000000003</v>
      </c>
      <c r="J118">
        <v>-468.6343</v>
      </c>
      <c r="K118">
        <v>1.1089009999999999</v>
      </c>
      <c r="L118">
        <v>367.24959999999999</v>
      </c>
      <c r="M118">
        <v>0.99997040000000004</v>
      </c>
      <c r="N118">
        <v>0</v>
      </c>
      <c r="O118">
        <v>6.9290760000000002E-3</v>
      </c>
      <c r="P118">
        <v>0.9864271</v>
      </c>
      <c r="Q118">
        <v>0.1600512</v>
      </c>
      <c r="R118">
        <v>-3.6681060000000001E-2</v>
      </c>
      <c r="S118">
        <v>3.135529</v>
      </c>
      <c r="T118">
        <v>-0.71273799999999998</v>
      </c>
      <c r="U118">
        <v>-0.5617065</v>
      </c>
      <c r="V118">
        <v>4.3501199999999997E-2</v>
      </c>
      <c r="W118">
        <v>0.1633706</v>
      </c>
      <c r="X118">
        <v>0.98560519999999996</v>
      </c>
      <c r="Y118">
        <v>0.17856379999999999</v>
      </c>
      <c r="Z118">
        <v>-2.1430250000000001E-2</v>
      </c>
      <c r="AA118">
        <v>0.98369490000000004</v>
      </c>
      <c r="AB118">
        <v>14</v>
      </c>
      <c r="AC118">
        <v>0.63099999999997103</v>
      </c>
      <c r="AD118">
        <v>-0.17478649999999901</v>
      </c>
      <c r="AE118">
        <v>-0.139199999999959</v>
      </c>
      <c r="AF118">
        <v>0.13378050149686099</v>
      </c>
      <c r="AG118">
        <v>-0.17478649999999901</v>
      </c>
      <c r="AH118">
        <v>0.58706597880907097</v>
      </c>
      <c r="AI118">
        <v>106.187330534582</v>
      </c>
      <c r="AJ118">
        <v>77.162661761133194</v>
      </c>
      <c r="AK118">
        <v>0.62697209398668996</v>
      </c>
      <c r="AL118">
        <v>80.597407234428303</v>
      </c>
      <c r="AM118">
        <v>87.472802899746497</v>
      </c>
      <c r="AN118">
        <v>0.99999995880641901</v>
      </c>
    </row>
    <row r="119" spans="1:40" x14ac:dyDescent="0.25">
      <c r="A119" t="str">
        <f>"20190312172611898"</f>
        <v>20190312172611898</v>
      </c>
      <c r="B119" t="str">
        <f>"1552382771889008"</f>
        <v>1552382771889008</v>
      </c>
      <c r="C119" t="s">
        <v>40</v>
      </c>
      <c r="D119">
        <v>3.640647</v>
      </c>
      <c r="E119">
        <v>0.55972239999999995</v>
      </c>
      <c r="F119" t="s">
        <v>44</v>
      </c>
      <c r="G119">
        <v>-467.8766</v>
      </c>
      <c r="H119">
        <v>0.93643799999999999</v>
      </c>
      <c r="I119">
        <v>367.11419999999998</v>
      </c>
      <c r="J119">
        <v>-468.48570000000001</v>
      </c>
      <c r="K119">
        <v>1.1089209999999901</v>
      </c>
      <c r="L119">
        <v>367.25080000000003</v>
      </c>
      <c r="M119">
        <v>0.99996960000000001</v>
      </c>
      <c r="N119">
        <v>0</v>
      </c>
      <c r="O119">
        <v>7.0652229999999998E-3</v>
      </c>
      <c r="P119">
        <v>0.98638720000000002</v>
      </c>
      <c r="Q119">
        <v>0.1605067</v>
      </c>
      <c r="R119">
        <v>-3.5750900000000002E-2</v>
      </c>
      <c r="S119">
        <v>3.1362610000000002</v>
      </c>
      <c r="T119">
        <v>-0.71384740000000002</v>
      </c>
      <c r="U119">
        <v>-0.56051640000000003</v>
      </c>
      <c r="V119">
        <v>4.2704689999999997E-2</v>
      </c>
      <c r="W119">
        <v>0.16378599999999999</v>
      </c>
      <c r="X119">
        <v>0.98557110000000003</v>
      </c>
      <c r="Y119">
        <v>0.1782871</v>
      </c>
      <c r="Z119">
        <v>-2.145818E-2</v>
      </c>
      <c r="AA119">
        <v>0.98374450000000002</v>
      </c>
      <c r="AB119">
        <v>14</v>
      </c>
      <c r="AC119">
        <v>0.60910000000001197</v>
      </c>
      <c r="AD119">
        <v>-0.172482999999999</v>
      </c>
      <c r="AE119">
        <v>-0.13660000000004399</v>
      </c>
      <c r="AF119">
        <v>0.13090551810020601</v>
      </c>
      <c r="AG119">
        <v>-0.172482999999999</v>
      </c>
      <c r="AH119">
        <v>0.56498366770077302</v>
      </c>
      <c r="AI119">
        <v>106.562992041833</v>
      </c>
      <c r="AJ119">
        <v>76.954876086509799</v>
      </c>
      <c r="AK119">
        <v>0.605056348389719</v>
      </c>
      <c r="AL119">
        <v>80.573281697293595</v>
      </c>
      <c r="AM119">
        <v>87.518931963773795</v>
      </c>
      <c r="AN119">
        <v>0.99999996874960195</v>
      </c>
    </row>
    <row r="120" spans="1:40" x14ac:dyDescent="0.25">
      <c r="A120" t="str">
        <f>"20190312172611922"</f>
        <v>20190312172611922</v>
      </c>
      <c r="B120" t="str">
        <f>"1552382771918288"</f>
        <v>1552382771918288</v>
      </c>
      <c r="C120" t="s">
        <v>40</v>
      </c>
      <c r="D120">
        <v>3.5908060000000002</v>
      </c>
      <c r="E120">
        <v>0.55982290000000001</v>
      </c>
      <c r="F120" t="s">
        <v>44</v>
      </c>
      <c r="G120">
        <v>-467.7475</v>
      </c>
      <c r="H120">
        <v>0.94123389999999996</v>
      </c>
      <c r="I120">
        <v>367.1191</v>
      </c>
      <c r="J120">
        <v>-468.33699999999999</v>
      </c>
      <c r="K120">
        <v>1.1089329999999999</v>
      </c>
      <c r="L120">
        <v>367.25200000000001</v>
      </c>
      <c r="M120">
        <v>0.99996879999999999</v>
      </c>
      <c r="N120">
        <v>0</v>
      </c>
      <c r="O120">
        <v>7.2011840000000002E-3</v>
      </c>
      <c r="P120">
        <v>0.9862244</v>
      </c>
      <c r="Q120">
        <v>0.1617102</v>
      </c>
      <c r="R120">
        <v>-3.4805389999999999E-2</v>
      </c>
      <c r="S120">
        <v>3.1372680000000002</v>
      </c>
      <c r="T120">
        <v>-0.71281949999999905</v>
      </c>
      <c r="U120">
        <v>-0.55718990000000002</v>
      </c>
      <c r="V120">
        <v>4.1891570000000003E-2</v>
      </c>
      <c r="W120">
        <v>0.1649534</v>
      </c>
      <c r="X120">
        <v>0.98541129999999999</v>
      </c>
      <c r="Y120">
        <v>0.17738870000000001</v>
      </c>
      <c r="Z120">
        <v>-2.1353589999999999E-2</v>
      </c>
      <c r="AA120">
        <v>0.98390920000000004</v>
      </c>
      <c r="AB120">
        <v>14</v>
      </c>
      <c r="AC120">
        <v>0.58949999999998604</v>
      </c>
      <c r="AD120">
        <v>-0.16769909999999999</v>
      </c>
      <c r="AE120">
        <v>-0.132899999999949</v>
      </c>
      <c r="AF120">
        <v>0.12733522544768799</v>
      </c>
      <c r="AG120">
        <v>-0.16769909999999999</v>
      </c>
      <c r="AH120">
        <v>0.546444428310769</v>
      </c>
      <c r="AI120">
        <v>106.640557371881</v>
      </c>
      <c r="AJ120">
        <v>76.882731623724496</v>
      </c>
      <c r="AK120">
        <v>0.58560973439015396</v>
      </c>
      <c r="AL120">
        <v>80.505472407285296</v>
      </c>
      <c r="AM120">
        <v>87.565721239890394</v>
      </c>
      <c r="AN120">
        <v>0.99999997898815696</v>
      </c>
    </row>
    <row r="121" spans="1:40" x14ac:dyDescent="0.25">
      <c r="A121" t="str">
        <f>"20190312172611943"</f>
        <v>20190312172611943</v>
      </c>
      <c r="B121" t="str">
        <f>"1552382771938785"</f>
        <v>1552382771938785</v>
      </c>
      <c r="C121" t="s">
        <v>40</v>
      </c>
      <c r="D121">
        <v>3.3847269999999998</v>
      </c>
      <c r="E121">
        <v>0.55989919999999904</v>
      </c>
      <c r="F121" t="s">
        <v>44</v>
      </c>
      <c r="G121">
        <v>-467.61669999999998</v>
      </c>
      <c r="H121">
        <v>0.94649930000000004</v>
      </c>
      <c r="I121">
        <v>367.12430000000001</v>
      </c>
      <c r="J121">
        <v>-468.19940000000003</v>
      </c>
      <c r="K121">
        <v>1.1089359999999999</v>
      </c>
      <c r="L121">
        <v>367.25319999999999</v>
      </c>
      <c r="M121">
        <v>0.99996799999999997</v>
      </c>
      <c r="N121">
        <v>0</v>
      </c>
      <c r="O121">
        <v>7.3267039999999999E-3</v>
      </c>
      <c r="P121">
        <v>0.98603269999999998</v>
      </c>
      <c r="Q121">
        <v>0.16296169999999999</v>
      </c>
      <c r="R121">
        <v>-3.4402809999999999E-2</v>
      </c>
      <c r="S121">
        <v>3.1383670000000001</v>
      </c>
      <c r="T121">
        <v>-0.70789460000000004</v>
      </c>
      <c r="U121">
        <v>-0.556427</v>
      </c>
      <c r="V121">
        <v>4.1610750000000002E-2</v>
      </c>
      <c r="W121">
        <v>0.16617419999999999</v>
      </c>
      <c r="X121">
        <v>0.98521809999999999</v>
      </c>
      <c r="Y121">
        <v>0.17728529999999901</v>
      </c>
      <c r="Z121">
        <v>-2.1219229999999999E-2</v>
      </c>
      <c r="AA121">
        <v>0.98393070000000005</v>
      </c>
      <c r="AB121">
        <v>14</v>
      </c>
      <c r="AC121">
        <v>0.58270000000004496</v>
      </c>
      <c r="AD121">
        <v>-0.16243669999999999</v>
      </c>
      <c r="AE121">
        <v>-0.128899999999987</v>
      </c>
      <c r="AF121">
        <v>0.12398072892098699</v>
      </c>
      <c r="AG121">
        <v>-0.16243669999999999</v>
      </c>
      <c r="AH121">
        <v>0.54161447205693702</v>
      </c>
      <c r="AI121">
        <v>106.29629720244399</v>
      </c>
      <c r="AJ121">
        <v>77.1065883587531</v>
      </c>
      <c r="AK121">
        <v>0.57888093680150099</v>
      </c>
      <c r="AL121">
        <v>80.434547193727298</v>
      </c>
      <c r="AM121">
        <v>87.581546386356607</v>
      </c>
      <c r="AN121">
        <v>1.0000000119143999</v>
      </c>
    </row>
    <row r="122" spans="1:40" x14ac:dyDescent="0.25">
      <c r="A122" t="str">
        <f>"20190312172611965"</f>
        <v>20190312172611965</v>
      </c>
      <c r="B122" t="str">
        <f>"1552382771958878"</f>
        <v>1552382771958878</v>
      </c>
      <c r="C122" t="s">
        <v>40</v>
      </c>
      <c r="D122">
        <v>3.3341479999999999</v>
      </c>
      <c r="E122">
        <v>0.55999909999999997</v>
      </c>
      <c r="F122" t="s">
        <v>44</v>
      </c>
      <c r="G122">
        <v>-467.48579999999998</v>
      </c>
      <c r="H122">
        <v>0.94912410000000003</v>
      </c>
      <c r="I122">
        <v>367.12639999999999</v>
      </c>
      <c r="J122">
        <v>-468.05610000000001</v>
      </c>
      <c r="K122">
        <v>1.108946</v>
      </c>
      <c r="L122">
        <v>367.25439999999998</v>
      </c>
      <c r="M122">
        <v>0.99996700000000005</v>
      </c>
      <c r="N122">
        <v>0</v>
      </c>
      <c r="O122">
        <v>7.45758599999999E-3</v>
      </c>
      <c r="P122">
        <v>0.98597900000000005</v>
      </c>
      <c r="Q122">
        <v>0.16326930000000001</v>
      </c>
      <c r="R122">
        <v>-3.4476689999999997E-2</v>
      </c>
      <c r="S122">
        <v>3.139313</v>
      </c>
      <c r="T122">
        <v>-0.70320499999999997</v>
      </c>
      <c r="U122">
        <v>-0.55618290000000004</v>
      </c>
      <c r="V122">
        <v>4.18129E-2</v>
      </c>
      <c r="W122">
        <v>0.16645389999999999</v>
      </c>
      <c r="X122">
        <v>0.98516230000000005</v>
      </c>
      <c r="Y122">
        <v>0.17734549999999999</v>
      </c>
      <c r="Z122">
        <v>-2.1111379999999999E-2</v>
      </c>
      <c r="AA122">
        <v>0.98392219999999997</v>
      </c>
      <c r="AB122">
        <v>14</v>
      </c>
      <c r="AC122">
        <v>0.570300000000031</v>
      </c>
      <c r="AD122">
        <v>-0.15982189999999899</v>
      </c>
      <c r="AE122">
        <v>-0.12799999999998499</v>
      </c>
      <c r="AF122">
        <v>0.123049254675029</v>
      </c>
      <c r="AG122">
        <v>-0.15982189999999899</v>
      </c>
      <c r="AH122">
        <v>0.52972272836510204</v>
      </c>
      <c r="AI122">
        <v>106.37721703739</v>
      </c>
      <c r="AJ122">
        <v>76.922686686526703</v>
      </c>
      <c r="AK122">
        <v>0.56682477693045297</v>
      </c>
      <c r="AL122">
        <v>80.418294992865597</v>
      </c>
      <c r="AM122">
        <v>87.569673819803</v>
      </c>
      <c r="AN122">
        <v>0.99999998838645399</v>
      </c>
    </row>
    <row r="123" spans="1:40" x14ac:dyDescent="0.25">
      <c r="A123" t="str">
        <f>"20190312172611988"</f>
        <v>20190312172611988</v>
      </c>
      <c r="B123" t="str">
        <f>"1552382771978398"</f>
        <v>1552382771978398</v>
      </c>
      <c r="C123" t="s">
        <v>40</v>
      </c>
      <c r="D123">
        <v>3.3386900000000002</v>
      </c>
      <c r="E123">
        <v>0.56011279999999997</v>
      </c>
      <c r="F123" t="s">
        <v>44</v>
      </c>
      <c r="G123">
        <v>-467.35359999999997</v>
      </c>
      <c r="H123">
        <v>0.95194710000000005</v>
      </c>
      <c r="I123">
        <v>367.12990000000002</v>
      </c>
      <c r="J123">
        <v>-467.90809999999999</v>
      </c>
      <c r="K123">
        <v>1.108948</v>
      </c>
      <c r="L123">
        <v>367.25560000000002</v>
      </c>
      <c r="M123">
        <v>0.99996620000000003</v>
      </c>
      <c r="N123">
        <v>0</v>
      </c>
      <c r="O123">
        <v>7.592339E-3</v>
      </c>
      <c r="P123">
        <v>0.98597429999999997</v>
      </c>
      <c r="Q123">
        <v>0.1633597</v>
      </c>
      <c r="R123">
        <v>-3.418653E-2</v>
      </c>
      <c r="S123">
        <v>3.139313</v>
      </c>
      <c r="T123">
        <v>-0.70158739999999997</v>
      </c>
      <c r="U123">
        <v>-0.556427</v>
      </c>
      <c r="V123">
        <v>4.1654990000000003E-2</v>
      </c>
      <c r="W123">
        <v>0.1665179</v>
      </c>
      <c r="X123">
        <v>0.98515819999999998</v>
      </c>
      <c r="Y123">
        <v>0.177564</v>
      </c>
      <c r="Z123">
        <v>-2.1117299999999999E-2</v>
      </c>
      <c r="AA123">
        <v>0.9838827</v>
      </c>
      <c r="AB123">
        <v>15</v>
      </c>
      <c r="AC123">
        <v>0.55450000000001798</v>
      </c>
      <c r="AD123">
        <v>-0.1570009</v>
      </c>
      <c r="AE123">
        <v>-0.12569999999999401</v>
      </c>
      <c r="AF123">
        <v>0.120702802795039</v>
      </c>
      <c r="AG123">
        <v>-0.1570009</v>
      </c>
      <c r="AH123">
        <v>0.51431343393243101</v>
      </c>
      <c r="AI123">
        <v>106.551342677577</v>
      </c>
      <c r="AJ123">
        <v>76.792431724441599</v>
      </c>
      <c r="AK123">
        <v>0.55112317817957701</v>
      </c>
      <c r="AL123">
        <v>80.414576411312694</v>
      </c>
      <c r="AM123">
        <v>87.578831147496302</v>
      </c>
      <c r="AN123">
        <v>1.00000001411977</v>
      </c>
    </row>
    <row r="124" spans="1:40" x14ac:dyDescent="0.25">
      <c r="A124" t="str">
        <f>"20190312172612010"</f>
        <v>20190312172612010</v>
      </c>
      <c r="B124" t="str">
        <f>"1552382771998894"</f>
        <v>1552382771998894</v>
      </c>
      <c r="C124" t="s">
        <v>40</v>
      </c>
      <c r="D124">
        <v>3.31534</v>
      </c>
      <c r="E124">
        <v>0.56021659999999995</v>
      </c>
      <c r="F124" t="s">
        <v>44</v>
      </c>
      <c r="G124">
        <v>-467.21980000000002</v>
      </c>
      <c r="H124">
        <v>0.9553199</v>
      </c>
      <c r="I124">
        <v>367.13319999999999</v>
      </c>
      <c r="J124">
        <v>-467.7602</v>
      </c>
      <c r="K124">
        <v>1.1089500000000001</v>
      </c>
      <c r="L124">
        <v>367.25689999999997</v>
      </c>
      <c r="M124">
        <v>0.9999652</v>
      </c>
      <c r="N124">
        <v>0</v>
      </c>
      <c r="O124">
        <v>7.7270259999999997E-3</v>
      </c>
      <c r="P124">
        <v>0.98592109999999999</v>
      </c>
      <c r="Q124">
        <v>0.16369819999999999</v>
      </c>
      <c r="R124">
        <v>-3.4094430000000002E-2</v>
      </c>
      <c r="S124">
        <v>3.139526</v>
      </c>
      <c r="T124">
        <v>-0.70081210000000005</v>
      </c>
      <c r="U124">
        <v>-0.55618290000000004</v>
      </c>
      <c r="V124">
        <v>4.1695040000000003E-2</v>
      </c>
      <c r="W124">
        <v>0.16683290000000001</v>
      </c>
      <c r="X124">
        <v>0.98510319999999996</v>
      </c>
      <c r="Y124">
        <v>0.17761640000000001</v>
      </c>
      <c r="Z124">
        <v>-2.112849E-2</v>
      </c>
      <c r="AA124">
        <v>0.983873</v>
      </c>
      <c r="AB124">
        <v>15</v>
      </c>
      <c r="AC124">
        <v>0.54039999999997601</v>
      </c>
      <c r="AD124">
        <v>-0.15363009999999999</v>
      </c>
      <c r="AE124">
        <v>-0.123699999999985</v>
      </c>
      <c r="AF124">
        <v>0.11875223933718</v>
      </c>
      <c r="AG124">
        <v>-0.15363009999999999</v>
      </c>
      <c r="AH124">
        <v>0.50095626968627505</v>
      </c>
      <c r="AI124">
        <v>106.615319830487</v>
      </c>
      <c r="AJ124">
        <v>76.664130283418203</v>
      </c>
      <c r="AK124">
        <v>0.53727226441683396</v>
      </c>
      <c r="AL124">
        <v>80.396272097965607</v>
      </c>
      <c r="AM124">
        <v>87.576370895394007</v>
      </c>
      <c r="AN124">
        <v>1.0000000037666199</v>
      </c>
    </row>
    <row r="125" spans="1:40" x14ac:dyDescent="0.25">
      <c r="A125" t="str">
        <f>"20190312172612034"</f>
        <v>20190312172612034</v>
      </c>
      <c r="B125" t="str">
        <f>"1552382772029151"</f>
        <v>1552382772029151</v>
      </c>
      <c r="C125" t="s">
        <v>40</v>
      </c>
      <c r="D125">
        <v>3.4885139999999999</v>
      </c>
      <c r="E125">
        <v>0.56021799999999999</v>
      </c>
      <c r="F125" t="s">
        <v>44</v>
      </c>
      <c r="G125">
        <v>-466.96100000000001</v>
      </c>
      <c r="H125">
        <v>0.93101140000000004</v>
      </c>
      <c r="I125">
        <v>367.11470000000003</v>
      </c>
      <c r="J125">
        <v>-467.60449999999997</v>
      </c>
      <c r="K125">
        <v>1.1089549999999999</v>
      </c>
      <c r="L125">
        <v>367.25830000000002</v>
      </c>
      <c r="M125">
        <v>0.99996419999999997</v>
      </c>
      <c r="N125">
        <v>0</v>
      </c>
      <c r="O125">
        <v>7.8686850000000003E-3</v>
      </c>
      <c r="P125">
        <v>0.98601419999999995</v>
      </c>
      <c r="Q125">
        <v>0.16328670000000001</v>
      </c>
      <c r="R125">
        <v>-3.3372880000000001E-2</v>
      </c>
      <c r="S125">
        <v>3.1396790000000001</v>
      </c>
      <c r="T125">
        <v>-0.69911179999999995</v>
      </c>
      <c r="U125">
        <v>-0.55728149999999999</v>
      </c>
      <c r="V125">
        <v>4.1113089999999998E-2</v>
      </c>
      <c r="W125">
        <v>0.16640079999999999</v>
      </c>
      <c r="X125">
        <v>0.98520079999999999</v>
      </c>
      <c r="Y125">
        <v>0.17808860000000001</v>
      </c>
      <c r="Z125">
        <v>-2.1159319999999999E-2</v>
      </c>
      <c r="AA125">
        <v>0.98378690000000002</v>
      </c>
      <c r="AB125">
        <v>15</v>
      </c>
      <c r="AC125">
        <v>0.64349999999995999</v>
      </c>
      <c r="AD125">
        <v>-0.17794359999999901</v>
      </c>
      <c r="AE125">
        <v>-0.14359999999999201</v>
      </c>
      <c r="AF125">
        <v>0.138566108856258</v>
      </c>
      <c r="AG125">
        <v>-0.17794359999999901</v>
      </c>
      <c r="AH125">
        <v>0.59873880136384094</v>
      </c>
      <c r="AI125">
        <v>106.14808408039001</v>
      </c>
      <c r="AJ125">
        <v>76.969444446323394</v>
      </c>
      <c r="AK125">
        <v>0.63980672359950497</v>
      </c>
      <c r="AL125">
        <v>80.421381163784602</v>
      </c>
      <c r="AM125">
        <v>87.610395183128105</v>
      </c>
      <c r="AN125">
        <v>1.00000006436531</v>
      </c>
    </row>
    <row r="126" spans="1:40" x14ac:dyDescent="0.25">
      <c r="A126" t="str">
        <f>"20190312172612055"</f>
        <v>20190312172612055</v>
      </c>
      <c r="B126" t="str">
        <f>"1552382772048240"</f>
        <v>1552382772048240</v>
      </c>
      <c r="C126" t="s">
        <v>40</v>
      </c>
      <c r="D126">
        <v>3.34124</v>
      </c>
      <c r="E126">
        <v>0.51261729999999905</v>
      </c>
      <c r="F126" t="s">
        <v>44</v>
      </c>
      <c r="G126">
        <v>-466.82330000000002</v>
      </c>
      <c r="H126">
        <v>0.93497479999999999</v>
      </c>
      <c r="I126">
        <v>367.12</v>
      </c>
      <c r="J126">
        <v>-467.4556</v>
      </c>
      <c r="K126">
        <v>1.1089519999999999</v>
      </c>
      <c r="L126">
        <v>367.25959999999998</v>
      </c>
      <c r="M126">
        <v>0.99996309999999999</v>
      </c>
      <c r="N126">
        <v>0</v>
      </c>
      <c r="O126">
        <v>8.0040189999999994E-3</v>
      </c>
      <c r="P126">
        <v>0.98605949999999998</v>
      </c>
      <c r="Q126">
        <v>0.16306989999999999</v>
      </c>
      <c r="R126">
        <v>-3.3091080000000002E-2</v>
      </c>
      <c r="S126">
        <v>3.1395569999999999</v>
      </c>
      <c r="T126">
        <v>-0.69919350000000002</v>
      </c>
      <c r="U126">
        <v>-0.55520630000000004</v>
      </c>
      <c r="V126">
        <v>4.0964729999999998E-2</v>
      </c>
      <c r="W126">
        <v>0.16616619999999999</v>
      </c>
      <c r="X126">
        <v>0.98524650000000003</v>
      </c>
      <c r="Y126">
        <v>0.17760399999999901</v>
      </c>
      <c r="Z126">
        <v>-2.1140340000000001E-2</v>
      </c>
      <c r="AA126">
        <v>0.9838749</v>
      </c>
      <c r="AB126">
        <v>15</v>
      </c>
      <c r="AC126">
        <v>0.63229999999998598</v>
      </c>
      <c r="AD126">
        <v>-0.173977199999999</v>
      </c>
      <c r="AE126">
        <v>-0.139599999999973</v>
      </c>
      <c r="AF126">
        <v>0.13491702202658601</v>
      </c>
      <c r="AG126">
        <v>-0.173977199999999</v>
      </c>
      <c r="AH126">
        <v>0.58866730568316405</v>
      </c>
      <c r="AI126">
        <v>106.07036681798</v>
      </c>
      <c r="AJ126">
        <v>77.091287643458003</v>
      </c>
      <c r="AK126">
        <v>0.62849014768143996</v>
      </c>
      <c r="AL126">
        <v>80.435011815140598</v>
      </c>
      <c r="AM126">
        <v>87.619118642136897</v>
      </c>
      <c r="AN126">
        <v>0.99999999044433097</v>
      </c>
    </row>
    <row r="127" spans="1:40" x14ac:dyDescent="0.25">
      <c r="A127" t="str">
        <f>"20190312172612077"</f>
        <v>20190312172612077</v>
      </c>
      <c r="B127" t="str">
        <f>"1552382772068736"</f>
        <v>1552382772068736</v>
      </c>
      <c r="C127" t="s">
        <v>40</v>
      </c>
      <c r="D127">
        <v>3.302454</v>
      </c>
      <c r="E127">
        <v>0.50221559999999998</v>
      </c>
      <c r="F127" t="s">
        <v>44</v>
      </c>
      <c r="G127">
        <v>-466.65769999999998</v>
      </c>
      <c r="H127">
        <v>0.9997336</v>
      </c>
      <c r="I127">
        <v>367.2131</v>
      </c>
      <c r="J127">
        <v>-467.29849999999999</v>
      </c>
      <c r="K127">
        <v>1.108957</v>
      </c>
      <c r="L127">
        <v>367.26100000000002</v>
      </c>
      <c r="M127">
        <v>0.99996200000000002</v>
      </c>
      <c r="N127">
        <v>0</v>
      </c>
      <c r="O127">
        <v>8.1469200000000002E-3</v>
      </c>
      <c r="P127">
        <v>0.98607029999999996</v>
      </c>
      <c r="Q127">
        <v>0.1630615</v>
      </c>
      <c r="R127">
        <v>-3.2814070000000001E-2</v>
      </c>
      <c r="S127">
        <v>3.1067200000000001</v>
      </c>
      <c r="T127">
        <v>-0.42538670000000001</v>
      </c>
      <c r="U127">
        <v>-0.1800842</v>
      </c>
      <c r="V127">
        <v>4.0828110000000001E-2</v>
      </c>
      <c r="W127">
        <v>0.1661417</v>
      </c>
      <c r="X127">
        <v>0.98525629999999997</v>
      </c>
      <c r="Y127">
        <v>6.5317029999999998E-2</v>
      </c>
      <c r="Z127">
        <v>-5.556788E-3</v>
      </c>
      <c r="AA127">
        <v>0.99784910000000004</v>
      </c>
      <c r="AB127">
        <v>15</v>
      </c>
      <c r="AC127">
        <v>0.64080000000001203</v>
      </c>
      <c r="AD127">
        <v>-0.1092234</v>
      </c>
      <c r="AE127">
        <v>-4.7899999999970001E-2</v>
      </c>
      <c r="AF127">
        <v>5.1627401199357298E-2</v>
      </c>
      <c r="AG127">
        <v>-0.1092234</v>
      </c>
      <c r="AH127">
        <v>0.62240639035142697</v>
      </c>
      <c r="AI127">
        <v>99.919855471915199</v>
      </c>
      <c r="AJ127">
        <v>85.258281434076096</v>
      </c>
      <c r="AK127">
        <v>0.63402275543741504</v>
      </c>
      <c r="AL127">
        <v>80.436435324247597</v>
      </c>
      <c r="AM127">
        <v>87.627073518004906</v>
      </c>
      <c r="AN127">
        <v>0.99999998786737598</v>
      </c>
    </row>
    <row r="128" spans="1:40" x14ac:dyDescent="0.25">
      <c r="A128" t="str">
        <f>"20190312172612102"</f>
        <v>20190312172612102</v>
      </c>
      <c r="B128" t="str">
        <f>"1552382772098992"</f>
        <v>1552382772098992</v>
      </c>
      <c r="C128" t="s">
        <v>40</v>
      </c>
      <c r="D128">
        <v>3.3409420000000001</v>
      </c>
      <c r="E128">
        <v>0.4946063</v>
      </c>
      <c r="F128" t="s">
        <v>44</v>
      </c>
      <c r="G128">
        <v>-466.50599999999997</v>
      </c>
      <c r="H128">
        <v>1.0262990000000001</v>
      </c>
      <c r="I128">
        <v>367.23570000000001</v>
      </c>
      <c r="J128">
        <v>-467.12689999999998</v>
      </c>
      <c r="K128">
        <v>1.1089629999999999</v>
      </c>
      <c r="L128">
        <v>367.26260000000002</v>
      </c>
      <c r="M128">
        <v>0.99996079999999998</v>
      </c>
      <c r="N128">
        <v>0</v>
      </c>
      <c r="O128">
        <v>8.3031110000000002E-3</v>
      </c>
      <c r="P128">
        <v>0.98591510000000004</v>
      </c>
      <c r="Q128">
        <v>0.16407539999999901</v>
      </c>
      <c r="R128">
        <v>-3.2414599999999898E-2</v>
      </c>
      <c r="S128">
        <v>3.0924680000000002</v>
      </c>
      <c r="T128">
        <v>-0.32274459999999999</v>
      </c>
      <c r="U128">
        <v>-9.783936E-2</v>
      </c>
      <c r="V128">
        <v>4.058088E-2</v>
      </c>
      <c r="W128">
        <v>0.16714079999999901</v>
      </c>
      <c r="X128">
        <v>0.98509749999999996</v>
      </c>
      <c r="Y128">
        <v>3.9659779999999999E-2</v>
      </c>
      <c r="Z128">
        <v>-2.9274399999999999E-3</v>
      </c>
      <c r="AA128">
        <v>0.99920889999999996</v>
      </c>
      <c r="AB128">
        <v>15</v>
      </c>
      <c r="AC128">
        <v>0.620900000000006</v>
      </c>
      <c r="AD128">
        <v>-8.2663999999999793E-2</v>
      </c>
      <c r="AE128">
        <v>-2.6900000000011901E-2</v>
      </c>
      <c r="AF128">
        <v>3.1497251663975899E-2</v>
      </c>
      <c r="AG128">
        <v>-8.2663999999999793E-2</v>
      </c>
      <c r="AH128">
        <v>0.60986554569815399</v>
      </c>
      <c r="AI128">
        <v>97.708941529643099</v>
      </c>
      <c r="AJ128">
        <v>87.043516197817098</v>
      </c>
      <c r="AK128">
        <v>0.616247837795875</v>
      </c>
      <c r="AL128">
        <v>80.378379168546104</v>
      </c>
      <c r="AM128">
        <v>87.641046451258305</v>
      </c>
      <c r="AN128">
        <v>0.99999996967623095</v>
      </c>
    </row>
    <row r="129" spans="1:40" x14ac:dyDescent="0.25">
      <c r="A129" t="str">
        <f>"20190312172612125"</f>
        <v>20190312172612125</v>
      </c>
      <c r="B129" t="str">
        <f>"1552382772118513"</f>
        <v>1552382772118513</v>
      </c>
      <c r="C129" t="s">
        <v>40</v>
      </c>
      <c r="D129">
        <v>3.3212820000000001</v>
      </c>
      <c r="E129">
        <v>0.4926565</v>
      </c>
      <c r="F129" t="s">
        <v>44</v>
      </c>
      <c r="G129">
        <v>-466.35430000000002</v>
      </c>
      <c r="H129">
        <v>1.04688</v>
      </c>
      <c r="I129">
        <v>367.2527</v>
      </c>
      <c r="J129">
        <v>-466.96850000000001</v>
      </c>
      <c r="K129">
        <v>1.1089709999999999</v>
      </c>
      <c r="L129">
        <v>367.26409999999998</v>
      </c>
      <c r="M129">
        <v>0.99995970000000001</v>
      </c>
      <c r="N129">
        <v>0</v>
      </c>
      <c r="O129">
        <v>8.4468389999999994E-3</v>
      </c>
      <c r="P129">
        <v>0.98568869999999997</v>
      </c>
      <c r="Q129">
        <v>0.16560079999999999</v>
      </c>
      <c r="R129">
        <v>-3.1539310000000001E-2</v>
      </c>
      <c r="S129">
        <v>3.0829469999999999</v>
      </c>
      <c r="T129">
        <v>-0.2480261</v>
      </c>
      <c r="U129">
        <v>-3.7658690000000002E-2</v>
      </c>
      <c r="V129">
        <v>3.9844409999999997E-2</v>
      </c>
      <c r="W129">
        <v>0.16865450000000001</v>
      </c>
      <c r="X129">
        <v>0.98486960000000001</v>
      </c>
      <c r="Y129">
        <v>2.0566330000000001E-2</v>
      </c>
      <c r="Z129">
        <v>-1.5043669999999999E-3</v>
      </c>
      <c r="AA129">
        <v>0.99978730000000005</v>
      </c>
      <c r="AB129">
        <v>16</v>
      </c>
      <c r="AC129">
        <v>0.61419999999998198</v>
      </c>
      <c r="AD129">
        <v>-6.2090999999999903E-2</v>
      </c>
      <c r="AE129">
        <v>-1.13999999999805E-2</v>
      </c>
      <c r="AF129">
        <v>1.6419917147031698E-2</v>
      </c>
      <c r="AG129">
        <v>-6.2090999999999903E-2</v>
      </c>
      <c r="AH129">
        <v>0.60787167355794003</v>
      </c>
      <c r="AI129">
        <v>95.830132928183602</v>
      </c>
      <c r="AJ129">
        <v>88.452694416639403</v>
      </c>
      <c r="AK129">
        <v>0.61125516560127802</v>
      </c>
      <c r="AL129">
        <v>80.290402168886104</v>
      </c>
      <c r="AM129">
        <v>87.683274775600296</v>
      </c>
      <c r="AN129">
        <v>1.00000002319132</v>
      </c>
    </row>
    <row r="130" spans="1:40" x14ac:dyDescent="0.25">
      <c r="A130" t="str">
        <f>"20190312172612146"</f>
        <v>20190312172612146</v>
      </c>
      <c r="B130" t="str">
        <f>"1552382772139008"</f>
        <v>1552382772139008</v>
      </c>
      <c r="C130" t="s">
        <v>40</v>
      </c>
      <c r="D130">
        <v>3.3417680000000001</v>
      </c>
      <c r="E130">
        <v>0.49164439999999998</v>
      </c>
      <c r="F130" t="s">
        <v>41</v>
      </c>
      <c r="G130">
        <v>-451.72669999999999</v>
      </c>
      <c r="H130" s="1">
        <v>-3.9665220000000002E-6</v>
      </c>
      <c r="I130">
        <v>367.16390000000001</v>
      </c>
      <c r="J130">
        <v>-466.81079999999997</v>
      </c>
      <c r="K130">
        <v>1.108968</v>
      </c>
      <c r="L130">
        <v>367.26560000000001</v>
      </c>
      <c r="M130">
        <v>0.99995840000000003</v>
      </c>
      <c r="N130">
        <v>0</v>
      </c>
      <c r="O130">
        <v>8.5900260000000006E-3</v>
      </c>
      <c r="P130">
        <v>0.98580210000000001</v>
      </c>
      <c r="Q130">
        <v>0.16516639999999999</v>
      </c>
      <c r="R130">
        <v>-3.0237859999999998E-2</v>
      </c>
      <c r="S130">
        <v>3.080505</v>
      </c>
      <c r="T130">
        <v>-0.22413330000000001</v>
      </c>
      <c r="U130">
        <v>-2.0233149999999998E-2</v>
      </c>
      <c r="V130">
        <v>3.8684879999999998E-2</v>
      </c>
      <c r="W130">
        <v>0.16821169999999999</v>
      </c>
      <c r="X130">
        <v>0.98499159999999997</v>
      </c>
      <c r="Y130">
        <v>1.5095020000000001E-2</v>
      </c>
      <c r="Z130">
        <v>-1.172584E-3</v>
      </c>
      <c r="AA130">
        <v>0.99988540000000004</v>
      </c>
      <c r="AB130">
        <v>16</v>
      </c>
      <c r="AC130">
        <v>15.0840999999999</v>
      </c>
      <c r="AD130">
        <v>-1.1089719665219999</v>
      </c>
      <c r="AE130">
        <v>-0.101699999999993</v>
      </c>
      <c r="AF130">
        <v>0.230026413326783</v>
      </c>
      <c r="AG130">
        <v>-1.1089719665219999</v>
      </c>
      <c r="AH130">
        <v>15.001588718392901</v>
      </c>
      <c r="AI130">
        <v>94.227327084545294</v>
      </c>
      <c r="AJ130">
        <v>89.121525716432402</v>
      </c>
      <c r="AK130">
        <v>15.044281140990901</v>
      </c>
      <c r="AL130">
        <v>80.316140957300604</v>
      </c>
      <c r="AM130">
        <v>87.750902862068102</v>
      </c>
      <c r="AN130">
        <v>1.00000007401402</v>
      </c>
    </row>
    <row r="131" spans="1:40" x14ac:dyDescent="0.25">
      <c r="A131" t="str">
        <f>"20190312172612189"</f>
        <v>20190312172612189</v>
      </c>
      <c r="B131" t="str">
        <f>"1552382772179025"</f>
        <v>1552382772179025</v>
      </c>
      <c r="C131" t="s">
        <v>40</v>
      </c>
      <c r="D131">
        <v>3.3531309999999999</v>
      </c>
      <c r="E131">
        <v>0.49052390000000001</v>
      </c>
      <c r="F131" t="s">
        <v>41</v>
      </c>
      <c r="G131">
        <v>-450.80349999999999</v>
      </c>
      <c r="H131" s="1">
        <v>-4.3520939999999996E-6</v>
      </c>
      <c r="I131">
        <v>367.22300000000001</v>
      </c>
      <c r="J131">
        <v>-466.50409999999999</v>
      </c>
      <c r="K131">
        <v>1.1089709999999999</v>
      </c>
      <c r="L131">
        <v>367.26859999999999</v>
      </c>
      <c r="M131">
        <v>0.99995610000000001</v>
      </c>
      <c r="N131">
        <v>0</v>
      </c>
      <c r="O131">
        <v>8.8676880000000003E-3</v>
      </c>
      <c r="P131">
        <v>0.98577630000000005</v>
      </c>
      <c r="Q131">
        <v>0.16569139999999999</v>
      </c>
      <c r="R131">
        <v>-2.8141889999999999E-2</v>
      </c>
      <c r="S131">
        <v>3.0786739999999999</v>
      </c>
      <c r="T131">
        <v>-0.21328749999999999</v>
      </c>
      <c r="U131">
        <v>-8.178711E-3</v>
      </c>
      <c r="V131">
        <v>3.6861150000000002E-2</v>
      </c>
      <c r="W131">
        <v>0.1687273</v>
      </c>
      <c r="X131">
        <v>0.98497330000000005</v>
      </c>
      <c r="Y131">
        <v>1.147539E-2</v>
      </c>
      <c r="Z131">
        <v>-1.010632E-3</v>
      </c>
      <c r="AA131">
        <v>0.99993370000000004</v>
      </c>
      <c r="AB131">
        <v>16</v>
      </c>
      <c r="AC131">
        <v>15.7006</v>
      </c>
      <c r="AD131">
        <v>-1.108975352094</v>
      </c>
      <c r="AE131">
        <v>-4.55999999999789E-2</v>
      </c>
      <c r="AF131">
        <v>0.183909355727158</v>
      </c>
      <c r="AG131">
        <v>-1.108975352094</v>
      </c>
      <c r="AH131">
        <v>15.621642976573799</v>
      </c>
      <c r="AI131">
        <v>94.060316293204906</v>
      </c>
      <c r="AJ131">
        <v>89.325503524662295</v>
      </c>
      <c r="AK131">
        <v>15.6620362108576</v>
      </c>
      <c r="AL131">
        <v>80.286170397860204</v>
      </c>
      <c r="AM131">
        <v>87.856791457064404</v>
      </c>
      <c r="AN131">
        <v>1.0000000239287501</v>
      </c>
    </row>
    <row r="132" spans="1:40" x14ac:dyDescent="0.25">
      <c r="A132" t="str">
        <f>"20190312172612211"</f>
        <v>20190312172612211</v>
      </c>
      <c r="B132" t="str">
        <f>"1552382772198548"</f>
        <v>1552382772198548</v>
      </c>
      <c r="C132" t="s">
        <v>40</v>
      </c>
      <c r="D132">
        <v>3.3692199999999999</v>
      </c>
      <c r="E132">
        <v>0.49025229999999997</v>
      </c>
      <c r="F132" t="s">
        <v>41</v>
      </c>
      <c r="G132">
        <v>-449.1807</v>
      </c>
      <c r="H132" s="1">
        <v>-9.1354569999999999E-7</v>
      </c>
      <c r="I132">
        <v>367.30599999999998</v>
      </c>
      <c r="J132">
        <v>-466.3449</v>
      </c>
      <c r="K132">
        <v>1.1089719999999901</v>
      </c>
      <c r="L132">
        <v>367.27019999999999</v>
      </c>
      <c r="M132">
        <v>0.99995480000000003</v>
      </c>
      <c r="N132">
        <v>0</v>
      </c>
      <c r="O132">
        <v>9.0118790000000004E-3</v>
      </c>
      <c r="P132">
        <v>0.98575000000000002</v>
      </c>
      <c r="Q132">
        <v>0.16597500000000001</v>
      </c>
      <c r="R132">
        <v>-2.737966E-2</v>
      </c>
      <c r="S132">
        <v>3.0765380000000002</v>
      </c>
      <c r="T132">
        <v>-0.19694729999999999</v>
      </c>
      <c r="U132">
        <v>6.6528319999999896E-3</v>
      </c>
      <c r="V132">
        <v>3.6240250000000002E-2</v>
      </c>
      <c r="W132">
        <v>0.169009299999999</v>
      </c>
      <c r="X132">
        <v>0.98494800000000005</v>
      </c>
      <c r="Y132">
        <v>6.8171509999999996E-3</v>
      </c>
      <c r="Z132">
        <v>-7.9428810000000002E-4</v>
      </c>
      <c r="AA132">
        <v>0.99997650000000005</v>
      </c>
      <c r="AB132">
        <v>16</v>
      </c>
      <c r="AC132">
        <v>17.164199999999902</v>
      </c>
      <c r="AD132">
        <v>-1.1089729135456901</v>
      </c>
      <c r="AE132">
        <v>3.5799999999994697E-2</v>
      </c>
      <c r="AF132">
        <v>0.118389653211758</v>
      </c>
      <c r="AG132">
        <v>-1.1089729135456901</v>
      </c>
      <c r="AH132">
        <v>17.0924749904351</v>
      </c>
      <c r="AI132">
        <v>93.712102407900701</v>
      </c>
      <c r="AJ132">
        <v>89.6031517379311</v>
      </c>
      <c r="AK132">
        <v>17.128821860583798</v>
      </c>
      <c r="AL132">
        <v>80.269777633771099</v>
      </c>
      <c r="AM132">
        <v>87.892805391717502</v>
      </c>
      <c r="AN132">
        <v>1.0000000309552699</v>
      </c>
    </row>
    <row r="133" spans="1:40" x14ac:dyDescent="0.25">
      <c r="A133" t="str">
        <f>"20190312172612232"</f>
        <v>20190312172612232</v>
      </c>
      <c r="B133" t="str">
        <f>"1552382772228800"</f>
        <v>1552382772228800</v>
      </c>
      <c r="C133" t="s">
        <v>40</v>
      </c>
      <c r="D133">
        <v>3.3431410000000001</v>
      </c>
      <c r="E133">
        <v>0.48992150000000001</v>
      </c>
      <c r="F133" t="s">
        <v>41</v>
      </c>
      <c r="G133">
        <v>-448.536</v>
      </c>
      <c r="H133" s="1">
        <v>-1.153124E-6</v>
      </c>
      <c r="I133">
        <v>367.33609999999999</v>
      </c>
      <c r="J133">
        <v>-466.18079999999998</v>
      </c>
      <c r="K133">
        <v>1.10897</v>
      </c>
      <c r="L133">
        <v>367.27190000000002</v>
      </c>
      <c r="M133">
        <v>0.99995330000000004</v>
      </c>
      <c r="N133">
        <v>0</v>
      </c>
      <c r="O133">
        <v>9.1604170000000006E-3</v>
      </c>
      <c r="P133">
        <v>0.98578730000000003</v>
      </c>
      <c r="Q133">
        <v>0.16584109999999999</v>
      </c>
      <c r="R133">
        <v>-2.684288E-2</v>
      </c>
      <c r="S133">
        <v>3.075958</v>
      </c>
      <c r="T133">
        <v>-0.19154199999999999</v>
      </c>
      <c r="U133">
        <v>1.138306E-2</v>
      </c>
      <c r="V133">
        <v>3.5849619999999999E-2</v>
      </c>
      <c r="W133">
        <v>0.16887539999999901</v>
      </c>
      <c r="X133">
        <v>0.98498520000000001</v>
      </c>
      <c r="Y133">
        <v>5.431661E-3</v>
      </c>
      <c r="Z133">
        <v>-7.3881830000000002E-4</v>
      </c>
      <c r="AA133">
        <v>0.99998500000000001</v>
      </c>
      <c r="AB133">
        <v>16</v>
      </c>
      <c r="AC133">
        <v>17.644799999999901</v>
      </c>
      <c r="AD133">
        <v>-1.1089711531240001</v>
      </c>
      <c r="AE133">
        <v>6.41999999999711E-2</v>
      </c>
      <c r="AF133">
        <v>9.7053819825745499E-2</v>
      </c>
      <c r="AG133">
        <v>-1.1089711531240001</v>
      </c>
      <c r="AH133">
        <v>17.5752249571288</v>
      </c>
      <c r="AI133">
        <v>93.610438955158202</v>
      </c>
      <c r="AJ133">
        <v>89.683604747498904</v>
      </c>
      <c r="AK133">
        <v>17.6104448767226</v>
      </c>
      <c r="AL133">
        <v>80.277560825694295</v>
      </c>
      <c r="AM133">
        <v>87.915577139976094</v>
      </c>
      <c r="AN133">
        <v>0.99999997009917097</v>
      </c>
    </row>
    <row r="134" spans="1:40" x14ac:dyDescent="0.25">
      <c r="A134" t="str">
        <f>"20190312172612256"</f>
        <v>20190312172612256</v>
      </c>
      <c r="B134" t="str">
        <f>"1552382772248322"</f>
        <v>1552382772248322</v>
      </c>
      <c r="C134" t="s">
        <v>40</v>
      </c>
      <c r="D134">
        <v>3.3586819999999999</v>
      </c>
      <c r="E134">
        <v>0.4898245</v>
      </c>
      <c r="F134" t="s">
        <v>41</v>
      </c>
      <c r="G134">
        <v>-447.96010000000001</v>
      </c>
      <c r="H134" s="1">
        <v>-1.3671790000000001E-6</v>
      </c>
      <c r="I134">
        <v>367.36279999999999</v>
      </c>
      <c r="J134">
        <v>-466.01119999999997</v>
      </c>
      <c r="K134">
        <v>1.108973</v>
      </c>
      <c r="L134">
        <v>367.27359999999999</v>
      </c>
      <c r="M134">
        <v>0.99995199999999995</v>
      </c>
      <c r="N134">
        <v>0</v>
      </c>
      <c r="O134">
        <v>9.3139599999999996E-3</v>
      </c>
      <c r="P134">
        <v>0.98584499999999997</v>
      </c>
      <c r="Q134">
        <v>0.1655172</v>
      </c>
      <c r="R134">
        <v>-2.6718950000000002E-2</v>
      </c>
      <c r="S134">
        <v>3.0751650000000001</v>
      </c>
      <c r="T134">
        <v>-0.18716440000000001</v>
      </c>
      <c r="U134">
        <v>1.5350340000000001E-2</v>
      </c>
      <c r="V134">
        <v>3.5877140000000002E-2</v>
      </c>
      <c r="W134">
        <v>0.16855439999999999</v>
      </c>
      <c r="X134">
        <v>0.9850392</v>
      </c>
      <c r="Y134">
        <v>4.2972669999999996E-3</v>
      </c>
      <c r="Z134">
        <v>-6.9699439999999996E-4</v>
      </c>
      <c r="AA134">
        <v>0.9999905</v>
      </c>
      <c r="AB134">
        <v>17</v>
      </c>
      <c r="AC134">
        <v>18.051099999999899</v>
      </c>
      <c r="AD134">
        <v>-1.108974367179</v>
      </c>
      <c r="AE134">
        <v>8.9200000000005206E-2</v>
      </c>
      <c r="AF134">
        <v>7.8635085285765294E-2</v>
      </c>
      <c r="AG134">
        <v>-1.108974367179</v>
      </c>
      <c r="AH134">
        <v>17.983275317551399</v>
      </c>
      <c r="AI134">
        <v>93.528755732764296</v>
      </c>
      <c r="AJ134">
        <v>89.749465560970904</v>
      </c>
      <c r="AK134">
        <v>18.017608020227101</v>
      </c>
      <c r="AL134">
        <v>80.2962204537844</v>
      </c>
      <c r="AM134">
        <v>87.914092698577406</v>
      </c>
      <c r="AN134">
        <v>0.99999999023528896</v>
      </c>
    </row>
    <row r="135" spans="1:40" x14ac:dyDescent="0.25">
      <c r="A135" t="str">
        <f>"20190312172612277"</f>
        <v>20190312172612277</v>
      </c>
      <c r="B135" t="str">
        <f>"1552382772268816"</f>
        <v>1552382772268816</v>
      </c>
      <c r="C135" t="s">
        <v>40</v>
      </c>
      <c r="D135">
        <v>3.3356750000000002</v>
      </c>
      <c r="E135">
        <v>0.48970590000000003</v>
      </c>
      <c r="F135" t="s">
        <v>41</v>
      </c>
      <c r="G135">
        <v>-447.73630000000003</v>
      </c>
      <c r="H135" s="1">
        <v>-1.4519189999999999E-6</v>
      </c>
      <c r="I135">
        <v>367.3673</v>
      </c>
      <c r="J135">
        <v>-465.8442</v>
      </c>
      <c r="K135">
        <v>1.1089719999999901</v>
      </c>
      <c r="L135">
        <v>367.27530000000002</v>
      </c>
      <c r="M135">
        <v>0.99995060000000002</v>
      </c>
      <c r="N135">
        <v>0</v>
      </c>
      <c r="O135">
        <v>9.4651149999999996E-3</v>
      </c>
      <c r="P135">
        <v>0.98577729999999997</v>
      </c>
      <c r="Q135">
        <v>0.16592129999999999</v>
      </c>
      <c r="R135">
        <v>-2.671345E-2</v>
      </c>
      <c r="S135">
        <v>3.0748600000000001</v>
      </c>
      <c r="T135">
        <v>-0.1865916</v>
      </c>
      <c r="U135">
        <v>1.5777590000000001E-2</v>
      </c>
      <c r="V135">
        <v>3.6019379999999997E-2</v>
      </c>
      <c r="W135">
        <v>0.1689628</v>
      </c>
      <c r="X135">
        <v>0.98496410000000001</v>
      </c>
      <c r="Y135">
        <v>4.3088379999999997E-3</v>
      </c>
      <c r="Z135">
        <v>-7.0444810000000002E-4</v>
      </c>
      <c r="AA135">
        <v>0.9999905</v>
      </c>
      <c r="AB135">
        <v>17</v>
      </c>
      <c r="AC135">
        <v>18.107899999999901</v>
      </c>
      <c r="AD135">
        <v>-1.10897345191899</v>
      </c>
      <c r="AE135">
        <v>9.1999999999984497E-2</v>
      </c>
      <c r="AF135">
        <v>7.9101591860809006E-2</v>
      </c>
      <c r="AG135">
        <v>-1.10897345191899</v>
      </c>
      <c r="AH135">
        <v>18.040298605227999</v>
      </c>
      <c r="AI135">
        <v>93.517626716311796</v>
      </c>
      <c r="AJ135">
        <v>89.748775870010704</v>
      </c>
      <c r="AK135">
        <v>18.074524971480901</v>
      </c>
      <c r="AL135">
        <v>80.272480958575002</v>
      </c>
      <c r="AM135">
        <v>87.905670641763095</v>
      </c>
      <c r="AN135">
        <v>1.00000005090411</v>
      </c>
    </row>
    <row r="136" spans="1:40" x14ac:dyDescent="0.25">
      <c r="A136" t="str">
        <f>"20190312172612300"</f>
        <v>20190312172612300</v>
      </c>
      <c r="B136" t="str">
        <f>"1552382772288336"</f>
        <v>1552382772288336</v>
      </c>
      <c r="C136" t="s">
        <v>40</v>
      </c>
      <c r="D136">
        <v>3.3499249999999998</v>
      </c>
      <c r="E136">
        <v>0.48964010000000002</v>
      </c>
      <c r="F136" t="s">
        <v>41</v>
      </c>
      <c r="G136">
        <v>-447.2824</v>
      </c>
      <c r="H136" s="1">
        <v>-1.6623890000000001E-6</v>
      </c>
      <c r="I136">
        <v>367.3766</v>
      </c>
      <c r="J136">
        <v>-465.673</v>
      </c>
      <c r="K136">
        <v>1.1089709999999999</v>
      </c>
      <c r="L136">
        <v>367.27710000000002</v>
      </c>
      <c r="M136">
        <v>0.99994899999999998</v>
      </c>
      <c r="N136">
        <v>0</v>
      </c>
      <c r="O136">
        <v>9.6196660000000007E-3</v>
      </c>
      <c r="P136">
        <v>0.98576589999999997</v>
      </c>
      <c r="Q136">
        <v>0.1659639</v>
      </c>
      <c r="R136">
        <v>-2.68639E-2</v>
      </c>
      <c r="S136">
        <v>3.0746769999999999</v>
      </c>
      <c r="T136">
        <v>-0.18369640000000001</v>
      </c>
      <c r="U136">
        <v>1.6784670000000002E-2</v>
      </c>
      <c r="V136">
        <v>3.6321539999999999E-2</v>
      </c>
      <c r="W136">
        <v>0.1690112</v>
      </c>
      <c r="X136">
        <v>0.98494459999999995</v>
      </c>
      <c r="Y136">
        <v>4.1363729999999996E-3</v>
      </c>
      <c r="Z136">
        <v>-6.9765539999999996E-4</v>
      </c>
      <c r="AA136">
        <v>0.99999119999999997</v>
      </c>
      <c r="AB136">
        <v>17</v>
      </c>
      <c r="AC136">
        <v>18.390599999999999</v>
      </c>
      <c r="AD136">
        <v>-1.1089726623889999</v>
      </c>
      <c r="AE136">
        <v>9.9499999999977704E-2</v>
      </c>
      <c r="AF136">
        <v>7.7136393685455704E-2</v>
      </c>
      <c r="AG136">
        <v>-1.1089726623889999</v>
      </c>
      <c r="AH136">
        <v>18.3240778322184</v>
      </c>
      <c r="AI136">
        <v>93.463284113696403</v>
      </c>
      <c r="AJ136">
        <v>89.758811125989794</v>
      </c>
      <c r="AK136">
        <v>18.357766715762398</v>
      </c>
      <c r="AL136">
        <v>80.269666412366007</v>
      </c>
      <c r="AM136">
        <v>87.888075764443798</v>
      </c>
      <c r="AN136">
        <v>0.99999995253128404</v>
      </c>
    </row>
    <row r="137" spans="1:40" x14ac:dyDescent="0.25">
      <c r="A137" t="str">
        <f>"20190312172612325"</f>
        <v>20190312172612325</v>
      </c>
      <c r="B137" t="str">
        <f>"1552382772318592"</f>
        <v>1552382772318592</v>
      </c>
      <c r="C137" t="s">
        <v>40</v>
      </c>
      <c r="D137">
        <v>3.3262339999999901</v>
      </c>
      <c r="E137">
        <v>0.48953790000000003</v>
      </c>
      <c r="F137" t="s">
        <v>41</v>
      </c>
      <c r="G137">
        <v>-446.94409999999999</v>
      </c>
      <c r="H137" s="1">
        <v>-1.821659E-6</v>
      </c>
      <c r="I137">
        <v>367.38029999999998</v>
      </c>
      <c r="J137">
        <v>-465.47859999999997</v>
      </c>
      <c r="K137">
        <v>1.108973</v>
      </c>
      <c r="L137">
        <v>367.2792</v>
      </c>
      <c r="M137">
        <v>0.99994729999999998</v>
      </c>
      <c r="N137">
        <v>0</v>
      </c>
      <c r="O137">
        <v>9.7954329999999992E-3</v>
      </c>
      <c r="P137">
        <v>0.98577079999999995</v>
      </c>
      <c r="Q137">
        <v>0.16597290000000001</v>
      </c>
      <c r="R137">
        <v>-2.6629759999999999E-2</v>
      </c>
      <c r="S137">
        <v>3.0744020000000001</v>
      </c>
      <c r="T137">
        <v>-0.1820408</v>
      </c>
      <c r="U137">
        <v>1.6937259999999999E-2</v>
      </c>
      <c r="V137">
        <v>3.6259979999999997E-2</v>
      </c>
      <c r="W137">
        <v>0.1690286</v>
      </c>
      <c r="X137">
        <v>0.98494389999999998</v>
      </c>
      <c r="Y137">
        <v>4.2619370000000004E-3</v>
      </c>
      <c r="Z137">
        <v>-7.0555209999999995E-4</v>
      </c>
      <c r="AA137">
        <v>0.99999059999999995</v>
      </c>
      <c r="AB137">
        <v>17</v>
      </c>
      <c r="AC137">
        <v>18.534499999999898</v>
      </c>
      <c r="AD137">
        <v>-1.1089748216590001</v>
      </c>
      <c r="AE137">
        <v>0.101099999999974</v>
      </c>
      <c r="AF137">
        <v>8.01721541025468E-2</v>
      </c>
      <c r="AG137">
        <v>-1.1089748216590001</v>
      </c>
      <c r="AH137">
        <v>18.4684860965748</v>
      </c>
      <c r="AI137">
        <v>93.436273992717801</v>
      </c>
      <c r="AJ137">
        <v>89.751279168924398</v>
      </c>
      <c r="AK137">
        <v>18.501925073590101</v>
      </c>
      <c r="AL137">
        <v>80.268655084175094</v>
      </c>
      <c r="AM137">
        <v>87.891650454606093</v>
      </c>
      <c r="AN137">
        <v>0.99999996995738405</v>
      </c>
    </row>
    <row r="138" spans="1:40" x14ac:dyDescent="0.25">
      <c r="A138" t="str">
        <f>"20190312172612347"</f>
        <v>20190312172612347</v>
      </c>
      <c r="B138" t="str">
        <f>"1552382772339088"</f>
        <v>1552382772339088</v>
      </c>
      <c r="C138" t="s">
        <v>40</v>
      </c>
      <c r="D138">
        <v>3.2927729999999999</v>
      </c>
      <c r="E138">
        <v>0.48944650000000001</v>
      </c>
      <c r="F138" t="s">
        <v>41</v>
      </c>
      <c r="G138">
        <v>-446.57889999999998</v>
      </c>
      <c r="H138" s="1">
        <v>-1.9928740000000001E-6</v>
      </c>
      <c r="I138">
        <v>367.38839999999999</v>
      </c>
      <c r="J138">
        <v>-465.30919999999998</v>
      </c>
      <c r="K138">
        <v>1.108968</v>
      </c>
      <c r="L138">
        <v>367.28100000000001</v>
      </c>
      <c r="M138">
        <v>0.99994570000000005</v>
      </c>
      <c r="N138">
        <v>0</v>
      </c>
      <c r="O138">
        <v>9.9490829999999992E-3</v>
      </c>
      <c r="P138">
        <v>0.98575710000000005</v>
      </c>
      <c r="Q138">
        <v>0.16610620000000001</v>
      </c>
      <c r="R138">
        <v>-2.6301970000000001E-2</v>
      </c>
      <c r="S138">
        <v>3.0741879999999999</v>
      </c>
      <c r="T138">
        <v>-0.18038280000000001</v>
      </c>
      <c r="U138">
        <v>1.7761229999999999E-2</v>
      </c>
      <c r="V138">
        <v>3.6082990000000002E-2</v>
      </c>
      <c r="W138">
        <v>0.16917099999999999</v>
      </c>
      <c r="X138">
        <v>0.98492599999999997</v>
      </c>
      <c r="Y138">
        <v>4.1475699999999997E-3</v>
      </c>
      <c r="Z138">
        <v>-7.0484029999999997E-4</v>
      </c>
      <c r="AA138">
        <v>0.99999119999999997</v>
      </c>
      <c r="AB138">
        <v>17</v>
      </c>
      <c r="AC138">
        <v>18.7303</v>
      </c>
      <c r="AD138">
        <v>-1.108969992874</v>
      </c>
      <c r="AE138">
        <v>0.10739999999998399</v>
      </c>
      <c r="AF138">
        <v>7.8679717848596203E-2</v>
      </c>
      <c r="AG138">
        <v>-1.108969992874</v>
      </c>
      <c r="AH138">
        <v>18.665013426245999</v>
      </c>
      <c r="AI138">
        <v>93.4001652277624</v>
      </c>
      <c r="AJ138">
        <v>89.758479195166004</v>
      </c>
      <c r="AK138">
        <v>18.698094318540601</v>
      </c>
      <c r="AL138">
        <v>80.260377417955894</v>
      </c>
      <c r="AM138">
        <v>87.901894285944707</v>
      </c>
      <c r="AN138">
        <v>1.0000000174421699</v>
      </c>
    </row>
    <row r="139" spans="1:40" x14ac:dyDescent="0.25">
      <c r="A139" t="str">
        <f>"20190312172612367"</f>
        <v>20190312172612367</v>
      </c>
      <c r="B139" t="str">
        <f>"1552382772358609"</f>
        <v>1552382772358609</v>
      </c>
      <c r="C139" t="s">
        <v>40</v>
      </c>
      <c r="D139">
        <v>3.2888269999999902</v>
      </c>
      <c r="E139">
        <v>0.4893361</v>
      </c>
      <c r="F139" t="s">
        <v>41</v>
      </c>
      <c r="G139">
        <v>-446.26679999999999</v>
      </c>
      <c r="H139" s="1">
        <v>-2.1380309999999999E-6</v>
      </c>
      <c r="I139">
        <v>367.40159999999997</v>
      </c>
      <c r="J139">
        <v>-465.15260000000001</v>
      </c>
      <c r="K139">
        <v>1.108965</v>
      </c>
      <c r="L139">
        <v>367.28269999999998</v>
      </c>
      <c r="M139">
        <v>0.99994430000000001</v>
      </c>
      <c r="N139">
        <v>0</v>
      </c>
      <c r="O139">
        <v>1.0090689999999999E-2</v>
      </c>
      <c r="P139">
        <v>0.98578399999999999</v>
      </c>
      <c r="Q139">
        <v>0.16594900000000001</v>
      </c>
      <c r="R139">
        <v>-2.628861E-2</v>
      </c>
      <c r="S139">
        <v>3.074036</v>
      </c>
      <c r="T139">
        <v>-0.17902209999999999</v>
      </c>
      <c r="U139">
        <v>1.9470210000000002E-2</v>
      </c>
      <c r="V139">
        <v>3.620893E-2</v>
      </c>
      <c r="W139">
        <v>0.1690229</v>
      </c>
      <c r="X139">
        <v>0.98494680000000001</v>
      </c>
      <c r="Y139">
        <v>3.7338039999999999E-3</v>
      </c>
      <c r="Z139">
        <v>-6.9576679999999995E-4</v>
      </c>
      <c r="AA139">
        <v>0.99999280000000002</v>
      </c>
      <c r="AB139">
        <v>17</v>
      </c>
      <c r="AC139">
        <v>18.8858</v>
      </c>
      <c r="AD139">
        <v>-1.108967138031</v>
      </c>
      <c r="AE139">
        <v>0.118899999999996</v>
      </c>
      <c r="AF139">
        <v>7.1431433647199297E-2</v>
      </c>
      <c r="AG139">
        <v>-1.108967138031</v>
      </c>
      <c r="AH139">
        <v>18.821145622875001</v>
      </c>
      <c r="AI139">
        <v>93.372021264702894</v>
      </c>
      <c r="AJ139">
        <v>89.782547773442701</v>
      </c>
      <c r="AK139">
        <v>18.853923547113801</v>
      </c>
      <c r="AL139">
        <v>80.2689868615047</v>
      </c>
      <c r="AM139">
        <v>87.894622295357294</v>
      </c>
      <c r="AN139">
        <v>1.0000000130831901</v>
      </c>
    </row>
    <row r="140" spans="1:40" x14ac:dyDescent="0.25">
      <c r="A140" t="str">
        <f>"20190312172612389"</f>
        <v>20190312172612389</v>
      </c>
      <c r="B140" t="str">
        <f>"1552382772379104"</f>
        <v>1552382772379104</v>
      </c>
      <c r="C140" t="s">
        <v>40</v>
      </c>
      <c r="D140">
        <v>3.2779579999999999</v>
      </c>
      <c r="E140">
        <v>0.48932579999999998</v>
      </c>
      <c r="F140" t="s">
        <v>41</v>
      </c>
      <c r="G140">
        <v>-445.98610000000002</v>
      </c>
      <c r="H140" s="1">
        <v>-2.2690970000000001E-6</v>
      </c>
      <c r="I140">
        <v>367.41059999999999</v>
      </c>
      <c r="J140">
        <v>-464.97379999999998</v>
      </c>
      <c r="K140">
        <v>1.1089610000000001</v>
      </c>
      <c r="L140">
        <v>367.28469999999999</v>
      </c>
      <c r="M140">
        <v>0.99994269999999996</v>
      </c>
      <c r="N140">
        <v>0</v>
      </c>
      <c r="O140">
        <v>1.025185E-2</v>
      </c>
      <c r="P140">
        <v>0.98580780000000001</v>
      </c>
      <c r="Q140">
        <v>0.1658289</v>
      </c>
      <c r="R140">
        <v>-2.6152180000000001E-2</v>
      </c>
      <c r="S140">
        <v>3.0737920000000001</v>
      </c>
      <c r="T140">
        <v>-0.17784929999999999</v>
      </c>
      <c r="U140">
        <v>2.0507810000000001E-2</v>
      </c>
      <c r="V140">
        <v>3.6231060000000002E-2</v>
      </c>
      <c r="W140">
        <v>0.16891489999999901</v>
      </c>
      <c r="X140">
        <v>0.98496450000000002</v>
      </c>
      <c r="Y140">
        <v>3.5572490000000002E-3</v>
      </c>
      <c r="Z140">
        <v>-6.9548280000000004E-4</v>
      </c>
      <c r="AA140">
        <v>0.99999340000000003</v>
      </c>
      <c r="AB140">
        <v>17</v>
      </c>
      <c r="AC140">
        <v>18.987699999999901</v>
      </c>
      <c r="AD140">
        <v>-1.1089632690969999</v>
      </c>
      <c r="AE140">
        <v>0.12590000000000101</v>
      </c>
      <c r="AF140">
        <v>6.8532833369778196E-2</v>
      </c>
      <c r="AG140">
        <v>-1.1089632690969999</v>
      </c>
      <c r="AH140">
        <v>18.923446660467398</v>
      </c>
      <c r="AI140">
        <v>93.353824166041093</v>
      </c>
      <c r="AJ140">
        <v>89.792499484177</v>
      </c>
      <c r="AK140">
        <v>18.956036763865299</v>
      </c>
      <c r="AL140">
        <v>80.275264946318799</v>
      </c>
      <c r="AM140">
        <v>87.8933745227949</v>
      </c>
      <c r="AN140">
        <v>0.99999999970549103</v>
      </c>
    </row>
    <row r="141" spans="1:40" x14ac:dyDescent="0.25">
      <c r="A141" t="str">
        <f>"20190312172612413"</f>
        <v>20190312172612413</v>
      </c>
      <c r="B141" t="str">
        <f>"1552382772408385"</f>
        <v>1552382772408385</v>
      </c>
      <c r="C141" t="s">
        <v>40</v>
      </c>
      <c r="D141">
        <v>3.2529889999999999</v>
      </c>
      <c r="E141">
        <v>0.4892996</v>
      </c>
      <c r="F141" t="s">
        <v>41</v>
      </c>
      <c r="G141">
        <v>-445.79129999999998</v>
      </c>
      <c r="H141" s="1">
        <v>-2.360213E-6</v>
      </c>
      <c r="I141">
        <v>367.41609999999997</v>
      </c>
      <c r="J141">
        <v>-464.79300000000001</v>
      </c>
      <c r="K141">
        <v>1.108962</v>
      </c>
      <c r="L141">
        <v>367.2867</v>
      </c>
      <c r="M141">
        <v>0.99994079999999996</v>
      </c>
      <c r="N141">
        <v>0</v>
      </c>
      <c r="O141">
        <v>1.041533E-2</v>
      </c>
      <c r="P141">
        <v>0.98592049999999998</v>
      </c>
      <c r="Q141">
        <v>0.16521340000000001</v>
      </c>
      <c r="R141">
        <v>-2.5794250000000001E-2</v>
      </c>
      <c r="S141">
        <v>3.0736690000000002</v>
      </c>
      <c r="T141">
        <v>-0.17769270000000001</v>
      </c>
      <c r="U141">
        <v>2.105713E-2</v>
      </c>
      <c r="V141">
        <v>3.6035030000000003E-2</v>
      </c>
      <c r="W141">
        <v>0.168312299999999</v>
      </c>
      <c r="X141">
        <v>0.98507480000000003</v>
      </c>
      <c r="Y141">
        <v>3.5415590000000001E-3</v>
      </c>
      <c r="Z141">
        <v>-7.0388789999999905E-4</v>
      </c>
      <c r="AA141">
        <v>0.99999349999999998</v>
      </c>
      <c r="AB141">
        <v>18</v>
      </c>
      <c r="AC141">
        <v>19.0017</v>
      </c>
      <c r="AD141">
        <v>-1.1089643602129999</v>
      </c>
      <c r="AE141">
        <v>0.12939999999997501</v>
      </c>
      <c r="AF141">
        <v>6.8284407380912196E-2</v>
      </c>
      <c r="AG141">
        <v>-1.1089643602129999</v>
      </c>
      <c r="AH141">
        <v>18.937518038548198</v>
      </c>
      <c r="AI141">
        <v>93.3513412957399</v>
      </c>
      <c r="AJ141">
        <v>89.793405271705396</v>
      </c>
      <c r="AK141">
        <v>18.970083135633601</v>
      </c>
      <c r="AL141">
        <v>80.310292494631895</v>
      </c>
      <c r="AM141">
        <v>87.904996738293093</v>
      </c>
      <c r="AN141">
        <v>0.99999995765671401</v>
      </c>
    </row>
    <row r="142" spans="1:40" x14ac:dyDescent="0.25">
      <c r="A142" t="str">
        <f>"20190312172612434"</f>
        <v>20190312172612434</v>
      </c>
      <c r="B142" t="str">
        <f>"1552382772428880"</f>
        <v>1552382772428880</v>
      </c>
      <c r="C142" t="s">
        <v>40</v>
      </c>
      <c r="D142">
        <v>3.2506780000000002</v>
      </c>
      <c r="E142">
        <v>0.48918230000000001</v>
      </c>
      <c r="F142" t="s">
        <v>41</v>
      </c>
      <c r="G142">
        <v>-445.69189999999998</v>
      </c>
      <c r="H142" s="1">
        <v>-2.4048639999999999E-6</v>
      </c>
      <c r="I142">
        <v>367.42939999999999</v>
      </c>
      <c r="J142">
        <v>-464.61579999999998</v>
      </c>
      <c r="K142">
        <v>1.108957</v>
      </c>
      <c r="L142">
        <v>367.28879999999998</v>
      </c>
      <c r="M142">
        <v>0.99993909999999997</v>
      </c>
      <c r="N142">
        <v>0</v>
      </c>
      <c r="O142">
        <v>1.057482E-2</v>
      </c>
      <c r="P142">
        <v>0.98611249999999995</v>
      </c>
      <c r="Q142">
        <v>0.16412850000000001</v>
      </c>
      <c r="R142">
        <v>-2.5379849999999999E-2</v>
      </c>
      <c r="S142">
        <v>3.073334</v>
      </c>
      <c r="T142">
        <v>-0.17843059999999999</v>
      </c>
      <c r="U142">
        <v>2.2949219999999999E-2</v>
      </c>
      <c r="V142">
        <v>3.5779320000000003E-2</v>
      </c>
      <c r="W142">
        <v>0.16724140000000001</v>
      </c>
      <c r="X142">
        <v>0.98526650000000005</v>
      </c>
      <c r="Y142">
        <v>3.0849940000000002E-3</v>
      </c>
      <c r="Z142">
        <v>-7.028898E-4</v>
      </c>
      <c r="AA142">
        <v>0.99999499999999997</v>
      </c>
      <c r="AB142">
        <v>18</v>
      </c>
      <c r="AC142">
        <v>18.9239</v>
      </c>
      <c r="AD142">
        <v>-1.1089594048639999</v>
      </c>
      <c r="AE142">
        <v>0.140600000000006</v>
      </c>
      <c r="AF142">
        <v>5.9321990430263802E-2</v>
      </c>
      <c r="AG142">
        <v>-1.1089594048639999</v>
      </c>
      <c r="AH142">
        <v>18.859567059771798</v>
      </c>
      <c r="AI142">
        <v>93.365151615238005</v>
      </c>
      <c r="AJ142">
        <v>89.819779082743807</v>
      </c>
      <c r="AK142">
        <v>18.892235964602399</v>
      </c>
      <c r="AL142">
        <v>80.372532838085803</v>
      </c>
      <c r="AM142">
        <v>87.920254462626005</v>
      </c>
      <c r="AN142">
        <v>0.99999996081793496</v>
      </c>
    </row>
    <row r="143" spans="1:40" x14ac:dyDescent="0.25">
      <c r="A143" t="str">
        <f>"20190312172612456"</f>
        <v>20190312172612456</v>
      </c>
      <c r="B143" t="str">
        <f>"1552382772448401"</f>
        <v>1552382772448401</v>
      </c>
      <c r="C143" t="s">
        <v>40</v>
      </c>
      <c r="D143">
        <v>3.2174559999999999</v>
      </c>
      <c r="E143">
        <v>0.4891451</v>
      </c>
      <c r="F143" t="s">
        <v>41</v>
      </c>
      <c r="G143">
        <v>-445.71109999999999</v>
      </c>
      <c r="H143" s="1">
        <v>-2.3934479999999999E-6</v>
      </c>
      <c r="I143">
        <v>367.44260000000003</v>
      </c>
      <c r="J143">
        <v>-464.43799999999999</v>
      </c>
      <c r="K143">
        <v>1.1089530000000001</v>
      </c>
      <c r="L143">
        <v>367.29090000000002</v>
      </c>
      <c r="M143">
        <v>0.99993739999999998</v>
      </c>
      <c r="N143">
        <v>0</v>
      </c>
      <c r="O143">
        <v>1.0735430000000001E-2</v>
      </c>
      <c r="P143">
        <v>0.98620790000000003</v>
      </c>
      <c r="Q143">
        <v>0.1636243</v>
      </c>
      <c r="R143">
        <v>-2.4928550000000001E-2</v>
      </c>
      <c r="S143">
        <v>3.0729060000000001</v>
      </c>
      <c r="T143">
        <v>-0.1802579</v>
      </c>
      <c r="U143">
        <v>2.4993899999999999E-2</v>
      </c>
      <c r="V143">
        <v>3.5487169999999998E-2</v>
      </c>
      <c r="W143">
        <v>0.16675299999999901</v>
      </c>
      <c r="X143">
        <v>0.98535989999999996</v>
      </c>
      <c r="Y143">
        <v>2.5793499999999998E-3</v>
      </c>
      <c r="Z143">
        <v>-7.0476759999999904E-4</v>
      </c>
      <c r="AA143">
        <v>0.99999640000000001</v>
      </c>
      <c r="AB143">
        <v>18</v>
      </c>
      <c r="AC143">
        <v>18.726900000000001</v>
      </c>
      <c r="AD143">
        <v>-1.1089553934479901</v>
      </c>
      <c r="AE143">
        <v>0.151700000000005</v>
      </c>
      <c r="AF143">
        <v>4.9178623452715502E-2</v>
      </c>
      <c r="AG143">
        <v>-1.1089553934479901</v>
      </c>
      <c r="AH143">
        <v>18.662011952911499</v>
      </c>
      <c r="AI143">
        <v>93.400684501947197</v>
      </c>
      <c r="AJ143">
        <v>89.849013008310706</v>
      </c>
      <c r="AK143">
        <v>18.694996408993301</v>
      </c>
      <c r="AL143">
        <v>80.400915201714</v>
      </c>
      <c r="AM143">
        <v>87.937416900372696</v>
      </c>
      <c r="AN143">
        <v>1.0000000173857999</v>
      </c>
    </row>
    <row r="144" spans="1:40" x14ac:dyDescent="0.25">
      <c r="A144" t="str">
        <f>"20190312172612478"</f>
        <v>20190312172612478</v>
      </c>
      <c r="B144" t="str">
        <f>"1552382772468897"</f>
        <v>1552382772468897</v>
      </c>
      <c r="C144" t="s">
        <v>40</v>
      </c>
      <c r="D144">
        <v>3.1802920000000001</v>
      </c>
      <c r="E144">
        <v>0.48913430000000002</v>
      </c>
      <c r="F144" t="s">
        <v>41</v>
      </c>
      <c r="G144">
        <v>-445.61020000000002</v>
      </c>
      <c r="H144" s="1">
        <v>-2.439482E-6</v>
      </c>
      <c r="I144">
        <v>367.45190000000002</v>
      </c>
      <c r="J144">
        <v>-464.25349999999997</v>
      </c>
      <c r="K144">
        <v>1.1089530000000001</v>
      </c>
      <c r="L144">
        <v>367.29300000000001</v>
      </c>
      <c r="M144">
        <v>0.99993549999999998</v>
      </c>
      <c r="N144">
        <v>0</v>
      </c>
      <c r="O144">
        <v>1.090123E-2</v>
      </c>
      <c r="P144">
        <v>0.98616490000000001</v>
      </c>
      <c r="Q144">
        <v>0.163884</v>
      </c>
      <c r="R144">
        <v>-2.4917379999999999E-2</v>
      </c>
      <c r="S144">
        <v>3.072632</v>
      </c>
      <c r="T144">
        <v>-0.18097820000000001</v>
      </c>
      <c r="U144">
        <v>2.6275630000000001E-2</v>
      </c>
      <c r="V144">
        <v>3.5638599999999999E-2</v>
      </c>
      <c r="W144">
        <v>0.16703029999999999</v>
      </c>
      <c r="X144">
        <v>0.9853075</v>
      </c>
      <c r="Y144">
        <v>2.3272760000000001E-3</v>
      </c>
      <c r="Z144">
        <v>-7.0997940000000004E-4</v>
      </c>
      <c r="AA144">
        <v>0.99999700000000002</v>
      </c>
      <c r="AB144">
        <v>18</v>
      </c>
      <c r="AC144">
        <v>18.643299999999901</v>
      </c>
      <c r="AD144">
        <v>-1.108955439482</v>
      </c>
      <c r="AE144">
        <v>0.158900000000016</v>
      </c>
      <c r="AF144">
        <v>4.4189037182996299E-2</v>
      </c>
      <c r="AG144">
        <v>-1.108955439482</v>
      </c>
      <c r="AH144">
        <v>18.578195781569299</v>
      </c>
      <c r="AI144">
        <v>93.415992891946004</v>
      </c>
      <c r="AJ144">
        <v>89.863719782776201</v>
      </c>
      <c r="AK144">
        <v>18.6113162709166</v>
      </c>
      <c r="AL144">
        <v>80.384801404618997</v>
      </c>
      <c r="AM144">
        <v>87.928513083234506</v>
      </c>
      <c r="AN144">
        <v>1.00000005024214</v>
      </c>
    </row>
    <row r="145" spans="1:40" x14ac:dyDescent="0.25">
      <c r="A145" t="str">
        <f>"20190312172612501"</f>
        <v>20190312172612501</v>
      </c>
      <c r="B145" t="str">
        <f>"1552382772488416"</f>
        <v>1552382772488416</v>
      </c>
      <c r="C145" t="s">
        <v>40</v>
      </c>
      <c r="D145">
        <v>3.1745649999999999</v>
      </c>
      <c r="E145">
        <v>0.48911490000000002</v>
      </c>
      <c r="F145" t="s">
        <v>41</v>
      </c>
      <c r="G145">
        <v>-445.27260000000001</v>
      </c>
      <c r="H145" s="1">
        <v>-2.5982329999999998E-6</v>
      </c>
      <c r="I145">
        <v>367.45670000000001</v>
      </c>
      <c r="J145">
        <v>-464.06830000000002</v>
      </c>
      <c r="K145">
        <v>1.108946</v>
      </c>
      <c r="L145">
        <v>367.29520000000002</v>
      </c>
      <c r="M145">
        <v>0.99993370000000004</v>
      </c>
      <c r="N145">
        <v>0</v>
      </c>
      <c r="O145">
        <v>1.106738E-2</v>
      </c>
      <c r="P145">
        <v>0.98613260000000003</v>
      </c>
      <c r="Q145">
        <v>0.16398960000000001</v>
      </c>
      <c r="R145">
        <v>-2.5498010000000002E-2</v>
      </c>
      <c r="S145">
        <v>3.0726010000000001</v>
      </c>
      <c r="T145">
        <v>-0.17951639999999999</v>
      </c>
      <c r="U145">
        <v>2.6489260000000001E-2</v>
      </c>
      <c r="V145">
        <v>3.6382020000000001E-2</v>
      </c>
      <c r="W145">
        <v>0.16715639999999901</v>
      </c>
      <c r="X145">
        <v>0.98525890000000005</v>
      </c>
      <c r="Y145">
        <v>2.4237529999999998E-3</v>
      </c>
      <c r="Z145">
        <v>-7.1677570000000003E-4</v>
      </c>
      <c r="AA145">
        <v>0.99999680000000002</v>
      </c>
      <c r="AB145">
        <v>18</v>
      </c>
      <c r="AC145">
        <v>18.7957</v>
      </c>
      <c r="AD145">
        <v>-1.1089485982330001</v>
      </c>
      <c r="AE145">
        <v>0.16149999999998901</v>
      </c>
      <c r="AF145">
        <v>4.63686987027849E-2</v>
      </c>
      <c r="AG145">
        <v>-1.1089485982330001</v>
      </c>
      <c r="AH145">
        <v>18.7311376835207</v>
      </c>
      <c r="AI145">
        <v>93.388144511789804</v>
      </c>
      <c r="AJ145">
        <v>89.858165299126895</v>
      </c>
      <c r="AK145">
        <v>18.7639930710057</v>
      </c>
      <c r="AL145">
        <v>80.377472960486998</v>
      </c>
      <c r="AM145">
        <v>87.885236550361498</v>
      </c>
      <c r="AN145">
        <v>1.0000000067347199</v>
      </c>
    </row>
    <row r="146" spans="1:40" x14ac:dyDescent="0.25">
      <c r="A146" t="str">
        <f>"20190312172612525"</f>
        <v>20190312172612525</v>
      </c>
      <c r="B146" t="str">
        <f>"1552382772518672"</f>
        <v>1552382772518672</v>
      </c>
      <c r="C146" t="s">
        <v>40</v>
      </c>
      <c r="D146">
        <v>3.1788880000000002</v>
      </c>
      <c r="E146">
        <v>0.48903479999999999</v>
      </c>
      <c r="F146" t="s">
        <v>41</v>
      </c>
      <c r="G146">
        <v>-444.96570000000003</v>
      </c>
      <c r="H146" s="1">
        <v>-2.7441800000000002E-6</v>
      </c>
      <c r="I146">
        <v>367.45179999999999</v>
      </c>
      <c r="J146">
        <v>-463.87009999999998</v>
      </c>
      <c r="K146">
        <v>1.108948</v>
      </c>
      <c r="L146">
        <v>367.29759999999999</v>
      </c>
      <c r="M146">
        <v>0.99993169999999998</v>
      </c>
      <c r="N146">
        <v>0</v>
      </c>
      <c r="O146">
        <v>1.1245389999999999E-2</v>
      </c>
      <c r="P146">
        <v>0.98632310000000001</v>
      </c>
      <c r="Q146">
        <v>0.16277809999999901</v>
      </c>
      <c r="R146">
        <v>-2.5897440000000001E-2</v>
      </c>
      <c r="S146">
        <v>3.0725099999999999</v>
      </c>
      <c r="T146">
        <v>-0.17836629999999901</v>
      </c>
      <c r="U146">
        <v>2.5177000000000001E-2</v>
      </c>
      <c r="V146">
        <v>3.6958440000000002E-2</v>
      </c>
      <c r="W146">
        <v>0.1659687</v>
      </c>
      <c r="X146">
        <v>0.98543820000000004</v>
      </c>
      <c r="Y146">
        <v>3.027554E-3</v>
      </c>
      <c r="Z146">
        <v>-7.4004910000000004E-4</v>
      </c>
      <c r="AA146">
        <v>0.99999519999999997</v>
      </c>
      <c r="AB146">
        <v>18</v>
      </c>
      <c r="AC146">
        <v>18.9043999999999</v>
      </c>
      <c r="AD146">
        <v>-1.1089507441799999</v>
      </c>
      <c r="AE146">
        <v>0.154200000000003</v>
      </c>
      <c r="AF146">
        <v>5.8197926337146502E-2</v>
      </c>
      <c r="AG146">
        <v>-1.1089507441799999</v>
      </c>
      <c r="AH146">
        <v>18.840112075148799</v>
      </c>
      <c r="AI146">
        <v>93.368592938447094</v>
      </c>
      <c r="AJ146">
        <v>89.823011405868399</v>
      </c>
      <c r="AK146">
        <v>18.872810648014699</v>
      </c>
      <c r="AL146">
        <v>80.446487076452001</v>
      </c>
      <c r="AM146">
        <v>87.852152862734997</v>
      </c>
      <c r="AN146">
        <v>0.999999990843081</v>
      </c>
    </row>
    <row r="147" spans="1:40" x14ac:dyDescent="0.25">
      <c r="A147" t="str">
        <f>"20190312172612548"</f>
        <v>20190312172612548</v>
      </c>
      <c r="B147" t="str">
        <f>"1552382772539169"</f>
        <v>1552382772539169</v>
      </c>
      <c r="C147" t="s">
        <v>40</v>
      </c>
      <c r="D147">
        <v>3.1653500000000001</v>
      </c>
      <c r="E147">
        <v>0.48908859999999899</v>
      </c>
      <c r="F147" t="s">
        <v>41</v>
      </c>
      <c r="G147">
        <v>-445.05099999999999</v>
      </c>
      <c r="H147" s="1">
        <v>-2.704719E-6</v>
      </c>
      <c r="I147">
        <v>367.4468</v>
      </c>
      <c r="J147">
        <v>-463.67140000000001</v>
      </c>
      <c r="K147">
        <v>1.108949</v>
      </c>
      <c r="L147">
        <v>367.3</v>
      </c>
      <c r="M147">
        <v>0.99992950000000003</v>
      </c>
      <c r="N147">
        <v>0</v>
      </c>
      <c r="O147">
        <v>1.142351E-2</v>
      </c>
      <c r="P147">
        <v>0.98626720000000001</v>
      </c>
      <c r="Q147">
        <v>0.16308839999999999</v>
      </c>
      <c r="R147">
        <v>-2.6063179999999998E-2</v>
      </c>
      <c r="S147">
        <v>3.0721129999999999</v>
      </c>
      <c r="T147">
        <v>-0.1810302</v>
      </c>
      <c r="U147">
        <v>2.4353030000000001E-2</v>
      </c>
      <c r="V147">
        <v>3.7298930000000001E-2</v>
      </c>
      <c r="W147">
        <v>0.16630259999999999</v>
      </c>
      <c r="X147">
        <v>0.9853691</v>
      </c>
      <c r="Y147">
        <v>3.4710190000000001E-3</v>
      </c>
      <c r="Z147">
        <v>-7.7472139999999897E-4</v>
      </c>
      <c r="AA147">
        <v>0.99999369999999999</v>
      </c>
      <c r="AB147">
        <v>19</v>
      </c>
      <c r="AC147">
        <v>18.6204</v>
      </c>
      <c r="AD147">
        <v>-1.1089517047190001</v>
      </c>
      <c r="AE147">
        <v>0.146799999999984</v>
      </c>
      <c r="AF147">
        <v>6.5688047491066201E-2</v>
      </c>
      <c r="AG147">
        <v>-1.1089517047190001</v>
      </c>
      <c r="AH147">
        <v>18.555053406040098</v>
      </c>
      <c r="AI147">
        <v>93.420220083797503</v>
      </c>
      <c r="AJ147">
        <v>89.797164035024295</v>
      </c>
      <c r="AK147">
        <v>18.588278449172801</v>
      </c>
      <c r="AL147">
        <v>80.427086627086297</v>
      </c>
      <c r="AM147">
        <v>87.832232146455894</v>
      </c>
      <c r="AN147">
        <v>1.00000001409035</v>
      </c>
    </row>
    <row r="148" spans="1:40" x14ac:dyDescent="0.25">
      <c r="A148" t="str">
        <f>"20190312172612590"</f>
        <v>20190312172612590</v>
      </c>
      <c r="B148" t="str">
        <f>"1552382772578208"</f>
        <v>1552382772578208</v>
      </c>
      <c r="C148" t="s">
        <v>40</v>
      </c>
      <c r="D148">
        <v>3.1406890000000001</v>
      </c>
      <c r="E148">
        <v>0.48901879999999998</v>
      </c>
      <c r="F148" t="s">
        <v>41</v>
      </c>
      <c r="G148">
        <v>-444.75639999999999</v>
      </c>
      <c r="H148" s="1">
        <v>-2.844905E-6</v>
      </c>
      <c r="I148">
        <v>367.44170000000003</v>
      </c>
      <c r="J148">
        <v>-463.31049999999999</v>
      </c>
      <c r="K148">
        <v>1.1089519999999999</v>
      </c>
      <c r="L148">
        <v>367.30459999999999</v>
      </c>
      <c r="M148">
        <v>0.99992570000000003</v>
      </c>
      <c r="N148">
        <v>0</v>
      </c>
      <c r="O148">
        <v>1.1740240000000001E-2</v>
      </c>
      <c r="P148">
        <v>0.98625839999999998</v>
      </c>
      <c r="Q148">
        <v>0.16304549999999901</v>
      </c>
      <c r="R148">
        <v>-2.6657230000000001E-2</v>
      </c>
      <c r="S148">
        <v>3.072174</v>
      </c>
      <c r="T148">
        <v>-0.18011549999999901</v>
      </c>
      <c r="U148">
        <v>2.3010249999999999E-2</v>
      </c>
      <c r="V148">
        <v>3.8205349999999999E-2</v>
      </c>
      <c r="W148">
        <v>0.16630300000000001</v>
      </c>
      <c r="X148">
        <v>0.9853343</v>
      </c>
      <c r="Y148">
        <v>4.2233970000000003E-3</v>
      </c>
      <c r="Z148">
        <v>-8.1138779999999995E-4</v>
      </c>
      <c r="AA148">
        <v>0.99999079999999996</v>
      </c>
      <c r="AB148">
        <v>19</v>
      </c>
      <c r="AC148">
        <v>18.554099999999998</v>
      </c>
      <c r="AD148">
        <v>-1.108954844905</v>
      </c>
      <c r="AE148">
        <v>0.137100000000032</v>
      </c>
      <c r="AF148">
        <v>8.0452822012529401E-2</v>
      </c>
      <c r="AG148">
        <v>-1.108954844905</v>
      </c>
      <c r="AH148">
        <v>18.488388385633201</v>
      </c>
      <c r="AI148">
        <v>93.432521936837603</v>
      </c>
      <c r="AJ148">
        <v>89.750677129891898</v>
      </c>
      <c r="AK148">
        <v>18.5217914523035</v>
      </c>
      <c r="AL148">
        <v>80.427063342381899</v>
      </c>
      <c r="AM148">
        <v>87.779525894846202</v>
      </c>
      <c r="AN148">
        <v>1.00000000966705</v>
      </c>
    </row>
    <row r="149" spans="1:40" x14ac:dyDescent="0.25">
      <c r="A149" t="str">
        <f>"20190312172612613"</f>
        <v>20190312172612613</v>
      </c>
      <c r="B149" t="str">
        <f>"1552382772608465"</f>
        <v>1552382772608465</v>
      </c>
      <c r="C149" t="s">
        <v>40</v>
      </c>
      <c r="D149">
        <v>3.1543580000000002</v>
      </c>
      <c r="E149">
        <v>0.4889442</v>
      </c>
      <c r="F149" t="s">
        <v>41</v>
      </c>
      <c r="G149">
        <v>-444.28559999999999</v>
      </c>
      <c r="H149" s="1">
        <v>-3.068387E-6</v>
      </c>
      <c r="I149">
        <v>367.43650000000002</v>
      </c>
      <c r="J149">
        <v>-463.12520000000001</v>
      </c>
      <c r="K149">
        <v>1.108946</v>
      </c>
      <c r="L149">
        <v>367.30689999999998</v>
      </c>
      <c r="M149">
        <v>0.99992380000000003</v>
      </c>
      <c r="N149">
        <v>0</v>
      </c>
      <c r="O149">
        <v>1.1897370000000001E-2</v>
      </c>
      <c r="P149">
        <v>0.98615269999999999</v>
      </c>
      <c r="Q149">
        <v>0.163608</v>
      </c>
      <c r="R149">
        <v>-2.711533E-2</v>
      </c>
      <c r="S149">
        <v>3.0719910000000001</v>
      </c>
      <c r="T149">
        <v>-0.17906459999999999</v>
      </c>
      <c r="U149">
        <v>2.1301270000000001E-2</v>
      </c>
      <c r="V149">
        <v>3.8817850000000001E-2</v>
      </c>
      <c r="W149">
        <v>0.16688699999999901</v>
      </c>
      <c r="X149">
        <v>0.98521159999999997</v>
      </c>
      <c r="Y149">
        <v>4.9352129999999999E-3</v>
      </c>
      <c r="Z149">
        <v>-8.3659100000000003E-4</v>
      </c>
      <c r="AA149">
        <v>0.99998750000000003</v>
      </c>
      <c r="AB149">
        <v>19</v>
      </c>
      <c r="AC149">
        <v>18.839600000000001</v>
      </c>
      <c r="AD149">
        <v>-1.108949068387</v>
      </c>
      <c r="AE149">
        <v>0.12960000000003899</v>
      </c>
      <c r="AF149">
        <v>9.4225621422919195E-2</v>
      </c>
      <c r="AG149">
        <v>-1.108949068387</v>
      </c>
      <c r="AH149">
        <v>18.774760534614799</v>
      </c>
      <c r="AI149">
        <v>93.380259780244202</v>
      </c>
      <c r="AJ149">
        <v>89.712449855592595</v>
      </c>
      <c r="AK149">
        <v>18.807718618592201</v>
      </c>
      <c r="AL149">
        <v>80.393128252117407</v>
      </c>
      <c r="AM149">
        <v>87.7436835419593</v>
      </c>
      <c r="AN149">
        <v>0.99999999651109095</v>
      </c>
    </row>
    <row r="150" spans="1:40" x14ac:dyDescent="0.25">
      <c r="A150" t="str">
        <f>"20190312172612634"</f>
        <v>20190312172612634</v>
      </c>
      <c r="B150" t="str">
        <f>"1552382772628961"</f>
        <v>1552382772628961</v>
      </c>
      <c r="C150" t="s">
        <v>40</v>
      </c>
      <c r="D150">
        <v>3.1507130000000001</v>
      </c>
      <c r="E150">
        <v>0.48891820000000002</v>
      </c>
      <c r="F150" t="s">
        <v>41</v>
      </c>
      <c r="G150">
        <v>-443.81619999999998</v>
      </c>
      <c r="H150" s="1">
        <v>-3.289523E-6</v>
      </c>
      <c r="I150">
        <v>367.44080000000002</v>
      </c>
      <c r="J150">
        <v>-462.93079999999998</v>
      </c>
      <c r="K150">
        <v>1.1089500000000001</v>
      </c>
      <c r="L150">
        <v>367.30939999999998</v>
      </c>
      <c r="M150">
        <v>0.99992179999999997</v>
      </c>
      <c r="N150">
        <v>0</v>
      </c>
      <c r="O150">
        <v>1.2054499999999999E-2</v>
      </c>
      <c r="P150">
        <v>0.98601220000000001</v>
      </c>
      <c r="Q150">
        <v>0.1643395</v>
      </c>
      <c r="R150">
        <v>-2.779477E-2</v>
      </c>
      <c r="S150">
        <v>3.0719599999999998</v>
      </c>
      <c r="T150">
        <v>-0.1764271</v>
      </c>
      <c r="U150">
        <v>2.1301270000000001E-2</v>
      </c>
      <c r="V150">
        <v>3.9651789999999999E-2</v>
      </c>
      <c r="W150">
        <v>0.16764100000000001</v>
      </c>
      <c r="X150">
        <v>0.98505039999999999</v>
      </c>
      <c r="Y150">
        <v>5.0925959999999996E-3</v>
      </c>
      <c r="Z150">
        <v>-8.3782840000000002E-4</v>
      </c>
      <c r="AA150">
        <v>0.99998670000000001</v>
      </c>
      <c r="AB150">
        <v>19</v>
      </c>
      <c r="AC150">
        <v>19.114599999999999</v>
      </c>
      <c r="AD150">
        <v>-1.1089532895229901</v>
      </c>
      <c r="AE150">
        <v>0.13140000000004101</v>
      </c>
      <c r="AF150">
        <v>9.8695590074978204E-2</v>
      </c>
      <c r="AG150">
        <v>-1.1089532895229901</v>
      </c>
      <c r="AH150">
        <v>19.050676240061598</v>
      </c>
      <c r="AI150">
        <v>93.331423613755803</v>
      </c>
      <c r="AJ150">
        <v>89.703171157477996</v>
      </c>
      <c r="AK150">
        <v>19.083180642164798</v>
      </c>
      <c r="AL150">
        <v>80.349310252433398</v>
      </c>
      <c r="AM150">
        <v>87.694885125908002</v>
      </c>
      <c r="AN150">
        <v>1.0000000299356799</v>
      </c>
    </row>
    <row r="151" spans="1:40" x14ac:dyDescent="0.25">
      <c r="A151" t="str">
        <f>"20190312172612657"</f>
        <v>20190312172612657</v>
      </c>
      <c r="B151" t="str">
        <f>"1552382772648481"</f>
        <v>1552382772648481</v>
      </c>
      <c r="C151" t="s">
        <v>40</v>
      </c>
      <c r="D151">
        <v>3.1669939999999999</v>
      </c>
      <c r="E151">
        <v>0.48888169999999997</v>
      </c>
      <c r="F151" t="s">
        <v>41</v>
      </c>
      <c r="G151">
        <v>-443.31119999999999</v>
      </c>
      <c r="H151" s="1">
        <v>-3.5295900000000002E-6</v>
      </c>
      <c r="I151">
        <v>367.4332</v>
      </c>
      <c r="J151">
        <v>-462.73239999999998</v>
      </c>
      <c r="K151">
        <v>1.1089439999999999</v>
      </c>
      <c r="L151">
        <v>367.31200000000001</v>
      </c>
      <c r="M151">
        <v>0.99992000000000003</v>
      </c>
      <c r="N151">
        <v>0</v>
      </c>
      <c r="O151">
        <v>1.2199389999999999E-2</v>
      </c>
      <c r="P151">
        <v>0.98601249999999996</v>
      </c>
      <c r="Q151">
        <v>0.16420940000000001</v>
      </c>
      <c r="R151">
        <v>-2.854309E-2</v>
      </c>
      <c r="S151">
        <v>3.0720209999999999</v>
      </c>
      <c r="T151">
        <v>-0.17363870000000001</v>
      </c>
      <c r="U151">
        <v>1.9378659999999999E-2</v>
      </c>
      <c r="V151">
        <v>4.0546069999999997E-2</v>
      </c>
      <c r="W151">
        <v>0.16753390000000001</v>
      </c>
      <c r="X151">
        <v>0.98503220000000002</v>
      </c>
      <c r="Y151">
        <v>5.8628660000000004E-3</v>
      </c>
      <c r="Z151">
        <v>-8.5452759999999999E-4</v>
      </c>
      <c r="AA151">
        <v>0.9999825</v>
      </c>
      <c r="AB151">
        <v>19</v>
      </c>
      <c r="AC151">
        <v>19.421199999999999</v>
      </c>
      <c r="AD151">
        <v>-1.10894752959</v>
      </c>
      <c r="AE151">
        <v>0.12120000000004399</v>
      </c>
      <c r="AF151">
        <v>0.115361027801334</v>
      </c>
      <c r="AG151">
        <v>-1.10894752959</v>
      </c>
      <c r="AH151">
        <v>19.3581207112098</v>
      </c>
      <c r="AI151">
        <v>93.278599323425993</v>
      </c>
      <c r="AJ151">
        <v>89.6585607730551</v>
      </c>
      <c r="AK151">
        <v>19.390201398125999</v>
      </c>
      <c r="AL151">
        <v>80.355534498140599</v>
      </c>
      <c r="AM151">
        <v>87.642911592317603</v>
      </c>
      <c r="AN151">
        <v>1.0000000132392399</v>
      </c>
    </row>
    <row r="152" spans="1:40" x14ac:dyDescent="0.25">
      <c r="A152" t="str">
        <f>"20190312172612679"</f>
        <v>20190312172612679</v>
      </c>
      <c r="B152" t="str">
        <f>"1552382772668976"</f>
        <v>1552382772668976</v>
      </c>
      <c r="C152" t="s">
        <v>40</v>
      </c>
      <c r="D152">
        <v>3.138808</v>
      </c>
      <c r="E152">
        <v>0.48892000000000002</v>
      </c>
      <c r="F152" t="s">
        <v>41</v>
      </c>
      <c r="G152">
        <v>-443.08890000000002</v>
      </c>
      <c r="H152" s="1">
        <v>-3.6363109999999999E-6</v>
      </c>
      <c r="I152">
        <v>367.42380000000003</v>
      </c>
      <c r="J152">
        <v>-462.53429999999997</v>
      </c>
      <c r="K152">
        <v>1.108935</v>
      </c>
      <c r="L152">
        <v>367.31450000000001</v>
      </c>
      <c r="M152">
        <v>0.99991830000000004</v>
      </c>
      <c r="N152">
        <v>0</v>
      </c>
      <c r="O152">
        <v>1.232346E-2</v>
      </c>
      <c r="P152">
        <v>0.9860196</v>
      </c>
      <c r="Q152">
        <v>0.16405449999999999</v>
      </c>
      <c r="R152">
        <v>-2.9184769999999999E-2</v>
      </c>
      <c r="S152">
        <v>3.07193</v>
      </c>
      <c r="T152">
        <v>-0.17342160000000001</v>
      </c>
      <c r="U152">
        <v>1.748657E-2</v>
      </c>
      <c r="V152">
        <v>4.1315119999999997E-2</v>
      </c>
      <c r="W152">
        <v>0.1674013</v>
      </c>
      <c r="X152">
        <v>0.98502279999999998</v>
      </c>
      <c r="Y152">
        <v>6.6013479999999999E-3</v>
      </c>
      <c r="Z152">
        <v>-8.8131489999999999E-4</v>
      </c>
      <c r="AA152">
        <v>0.99997780000000003</v>
      </c>
      <c r="AB152">
        <v>20</v>
      </c>
      <c r="AC152">
        <v>19.4453999999999</v>
      </c>
      <c r="AD152">
        <v>-1.1089386363110001</v>
      </c>
      <c r="AE152">
        <v>0.10930000000001799</v>
      </c>
      <c r="AF152">
        <v>0.129921767910644</v>
      </c>
      <c r="AG152">
        <v>-1.1089386363110001</v>
      </c>
      <c r="AH152">
        <v>19.3822368222311</v>
      </c>
      <c r="AI152">
        <v>93.274487259232799</v>
      </c>
      <c r="AJ152">
        <v>89.615944354175596</v>
      </c>
      <c r="AK152">
        <v>19.4143691321127</v>
      </c>
      <c r="AL152">
        <v>80.363240868126596</v>
      </c>
      <c r="AM152">
        <v>87.598232933099595</v>
      </c>
      <c r="AN152">
        <v>1.0000000254510699</v>
      </c>
    </row>
    <row r="153" spans="1:40" x14ac:dyDescent="0.25">
      <c r="A153" t="str">
        <f>"20190312172612702"</f>
        <v>20190312172612702</v>
      </c>
      <c r="B153" t="str">
        <f>"1552382772698257"</f>
        <v>1552382772698257</v>
      </c>
      <c r="C153" t="s">
        <v>40</v>
      </c>
      <c r="D153">
        <v>3.1413129999999998</v>
      </c>
      <c r="E153">
        <v>0.49635220000000002</v>
      </c>
      <c r="F153" t="s">
        <v>41</v>
      </c>
      <c r="G153">
        <v>-442.95359999999999</v>
      </c>
      <c r="H153" s="1">
        <v>-3.7029320000000002E-6</v>
      </c>
      <c r="I153">
        <v>367.40890000000002</v>
      </c>
      <c r="J153">
        <v>-462.33749999999998</v>
      </c>
      <c r="K153">
        <v>1.1089209999999901</v>
      </c>
      <c r="L153">
        <v>367.31709999999998</v>
      </c>
      <c r="M153">
        <v>0.9999171</v>
      </c>
      <c r="N153">
        <v>0</v>
      </c>
      <c r="O153">
        <v>1.242104E-2</v>
      </c>
      <c r="P153">
        <v>0.98597480000000004</v>
      </c>
      <c r="Q153">
        <v>0.1641176</v>
      </c>
      <c r="R153">
        <v>-3.0325769999999998E-2</v>
      </c>
      <c r="S153">
        <v>3.07193</v>
      </c>
      <c r="T153">
        <v>-0.1739763</v>
      </c>
      <c r="U153">
        <v>1.480103E-2</v>
      </c>
      <c r="V153">
        <v>4.25583E-2</v>
      </c>
      <c r="W153">
        <v>0.16748589999999999</v>
      </c>
      <c r="X153">
        <v>0.98495549999999998</v>
      </c>
      <c r="Y153">
        <v>7.5712089999999998E-3</v>
      </c>
      <c r="Z153">
        <v>-9.1709549999999999E-4</v>
      </c>
      <c r="AA153">
        <v>0.9999709</v>
      </c>
      <c r="AB153">
        <v>20</v>
      </c>
      <c r="AC153">
        <v>19.383899999999901</v>
      </c>
      <c r="AD153">
        <v>-1.10892470293199</v>
      </c>
      <c r="AE153">
        <v>9.1800000000034701E-2</v>
      </c>
      <c r="AF153">
        <v>0.14849069286014499</v>
      </c>
      <c r="AG153">
        <v>-1.10892470293199</v>
      </c>
      <c r="AH153">
        <v>19.320314441488001</v>
      </c>
      <c r="AI153">
        <v>93.284894821641203</v>
      </c>
      <c r="AJ153">
        <v>89.559648860373997</v>
      </c>
      <c r="AK153">
        <v>19.352682336064099</v>
      </c>
      <c r="AL153">
        <v>80.358324336020303</v>
      </c>
      <c r="AM153">
        <v>87.525882948190798</v>
      </c>
      <c r="AN153">
        <v>1.0000000362889701</v>
      </c>
    </row>
    <row r="154" spans="1:40" x14ac:dyDescent="0.25">
      <c r="A154" t="str">
        <f>"20190312172612737"</f>
        <v>20190312172612737</v>
      </c>
      <c r="B154" t="str">
        <f>"1552382772728512"</f>
        <v>1552382772728512</v>
      </c>
      <c r="C154" t="s">
        <v>40</v>
      </c>
      <c r="D154">
        <v>3.1437919999999999</v>
      </c>
      <c r="E154">
        <v>0.49820599999999998</v>
      </c>
      <c r="F154" t="s">
        <v>43</v>
      </c>
      <c r="G154">
        <v>-425.69600000000003</v>
      </c>
      <c r="H154">
        <v>-0.05</v>
      </c>
      <c r="I154">
        <v>366.7183</v>
      </c>
      <c r="J154">
        <v>-462.02339999999998</v>
      </c>
      <c r="K154">
        <v>1.108889</v>
      </c>
      <c r="L154">
        <v>367.3211</v>
      </c>
      <c r="M154">
        <v>0.99991580000000002</v>
      </c>
      <c r="N154">
        <v>0</v>
      </c>
      <c r="O154">
        <v>1.251765E-2</v>
      </c>
      <c r="P154">
        <v>0.98576169999999996</v>
      </c>
      <c r="Q154">
        <v>0.16508680000000001</v>
      </c>
      <c r="R154">
        <v>-3.1944239999999999E-2</v>
      </c>
      <c r="S154">
        <v>3.057159</v>
      </c>
      <c r="T154">
        <v>-9.6693989999999994E-2</v>
      </c>
      <c r="U154">
        <v>-4.995728E-2</v>
      </c>
      <c r="V154">
        <v>4.428174E-2</v>
      </c>
      <c r="W154">
        <v>0.1684881</v>
      </c>
      <c r="X154">
        <v>0.98470849999999999</v>
      </c>
      <c r="Y154">
        <v>2.8832989999999999E-2</v>
      </c>
      <c r="Z154">
        <v>-8.5162699999999998E-4</v>
      </c>
      <c r="AA154">
        <v>0.99958389999999997</v>
      </c>
      <c r="AB154">
        <v>20</v>
      </c>
      <c r="AC154">
        <v>36.327399999999997</v>
      </c>
      <c r="AD154">
        <v>-1.1588889999999901</v>
      </c>
      <c r="AE154">
        <v>-0.602800000000002</v>
      </c>
      <c r="AF154">
        <v>1.0564143046946199</v>
      </c>
      <c r="AG154">
        <v>-1.1588889999999901</v>
      </c>
      <c r="AH154">
        <v>36.280096384200498</v>
      </c>
      <c r="AI154">
        <v>91.8287927254528</v>
      </c>
      <c r="AJ154">
        <v>88.332116254882095</v>
      </c>
      <c r="AK154">
        <v>36.313970156736701</v>
      </c>
      <c r="AL154">
        <v>80.300074094506996</v>
      </c>
      <c r="AM154">
        <v>87.425178484893806</v>
      </c>
      <c r="AN154">
        <v>0.99999997115564299</v>
      </c>
    </row>
    <row r="155" spans="1:40" x14ac:dyDescent="0.25">
      <c r="A155" t="str">
        <f>"20190312172612758"</f>
        <v>20190312172612758</v>
      </c>
      <c r="B155" t="str">
        <f>"1552382772749009"</f>
        <v>1552382772749009</v>
      </c>
      <c r="C155" t="s">
        <v>40</v>
      </c>
      <c r="D155">
        <v>3.1380759999999999</v>
      </c>
      <c r="E155">
        <v>0.49857059999999997</v>
      </c>
      <c r="F155" t="s">
        <v>43</v>
      </c>
      <c r="G155">
        <v>-421.3569</v>
      </c>
      <c r="H155">
        <v>-0.05</v>
      </c>
      <c r="I155">
        <v>366.38940000000002</v>
      </c>
      <c r="J155">
        <v>-461.82709999999997</v>
      </c>
      <c r="K155">
        <v>1.1088690000000001</v>
      </c>
      <c r="L155">
        <v>367.3236</v>
      </c>
      <c r="M155">
        <v>0.9999152</v>
      </c>
      <c r="N155">
        <v>0</v>
      </c>
      <c r="O155">
        <v>1.2545010000000001E-2</v>
      </c>
      <c r="P155">
        <v>0.98576319999999995</v>
      </c>
      <c r="Q155">
        <v>0.16488029999999901</v>
      </c>
      <c r="R155">
        <v>-3.2947480000000001E-2</v>
      </c>
      <c r="S155">
        <v>3.0556030000000001</v>
      </c>
      <c r="T155">
        <v>-8.707666E-2</v>
      </c>
      <c r="U155">
        <v>-7.0007319999999998E-2</v>
      </c>
      <c r="V155">
        <v>4.531922E-2</v>
      </c>
      <c r="W155">
        <v>0.16830339999999999</v>
      </c>
      <c r="X155">
        <v>0.98469289999999998</v>
      </c>
      <c r="Y155">
        <v>3.5425650000000003E-2</v>
      </c>
      <c r="Z155">
        <v>-8.619888E-4</v>
      </c>
      <c r="AA155">
        <v>0.99937189999999998</v>
      </c>
      <c r="AB155">
        <v>20</v>
      </c>
      <c r="AC155">
        <v>40.470199999999899</v>
      </c>
      <c r="AD155">
        <v>-1.1588689999999999</v>
      </c>
      <c r="AE155">
        <v>-0.93419999999997505</v>
      </c>
      <c r="AF155">
        <v>1.44064799083646</v>
      </c>
      <c r="AG155">
        <v>-1.1588689999999999</v>
      </c>
      <c r="AH155">
        <v>40.422168355595801</v>
      </c>
      <c r="AI155">
        <v>91.641129799000296</v>
      </c>
      <c r="AJ155">
        <v>87.958839653514602</v>
      </c>
      <c r="AK155">
        <v>40.464430535481398</v>
      </c>
      <c r="AL155">
        <v>80.310810091247902</v>
      </c>
      <c r="AM155">
        <v>87.364895180698099</v>
      </c>
      <c r="AN155">
        <v>0.99999998673168899</v>
      </c>
    </row>
    <row r="156" spans="1:40" x14ac:dyDescent="0.25">
      <c r="A156" t="str">
        <f>"20190312172612781"</f>
        <v>20190312172612781</v>
      </c>
      <c r="B156" t="str">
        <f>"1552382772768532"</f>
        <v>1552382772768532</v>
      </c>
      <c r="C156" t="s">
        <v>40</v>
      </c>
      <c r="D156">
        <v>3.1437719999999998</v>
      </c>
      <c r="E156">
        <v>0.49892880000000001</v>
      </c>
      <c r="F156" t="s">
        <v>43</v>
      </c>
      <c r="G156">
        <v>-420.2484</v>
      </c>
      <c r="H156">
        <v>-0.05</v>
      </c>
      <c r="I156">
        <v>366.2919</v>
      </c>
      <c r="J156">
        <v>-461.62419999999997</v>
      </c>
      <c r="K156">
        <v>1.108854</v>
      </c>
      <c r="L156">
        <v>367.32619999999997</v>
      </c>
      <c r="M156">
        <v>0.99991509999999995</v>
      </c>
      <c r="N156">
        <v>0</v>
      </c>
      <c r="O156">
        <v>1.255379E-2</v>
      </c>
      <c r="P156">
        <v>0.98593540000000002</v>
      </c>
      <c r="Q156">
        <v>0.16374749999999999</v>
      </c>
      <c r="R156">
        <v>-3.3437300000000003E-2</v>
      </c>
      <c r="S156">
        <v>3.0550229999999998</v>
      </c>
      <c r="T156">
        <v>-8.5148689999999999E-2</v>
      </c>
      <c r="U156">
        <v>-7.5805659999999997E-2</v>
      </c>
      <c r="V156">
        <v>4.5825079999999997E-2</v>
      </c>
      <c r="W156">
        <v>0.16719389999999901</v>
      </c>
      <c r="X156">
        <v>0.98485849999999997</v>
      </c>
      <c r="Y156">
        <v>3.73345E-2</v>
      </c>
      <c r="Z156">
        <v>-8.6988970000000001E-4</v>
      </c>
      <c r="AA156">
        <v>0.99930240000000004</v>
      </c>
      <c r="AB156">
        <v>20</v>
      </c>
      <c r="AC156">
        <v>41.375799999999899</v>
      </c>
      <c r="AD156">
        <v>-1.1588540000000001</v>
      </c>
      <c r="AE156">
        <v>-1.03429999999997</v>
      </c>
      <c r="AF156">
        <v>1.5524277260435599</v>
      </c>
      <c r="AG156">
        <v>-1.1588540000000001</v>
      </c>
      <c r="AH156">
        <v>41.327156207949898</v>
      </c>
      <c r="AI156">
        <v>91.605077509963095</v>
      </c>
      <c r="AJ156">
        <v>87.848732822132703</v>
      </c>
      <c r="AK156">
        <v>41.372536962025798</v>
      </c>
      <c r="AL156">
        <v>80.375293650503593</v>
      </c>
      <c r="AM156">
        <v>87.335971271706896</v>
      </c>
      <c r="AN156">
        <v>1.00000000158823</v>
      </c>
    </row>
    <row r="157" spans="1:40" x14ac:dyDescent="0.25">
      <c r="A157" t="str">
        <f>"20190312172612802"</f>
        <v>20190312172612802</v>
      </c>
      <c r="B157" t="str">
        <f>"1552382772798785"</f>
        <v>1552382772798785</v>
      </c>
      <c r="C157" t="s">
        <v>40</v>
      </c>
      <c r="D157">
        <v>3.165937</v>
      </c>
      <c r="E157">
        <v>0.49935980000000002</v>
      </c>
      <c r="F157" t="s">
        <v>43</v>
      </c>
      <c r="G157">
        <v>-421.83440000000002</v>
      </c>
      <c r="H157">
        <v>-0.05</v>
      </c>
      <c r="I157">
        <v>366.27839999999998</v>
      </c>
      <c r="J157">
        <v>-461.42610000000002</v>
      </c>
      <c r="K157">
        <v>1.1088469999999999</v>
      </c>
      <c r="L157">
        <v>367.32859999999999</v>
      </c>
      <c r="M157">
        <v>0.99991509999999995</v>
      </c>
      <c r="N157">
        <v>0</v>
      </c>
      <c r="O157">
        <v>1.254918E-2</v>
      </c>
      <c r="P157">
        <v>0.98594879999999996</v>
      </c>
      <c r="Q157">
        <v>0.1636908</v>
      </c>
      <c r="R157">
        <v>-3.3326019999999998E-2</v>
      </c>
      <c r="S157">
        <v>3.0548099999999998</v>
      </c>
      <c r="T157">
        <v>-8.8969229999999996E-2</v>
      </c>
      <c r="U157">
        <v>-8.0444340000000003E-2</v>
      </c>
      <c r="V157">
        <v>4.5712120000000002E-2</v>
      </c>
      <c r="W157">
        <v>0.16716010000000001</v>
      </c>
      <c r="X157">
        <v>0.98486949999999995</v>
      </c>
      <c r="Y157">
        <v>3.8845600000000001E-2</v>
      </c>
      <c r="Z157">
        <v>-9.3081360000000005E-4</v>
      </c>
      <c r="AA157">
        <v>0.99924480000000004</v>
      </c>
      <c r="AB157">
        <v>20</v>
      </c>
      <c r="AC157">
        <v>39.591700000000003</v>
      </c>
      <c r="AD157">
        <v>-1.158847</v>
      </c>
      <c r="AE157">
        <v>-1.05020000000001</v>
      </c>
      <c r="AF157">
        <v>1.54564046483102</v>
      </c>
      <c r="AG157">
        <v>-1.158847</v>
      </c>
      <c r="AH157">
        <v>39.541550512848097</v>
      </c>
      <c r="AI157">
        <v>91.677410656280003</v>
      </c>
      <c r="AJ157">
        <v>87.761503760389999</v>
      </c>
      <c r="AK157">
        <v>39.588712378354103</v>
      </c>
      <c r="AL157">
        <v>80.377258016116897</v>
      </c>
      <c r="AM157">
        <v>87.342558384117197</v>
      </c>
      <c r="AN157">
        <v>1.0000000144885699</v>
      </c>
    </row>
    <row r="158" spans="1:40" x14ac:dyDescent="0.25">
      <c r="A158" t="str">
        <f>"20190312172612825"</f>
        <v>20190312172612825</v>
      </c>
      <c r="B158" t="str">
        <f>"1552382772818305"</f>
        <v>1552382772818305</v>
      </c>
      <c r="C158" t="s">
        <v>40</v>
      </c>
      <c r="D158">
        <v>3.1567799999999999</v>
      </c>
      <c r="E158">
        <v>0.49956489999999998</v>
      </c>
      <c r="F158" t="s">
        <v>43</v>
      </c>
      <c r="G158">
        <v>-421.4271</v>
      </c>
      <c r="H158">
        <v>-0.05</v>
      </c>
      <c r="I158">
        <v>366.23129999999998</v>
      </c>
      <c r="J158">
        <v>-461.2176</v>
      </c>
      <c r="K158">
        <v>1.1088469999999999</v>
      </c>
      <c r="L158">
        <v>367.3313</v>
      </c>
      <c r="M158">
        <v>0.99991509999999995</v>
      </c>
      <c r="N158">
        <v>0</v>
      </c>
      <c r="O158">
        <v>1.253661E-2</v>
      </c>
      <c r="P158">
        <v>0.98591470000000003</v>
      </c>
      <c r="Q158">
        <v>0.163935</v>
      </c>
      <c r="R158">
        <v>-3.3128690000000002E-2</v>
      </c>
      <c r="S158">
        <v>3.0545960000000001</v>
      </c>
      <c r="T158">
        <v>-8.8497399999999907E-2</v>
      </c>
      <c r="U158">
        <v>-8.3801269999999997E-2</v>
      </c>
      <c r="V158">
        <v>4.5502590000000002E-2</v>
      </c>
      <c r="W158">
        <v>0.16742899999999999</v>
      </c>
      <c r="X158">
        <v>0.98483350000000003</v>
      </c>
      <c r="Y158">
        <v>3.9931990000000001E-2</v>
      </c>
      <c r="Z158">
        <v>-9.4129819999999999E-4</v>
      </c>
      <c r="AA158">
        <v>0.99920200000000003</v>
      </c>
      <c r="AB158">
        <v>20</v>
      </c>
      <c r="AC158">
        <v>39.790500000000002</v>
      </c>
      <c r="AD158">
        <v>-1.158847</v>
      </c>
      <c r="AE158">
        <v>-1.1000000000000201</v>
      </c>
      <c r="AF158">
        <v>1.5974008177936601</v>
      </c>
      <c r="AG158">
        <v>-1.158847</v>
      </c>
      <c r="AH158">
        <v>39.739901344198202</v>
      </c>
      <c r="AI158">
        <v>91.668969955925206</v>
      </c>
      <c r="AJ158">
        <v>87.698155350049902</v>
      </c>
      <c r="AK158">
        <v>39.788872497077598</v>
      </c>
      <c r="AL158">
        <v>80.361630702515299</v>
      </c>
      <c r="AM158">
        <v>87.354625360711296</v>
      </c>
      <c r="AN158">
        <v>0.99999998922997901</v>
      </c>
    </row>
    <row r="159" spans="1:40" x14ac:dyDescent="0.25">
      <c r="A159" t="str">
        <f>"20190312172612846"</f>
        <v>20190312172612846</v>
      </c>
      <c r="B159" t="str">
        <f>"1552382772838801"</f>
        <v>1552382772838801</v>
      </c>
      <c r="C159" t="s">
        <v>40</v>
      </c>
      <c r="D159">
        <v>3.1563400000000001</v>
      </c>
      <c r="E159">
        <v>0.49970439999999999</v>
      </c>
      <c r="F159" t="s">
        <v>43</v>
      </c>
      <c r="G159">
        <v>-421.95769999999999</v>
      </c>
      <c r="H159">
        <v>-0.05</v>
      </c>
      <c r="I159">
        <v>366.24810000000002</v>
      </c>
      <c r="J159">
        <v>-461.01400000000001</v>
      </c>
      <c r="K159">
        <v>1.108849</v>
      </c>
      <c r="L159">
        <v>367.3338</v>
      </c>
      <c r="M159">
        <v>0.9999152</v>
      </c>
      <c r="N159">
        <v>0</v>
      </c>
      <c r="O159">
        <v>1.252078E-2</v>
      </c>
      <c r="P159">
        <v>0.98588560000000003</v>
      </c>
      <c r="Q159">
        <v>0.16412660000000001</v>
      </c>
      <c r="R159">
        <v>-3.3049179999999997E-2</v>
      </c>
      <c r="S159">
        <v>3.0550229999999998</v>
      </c>
      <c r="T159">
        <v>-9.0175989999999998E-2</v>
      </c>
      <c r="U159">
        <v>-8.4289550000000005E-2</v>
      </c>
      <c r="V159">
        <v>4.5406050000000003E-2</v>
      </c>
      <c r="W159">
        <v>0.1676453</v>
      </c>
      <c r="X159">
        <v>0.98480120000000004</v>
      </c>
      <c r="Y159">
        <v>4.0071030000000001E-2</v>
      </c>
      <c r="Z159">
        <v>-9.605929E-4</v>
      </c>
      <c r="AA159">
        <v>0.99919639999999998</v>
      </c>
      <c r="AB159">
        <v>21</v>
      </c>
      <c r="AC159">
        <v>39.0563</v>
      </c>
      <c r="AD159">
        <v>-1.158849</v>
      </c>
      <c r="AE159">
        <v>-1.0856999999999699</v>
      </c>
      <c r="AF159">
        <v>1.57324937617854</v>
      </c>
      <c r="AG159">
        <v>-1.158849</v>
      </c>
      <c r="AH159">
        <v>39.005331411991001</v>
      </c>
      <c r="AI159">
        <v>91.700376155842804</v>
      </c>
      <c r="AJ159">
        <v>87.690271763059101</v>
      </c>
      <c r="AK159">
        <v>39.054243343888999</v>
      </c>
      <c r="AL159">
        <v>80.349060342058607</v>
      </c>
      <c r="AM159">
        <v>87.360143481165196</v>
      </c>
      <c r="AN159">
        <v>1.00000002975506</v>
      </c>
    </row>
    <row r="160" spans="1:40" x14ac:dyDescent="0.25">
      <c r="A160" t="str">
        <f>"20190312172612870"</f>
        <v>20190312172612870</v>
      </c>
      <c r="B160" t="str">
        <f>"1552382772858321"</f>
        <v>1552382772858321</v>
      </c>
      <c r="C160" t="s">
        <v>40</v>
      </c>
      <c r="D160">
        <v>3.1621649999999999</v>
      </c>
      <c r="E160">
        <v>0.49976320000000002</v>
      </c>
      <c r="F160" t="s">
        <v>43</v>
      </c>
      <c r="G160">
        <v>-422.31049999999999</v>
      </c>
      <c r="H160">
        <v>-0.05</v>
      </c>
      <c r="I160">
        <v>366.25330000000002</v>
      </c>
      <c r="J160">
        <v>-460.80070000000001</v>
      </c>
      <c r="K160">
        <v>1.1088559999999901</v>
      </c>
      <c r="L160">
        <v>367.3365</v>
      </c>
      <c r="M160">
        <v>0.99991540000000001</v>
      </c>
      <c r="N160">
        <v>0</v>
      </c>
      <c r="O160">
        <v>1.250538E-2</v>
      </c>
      <c r="P160">
        <v>0.98579640000000002</v>
      </c>
      <c r="Q160">
        <v>0.16463549999999999</v>
      </c>
      <c r="R160">
        <v>-3.3179899999999998E-2</v>
      </c>
      <c r="S160">
        <v>3.0552980000000001</v>
      </c>
      <c r="T160">
        <v>-9.1480729999999996E-2</v>
      </c>
      <c r="U160">
        <v>-8.5296629999999998E-2</v>
      </c>
      <c r="V160">
        <v>4.5518629999999997E-2</v>
      </c>
      <c r="W160">
        <v>0.16817979999999999</v>
      </c>
      <c r="X160">
        <v>0.98470489999999999</v>
      </c>
      <c r="Y160">
        <v>4.0381470000000003E-2</v>
      </c>
      <c r="Z160">
        <v>-9.7857799999999991E-4</v>
      </c>
      <c r="AA160">
        <v>0.99918379999999996</v>
      </c>
      <c r="AB160">
        <v>21</v>
      </c>
      <c r="AC160">
        <v>38.490200000000002</v>
      </c>
      <c r="AD160">
        <v>-1.1588560000000001</v>
      </c>
      <c r="AE160">
        <v>-1.08319999999997</v>
      </c>
      <c r="AF160">
        <v>1.56303721560451</v>
      </c>
      <c r="AG160">
        <v>-1.1588560000000001</v>
      </c>
      <c r="AH160">
        <v>38.438827808098502</v>
      </c>
      <c r="AI160">
        <v>91.725408409253603</v>
      </c>
      <c r="AJ160">
        <v>87.671465796881606</v>
      </c>
      <c r="AK160">
        <v>38.488043803585903</v>
      </c>
      <c r="AL160">
        <v>80.317995023696398</v>
      </c>
      <c r="AM160">
        <v>87.353349062378399</v>
      </c>
      <c r="AN160">
        <v>1.00000006544456</v>
      </c>
    </row>
    <row r="161" spans="1:40" x14ac:dyDescent="0.25">
      <c r="A161" t="str">
        <f>"20190312172612892"</f>
        <v>20190312172612892</v>
      </c>
      <c r="B161" t="str">
        <f>"1552382772888576"</f>
        <v>1552382772888576</v>
      </c>
      <c r="C161" t="s">
        <v>40</v>
      </c>
      <c r="D161">
        <v>3.1523249999999998</v>
      </c>
      <c r="E161">
        <v>0.49984980000000001</v>
      </c>
      <c r="F161" t="s">
        <v>43</v>
      </c>
      <c r="G161">
        <v>-421.54289999999997</v>
      </c>
      <c r="H161">
        <v>-0.05</v>
      </c>
      <c r="I161">
        <v>366.23230000000001</v>
      </c>
      <c r="J161">
        <v>-460.59050000000002</v>
      </c>
      <c r="K161">
        <v>1.1088659999999999</v>
      </c>
      <c r="L161">
        <v>367.33909999999997</v>
      </c>
      <c r="M161">
        <v>0.99991540000000001</v>
      </c>
      <c r="N161">
        <v>0</v>
      </c>
      <c r="O161">
        <v>1.249343E-2</v>
      </c>
      <c r="P161">
        <v>0.98584450000000001</v>
      </c>
      <c r="Q161">
        <v>0.16435900000000001</v>
      </c>
      <c r="R161">
        <v>-3.311803E-2</v>
      </c>
      <c r="S161">
        <v>3.0554199999999998</v>
      </c>
      <c r="T161">
        <v>-9.0193510000000005E-2</v>
      </c>
      <c r="U161">
        <v>-8.59375E-2</v>
      </c>
      <c r="V161">
        <v>4.5443589999999999E-2</v>
      </c>
      <c r="W161">
        <v>0.1679292</v>
      </c>
      <c r="X161">
        <v>0.98475100000000004</v>
      </c>
      <c r="Y161">
        <v>4.0578410000000002E-2</v>
      </c>
      <c r="Z161">
        <v>-9.6732640000000004E-4</v>
      </c>
      <c r="AA161">
        <v>0.99917590000000001</v>
      </c>
      <c r="AB161">
        <v>21</v>
      </c>
      <c r="AC161">
        <v>39.047600000000003</v>
      </c>
      <c r="AD161">
        <v>-1.158866</v>
      </c>
      <c r="AE161">
        <v>-1.10679999999996</v>
      </c>
      <c r="AF161">
        <v>1.5931531477621499</v>
      </c>
      <c r="AG161">
        <v>-1.158866</v>
      </c>
      <c r="AH161">
        <v>38.996404140630297</v>
      </c>
      <c r="AI161">
        <v>91.700754325747894</v>
      </c>
      <c r="AJ161">
        <v>87.660547926578701</v>
      </c>
      <c r="AK161">
        <v>39.046134805605902</v>
      </c>
      <c r="AL161">
        <v>80.332559217090605</v>
      </c>
      <c r="AM161">
        <v>87.357829546051093</v>
      </c>
      <c r="AN161">
        <v>0.99999993404286103</v>
      </c>
    </row>
    <row r="162" spans="1:40" x14ac:dyDescent="0.25">
      <c r="A162" t="str">
        <f>"20190312172612914"</f>
        <v>20190312172612914</v>
      </c>
      <c r="B162" t="str">
        <f>"1552382772909073"</f>
        <v>1552382772909073</v>
      </c>
      <c r="C162" t="s">
        <v>40</v>
      </c>
      <c r="D162">
        <v>3.1783999999999999</v>
      </c>
      <c r="E162">
        <v>0.49987579999999998</v>
      </c>
      <c r="F162" t="s">
        <v>43</v>
      </c>
      <c r="G162">
        <v>-422.08010000000002</v>
      </c>
      <c r="H162">
        <v>-0.05</v>
      </c>
      <c r="I162">
        <v>366.2466</v>
      </c>
      <c r="J162">
        <v>-460.36849999999998</v>
      </c>
      <c r="K162">
        <v>1.108873</v>
      </c>
      <c r="L162">
        <v>367.34179999999998</v>
      </c>
      <c r="M162">
        <v>0.99991549999999996</v>
      </c>
      <c r="N162">
        <v>0</v>
      </c>
      <c r="O162">
        <v>1.248469E-2</v>
      </c>
      <c r="P162">
        <v>0.98578209999999999</v>
      </c>
      <c r="Q162">
        <v>0.164712</v>
      </c>
      <c r="R162">
        <v>-3.3227840000000002E-2</v>
      </c>
      <c r="S162">
        <v>3.0554809999999999</v>
      </c>
      <c r="T162">
        <v>-9.1946360000000005E-2</v>
      </c>
      <c r="U162">
        <v>-8.6669919999999998E-2</v>
      </c>
      <c r="V162">
        <v>4.5542529999999998E-2</v>
      </c>
      <c r="W162">
        <v>0.1683095</v>
      </c>
      <c r="X162">
        <v>0.98468149999999999</v>
      </c>
      <c r="Y162">
        <v>4.0807429999999999E-2</v>
      </c>
      <c r="Z162">
        <v>-9.8927580000000002E-4</v>
      </c>
      <c r="AA162">
        <v>0.99916649999999996</v>
      </c>
      <c r="AB162">
        <v>21</v>
      </c>
      <c r="AC162">
        <v>38.288399999999903</v>
      </c>
      <c r="AD162">
        <v>-1.158873</v>
      </c>
      <c r="AE162">
        <v>-1.09519999999997</v>
      </c>
      <c r="AF162">
        <v>1.57169794748546</v>
      </c>
      <c r="AG162">
        <v>-1.158873</v>
      </c>
      <c r="AH162">
        <v>38.236742974145002</v>
      </c>
      <c r="AI162">
        <v>91.734515999868606</v>
      </c>
      <c r="AJ162">
        <v>87.646217036444</v>
      </c>
      <c r="AK162">
        <v>38.2865738130103</v>
      </c>
      <c r="AL162">
        <v>80.310455004730002</v>
      </c>
      <c r="AM162">
        <v>87.351898551542902</v>
      </c>
      <c r="AN162">
        <v>0.99999993313564794</v>
      </c>
    </row>
    <row r="163" spans="1:40" x14ac:dyDescent="0.25">
      <c r="A163" t="str">
        <f>"20190312172612938"</f>
        <v>20190312172612938</v>
      </c>
      <c r="B163" t="str">
        <f>"1552382772928593"</f>
        <v>1552382772928593</v>
      </c>
      <c r="C163" t="s">
        <v>40</v>
      </c>
      <c r="D163">
        <v>3.188275</v>
      </c>
      <c r="E163">
        <v>0.49990580000000001</v>
      </c>
      <c r="F163" t="s">
        <v>43</v>
      </c>
      <c r="G163">
        <v>-421.5668</v>
      </c>
      <c r="H163">
        <v>-0.05</v>
      </c>
      <c r="I163">
        <v>366.22730000000001</v>
      </c>
      <c r="J163">
        <v>-460.14920000000001</v>
      </c>
      <c r="K163">
        <v>1.108876</v>
      </c>
      <c r="L163">
        <v>367.34460000000001</v>
      </c>
      <c r="M163">
        <v>0.99991540000000001</v>
      </c>
      <c r="N163">
        <v>0</v>
      </c>
      <c r="O163">
        <v>1.2479469999999999E-2</v>
      </c>
      <c r="P163">
        <v>0.98569739999999995</v>
      </c>
      <c r="Q163">
        <v>0.16529750000000001</v>
      </c>
      <c r="R163">
        <v>-3.2830329999999998E-2</v>
      </c>
      <c r="S163">
        <v>3.055542</v>
      </c>
      <c r="T163">
        <v>-9.1258530000000004E-2</v>
      </c>
      <c r="U163">
        <v>-8.7768550000000001E-2</v>
      </c>
      <c r="V163">
        <v>4.5137780000000002E-2</v>
      </c>
      <c r="W163">
        <v>0.1689214</v>
      </c>
      <c r="X163">
        <v>0.98459540000000001</v>
      </c>
      <c r="Y163">
        <v>4.1160809999999999E-2</v>
      </c>
      <c r="Z163">
        <v>-9.869728999999999E-4</v>
      </c>
      <c r="AA163">
        <v>0.99915209999999999</v>
      </c>
      <c r="AB163">
        <v>21</v>
      </c>
      <c r="AC163">
        <v>38.5824</v>
      </c>
      <c r="AD163">
        <v>-1.158876</v>
      </c>
      <c r="AE163">
        <v>-1.1173</v>
      </c>
      <c r="AF163">
        <v>1.5972643156209001</v>
      </c>
      <c r="AG163">
        <v>-1.158876</v>
      </c>
      <c r="AH163">
        <v>38.530719381659303</v>
      </c>
      <c r="AI163">
        <v>91.721269866428102</v>
      </c>
      <c r="AJ163">
        <v>87.626202234701296</v>
      </c>
      <c r="AK163">
        <v>38.581220599477</v>
      </c>
      <c r="AL163">
        <v>80.274886901834293</v>
      </c>
      <c r="AM163">
        <v>87.375170767521496</v>
      </c>
      <c r="AN163">
        <v>0.99999998013122404</v>
      </c>
    </row>
    <row r="164" spans="1:40" x14ac:dyDescent="0.25">
      <c r="A164" t="str">
        <f>"20190312172612961"</f>
        <v>20190312172612961</v>
      </c>
      <c r="B164" t="str">
        <f>"1552382772949089"</f>
        <v>1552382772949089</v>
      </c>
      <c r="C164" t="s">
        <v>40</v>
      </c>
      <c r="D164">
        <v>3.1622059999999999</v>
      </c>
      <c r="E164">
        <v>0.49993779999999999</v>
      </c>
      <c r="F164" t="s">
        <v>43</v>
      </c>
      <c r="G164">
        <v>-420.69170000000003</v>
      </c>
      <c r="H164">
        <v>-0.05</v>
      </c>
      <c r="I164">
        <v>366.21719999999999</v>
      </c>
      <c r="J164">
        <v>-459.9248</v>
      </c>
      <c r="K164">
        <v>1.1088789999999999</v>
      </c>
      <c r="L164">
        <v>367.34739999999999</v>
      </c>
      <c r="M164">
        <v>0.99991529999999995</v>
      </c>
      <c r="N164">
        <v>0</v>
      </c>
      <c r="O164">
        <v>1.2476080000000001E-2</v>
      </c>
      <c r="P164">
        <v>0.98565389999999997</v>
      </c>
      <c r="Q164">
        <v>0.1654911</v>
      </c>
      <c r="R164">
        <v>-3.3151239999999998E-2</v>
      </c>
      <c r="S164">
        <v>3.0556640000000002</v>
      </c>
      <c r="T164">
        <v>-8.9745399999999906E-2</v>
      </c>
      <c r="U164">
        <v>-8.7310789999999999E-2</v>
      </c>
      <c r="V164">
        <v>4.5454729999999999E-2</v>
      </c>
      <c r="W164">
        <v>0.169142299999999</v>
      </c>
      <c r="X164">
        <v>0.9845429</v>
      </c>
      <c r="Y164">
        <v>4.1007580000000002E-2</v>
      </c>
      <c r="Z164">
        <v>-9.6823020000000001E-4</v>
      </c>
      <c r="AA164">
        <v>0.9991584</v>
      </c>
      <c r="AB164">
        <v>21</v>
      </c>
      <c r="AC164">
        <v>39.233099999999901</v>
      </c>
      <c r="AD164">
        <v>-1.158879</v>
      </c>
      <c r="AE164">
        <v>-1.1302000000000001</v>
      </c>
      <c r="AF164">
        <v>1.61817998391572</v>
      </c>
      <c r="AG164">
        <v>-1.158879</v>
      </c>
      <c r="AH164">
        <v>39.181787714084798</v>
      </c>
      <c r="AI164">
        <v>91.692700194409298</v>
      </c>
      <c r="AJ164">
        <v>87.635068985177796</v>
      </c>
      <c r="AK164">
        <v>39.232308056862998</v>
      </c>
      <c r="AL164">
        <v>80.262045541454299</v>
      </c>
      <c r="AM164">
        <v>87.356624952560907</v>
      </c>
      <c r="AN164">
        <v>0.99999998603453599</v>
      </c>
    </row>
    <row r="165" spans="1:40" x14ac:dyDescent="0.25">
      <c r="A165" t="str">
        <f>"20190312172612983"</f>
        <v>20190312172612983</v>
      </c>
      <c r="B165" t="str">
        <f>"1552382772978369"</f>
        <v>1552382772978369</v>
      </c>
      <c r="C165" t="s">
        <v>40</v>
      </c>
      <c r="D165">
        <v>3.1966960000000002</v>
      </c>
      <c r="E165">
        <v>0.49998379999999998</v>
      </c>
      <c r="F165" t="s">
        <v>43</v>
      </c>
      <c r="G165">
        <v>-420.77499999999998</v>
      </c>
      <c r="H165">
        <v>-0.05</v>
      </c>
      <c r="I165">
        <v>366.2183</v>
      </c>
      <c r="J165">
        <v>-459.7122</v>
      </c>
      <c r="K165">
        <v>1.108886</v>
      </c>
      <c r="L165">
        <v>367.35</v>
      </c>
      <c r="M165">
        <v>0.99991529999999995</v>
      </c>
      <c r="N165">
        <v>0</v>
      </c>
      <c r="O165">
        <v>1.2473649999999999E-2</v>
      </c>
      <c r="P165">
        <v>0.98575299999999999</v>
      </c>
      <c r="Q165">
        <v>0.16489770000000001</v>
      </c>
      <c r="R165">
        <v>-3.3167910000000002E-2</v>
      </c>
      <c r="S165">
        <v>3.0559080000000001</v>
      </c>
      <c r="T165">
        <v>-9.0458510000000006E-2</v>
      </c>
      <c r="U165">
        <v>-8.8134770000000001E-2</v>
      </c>
      <c r="V165">
        <v>4.546994E-2</v>
      </c>
      <c r="W165">
        <v>0.168576</v>
      </c>
      <c r="X165">
        <v>0.9846393</v>
      </c>
      <c r="Y165">
        <v>4.1271580000000002E-2</v>
      </c>
      <c r="Z165">
        <v>-9.7967239999999993E-4</v>
      </c>
      <c r="AA165">
        <v>0.99914749999999997</v>
      </c>
      <c r="AB165">
        <v>22</v>
      </c>
      <c r="AC165">
        <v>38.937199999999997</v>
      </c>
      <c r="AD165">
        <v>-1.1588860000000001</v>
      </c>
      <c r="AE165">
        <v>-1.1317000000000199</v>
      </c>
      <c r="AF165">
        <v>1.6158741230158</v>
      </c>
      <c r="AG165">
        <v>-1.1588860000000001</v>
      </c>
      <c r="AH165">
        <v>38.885637038336903</v>
      </c>
      <c r="AI165">
        <v>91.7055764153354</v>
      </c>
      <c r="AJ165">
        <v>87.620470186702505</v>
      </c>
      <c r="AK165">
        <v>38.936446086150603</v>
      </c>
      <c r="AL165">
        <v>80.294964672481399</v>
      </c>
      <c r="AM165">
        <v>87.356000200960295</v>
      </c>
      <c r="AN165">
        <v>0.99999996716204598</v>
      </c>
    </row>
    <row r="166" spans="1:40" x14ac:dyDescent="0.25">
      <c r="A166" t="str">
        <f>"20190312172613004"</f>
        <v>20190312172613004</v>
      </c>
      <c r="B166" t="str">
        <f>"1552382772998865"</f>
        <v>1552382772998865</v>
      </c>
      <c r="C166" t="s">
        <v>40</v>
      </c>
      <c r="D166">
        <v>3.1874560000000001</v>
      </c>
      <c r="E166">
        <v>0.50007279999999998</v>
      </c>
      <c r="F166" t="s">
        <v>43</v>
      </c>
      <c r="G166">
        <v>-421.92899999999997</v>
      </c>
      <c r="H166">
        <v>-0.05</v>
      </c>
      <c r="I166">
        <v>366.24709999999999</v>
      </c>
      <c r="J166">
        <v>-459.49900000000002</v>
      </c>
      <c r="K166">
        <v>1.1088849999999999</v>
      </c>
      <c r="L166">
        <v>367.35270000000003</v>
      </c>
      <c r="M166">
        <v>0.99991529999999995</v>
      </c>
      <c r="N166">
        <v>0</v>
      </c>
      <c r="O166">
        <v>1.247145E-2</v>
      </c>
      <c r="P166">
        <v>0.9857669</v>
      </c>
      <c r="Q166">
        <v>0.16483610000000001</v>
      </c>
      <c r="R166">
        <v>-3.3059909999999998E-2</v>
      </c>
      <c r="S166">
        <v>3.0560299999999998</v>
      </c>
      <c r="T166">
        <v>-9.3734380000000006E-2</v>
      </c>
      <c r="U166">
        <v>-8.9202879999999998E-2</v>
      </c>
      <c r="V166">
        <v>4.5359740000000003E-2</v>
      </c>
      <c r="W166">
        <v>0.16854069999999999</v>
      </c>
      <c r="X166">
        <v>0.98465040000000004</v>
      </c>
      <c r="Y166">
        <v>4.1615249999999999E-2</v>
      </c>
      <c r="Z166">
        <v>-1.020289E-3</v>
      </c>
      <c r="AA166">
        <v>0.99913320000000005</v>
      </c>
      <c r="AB166">
        <v>22</v>
      </c>
      <c r="AC166">
        <v>37.569999999999901</v>
      </c>
      <c r="AD166">
        <v>-1.1588849999999999</v>
      </c>
      <c r="AE166">
        <v>-1.1056000000000299</v>
      </c>
      <c r="AF166">
        <v>1.57257466320109</v>
      </c>
      <c r="AG166">
        <v>-1.1588849999999999</v>
      </c>
      <c r="AH166">
        <v>37.517623282640301</v>
      </c>
      <c r="AI166">
        <v>91.7677003751093</v>
      </c>
      <c r="AJ166">
        <v>87.599816523962701</v>
      </c>
      <c r="AK166">
        <v>37.568445034266198</v>
      </c>
      <c r="AL166">
        <v>80.297016325279898</v>
      </c>
      <c r="AM166">
        <v>87.362428775320296</v>
      </c>
      <c r="AN166">
        <v>0.99999994189475705</v>
      </c>
    </row>
    <row r="167" spans="1:40" x14ac:dyDescent="0.25">
      <c r="A167" t="str">
        <f>"20190312172613025"</f>
        <v>20190312172613025</v>
      </c>
      <c r="B167" t="str">
        <f>"1552382773018384"</f>
        <v>1552382773018384</v>
      </c>
      <c r="C167" t="s">
        <v>40</v>
      </c>
      <c r="D167">
        <v>3.1879580000000001</v>
      </c>
      <c r="E167">
        <v>0.50012069999999997</v>
      </c>
      <c r="F167" t="s">
        <v>43</v>
      </c>
      <c r="G167">
        <v>-422.26400000000001</v>
      </c>
      <c r="H167">
        <v>-0.05</v>
      </c>
      <c r="I167">
        <v>366.25810000000001</v>
      </c>
      <c r="J167">
        <v>-459.29520000000002</v>
      </c>
      <c r="K167">
        <v>1.1088830000000001</v>
      </c>
      <c r="L167">
        <v>367.35520000000002</v>
      </c>
      <c r="M167">
        <v>0.99991509999999995</v>
      </c>
      <c r="N167">
        <v>0</v>
      </c>
      <c r="O167">
        <v>1.246938E-2</v>
      </c>
      <c r="P167">
        <v>0.98570009999999997</v>
      </c>
      <c r="Q167">
        <v>0.16515679999999999</v>
      </c>
      <c r="R167">
        <v>-3.3448220000000001E-2</v>
      </c>
      <c r="S167">
        <v>3.056244</v>
      </c>
      <c r="T167">
        <v>-9.5120910000000003E-2</v>
      </c>
      <c r="U167">
        <v>-8.984375E-2</v>
      </c>
      <c r="V167">
        <v>4.574512E-2</v>
      </c>
      <c r="W167">
        <v>0.16888619999999999</v>
      </c>
      <c r="X167">
        <v>0.98457340000000004</v>
      </c>
      <c r="Y167">
        <v>4.1819620000000002E-2</v>
      </c>
      <c r="Z167">
        <v>-1.038413E-3</v>
      </c>
      <c r="AA167">
        <v>0.99912460000000003</v>
      </c>
      <c r="AB167">
        <v>22</v>
      </c>
      <c r="AC167">
        <v>37.031199999999998</v>
      </c>
      <c r="AD167">
        <v>-1.1588829999999899</v>
      </c>
      <c r="AE167">
        <v>-1.09710000000001</v>
      </c>
      <c r="AF167">
        <v>1.5572503362419801</v>
      </c>
      <c r="AG167">
        <v>-1.1588829999999899</v>
      </c>
      <c r="AH167">
        <v>36.978457119096802</v>
      </c>
      <c r="AI167">
        <v>91.793439821843506</v>
      </c>
      <c r="AJ167">
        <v>87.588563986208797</v>
      </c>
      <c r="AK167">
        <v>37.029371171089302</v>
      </c>
      <c r="AL167">
        <v>80.276933034988403</v>
      </c>
      <c r="AM167">
        <v>87.339844080832407</v>
      </c>
      <c r="AN167">
        <v>0.99999997227090598</v>
      </c>
    </row>
    <row r="168" spans="1:40" x14ac:dyDescent="0.25">
      <c r="A168" t="str">
        <f>"20190312172613049"</f>
        <v>20190312172613049</v>
      </c>
      <c r="B168" t="str">
        <f>"1552382773038881"</f>
        <v>1552382773038881</v>
      </c>
      <c r="C168" t="s">
        <v>40</v>
      </c>
      <c r="D168">
        <v>3.1898460000000002</v>
      </c>
      <c r="E168">
        <v>0.50017539999999905</v>
      </c>
      <c r="F168" t="s">
        <v>43</v>
      </c>
      <c r="G168">
        <v>-421.9742</v>
      </c>
      <c r="H168">
        <v>-0.05</v>
      </c>
      <c r="I168">
        <v>366.23840000000001</v>
      </c>
      <c r="J168">
        <v>-459.05900000000003</v>
      </c>
      <c r="K168">
        <v>1.108884</v>
      </c>
      <c r="L168">
        <v>367.35820000000001</v>
      </c>
      <c r="M168">
        <v>0.999915</v>
      </c>
      <c r="N168">
        <v>0</v>
      </c>
      <c r="O168">
        <v>1.246598E-2</v>
      </c>
      <c r="P168">
        <v>0.98571319999999996</v>
      </c>
      <c r="Q168">
        <v>0.1650239</v>
      </c>
      <c r="R168">
        <v>-3.3715269999999999E-2</v>
      </c>
      <c r="S168">
        <v>3.0563349999999998</v>
      </c>
      <c r="T168">
        <v>-9.4904539999999996E-2</v>
      </c>
      <c r="U168">
        <v>-9.1461180000000003E-2</v>
      </c>
      <c r="V168">
        <v>4.6008649999999998E-2</v>
      </c>
      <c r="W168">
        <v>0.16878280000000001</v>
      </c>
      <c r="X168">
        <v>0.98457890000000003</v>
      </c>
      <c r="Y168">
        <v>4.2343499999999999E-2</v>
      </c>
      <c r="Z168">
        <v>-1.044038E-3</v>
      </c>
      <c r="AA168">
        <v>0.99910259999999995</v>
      </c>
      <c r="AB168">
        <v>22</v>
      </c>
      <c r="AC168">
        <v>37.084800000000001</v>
      </c>
      <c r="AD168">
        <v>-1.158884</v>
      </c>
      <c r="AE168">
        <v>-1.1197999999999899</v>
      </c>
      <c r="AF168">
        <v>1.5804727527584801</v>
      </c>
      <c r="AG168">
        <v>-1.158884</v>
      </c>
      <c r="AH168">
        <v>37.031828884253102</v>
      </c>
      <c r="AI168">
        <v>91.790815374801198</v>
      </c>
      <c r="AJ168">
        <v>87.556169917248098</v>
      </c>
      <c r="AK168">
        <v>37.083652149704399</v>
      </c>
      <c r="AL168">
        <v>80.282944172641706</v>
      </c>
      <c r="AM168">
        <v>87.324556493864804</v>
      </c>
      <c r="AN168">
        <v>1.00000001988793</v>
      </c>
    </row>
    <row r="169" spans="1:40" x14ac:dyDescent="0.25">
      <c r="A169" t="str">
        <f>"20190312172613073"</f>
        <v>20190312172613073</v>
      </c>
      <c r="B169" t="str">
        <f>"1552382773069138"</f>
        <v>1552382773069138</v>
      </c>
      <c r="C169" t="s">
        <v>40</v>
      </c>
      <c r="D169">
        <v>3.1536110000000002</v>
      </c>
      <c r="E169">
        <v>0.50017559999999905</v>
      </c>
      <c r="F169" t="s">
        <v>43</v>
      </c>
      <c r="G169">
        <v>-422.20510000000002</v>
      </c>
      <c r="H169">
        <v>-0.05</v>
      </c>
      <c r="I169">
        <v>366.24650000000003</v>
      </c>
      <c r="J169">
        <v>-458.82639999999998</v>
      </c>
      <c r="K169">
        <v>1.108884</v>
      </c>
      <c r="L169">
        <v>367.36110000000002</v>
      </c>
      <c r="M169">
        <v>0.99991490000000005</v>
      </c>
      <c r="N169">
        <v>0</v>
      </c>
      <c r="O169">
        <v>1.246277E-2</v>
      </c>
      <c r="P169">
        <v>0.98564019999999997</v>
      </c>
      <c r="Q169">
        <v>0.1653164</v>
      </c>
      <c r="R169">
        <v>-3.4407300000000002E-2</v>
      </c>
      <c r="S169">
        <v>3.0564269999999998</v>
      </c>
      <c r="T169">
        <v>-9.6110459999999995E-2</v>
      </c>
      <c r="U169">
        <v>-9.2193600000000001E-2</v>
      </c>
      <c r="V169">
        <v>4.669649E-2</v>
      </c>
      <c r="W169">
        <v>0.16910430000000001</v>
      </c>
      <c r="X169">
        <v>0.98449129999999996</v>
      </c>
      <c r="Y169">
        <v>4.2577799999999999E-2</v>
      </c>
      <c r="Z169">
        <v>-1.060844E-3</v>
      </c>
      <c r="AA169">
        <v>0.9990926</v>
      </c>
      <c r="AB169">
        <v>22</v>
      </c>
      <c r="AC169">
        <v>36.621299999999898</v>
      </c>
      <c r="AD169">
        <v>-1.158884</v>
      </c>
      <c r="AE169">
        <v>-1.11459999999999</v>
      </c>
      <c r="AF169">
        <v>1.5693495583594701</v>
      </c>
      <c r="AG169">
        <v>-1.158884</v>
      </c>
      <c r="AH169">
        <v>36.567979027833601</v>
      </c>
      <c r="AI169">
        <v>91.813497698869</v>
      </c>
      <c r="AJ169">
        <v>87.542605112073204</v>
      </c>
      <c r="AK169">
        <v>36.619980343275103</v>
      </c>
      <c r="AL169">
        <v>80.264254475861094</v>
      </c>
      <c r="AM169">
        <v>87.284376164572095</v>
      </c>
      <c r="AN169">
        <v>0.999999973116249</v>
      </c>
    </row>
    <row r="170" spans="1:40" x14ac:dyDescent="0.25">
      <c r="A170" t="str">
        <f>"20190312172613093"</f>
        <v>20190312172613093</v>
      </c>
      <c r="B170" t="str">
        <f>"1552382773088658"</f>
        <v>1552382773088658</v>
      </c>
      <c r="C170" t="s">
        <v>40</v>
      </c>
      <c r="D170">
        <v>3.207074</v>
      </c>
      <c r="E170">
        <v>0.50022460000000002</v>
      </c>
      <c r="F170" t="s">
        <v>43</v>
      </c>
      <c r="G170">
        <v>-421.7672</v>
      </c>
      <c r="H170">
        <v>-0.05</v>
      </c>
      <c r="I170">
        <v>366.21510000000001</v>
      </c>
      <c r="J170">
        <v>-458.61290000000002</v>
      </c>
      <c r="K170">
        <v>1.108886</v>
      </c>
      <c r="L170">
        <v>367.36369999999999</v>
      </c>
      <c r="M170">
        <v>0.99991490000000005</v>
      </c>
      <c r="N170">
        <v>0</v>
      </c>
      <c r="O170">
        <v>1.2459319999999999E-2</v>
      </c>
      <c r="P170">
        <v>0.98568480000000003</v>
      </c>
      <c r="Q170">
        <v>0.16501199999999999</v>
      </c>
      <c r="R170">
        <v>-3.4590059999999999E-2</v>
      </c>
      <c r="S170">
        <v>3.0564269999999998</v>
      </c>
      <c r="T170">
        <v>-9.5577960000000003E-2</v>
      </c>
      <c r="U170">
        <v>-9.4512940000000004E-2</v>
      </c>
      <c r="V170">
        <v>4.6876330000000001E-2</v>
      </c>
      <c r="W170">
        <v>0.16882649999999999</v>
      </c>
      <c r="X170">
        <v>0.98453040000000003</v>
      </c>
      <c r="Y170">
        <v>4.3331729999999999E-2</v>
      </c>
      <c r="Z170">
        <v>-1.0666320000000001E-3</v>
      </c>
      <c r="AA170">
        <v>0.99906019999999895</v>
      </c>
      <c r="AB170">
        <v>22</v>
      </c>
      <c r="AC170">
        <v>36.845700000000001</v>
      </c>
      <c r="AD170">
        <v>-1.1588860000000001</v>
      </c>
      <c r="AE170">
        <v>-1.1485999999999801</v>
      </c>
      <c r="AF170">
        <v>1.6059994453720201</v>
      </c>
      <c r="AG170">
        <v>-1.1588860000000001</v>
      </c>
      <c r="AH170">
        <v>36.792167635972397</v>
      </c>
      <c r="AI170">
        <v>91.802400623665207</v>
      </c>
      <c r="AJ170">
        <v>87.500592639200093</v>
      </c>
      <c r="AK170">
        <v>36.845431878769197</v>
      </c>
      <c r="AL170">
        <v>80.280403138049394</v>
      </c>
      <c r="AM170">
        <v>87.274041457006902</v>
      </c>
      <c r="AN170">
        <v>0.99999994297033701</v>
      </c>
    </row>
    <row r="171" spans="1:40" x14ac:dyDescent="0.25">
      <c r="A171" t="str">
        <f>"20190312172613116"</f>
        <v>20190312172613116</v>
      </c>
      <c r="B171" t="str">
        <f>"1552382773109153"</f>
        <v>1552382773109153</v>
      </c>
      <c r="C171" t="s">
        <v>40</v>
      </c>
      <c r="D171">
        <v>3.2292589999999999</v>
      </c>
      <c r="E171">
        <v>0.50025580000000003</v>
      </c>
      <c r="F171" t="s">
        <v>43</v>
      </c>
      <c r="G171">
        <v>-422.27769999999998</v>
      </c>
      <c r="H171">
        <v>-0.05</v>
      </c>
      <c r="I171">
        <v>366.23079999999999</v>
      </c>
      <c r="J171">
        <v>-458.38209999999998</v>
      </c>
      <c r="K171">
        <v>1.108889</v>
      </c>
      <c r="L171">
        <v>367.36649999999997</v>
      </c>
      <c r="M171">
        <v>0.99991479999999999</v>
      </c>
      <c r="N171">
        <v>0</v>
      </c>
      <c r="O171">
        <v>1.2456109999999999E-2</v>
      </c>
      <c r="P171">
        <v>0.98561089999999996</v>
      </c>
      <c r="Q171">
        <v>0.16537379999999999</v>
      </c>
      <c r="R171">
        <v>-3.4968369999999999E-2</v>
      </c>
      <c r="S171">
        <v>3.0565799999999999</v>
      </c>
      <c r="T171">
        <v>-9.7487329999999997E-2</v>
      </c>
      <c r="U171">
        <v>-9.5306399999999999E-2</v>
      </c>
      <c r="V171">
        <v>4.7250100000000003E-2</v>
      </c>
      <c r="W171">
        <v>0.16921749999999999</v>
      </c>
      <c r="X171">
        <v>0.98444549999999997</v>
      </c>
      <c r="Y171">
        <v>4.3584860000000003E-2</v>
      </c>
      <c r="Z171">
        <v>-1.0918029999999999E-3</v>
      </c>
      <c r="AA171">
        <v>0.99904910000000002</v>
      </c>
      <c r="AB171">
        <v>22</v>
      </c>
      <c r="AC171">
        <v>36.104399999999998</v>
      </c>
      <c r="AD171">
        <v>-1.1588889999999901</v>
      </c>
      <c r="AE171">
        <v>-1.1356999999999799</v>
      </c>
      <c r="AF171">
        <v>1.5837056171082</v>
      </c>
      <c r="AG171">
        <v>-1.1588889999999901</v>
      </c>
      <c r="AH171">
        <v>36.050346521241501</v>
      </c>
      <c r="AI171">
        <v>91.839446333242407</v>
      </c>
      <c r="AJ171">
        <v>87.484591635683302</v>
      </c>
      <c r="AK171">
        <v>36.103720466145397</v>
      </c>
      <c r="AL171">
        <v>80.257674396895496</v>
      </c>
      <c r="AM171">
        <v>87.252102512927493</v>
      </c>
      <c r="AN171">
        <v>1.0000000383632499</v>
      </c>
    </row>
    <row r="172" spans="1:40" x14ac:dyDescent="0.25">
      <c r="A172" t="str">
        <f>"20190312172613140"</f>
        <v>20190312172613140</v>
      </c>
      <c r="B172" t="str">
        <f>"1552382773128673"</f>
        <v>1552382773128673</v>
      </c>
      <c r="C172" t="s">
        <v>40</v>
      </c>
      <c r="D172">
        <v>3.2302249999999999</v>
      </c>
      <c r="E172">
        <v>0.50912749999999996</v>
      </c>
      <c r="F172" t="s">
        <v>43</v>
      </c>
      <c r="G172">
        <v>-421.6123</v>
      </c>
      <c r="H172">
        <v>-0.05</v>
      </c>
      <c r="I172">
        <v>366.19940000000003</v>
      </c>
      <c r="J172">
        <v>-458.14350000000002</v>
      </c>
      <c r="K172">
        <v>1.1088880000000001</v>
      </c>
      <c r="L172">
        <v>367.36950000000002</v>
      </c>
      <c r="M172">
        <v>0.99991479999999999</v>
      </c>
      <c r="N172">
        <v>0</v>
      </c>
      <c r="O172">
        <v>1.245253E-2</v>
      </c>
      <c r="P172">
        <v>0.98557819999999996</v>
      </c>
      <c r="Q172">
        <v>0.1655027</v>
      </c>
      <c r="R172">
        <v>-3.5277370000000002E-2</v>
      </c>
      <c r="S172">
        <v>3.0564879999999999</v>
      </c>
      <c r="T172">
        <v>-9.6332550000000003E-2</v>
      </c>
      <c r="U172">
        <v>-9.7015379999999998E-2</v>
      </c>
      <c r="V172">
        <v>4.755525E-2</v>
      </c>
      <c r="W172">
        <v>0.1693759</v>
      </c>
      <c r="X172">
        <v>0.98440360000000005</v>
      </c>
      <c r="Y172">
        <v>4.4140640000000002E-2</v>
      </c>
      <c r="Z172">
        <v>-1.0875419999999999E-3</v>
      </c>
      <c r="AA172">
        <v>0.99902469999999999</v>
      </c>
      <c r="AB172">
        <v>23</v>
      </c>
      <c r="AC172">
        <v>36.531199999999998</v>
      </c>
      <c r="AD172">
        <v>-1.1588879999999999</v>
      </c>
      <c r="AE172">
        <v>-1.1700999999999899</v>
      </c>
      <c r="AF172">
        <v>1.62328668134531</v>
      </c>
      <c r="AG172">
        <v>-1.1588879999999999</v>
      </c>
      <c r="AH172">
        <v>36.477125025604501</v>
      </c>
      <c r="AI172">
        <v>91.817892178560399</v>
      </c>
      <c r="AJ172">
        <v>87.451933184152693</v>
      </c>
      <c r="AK172">
        <v>36.531612764562603</v>
      </c>
      <c r="AL172">
        <v>80.248466157303397</v>
      </c>
      <c r="AM172">
        <v>87.234266007546907</v>
      </c>
      <c r="AN172">
        <v>1.0000000724981599</v>
      </c>
    </row>
    <row r="173" spans="1:40" x14ac:dyDescent="0.25">
      <c r="A173" t="str">
        <f>"20190312172613161"</f>
        <v>20190312172613161</v>
      </c>
      <c r="B173" t="str">
        <f>"1552382773158929"</f>
        <v>1552382773158929</v>
      </c>
      <c r="C173" t="s">
        <v>40</v>
      </c>
      <c r="D173">
        <v>3.232084</v>
      </c>
      <c r="E173">
        <v>0.508729599999999</v>
      </c>
      <c r="F173" t="s">
        <v>43</v>
      </c>
      <c r="G173">
        <v>-423.17489999999998</v>
      </c>
      <c r="H173">
        <v>-0.05</v>
      </c>
      <c r="I173">
        <v>365.4409</v>
      </c>
      <c r="J173">
        <v>-457.92360000000002</v>
      </c>
      <c r="K173">
        <v>1.108894</v>
      </c>
      <c r="L173">
        <v>367.3723</v>
      </c>
      <c r="M173">
        <v>0.99991470000000005</v>
      </c>
      <c r="N173">
        <v>0</v>
      </c>
      <c r="O173">
        <v>1.2449429999999999E-2</v>
      </c>
      <c r="P173">
        <v>0.98548440000000004</v>
      </c>
      <c r="Q173">
        <v>0.165968</v>
      </c>
      <c r="R173">
        <v>-3.5717069999999997E-2</v>
      </c>
      <c r="S173">
        <v>3.0548709999999999</v>
      </c>
      <c r="T173">
        <v>-0.10124089999999999</v>
      </c>
      <c r="U173">
        <v>-0.16848750000000001</v>
      </c>
      <c r="V173">
        <v>4.7990619999999998E-2</v>
      </c>
      <c r="W173">
        <v>0.16986879999999999</v>
      </c>
      <c r="X173">
        <v>0.98429750000000005</v>
      </c>
      <c r="Y173">
        <v>6.7452680000000001E-2</v>
      </c>
      <c r="Z173">
        <v>-1.528752E-3</v>
      </c>
      <c r="AA173">
        <v>0.99772130000000003</v>
      </c>
      <c r="AB173">
        <v>23</v>
      </c>
      <c r="AC173">
        <v>34.748699999999999</v>
      </c>
      <c r="AD173">
        <v>-1.1588940000000001</v>
      </c>
      <c r="AE173">
        <v>-1.93139999999999</v>
      </c>
      <c r="AF173">
        <v>2.3612369583358399</v>
      </c>
      <c r="AG173">
        <v>-1.1588940000000001</v>
      </c>
      <c r="AH173">
        <v>34.683503400411297</v>
      </c>
      <c r="AI173">
        <v>91.909318905930903</v>
      </c>
      <c r="AJ173">
        <v>86.105339288007997</v>
      </c>
      <c r="AK173">
        <v>34.7830976683071</v>
      </c>
      <c r="AL173">
        <v>80.2198094800587</v>
      </c>
      <c r="AM173">
        <v>87.208685094775404</v>
      </c>
      <c r="AN173">
        <v>1.0000000386638299</v>
      </c>
    </row>
    <row r="174" spans="1:40" x14ac:dyDescent="0.25">
      <c r="A174" t="str">
        <f>"20190312172613183"</f>
        <v>20190312172613183</v>
      </c>
      <c r="B174" t="str">
        <f>"1552382773178450"</f>
        <v>1552382773178450</v>
      </c>
      <c r="C174" t="s">
        <v>40</v>
      </c>
      <c r="D174">
        <v>3.26614</v>
      </c>
      <c r="E174">
        <v>0.50842489999999996</v>
      </c>
      <c r="F174" t="s">
        <v>43</v>
      </c>
      <c r="G174">
        <v>-419.22289999999998</v>
      </c>
      <c r="H174">
        <v>-0.05</v>
      </c>
      <c r="I174">
        <v>365.2484</v>
      </c>
      <c r="J174">
        <v>-457.70139999999998</v>
      </c>
      <c r="K174">
        <v>1.1088960000000001</v>
      </c>
      <c r="L174">
        <v>367.37509999999997</v>
      </c>
      <c r="M174">
        <v>0.99991459999999999</v>
      </c>
      <c r="N174">
        <v>0</v>
      </c>
      <c r="O174">
        <v>1.2446509999999999E-2</v>
      </c>
      <c r="P174">
        <v>0.98535859999999997</v>
      </c>
      <c r="Q174">
        <v>0.16662460000000001</v>
      </c>
      <c r="R174">
        <v>-3.6122460000000002E-2</v>
      </c>
      <c r="S174">
        <v>3.0534970000000001</v>
      </c>
      <c r="T174">
        <v>-9.143722E-2</v>
      </c>
      <c r="U174">
        <v>-0.167572</v>
      </c>
      <c r="V174">
        <v>4.8391759999999999E-2</v>
      </c>
      <c r="W174">
        <v>0.17055300000000001</v>
      </c>
      <c r="X174">
        <v>0.98415949999999996</v>
      </c>
      <c r="Y174">
        <v>6.7184339999999995E-2</v>
      </c>
      <c r="Z174">
        <v>-1.377315E-3</v>
      </c>
      <c r="AA174">
        <v>0.99773959999999995</v>
      </c>
      <c r="AB174">
        <v>23</v>
      </c>
      <c r="AC174">
        <v>38.478499999999997</v>
      </c>
      <c r="AD174">
        <v>-1.1588959999999999</v>
      </c>
      <c r="AE174">
        <v>-2.1266999999999698</v>
      </c>
      <c r="AF174">
        <v>2.6031080239800399</v>
      </c>
      <c r="AG174">
        <v>-1.1588959999999999</v>
      </c>
      <c r="AH174">
        <v>38.414309874737697</v>
      </c>
      <c r="AI174">
        <v>91.724043067264901</v>
      </c>
      <c r="AJ174">
        <v>86.123334294344403</v>
      </c>
      <c r="AK174">
        <v>38.519844424344399</v>
      </c>
      <c r="AL174">
        <v>80.180026856186501</v>
      </c>
      <c r="AM174">
        <v>87.184996613816097</v>
      </c>
      <c r="AN174">
        <v>1.0000000048425699</v>
      </c>
    </row>
    <row r="175" spans="1:40" x14ac:dyDescent="0.25">
      <c r="A175" t="str">
        <f>"20190312172613203"</f>
        <v>20190312172613203</v>
      </c>
      <c r="B175" t="str">
        <f>"1552382773198945"</f>
        <v>1552382773198945</v>
      </c>
      <c r="C175" t="s">
        <v>40</v>
      </c>
      <c r="D175">
        <v>3.2660140000000002</v>
      </c>
      <c r="E175">
        <v>0.50839570000000001</v>
      </c>
      <c r="F175" t="s">
        <v>43</v>
      </c>
      <c r="G175">
        <v>-417.61110000000002</v>
      </c>
      <c r="H175">
        <v>-0.05</v>
      </c>
      <c r="I175">
        <v>365.18849999999998</v>
      </c>
      <c r="J175">
        <v>-457.47879999999998</v>
      </c>
      <c r="K175">
        <v>1.1089</v>
      </c>
      <c r="L175">
        <v>367.37779999999998</v>
      </c>
      <c r="M175">
        <v>0.99991450000000004</v>
      </c>
      <c r="N175">
        <v>0</v>
      </c>
      <c r="O175">
        <v>1.2443289999999999E-2</v>
      </c>
      <c r="P175">
        <v>0.98526930000000001</v>
      </c>
      <c r="Q175">
        <v>0.1670422</v>
      </c>
      <c r="R175">
        <v>-3.6623120000000002E-2</v>
      </c>
      <c r="S175">
        <v>3.0534059999999998</v>
      </c>
      <c r="T175">
        <v>-8.8265419999999997E-2</v>
      </c>
      <c r="U175">
        <v>-0.1665344</v>
      </c>
      <c r="V175">
        <v>4.8888239999999999E-2</v>
      </c>
      <c r="W175">
        <v>0.17099890000000001</v>
      </c>
      <c r="X175">
        <v>0.98405759999999998</v>
      </c>
      <c r="Y175">
        <v>6.6847290000000004E-2</v>
      </c>
      <c r="Z175">
        <v>-1.324651E-3</v>
      </c>
      <c r="AA175">
        <v>0.99776229999999999</v>
      </c>
      <c r="AB175">
        <v>23</v>
      </c>
      <c r="AC175">
        <v>39.8676999999999</v>
      </c>
      <c r="AD175">
        <v>-1.1589</v>
      </c>
      <c r="AE175">
        <v>-2.1892999999999998</v>
      </c>
      <c r="AF175">
        <v>2.6829596128677999</v>
      </c>
      <c r="AG175">
        <v>-1.1589</v>
      </c>
      <c r="AH175">
        <v>39.8038384782785</v>
      </c>
      <c r="AI175">
        <v>91.663938138760699</v>
      </c>
      <c r="AJ175">
        <v>86.143837000901001</v>
      </c>
      <c r="AK175">
        <v>39.910986947194999</v>
      </c>
      <c r="AL175">
        <v>80.154097937018506</v>
      </c>
      <c r="AM175">
        <v>87.155868982390004</v>
      </c>
      <c r="AN175">
        <v>1.0000000219646299</v>
      </c>
    </row>
    <row r="176" spans="1:40" x14ac:dyDescent="0.25">
      <c r="A176" t="str">
        <f>"20190312172613227"</f>
        <v>20190312172613227</v>
      </c>
      <c r="B176" t="str">
        <f>"1552382773218465"</f>
        <v>1552382773218465</v>
      </c>
      <c r="C176" t="s">
        <v>40</v>
      </c>
      <c r="D176">
        <v>3.1975280000000001</v>
      </c>
      <c r="E176">
        <v>0.50872399999999995</v>
      </c>
      <c r="F176" t="s">
        <v>43</v>
      </c>
      <c r="G176">
        <v>-416.68270000000001</v>
      </c>
      <c r="H176">
        <v>-0.05</v>
      </c>
      <c r="I176">
        <v>365.12790000000001</v>
      </c>
      <c r="J176">
        <v>-457.23970000000003</v>
      </c>
      <c r="K176">
        <v>1.1089020000000001</v>
      </c>
      <c r="L176">
        <v>367.38080000000002</v>
      </c>
      <c r="M176">
        <v>0.99991439999999998</v>
      </c>
      <c r="N176">
        <v>0</v>
      </c>
      <c r="O176">
        <v>1.243971E-2</v>
      </c>
      <c r="P176">
        <v>0.98524310000000004</v>
      </c>
      <c r="Q176">
        <v>0.166989</v>
      </c>
      <c r="R176">
        <v>-3.7563119999999998E-2</v>
      </c>
      <c r="S176">
        <v>3.0533139999999999</v>
      </c>
      <c r="T176">
        <v>-8.6736079999999993E-2</v>
      </c>
      <c r="U176">
        <v>-0.16839599999999999</v>
      </c>
      <c r="V176">
        <v>4.9823989999999999E-2</v>
      </c>
      <c r="W176">
        <v>0.1709763</v>
      </c>
      <c r="X176">
        <v>0.98401459999999996</v>
      </c>
      <c r="Y176">
        <v>6.7452719999999994E-2</v>
      </c>
      <c r="Z176">
        <v>-1.310215E-3</v>
      </c>
      <c r="AA176">
        <v>0.99772159999999999</v>
      </c>
      <c r="AB176">
        <v>23</v>
      </c>
      <c r="AC176">
        <v>40.557000000000002</v>
      </c>
      <c r="AD176">
        <v>-1.1589020000000001</v>
      </c>
      <c r="AE176">
        <v>-2.2529000000000101</v>
      </c>
      <c r="AF176">
        <v>2.75500457324959</v>
      </c>
      <c r="AG176">
        <v>-1.1589020000000001</v>
      </c>
      <c r="AH176">
        <v>40.492874999148803</v>
      </c>
      <c r="AI176">
        <v>91.635572830080605</v>
      </c>
      <c r="AJ176">
        <v>86.107778320512793</v>
      </c>
      <c r="AK176">
        <v>40.603029809866698</v>
      </c>
      <c r="AL176">
        <v>80.155412246886101</v>
      </c>
      <c r="AM176">
        <v>87.1013961394695</v>
      </c>
      <c r="AN176">
        <v>1.00000002907718</v>
      </c>
    </row>
    <row r="177" spans="1:40" x14ac:dyDescent="0.25">
      <c r="A177" t="str">
        <f>"20190312172613250"</f>
        <v>20190312172613250</v>
      </c>
      <c r="B177" t="str">
        <f>"1552382773238962"</f>
        <v>1552382773238962</v>
      </c>
      <c r="C177" t="s">
        <v>40</v>
      </c>
      <c r="D177">
        <v>3.2518199999999999</v>
      </c>
      <c r="E177">
        <v>0.50881790000000005</v>
      </c>
      <c r="F177" t="s">
        <v>43</v>
      </c>
      <c r="G177">
        <v>-416.41309999999999</v>
      </c>
      <c r="H177">
        <v>-0.05</v>
      </c>
      <c r="I177">
        <v>365.04599999999999</v>
      </c>
      <c r="J177">
        <v>-457.0027</v>
      </c>
      <c r="K177">
        <v>1.1088960000000001</v>
      </c>
      <c r="L177">
        <v>367.38369999999998</v>
      </c>
      <c r="M177">
        <v>0.99991439999999998</v>
      </c>
      <c r="N177">
        <v>0</v>
      </c>
      <c r="O177">
        <v>1.2435949999999999E-2</v>
      </c>
      <c r="P177">
        <v>0.98518819999999996</v>
      </c>
      <c r="Q177">
        <v>0.16708290000000001</v>
      </c>
      <c r="R177">
        <v>-3.8572139999999998E-2</v>
      </c>
      <c r="S177">
        <v>3.0529480000000002</v>
      </c>
      <c r="T177">
        <v>-8.6661100000000005E-2</v>
      </c>
      <c r="U177">
        <v>-0.1745911</v>
      </c>
      <c r="V177">
        <v>5.0828680000000001E-2</v>
      </c>
      <c r="W177">
        <v>0.17110029999999901</v>
      </c>
      <c r="X177">
        <v>0.98394159999999997</v>
      </c>
      <c r="Y177">
        <v>6.9472880000000001E-2</v>
      </c>
      <c r="Z177">
        <v>-1.337703E-3</v>
      </c>
      <c r="AA177">
        <v>0.997583</v>
      </c>
      <c r="AB177">
        <v>23</v>
      </c>
      <c r="AC177">
        <v>40.589599999999997</v>
      </c>
      <c r="AD177">
        <v>-1.1588959999999999</v>
      </c>
      <c r="AE177">
        <v>-2.3376999999999799</v>
      </c>
      <c r="AF177">
        <v>2.8399861573557899</v>
      </c>
      <c r="AG177">
        <v>-1.1588959999999999</v>
      </c>
      <c r="AH177">
        <v>40.524463454795999</v>
      </c>
      <c r="AI177">
        <v>91.634060695319306</v>
      </c>
      <c r="AJ177">
        <v>85.991221090348702</v>
      </c>
      <c r="AK177">
        <v>40.640382621376602</v>
      </c>
      <c r="AL177">
        <v>80.148200722951103</v>
      </c>
      <c r="AM177">
        <v>87.042830134874905</v>
      </c>
      <c r="AN177">
        <v>0.99999996979059502</v>
      </c>
    </row>
    <row r="178" spans="1:40" x14ac:dyDescent="0.25">
      <c r="A178" t="str">
        <f>"20190312172613271"</f>
        <v>20190312172613271</v>
      </c>
      <c r="B178" t="str">
        <f>"1552382773258481"</f>
        <v>1552382773258481</v>
      </c>
      <c r="C178" t="s">
        <v>40</v>
      </c>
      <c r="D178">
        <v>3.2462209999999998</v>
      </c>
      <c r="E178">
        <v>0.50878909999999999</v>
      </c>
      <c r="F178" t="s">
        <v>43</v>
      </c>
      <c r="G178">
        <v>-415.75990000000002</v>
      </c>
      <c r="H178">
        <v>-0.05</v>
      </c>
      <c r="I178">
        <v>364.97500000000002</v>
      </c>
      <c r="J178">
        <v>-456.77710000000002</v>
      </c>
      <c r="K178">
        <v>1.1089009999999999</v>
      </c>
      <c r="L178">
        <v>367.38650000000001</v>
      </c>
      <c r="M178">
        <v>0.99991430000000003</v>
      </c>
      <c r="N178">
        <v>0</v>
      </c>
      <c r="O178">
        <v>1.2432550000000001E-2</v>
      </c>
      <c r="P178">
        <v>0.98505010000000004</v>
      </c>
      <c r="Q178">
        <v>0.1676453</v>
      </c>
      <c r="R178">
        <v>-3.9641259999999998E-2</v>
      </c>
      <c r="S178">
        <v>3.052673</v>
      </c>
      <c r="T178">
        <v>-8.5778240000000006E-2</v>
      </c>
      <c r="U178">
        <v>-0.17828369999999999</v>
      </c>
      <c r="V178">
        <v>5.1892689999999998E-2</v>
      </c>
      <c r="W178">
        <v>0.17169129999999999</v>
      </c>
      <c r="X178">
        <v>0.98378310000000002</v>
      </c>
      <c r="Y178">
        <v>7.0677429999999999E-2</v>
      </c>
      <c r="Z178">
        <v>-1.340964E-3</v>
      </c>
      <c r="AA178">
        <v>0.99749829999999995</v>
      </c>
      <c r="AB178">
        <v>23</v>
      </c>
      <c r="AC178">
        <v>41.017200000000003</v>
      </c>
      <c r="AD178">
        <v>-1.158901</v>
      </c>
      <c r="AE178">
        <v>-2.4114999999999802</v>
      </c>
      <c r="AF178">
        <v>2.91894416145283</v>
      </c>
      <c r="AG178">
        <v>-1.158901</v>
      </c>
      <c r="AH178">
        <v>40.951469961091803</v>
      </c>
      <c r="AI178">
        <v>91.616902102541303</v>
      </c>
      <c r="AJ178">
        <v>85.922959269028098</v>
      </c>
      <c r="AK178">
        <v>41.071719936224802</v>
      </c>
      <c r="AL178">
        <v>80.113830321161103</v>
      </c>
      <c r="AM178">
        <v>86.980554775966795</v>
      </c>
      <c r="AN178">
        <v>0.999999970808367</v>
      </c>
    </row>
    <row r="179" spans="1:40" x14ac:dyDescent="0.25">
      <c r="A179" t="str">
        <f>"20190312172613294"</f>
        <v>20190312172613294</v>
      </c>
      <c r="B179" t="str">
        <f>"1552382773288737"</f>
        <v>1552382773288737</v>
      </c>
      <c r="C179" t="s">
        <v>40</v>
      </c>
      <c r="D179">
        <v>3.2805399999999998</v>
      </c>
      <c r="E179">
        <v>0.50878729999999905</v>
      </c>
      <c r="F179" t="s">
        <v>43</v>
      </c>
      <c r="G179">
        <v>-414.52030000000002</v>
      </c>
      <c r="H179">
        <v>-0.05</v>
      </c>
      <c r="I179">
        <v>364.87270000000001</v>
      </c>
      <c r="J179">
        <v>-456.53379999999999</v>
      </c>
      <c r="K179">
        <v>1.108903</v>
      </c>
      <c r="L179">
        <v>367.3895</v>
      </c>
      <c r="M179">
        <v>0.99991419999999998</v>
      </c>
      <c r="N179">
        <v>0</v>
      </c>
      <c r="O179">
        <v>1.242879E-2</v>
      </c>
      <c r="P179">
        <v>0.98495330000000003</v>
      </c>
      <c r="Q179">
        <v>0.1681087</v>
      </c>
      <c r="R179">
        <v>-4.0080159999999997E-2</v>
      </c>
      <c r="S179">
        <v>3.0524290000000001</v>
      </c>
      <c r="T179">
        <v>-8.3713410000000002E-2</v>
      </c>
      <c r="U179">
        <v>-0.18157960000000001</v>
      </c>
      <c r="V179">
        <v>5.2326610000000003E-2</v>
      </c>
      <c r="W179">
        <v>0.17218549999999999</v>
      </c>
      <c r="X179">
        <v>0.98367380000000004</v>
      </c>
      <c r="Y179">
        <v>7.1752780000000002E-2</v>
      </c>
      <c r="Z179">
        <v>-1.32338799999999E-3</v>
      </c>
      <c r="AA179">
        <v>0.99742160000000002</v>
      </c>
      <c r="AB179">
        <v>24</v>
      </c>
      <c r="AC179">
        <v>42.013499999999901</v>
      </c>
      <c r="AD179">
        <v>-1.158903</v>
      </c>
      <c r="AE179">
        <v>-2.5167999999999799</v>
      </c>
      <c r="AF179">
        <v>3.0364848952791799</v>
      </c>
      <c r="AG179">
        <v>-1.158903</v>
      </c>
      <c r="AH179">
        <v>41.947171100235103</v>
      </c>
      <c r="AI179">
        <v>91.578418859697294</v>
      </c>
      <c r="AJ179">
        <v>85.859677034927401</v>
      </c>
      <c r="AK179">
        <v>42.0728945996715</v>
      </c>
      <c r="AL179">
        <v>80.085087306517906</v>
      </c>
      <c r="AM179">
        <v>86.955016203691997</v>
      </c>
      <c r="AN179">
        <v>1.0000000326653899</v>
      </c>
    </row>
    <row r="180" spans="1:40" x14ac:dyDescent="0.25">
      <c r="A180" t="str">
        <f>"20190312172613316"</f>
        <v>20190312172613316</v>
      </c>
      <c r="B180" t="str">
        <f>"1552382773309233"</f>
        <v>1552382773309233</v>
      </c>
      <c r="C180" t="s">
        <v>40</v>
      </c>
      <c r="D180">
        <v>3.2488610000000002</v>
      </c>
      <c r="E180">
        <v>0.50870130000000002</v>
      </c>
      <c r="F180" t="s">
        <v>43</v>
      </c>
      <c r="G180">
        <v>-413.80459999999999</v>
      </c>
      <c r="H180">
        <v>-0.05</v>
      </c>
      <c r="I180">
        <v>364.82510000000002</v>
      </c>
      <c r="J180">
        <v>-456.30239999999998</v>
      </c>
      <c r="K180">
        <v>1.108911</v>
      </c>
      <c r="L180">
        <v>367.39240000000001</v>
      </c>
      <c r="M180">
        <v>0.99991410000000003</v>
      </c>
      <c r="N180">
        <v>0</v>
      </c>
      <c r="O180">
        <v>1.2425210000000001E-2</v>
      </c>
      <c r="P180">
        <v>0.98487800000000003</v>
      </c>
      <c r="Q180">
        <v>0.1683598</v>
      </c>
      <c r="R180">
        <v>-4.0873319999999998E-2</v>
      </c>
      <c r="S180">
        <v>3.05246</v>
      </c>
      <c r="T180">
        <v>-8.2789059999999998E-2</v>
      </c>
      <c r="U180">
        <v>-0.183197</v>
      </c>
      <c r="V180">
        <v>5.3115269999999999E-2</v>
      </c>
      <c r="W180">
        <v>0.17246639999999999</v>
      </c>
      <c r="X180">
        <v>0.98358230000000002</v>
      </c>
      <c r="Y180">
        <v>7.2275740000000005E-2</v>
      </c>
      <c r="Z180">
        <v>-1.315734E-3</v>
      </c>
      <c r="AA180">
        <v>0.99738380000000004</v>
      </c>
      <c r="AB180">
        <v>24</v>
      </c>
      <c r="AC180">
        <v>42.497799999999899</v>
      </c>
      <c r="AD180">
        <v>-1.158911</v>
      </c>
      <c r="AE180">
        <v>-2.5672999999999799</v>
      </c>
      <c r="AF180">
        <v>3.0928588623912399</v>
      </c>
      <c r="AG180">
        <v>-1.158911</v>
      </c>
      <c r="AH180">
        <v>42.431180648873301</v>
      </c>
      <c r="AI180">
        <v>91.560376992449505</v>
      </c>
      <c r="AJ180">
        <v>85.831015984780095</v>
      </c>
      <c r="AK180">
        <v>42.559534089389601</v>
      </c>
      <c r="AL180">
        <v>80.068748325966297</v>
      </c>
      <c r="AM180">
        <v>86.908923948936902</v>
      </c>
      <c r="AN180">
        <v>1.00000001595471</v>
      </c>
    </row>
    <row r="181" spans="1:40" x14ac:dyDescent="0.25">
      <c r="A181" t="str">
        <f>"20190312172613340"</f>
        <v>20190312172613340</v>
      </c>
      <c r="B181" t="str">
        <f>"1552382773328753"</f>
        <v>1552382773328753</v>
      </c>
      <c r="C181" t="s">
        <v>40</v>
      </c>
      <c r="D181">
        <v>3.2417660000000001</v>
      </c>
      <c r="E181">
        <v>0.50860950000000005</v>
      </c>
      <c r="F181" t="s">
        <v>43</v>
      </c>
      <c r="G181">
        <v>-413.0455</v>
      </c>
      <c r="H181">
        <v>-0.05</v>
      </c>
      <c r="I181">
        <v>364.76760000000002</v>
      </c>
      <c r="J181">
        <v>-456.03989999999999</v>
      </c>
      <c r="K181">
        <v>1.108914</v>
      </c>
      <c r="L181">
        <v>367.3956</v>
      </c>
      <c r="M181">
        <v>0.99991410000000003</v>
      </c>
      <c r="N181">
        <v>0</v>
      </c>
      <c r="O181">
        <v>1.2421140000000001E-2</v>
      </c>
      <c r="P181">
        <v>0.98485400000000001</v>
      </c>
      <c r="Q181">
        <v>0.1683742</v>
      </c>
      <c r="R181">
        <v>-4.138824E-2</v>
      </c>
      <c r="S181">
        <v>3.0523989999999999</v>
      </c>
      <c r="T181">
        <v>-8.1777810000000006E-2</v>
      </c>
      <c r="U181">
        <v>-0.18521119999999999</v>
      </c>
      <c r="V181">
        <v>5.3625779999999998E-2</v>
      </c>
      <c r="W181">
        <v>0.17251520000000001</v>
      </c>
      <c r="X181">
        <v>0.98354600000000003</v>
      </c>
      <c r="Y181">
        <v>7.292912E-2</v>
      </c>
      <c r="Z181">
        <v>-1.308303E-3</v>
      </c>
      <c r="AA181">
        <v>0.99733629999999995</v>
      </c>
      <c r="AB181">
        <v>24</v>
      </c>
      <c r="AC181">
        <v>42.994399999999899</v>
      </c>
      <c r="AD181">
        <v>-1.158914</v>
      </c>
      <c r="AE181">
        <v>-2.6279999999999801</v>
      </c>
      <c r="AF181">
        <v>3.1595542965799699</v>
      </c>
      <c r="AG181">
        <v>-1.158914</v>
      </c>
      <c r="AH181">
        <v>42.927366358944603</v>
      </c>
      <c r="AI181">
        <v>91.542273902914104</v>
      </c>
      <c r="AJ181">
        <v>85.790487431610202</v>
      </c>
      <c r="AK181">
        <v>43.059083217452297</v>
      </c>
      <c r="AL181">
        <v>80.065909347054799</v>
      </c>
      <c r="AM181">
        <v>86.879157998145999</v>
      </c>
      <c r="AN181">
        <v>0.99999997631382398</v>
      </c>
    </row>
    <row r="182" spans="1:40" x14ac:dyDescent="0.25">
      <c r="A182" t="str">
        <f>"20190312172613363"</f>
        <v>20190312172613363</v>
      </c>
      <c r="B182" t="str">
        <f>"1552382773358583"</f>
        <v>1552382773358583</v>
      </c>
      <c r="C182" t="s">
        <v>40</v>
      </c>
      <c r="D182">
        <v>3.2496719999999999</v>
      </c>
      <c r="E182">
        <v>0.53099830000000003</v>
      </c>
      <c r="F182" t="s">
        <v>43</v>
      </c>
      <c r="G182">
        <v>-412.53339999999997</v>
      </c>
      <c r="H182">
        <v>-0.05</v>
      </c>
      <c r="I182">
        <v>364.74349999999998</v>
      </c>
      <c r="J182">
        <v>-455.7946</v>
      </c>
      <c r="K182">
        <v>1.1089169999999999</v>
      </c>
      <c r="L182">
        <v>367.39870000000002</v>
      </c>
      <c r="M182">
        <v>0.99991410000000003</v>
      </c>
      <c r="N182">
        <v>0</v>
      </c>
      <c r="O182">
        <v>1.241737E-2</v>
      </c>
      <c r="P182">
        <v>0.98478189999999999</v>
      </c>
      <c r="Q182">
        <v>0.16861579999999901</v>
      </c>
      <c r="R182">
        <v>-4.21114E-2</v>
      </c>
      <c r="S182">
        <v>3.0522459999999998</v>
      </c>
      <c r="T182">
        <v>-8.1304790000000002E-2</v>
      </c>
      <c r="U182">
        <v>-0.1860657</v>
      </c>
      <c r="V182">
        <v>5.4344629999999998E-2</v>
      </c>
      <c r="W182">
        <v>0.1727881</v>
      </c>
      <c r="X182">
        <v>0.98345859999999996</v>
      </c>
      <c r="Y182">
        <v>7.3206800000000002E-2</v>
      </c>
      <c r="Z182">
        <v>-1.304386E-3</v>
      </c>
      <c r="AA182">
        <v>0.99731590000000003</v>
      </c>
      <c r="AB182">
        <v>24</v>
      </c>
      <c r="AC182">
        <v>43.261200000000002</v>
      </c>
      <c r="AD182">
        <v>-1.158917</v>
      </c>
      <c r="AE182">
        <v>-2.65520000000003</v>
      </c>
      <c r="AF182">
        <v>3.1899097187734702</v>
      </c>
      <c r="AG182">
        <v>-1.158917</v>
      </c>
      <c r="AH182">
        <v>43.194012191660597</v>
      </c>
      <c r="AI182">
        <v>91.532733733574602</v>
      </c>
      <c r="AJ182">
        <v>85.776331740902705</v>
      </c>
      <c r="AK182">
        <v>43.327142784173297</v>
      </c>
      <c r="AL182">
        <v>80.050034597853895</v>
      </c>
      <c r="AM182">
        <v>86.837127192859896</v>
      </c>
      <c r="AN182">
        <v>0.99999994211270105</v>
      </c>
    </row>
    <row r="183" spans="1:40" x14ac:dyDescent="0.25">
      <c r="A183" t="str">
        <f>"20190312172613385"</f>
        <v>20190312172613385</v>
      </c>
      <c r="B183" t="str">
        <f>"1552382773379079"</f>
        <v>1552382773379079</v>
      </c>
      <c r="C183" t="s">
        <v>40</v>
      </c>
      <c r="D183">
        <v>3.232316</v>
      </c>
      <c r="E183">
        <v>0.53691350000000004</v>
      </c>
      <c r="F183" t="s">
        <v>43</v>
      </c>
      <c r="G183">
        <v>-417.47980000000001</v>
      </c>
      <c r="H183">
        <v>-0.05</v>
      </c>
      <c r="I183">
        <v>362.79169999999999</v>
      </c>
      <c r="J183">
        <v>-455.54759999999999</v>
      </c>
      <c r="K183">
        <v>1.1089150000000001</v>
      </c>
      <c r="L183">
        <v>367.40170000000001</v>
      </c>
      <c r="M183">
        <v>0.99991390000000002</v>
      </c>
      <c r="N183">
        <v>0</v>
      </c>
      <c r="O183">
        <v>1.241277E-2</v>
      </c>
      <c r="P183">
        <v>0.98470519999999995</v>
      </c>
      <c r="Q183">
        <v>0.16890939999999999</v>
      </c>
      <c r="R183">
        <v>-4.27255E-2</v>
      </c>
      <c r="S183">
        <v>3.0464479999999998</v>
      </c>
      <c r="T183">
        <v>-9.2146870000000006E-2</v>
      </c>
      <c r="U183">
        <v>-0.36630249999999998</v>
      </c>
      <c r="V183">
        <v>5.4953380000000003E-2</v>
      </c>
      <c r="W183">
        <v>0.17311360000000001</v>
      </c>
      <c r="X183">
        <v>0.98336760000000001</v>
      </c>
      <c r="Y183">
        <v>0.13162929999999901</v>
      </c>
      <c r="Z183">
        <v>-2.3572110000000001E-3</v>
      </c>
      <c r="AA183">
        <v>0.99129619999999996</v>
      </c>
      <c r="AB183">
        <v>24</v>
      </c>
      <c r="AC183">
        <v>38.067799999999899</v>
      </c>
      <c r="AD183">
        <v>-1.1589149999999999</v>
      </c>
      <c r="AE183">
        <v>-4.6100000000000101</v>
      </c>
      <c r="AF183">
        <v>5.0775380941369797</v>
      </c>
      <c r="AG183">
        <v>-1.1589149999999999</v>
      </c>
      <c r="AH183">
        <v>37.972958953213897</v>
      </c>
      <c r="AI183">
        <v>91.732683163827403</v>
      </c>
      <c r="AJ183">
        <v>82.383895673451605</v>
      </c>
      <c r="AK183">
        <v>38.328450121771198</v>
      </c>
      <c r="AL183">
        <v>80.031100206820696</v>
      </c>
      <c r="AM183">
        <v>86.801475566939203</v>
      </c>
      <c r="AN183">
        <v>1.00000001460407</v>
      </c>
    </row>
    <row r="184" spans="1:40" x14ac:dyDescent="0.25">
      <c r="A184" t="str">
        <f>"20190312172613406"</f>
        <v>20190312172613406</v>
      </c>
      <c r="B184" t="str">
        <f>"1552382773398599"</f>
        <v>1552382773398599</v>
      </c>
      <c r="C184" t="s">
        <v>40</v>
      </c>
      <c r="D184">
        <v>3.2267510000000001</v>
      </c>
      <c r="E184">
        <v>0.53983579999999998</v>
      </c>
      <c r="F184" t="s">
        <v>43</v>
      </c>
      <c r="G184">
        <v>-415.67720000000003</v>
      </c>
      <c r="H184">
        <v>-0.05</v>
      </c>
      <c r="I184">
        <v>361.95769999999999</v>
      </c>
      <c r="J184">
        <v>-455.32499999999999</v>
      </c>
      <c r="K184">
        <v>1.1089169999999999</v>
      </c>
      <c r="L184">
        <v>367.40449999999998</v>
      </c>
      <c r="M184">
        <v>0.99991379999999996</v>
      </c>
      <c r="N184">
        <v>0</v>
      </c>
      <c r="O184">
        <v>1.240751E-2</v>
      </c>
      <c r="P184">
        <v>0.98464050000000003</v>
      </c>
      <c r="Q184">
        <v>0.16911579999999901</v>
      </c>
      <c r="R184">
        <v>-4.3393439999999998E-2</v>
      </c>
      <c r="S184">
        <v>3.0436709999999998</v>
      </c>
      <c r="T184">
        <v>-8.8470460000000001E-2</v>
      </c>
      <c r="U184">
        <v>-0.41558840000000002</v>
      </c>
      <c r="V184">
        <v>5.561547E-2</v>
      </c>
      <c r="W184">
        <v>0.173348799999999</v>
      </c>
      <c r="X184">
        <v>0.98328890000000002</v>
      </c>
      <c r="Y184">
        <v>0.14750339999999901</v>
      </c>
      <c r="Z184">
        <v>-2.4923800000000002E-3</v>
      </c>
      <c r="AA184">
        <v>0.9890584</v>
      </c>
      <c r="AB184">
        <v>24</v>
      </c>
      <c r="AC184">
        <v>39.647799999999897</v>
      </c>
      <c r="AD184">
        <v>-1.158917</v>
      </c>
      <c r="AE184">
        <v>-5.4467999999999899</v>
      </c>
      <c r="AF184">
        <v>5.9333401293135299</v>
      </c>
      <c r="AG184">
        <v>-1.158917</v>
      </c>
      <c r="AH184">
        <v>39.544005207695797</v>
      </c>
      <c r="AI184">
        <v>91.660115457582506</v>
      </c>
      <c r="AJ184">
        <v>81.466769699612797</v>
      </c>
      <c r="AK184">
        <v>40.003449370889101</v>
      </c>
      <c r="AL184">
        <v>80.017416961056398</v>
      </c>
      <c r="AM184">
        <v>86.762761997944594</v>
      </c>
      <c r="AN184">
        <v>0.99999997391398499</v>
      </c>
    </row>
    <row r="185" spans="1:40" x14ac:dyDescent="0.25">
      <c r="A185" t="str">
        <f>"20190312172613429"</f>
        <v>20190312172613429</v>
      </c>
      <c r="B185" t="str">
        <f>"1552382773419096"</f>
        <v>1552382773419096</v>
      </c>
      <c r="C185" t="s">
        <v>40</v>
      </c>
      <c r="D185">
        <v>3.220072</v>
      </c>
      <c r="E185">
        <v>0.54158439999999997</v>
      </c>
      <c r="F185" t="s">
        <v>43</v>
      </c>
      <c r="G185">
        <v>-413.9624</v>
      </c>
      <c r="H185">
        <v>-0.05</v>
      </c>
      <c r="I185">
        <v>361.40809999999999</v>
      </c>
      <c r="J185">
        <v>-455.07420000000002</v>
      </c>
      <c r="K185">
        <v>1.108919</v>
      </c>
      <c r="L185">
        <v>367.4076</v>
      </c>
      <c r="M185">
        <v>0.99991379999999996</v>
      </c>
      <c r="N185">
        <v>0</v>
      </c>
      <c r="O185">
        <v>1.2398009999999999E-2</v>
      </c>
      <c r="P185">
        <v>0.98456469999999896</v>
      </c>
      <c r="Q185">
        <v>0.1693192</v>
      </c>
      <c r="R185">
        <v>-4.4310639999999998E-2</v>
      </c>
      <c r="S185">
        <v>3.0420229999999999</v>
      </c>
      <c r="T185">
        <v>-8.5232970000000005E-2</v>
      </c>
      <c r="U185">
        <v>-0.4410095</v>
      </c>
      <c r="V185">
        <v>5.6523209999999997E-2</v>
      </c>
      <c r="W185">
        <v>0.17358409999999999</v>
      </c>
      <c r="X185">
        <v>0.98319570000000001</v>
      </c>
      <c r="Y185">
        <v>0.15566679999999999</v>
      </c>
      <c r="Z185">
        <v>-2.5145929999999999E-3</v>
      </c>
      <c r="AA185">
        <v>0.98780639999999997</v>
      </c>
      <c r="AB185">
        <v>24</v>
      </c>
      <c r="AC185">
        <v>41.111800000000002</v>
      </c>
      <c r="AD185">
        <v>-1.158919</v>
      </c>
      <c r="AE185">
        <v>-5.99950000000001</v>
      </c>
      <c r="AF185">
        <v>6.5036877907061896</v>
      </c>
      <c r="AG185">
        <v>-1.158919</v>
      </c>
      <c r="AH185">
        <v>41.002354687837602</v>
      </c>
      <c r="AI185">
        <v>91.599036674735004</v>
      </c>
      <c r="AJ185">
        <v>80.986978280204994</v>
      </c>
      <c r="AK185">
        <v>41.531122523654197</v>
      </c>
      <c r="AL185">
        <v>80.0037284879715</v>
      </c>
      <c r="AM185">
        <v>86.709728669004704</v>
      </c>
      <c r="AN185">
        <v>1.00000004877</v>
      </c>
    </row>
    <row r="186" spans="1:40" x14ac:dyDescent="0.25">
      <c r="A186" t="str">
        <f>"20190312172613450"</f>
        <v>20190312172613450</v>
      </c>
      <c r="B186" t="str">
        <f>"1552382773438618"</f>
        <v>1552382773438618</v>
      </c>
      <c r="C186" t="s">
        <v>40</v>
      </c>
      <c r="D186">
        <v>3.2100089999999999</v>
      </c>
      <c r="E186">
        <v>0.54241879999999998</v>
      </c>
      <c r="F186" t="s">
        <v>43</v>
      </c>
      <c r="G186">
        <v>-413.93270000000001</v>
      </c>
      <c r="H186">
        <v>-0.05</v>
      </c>
      <c r="I186">
        <v>361.21039999999999</v>
      </c>
      <c r="J186">
        <v>-454.8356</v>
      </c>
      <c r="K186">
        <v>1.1089230000000001</v>
      </c>
      <c r="L186">
        <v>367.41050000000001</v>
      </c>
      <c r="M186">
        <v>0.99991379999999996</v>
      </c>
      <c r="N186">
        <v>0</v>
      </c>
      <c r="O186">
        <v>1.238355E-2</v>
      </c>
      <c r="P186">
        <v>0.98436179999999995</v>
      </c>
      <c r="Q186">
        <v>0.17017119999999999</v>
      </c>
      <c r="R186">
        <v>-4.5540320000000002E-2</v>
      </c>
      <c r="S186">
        <v>3.0411679999999999</v>
      </c>
      <c r="T186">
        <v>-8.5667129999999994E-2</v>
      </c>
      <c r="U186">
        <v>-0.45809939999999999</v>
      </c>
      <c r="V186">
        <v>5.773768E-2</v>
      </c>
      <c r="W186">
        <v>0.17446600000000001</v>
      </c>
      <c r="X186">
        <v>0.98296899999999998</v>
      </c>
      <c r="Y186">
        <v>0.16111909999999999</v>
      </c>
      <c r="Z186">
        <v>-2.6030129999999999E-3</v>
      </c>
      <c r="AA186">
        <v>0.98693160000000002</v>
      </c>
      <c r="AB186">
        <v>25</v>
      </c>
      <c r="AC186">
        <v>40.902899999999903</v>
      </c>
      <c r="AD186">
        <v>-1.1589229999999999</v>
      </c>
      <c r="AE186">
        <v>-6.2001000000000097</v>
      </c>
      <c r="AF186">
        <v>6.7008939291431604</v>
      </c>
      <c r="AG186">
        <v>-1.1589229999999999</v>
      </c>
      <c r="AH186">
        <v>40.790972563208399</v>
      </c>
      <c r="AI186">
        <v>91.605895062552094</v>
      </c>
      <c r="AJ186">
        <v>80.671117041335904</v>
      </c>
      <c r="AK186">
        <v>41.353942068706999</v>
      </c>
      <c r="AL186">
        <v>79.952416290859503</v>
      </c>
      <c r="AM186">
        <v>86.638420214121794</v>
      </c>
      <c r="AN186">
        <v>1.00000003990439</v>
      </c>
    </row>
    <row r="187" spans="1:40" x14ac:dyDescent="0.25">
      <c r="A187" t="str">
        <f>"20190312172613471"</f>
        <v>20190312172613471</v>
      </c>
      <c r="B187" t="str">
        <f>"1552382773468871"</f>
        <v>1552382773468871</v>
      </c>
      <c r="C187" t="s">
        <v>40</v>
      </c>
      <c r="D187">
        <v>3.1825130000000001</v>
      </c>
      <c r="E187">
        <v>0.54335040000000001</v>
      </c>
      <c r="F187" t="s">
        <v>43</v>
      </c>
      <c r="G187">
        <v>-411.827</v>
      </c>
      <c r="H187">
        <v>-0.05</v>
      </c>
      <c r="I187">
        <v>360.77820000000003</v>
      </c>
      <c r="J187">
        <v>-454.5917</v>
      </c>
      <c r="K187">
        <v>1.1089230000000001</v>
      </c>
      <c r="L187">
        <v>367.4135</v>
      </c>
      <c r="M187">
        <v>0.99991399999999997</v>
      </c>
      <c r="N187">
        <v>0</v>
      </c>
      <c r="O187">
        <v>1.2363310000000001E-2</v>
      </c>
      <c r="P187">
        <v>0.9843404</v>
      </c>
      <c r="Q187">
        <v>0.17004359999999999</v>
      </c>
      <c r="R187">
        <v>-4.6470339999999999E-2</v>
      </c>
      <c r="S187">
        <v>3.0400999999999998</v>
      </c>
      <c r="T187">
        <v>-8.1919309999999995E-2</v>
      </c>
      <c r="U187">
        <v>-0.46881099999999998</v>
      </c>
      <c r="V187">
        <v>5.8649359999999998E-2</v>
      </c>
      <c r="W187">
        <v>0.1743692</v>
      </c>
      <c r="X187">
        <v>0.98293220000000003</v>
      </c>
      <c r="Y187">
        <v>0.16455220000000001</v>
      </c>
      <c r="Z187">
        <v>-2.534817E-3</v>
      </c>
      <c r="AA187">
        <v>0.98636509999999999</v>
      </c>
      <c r="AB187">
        <v>25</v>
      </c>
      <c r="AC187">
        <v>42.764699999999998</v>
      </c>
      <c r="AD187">
        <v>-1.1589229999999999</v>
      </c>
      <c r="AE187">
        <v>-6.6352999999999698</v>
      </c>
      <c r="AF187">
        <v>7.1583775726749304</v>
      </c>
      <c r="AG187">
        <v>-1.1589229999999999</v>
      </c>
      <c r="AH187">
        <v>42.648811056159701</v>
      </c>
      <c r="AI187">
        <v>91.535088780000706</v>
      </c>
      <c r="AJ187">
        <v>80.472017368303199</v>
      </c>
      <c r="AK187">
        <v>43.2609125712452</v>
      </c>
      <c r="AL187">
        <v>79.958048835662794</v>
      </c>
      <c r="AM187">
        <v>86.585337831163002</v>
      </c>
      <c r="AN187">
        <v>1.00000003756694</v>
      </c>
    </row>
    <row r="188" spans="1:40" x14ac:dyDescent="0.25">
      <c r="A188" t="str">
        <f>"20190312172613494"</f>
        <v>20190312172613494</v>
      </c>
      <c r="B188" t="str">
        <f>"1552382773488391"</f>
        <v>1552382773488391</v>
      </c>
      <c r="C188" t="s">
        <v>40</v>
      </c>
      <c r="D188">
        <v>3.203792</v>
      </c>
      <c r="E188">
        <v>0.54413619999999996</v>
      </c>
      <c r="F188" t="s">
        <v>43</v>
      </c>
      <c r="G188">
        <v>-412.00850000000003</v>
      </c>
      <c r="H188">
        <v>-0.05</v>
      </c>
      <c r="I188">
        <v>360.7056</v>
      </c>
      <c r="J188">
        <v>-454.34199999999998</v>
      </c>
      <c r="K188">
        <v>1.1089209999999901</v>
      </c>
      <c r="L188">
        <v>367.41660000000002</v>
      </c>
      <c r="M188">
        <v>0.99991430000000003</v>
      </c>
      <c r="N188">
        <v>0</v>
      </c>
      <c r="O188">
        <v>1.233423E-2</v>
      </c>
      <c r="P188">
        <v>0.9843189</v>
      </c>
      <c r="Q188">
        <v>0.170021799999999</v>
      </c>
      <c r="R188">
        <v>-4.7003330000000003E-2</v>
      </c>
      <c r="S188">
        <v>3.0394589999999999</v>
      </c>
      <c r="T188">
        <v>-8.2720279999999993E-2</v>
      </c>
      <c r="U188">
        <v>-0.4787903</v>
      </c>
      <c r="V188">
        <v>5.9155970000000002E-2</v>
      </c>
      <c r="W188">
        <v>0.1743796</v>
      </c>
      <c r="X188">
        <v>0.9829</v>
      </c>
      <c r="Y188">
        <v>0.16771329999999901</v>
      </c>
      <c r="Z188">
        <v>-2.6014419999999998E-3</v>
      </c>
      <c r="AA188">
        <v>0.98583240000000005</v>
      </c>
      <c r="AB188">
        <v>25</v>
      </c>
      <c r="AC188">
        <v>42.333499999999901</v>
      </c>
      <c r="AD188">
        <v>-1.1589210000000001</v>
      </c>
      <c r="AE188">
        <v>-6.7110000000000101</v>
      </c>
      <c r="AF188">
        <v>7.2273619211106803</v>
      </c>
      <c r="AG188">
        <v>-1.1589210000000001</v>
      </c>
      <c r="AH188">
        <v>42.2166404392514</v>
      </c>
      <c r="AI188">
        <v>91.5499371215124</v>
      </c>
      <c r="AJ188">
        <v>80.285311582886095</v>
      </c>
      <c r="AK188">
        <v>42.846500302825199</v>
      </c>
      <c r="AL188">
        <v>79.957443731745698</v>
      </c>
      <c r="AM188">
        <v>86.555800303408702</v>
      </c>
      <c r="AN188">
        <v>1.0000000418413899</v>
      </c>
    </row>
    <row r="189" spans="1:40" x14ac:dyDescent="0.25">
      <c r="A189" t="str">
        <f>"20190312172613517"</f>
        <v>20190312172613517</v>
      </c>
      <c r="B189" t="str">
        <f>"1552382773508887"</f>
        <v>1552382773508887</v>
      </c>
      <c r="C189" t="s">
        <v>40</v>
      </c>
      <c r="D189">
        <v>3.246454</v>
      </c>
      <c r="E189">
        <v>0.54447349999999906</v>
      </c>
      <c r="F189" t="s">
        <v>43</v>
      </c>
      <c r="G189">
        <v>-413.26639999999998</v>
      </c>
      <c r="H189">
        <v>-0.05</v>
      </c>
      <c r="I189">
        <v>360.83440000000002</v>
      </c>
      <c r="J189">
        <v>-454.08429999999998</v>
      </c>
      <c r="K189">
        <v>1.1089100000000001</v>
      </c>
      <c r="L189">
        <v>367.41969999999998</v>
      </c>
      <c r="M189">
        <v>0.99991450000000004</v>
      </c>
      <c r="N189">
        <v>0</v>
      </c>
      <c r="O189">
        <v>1.229071E-2</v>
      </c>
      <c r="P189">
        <v>0.98420569999999996</v>
      </c>
      <c r="Q189">
        <v>0.1705227</v>
      </c>
      <c r="R189">
        <v>-4.755409E-2</v>
      </c>
      <c r="S189">
        <v>3.039307</v>
      </c>
      <c r="T189">
        <v>-8.5752010000000004E-2</v>
      </c>
      <c r="U189">
        <v>-0.48703000000000002</v>
      </c>
      <c r="V189">
        <v>5.9666190000000001E-2</v>
      </c>
      <c r="W189">
        <v>0.1749125</v>
      </c>
      <c r="X189">
        <v>0.98277440000000005</v>
      </c>
      <c r="Y189">
        <v>0.1702784</v>
      </c>
      <c r="Z189">
        <v>-2.7310440000000002E-3</v>
      </c>
      <c r="AA189">
        <v>0.98539219999999905</v>
      </c>
      <c r="AB189">
        <v>25</v>
      </c>
      <c r="AC189">
        <v>40.817900000000002</v>
      </c>
      <c r="AD189">
        <v>-1.1589100000000001</v>
      </c>
      <c r="AE189">
        <v>-6.5852999999999602</v>
      </c>
      <c r="AF189">
        <v>7.0809252985104996</v>
      </c>
      <c r="AG189">
        <v>-1.1589100000000001</v>
      </c>
      <c r="AH189">
        <v>40.701899844502002</v>
      </c>
      <c r="AI189">
        <v>91.606827162758805</v>
      </c>
      <c r="AJ189">
        <v>80.131003960026106</v>
      </c>
      <c r="AK189">
        <v>41.329495840417103</v>
      </c>
      <c r="AL189">
        <v>79.926433596760702</v>
      </c>
      <c r="AM189">
        <v>86.525723657714394</v>
      </c>
      <c r="AN189">
        <v>0.99999997909036198</v>
      </c>
    </row>
    <row r="190" spans="1:40" x14ac:dyDescent="0.25">
      <c r="A190" t="str">
        <f>"20190312172613540"</f>
        <v>20190312172613540</v>
      </c>
      <c r="B190" t="str">
        <f>"1552382773528407"</f>
        <v>1552382773528407</v>
      </c>
      <c r="C190" t="s">
        <v>40</v>
      </c>
      <c r="D190">
        <v>3.2057799999999999</v>
      </c>
      <c r="E190">
        <v>0.54475819999999997</v>
      </c>
      <c r="F190" t="s">
        <v>43</v>
      </c>
      <c r="G190">
        <v>-412.90410000000003</v>
      </c>
      <c r="H190">
        <v>-0.05</v>
      </c>
      <c r="I190">
        <v>360.76190000000003</v>
      </c>
      <c r="J190">
        <v>-453.83100000000002</v>
      </c>
      <c r="K190">
        <v>1.108903</v>
      </c>
      <c r="L190">
        <v>367.4228</v>
      </c>
      <c r="M190">
        <v>0.99991509999999995</v>
      </c>
      <c r="N190">
        <v>0</v>
      </c>
      <c r="O190">
        <v>1.222941E-2</v>
      </c>
      <c r="P190">
        <v>0.98424129999999999</v>
      </c>
      <c r="Q190">
        <v>0.17024639999999999</v>
      </c>
      <c r="R190">
        <v>-4.7808570000000002E-2</v>
      </c>
      <c r="S190">
        <v>3.039215</v>
      </c>
      <c r="T190">
        <v>-8.5530759999999997E-2</v>
      </c>
      <c r="U190">
        <v>-0.49136350000000001</v>
      </c>
      <c r="V190">
        <v>5.986578E-2</v>
      </c>
      <c r="W190">
        <v>0.17466779999999901</v>
      </c>
      <c r="X190">
        <v>0.98280579999999995</v>
      </c>
      <c r="Y190">
        <v>0.17159189999999999</v>
      </c>
      <c r="Z190">
        <v>-2.7404209999999998E-3</v>
      </c>
      <c r="AA190">
        <v>0.98516429999999999</v>
      </c>
      <c r="AB190">
        <v>25</v>
      </c>
      <c r="AC190">
        <v>40.926899999999897</v>
      </c>
      <c r="AD190">
        <v>-1.158903</v>
      </c>
      <c r="AE190">
        <v>-6.6608999999999696</v>
      </c>
      <c r="AF190">
        <v>7.1553295446202902</v>
      </c>
      <c r="AG190">
        <v>-1.158903</v>
      </c>
      <c r="AH190">
        <v>40.810501384149603</v>
      </c>
      <c r="AI190">
        <v>91.602174566932305</v>
      </c>
      <c r="AJ190">
        <v>80.055376605059095</v>
      </c>
      <c r="AK190">
        <v>41.449231841871402</v>
      </c>
      <c r="AL190">
        <v>79.940673255442405</v>
      </c>
      <c r="AM190">
        <v>86.514241525964195</v>
      </c>
      <c r="AN190">
        <v>0.99999999624274405</v>
      </c>
    </row>
    <row r="191" spans="1:40" x14ac:dyDescent="0.25">
      <c r="A191" t="str">
        <f>"20190312172613563"</f>
        <v>20190312172613563</v>
      </c>
      <c r="B191" t="str">
        <f>"1552382773558664"</f>
        <v>1552382773558664</v>
      </c>
      <c r="C191" t="s">
        <v>40</v>
      </c>
      <c r="D191">
        <v>3.2688470000000001</v>
      </c>
      <c r="E191">
        <v>0.54487600000000003</v>
      </c>
      <c r="F191" t="s">
        <v>43</v>
      </c>
      <c r="G191">
        <v>-413.40359999999998</v>
      </c>
      <c r="H191">
        <v>-0.05</v>
      </c>
      <c r="I191">
        <v>360.85719999999998</v>
      </c>
      <c r="J191">
        <v>-453.5686</v>
      </c>
      <c r="K191">
        <v>1.108889</v>
      </c>
      <c r="L191">
        <v>367.42590000000001</v>
      </c>
      <c r="M191">
        <v>0.99991600000000003</v>
      </c>
      <c r="N191">
        <v>0</v>
      </c>
      <c r="O191">
        <v>1.214293E-2</v>
      </c>
      <c r="P191">
        <v>0.98426159999999996</v>
      </c>
      <c r="Q191">
        <v>0.17004729999999901</v>
      </c>
      <c r="R191">
        <v>-4.8093999999999998E-2</v>
      </c>
      <c r="S191">
        <v>3.0391240000000002</v>
      </c>
      <c r="T191">
        <v>-8.7120409999999995E-2</v>
      </c>
      <c r="U191">
        <v>-0.49356080000000002</v>
      </c>
      <c r="V191">
        <v>6.0073290000000001E-2</v>
      </c>
      <c r="W191">
        <v>0.1745012</v>
      </c>
      <c r="X191">
        <v>0.9828228</v>
      </c>
      <c r="Y191">
        <v>0.17220260000000001</v>
      </c>
      <c r="Z191">
        <v>-2.797487E-3</v>
      </c>
      <c r="AA191">
        <v>0.98505759999999998</v>
      </c>
      <c r="AB191">
        <v>25</v>
      </c>
      <c r="AC191">
        <v>40.164999999999999</v>
      </c>
      <c r="AD191">
        <v>-1.1588889999999901</v>
      </c>
      <c r="AE191">
        <v>-6.56870000000003</v>
      </c>
      <c r="AF191">
        <v>7.0502250146004801</v>
      </c>
      <c r="AG191">
        <v>-1.1588889999999901</v>
      </c>
      <c r="AH191">
        <v>40.049801345727701</v>
      </c>
      <c r="AI191">
        <v>91.632373736256696</v>
      </c>
      <c r="AJ191">
        <v>80.016144815806001</v>
      </c>
      <c r="AK191">
        <v>40.682124874483598</v>
      </c>
      <c r="AL191">
        <v>79.950368290115193</v>
      </c>
      <c r="AM191">
        <v>86.502249299755306</v>
      </c>
      <c r="AN191">
        <v>1.0000000625863501</v>
      </c>
    </row>
    <row r="192" spans="1:40" x14ac:dyDescent="0.25">
      <c r="A192" t="str">
        <f>"20190312172613587"</f>
        <v>20190312172613587</v>
      </c>
      <c r="B192" t="str">
        <f>"1552382773579159"</f>
        <v>1552382773579159</v>
      </c>
      <c r="C192" t="s">
        <v>40</v>
      </c>
      <c r="D192">
        <v>3.2604549999999999</v>
      </c>
      <c r="E192">
        <v>0.54479350000000004</v>
      </c>
      <c r="F192" t="s">
        <v>43</v>
      </c>
      <c r="G192">
        <v>-413.63229999999999</v>
      </c>
      <c r="H192">
        <v>-0.05</v>
      </c>
      <c r="I192">
        <v>360.9194</v>
      </c>
      <c r="J192">
        <v>-453.28809999999999</v>
      </c>
      <c r="K192">
        <v>1.1088659999999999</v>
      </c>
      <c r="L192">
        <v>367.42919999999998</v>
      </c>
      <c r="M192">
        <v>0.99991730000000001</v>
      </c>
      <c r="N192">
        <v>0</v>
      </c>
      <c r="O192">
        <v>1.2022919999999999E-2</v>
      </c>
      <c r="P192">
        <v>0.98431970000000002</v>
      </c>
      <c r="Q192">
        <v>0.1697082</v>
      </c>
      <c r="R192">
        <v>-4.8106219999999998E-2</v>
      </c>
      <c r="S192">
        <v>3.0389710000000001</v>
      </c>
      <c r="T192">
        <v>-8.8186029999999999E-2</v>
      </c>
      <c r="U192">
        <v>-0.49511719999999998</v>
      </c>
      <c r="V192">
        <v>5.9976380000000003E-2</v>
      </c>
      <c r="W192">
        <v>0.1741964</v>
      </c>
      <c r="X192">
        <v>0.9828827</v>
      </c>
      <c r="Y192">
        <v>0.1725817</v>
      </c>
      <c r="Z192">
        <v>-2.8337190000000002E-3</v>
      </c>
      <c r="AA192">
        <v>0.98499110000000001</v>
      </c>
      <c r="AB192">
        <v>25</v>
      </c>
      <c r="AC192">
        <v>39.655799999999999</v>
      </c>
      <c r="AD192">
        <v>-1.158866</v>
      </c>
      <c r="AE192">
        <v>-6.5097999999999798</v>
      </c>
      <c r="AF192">
        <v>6.9803082617139296</v>
      </c>
      <c r="AG192">
        <v>-1.158866</v>
      </c>
      <c r="AH192">
        <v>39.541783875990603</v>
      </c>
      <c r="AI192">
        <v>91.653162073774695</v>
      </c>
      <c r="AJ192">
        <v>79.988722994524494</v>
      </c>
      <c r="AK192">
        <v>40.169893526496402</v>
      </c>
      <c r="AL192">
        <v>79.968102810593194</v>
      </c>
      <c r="AM192">
        <v>86.508090177348507</v>
      </c>
      <c r="AN192">
        <v>0.99999997694507703</v>
      </c>
    </row>
    <row r="193" spans="1:40" x14ac:dyDescent="0.25">
      <c r="A193" t="str">
        <f>"20190312172613606"</f>
        <v>20190312172613606</v>
      </c>
      <c r="B193" t="str">
        <f>"1552382773598679"</f>
        <v>1552382773598679</v>
      </c>
      <c r="C193" t="s">
        <v>40</v>
      </c>
      <c r="D193">
        <v>3.2489180000000002</v>
      </c>
      <c r="E193">
        <v>0.5448115</v>
      </c>
      <c r="F193" t="s">
        <v>43</v>
      </c>
      <c r="G193">
        <v>-414.0566</v>
      </c>
      <c r="H193">
        <v>-0.05</v>
      </c>
      <c r="I193">
        <v>361.03339999999997</v>
      </c>
      <c r="J193">
        <v>-453.07389999999998</v>
      </c>
      <c r="K193">
        <v>1.1088530000000001</v>
      </c>
      <c r="L193">
        <v>367.4316</v>
      </c>
      <c r="M193">
        <v>0.99991850000000004</v>
      </c>
      <c r="N193">
        <v>0</v>
      </c>
      <c r="O193">
        <v>1.1910820000000001E-2</v>
      </c>
      <c r="P193">
        <v>0.98432779999999998</v>
      </c>
      <c r="Q193">
        <v>0.16956599999999999</v>
      </c>
      <c r="R193">
        <v>-4.8437790000000001E-2</v>
      </c>
      <c r="S193">
        <v>3.0391240000000002</v>
      </c>
      <c r="T193">
        <v>-8.97733E-2</v>
      </c>
      <c r="U193">
        <v>-0.49545289999999997</v>
      </c>
      <c r="V193">
        <v>6.0204580000000001E-2</v>
      </c>
      <c r="W193">
        <v>0.1740804</v>
      </c>
      <c r="X193">
        <v>0.98288929999999997</v>
      </c>
      <c r="Y193">
        <v>0.17256669999999999</v>
      </c>
      <c r="Z193">
        <v>-2.8810239999999998E-3</v>
      </c>
      <c r="AA193">
        <v>0.98499360000000002</v>
      </c>
      <c r="AB193">
        <v>25</v>
      </c>
      <c r="AC193">
        <v>39.017299999999899</v>
      </c>
      <c r="AD193">
        <v>-1.1588529999999999</v>
      </c>
      <c r="AE193">
        <v>-6.3982000000000303</v>
      </c>
      <c r="AF193">
        <v>6.8565889239397402</v>
      </c>
      <c r="AG193">
        <v>-1.1588529999999999</v>
      </c>
      <c r="AH193">
        <v>38.9049023556489</v>
      </c>
      <c r="AI193">
        <v>91.680273829482502</v>
      </c>
      <c r="AJ193">
        <v>80.004849232467095</v>
      </c>
      <c r="AK193">
        <v>39.521477442652298</v>
      </c>
      <c r="AL193">
        <v>79.974852240873602</v>
      </c>
      <c r="AM193">
        <v>86.494860590409999</v>
      </c>
      <c r="AN193">
        <v>0.99999997658581297</v>
      </c>
    </row>
    <row r="194" spans="1:40" x14ac:dyDescent="0.25">
      <c r="A194" t="str">
        <f>"20190312172613629"</f>
        <v>20190312172613629</v>
      </c>
      <c r="B194" t="str">
        <f>"1552382773619175"</f>
        <v>1552382773619175</v>
      </c>
      <c r="C194" t="s">
        <v>40</v>
      </c>
      <c r="D194">
        <v>3.2238220000000002</v>
      </c>
      <c r="E194">
        <v>0.54487859999999999</v>
      </c>
      <c r="F194" t="s">
        <v>43</v>
      </c>
      <c r="G194">
        <v>-414.43920000000003</v>
      </c>
      <c r="H194">
        <v>-0.05</v>
      </c>
      <c r="I194">
        <v>361.1293</v>
      </c>
      <c r="J194">
        <v>-452.80759999999998</v>
      </c>
      <c r="K194">
        <v>1.108835</v>
      </c>
      <c r="L194">
        <v>367.43459999999999</v>
      </c>
      <c r="M194">
        <v>0.99992020000000004</v>
      </c>
      <c r="N194">
        <v>0</v>
      </c>
      <c r="O194">
        <v>1.175208E-2</v>
      </c>
      <c r="P194">
        <v>0.98431840000000004</v>
      </c>
      <c r="Q194">
        <v>0.16954520000000001</v>
      </c>
      <c r="R194">
        <v>-4.8701750000000002E-2</v>
      </c>
      <c r="S194">
        <v>3.0390929999999998</v>
      </c>
      <c r="T194">
        <v>-9.1158030000000001E-2</v>
      </c>
      <c r="U194">
        <v>-0.49575809999999998</v>
      </c>
      <c r="V194">
        <v>6.0319480000000002E-2</v>
      </c>
      <c r="W194">
        <v>0.1740922</v>
      </c>
      <c r="X194">
        <v>0.98288019999999998</v>
      </c>
      <c r="Y194">
        <v>0.17250589999999999</v>
      </c>
      <c r="Z194">
        <v>-2.9198119999999999E-3</v>
      </c>
      <c r="AA194">
        <v>0.98500410000000005</v>
      </c>
      <c r="AB194">
        <v>26</v>
      </c>
      <c r="AC194">
        <v>38.368399999999902</v>
      </c>
      <c r="AD194">
        <v>-1.1588350000000001</v>
      </c>
      <c r="AE194">
        <v>-6.3052999999999804</v>
      </c>
      <c r="AF194">
        <v>6.7497825861290197</v>
      </c>
      <c r="AG194">
        <v>-1.1588350000000001</v>
      </c>
      <c r="AH194">
        <v>38.257667711565198</v>
      </c>
      <c r="AI194">
        <v>91.708601655829995</v>
      </c>
      <c r="AJ194">
        <v>79.994301263337107</v>
      </c>
      <c r="AK194">
        <v>38.865815342608897</v>
      </c>
      <c r="AL194">
        <v>79.974166012103495</v>
      </c>
      <c r="AM194">
        <v>86.488155350427107</v>
      </c>
      <c r="AN194">
        <v>1.0000000106601701</v>
      </c>
    </row>
    <row r="195" spans="1:40" x14ac:dyDescent="0.25">
      <c r="A195" t="str">
        <f>"20190312172613652"</f>
        <v>20190312172613652</v>
      </c>
      <c r="B195" t="str">
        <f>"1552382773648455"</f>
        <v>1552382773648455</v>
      </c>
      <c r="C195" t="s">
        <v>40</v>
      </c>
      <c r="D195">
        <v>3.2567360000000001</v>
      </c>
      <c r="E195">
        <v>0.54485969999999995</v>
      </c>
      <c r="F195" t="s">
        <v>43</v>
      </c>
      <c r="G195">
        <v>-414.85180000000003</v>
      </c>
      <c r="H195">
        <v>-0.05</v>
      </c>
      <c r="I195">
        <v>361.23340000000002</v>
      </c>
      <c r="J195">
        <v>-452.55079999999998</v>
      </c>
      <c r="K195">
        <v>1.108824</v>
      </c>
      <c r="L195">
        <v>367.4375</v>
      </c>
      <c r="M195">
        <v>0.99992199999999998</v>
      </c>
      <c r="N195">
        <v>0</v>
      </c>
      <c r="O195">
        <v>1.1582820000000001E-2</v>
      </c>
      <c r="P195">
        <v>0.98436290000000004</v>
      </c>
      <c r="Q195">
        <v>0.1691521</v>
      </c>
      <c r="R195">
        <v>-4.9166290000000001E-2</v>
      </c>
      <c r="S195">
        <v>3.0392459999999999</v>
      </c>
      <c r="T195">
        <v>-9.2791799999999994E-2</v>
      </c>
      <c r="U195">
        <v>-0.49655149999999998</v>
      </c>
      <c r="V195">
        <v>6.062302E-2</v>
      </c>
      <c r="W195">
        <v>0.1737311</v>
      </c>
      <c r="X195">
        <v>0.98292539999999995</v>
      </c>
      <c r="Y195">
        <v>0.17257900000000001</v>
      </c>
      <c r="Z195">
        <v>-2.9678819999999998E-3</v>
      </c>
      <c r="AA195">
        <v>0.98499119999999996</v>
      </c>
      <c r="AB195">
        <v>26</v>
      </c>
      <c r="AC195">
        <v>37.698999999999899</v>
      </c>
      <c r="AD195">
        <v>-1.1588240000000001</v>
      </c>
      <c r="AE195">
        <v>-6.20409999999998</v>
      </c>
      <c r="AF195">
        <v>6.6342460464450399</v>
      </c>
      <c r="AG195">
        <v>-1.1588240000000001</v>
      </c>
      <c r="AH195">
        <v>37.590027836031901</v>
      </c>
      <c r="AI195">
        <v>91.738895478644494</v>
      </c>
      <c r="AJ195">
        <v>79.990968137816594</v>
      </c>
      <c r="AK195">
        <v>38.188562245538897</v>
      </c>
      <c r="AL195">
        <v>79.995175508561005</v>
      </c>
      <c r="AM195">
        <v>86.470689482552601</v>
      </c>
      <c r="AN195">
        <v>0.99999999381314497</v>
      </c>
    </row>
    <row r="196" spans="1:40" x14ac:dyDescent="0.25">
      <c r="A196" t="str">
        <f>"20190312172613674"</f>
        <v>20190312172613674</v>
      </c>
      <c r="B196" t="str">
        <f>"1552382773668951"</f>
        <v>1552382773668951</v>
      </c>
      <c r="C196" t="s">
        <v>40</v>
      </c>
      <c r="D196">
        <v>3.2541570000000002</v>
      </c>
      <c r="E196">
        <v>0.54483440000000005</v>
      </c>
      <c r="F196" t="s">
        <v>43</v>
      </c>
      <c r="G196">
        <v>-415.46260000000001</v>
      </c>
      <c r="H196">
        <v>-0.05</v>
      </c>
      <c r="I196">
        <v>361.36399999999998</v>
      </c>
      <c r="J196">
        <v>-452.28629999999998</v>
      </c>
      <c r="K196">
        <v>1.1088169999999999</v>
      </c>
      <c r="L196">
        <v>367.44029999999998</v>
      </c>
      <c r="M196">
        <v>0.99992400000000004</v>
      </c>
      <c r="N196">
        <v>0</v>
      </c>
      <c r="O196">
        <v>1.1397320000000001E-2</v>
      </c>
      <c r="P196">
        <v>0.98437079999999999</v>
      </c>
      <c r="Q196">
        <v>0.1689785</v>
      </c>
      <c r="R196">
        <v>-4.9602460000000001E-2</v>
      </c>
      <c r="S196">
        <v>3.0391240000000002</v>
      </c>
      <c r="T196">
        <v>-9.4957829999999993E-2</v>
      </c>
      <c r="U196">
        <v>-0.49768069999999998</v>
      </c>
      <c r="V196">
        <v>6.0880110000000001E-2</v>
      </c>
      <c r="W196">
        <v>0.17359160000000001</v>
      </c>
      <c r="X196">
        <v>0.98293419999999998</v>
      </c>
      <c r="Y196">
        <v>0.17275499999999999</v>
      </c>
      <c r="Z196">
        <v>-3.0341309999999998E-3</v>
      </c>
      <c r="AA196">
        <v>0.98496010000000001</v>
      </c>
      <c r="AB196">
        <v>26</v>
      </c>
      <c r="AC196">
        <v>36.823699999999903</v>
      </c>
      <c r="AD196">
        <v>-1.158817</v>
      </c>
      <c r="AE196">
        <v>-6.0762999999999403</v>
      </c>
      <c r="AF196">
        <v>6.4893452830759397</v>
      </c>
      <c r="AG196">
        <v>-1.158817</v>
      </c>
      <c r="AH196">
        <v>36.716656524374599</v>
      </c>
      <c r="AI196">
        <v>91.780144481231005</v>
      </c>
      <c r="AJ196">
        <v>79.976985237558694</v>
      </c>
      <c r="AK196">
        <v>37.303717313042299</v>
      </c>
      <c r="AL196">
        <v>80.0032920209064</v>
      </c>
      <c r="AM196">
        <v>86.455792110001397</v>
      </c>
      <c r="AN196">
        <v>1.0000000364568999</v>
      </c>
    </row>
    <row r="197" spans="1:40" x14ac:dyDescent="0.25">
      <c r="A197" t="str">
        <f>"20190312172613696"</f>
        <v>20190312172613696</v>
      </c>
      <c r="B197" t="str">
        <f>"1552382773688472"</f>
        <v>1552382773688472</v>
      </c>
      <c r="C197" t="s">
        <v>40</v>
      </c>
      <c r="D197">
        <v>3.22742</v>
      </c>
      <c r="E197">
        <v>0.54479460000000002</v>
      </c>
      <c r="F197" t="s">
        <v>43</v>
      </c>
      <c r="G197">
        <v>-415.4418</v>
      </c>
      <c r="H197">
        <v>-0.05</v>
      </c>
      <c r="I197">
        <v>361.3861</v>
      </c>
      <c r="J197">
        <v>-452.02870000000001</v>
      </c>
      <c r="K197">
        <v>1.108822</v>
      </c>
      <c r="L197">
        <v>367.44310000000002</v>
      </c>
      <c r="M197">
        <v>0.99992599999999998</v>
      </c>
      <c r="N197">
        <v>0</v>
      </c>
      <c r="O197">
        <v>1.1210110000000001E-2</v>
      </c>
      <c r="P197">
        <v>0.98427310000000001</v>
      </c>
      <c r="Q197">
        <v>0.169347</v>
      </c>
      <c r="R197">
        <v>-5.028345E-2</v>
      </c>
      <c r="S197">
        <v>3.038818</v>
      </c>
      <c r="T197">
        <v>-9.557533E-2</v>
      </c>
      <c r="U197">
        <v>-0.49932860000000001</v>
      </c>
      <c r="V197">
        <v>6.1377470000000003E-2</v>
      </c>
      <c r="W197">
        <v>0.1739926</v>
      </c>
      <c r="X197">
        <v>0.98283229999999999</v>
      </c>
      <c r="Y197">
        <v>0.17310529999999999</v>
      </c>
      <c r="Z197">
        <v>-3.053643E-3</v>
      </c>
      <c r="AA197">
        <v>0.98489859999999896</v>
      </c>
      <c r="AB197">
        <v>26</v>
      </c>
      <c r="AC197">
        <v>36.5869</v>
      </c>
      <c r="AD197">
        <v>-1.158822</v>
      </c>
      <c r="AE197">
        <v>-6.0570000000000102</v>
      </c>
      <c r="AF197">
        <v>6.46045898609297</v>
      </c>
      <c r="AG197">
        <v>-1.158822</v>
      </c>
      <c r="AH197">
        <v>36.481079506594597</v>
      </c>
      <c r="AI197">
        <v>91.791532700206901</v>
      </c>
      <c r="AJ197">
        <v>79.957568521129005</v>
      </c>
      <c r="AK197">
        <v>37.066825608691602</v>
      </c>
      <c r="AL197">
        <v>79.979960747545704</v>
      </c>
      <c r="AM197">
        <v>86.426542918200795</v>
      </c>
      <c r="AN197">
        <v>0.99999997430082499</v>
      </c>
    </row>
    <row r="198" spans="1:40" x14ac:dyDescent="0.25">
      <c r="A198" t="str">
        <f>"20190312172613718"</f>
        <v>20190312172613718</v>
      </c>
      <c r="B198" t="str">
        <f>"1552382773708968"</f>
        <v>1552382773708968</v>
      </c>
      <c r="C198" t="s">
        <v>40</v>
      </c>
      <c r="D198">
        <v>3.1949900000000002</v>
      </c>
      <c r="E198">
        <v>0.54475810000000002</v>
      </c>
      <c r="F198" t="s">
        <v>43</v>
      </c>
      <c r="G198">
        <v>-414.6404</v>
      </c>
      <c r="H198">
        <v>-0.05</v>
      </c>
      <c r="I198">
        <v>361.26850000000002</v>
      </c>
      <c r="J198">
        <v>-451.76889999999997</v>
      </c>
      <c r="K198">
        <v>1.108827</v>
      </c>
      <c r="L198">
        <v>367.44569999999999</v>
      </c>
      <c r="M198">
        <v>0.99992789999999998</v>
      </c>
      <c r="N198">
        <v>0</v>
      </c>
      <c r="O198">
        <v>1.1019269999999999E-2</v>
      </c>
      <c r="P198">
        <v>0.98410819999999999</v>
      </c>
      <c r="Q198">
        <v>0.17017179999999901</v>
      </c>
      <c r="R198">
        <v>-5.0722929999999999E-2</v>
      </c>
      <c r="S198">
        <v>3.038513</v>
      </c>
      <c r="T198">
        <v>-9.4176529999999994E-2</v>
      </c>
      <c r="U198">
        <v>-0.50180049999999998</v>
      </c>
      <c r="V198">
        <v>6.1628280000000001E-2</v>
      </c>
      <c r="W198">
        <v>0.17485139999999999</v>
      </c>
      <c r="X198">
        <v>0.98266419999999999</v>
      </c>
      <c r="Y198">
        <v>0.1737156</v>
      </c>
      <c r="Z198">
        <v>-3.012589E-3</v>
      </c>
      <c r="AA198">
        <v>0.98479130000000004</v>
      </c>
      <c r="AB198">
        <v>26</v>
      </c>
      <c r="AC198">
        <v>37.128499999999903</v>
      </c>
      <c r="AD198">
        <v>-1.1588270000000001</v>
      </c>
      <c r="AE198">
        <v>-6.1771999999999698</v>
      </c>
      <c r="AF198">
        <v>6.5797216277009696</v>
      </c>
      <c r="AG198">
        <v>-1.1588270000000001</v>
      </c>
      <c r="AH198">
        <v>37.023082385237402</v>
      </c>
      <c r="AI198">
        <v>91.765138942484199</v>
      </c>
      <c r="AJ198">
        <v>79.922641911444998</v>
      </c>
      <c r="AK198">
        <v>37.621061202709797</v>
      </c>
      <c r="AL198">
        <v>79.929989308642803</v>
      </c>
      <c r="AM198">
        <v>86.411366398024697</v>
      </c>
      <c r="AN198">
        <v>0.99999999346967905</v>
      </c>
    </row>
    <row r="199" spans="1:40" x14ac:dyDescent="0.25">
      <c r="A199" t="str">
        <f>"20190312172613741"</f>
        <v>20190312172613741</v>
      </c>
      <c r="B199" t="str">
        <f>"1552382773739223"</f>
        <v>1552382773739223</v>
      </c>
      <c r="C199" t="s">
        <v>40</v>
      </c>
      <c r="D199">
        <v>3.2234020000000001</v>
      </c>
      <c r="E199">
        <v>0.54483230000000005</v>
      </c>
      <c r="F199" t="s">
        <v>43</v>
      </c>
      <c r="G199">
        <v>-413.0566</v>
      </c>
      <c r="H199">
        <v>-0.05</v>
      </c>
      <c r="I199">
        <v>361.03399999999999</v>
      </c>
      <c r="J199">
        <v>-451.49919999999997</v>
      </c>
      <c r="K199">
        <v>1.108833</v>
      </c>
      <c r="L199">
        <v>367.44850000000002</v>
      </c>
      <c r="M199">
        <v>0.99992979999999998</v>
      </c>
      <c r="N199">
        <v>0</v>
      </c>
      <c r="O199">
        <v>1.082117E-2</v>
      </c>
      <c r="P199">
        <v>0.98393039999999998</v>
      </c>
      <c r="Q199">
        <v>0.1710132</v>
      </c>
      <c r="R199">
        <v>-5.1336960000000001E-2</v>
      </c>
      <c r="S199">
        <v>3.038208</v>
      </c>
      <c r="T199">
        <v>-9.0946910000000006E-2</v>
      </c>
      <c r="U199">
        <v>-0.50320429999999905</v>
      </c>
      <c r="V199">
        <v>6.20461E-2</v>
      </c>
      <c r="W199">
        <v>0.17572689999999999</v>
      </c>
      <c r="X199">
        <v>0.98248170000000001</v>
      </c>
      <c r="Y199">
        <v>0.173985</v>
      </c>
      <c r="Z199">
        <v>-2.9076169999999999E-3</v>
      </c>
      <c r="AA199">
        <v>0.98474399999999995</v>
      </c>
      <c r="AB199">
        <v>26</v>
      </c>
      <c r="AC199">
        <v>38.442599999999899</v>
      </c>
      <c r="AD199">
        <v>-1.158833</v>
      </c>
      <c r="AE199">
        <v>-6.4145000000000296</v>
      </c>
      <c r="AF199">
        <v>6.8240901564909402</v>
      </c>
      <c r="AG199">
        <v>-1.158833</v>
      </c>
      <c r="AH199">
        <v>38.337043028531397</v>
      </c>
      <c r="AI199">
        <v>91.704602721717094</v>
      </c>
      <c r="AJ199">
        <v>79.906920379080503</v>
      </c>
      <c r="AK199">
        <v>38.956898857035299</v>
      </c>
      <c r="AL199">
        <v>79.879037796869596</v>
      </c>
      <c r="AM199">
        <v>86.386431504609405</v>
      </c>
      <c r="AN199">
        <v>0.999999976371854</v>
      </c>
    </row>
    <row r="200" spans="1:40" x14ac:dyDescent="0.25">
      <c r="A200" t="str">
        <f>"20190312172613769"</f>
        <v>20190312172613769</v>
      </c>
      <c r="B200" t="str">
        <f>"1552382773758743"</f>
        <v>1552382773758743</v>
      </c>
      <c r="C200" t="s">
        <v>40</v>
      </c>
      <c r="D200">
        <v>3.2169340000000002</v>
      </c>
      <c r="E200">
        <v>0.54489359999999998</v>
      </c>
      <c r="F200" t="s">
        <v>43</v>
      </c>
      <c r="G200">
        <v>-411.7167</v>
      </c>
      <c r="H200">
        <v>-0.05</v>
      </c>
      <c r="I200">
        <v>360.82350000000002</v>
      </c>
      <c r="J200">
        <v>-451.17090000000002</v>
      </c>
      <c r="K200">
        <v>1.1088370000000001</v>
      </c>
      <c r="L200">
        <v>367.45179999999999</v>
      </c>
      <c r="M200">
        <v>0.99993220000000005</v>
      </c>
      <c r="N200">
        <v>0</v>
      </c>
      <c r="O200">
        <v>1.058192E-2</v>
      </c>
      <c r="P200">
        <v>0.98387380000000002</v>
      </c>
      <c r="Q200">
        <v>0.17114889999999999</v>
      </c>
      <c r="R200">
        <v>-5.1966230000000002E-2</v>
      </c>
      <c r="S200">
        <v>3.0379939999999999</v>
      </c>
      <c r="T200">
        <v>-8.8494420000000004E-2</v>
      </c>
      <c r="U200">
        <v>-0.50592040000000005</v>
      </c>
      <c r="V200">
        <v>6.2439759999999997E-2</v>
      </c>
      <c r="W200">
        <v>0.17590529999999999</v>
      </c>
      <c r="X200">
        <v>0.98242490000000005</v>
      </c>
      <c r="Y200">
        <v>0.17462150000000001</v>
      </c>
      <c r="Z200">
        <v>-2.8315139999999998E-3</v>
      </c>
      <c r="AA200">
        <v>0.98463160000000005</v>
      </c>
      <c r="AB200">
        <v>26</v>
      </c>
      <c r="AC200">
        <v>39.4542</v>
      </c>
      <c r="AD200">
        <v>-1.1588369999999999</v>
      </c>
      <c r="AE200">
        <v>-6.6282999999999603</v>
      </c>
      <c r="AF200">
        <v>7.0395287098658201</v>
      </c>
      <c r="AG200">
        <v>-1.1588369999999999</v>
      </c>
      <c r="AH200">
        <v>39.3488356125604</v>
      </c>
      <c r="AI200">
        <v>91.660544403776797</v>
      </c>
      <c r="AJ200">
        <v>79.8570543192765</v>
      </c>
      <c r="AK200">
        <v>39.990357984317903</v>
      </c>
      <c r="AL200">
        <v>79.868655152455304</v>
      </c>
      <c r="AM200">
        <v>86.363356368577698</v>
      </c>
      <c r="AN200">
        <v>1.00000004116847</v>
      </c>
    </row>
    <row r="201" spans="1:40" x14ac:dyDescent="0.25">
      <c r="A201" t="str">
        <f>"20190312172613789"</f>
        <v>20190312172613789</v>
      </c>
      <c r="B201" t="str">
        <f>"1552382773779240"</f>
        <v>1552382773779240</v>
      </c>
      <c r="C201" t="s">
        <v>40</v>
      </c>
      <c r="D201">
        <v>3.2311260000000002</v>
      </c>
      <c r="E201">
        <v>0.54502030000000001</v>
      </c>
      <c r="F201" t="s">
        <v>43</v>
      </c>
      <c r="G201">
        <v>-411.4282</v>
      </c>
      <c r="H201">
        <v>-0.05</v>
      </c>
      <c r="I201">
        <v>360.79750000000001</v>
      </c>
      <c r="J201">
        <v>-450.93990000000002</v>
      </c>
      <c r="K201">
        <v>1.108833</v>
      </c>
      <c r="L201">
        <v>367.45409999999998</v>
      </c>
      <c r="M201">
        <v>0.99993379999999998</v>
      </c>
      <c r="N201">
        <v>0</v>
      </c>
      <c r="O201">
        <v>1.041482E-2</v>
      </c>
      <c r="P201">
        <v>0.98396070000000002</v>
      </c>
      <c r="Q201">
        <v>0.17055899999999999</v>
      </c>
      <c r="R201">
        <v>-5.2262500000000003E-2</v>
      </c>
      <c r="S201">
        <v>3.0376590000000001</v>
      </c>
      <c r="T201">
        <v>-8.8573460000000007E-2</v>
      </c>
      <c r="U201">
        <v>-0.508606</v>
      </c>
      <c r="V201">
        <v>6.2572439999999993E-2</v>
      </c>
      <c r="W201">
        <v>0.17534620000000001</v>
      </c>
      <c r="X201">
        <v>0.98251630000000001</v>
      </c>
      <c r="Y201">
        <v>0.175321</v>
      </c>
      <c r="Z201">
        <v>-2.8394330000000001E-3</v>
      </c>
      <c r="AA201">
        <v>0.98450720000000003</v>
      </c>
      <c r="AB201">
        <v>27</v>
      </c>
      <c r="AC201">
        <v>39.511699999999998</v>
      </c>
      <c r="AD201">
        <v>-1.158833</v>
      </c>
      <c r="AE201">
        <v>-6.6565999999999601</v>
      </c>
      <c r="AF201">
        <v>7.0618443135725704</v>
      </c>
      <c r="AG201">
        <v>-1.158833</v>
      </c>
      <c r="AH201">
        <v>39.407267013827401</v>
      </c>
      <c r="AI201">
        <v>91.657991336274094</v>
      </c>
      <c r="AJ201">
        <v>79.840343156656104</v>
      </c>
      <c r="AK201">
        <v>40.051781889575302</v>
      </c>
      <c r="AL201">
        <v>79.901193955309196</v>
      </c>
      <c r="AM201">
        <v>86.355987673424394</v>
      </c>
      <c r="AN201">
        <v>0.99999993993383995</v>
      </c>
    </row>
    <row r="202" spans="1:40" x14ac:dyDescent="0.25">
      <c r="A202" t="str">
        <f>"20190312172613829"</f>
        <v>20190312172613829</v>
      </c>
      <c r="B202" t="str">
        <f>"1552382773819255"</f>
        <v>1552382773819255</v>
      </c>
      <c r="C202" t="s">
        <v>40</v>
      </c>
      <c r="D202">
        <v>3.1999300000000002</v>
      </c>
      <c r="E202">
        <v>0.54520769999999996</v>
      </c>
      <c r="F202" t="s">
        <v>43</v>
      </c>
      <c r="G202">
        <v>-412.31950000000001</v>
      </c>
      <c r="H202">
        <v>-0.05</v>
      </c>
      <c r="I202">
        <v>360.95909999999998</v>
      </c>
      <c r="J202">
        <v>-450.43759999999997</v>
      </c>
      <c r="K202">
        <v>1.1088480000000001</v>
      </c>
      <c r="L202">
        <v>367.45890000000003</v>
      </c>
      <c r="M202">
        <v>0.99993719999999997</v>
      </c>
      <c r="N202">
        <v>0</v>
      </c>
      <c r="O202">
        <v>1.0056519999999999E-2</v>
      </c>
      <c r="P202">
        <v>0.98375570000000001</v>
      </c>
      <c r="Q202">
        <v>0.171511</v>
      </c>
      <c r="R202">
        <v>-5.2998320000000002E-2</v>
      </c>
      <c r="S202">
        <v>3.0375369999999999</v>
      </c>
      <c r="T202">
        <v>-9.1143489999999994E-2</v>
      </c>
      <c r="U202">
        <v>-0.51083369999999995</v>
      </c>
      <c r="V202">
        <v>6.29551E-2</v>
      </c>
      <c r="W202">
        <v>0.17636289999999999</v>
      </c>
      <c r="X202">
        <v>0.98230989999999996</v>
      </c>
      <c r="Y202">
        <v>0.17567249999999901</v>
      </c>
      <c r="Z202">
        <v>-2.9162839999999999E-3</v>
      </c>
      <c r="AA202">
        <v>0.98444430000000005</v>
      </c>
      <c r="AB202">
        <v>27</v>
      </c>
      <c r="AC202">
        <v>38.118099999999899</v>
      </c>
      <c r="AD202">
        <v>-1.1588479999999901</v>
      </c>
      <c r="AE202">
        <v>-6.4998000000000502</v>
      </c>
      <c r="AF202">
        <v>6.8766352678946898</v>
      </c>
      <c r="AG202">
        <v>-1.1588479999999901</v>
      </c>
      <c r="AH202">
        <v>38.016662027913199</v>
      </c>
      <c r="AI202">
        <v>91.718121124311693</v>
      </c>
      <c r="AJ202">
        <v>79.746931055968005</v>
      </c>
      <c r="AK202">
        <v>38.650971954652498</v>
      </c>
      <c r="AL202">
        <v>79.842019553943302</v>
      </c>
      <c r="AM202">
        <v>86.332995177227005</v>
      </c>
      <c r="AN202">
        <v>0.99999997837521404</v>
      </c>
    </row>
    <row r="203" spans="1:40" x14ac:dyDescent="0.25">
      <c r="A203" t="str">
        <f>"20190312172613851"</f>
        <v>20190312172613851</v>
      </c>
      <c r="B203" t="str">
        <f>"1552382773848535"</f>
        <v>1552382773848535</v>
      </c>
      <c r="C203" t="s">
        <v>40</v>
      </c>
      <c r="D203">
        <v>3.203668</v>
      </c>
      <c r="E203">
        <v>0.54532829999999999</v>
      </c>
      <c r="F203" t="s">
        <v>43</v>
      </c>
      <c r="G203">
        <v>-411.0034</v>
      </c>
      <c r="H203">
        <v>-0.05</v>
      </c>
      <c r="I203">
        <v>360.76560000000001</v>
      </c>
      <c r="J203">
        <v>-450.1737</v>
      </c>
      <c r="K203">
        <v>1.1088420000000001</v>
      </c>
      <c r="L203">
        <v>367.46129999999999</v>
      </c>
      <c r="M203">
        <v>0.99993880000000002</v>
      </c>
      <c r="N203">
        <v>0</v>
      </c>
      <c r="O203">
        <v>9.8695620000000001E-3</v>
      </c>
      <c r="P203">
        <v>0.98364130000000005</v>
      </c>
      <c r="Q203">
        <v>0.1719357</v>
      </c>
      <c r="R203">
        <v>-5.3740679999999999E-2</v>
      </c>
      <c r="S203">
        <v>3.0373230000000002</v>
      </c>
      <c r="T203">
        <v>-8.925748E-2</v>
      </c>
      <c r="U203">
        <v>-0.51553340000000003</v>
      </c>
      <c r="V203">
        <v>6.3513189999999997E-2</v>
      </c>
      <c r="W203">
        <v>0.17682200000000001</v>
      </c>
      <c r="X203">
        <v>0.98219140000000005</v>
      </c>
      <c r="Y203">
        <v>0.17698340000000001</v>
      </c>
      <c r="Z203">
        <v>-2.8694609999999998E-3</v>
      </c>
      <c r="AA203">
        <v>0.98420969999999997</v>
      </c>
      <c r="AB203">
        <v>27</v>
      </c>
      <c r="AC203">
        <v>39.170299999999997</v>
      </c>
      <c r="AD203">
        <v>-1.1588419999999999</v>
      </c>
      <c r="AE203">
        <v>-6.69569999999998</v>
      </c>
      <c r="AF203">
        <v>7.0759549731777298</v>
      </c>
      <c r="AG203">
        <v>-1.1588419999999999</v>
      </c>
      <c r="AH203">
        <v>39.069083101921201</v>
      </c>
      <c r="AI203">
        <v>91.671790214987894</v>
      </c>
      <c r="AJ203">
        <v>79.734218099646199</v>
      </c>
      <c r="AK203">
        <v>39.721597500455999</v>
      </c>
      <c r="AL203">
        <v>79.815294722868401</v>
      </c>
      <c r="AM203">
        <v>86.300132371882796</v>
      </c>
      <c r="AN203">
        <v>0.99999994561096595</v>
      </c>
    </row>
    <row r="204" spans="1:40" x14ac:dyDescent="0.25">
      <c r="A204" t="str">
        <f>"20190312172613873"</f>
        <v>20190312172613873</v>
      </c>
      <c r="B204" t="str">
        <f>"1552382773869032"</f>
        <v>1552382773869032</v>
      </c>
      <c r="C204" t="s">
        <v>40</v>
      </c>
      <c r="D204">
        <v>3.258105</v>
      </c>
      <c r="E204">
        <v>0.54541439999999997</v>
      </c>
      <c r="F204" t="s">
        <v>43</v>
      </c>
      <c r="G204">
        <v>-410.32229999999998</v>
      </c>
      <c r="H204">
        <v>-0.05</v>
      </c>
      <c r="I204">
        <v>360.64389999999997</v>
      </c>
      <c r="J204">
        <v>-449.90289999999999</v>
      </c>
      <c r="K204">
        <v>1.1088499999999999</v>
      </c>
      <c r="L204">
        <v>367.46379999999999</v>
      </c>
      <c r="M204">
        <v>0.99994059999999996</v>
      </c>
      <c r="N204">
        <v>0</v>
      </c>
      <c r="O204">
        <v>9.6775300000000002E-3</v>
      </c>
      <c r="P204">
        <v>0.98362579999999999</v>
      </c>
      <c r="Q204">
        <v>0.17173749999999999</v>
      </c>
      <c r="R204">
        <v>-5.4653449999999999E-2</v>
      </c>
      <c r="S204">
        <v>3.0369570000000001</v>
      </c>
      <c r="T204">
        <v>-8.8311790000000001E-2</v>
      </c>
      <c r="U204">
        <v>-0.51953130000000003</v>
      </c>
      <c r="V204">
        <v>6.4237429999999998E-2</v>
      </c>
      <c r="W204">
        <v>0.17665819999999999</v>
      </c>
      <c r="X204">
        <v>0.98217390000000004</v>
      </c>
      <c r="Y204">
        <v>0.17807419999999999</v>
      </c>
      <c r="Z204">
        <v>-2.8492959999999999E-3</v>
      </c>
      <c r="AA204">
        <v>0.98401300000000003</v>
      </c>
      <c r="AB204">
        <v>27</v>
      </c>
      <c r="AC204">
        <v>39.580599999999997</v>
      </c>
      <c r="AD204">
        <v>-1.1588499999999999</v>
      </c>
      <c r="AE204">
        <v>-6.8199000000000103</v>
      </c>
      <c r="AF204">
        <v>7.1966366929310501</v>
      </c>
      <c r="AG204">
        <v>-1.1588499999999999</v>
      </c>
      <c r="AH204">
        <v>39.479878878843202</v>
      </c>
      <c r="AI204">
        <v>91.654075142712301</v>
      </c>
      <c r="AJ204">
        <v>79.669198867301503</v>
      </c>
      <c r="AK204">
        <v>40.147171124509697</v>
      </c>
      <c r="AL204">
        <v>79.824831141866895</v>
      </c>
      <c r="AM204">
        <v>86.257995543005293</v>
      </c>
      <c r="AN204">
        <v>1.00000006844072</v>
      </c>
    </row>
    <row r="205" spans="1:40" x14ac:dyDescent="0.25">
      <c r="A205" t="str">
        <f>"20190312172613897"</f>
        <v>20190312172613897</v>
      </c>
      <c r="B205" t="str">
        <f>"1552382773888552"</f>
        <v>1552382773888552</v>
      </c>
      <c r="C205" t="s">
        <v>40</v>
      </c>
      <c r="D205">
        <v>3.2242139999999999</v>
      </c>
      <c r="E205">
        <v>0.54549829999999999</v>
      </c>
      <c r="F205" t="s">
        <v>43</v>
      </c>
      <c r="G205">
        <v>-410.40350000000001</v>
      </c>
      <c r="H205">
        <v>-0.05</v>
      </c>
      <c r="I205">
        <v>360.64940000000001</v>
      </c>
      <c r="J205">
        <v>-449.62360000000001</v>
      </c>
      <c r="K205">
        <v>1.1088530000000001</v>
      </c>
      <c r="L205">
        <v>367.46629999999999</v>
      </c>
      <c r="M205">
        <v>0.99994229999999995</v>
      </c>
      <c r="N205">
        <v>0</v>
      </c>
      <c r="O205">
        <v>9.4794170000000004E-3</v>
      </c>
      <c r="P205">
        <v>0.9834986</v>
      </c>
      <c r="Q205">
        <v>0.17237729999999901</v>
      </c>
      <c r="R205">
        <v>-5.4927620000000003E-2</v>
      </c>
      <c r="S205">
        <v>3.0363769999999999</v>
      </c>
      <c r="T205">
        <v>-8.9082480000000006E-2</v>
      </c>
      <c r="U205">
        <v>-0.52383420000000003</v>
      </c>
      <c r="V205">
        <v>6.4316120000000004E-2</v>
      </c>
      <c r="W205">
        <v>0.17733399999999999</v>
      </c>
      <c r="X205">
        <v>0.98204689999999994</v>
      </c>
      <c r="Y205">
        <v>0.17926300000000001</v>
      </c>
      <c r="Z205">
        <v>-2.8858870000000002E-3</v>
      </c>
      <c r="AA205">
        <v>0.98379700000000003</v>
      </c>
      <c r="AB205">
        <v>27</v>
      </c>
      <c r="AC205">
        <v>39.220100000000002</v>
      </c>
      <c r="AD205">
        <v>-1.1588529999999999</v>
      </c>
      <c r="AE205">
        <v>-6.8168999999999702</v>
      </c>
      <c r="AF205">
        <v>7.1822955077497896</v>
      </c>
      <c r="AG205">
        <v>-1.1588529999999999</v>
      </c>
      <c r="AH205">
        <v>39.120564038278303</v>
      </c>
      <c r="AI205">
        <v>91.668877130699201</v>
      </c>
      <c r="AJ205">
        <v>79.596700961181796</v>
      </c>
      <c r="AK205">
        <v>39.791291003299698</v>
      </c>
      <c r="AL205">
        <v>79.7854889333789</v>
      </c>
      <c r="AM205">
        <v>86.252941551450107</v>
      </c>
      <c r="AN205">
        <v>1.00000001232373</v>
      </c>
    </row>
    <row r="206" spans="1:40" x14ac:dyDescent="0.25">
      <c r="A206" t="str">
        <f>"20190312172613919"</f>
        <v>20190312172613919</v>
      </c>
      <c r="B206" t="str">
        <f>"1552382773909060"</f>
        <v>1552382773909060</v>
      </c>
      <c r="C206" t="s">
        <v>40</v>
      </c>
      <c r="D206">
        <v>3.2072989999999999</v>
      </c>
      <c r="E206">
        <v>0.54556660000000001</v>
      </c>
      <c r="F206" t="s">
        <v>43</v>
      </c>
      <c r="G206">
        <v>-409.38459999999998</v>
      </c>
      <c r="H206">
        <v>-0.05</v>
      </c>
      <c r="I206">
        <v>360.49489999999997</v>
      </c>
      <c r="J206">
        <v>-449.34949999999998</v>
      </c>
      <c r="K206">
        <v>1.10886</v>
      </c>
      <c r="L206">
        <v>367.46870000000001</v>
      </c>
      <c r="M206">
        <v>0.9999439</v>
      </c>
      <c r="N206">
        <v>0</v>
      </c>
      <c r="O206">
        <v>9.2853559999999998E-3</v>
      </c>
      <c r="P206">
        <v>0.98323760000000004</v>
      </c>
      <c r="Q206">
        <v>0.17346249999999999</v>
      </c>
      <c r="R206">
        <v>-5.6165510000000002E-2</v>
      </c>
      <c r="S206">
        <v>3.0362849999999999</v>
      </c>
      <c r="T206">
        <v>-8.7442870000000006E-2</v>
      </c>
      <c r="U206">
        <v>-0.52603149999999999</v>
      </c>
      <c r="V206">
        <v>6.5361790000000003E-2</v>
      </c>
      <c r="W206">
        <v>0.1784531</v>
      </c>
      <c r="X206">
        <v>0.98177510000000001</v>
      </c>
      <c r="Y206">
        <v>0.17977109999999999</v>
      </c>
      <c r="Z206">
        <v>-2.8344160000000002E-3</v>
      </c>
      <c r="AA206">
        <v>0.98370440000000003</v>
      </c>
      <c r="AB206">
        <v>27</v>
      </c>
      <c r="AC206">
        <v>39.9649</v>
      </c>
      <c r="AD206">
        <v>-1.15886</v>
      </c>
      <c r="AE206">
        <v>-6.9738000000000397</v>
      </c>
      <c r="AF206">
        <v>7.3386043672780099</v>
      </c>
      <c r="AG206">
        <v>-1.15886</v>
      </c>
      <c r="AH206">
        <v>39.865892380351802</v>
      </c>
      <c r="AI206">
        <v>91.637560869743794</v>
      </c>
      <c r="AJ206">
        <v>79.569631619583902</v>
      </c>
      <c r="AK206">
        <v>40.552280402473301</v>
      </c>
      <c r="AL206">
        <v>79.720329893257102</v>
      </c>
      <c r="AM206">
        <v>86.191147522096102</v>
      </c>
      <c r="AN206">
        <v>1.0000000097358099</v>
      </c>
    </row>
    <row r="207" spans="1:40" x14ac:dyDescent="0.25">
      <c r="A207" t="str">
        <f>"20190312172613941"</f>
        <v>20190312172613941</v>
      </c>
      <c r="B207" t="str">
        <f>"1552382773938329"</f>
        <v>1552382773938329</v>
      </c>
      <c r="C207" t="s">
        <v>40</v>
      </c>
      <c r="D207">
        <v>3.2314120000000002</v>
      </c>
      <c r="E207">
        <v>0.54564619999999997</v>
      </c>
      <c r="F207" t="s">
        <v>43</v>
      </c>
      <c r="G207">
        <v>-407.66590000000002</v>
      </c>
      <c r="H207">
        <v>-0.05</v>
      </c>
      <c r="I207">
        <v>360.18329999999997</v>
      </c>
      <c r="J207">
        <v>-449.07560000000001</v>
      </c>
      <c r="K207">
        <v>1.108865</v>
      </c>
      <c r="L207">
        <v>367.471</v>
      </c>
      <c r="M207">
        <v>0.99994539999999998</v>
      </c>
      <c r="N207">
        <v>0</v>
      </c>
      <c r="O207">
        <v>9.0914150000000003E-3</v>
      </c>
      <c r="P207">
        <v>0.98308799999999996</v>
      </c>
      <c r="Q207">
        <v>0.17393900000000001</v>
      </c>
      <c r="R207">
        <v>-5.7299669999999997E-2</v>
      </c>
      <c r="S207">
        <v>3.035736</v>
      </c>
      <c r="T207">
        <v>-8.4397440000000004E-2</v>
      </c>
      <c r="U207">
        <v>-0.53057860000000001</v>
      </c>
      <c r="V207">
        <v>6.6304769999999999E-2</v>
      </c>
      <c r="W207">
        <v>0.17896400000000001</v>
      </c>
      <c r="X207">
        <v>0.98161880000000001</v>
      </c>
      <c r="Y207">
        <v>0.18104509999999999</v>
      </c>
      <c r="Z207">
        <v>-2.7480970000000001E-3</v>
      </c>
      <c r="AA207">
        <v>0.98347099999999998</v>
      </c>
      <c r="AB207">
        <v>27</v>
      </c>
      <c r="AC207">
        <v>41.409700000000001</v>
      </c>
      <c r="AD207">
        <v>-1.158865</v>
      </c>
      <c r="AE207">
        <v>-7.2877000000000196</v>
      </c>
      <c r="AF207">
        <v>7.6580591153925104</v>
      </c>
      <c r="AG207">
        <v>-1.158865</v>
      </c>
      <c r="AH207">
        <v>41.310350727814601</v>
      </c>
      <c r="AI207">
        <v>91.579972513104195</v>
      </c>
      <c r="AJ207">
        <v>79.497803401203498</v>
      </c>
      <c r="AK207">
        <v>42.030154826720803</v>
      </c>
      <c r="AL207">
        <v>79.690577943866103</v>
      </c>
      <c r="AM207">
        <v>86.135748811660406</v>
      </c>
      <c r="AN207">
        <v>0.99999995216709503</v>
      </c>
    </row>
    <row r="208" spans="1:40" x14ac:dyDescent="0.25">
      <c r="A208" t="str">
        <f>"20190312172613965"</f>
        <v>20190312172613965</v>
      </c>
      <c r="B208" t="str">
        <f>"1552382773958823"</f>
        <v>1552382773958823</v>
      </c>
      <c r="C208" t="s">
        <v>40</v>
      </c>
      <c r="D208">
        <v>3.18113</v>
      </c>
      <c r="E208">
        <v>0.54574690000000003</v>
      </c>
      <c r="F208" t="s">
        <v>43</v>
      </c>
      <c r="G208">
        <v>-407.09649999999999</v>
      </c>
      <c r="H208">
        <v>-0.05</v>
      </c>
      <c r="I208">
        <v>360.08089999999999</v>
      </c>
      <c r="J208">
        <v>-448.77949999999998</v>
      </c>
      <c r="K208">
        <v>1.108868</v>
      </c>
      <c r="L208">
        <v>367.4735</v>
      </c>
      <c r="M208">
        <v>0.99994709999999998</v>
      </c>
      <c r="N208">
        <v>0</v>
      </c>
      <c r="O208">
        <v>8.8822039999999994E-3</v>
      </c>
      <c r="P208">
        <v>0.98300370000000004</v>
      </c>
      <c r="Q208">
        <v>0.17424539999999999</v>
      </c>
      <c r="R208">
        <v>-5.7809899999999997E-2</v>
      </c>
      <c r="S208">
        <v>3.0352480000000002</v>
      </c>
      <c r="T208">
        <v>-8.3790299999999998E-2</v>
      </c>
      <c r="U208">
        <v>-0.53433229999999998</v>
      </c>
      <c r="V208">
        <v>6.6609440000000006E-2</v>
      </c>
      <c r="W208">
        <v>0.17930839999999901</v>
      </c>
      <c r="X208">
        <v>0.98153539999999995</v>
      </c>
      <c r="Y208">
        <v>0.18204670000000001</v>
      </c>
      <c r="Z208">
        <v>-2.7364640000000001E-3</v>
      </c>
      <c r="AA208">
        <v>0.98328610000000005</v>
      </c>
      <c r="AB208">
        <v>27</v>
      </c>
      <c r="AC208">
        <v>41.6829999999999</v>
      </c>
      <c r="AD208">
        <v>-1.158868</v>
      </c>
      <c r="AE208">
        <v>-7.3926000000000096</v>
      </c>
      <c r="AF208">
        <v>7.7567375444413704</v>
      </c>
      <c r="AG208">
        <v>-1.158868</v>
      </c>
      <c r="AH208">
        <v>41.584529725754102</v>
      </c>
      <c r="AI208">
        <v>91.569240149144406</v>
      </c>
      <c r="AJ208">
        <v>79.434076532796396</v>
      </c>
      <c r="AK208">
        <v>42.317644840974999</v>
      </c>
      <c r="AL208">
        <v>79.670521657654305</v>
      </c>
      <c r="AM208">
        <v>86.117717931001394</v>
      </c>
      <c r="AN208">
        <v>1.00000003063041</v>
      </c>
    </row>
    <row r="209" spans="1:40" x14ac:dyDescent="0.25">
      <c r="A209" t="str">
        <f>"20190312172613989"</f>
        <v>20190312172613989</v>
      </c>
      <c r="B209" t="str">
        <f>"1552382773978345"</f>
        <v>1552382773978345</v>
      </c>
      <c r="C209" t="s">
        <v>40</v>
      </c>
      <c r="D209">
        <v>3.2143099999999998</v>
      </c>
      <c r="E209">
        <v>0.54405019999999904</v>
      </c>
      <c r="F209" t="s">
        <v>43</v>
      </c>
      <c r="G209">
        <v>-406.37130000000002</v>
      </c>
      <c r="H209">
        <v>-0.05</v>
      </c>
      <c r="I209">
        <v>359.96839999999997</v>
      </c>
      <c r="J209">
        <v>-448.49799999999999</v>
      </c>
      <c r="K209">
        <v>1.10887</v>
      </c>
      <c r="L209">
        <v>367.47579999999999</v>
      </c>
      <c r="M209">
        <v>0.99994870000000002</v>
      </c>
      <c r="N209">
        <v>0</v>
      </c>
      <c r="O209">
        <v>8.6833699999999993E-3</v>
      </c>
      <c r="P209">
        <v>0.98287009999999997</v>
      </c>
      <c r="Q209">
        <v>0.1746026</v>
      </c>
      <c r="R209">
        <v>-5.8996350000000003E-2</v>
      </c>
      <c r="S209">
        <v>3.0349729999999999</v>
      </c>
      <c r="T209">
        <v>-8.2935330000000002E-2</v>
      </c>
      <c r="U209">
        <v>-0.53710939999999996</v>
      </c>
      <c r="V209">
        <v>6.7599709999999993E-2</v>
      </c>
      <c r="W209">
        <v>0.17970149999999999</v>
      </c>
      <c r="X209">
        <v>0.98139580000000004</v>
      </c>
      <c r="Y209">
        <v>0.18274019999999999</v>
      </c>
      <c r="Z209">
        <v>-2.7125880000000002E-3</v>
      </c>
      <c r="AA209">
        <v>0.98315750000000002</v>
      </c>
      <c r="AB209">
        <v>28</v>
      </c>
      <c r="AC209">
        <v>42.1267</v>
      </c>
      <c r="AD209">
        <v>-1.1588700000000001</v>
      </c>
      <c r="AE209">
        <v>-7.5074000000000103</v>
      </c>
      <c r="AF209">
        <v>7.8671534103415697</v>
      </c>
      <c r="AG209">
        <v>-1.1588700000000001</v>
      </c>
      <c r="AH209">
        <v>42.029094657062501</v>
      </c>
      <c r="AI209">
        <v>91.552469008647904</v>
      </c>
      <c r="AJ209">
        <v>79.397863478169597</v>
      </c>
      <c r="AK209">
        <v>42.774757511306397</v>
      </c>
      <c r="AL209">
        <v>79.647626833431204</v>
      </c>
      <c r="AM209">
        <v>86.059622555188199</v>
      </c>
      <c r="AN209">
        <v>1.00000003307598</v>
      </c>
    </row>
    <row r="210" spans="1:40" x14ac:dyDescent="0.25">
      <c r="A210" t="str">
        <f>"20190312172614009"</f>
        <v>20190312172614009</v>
      </c>
      <c r="B210" t="str">
        <f>"1552382773998840"</f>
        <v>1552382773998840</v>
      </c>
      <c r="C210" t="s">
        <v>40</v>
      </c>
      <c r="D210">
        <v>3.213892</v>
      </c>
      <c r="E210">
        <v>0.5398676</v>
      </c>
      <c r="F210" t="s">
        <v>43</v>
      </c>
      <c r="G210">
        <v>-432.94260000000003</v>
      </c>
      <c r="H210">
        <v>-0.05</v>
      </c>
      <c r="I210">
        <v>364.7955</v>
      </c>
      <c r="J210">
        <v>-448.23480000000001</v>
      </c>
      <c r="K210">
        <v>1.1088739999999999</v>
      </c>
      <c r="L210">
        <v>367.47789999999998</v>
      </c>
      <c r="M210">
        <v>0.99995009999999995</v>
      </c>
      <c r="N210">
        <v>0</v>
      </c>
      <c r="O210">
        <v>8.4981309999999904E-3</v>
      </c>
      <c r="P210">
        <v>0.98276419999999998</v>
      </c>
      <c r="Q210">
        <v>0.17495229999999901</v>
      </c>
      <c r="R210">
        <v>-5.9721469999999999E-2</v>
      </c>
      <c r="S210">
        <v>3.0611570000000001</v>
      </c>
      <c r="T210">
        <v>-0.2280549</v>
      </c>
      <c r="U210">
        <v>-0.52746579999999998</v>
      </c>
      <c r="V210">
        <v>6.8142649999999999E-2</v>
      </c>
      <c r="W210">
        <v>0.1800842</v>
      </c>
      <c r="X210">
        <v>0.9812881</v>
      </c>
      <c r="Y210">
        <v>0.17767439999999901</v>
      </c>
      <c r="Z210">
        <v>-7.188771E-3</v>
      </c>
      <c r="AA210">
        <v>0.98406309999999997</v>
      </c>
      <c r="AB210">
        <v>28</v>
      </c>
      <c r="AC210">
        <v>15.2921999999999</v>
      </c>
      <c r="AD210">
        <v>-1.158874</v>
      </c>
      <c r="AE210">
        <v>-2.6823999999999701</v>
      </c>
      <c r="AF210">
        <v>2.7966783824411401</v>
      </c>
      <c r="AG210">
        <v>-1.158874</v>
      </c>
      <c r="AH210">
        <v>15.184253174820499</v>
      </c>
      <c r="AI210">
        <v>94.292473954875703</v>
      </c>
      <c r="AJ210">
        <v>79.564060693497098</v>
      </c>
      <c r="AK210">
        <v>15.4830857195759</v>
      </c>
      <c r="AL210">
        <v>79.6253361393955</v>
      </c>
      <c r="AM210">
        <v>86.027641016854503</v>
      </c>
      <c r="AN210">
        <v>1.0000000375201299</v>
      </c>
    </row>
    <row r="211" spans="1:40" x14ac:dyDescent="0.25">
      <c r="A211" t="str">
        <f>"20190312172614032"</f>
        <v>20190312172614032</v>
      </c>
      <c r="B211" t="str">
        <f>"1552382774029096"</f>
        <v>1552382774029096</v>
      </c>
      <c r="C211" t="s">
        <v>40</v>
      </c>
      <c r="D211">
        <v>3.1871429999999998</v>
      </c>
      <c r="E211">
        <v>0.53716140000000001</v>
      </c>
      <c r="F211" t="s">
        <v>44</v>
      </c>
      <c r="G211">
        <v>-447.28629999999998</v>
      </c>
      <c r="H211">
        <v>1.008162</v>
      </c>
      <c r="I211">
        <v>367.32459999999998</v>
      </c>
      <c r="J211">
        <v>-447.9547</v>
      </c>
      <c r="K211">
        <v>1.1088739999999999</v>
      </c>
      <c r="L211">
        <v>367.48</v>
      </c>
      <c r="M211">
        <v>0.9999517</v>
      </c>
      <c r="N211">
        <v>0</v>
      </c>
      <c r="O211">
        <v>8.2998959999999993E-3</v>
      </c>
      <c r="P211">
        <v>0.9827089</v>
      </c>
      <c r="Q211">
        <v>0.175099799999999</v>
      </c>
      <c r="R211">
        <v>-6.0198210000000002E-2</v>
      </c>
      <c r="S211">
        <v>3.0806879999999999</v>
      </c>
      <c r="T211">
        <v>-0.32722760000000001</v>
      </c>
      <c r="U211">
        <v>-0.49694820000000001</v>
      </c>
      <c r="V211">
        <v>6.8424639999999995E-2</v>
      </c>
      <c r="W211">
        <v>0.1802676</v>
      </c>
      <c r="X211">
        <v>0.98123479999999996</v>
      </c>
      <c r="Y211">
        <v>0.16648209999999999</v>
      </c>
      <c r="Z211">
        <v>-9.6345100000000006E-3</v>
      </c>
      <c r="AA211">
        <v>0.98599740000000002</v>
      </c>
      <c r="AB211">
        <v>28</v>
      </c>
      <c r="AC211">
        <v>0.66840000000001898</v>
      </c>
      <c r="AD211">
        <v>-0.100711999999999</v>
      </c>
      <c r="AE211">
        <v>-0.155400000000042</v>
      </c>
      <c r="AF211">
        <v>0.15754891975464599</v>
      </c>
      <c r="AG211">
        <v>-0.100711999999999</v>
      </c>
      <c r="AH211">
        <v>0.65302168526803395</v>
      </c>
      <c r="AI211">
        <v>98.526451372571202</v>
      </c>
      <c r="AJ211">
        <v>76.435950124330603</v>
      </c>
      <c r="AK211">
        <v>0.67926569948007798</v>
      </c>
      <c r="AL211">
        <v>79.614653244656793</v>
      </c>
      <c r="AM211">
        <v>86.011039465436298</v>
      </c>
      <c r="AN211">
        <v>1.0000000358499599</v>
      </c>
    </row>
    <row r="212" spans="1:40" x14ac:dyDescent="0.25">
      <c r="A212" t="str">
        <f>"20190312172614053"</f>
        <v>20190312172614053</v>
      </c>
      <c r="B212" t="str">
        <f>"1552382774048616"</f>
        <v>1552382774048616</v>
      </c>
      <c r="C212" t="s">
        <v>40</v>
      </c>
      <c r="D212">
        <v>3.1851129999999999</v>
      </c>
      <c r="E212">
        <v>0.53645240000000005</v>
      </c>
      <c r="F212" t="s">
        <v>44</v>
      </c>
      <c r="G212">
        <v>-447.04480000000001</v>
      </c>
      <c r="H212">
        <v>0.98808960000000001</v>
      </c>
      <c r="I212">
        <v>367.33940000000001</v>
      </c>
      <c r="J212">
        <v>-447.68380000000002</v>
      </c>
      <c r="K212">
        <v>1.1088739999999999</v>
      </c>
      <c r="L212">
        <v>367.4821</v>
      </c>
      <c r="M212">
        <v>0.99995299999999998</v>
      </c>
      <c r="N212">
        <v>0</v>
      </c>
      <c r="O212">
        <v>8.108578E-3</v>
      </c>
      <c r="P212">
        <v>0.98261140000000002</v>
      </c>
      <c r="Q212">
        <v>0.17549489999999901</v>
      </c>
      <c r="R212">
        <v>-6.0634519999999997E-2</v>
      </c>
      <c r="S212">
        <v>3.0968629999999999</v>
      </c>
      <c r="T212">
        <v>-0.41122059999999999</v>
      </c>
      <c r="U212">
        <v>-0.477356</v>
      </c>
      <c r="V212">
        <v>6.8672830000000004E-2</v>
      </c>
      <c r="W212">
        <v>0.1806972</v>
      </c>
      <c r="X212">
        <v>0.98113839999999997</v>
      </c>
      <c r="Y212">
        <v>0.158919</v>
      </c>
      <c r="Z212">
        <v>-1.1510100000000001E-2</v>
      </c>
      <c r="AA212">
        <v>0.98722449999999995</v>
      </c>
      <c r="AB212">
        <v>28</v>
      </c>
      <c r="AC212">
        <v>0.63900000000001</v>
      </c>
      <c r="AD212">
        <v>-0.120784399999999</v>
      </c>
      <c r="AE212">
        <v>-0.14269999999999</v>
      </c>
      <c r="AF212">
        <v>0.14300988813246701</v>
      </c>
      <c r="AG212">
        <v>-0.120784399999999</v>
      </c>
      <c r="AH212">
        <v>0.61683008229671199</v>
      </c>
      <c r="AI212">
        <v>100.799712415515</v>
      </c>
      <c r="AJ212">
        <v>76.946795566570998</v>
      </c>
      <c r="AK212">
        <v>0.64460844689872798</v>
      </c>
      <c r="AL212">
        <v>79.589627619174394</v>
      </c>
      <c r="AM212">
        <v>85.996225594966901</v>
      </c>
      <c r="AN212">
        <v>0.999999997811304</v>
      </c>
    </row>
    <row r="213" spans="1:40" x14ac:dyDescent="0.25">
      <c r="A213" t="str">
        <f>"20190312172614075"</f>
        <v>20190312172614075</v>
      </c>
      <c r="B213" t="str">
        <f>"1552382774069111"</f>
        <v>1552382774069111</v>
      </c>
      <c r="C213" t="s">
        <v>40</v>
      </c>
      <c r="D213">
        <v>3.1893319999999998</v>
      </c>
      <c r="E213">
        <v>0.5358754</v>
      </c>
      <c r="F213" t="s">
        <v>44</v>
      </c>
      <c r="G213">
        <v>-446.79469999999998</v>
      </c>
      <c r="H213">
        <v>0.98331429999999997</v>
      </c>
      <c r="I213">
        <v>367.346</v>
      </c>
      <c r="J213">
        <v>-447.40519999999998</v>
      </c>
      <c r="K213">
        <v>1.10887</v>
      </c>
      <c r="L213">
        <v>367.48410000000001</v>
      </c>
      <c r="M213">
        <v>0.99995429999999996</v>
      </c>
      <c r="N213">
        <v>0</v>
      </c>
      <c r="O213">
        <v>7.9118299999999999E-3</v>
      </c>
      <c r="P213">
        <v>0.98276439999999998</v>
      </c>
      <c r="Q213">
        <v>0.17473659999999999</v>
      </c>
      <c r="R213">
        <v>-6.0343040000000001E-2</v>
      </c>
      <c r="S213">
        <v>3.1021730000000001</v>
      </c>
      <c r="T213">
        <v>-0.43829370000000001</v>
      </c>
      <c r="U213">
        <v>-0.47283940000000002</v>
      </c>
      <c r="V213">
        <v>6.81893999999999E-2</v>
      </c>
      <c r="W213">
        <v>0.17997630000000001</v>
      </c>
      <c r="X213">
        <v>0.98130459999999997</v>
      </c>
      <c r="Y213">
        <v>0.15689829999999999</v>
      </c>
      <c r="Z213">
        <v>-1.207278E-2</v>
      </c>
      <c r="AA213">
        <v>0.987541</v>
      </c>
      <c r="AB213">
        <v>28</v>
      </c>
      <c r="AC213">
        <v>0.61050000000000104</v>
      </c>
      <c r="AD213">
        <v>-0.12555569999999999</v>
      </c>
      <c r="AE213">
        <v>-0.13810000000000799</v>
      </c>
      <c r="AF213">
        <v>0.13739742163941801</v>
      </c>
      <c r="AG213">
        <v>-0.12555569999999999</v>
      </c>
      <c r="AH213">
        <v>0.58581658967834704</v>
      </c>
      <c r="AI213">
        <v>101.786423141041</v>
      </c>
      <c r="AJ213">
        <v>76.800428205265106</v>
      </c>
      <c r="AK213">
        <v>0.61467337832219404</v>
      </c>
      <c r="AL213">
        <v>79.631620548447202</v>
      </c>
      <c r="AM213">
        <v>86.024991094896706</v>
      </c>
      <c r="AN213">
        <v>0.99999999040760401</v>
      </c>
    </row>
    <row r="214" spans="1:40" x14ac:dyDescent="0.25">
      <c r="A214" t="str">
        <f>"20190312172614120"</f>
        <v>20190312172614120</v>
      </c>
      <c r="B214" t="str">
        <f>"1552382774109128"</f>
        <v>1552382774109128</v>
      </c>
      <c r="C214" t="s">
        <v>40</v>
      </c>
      <c r="D214">
        <v>3.2034389999999999</v>
      </c>
      <c r="E214">
        <v>0.53515599999999997</v>
      </c>
      <c r="F214" t="s">
        <v>44</v>
      </c>
      <c r="G214">
        <v>-446.54259999999999</v>
      </c>
      <c r="H214">
        <v>0.98130289999999998</v>
      </c>
      <c r="I214">
        <v>367.35419999999999</v>
      </c>
      <c r="J214">
        <v>-446.82979999999998</v>
      </c>
      <c r="K214">
        <v>1.1088720000000001</v>
      </c>
      <c r="L214">
        <v>367.48820000000001</v>
      </c>
      <c r="M214">
        <v>0.99995719999999999</v>
      </c>
      <c r="N214">
        <v>0</v>
      </c>
      <c r="O214">
        <v>7.5058679999999997E-3</v>
      </c>
      <c r="P214">
        <v>0.98281960000000002</v>
      </c>
      <c r="Q214">
        <v>0.17479529999999999</v>
      </c>
      <c r="R214">
        <v>-5.926795E-2</v>
      </c>
      <c r="S214">
        <v>3.1055600000000001</v>
      </c>
      <c r="T214">
        <v>-0.4593043</v>
      </c>
      <c r="U214">
        <v>-0.46691890000000003</v>
      </c>
      <c r="V214">
        <v>6.6716780000000003E-2</v>
      </c>
      <c r="W214">
        <v>0.18010999999999999</v>
      </c>
      <c r="X214">
        <v>0.98138130000000001</v>
      </c>
      <c r="Y214">
        <v>0.15437400000000001</v>
      </c>
      <c r="Z214">
        <v>-1.238975E-2</v>
      </c>
      <c r="AA214">
        <v>0.9879348</v>
      </c>
      <c r="AB214">
        <v>28</v>
      </c>
      <c r="AC214">
        <v>0.28719999999998402</v>
      </c>
      <c r="AD214">
        <v>-0.12756909999999899</v>
      </c>
      <c r="AE214">
        <v>-0.134000000000014</v>
      </c>
      <c r="AF214">
        <v>0.117167714518047</v>
      </c>
      <c r="AG214">
        <v>-0.12756909999999899</v>
      </c>
      <c r="AH214">
        <v>0.24628199760445499</v>
      </c>
      <c r="AI214">
        <v>115.067567676481</v>
      </c>
      <c r="AJ214">
        <v>64.557410354966706</v>
      </c>
      <c r="AK214">
        <v>0.30109296063547197</v>
      </c>
      <c r="AL214">
        <v>79.623832925462494</v>
      </c>
      <c r="AM214">
        <v>86.110872160464197</v>
      </c>
      <c r="AN214">
        <v>0.99999999841162901</v>
      </c>
    </row>
    <row r="215" spans="1:40" x14ac:dyDescent="0.25">
      <c r="A215" t="str">
        <f>"20190312172614141"</f>
        <v>20190312172614141</v>
      </c>
      <c r="B215" t="str">
        <f>"1552382774138408"</f>
        <v>1552382774138408</v>
      </c>
      <c r="C215" t="s">
        <v>40</v>
      </c>
      <c r="D215">
        <v>3.190763</v>
      </c>
      <c r="E215">
        <v>0.53496219999999906</v>
      </c>
      <c r="F215" t="s">
        <v>44</v>
      </c>
      <c r="G215">
        <v>-446.0317</v>
      </c>
      <c r="H215">
        <v>0.98515370000000002</v>
      </c>
      <c r="I215">
        <v>367.37110000000001</v>
      </c>
      <c r="J215">
        <v>-446.56110000000001</v>
      </c>
      <c r="K215">
        <v>1.108876</v>
      </c>
      <c r="L215">
        <v>367.49</v>
      </c>
      <c r="M215">
        <v>0.99995829999999997</v>
      </c>
      <c r="N215">
        <v>0</v>
      </c>
      <c r="O215">
        <v>7.3168109999999899E-3</v>
      </c>
      <c r="P215">
        <v>0.98274550000000005</v>
      </c>
      <c r="Q215">
        <v>0.17530009999999999</v>
      </c>
      <c r="R215">
        <v>-5.9002609999999997E-2</v>
      </c>
      <c r="S215">
        <v>3.1106569999999998</v>
      </c>
      <c r="T215">
        <v>-0.48217700000000002</v>
      </c>
      <c r="U215">
        <v>-0.45632929999999999</v>
      </c>
      <c r="V215">
        <v>6.6266130000000006E-2</v>
      </c>
      <c r="W215">
        <v>0.1806489</v>
      </c>
      <c r="X215">
        <v>0.98131279999999999</v>
      </c>
      <c r="Y215">
        <v>0.15053459999999999</v>
      </c>
      <c r="Z215">
        <v>-1.2658829999999999E-2</v>
      </c>
      <c r="AA215">
        <v>0.98852370000000001</v>
      </c>
      <c r="AB215">
        <v>28</v>
      </c>
      <c r="AC215">
        <v>0.52940000000000897</v>
      </c>
      <c r="AD215">
        <v>-0.12372229999999899</v>
      </c>
      <c r="AE215">
        <v>-0.118899999999996</v>
      </c>
      <c r="AF215">
        <v>0.116702526974361</v>
      </c>
      <c r="AG215">
        <v>-0.12372229999999899</v>
      </c>
      <c r="AH215">
        <v>0.50239420488772402</v>
      </c>
      <c r="AI215">
        <v>103.489150559942</v>
      </c>
      <c r="AJ215">
        <v>76.922533783654501</v>
      </c>
      <c r="AK215">
        <v>0.53040232317011904</v>
      </c>
      <c r="AL215">
        <v>79.592441524729196</v>
      </c>
      <c r="AM215">
        <v>86.136793307066199</v>
      </c>
      <c r="AN215">
        <v>1.0000000182501101</v>
      </c>
    </row>
    <row r="216" spans="1:40" x14ac:dyDescent="0.25">
      <c r="A216" t="str">
        <f>"20190312172614167"</f>
        <v>20190312172614167</v>
      </c>
      <c r="B216" t="str">
        <f>"1552382774158904"</f>
        <v>1552382774158904</v>
      </c>
      <c r="C216" t="s">
        <v>40</v>
      </c>
      <c r="D216">
        <v>3.1810390000000002</v>
      </c>
      <c r="E216">
        <v>0.54114249999999997</v>
      </c>
      <c r="F216" t="s">
        <v>44</v>
      </c>
      <c r="G216">
        <v>-445.77550000000002</v>
      </c>
      <c r="H216">
        <v>0.98528130000000003</v>
      </c>
      <c r="I216">
        <v>367.37509999999997</v>
      </c>
      <c r="J216">
        <v>-446.23579999999998</v>
      </c>
      <c r="K216">
        <v>1.108876</v>
      </c>
      <c r="L216">
        <v>367.49220000000003</v>
      </c>
      <c r="M216">
        <v>0.99995970000000001</v>
      </c>
      <c r="N216">
        <v>0</v>
      </c>
      <c r="O216">
        <v>7.0878549999999997E-3</v>
      </c>
      <c r="P216">
        <v>0.9826589</v>
      </c>
      <c r="Q216">
        <v>0.17577809999999999</v>
      </c>
      <c r="R216">
        <v>-5.9024319999999998E-2</v>
      </c>
      <c r="S216">
        <v>3.1128849999999999</v>
      </c>
      <c r="T216">
        <v>-0.4900601</v>
      </c>
      <c r="U216">
        <v>-0.453125</v>
      </c>
      <c r="V216">
        <v>6.6062860000000001E-2</v>
      </c>
      <c r="W216">
        <v>0.18116860000000001</v>
      </c>
      <c r="X216">
        <v>0.98123070000000001</v>
      </c>
      <c r="Y216">
        <v>0.14917130000000001</v>
      </c>
      <c r="Z216">
        <v>-1.2713500000000001E-2</v>
      </c>
      <c r="AA216">
        <v>0.98872969999999905</v>
      </c>
      <c r="AB216">
        <v>29</v>
      </c>
      <c r="AC216">
        <v>0.46029999999996102</v>
      </c>
      <c r="AD216">
        <v>-0.123594699999999</v>
      </c>
      <c r="AE216">
        <v>-0.11710000000005</v>
      </c>
      <c r="AF216">
        <v>0.112726416059778</v>
      </c>
      <c r="AG216">
        <v>-0.123594699999999</v>
      </c>
      <c r="AH216">
        <v>0.43031949605090303</v>
      </c>
      <c r="AI216">
        <v>105.5274821328</v>
      </c>
      <c r="AJ216">
        <v>75.320655010401296</v>
      </c>
      <c r="AK216">
        <v>0.46169011623303702</v>
      </c>
      <c r="AL216">
        <v>79.562165417668396</v>
      </c>
      <c r="AM216">
        <v>86.148286617872003</v>
      </c>
      <c r="AN216">
        <v>1.0000000248599099</v>
      </c>
    </row>
    <row r="217" spans="1:40" x14ac:dyDescent="0.25">
      <c r="A217" t="str">
        <f>"20190312172614190"</f>
        <v>20190312172614190</v>
      </c>
      <c r="B217" t="str">
        <f>"1552382774178424"</f>
        <v>1552382774178424</v>
      </c>
      <c r="C217" t="s">
        <v>40</v>
      </c>
      <c r="D217">
        <v>3.1664530000000002</v>
      </c>
      <c r="E217">
        <v>0.54151300000000002</v>
      </c>
      <c r="F217" t="s">
        <v>44</v>
      </c>
      <c r="G217">
        <v>-445.52890000000002</v>
      </c>
      <c r="H217">
        <v>0.96345999999999998</v>
      </c>
      <c r="I217">
        <v>367.37909999999999</v>
      </c>
      <c r="J217">
        <v>-445.94650000000001</v>
      </c>
      <c r="K217">
        <v>1.108884</v>
      </c>
      <c r="L217">
        <v>367.49400000000003</v>
      </c>
      <c r="M217">
        <v>0.99996079999999998</v>
      </c>
      <c r="N217">
        <v>0</v>
      </c>
      <c r="O217">
        <v>6.8846619999999997E-3</v>
      </c>
      <c r="P217">
        <v>0.98245640000000001</v>
      </c>
      <c r="Q217">
        <v>0.17693909999999999</v>
      </c>
      <c r="R217">
        <v>-5.8925079999999998E-2</v>
      </c>
      <c r="S217">
        <v>3.138306</v>
      </c>
      <c r="T217">
        <v>-0.64561459999999904</v>
      </c>
      <c r="U217">
        <v>-0.50167850000000003</v>
      </c>
      <c r="V217">
        <v>6.5763539999999995E-2</v>
      </c>
      <c r="W217">
        <v>0.1823661</v>
      </c>
      <c r="X217">
        <v>0.98102889999999998</v>
      </c>
      <c r="Y217">
        <v>0.16121269999999999</v>
      </c>
      <c r="Z217">
        <v>-1.7703449999999999E-2</v>
      </c>
      <c r="AA217">
        <v>0.98676090000000005</v>
      </c>
      <c r="AB217">
        <v>29</v>
      </c>
      <c r="AC217">
        <v>0.41759999999999298</v>
      </c>
      <c r="AD217">
        <v>-0.145424</v>
      </c>
      <c r="AE217">
        <v>-0.114900000000034</v>
      </c>
      <c r="AF217">
        <v>0.105840444167212</v>
      </c>
      <c r="AG217">
        <v>-0.145424</v>
      </c>
      <c r="AH217">
        <v>0.37457173504820601</v>
      </c>
      <c r="AI217">
        <v>110.486295369966</v>
      </c>
      <c r="AJ217">
        <v>74.221624359319193</v>
      </c>
      <c r="AK217">
        <v>0.41551693599002198</v>
      </c>
      <c r="AL217">
        <v>79.492390810996895</v>
      </c>
      <c r="AM217">
        <v>86.164899551042296</v>
      </c>
      <c r="AN217">
        <v>0.99999997012887498</v>
      </c>
    </row>
    <row r="218" spans="1:40" x14ac:dyDescent="0.25">
      <c r="A218" t="str">
        <f>"20190312172614209"</f>
        <v>20190312172614209</v>
      </c>
      <c r="B218" t="str">
        <f>"1552382774198919"</f>
        <v>1552382774198919</v>
      </c>
      <c r="C218" t="s">
        <v>40</v>
      </c>
      <c r="D218">
        <v>3.1743450000000002</v>
      </c>
      <c r="E218">
        <v>0.5416801</v>
      </c>
      <c r="F218" t="s">
        <v>44</v>
      </c>
      <c r="G218">
        <v>-445.0301</v>
      </c>
      <c r="H218">
        <v>0.91953030000000002</v>
      </c>
      <c r="I218">
        <v>367.34640000000002</v>
      </c>
      <c r="J218">
        <v>-445.67660000000001</v>
      </c>
      <c r="K218">
        <v>1.1088880000000001</v>
      </c>
      <c r="L218">
        <v>367.4957</v>
      </c>
      <c r="M218">
        <v>0.99996200000000002</v>
      </c>
      <c r="N218">
        <v>0</v>
      </c>
      <c r="O218">
        <v>6.6950069999999898E-3</v>
      </c>
      <c r="P218">
        <v>0.98234809999999995</v>
      </c>
      <c r="Q218">
        <v>0.17746979999999901</v>
      </c>
      <c r="R218">
        <v>-5.9135069999999998E-2</v>
      </c>
      <c r="S218">
        <v>3.1401979999999998</v>
      </c>
      <c r="T218">
        <v>-0.64889449999999904</v>
      </c>
      <c r="U218">
        <v>-0.50448609999999905</v>
      </c>
      <c r="V218">
        <v>6.5787239999999997E-2</v>
      </c>
      <c r="W218">
        <v>0.1829305</v>
      </c>
      <c r="X218">
        <v>0.98092219999999997</v>
      </c>
      <c r="Y218">
        <v>0.16175590000000001</v>
      </c>
      <c r="Z218">
        <v>-1.7796619999999999E-2</v>
      </c>
      <c r="AA218">
        <v>0.9866703</v>
      </c>
      <c r="AB218">
        <v>29</v>
      </c>
      <c r="AC218">
        <v>0.64650000000000296</v>
      </c>
      <c r="AD218">
        <v>-0.18935769999999899</v>
      </c>
      <c r="AE218">
        <v>-0.149299999999982</v>
      </c>
      <c r="AF218">
        <v>0.14205535936237401</v>
      </c>
      <c r="AG218">
        <v>-0.18935769999999899</v>
      </c>
      <c r="AH218">
        <v>0.59687362035165503</v>
      </c>
      <c r="AI218">
        <v>107.15172808272099</v>
      </c>
      <c r="AJ218">
        <v>76.612717436043297</v>
      </c>
      <c r="AK218">
        <v>0.64210138011419504</v>
      </c>
      <c r="AL218">
        <v>79.4594995277876</v>
      </c>
      <c r="AM218">
        <v>86.163105509100305</v>
      </c>
      <c r="AN218">
        <v>0.99999994561495198</v>
      </c>
    </row>
    <row r="219" spans="1:40" x14ac:dyDescent="0.25">
      <c r="A219" t="str">
        <f>"20190312172614233"</f>
        <v>20190312172614233</v>
      </c>
      <c r="B219" t="str">
        <f>"1552382774229176"</f>
        <v>1552382774229176</v>
      </c>
      <c r="C219" t="s">
        <v>40</v>
      </c>
      <c r="D219">
        <v>3.204602</v>
      </c>
      <c r="E219">
        <v>0.54190780000000005</v>
      </c>
      <c r="F219" t="s">
        <v>44</v>
      </c>
      <c r="G219">
        <v>-444.76960000000003</v>
      </c>
      <c r="H219">
        <v>0.92134490000000002</v>
      </c>
      <c r="I219">
        <v>367.34890000000001</v>
      </c>
      <c r="J219">
        <v>-445.38740000000001</v>
      </c>
      <c r="K219">
        <v>1.1088800000000001</v>
      </c>
      <c r="L219">
        <v>367.4975</v>
      </c>
      <c r="M219">
        <v>0.99996320000000005</v>
      </c>
      <c r="N219">
        <v>0</v>
      </c>
      <c r="O219">
        <v>6.4915750000000003E-3</v>
      </c>
      <c r="P219">
        <v>0.9822883</v>
      </c>
      <c r="Q219">
        <v>0.17769289999999999</v>
      </c>
      <c r="R219">
        <v>-5.9458459999999998E-2</v>
      </c>
      <c r="S219">
        <v>3.1406860000000001</v>
      </c>
      <c r="T219">
        <v>-0.64945299999999995</v>
      </c>
      <c r="U219">
        <v>-0.50674439999999998</v>
      </c>
      <c r="V219">
        <v>6.5911139999999993E-2</v>
      </c>
      <c r="W219">
        <v>0.18318980000000001</v>
      </c>
      <c r="X219">
        <v>0.98086549999999995</v>
      </c>
      <c r="Y219">
        <v>0.1622132</v>
      </c>
      <c r="Z219">
        <v>-1.781309E-2</v>
      </c>
      <c r="AA219">
        <v>0.98659490000000005</v>
      </c>
      <c r="AB219">
        <v>29</v>
      </c>
      <c r="AC219">
        <v>0.61779999999998803</v>
      </c>
      <c r="AD219">
        <v>-0.18753509999999901</v>
      </c>
      <c r="AE219">
        <v>-0.14859999999998699</v>
      </c>
      <c r="AF219">
        <v>0.140379655821111</v>
      </c>
      <c r="AG219">
        <v>-0.18753509999999901</v>
      </c>
      <c r="AH219">
        <v>0.56739902232148998</v>
      </c>
      <c r="AI219">
        <v>107.788493589571</v>
      </c>
      <c r="AJ219">
        <v>76.103559340759702</v>
      </c>
      <c r="AK219">
        <v>0.61385463428392095</v>
      </c>
      <c r="AL219">
        <v>79.444387463331793</v>
      </c>
      <c r="AM219">
        <v>86.155679416412198</v>
      </c>
      <c r="AN219">
        <v>0.99999995514519302</v>
      </c>
    </row>
    <row r="220" spans="1:40" x14ac:dyDescent="0.25">
      <c r="A220" t="str">
        <f>"20190312172614254"</f>
        <v>20190312172614254</v>
      </c>
      <c r="B220" t="str">
        <f>"1552382774248696"</f>
        <v>1552382774248696</v>
      </c>
      <c r="C220" t="s">
        <v>40</v>
      </c>
      <c r="D220">
        <v>3.1731590000000001</v>
      </c>
      <c r="E220">
        <v>0.5420547</v>
      </c>
      <c r="F220" t="s">
        <v>44</v>
      </c>
      <c r="G220">
        <v>-444.50709999999998</v>
      </c>
      <c r="H220">
        <v>0.92618040000000001</v>
      </c>
      <c r="I220">
        <v>367.3546</v>
      </c>
      <c r="J220">
        <v>-445.10129999999998</v>
      </c>
      <c r="K220">
        <v>1.108881</v>
      </c>
      <c r="L220">
        <v>367.4991</v>
      </c>
      <c r="M220">
        <v>0.99996410000000002</v>
      </c>
      <c r="N220">
        <v>0</v>
      </c>
      <c r="O220">
        <v>6.2908259999999898E-3</v>
      </c>
      <c r="P220">
        <v>0.98226420000000003</v>
      </c>
      <c r="Q220">
        <v>0.1777378</v>
      </c>
      <c r="R220">
        <v>-5.9719370000000001E-2</v>
      </c>
      <c r="S220">
        <v>3.1411739999999999</v>
      </c>
      <c r="T220">
        <v>-0.65196200000000004</v>
      </c>
      <c r="U220">
        <v>-0.509552</v>
      </c>
      <c r="V220">
        <v>6.5975199999999998E-2</v>
      </c>
      <c r="W220">
        <v>0.1832713</v>
      </c>
      <c r="X220">
        <v>0.980846</v>
      </c>
      <c r="Y220">
        <v>0.16281699999999999</v>
      </c>
      <c r="Z220">
        <v>-1.7897219999999998E-2</v>
      </c>
      <c r="AA220">
        <v>0.98649390000000003</v>
      </c>
      <c r="AB220">
        <v>29</v>
      </c>
      <c r="AC220">
        <v>0.59419999999999995</v>
      </c>
      <c r="AD220">
        <v>-0.18270059999999999</v>
      </c>
      <c r="AE220">
        <v>-0.144499999999993</v>
      </c>
      <c r="AF220">
        <v>0.13608786657526301</v>
      </c>
      <c r="AG220">
        <v>-0.18270059999999999</v>
      </c>
      <c r="AH220">
        <v>0.54466210284164596</v>
      </c>
      <c r="AI220">
        <v>108.02664904564899</v>
      </c>
      <c r="AJ220">
        <v>75.971445599204401</v>
      </c>
      <c r="AK220">
        <v>0.59038650301412798</v>
      </c>
      <c r="AL220">
        <v>79.439637769326495</v>
      </c>
      <c r="AM220">
        <v>86.151878012624493</v>
      </c>
      <c r="AN220">
        <v>0.99999998606736495</v>
      </c>
    </row>
    <row r="221" spans="1:40" x14ac:dyDescent="0.25">
      <c r="A221" t="str">
        <f>"20190312172614277"</f>
        <v>20190312172614277</v>
      </c>
      <c r="B221" t="str">
        <f>"1552382774269192"</f>
        <v>1552382774269192</v>
      </c>
      <c r="C221" t="s">
        <v>40</v>
      </c>
      <c r="D221">
        <v>3.193613</v>
      </c>
      <c r="E221">
        <v>0.54215119999999895</v>
      </c>
      <c r="F221" t="s">
        <v>44</v>
      </c>
      <c r="G221">
        <v>-444.24369999999999</v>
      </c>
      <c r="H221">
        <v>0.93064930000000001</v>
      </c>
      <c r="I221">
        <v>367.35899999999998</v>
      </c>
      <c r="J221">
        <v>-444.81290000000001</v>
      </c>
      <c r="K221">
        <v>1.108889</v>
      </c>
      <c r="L221">
        <v>367.50069999999999</v>
      </c>
      <c r="M221">
        <v>0.99996529999999995</v>
      </c>
      <c r="N221">
        <v>0</v>
      </c>
      <c r="O221">
        <v>6.088169E-3</v>
      </c>
      <c r="P221">
        <v>0.9822689</v>
      </c>
      <c r="Q221">
        <v>0.17781040000000001</v>
      </c>
      <c r="R221">
        <v>-5.9427960000000002E-2</v>
      </c>
      <c r="S221">
        <v>3.1412960000000001</v>
      </c>
      <c r="T221">
        <v>-0.65302769999999899</v>
      </c>
      <c r="U221">
        <v>-0.51159670000000002</v>
      </c>
      <c r="V221">
        <v>6.5485150000000006E-2</v>
      </c>
      <c r="W221">
        <v>0.18338099999999999</v>
      </c>
      <c r="X221">
        <v>0.98085829999999996</v>
      </c>
      <c r="Y221">
        <v>0.1632219</v>
      </c>
      <c r="Z221">
        <v>-1.7924229999999999E-2</v>
      </c>
      <c r="AA221">
        <v>0.98642649999999998</v>
      </c>
      <c r="AB221">
        <v>29</v>
      </c>
      <c r="AC221">
        <v>0.56920000000002302</v>
      </c>
      <c r="AD221">
        <v>-0.1782397</v>
      </c>
      <c r="AE221">
        <v>-0.141699999999957</v>
      </c>
      <c r="AF221">
        <v>0.13289224305969299</v>
      </c>
      <c r="AG221">
        <v>-0.1782397</v>
      </c>
      <c r="AH221">
        <v>0.52028624118045497</v>
      </c>
      <c r="AI221">
        <v>108.36223206720101</v>
      </c>
      <c r="AJ221">
        <v>75.671779833180395</v>
      </c>
      <c r="AK221">
        <v>0.56579811919377498</v>
      </c>
      <c r="AL221">
        <v>79.433243680915993</v>
      </c>
      <c r="AM221">
        <v>86.180423888976904</v>
      </c>
      <c r="AN221">
        <v>0.99999995035520495</v>
      </c>
    </row>
    <row r="222" spans="1:40" x14ac:dyDescent="0.25">
      <c r="A222" t="str">
        <f>"20190312172614299"</f>
        <v>20190312172614299</v>
      </c>
      <c r="B222" t="str">
        <f>"1552382774288712"</f>
        <v>1552382774288712</v>
      </c>
      <c r="C222" t="s">
        <v>40</v>
      </c>
      <c r="D222">
        <v>3.2099980000000001</v>
      </c>
      <c r="E222">
        <v>0.5421975</v>
      </c>
      <c r="F222" t="s">
        <v>44</v>
      </c>
      <c r="G222">
        <v>-443.97949999999997</v>
      </c>
      <c r="H222">
        <v>0.93537820000000005</v>
      </c>
      <c r="I222">
        <v>367.36500000000001</v>
      </c>
      <c r="J222">
        <v>-444.51080000000002</v>
      </c>
      <c r="K222">
        <v>1.1088910000000001</v>
      </c>
      <c r="L222">
        <v>367.50229999999999</v>
      </c>
      <c r="M222">
        <v>0.99996629999999997</v>
      </c>
      <c r="N222">
        <v>0</v>
      </c>
      <c r="O222">
        <v>5.8760890000000001E-3</v>
      </c>
      <c r="P222">
        <v>0.98220940000000001</v>
      </c>
      <c r="Q222">
        <v>0.17827170000000001</v>
      </c>
      <c r="R222">
        <v>-5.9025300000000003E-2</v>
      </c>
      <c r="S222">
        <v>3.141632</v>
      </c>
      <c r="T222">
        <v>-0.65416479999999999</v>
      </c>
      <c r="U222">
        <v>-0.51138309999999998</v>
      </c>
      <c r="V222">
        <v>6.4874689999999999E-2</v>
      </c>
      <c r="W222">
        <v>0.18387970000000001</v>
      </c>
      <c r="X222">
        <v>0.9808055</v>
      </c>
      <c r="Y222">
        <v>0.16292980000000001</v>
      </c>
      <c r="Z222">
        <v>-1.7879720000000002E-2</v>
      </c>
      <c r="AA222">
        <v>0.98647560000000001</v>
      </c>
      <c r="AB222">
        <v>29</v>
      </c>
      <c r="AC222">
        <v>0.53130000000004396</v>
      </c>
      <c r="AD222">
        <v>-0.17351279999999999</v>
      </c>
      <c r="AE222">
        <v>-0.13729999999998199</v>
      </c>
      <c r="AF222">
        <v>0.12765669334617599</v>
      </c>
      <c r="AG222">
        <v>-0.17351279999999999</v>
      </c>
      <c r="AH222">
        <v>0.48226753325898902</v>
      </c>
      <c r="AI222">
        <v>109.17802290006399</v>
      </c>
      <c r="AJ222">
        <v>75.173782002993093</v>
      </c>
      <c r="AK222">
        <v>0.52819020887898904</v>
      </c>
      <c r="AL222">
        <v>79.404175975577303</v>
      </c>
      <c r="AM222">
        <v>86.215723358569207</v>
      </c>
      <c r="AN222">
        <v>0.99999994915246604</v>
      </c>
    </row>
    <row r="223" spans="1:40" x14ac:dyDescent="0.25">
      <c r="A223" t="str">
        <f>"20190312172614321"</f>
        <v>20190312172614321</v>
      </c>
      <c r="B223" t="str">
        <f>"1552382774318968"</f>
        <v>1552382774318968</v>
      </c>
      <c r="C223" t="s">
        <v>40</v>
      </c>
      <c r="D223">
        <v>3.2293379999999998</v>
      </c>
      <c r="E223">
        <v>0.54223639999999995</v>
      </c>
      <c r="F223" t="s">
        <v>44</v>
      </c>
      <c r="G223">
        <v>-443.71289999999999</v>
      </c>
      <c r="H223">
        <v>0.94288340000000004</v>
      </c>
      <c r="I223">
        <v>367.37209999999999</v>
      </c>
      <c r="J223">
        <v>-444.21499999999997</v>
      </c>
      <c r="K223">
        <v>1.108887</v>
      </c>
      <c r="L223">
        <v>367.50389999999999</v>
      </c>
      <c r="M223">
        <v>0.99996739999999995</v>
      </c>
      <c r="N223">
        <v>0</v>
      </c>
      <c r="O223">
        <v>5.6683619999999997E-3</v>
      </c>
      <c r="P223">
        <v>0.9822282</v>
      </c>
      <c r="Q223">
        <v>0.17827760000000001</v>
      </c>
      <c r="R223">
        <v>-5.8695289999999997E-2</v>
      </c>
      <c r="S223">
        <v>3.1422119999999998</v>
      </c>
      <c r="T223">
        <v>-0.65377719999999995</v>
      </c>
      <c r="U223">
        <v>-0.51132200000000005</v>
      </c>
      <c r="V223">
        <v>6.4341309999999999E-2</v>
      </c>
      <c r="W223">
        <v>0.1839238</v>
      </c>
      <c r="X223">
        <v>0.98083240000000005</v>
      </c>
      <c r="Y223">
        <v>0.16269210000000001</v>
      </c>
      <c r="Z223">
        <v>-1.779938E-2</v>
      </c>
      <c r="AA223">
        <v>0.98651630000000001</v>
      </c>
      <c r="AB223">
        <v>29</v>
      </c>
      <c r="AC223">
        <v>0.502099999999984</v>
      </c>
      <c r="AD223">
        <v>-0.1660036</v>
      </c>
      <c r="AE223">
        <v>-0.131799999999998</v>
      </c>
      <c r="AF223">
        <v>0.122152427971345</v>
      </c>
      <c r="AG223">
        <v>-0.1660036</v>
      </c>
      <c r="AH223">
        <v>0.45483260977434298</v>
      </c>
      <c r="AI223">
        <v>109.41687444641801</v>
      </c>
      <c r="AJ223">
        <v>74.967049216877996</v>
      </c>
      <c r="AK223">
        <v>0.49935069218575701</v>
      </c>
      <c r="AL223">
        <v>79.401605748225606</v>
      </c>
      <c r="AM223">
        <v>86.246849875821496</v>
      </c>
      <c r="AN223">
        <v>0.99999998263435796</v>
      </c>
    </row>
    <row r="224" spans="1:40" x14ac:dyDescent="0.25">
      <c r="A224" t="str">
        <f>"20190312172614342"</f>
        <v>20190312172614342</v>
      </c>
      <c r="B224" t="str">
        <f>"1552382774338487"</f>
        <v>1552382774338487</v>
      </c>
      <c r="C224" t="s">
        <v>40</v>
      </c>
      <c r="D224">
        <v>3.2046770000000002</v>
      </c>
      <c r="E224">
        <v>0.54227289999999995</v>
      </c>
      <c r="F224" t="s">
        <v>44</v>
      </c>
      <c r="G224">
        <v>-443.44639999999998</v>
      </c>
      <c r="H224">
        <v>0.94832629999999996</v>
      </c>
      <c r="I224">
        <v>367.37880000000001</v>
      </c>
      <c r="J224">
        <v>-443.93639999999999</v>
      </c>
      <c r="K224">
        <v>1.1088880000000001</v>
      </c>
      <c r="L224">
        <v>367.5052</v>
      </c>
      <c r="M224">
        <v>0.99996810000000003</v>
      </c>
      <c r="N224">
        <v>0</v>
      </c>
      <c r="O224">
        <v>5.4732180000000002E-3</v>
      </c>
      <c r="P224">
        <v>0.98241060000000002</v>
      </c>
      <c r="Q224">
        <v>0.1775631</v>
      </c>
      <c r="R224">
        <v>-5.7799589999999998E-2</v>
      </c>
      <c r="S224">
        <v>3.143005</v>
      </c>
      <c r="T224">
        <v>-0.65657310000000002</v>
      </c>
      <c r="U224">
        <v>-0.50988770000000005</v>
      </c>
      <c r="V224">
        <v>6.3255270000000002E-2</v>
      </c>
      <c r="W224">
        <v>0.18324560000000001</v>
      </c>
      <c r="X224">
        <v>0.98102999999999996</v>
      </c>
      <c r="Y224">
        <v>0.16201160000000001</v>
      </c>
      <c r="Z224">
        <v>-1.776022E-2</v>
      </c>
      <c r="AA224">
        <v>0.98662899999999998</v>
      </c>
      <c r="AB224">
        <v>29</v>
      </c>
      <c r="AC224">
        <v>0.49000000000000898</v>
      </c>
      <c r="AD224">
        <v>-0.160561699999999</v>
      </c>
      <c r="AE224">
        <v>-0.12639999999998899</v>
      </c>
      <c r="AF224">
        <v>0.117273720749049</v>
      </c>
      <c r="AG224">
        <v>-0.160561699999999</v>
      </c>
      <c r="AH224">
        <v>0.44454692067600898</v>
      </c>
      <c r="AI224">
        <v>109.250877838348</v>
      </c>
      <c r="AJ224">
        <v>75.221765159106397</v>
      </c>
      <c r="AK224">
        <v>0.48698577984140101</v>
      </c>
      <c r="AL224">
        <v>79.441136000040004</v>
      </c>
      <c r="AM224">
        <v>86.310765304134307</v>
      </c>
      <c r="AN224">
        <v>1.0000000200010599</v>
      </c>
    </row>
    <row r="225" spans="1:40" x14ac:dyDescent="0.25">
      <c r="A225" t="str">
        <f>"20190312172614367"</f>
        <v>20190312172614367</v>
      </c>
      <c r="B225" t="str">
        <f>"1552382774358984"</f>
        <v>1552382774358984</v>
      </c>
      <c r="C225" t="s">
        <v>40</v>
      </c>
      <c r="D225">
        <v>3.1763210000000002</v>
      </c>
      <c r="E225">
        <v>0.54244329999999996</v>
      </c>
      <c r="F225" t="s">
        <v>44</v>
      </c>
      <c r="G225">
        <v>-443.18049999999999</v>
      </c>
      <c r="H225">
        <v>0.95003400000000005</v>
      </c>
      <c r="I225">
        <v>367.38279999999997</v>
      </c>
      <c r="J225">
        <v>-443.61279999999999</v>
      </c>
      <c r="K225">
        <v>1.108892</v>
      </c>
      <c r="L225">
        <v>367.5068</v>
      </c>
      <c r="M225">
        <v>0.9999692</v>
      </c>
      <c r="N225">
        <v>0</v>
      </c>
      <c r="O225">
        <v>5.2462849999999998E-3</v>
      </c>
      <c r="P225">
        <v>0.98241009999999995</v>
      </c>
      <c r="Q225">
        <v>0.17775869999999999</v>
      </c>
      <c r="R225">
        <v>-5.7207800000000003E-2</v>
      </c>
      <c r="S225">
        <v>3.1432500000000001</v>
      </c>
      <c r="T225">
        <v>-0.66064519999999904</v>
      </c>
      <c r="U225">
        <v>-0.50784300000000004</v>
      </c>
      <c r="V225">
        <v>6.2441080000000003E-2</v>
      </c>
      <c r="W225">
        <v>0.1834818</v>
      </c>
      <c r="X225">
        <v>0.98103799999999997</v>
      </c>
      <c r="Y225">
        <v>0.16113050000000001</v>
      </c>
      <c r="Z225">
        <v>-1.7729700000000001E-2</v>
      </c>
      <c r="AA225">
        <v>0.98677380000000003</v>
      </c>
      <c r="AB225">
        <v>30</v>
      </c>
      <c r="AC225">
        <v>0.43229999999999702</v>
      </c>
      <c r="AD225">
        <v>-0.158857999999999</v>
      </c>
      <c r="AE225">
        <v>-0.12400000000002299</v>
      </c>
      <c r="AF225">
        <v>0.11225967651654301</v>
      </c>
      <c r="AG225">
        <v>-0.158857999999999</v>
      </c>
      <c r="AH225">
        <v>0.38376161544850901</v>
      </c>
      <c r="AI225">
        <v>111.66792268877499</v>
      </c>
      <c r="AJ225">
        <v>73.694508639160304</v>
      </c>
      <c r="AK225">
        <v>0.43024536793235602</v>
      </c>
      <c r="AL225">
        <v>79.427369201346806</v>
      </c>
      <c r="AM225">
        <v>86.358152265745701</v>
      </c>
      <c r="AN225">
        <v>1.0000000084234</v>
      </c>
    </row>
    <row r="226" spans="1:40" x14ac:dyDescent="0.25">
      <c r="A226" t="str">
        <f>"20190312172614391"</f>
        <v>20190312172614391</v>
      </c>
      <c r="B226" t="str">
        <f>"1552382774378505"</f>
        <v>1552382774378505</v>
      </c>
      <c r="C226" t="s">
        <v>40</v>
      </c>
      <c r="D226">
        <v>3.2016589999999998</v>
      </c>
      <c r="E226">
        <v>0.54698089999999999</v>
      </c>
      <c r="F226" t="s">
        <v>44</v>
      </c>
      <c r="G226">
        <v>-442.90980000000002</v>
      </c>
      <c r="H226">
        <v>0.96090540000000002</v>
      </c>
      <c r="I226">
        <v>367.39330000000001</v>
      </c>
      <c r="J226">
        <v>-443.30610000000001</v>
      </c>
      <c r="K226">
        <v>1.108892</v>
      </c>
      <c r="L226">
        <v>367.50819999999999</v>
      </c>
      <c r="M226">
        <v>0.99997000000000003</v>
      </c>
      <c r="N226">
        <v>0</v>
      </c>
      <c r="O226">
        <v>5.0315769999999998E-3</v>
      </c>
      <c r="P226">
        <v>0.98248760000000002</v>
      </c>
      <c r="Q226">
        <v>0.17739260000000001</v>
      </c>
      <c r="R226">
        <v>-5.7010640000000001E-2</v>
      </c>
      <c r="S226">
        <v>3.1439509999999999</v>
      </c>
      <c r="T226">
        <v>-0.66178309999999996</v>
      </c>
      <c r="U226">
        <v>-0.5068665</v>
      </c>
      <c r="V226">
        <v>6.2033850000000001E-2</v>
      </c>
      <c r="W226">
        <v>0.18315509999999999</v>
      </c>
      <c r="X226">
        <v>0.98112489999999997</v>
      </c>
      <c r="Y226">
        <v>0.1605907</v>
      </c>
      <c r="Z226">
        <v>-1.7655899999999999E-2</v>
      </c>
      <c r="AA226">
        <v>0.98686309999999999</v>
      </c>
      <c r="AB226">
        <v>30</v>
      </c>
      <c r="AC226">
        <v>0.39629999999999599</v>
      </c>
      <c r="AD226">
        <v>-0.147986599999999</v>
      </c>
      <c r="AE226">
        <v>-0.11489999999997701</v>
      </c>
      <c r="AF226">
        <v>0.103570317840971</v>
      </c>
      <c r="AG226">
        <v>-0.147986599999999</v>
      </c>
      <c r="AH226">
        <v>0.35061690396253398</v>
      </c>
      <c r="AI226">
        <v>112.037310637913</v>
      </c>
      <c r="AJ226">
        <v>73.543147457651997</v>
      </c>
      <c r="AK226">
        <v>0.39440975883148799</v>
      </c>
      <c r="AL226">
        <v>79.446410635624602</v>
      </c>
      <c r="AM226">
        <v>86.382160087376207</v>
      </c>
      <c r="AN226">
        <v>1.0000000293009199</v>
      </c>
    </row>
    <row r="227" spans="1:40" x14ac:dyDescent="0.25">
      <c r="A227" t="str">
        <f>"20190312172614410"</f>
        <v>20190312172614410</v>
      </c>
      <c r="B227" t="str">
        <f>"1552382774399012"</f>
        <v>1552382774399012</v>
      </c>
      <c r="C227" t="s">
        <v>40</v>
      </c>
      <c r="D227">
        <v>3.210477</v>
      </c>
      <c r="E227">
        <v>0.54760629999999999</v>
      </c>
      <c r="F227" t="s">
        <v>44</v>
      </c>
      <c r="G227">
        <v>-442.39859999999999</v>
      </c>
      <c r="H227">
        <v>0.90317029999999998</v>
      </c>
      <c r="I227">
        <v>367.35199999999998</v>
      </c>
      <c r="J227">
        <v>-443.02890000000002</v>
      </c>
      <c r="K227">
        <v>1.108889</v>
      </c>
      <c r="L227">
        <v>367.50940000000003</v>
      </c>
      <c r="M227">
        <v>0.99997069999999999</v>
      </c>
      <c r="N227">
        <v>0</v>
      </c>
      <c r="O227">
        <v>4.8375650000000003E-3</v>
      </c>
      <c r="P227">
        <v>0.98251520000000003</v>
      </c>
      <c r="Q227">
        <v>0.1772156</v>
      </c>
      <c r="R227">
        <v>-5.7085379999999998E-2</v>
      </c>
      <c r="S227">
        <v>3.15097</v>
      </c>
      <c r="T227">
        <v>-0.7143526</v>
      </c>
      <c r="U227">
        <v>-0.54156490000000002</v>
      </c>
      <c r="V227">
        <v>6.191845E-2</v>
      </c>
      <c r="W227">
        <v>0.1830126</v>
      </c>
      <c r="X227">
        <v>0.98115870000000005</v>
      </c>
      <c r="Y227">
        <v>0.16984639999999901</v>
      </c>
      <c r="Z227">
        <v>-1.9953780000000001E-2</v>
      </c>
      <c r="AA227">
        <v>0.98526849999999999</v>
      </c>
      <c r="AB227">
        <v>30</v>
      </c>
      <c r="AC227">
        <v>0.63030000000003295</v>
      </c>
      <c r="AD227">
        <v>-0.20571869999999901</v>
      </c>
      <c r="AE227">
        <v>-0.157400000000052</v>
      </c>
      <c r="AF227">
        <v>0.14582511820757799</v>
      </c>
      <c r="AG227">
        <v>-0.20571869999999901</v>
      </c>
      <c r="AH227">
        <v>0.57215946842161503</v>
      </c>
      <c r="AI227">
        <v>109.208843357787</v>
      </c>
      <c r="AJ227">
        <v>75.701551652351796</v>
      </c>
      <c r="AK227">
        <v>0.625261230154604</v>
      </c>
      <c r="AL227">
        <v>79.454714819728196</v>
      </c>
      <c r="AM227">
        <v>86.388996508992406</v>
      </c>
      <c r="AN227">
        <v>0.99999995039742495</v>
      </c>
    </row>
    <row r="228" spans="1:40" x14ac:dyDescent="0.25">
      <c r="A228" t="str">
        <f>"20190312172614433"</f>
        <v>20190312172614433</v>
      </c>
      <c r="B228" t="str">
        <f>"1552382774429257"</f>
        <v>1552382774429257</v>
      </c>
      <c r="C228" t="s">
        <v>40</v>
      </c>
      <c r="D228">
        <v>3.1988669999999999</v>
      </c>
      <c r="E228">
        <v>0.54752990000000001</v>
      </c>
      <c r="F228" t="s">
        <v>44</v>
      </c>
      <c r="G228">
        <v>-442.12950000000001</v>
      </c>
      <c r="H228">
        <v>0.90431689999999998</v>
      </c>
      <c r="I228">
        <v>367.35289999999998</v>
      </c>
      <c r="J228">
        <v>-442.733</v>
      </c>
      <c r="K228">
        <v>1.1088849999999999</v>
      </c>
      <c r="L228">
        <v>367.51060000000001</v>
      </c>
      <c r="M228">
        <v>0.99997139999999995</v>
      </c>
      <c r="N228">
        <v>0</v>
      </c>
      <c r="O228">
        <v>4.6305499999999998E-3</v>
      </c>
      <c r="P228">
        <v>0.98246060000000002</v>
      </c>
      <c r="Q228">
        <v>0.17750379999999999</v>
      </c>
      <c r="R228">
        <v>-5.7129979999999997E-2</v>
      </c>
      <c r="S228">
        <v>3.1509399999999999</v>
      </c>
      <c r="T228">
        <v>-0.71674569999999904</v>
      </c>
      <c r="U228">
        <v>-0.54702759999999995</v>
      </c>
      <c r="V228">
        <v>6.1760049999999997E-2</v>
      </c>
      <c r="W228">
        <v>0.18333740000000001</v>
      </c>
      <c r="X228">
        <v>0.98110810000000004</v>
      </c>
      <c r="Y228">
        <v>0.17124600000000001</v>
      </c>
      <c r="Z228">
        <v>-2.012624E-2</v>
      </c>
      <c r="AA228">
        <v>0.98502270000000003</v>
      </c>
      <c r="AB228">
        <v>30</v>
      </c>
      <c r="AC228">
        <v>0.60349999999999604</v>
      </c>
      <c r="AD228">
        <v>-0.2045681</v>
      </c>
      <c r="AE228">
        <v>-0.15770000000003301</v>
      </c>
      <c r="AF228">
        <v>0.14490723378513901</v>
      </c>
      <c r="AG228">
        <v>-0.2045681</v>
      </c>
      <c r="AH228">
        <v>0.54422819622511298</v>
      </c>
      <c r="AI228">
        <v>109.962609338539</v>
      </c>
      <c r="AJ228">
        <v>75.090236723088495</v>
      </c>
      <c r="AK228">
        <v>0.59919157496355901</v>
      </c>
      <c r="AL228">
        <v>79.435785443608793</v>
      </c>
      <c r="AM228">
        <v>86.398024571505999</v>
      </c>
      <c r="AN228">
        <v>1.00000000495018</v>
      </c>
    </row>
    <row r="229" spans="1:40" x14ac:dyDescent="0.25">
      <c r="A229" t="str">
        <f>"20190312172614456"</f>
        <v>20190312172614456</v>
      </c>
      <c r="B229" t="str">
        <f>"1552382774448776"</f>
        <v>1552382774448776</v>
      </c>
      <c r="C229" t="s">
        <v>40</v>
      </c>
      <c r="D229">
        <v>3.2409140000000001</v>
      </c>
      <c r="E229">
        <v>0.54757339999999999</v>
      </c>
      <c r="F229" t="s">
        <v>44</v>
      </c>
      <c r="G229">
        <v>-441.85809999999998</v>
      </c>
      <c r="H229">
        <v>0.90949579999999997</v>
      </c>
      <c r="I229">
        <v>367.35849999999999</v>
      </c>
      <c r="J229">
        <v>-442.4196</v>
      </c>
      <c r="K229">
        <v>1.108887</v>
      </c>
      <c r="L229">
        <v>367.51179999999999</v>
      </c>
      <c r="M229">
        <v>0.99997230000000004</v>
      </c>
      <c r="N229">
        <v>0</v>
      </c>
      <c r="O229">
        <v>4.4112480000000004E-3</v>
      </c>
      <c r="P229">
        <v>0.98252949999999994</v>
      </c>
      <c r="Q229">
        <v>0.17716750000000001</v>
      </c>
      <c r="R229">
        <v>-5.6989199999999997E-2</v>
      </c>
      <c r="S229">
        <v>3.1515200000000001</v>
      </c>
      <c r="T229">
        <v>-0.7182944</v>
      </c>
      <c r="U229">
        <v>-0.54663090000000003</v>
      </c>
      <c r="V229">
        <v>6.1404439999999998E-2</v>
      </c>
      <c r="W229">
        <v>0.18304119999999999</v>
      </c>
      <c r="X229">
        <v>0.98118570000000005</v>
      </c>
      <c r="Y229">
        <v>0.17087659999999999</v>
      </c>
      <c r="Z229">
        <v>-2.0075039999999999E-2</v>
      </c>
      <c r="AA229">
        <v>0.98508790000000002</v>
      </c>
      <c r="AB229">
        <v>30</v>
      </c>
      <c r="AC229">
        <v>0.56150000000002298</v>
      </c>
      <c r="AD229">
        <v>-0.19939119999999999</v>
      </c>
      <c r="AE229">
        <v>-0.15330000000000099</v>
      </c>
      <c r="AF229">
        <v>0.13941486689267499</v>
      </c>
      <c r="AG229">
        <v>-0.19939119999999999</v>
      </c>
      <c r="AH229">
        <v>0.50191732081604401</v>
      </c>
      <c r="AI229">
        <v>110.945222454446</v>
      </c>
      <c r="AJ229">
        <v>74.476589628855507</v>
      </c>
      <c r="AK229">
        <v>0.55777625683001097</v>
      </c>
      <c r="AL229">
        <v>79.453048341653897</v>
      </c>
      <c r="AM229">
        <v>86.418992858390993</v>
      </c>
      <c r="AN229">
        <v>0.99999998201682105</v>
      </c>
    </row>
    <row r="230" spans="1:40" x14ac:dyDescent="0.25">
      <c r="A230" t="str">
        <f>"20190312172614478"</f>
        <v>20190312172614478</v>
      </c>
      <c r="B230" t="str">
        <f>"1552382774468296"</f>
        <v>1552382774468296</v>
      </c>
      <c r="C230" t="s">
        <v>40</v>
      </c>
      <c r="D230">
        <v>3.2124809999999999</v>
      </c>
      <c r="E230">
        <v>0.54733430000000005</v>
      </c>
      <c r="F230" t="s">
        <v>44</v>
      </c>
      <c r="G230">
        <v>-441.58440000000002</v>
      </c>
      <c r="H230">
        <v>0.91835670000000003</v>
      </c>
      <c r="I230">
        <v>367.3664</v>
      </c>
      <c r="J230">
        <v>-442.12290000000002</v>
      </c>
      <c r="K230">
        <v>1.1088830000000001</v>
      </c>
      <c r="L230">
        <v>367.5129</v>
      </c>
      <c r="M230">
        <v>0.99997290000000005</v>
      </c>
      <c r="N230">
        <v>0</v>
      </c>
      <c r="O230">
        <v>4.2040530000000001E-3</v>
      </c>
      <c r="P230">
        <v>0.98250340000000003</v>
      </c>
      <c r="Q230">
        <v>0.17720610000000001</v>
      </c>
      <c r="R230">
        <v>-5.7316760000000001E-2</v>
      </c>
      <c r="S230">
        <v>3.1512449999999999</v>
      </c>
      <c r="T230">
        <v>-0.71901079999999995</v>
      </c>
      <c r="U230">
        <v>-0.54748540000000001</v>
      </c>
      <c r="V230">
        <v>6.1529210000000001E-2</v>
      </c>
      <c r="W230">
        <v>0.18311569999999999</v>
      </c>
      <c r="X230">
        <v>0.98116400000000004</v>
      </c>
      <c r="Y230">
        <v>0.17094089999999901</v>
      </c>
      <c r="Z230">
        <v>-2.0056640000000001E-2</v>
      </c>
      <c r="AA230">
        <v>0.98507710000000004</v>
      </c>
      <c r="AB230">
        <v>30</v>
      </c>
      <c r="AC230">
        <v>0.53849999999999898</v>
      </c>
      <c r="AD230">
        <v>-0.19052630000000001</v>
      </c>
      <c r="AE230">
        <v>-0.14650000000000299</v>
      </c>
      <c r="AF230">
        <v>0.13323364299697099</v>
      </c>
      <c r="AG230">
        <v>-0.19052630000000001</v>
      </c>
      <c r="AH230">
        <v>0.48173135831529601</v>
      </c>
      <c r="AI230">
        <v>110.866479926073</v>
      </c>
      <c r="AJ230">
        <v>74.540019781538305</v>
      </c>
      <c r="AK230">
        <v>0.53489865974989503</v>
      </c>
      <c r="AL230">
        <v>79.448706602307894</v>
      </c>
      <c r="AM230">
        <v>86.411656313867198</v>
      </c>
      <c r="AN230">
        <v>0.99999999908285697</v>
      </c>
    </row>
    <row r="231" spans="1:40" x14ac:dyDescent="0.25">
      <c r="A231" t="str">
        <f>"20190312172614499"</f>
        <v>20190312172614499</v>
      </c>
      <c r="B231" t="str">
        <f>"1552382774488795"</f>
        <v>1552382774488795</v>
      </c>
      <c r="C231" t="s">
        <v>40</v>
      </c>
      <c r="D231">
        <v>3.2467790000000001</v>
      </c>
      <c r="E231">
        <v>0.5473595</v>
      </c>
      <c r="F231" t="s">
        <v>44</v>
      </c>
      <c r="G231">
        <v>-441.31150000000002</v>
      </c>
      <c r="H231">
        <v>0.92333580000000004</v>
      </c>
      <c r="I231">
        <v>367.37209999999999</v>
      </c>
      <c r="J231">
        <v>-441.82580000000002</v>
      </c>
      <c r="K231">
        <v>1.1088910000000001</v>
      </c>
      <c r="L231">
        <v>367.51400000000001</v>
      </c>
      <c r="M231">
        <v>0.99997369999999997</v>
      </c>
      <c r="N231">
        <v>0</v>
      </c>
      <c r="O231">
        <v>3.9965010000000004E-3</v>
      </c>
      <c r="P231">
        <v>0.98258389999999995</v>
      </c>
      <c r="Q231">
        <v>0.17673910000000001</v>
      </c>
      <c r="R231">
        <v>-5.7380979999999998E-2</v>
      </c>
      <c r="S231">
        <v>3.1515810000000002</v>
      </c>
      <c r="T231">
        <v>-0.72074459999999996</v>
      </c>
      <c r="U231">
        <v>-0.54586789999999996</v>
      </c>
      <c r="V231">
        <v>6.1389949999999999E-2</v>
      </c>
      <c r="W231">
        <v>0.18268580000000001</v>
      </c>
      <c r="X231">
        <v>0.98125280000000004</v>
      </c>
      <c r="Y231">
        <v>0.17023070000000001</v>
      </c>
      <c r="Z231">
        <v>-1.9976460000000001E-2</v>
      </c>
      <c r="AA231">
        <v>0.98520169999999996</v>
      </c>
      <c r="AB231">
        <v>30</v>
      </c>
      <c r="AC231">
        <v>0.51429999999999099</v>
      </c>
      <c r="AD231">
        <v>-0.1855552</v>
      </c>
      <c r="AE231">
        <v>-0.14190000000002001</v>
      </c>
      <c r="AF231">
        <v>0.12842028661263699</v>
      </c>
      <c r="AG231">
        <v>-0.1855552</v>
      </c>
      <c r="AH231">
        <v>0.45829263028068101</v>
      </c>
      <c r="AI231">
        <v>111.299152651669</v>
      </c>
      <c r="AJ231">
        <v>74.346352341009506</v>
      </c>
      <c r="AK231">
        <v>0.51083719248924797</v>
      </c>
      <c r="AL231">
        <v>79.473760083460505</v>
      </c>
      <c r="AM231">
        <v>86.420079875498601</v>
      </c>
      <c r="AN231">
        <v>0.99999994249523905</v>
      </c>
    </row>
    <row r="232" spans="1:40" x14ac:dyDescent="0.25">
      <c r="A232" t="str">
        <f>"20190312172614521"</f>
        <v>20190312172614521</v>
      </c>
      <c r="B232" t="str">
        <f>"1552382774519048"</f>
        <v>1552382774519048</v>
      </c>
      <c r="C232" t="s">
        <v>40</v>
      </c>
      <c r="D232">
        <v>3.2254040000000002</v>
      </c>
      <c r="E232">
        <v>0.54748980000000003</v>
      </c>
      <c r="F232" t="s">
        <v>44</v>
      </c>
      <c r="G232">
        <v>-441.03769999999997</v>
      </c>
      <c r="H232">
        <v>0.92797969999999996</v>
      </c>
      <c r="I232">
        <v>367.37700000000001</v>
      </c>
      <c r="J232">
        <v>-441.5258</v>
      </c>
      <c r="K232">
        <v>1.108895</v>
      </c>
      <c r="L232">
        <v>367.51499999999999</v>
      </c>
      <c r="M232">
        <v>0.99997429999999998</v>
      </c>
      <c r="N232">
        <v>0</v>
      </c>
      <c r="O232">
        <v>3.7868609999999999E-3</v>
      </c>
      <c r="P232">
        <v>0.98257609999999995</v>
      </c>
      <c r="Q232">
        <v>0.176755299999999</v>
      </c>
      <c r="R232">
        <v>-5.7464559999999998E-2</v>
      </c>
      <c r="S232">
        <v>3.1514280000000001</v>
      </c>
      <c r="T232">
        <v>-0.72354410000000002</v>
      </c>
      <c r="U232">
        <v>-0.54580689999999998</v>
      </c>
      <c r="V232">
        <v>6.1268179999999998E-2</v>
      </c>
      <c r="W232">
        <v>0.18273880000000001</v>
      </c>
      <c r="X232">
        <v>0.98125059999999997</v>
      </c>
      <c r="Y232">
        <v>0.16999110000000001</v>
      </c>
      <c r="Z232">
        <v>-1.997896E-2</v>
      </c>
      <c r="AA232">
        <v>0.98524299999999998</v>
      </c>
      <c r="AB232">
        <v>30</v>
      </c>
      <c r="AC232">
        <v>0.48810000000003101</v>
      </c>
      <c r="AD232">
        <v>-0.1809153</v>
      </c>
      <c r="AE232">
        <v>-0.13800000000003301</v>
      </c>
      <c r="AF232">
        <v>0.12406464499464399</v>
      </c>
      <c r="AG232">
        <v>-0.1809153</v>
      </c>
      <c r="AH232">
        <v>0.43254775025569703</v>
      </c>
      <c r="AI232">
        <v>111.902313753296</v>
      </c>
      <c r="AJ232">
        <v>73.995890780069004</v>
      </c>
      <c r="AK232">
        <v>0.48499478158326798</v>
      </c>
      <c r="AL232">
        <v>79.470672020175897</v>
      </c>
      <c r="AM232">
        <v>86.427154422434796</v>
      </c>
      <c r="AN232">
        <v>0.99999999945315599</v>
      </c>
    </row>
    <row r="233" spans="1:40" x14ac:dyDescent="0.25">
      <c r="A233" t="str">
        <f>"20190312172614544"</f>
        <v>20190312172614544</v>
      </c>
      <c r="B233" t="str">
        <f>"1552382774538568"</f>
        <v>1552382774538568</v>
      </c>
      <c r="C233" t="s">
        <v>40</v>
      </c>
      <c r="D233">
        <v>3.2491650000000001</v>
      </c>
      <c r="E233">
        <v>0.54755410000000004</v>
      </c>
      <c r="F233" t="s">
        <v>44</v>
      </c>
      <c r="G233">
        <v>-440.7627</v>
      </c>
      <c r="H233">
        <v>0.93343770000000004</v>
      </c>
      <c r="I233">
        <v>367.38240000000002</v>
      </c>
      <c r="J233">
        <v>-441.21609999999998</v>
      </c>
      <c r="K233">
        <v>1.1089</v>
      </c>
      <c r="L233">
        <v>367.51600000000002</v>
      </c>
      <c r="M233">
        <v>0.99997480000000005</v>
      </c>
      <c r="N233">
        <v>0</v>
      </c>
      <c r="O233">
        <v>3.5710149999999999E-3</v>
      </c>
      <c r="P233">
        <v>0.98249359999999997</v>
      </c>
      <c r="Q233">
        <v>0.17733869999999999</v>
      </c>
      <c r="R233">
        <v>-5.7076050000000003E-2</v>
      </c>
      <c r="S233">
        <v>3.1515810000000002</v>
      </c>
      <c r="T233">
        <v>-0.72461009999999904</v>
      </c>
      <c r="U233">
        <v>-0.54714969999999996</v>
      </c>
      <c r="V233">
        <v>6.0668100000000003E-2</v>
      </c>
      <c r="W233">
        <v>0.18335989999999999</v>
      </c>
      <c r="X233">
        <v>0.98117200000000004</v>
      </c>
      <c r="Y233">
        <v>0.17016719999999999</v>
      </c>
      <c r="Z233">
        <v>-1.997722E-2</v>
      </c>
      <c r="AA233">
        <v>0.98521270000000005</v>
      </c>
      <c r="AB233">
        <v>30</v>
      </c>
      <c r="AC233">
        <v>0.45339999999998698</v>
      </c>
      <c r="AD233">
        <v>-0.17546229999999899</v>
      </c>
      <c r="AE233">
        <v>-0.13359999999994401</v>
      </c>
      <c r="AF233">
        <v>0.11884202124099499</v>
      </c>
      <c r="AG233">
        <v>-0.17546229999999899</v>
      </c>
      <c r="AH233">
        <v>0.39806696998254099</v>
      </c>
      <c r="AI233">
        <v>112.89748156264</v>
      </c>
      <c r="AJ233">
        <v>73.377120632497395</v>
      </c>
      <c r="AK233">
        <v>0.450963144087204</v>
      </c>
      <c r="AL233">
        <v>79.434473817280207</v>
      </c>
      <c r="AM233">
        <v>86.4617759860935</v>
      </c>
      <c r="AN233">
        <v>0.99999998243480903</v>
      </c>
    </row>
    <row r="234" spans="1:40" x14ac:dyDescent="0.25">
      <c r="A234" t="str">
        <f>"20190312172614567"</f>
        <v>20190312172614567</v>
      </c>
      <c r="B234" t="str">
        <f>"1552382774559064"</f>
        <v>1552382774559064</v>
      </c>
      <c r="C234" t="s">
        <v>40</v>
      </c>
      <c r="D234">
        <v>3.2697189999999998</v>
      </c>
      <c r="E234">
        <v>0.54763580000000001</v>
      </c>
      <c r="F234" t="s">
        <v>44</v>
      </c>
      <c r="G234">
        <v>-440.48570000000001</v>
      </c>
      <c r="H234">
        <v>0.94125349999999997</v>
      </c>
      <c r="I234">
        <v>367.38889999999998</v>
      </c>
      <c r="J234">
        <v>-440.8931</v>
      </c>
      <c r="K234">
        <v>1.1087640000000001</v>
      </c>
      <c r="L234">
        <v>367.51679999999999</v>
      </c>
      <c r="M234">
        <v>0.99997840000000005</v>
      </c>
      <c r="N234">
        <v>0</v>
      </c>
      <c r="O234">
        <v>3.339575E-3</v>
      </c>
      <c r="P234">
        <v>0.98226519999999995</v>
      </c>
      <c r="Q234">
        <v>0.17868539999999999</v>
      </c>
      <c r="R234">
        <v>-5.6805330000000001E-2</v>
      </c>
      <c r="S234">
        <v>3.1523129999999999</v>
      </c>
      <c r="T234">
        <v>-0.72354969999999996</v>
      </c>
      <c r="U234">
        <v>-0.54663090000000003</v>
      </c>
      <c r="V234">
        <v>6.0168939999999997E-2</v>
      </c>
      <c r="W234">
        <v>0.18425240000000001</v>
      </c>
      <c r="X234">
        <v>0.98103549999999995</v>
      </c>
      <c r="Y234">
        <v>0.1697736</v>
      </c>
      <c r="Z234">
        <v>-1.984818E-2</v>
      </c>
      <c r="AA234">
        <v>0.98528320000000003</v>
      </c>
      <c r="AB234">
        <v>31</v>
      </c>
      <c r="AC234">
        <v>0.40739999999999499</v>
      </c>
      <c r="AD234">
        <v>-0.16751049999999901</v>
      </c>
      <c r="AE234">
        <v>-0.127900000000011</v>
      </c>
      <c r="AF234">
        <v>0.112020672981713</v>
      </c>
      <c r="AG234">
        <v>-0.16751049999999901</v>
      </c>
      <c r="AH234">
        <v>0.35269357681118302</v>
      </c>
      <c r="AI234">
        <v>114.354487036267</v>
      </c>
      <c r="AJ234">
        <v>72.379385647856395</v>
      </c>
      <c r="AK234">
        <v>0.40620334551723197</v>
      </c>
      <c r="AL234">
        <v>79.382450647274396</v>
      </c>
      <c r="AM234">
        <v>86.490327403779801</v>
      </c>
      <c r="AN234">
        <v>0.99999995025336497</v>
      </c>
    </row>
    <row r="235" spans="1:40" x14ac:dyDescent="0.25">
      <c r="A235" t="str">
        <f>"20190312172614591"</f>
        <v>20190312172614591</v>
      </c>
      <c r="B235" t="str">
        <f>"1552382774578584"</f>
        <v>1552382774578584</v>
      </c>
      <c r="C235" t="s">
        <v>40</v>
      </c>
      <c r="D235">
        <v>3.2550319999999999</v>
      </c>
      <c r="E235">
        <v>0.54764840000000004</v>
      </c>
      <c r="F235" t="s">
        <v>44</v>
      </c>
      <c r="G235">
        <v>-440.20490000000001</v>
      </c>
      <c r="H235">
        <v>0.95156430000000003</v>
      </c>
      <c r="I235">
        <v>367.39780000000002</v>
      </c>
      <c r="J235">
        <v>-440.57830000000001</v>
      </c>
      <c r="K235">
        <v>1.1085100000000001</v>
      </c>
      <c r="L235">
        <v>367.51769999999999</v>
      </c>
      <c r="M235">
        <v>0.99998160000000003</v>
      </c>
      <c r="N235">
        <v>0</v>
      </c>
      <c r="O235">
        <v>3.1127310000000001E-3</v>
      </c>
      <c r="P235">
        <v>0.9821318</v>
      </c>
      <c r="Q235">
        <v>0.1796246</v>
      </c>
      <c r="R235">
        <v>-5.6145639999999997E-2</v>
      </c>
      <c r="S235">
        <v>3.1536559999999998</v>
      </c>
      <c r="T235">
        <v>-0.72034169999999997</v>
      </c>
      <c r="U235">
        <v>-0.54519649999999997</v>
      </c>
      <c r="V235">
        <v>5.9285169999999998E-2</v>
      </c>
      <c r="W235">
        <v>0.18474119999999999</v>
      </c>
      <c r="X235">
        <v>0.98099740000000002</v>
      </c>
      <c r="Y235">
        <v>0.16910819999999999</v>
      </c>
      <c r="Z235">
        <v>-1.96297E-2</v>
      </c>
      <c r="AA235">
        <v>0.985402</v>
      </c>
      <c r="AB235">
        <v>31</v>
      </c>
      <c r="AC235">
        <v>0.37340000000000301</v>
      </c>
      <c r="AD235">
        <v>-0.15694569999999999</v>
      </c>
      <c r="AE235">
        <v>-0.119899999999972</v>
      </c>
      <c r="AF235">
        <v>0.104349883740938</v>
      </c>
      <c r="AG235">
        <v>-0.15694569999999999</v>
      </c>
      <c r="AH235">
        <v>0.32153111175654803</v>
      </c>
      <c r="AI235">
        <v>114.90455685122799</v>
      </c>
      <c r="AJ235">
        <v>72.019651278084396</v>
      </c>
      <c r="AK235">
        <v>0.37269707110821099</v>
      </c>
      <c r="AL235">
        <v>79.3539555109395</v>
      </c>
      <c r="AM235">
        <v>86.541617952448505</v>
      </c>
      <c r="AN235">
        <v>0.999999970583064</v>
      </c>
    </row>
    <row r="236" spans="1:40" x14ac:dyDescent="0.25">
      <c r="A236" t="str">
        <f>"20190312172614612"</f>
        <v>20190312172614612</v>
      </c>
      <c r="B236" t="str">
        <f>"1552382774608840"</f>
        <v>1552382774608840</v>
      </c>
      <c r="C236" t="s">
        <v>40</v>
      </c>
      <c r="D236">
        <v>3.2862119999999999</v>
      </c>
      <c r="E236">
        <v>0.54780980000000001</v>
      </c>
      <c r="F236" t="s">
        <v>44</v>
      </c>
      <c r="G236">
        <v>-439.6669</v>
      </c>
      <c r="H236">
        <v>0.90110170000000001</v>
      </c>
      <c r="I236">
        <v>367.3605</v>
      </c>
      <c r="J236">
        <v>-440.27269999999999</v>
      </c>
      <c r="K236">
        <v>1.1081529999999999</v>
      </c>
      <c r="L236">
        <v>367.51850000000002</v>
      </c>
      <c r="M236">
        <v>0.9999827</v>
      </c>
      <c r="N236">
        <v>0</v>
      </c>
      <c r="O236">
        <v>2.895318E-3</v>
      </c>
      <c r="P236">
        <v>0.98220850000000004</v>
      </c>
      <c r="Q236">
        <v>0.17927100000000001</v>
      </c>
      <c r="R236">
        <v>-5.5934879999999999E-2</v>
      </c>
      <c r="S236">
        <v>3.1548159999999998</v>
      </c>
      <c r="T236">
        <v>-0.71802259999999996</v>
      </c>
      <c r="U236">
        <v>-0.54302980000000001</v>
      </c>
      <c r="V236">
        <v>5.8861459999999997E-2</v>
      </c>
      <c r="W236">
        <v>0.18429409999999999</v>
      </c>
      <c r="X236">
        <v>0.98110710000000001</v>
      </c>
      <c r="Y236">
        <v>0.16823299999999999</v>
      </c>
      <c r="Z236">
        <v>-1.9416050000000001E-2</v>
      </c>
      <c r="AA236">
        <v>0.98555599999999999</v>
      </c>
      <c r="AB236">
        <v>31</v>
      </c>
      <c r="AC236">
        <v>0.60579999999998702</v>
      </c>
      <c r="AD236">
        <v>-0.20705129999999999</v>
      </c>
      <c r="AE236">
        <v>-0.15800000000001499</v>
      </c>
      <c r="AF236">
        <v>0.14400305638691799</v>
      </c>
      <c r="AG236">
        <v>-0.20705129999999999</v>
      </c>
      <c r="AH236">
        <v>0.545658744776785</v>
      </c>
      <c r="AI236">
        <v>110.147614987479</v>
      </c>
      <c r="AJ236">
        <v>75.216314231698604</v>
      </c>
      <c r="AK236">
        <v>0.60112443539739802</v>
      </c>
      <c r="AL236">
        <v>79.380021009122302</v>
      </c>
      <c r="AM236">
        <v>86.566658607316498</v>
      </c>
      <c r="AN236">
        <v>1.0000000642192699</v>
      </c>
    </row>
    <row r="237" spans="1:40" x14ac:dyDescent="0.25">
      <c r="A237" t="str">
        <f>"20190312172614634"</f>
        <v>20190312172614634</v>
      </c>
      <c r="B237" t="str">
        <f>"1552382774628361"</f>
        <v>1552382774628361</v>
      </c>
      <c r="C237" t="s">
        <v>40</v>
      </c>
      <c r="D237">
        <v>3.3169849999999999</v>
      </c>
      <c r="E237">
        <v>0.54794719999999997</v>
      </c>
      <c r="F237" t="s">
        <v>44</v>
      </c>
      <c r="G237">
        <v>-439.38409999999999</v>
      </c>
      <c r="H237">
        <v>0.90531059999999997</v>
      </c>
      <c r="I237">
        <v>367.36470000000003</v>
      </c>
      <c r="J237">
        <v>-439.96030000000002</v>
      </c>
      <c r="K237">
        <v>1.1076159999999999</v>
      </c>
      <c r="L237">
        <v>367.51920000000001</v>
      </c>
      <c r="M237">
        <v>0.99998180000000003</v>
      </c>
      <c r="N237">
        <v>0</v>
      </c>
      <c r="O237">
        <v>2.6791950000000001E-3</v>
      </c>
      <c r="P237">
        <v>0.98223190000000005</v>
      </c>
      <c r="Q237">
        <v>0.17925659999999999</v>
      </c>
      <c r="R237">
        <v>-5.556589E-2</v>
      </c>
      <c r="S237">
        <v>3.154785</v>
      </c>
      <c r="T237">
        <v>-0.72034849999999995</v>
      </c>
      <c r="U237">
        <v>-0.54434199999999999</v>
      </c>
      <c r="V237">
        <v>5.8283689999999999E-2</v>
      </c>
      <c r="W237">
        <v>0.18454619999999999</v>
      </c>
      <c r="X237">
        <v>0.98109409999999997</v>
      </c>
      <c r="Y237">
        <v>0.1683943</v>
      </c>
      <c r="Z237">
        <v>-1.944659E-2</v>
      </c>
      <c r="AA237">
        <v>0.98552790000000001</v>
      </c>
      <c r="AB237">
        <v>31</v>
      </c>
      <c r="AC237">
        <v>0.57620000000002802</v>
      </c>
      <c r="AD237">
        <v>-0.2023054</v>
      </c>
      <c r="AE237">
        <v>-0.15449999999998401</v>
      </c>
      <c r="AF237">
        <v>0.13994849251816499</v>
      </c>
      <c r="AG237">
        <v>-0.2023054</v>
      </c>
      <c r="AH237">
        <v>0.51639604305584497</v>
      </c>
      <c r="AI237">
        <v>110.71281443175999</v>
      </c>
      <c r="AJ237">
        <v>74.836501758946497</v>
      </c>
      <c r="AK237">
        <v>0.57199469290457705</v>
      </c>
      <c r="AL237">
        <v>79.365323551855596</v>
      </c>
      <c r="AM237">
        <v>86.600235084895701</v>
      </c>
      <c r="AN237">
        <v>0.99999996075463204</v>
      </c>
    </row>
    <row r="238" spans="1:40" x14ac:dyDescent="0.25">
      <c r="A238" t="str">
        <f>"20190312172614656"</f>
        <v>20190312172614656</v>
      </c>
      <c r="B238" t="str">
        <f>"1552382774648856"</f>
        <v>1552382774648856</v>
      </c>
      <c r="C238" t="s">
        <v>40</v>
      </c>
      <c r="D238">
        <v>3.2763059999999999</v>
      </c>
      <c r="E238">
        <v>0.54800459999999995</v>
      </c>
      <c r="F238" t="s">
        <v>44</v>
      </c>
      <c r="G238">
        <v>-439.0994</v>
      </c>
      <c r="H238">
        <v>0.91094819999999999</v>
      </c>
      <c r="I238">
        <v>367.37020000000001</v>
      </c>
      <c r="J238">
        <v>-439.65390000000002</v>
      </c>
      <c r="K238">
        <v>1.1068830000000001</v>
      </c>
      <c r="L238">
        <v>367.51979999999998</v>
      </c>
      <c r="M238">
        <v>0.99997879999999995</v>
      </c>
      <c r="N238">
        <v>0</v>
      </c>
      <c r="O238">
        <v>2.4726800000000001E-3</v>
      </c>
      <c r="P238">
        <v>0.9821493</v>
      </c>
      <c r="Q238">
        <v>0.17978849999999999</v>
      </c>
      <c r="R238">
        <v>-5.530765E-2</v>
      </c>
      <c r="S238">
        <v>3.1549990000000001</v>
      </c>
      <c r="T238">
        <v>-0.72081640000000002</v>
      </c>
      <c r="U238">
        <v>-0.54458619999999902</v>
      </c>
      <c r="V238">
        <v>5.782764E-2</v>
      </c>
      <c r="W238">
        <v>0.1856681</v>
      </c>
      <c r="X238">
        <v>0.98090949999999999</v>
      </c>
      <c r="Y238">
        <v>0.1682575</v>
      </c>
      <c r="Z238">
        <v>-1.9395949999999999E-2</v>
      </c>
      <c r="AA238">
        <v>0.98555230000000005</v>
      </c>
      <c r="AB238">
        <v>31</v>
      </c>
      <c r="AC238">
        <v>0.55450000000001798</v>
      </c>
      <c r="AD238">
        <v>-0.19593479999999999</v>
      </c>
      <c r="AE238">
        <v>-0.14959999999996301</v>
      </c>
      <c r="AF238">
        <v>0.135231428392763</v>
      </c>
      <c r="AG238">
        <v>-0.19593479999999999</v>
      </c>
      <c r="AH238">
        <v>0.49635848964058199</v>
      </c>
      <c r="AI238">
        <v>110.849951671035</v>
      </c>
      <c r="AJ238">
        <v>74.759824019262396</v>
      </c>
      <c r="AK238">
        <v>0.55049953252883599</v>
      </c>
      <c r="AL238">
        <v>79.299914117420698</v>
      </c>
      <c r="AM238">
        <v>86.626142066707601</v>
      </c>
      <c r="AN238">
        <v>1.00000006324791</v>
      </c>
    </row>
    <row r="239" spans="1:40" x14ac:dyDescent="0.25">
      <c r="A239" t="str">
        <f>"20190312172614679"</f>
        <v>20190312172614679</v>
      </c>
      <c r="B239" t="str">
        <f>"1552382774668517"</f>
        <v>1552382774668517</v>
      </c>
      <c r="C239" t="s">
        <v>40</v>
      </c>
      <c r="D239">
        <v>3.3340559999999999</v>
      </c>
      <c r="E239">
        <v>0.55108409999999997</v>
      </c>
      <c r="F239" t="s">
        <v>44</v>
      </c>
      <c r="G239">
        <v>-438.81400000000002</v>
      </c>
      <c r="H239">
        <v>0.91539320000000002</v>
      </c>
      <c r="I239">
        <v>367.37470000000002</v>
      </c>
      <c r="J239">
        <v>-439.3322</v>
      </c>
      <c r="K239">
        <v>1.1059129999999999</v>
      </c>
      <c r="L239">
        <v>367.52050000000003</v>
      </c>
      <c r="M239">
        <v>0.99997210000000003</v>
      </c>
      <c r="N239">
        <v>0</v>
      </c>
      <c r="O239">
        <v>2.2741829999999999E-3</v>
      </c>
      <c r="P239">
        <v>0.98238499999999995</v>
      </c>
      <c r="Q239">
        <v>0.17851510000000001</v>
      </c>
      <c r="R239">
        <v>-5.5246219999999999E-2</v>
      </c>
      <c r="S239">
        <v>3.1556090000000001</v>
      </c>
      <c r="T239">
        <v>-0.71958140000000004</v>
      </c>
      <c r="U239">
        <v>-0.54409790000000002</v>
      </c>
      <c r="V239">
        <v>5.757818E-2</v>
      </c>
      <c r="W239">
        <v>0.1854703</v>
      </c>
      <c r="X239">
        <v>0.98096150000000004</v>
      </c>
      <c r="Y239">
        <v>0.16791139999999999</v>
      </c>
      <c r="Z239">
        <v>-1.9277119999999998E-2</v>
      </c>
      <c r="AA239">
        <v>0.98561359999999998</v>
      </c>
      <c r="AB239">
        <v>32</v>
      </c>
      <c r="AC239">
        <v>0.51819999999997801</v>
      </c>
      <c r="AD239">
        <v>-0.19051979999999999</v>
      </c>
      <c r="AE239">
        <v>-0.14580000000000801</v>
      </c>
      <c r="AF239">
        <v>0.13061750855411999</v>
      </c>
      <c r="AG239">
        <v>-0.19051979999999999</v>
      </c>
      <c r="AH239">
        <v>0.460221565946688</v>
      </c>
      <c r="AI239">
        <v>111.71468437195399</v>
      </c>
      <c r="AJ239">
        <v>74.155294346989706</v>
      </c>
      <c r="AK239">
        <v>0.51493943089974004</v>
      </c>
      <c r="AL239">
        <v>79.311446554067302</v>
      </c>
      <c r="AM239">
        <v>86.640840661336497</v>
      </c>
      <c r="AN239">
        <v>0.99999997173822497</v>
      </c>
    </row>
    <row r="240" spans="1:40" x14ac:dyDescent="0.25">
      <c r="A240" t="str">
        <f>"20190312172614700"</f>
        <v>20190312172614700</v>
      </c>
      <c r="B240" t="str">
        <f>"1552382774689013"</f>
        <v>1552382774689013</v>
      </c>
      <c r="C240" t="s">
        <v>40</v>
      </c>
      <c r="D240">
        <v>3.3054649999999999</v>
      </c>
      <c r="E240">
        <v>0.55080649999999998</v>
      </c>
      <c r="F240" t="s">
        <v>44</v>
      </c>
      <c r="G240">
        <v>-438.52780000000001</v>
      </c>
      <c r="H240">
        <v>0.92021489999999995</v>
      </c>
      <c r="I240">
        <v>367.37529999999998</v>
      </c>
      <c r="J240">
        <v>-439.0213</v>
      </c>
      <c r="K240">
        <v>1.1048230000000001</v>
      </c>
      <c r="L240">
        <v>367.52100000000002</v>
      </c>
      <c r="M240">
        <v>0.99995970000000001</v>
      </c>
      <c r="N240">
        <v>0</v>
      </c>
      <c r="O240">
        <v>2.104496E-3</v>
      </c>
      <c r="P240">
        <v>0.98281439999999998</v>
      </c>
      <c r="Q240">
        <v>0.17624679999999901</v>
      </c>
      <c r="R240">
        <v>-5.4894350000000001E-2</v>
      </c>
      <c r="S240">
        <v>3.1541440000000001</v>
      </c>
      <c r="T240">
        <v>-0.72821759999999902</v>
      </c>
      <c r="U240">
        <v>-0.56845089999999998</v>
      </c>
      <c r="V240">
        <v>5.706576E-2</v>
      </c>
      <c r="W240">
        <v>0.18479789999999999</v>
      </c>
      <c r="X240">
        <v>0.98111839999999995</v>
      </c>
      <c r="Y240">
        <v>0.1749242</v>
      </c>
      <c r="Z240">
        <v>-2.0253440000000001E-2</v>
      </c>
      <c r="AA240">
        <v>0.98437359999999896</v>
      </c>
      <c r="AB240">
        <v>32</v>
      </c>
      <c r="AC240">
        <v>0.49349999999998301</v>
      </c>
      <c r="AD240">
        <v>-0.184608099999999</v>
      </c>
      <c r="AE240">
        <v>-0.14569999999997599</v>
      </c>
      <c r="AF240">
        <v>0.130004646814814</v>
      </c>
      <c r="AG240">
        <v>-0.184608099999999</v>
      </c>
      <c r="AH240">
        <v>0.43694995227817601</v>
      </c>
      <c r="AI240">
        <v>112.04543673420601</v>
      </c>
      <c r="AJ240">
        <v>73.430808452672494</v>
      </c>
      <c r="AK240">
        <v>0.49184003453862402</v>
      </c>
      <c r="AL240">
        <v>79.350650670003901</v>
      </c>
      <c r="AM240">
        <v>86.671199352540498</v>
      </c>
      <c r="AN240">
        <v>1.0000000398136699</v>
      </c>
    </row>
    <row r="241" spans="1:40" x14ac:dyDescent="0.25">
      <c r="A241" t="str">
        <f>"20190312172614724"</f>
        <v>20190312172614724</v>
      </c>
      <c r="B241" t="str">
        <f>"1552382774718293"</f>
        <v>1552382774718293</v>
      </c>
      <c r="C241" t="s">
        <v>40</v>
      </c>
      <c r="D241">
        <v>3.3205439999999999</v>
      </c>
      <c r="E241">
        <v>0.55089569999999999</v>
      </c>
      <c r="F241" t="s">
        <v>44</v>
      </c>
      <c r="G241">
        <v>-438.24290000000002</v>
      </c>
      <c r="H241">
        <v>0.92288159999999997</v>
      </c>
      <c r="I241">
        <v>367.38099999999997</v>
      </c>
      <c r="J241">
        <v>-438.6977</v>
      </c>
      <c r="K241">
        <v>1.1035539999999999</v>
      </c>
      <c r="L241">
        <v>367.52140000000003</v>
      </c>
      <c r="M241">
        <v>0.99994000000000005</v>
      </c>
      <c r="N241">
        <v>0</v>
      </c>
      <c r="O241">
        <v>1.9201839999999999E-3</v>
      </c>
      <c r="P241">
        <v>0.98309789999999997</v>
      </c>
      <c r="Q241">
        <v>0.17468929999999999</v>
      </c>
      <c r="R241">
        <v>-5.47925999999999E-2</v>
      </c>
      <c r="S241">
        <v>3.1530149999999999</v>
      </c>
      <c r="T241">
        <v>-0.73708370000000001</v>
      </c>
      <c r="U241">
        <v>-0.56628420000000002</v>
      </c>
      <c r="V241">
        <v>5.6786469999999999E-2</v>
      </c>
      <c r="W241">
        <v>0.1852548</v>
      </c>
      <c r="X241">
        <v>0.98104840000000004</v>
      </c>
      <c r="Y241">
        <v>0.17406350000000001</v>
      </c>
      <c r="Z241">
        <v>-2.0361270000000001E-2</v>
      </c>
      <c r="AA241">
        <v>0.98452390000000001</v>
      </c>
      <c r="AB241">
        <v>32</v>
      </c>
      <c r="AC241">
        <v>0.454799999999977</v>
      </c>
      <c r="AD241">
        <v>-0.18067240000000001</v>
      </c>
      <c r="AE241">
        <v>-0.14040000000005601</v>
      </c>
      <c r="AF241">
        <v>0.123481618599739</v>
      </c>
      <c r="AG241">
        <v>-0.18067240000000001</v>
      </c>
      <c r="AH241">
        <v>0.397287580641426</v>
      </c>
      <c r="AI241">
        <v>113.473961481701</v>
      </c>
      <c r="AJ241">
        <v>72.734145325674504</v>
      </c>
      <c r="AK241">
        <v>0.453572097891492</v>
      </c>
      <c r="AL241">
        <v>79.324011888045902</v>
      </c>
      <c r="AM241">
        <v>86.687218896406407</v>
      </c>
      <c r="AN241">
        <v>1.00000000362033</v>
      </c>
    </row>
    <row r="242" spans="1:40" x14ac:dyDescent="0.25">
      <c r="A242" t="str">
        <f>"20190312172614744"</f>
        <v>20190312172614744</v>
      </c>
      <c r="B242" t="str">
        <f>"1552382774738789"</f>
        <v>1552382774738789</v>
      </c>
      <c r="C242" t="s">
        <v>40</v>
      </c>
      <c r="D242">
        <v>3.3007610000000001</v>
      </c>
      <c r="E242">
        <v>0.55093570000000003</v>
      </c>
      <c r="F242" t="s">
        <v>44</v>
      </c>
      <c r="G242">
        <v>-437.95639999999997</v>
      </c>
      <c r="H242">
        <v>0.9289579</v>
      </c>
      <c r="I242">
        <v>367.3879</v>
      </c>
      <c r="J242">
        <v>-438.3981</v>
      </c>
      <c r="K242">
        <v>1.102163</v>
      </c>
      <c r="L242">
        <v>367.52179999999998</v>
      </c>
      <c r="M242">
        <v>0.99992179999999997</v>
      </c>
      <c r="N242">
        <v>0</v>
      </c>
      <c r="O242">
        <v>1.710982E-3</v>
      </c>
      <c r="P242">
        <v>0.98325289999999999</v>
      </c>
      <c r="Q242">
        <v>0.17359810000000001</v>
      </c>
      <c r="R242">
        <v>-5.5476909999999997E-2</v>
      </c>
      <c r="S242">
        <v>3.1518549999999999</v>
      </c>
      <c r="T242">
        <v>-0.74226239999999999</v>
      </c>
      <c r="U242">
        <v>-0.56741330000000001</v>
      </c>
      <c r="V242">
        <v>5.7265299999999998E-2</v>
      </c>
      <c r="W242">
        <v>0.18574060000000001</v>
      </c>
      <c r="X242">
        <v>0.98092869999999999</v>
      </c>
      <c r="Y242">
        <v>0.1741974</v>
      </c>
      <c r="Z242">
        <v>-2.0474429999999998E-2</v>
      </c>
      <c r="AA242">
        <v>0.98449790000000004</v>
      </c>
      <c r="AB242">
        <v>32</v>
      </c>
      <c r="AC242">
        <v>0.44170000000002502</v>
      </c>
      <c r="AD242">
        <v>-0.1732051</v>
      </c>
      <c r="AE242">
        <v>-0.13389999999998201</v>
      </c>
      <c r="AF242">
        <v>0.118033373159688</v>
      </c>
      <c r="AG242">
        <v>-0.1732051</v>
      </c>
      <c r="AH242">
        <v>0.38697402832358302</v>
      </c>
      <c r="AI242">
        <v>113.17655993357999</v>
      </c>
      <c r="AJ242">
        <v>73.037441462215497</v>
      </c>
      <c r="AK242">
        <v>0.44009178865600901</v>
      </c>
      <c r="AL242">
        <v>79.295685952095795</v>
      </c>
      <c r="AM242">
        <v>86.658941421710594</v>
      </c>
      <c r="AN242">
        <v>0.99999999977806997</v>
      </c>
    </row>
    <row r="243" spans="1:40" x14ac:dyDescent="0.25">
      <c r="A243" t="str">
        <f>"20190312172614769"</f>
        <v>20190312172614769</v>
      </c>
      <c r="B243" t="str">
        <f>"1552382774758309"</f>
        <v>1552382774758309</v>
      </c>
      <c r="C243" t="s">
        <v>40</v>
      </c>
      <c r="D243">
        <v>3.3411409999999999</v>
      </c>
      <c r="E243">
        <v>0.55105850000000001</v>
      </c>
      <c r="F243" t="s">
        <v>44</v>
      </c>
      <c r="G243">
        <v>-437.67009999999999</v>
      </c>
      <c r="H243">
        <v>0.92977209999999999</v>
      </c>
      <c r="I243">
        <v>367.38959999999997</v>
      </c>
      <c r="J243">
        <v>-438.06130000000002</v>
      </c>
      <c r="K243">
        <v>1.1003449999999999</v>
      </c>
      <c r="L243">
        <v>367.5222</v>
      </c>
      <c r="M243">
        <v>0.99990389999999996</v>
      </c>
      <c r="N243">
        <v>0</v>
      </c>
      <c r="O243">
        <v>1.44847799999999E-3</v>
      </c>
      <c r="P243">
        <v>0.98334880000000002</v>
      </c>
      <c r="Q243">
        <v>0.17294379999999901</v>
      </c>
      <c r="R243">
        <v>-5.5815429999999999E-2</v>
      </c>
      <c r="S243">
        <v>3.1507260000000001</v>
      </c>
      <c r="T243">
        <v>-0.74617659999999997</v>
      </c>
      <c r="U243">
        <v>-0.56964110000000001</v>
      </c>
      <c r="V243">
        <v>5.7345319999999998E-2</v>
      </c>
      <c r="W243">
        <v>0.18645419999999999</v>
      </c>
      <c r="X243">
        <v>0.98078860000000001</v>
      </c>
      <c r="Y243">
        <v>0.17461940000000001</v>
      </c>
      <c r="Z243">
        <v>-2.057347E-2</v>
      </c>
      <c r="AA243">
        <v>0.98442110000000005</v>
      </c>
      <c r="AB243">
        <v>32</v>
      </c>
      <c r="AC243">
        <v>0.39120000000002603</v>
      </c>
      <c r="AD243">
        <v>-0.1705729</v>
      </c>
      <c r="AE243">
        <v>-0.132600000000024</v>
      </c>
      <c r="AF243">
        <v>0.113766463405181</v>
      </c>
      <c r="AG243">
        <v>-0.1705729</v>
      </c>
      <c r="AH243">
        <v>0.334044380331945</v>
      </c>
      <c r="AI243">
        <v>115.797524687281</v>
      </c>
      <c r="AJ243">
        <v>71.192548500044296</v>
      </c>
      <c r="AK243">
        <v>0.391948428293169</v>
      </c>
      <c r="AL243">
        <v>79.254072388822394</v>
      </c>
      <c r="AM243">
        <v>86.653806541897794</v>
      </c>
      <c r="AN243">
        <v>0.99999996615675002</v>
      </c>
    </row>
    <row r="244" spans="1:40" x14ac:dyDescent="0.25">
      <c r="A244" t="str">
        <f>"20190312172614793"</f>
        <v>20190312172614793</v>
      </c>
      <c r="B244" t="str">
        <f>"1552382774788565"</f>
        <v>1552382774788565</v>
      </c>
      <c r="C244" t="s">
        <v>40</v>
      </c>
      <c r="D244">
        <v>3.3487749999999998</v>
      </c>
      <c r="E244">
        <v>0.55110159999999997</v>
      </c>
      <c r="F244" t="s">
        <v>44</v>
      </c>
      <c r="G244">
        <v>-437.11720000000003</v>
      </c>
      <c r="H244">
        <v>0.87544750000000005</v>
      </c>
      <c r="I244">
        <v>367.3503</v>
      </c>
      <c r="J244">
        <v>-437.70870000000002</v>
      </c>
      <c r="K244">
        <v>1.0981890000000001</v>
      </c>
      <c r="L244">
        <v>367.5224</v>
      </c>
      <c r="M244">
        <v>0.99988659999999996</v>
      </c>
      <c r="N244">
        <v>0</v>
      </c>
      <c r="O244">
        <v>1.1826460000000001E-3</v>
      </c>
      <c r="P244">
        <v>0.98364200000000002</v>
      </c>
      <c r="Q244">
        <v>0.17133119999999999</v>
      </c>
      <c r="R244">
        <v>-5.5624699999999999E-2</v>
      </c>
      <c r="S244">
        <v>3.1503299999999999</v>
      </c>
      <c r="T244">
        <v>-0.75044699999999998</v>
      </c>
      <c r="U244">
        <v>-0.57165529999999998</v>
      </c>
      <c r="V244">
        <v>5.6894609999999998E-2</v>
      </c>
      <c r="W244">
        <v>0.18604899999999999</v>
      </c>
      <c r="X244">
        <v>0.98089179999999998</v>
      </c>
      <c r="Y244">
        <v>0.1749337</v>
      </c>
      <c r="Z244">
        <v>-2.0664129999999999E-2</v>
      </c>
      <c r="AA244">
        <v>0.9843634</v>
      </c>
      <c r="AB244">
        <v>32</v>
      </c>
      <c r="AC244">
        <v>0.59149999999999603</v>
      </c>
      <c r="AD244">
        <v>-0.22274149999999901</v>
      </c>
      <c r="AE244">
        <v>-0.1721</v>
      </c>
      <c r="AF244">
        <v>0.152820125801538</v>
      </c>
      <c r="AG244">
        <v>-0.22274149999999901</v>
      </c>
      <c r="AH244">
        <v>0.52292938950054701</v>
      </c>
      <c r="AI244">
        <v>112.237129325783</v>
      </c>
      <c r="AJ244">
        <v>73.709602402694202</v>
      </c>
      <c r="AK244">
        <v>0.58857702391077305</v>
      </c>
      <c r="AL244">
        <v>79.277702208476995</v>
      </c>
      <c r="AM244">
        <v>86.680395661369801</v>
      </c>
      <c r="AN244">
        <v>0.99999997517764505</v>
      </c>
    </row>
    <row r="245" spans="1:40" x14ac:dyDescent="0.25">
      <c r="A245" t="str">
        <f>"20190312172614835"</f>
        <v>20190312172614835</v>
      </c>
      <c r="B245" t="str">
        <f>"1552382774828581"</f>
        <v>1552382774828581</v>
      </c>
      <c r="C245" t="s">
        <v>40</v>
      </c>
      <c r="D245">
        <v>3.3606940000000001</v>
      </c>
      <c r="E245">
        <v>0.55111599999999905</v>
      </c>
      <c r="F245" t="s">
        <v>44</v>
      </c>
      <c r="G245">
        <v>-436.8254</v>
      </c>
      <c r="H245">
        <v>0.88588579999999995</v>
      </c>
      <c r="I245">
        <v>367.36180000000002</v>
      </c>
      <c r="J245">
        <v>-437.10770000000002</v>
      </c>
      <c r="K245">
        <v>1.0939410000000001</v>
      </c>
      <c r="L245">
        <v>367.52260000000001</v>
      </c>
      <c r="M245">
        <v>0.99986509999999995</v>
      </c>
      <c r="N245">
        <v>0</v>
      </c>
      <c r="O245">
        <v>7.6355719999999995E-4</v>
      </c>
      <c r="P245">
        <v>0.98386680000000004</v>
      </c>
      <c r="Q245">
        <v>0.1700721</v>
      </c>
      <c r="R245">
        <v>-5.5519069999999997E-2</v>
      </c>
      <c r="S245">
        <v>3.1494140000000002</v>
      </c>
      <c r="T245">
        <v>-0.75702130000000001</v>
      </c>
      <c r="U245">
        <v>-0.572052</v>
      </c>
      <c r="V245">
        <v>5.6383429999999998E-2</v>
      </c>
      <c r="W245">
        <v>0.18616659999999999</v>
      </c>
      <c r="X245">
        <v>0.98089899999999997</v>
      </c>
      <c r="Y245">
        <v>0.17462639999999999</v>
      </c>
      <c r="Z245">
        <v>-2.0711170000000001E-2</v>
      </c>
      <c r="AA245">
        <v>0.98441690000000004</v>
      </c>
      <c r="AB245">
        <v>32</v>
      </c>
      <c r="AC245">
        <v>0.28230000000001998</v>
      </c>
      <c r="AD245">
        <v>-0.2080552</v>
      </c>
      <c r="AE245">
        <v>-0.160799999999994</v>
      </c>
      <c r="AF245">
        <v>0.11418659489614599</v>
      </c>
      <c r="AG245">
        <v>-0.2080552</v>
      </c>
      <c r="AH245">
        <v>0.20011016177287799</v>
      </c>
      <c r="AI245">
        <v>132.082988188569</v>
      </c>
      <c r="AJ245">
        <v>60.290112219365199</v>
      </c>
      <c r="AK245">
        <v>0.31043456886401</v>
      </c>
      <c r="AL245">
        <v>79.270844370844699</v>
      </c>
      <c r="AM245">
        <v>86.710179539753995</v>
      </c>
      <c r="AN245">
        <v>0.99999997116756201</v>
      </c>
    </row>
    <row r="246" spans="1:40" x14ac:dyDescent="0.25">
      <c r="A246" t="str">
        <f>"20190312172614856"</f>
        <v>20190312172614856</v>
      </c>
      <c r="B246" t="str">
        <f>"1552382774849077"</f>
        <v>1552382774849077</v>
      </c>
      <c r="C246" t="s">
        <v>40</v>
      </c>
      <c r="D246">
        <v>3.3276859999999999</v>
      </c>
      <c r="E246">
        <v>0.55113970000000001</v>
      </c>
      <c r="F246" t="s">
        <v>44</v>
      </c>
      <c r="G246">
        <v>-436.24849999999998</v>
      </c>
      <c r="H246">
        <v>0.88622309999999904</v>
      </c>
      <c r="I246">
        <v>367.36630000000002</v>
      </c>
      <c r="J246">
        <v>-436.78339999999997</v>
      </c>
      <c r="K246">
        <v>1.091342</v>
      </c>
      <c r="L246">
        <v>367.52260000000001</v>
      </c>
      <c r="M246">
        <v>0.99986149999999996</v>
      </c>
      <c r="N246">
        <v>0</v>
      </c>
      <c r="O246">
        <v>5.5563279999999997E-4</v>
      </c>
      <c r="P246">
        <v>0.98384280000000002</v>
      </c>
      <c r="Q246">
        <v>0.17042099999999999</v>
      </c>
      <c r="R246">
        <v>-5.4865150000000001E-2</v>
      </c>
      <c r="S246">
        <v>3.1484679999999998</v>
      </c>
      <c r="T246">
        <v>-0.76118490000000005</v>
      </c>
      <c r="U246">
        <v>-0.57244869999999903</v>
      </c>
      <c r="V246">
        <v>5.5529639999999998E-2</v>
      </c>
      <c r="W246">
        <v>0.18673480000000001</v>
      </c>
      <c r="X246">
        <v>0.98083969999999998</v>
      </c>
      <c r="Y246">
        <v>0.1745466</v>
      </c>
      <c r="Z246">
        <v>-2.076913E-2</v>
      </c>
      <c r="AA246">
        <v>0.98442980000000002</v>
      </c>
      <c r="AB246">
        <v>32</v>
      </c>
      <c r="AC246">
        <v>0.53489999999999305</v>
      </c>
      <c r="AD246">
        <v>-0.20511889999999999</v>
      </c>
      <c r="AE246">
        <v>-0.156299999999987</v>
      </c>
      <c r="AF246">
        <v>0.13791250143827399</v>
      </c>
      <c r="AG246">
        <v>-0.20511889999999999</v>
      </c>
      <c r="AH246">
        <v>0.47100072760927197</v>
      </c>
      <c r="AI246">
        <v>112.682376947675</v>
      </c>
      <c r="AJ246">
        <v>73.679578399302201</v>
      </c>
      <c r="AK246">
        <v>0.53191663500837705</v>
      </c>
      <c r="AL246">
        <v>79.2377078423048</v>
      </c>
      <c r="AM246">
        <v>86.759693447054104</v>
      </c>
      <c r="AN246">
        <v>0.99999997177282895</v>
      </c>
    </row>
    <row r="247" spans="1:40" x14ac:dyDescent="0.25">
      <c r="A247" t="str">
        <f>"20190312172614879"</f>
        <v>20190312172614879</v>
      </c>
      <c r="B247" t="str">
        <f>"1552382774868600"</f>
        <v>1552382774868600</v>
      </c>
      <c r="C247" t="s">
        <v>40</v>
      </c>
      <c r="D247">
        <v>3.3465210000000001</v>
      </c>
      <c r="E247">
        <v>0.55122439999999995</v>
      </c>
      <c r="F247" t="s">
        <v>44</v>
      </c>
      <c r="G247">
        <v>-435.95710000000003</v>
      </c>
      <c r="H247">
        <v>0.89190840000000005</v>
      </c>
      <c r="I247">
        <v>367.3725</v>
      </c>
      <c r="J247">
        <v>-436.45740000000001</v>
      </c>
      <c r="K247">
        <v>1.088587</v>
      </c>
      <c r="L247">
        <v>367.52260000000001</v>
      </c>
      <c r="M247">
        <v>0.99986169999999996</v>
      </c>
      <c r="N247">
        <v>0</v>
      </c>
      <c r="O247">
        <v>3.620955E-4</v>
      </c>
      <c r="P247">
        <v>0.98377110000000001</v>
      </c>
      <c r="Q247">
        <v>0.17091099999999901</v>
      </c>
      <c r="R247">
        <v>-5.4626000000000001E-2</v>
      </c>
      <c r="S247">
        <v>3.1491699999999998</v>
      </c>
      <c r="T247">
        <v>-0.76006269999999998</v>
      </c>
      <c r="U247">
        <v>-0.5703125</v>
      </c>
      <c r="V247">
        <v>5.5103140000000002E-2</v>
      </c>
      <c r="W247">
        <v>0.18721679999999999</v>
      </c>
      <c r="X247">
        <v>0.98077190000000003</v>
      </c>
      <c r="Y247">
        <v>0.17371519999999999</v>
      </c>
      <c r="Z247">
        <v>-2.0592260000000001E-2</v>
      </c>
      <c r="AA247">
        <v>0.98458060000000003</v>
      </c>
      <c r="AB247">
        <v>32</v>
      </c>
      <c r="AC247">
        <v>0.50029999999998098</v>
      </c>
      <c r="AD247">
        <v>-0.19667859999999901</v>
      </c>
      <c r="AE247">
        <v>-0.150100000000009</v>
      </c>
      <c r="AF247">
        <v>0.13161981504369799</v>
      </c>
      <c r="AG247">
        <v>-0.19667859999999901</v>
      </c>
      <c r="AH247">
        <v>0.438126971324027</v>
      </c>
      <c r="AI247">
        <v>113.26415291981</v>
      </c>
      <c r="AJ247">
        <v>73.278955690811699</v>
      </c>
      <c r="AK247">
        <v>0.49795731786134301</v>
      </c>
      <c r="AL247">
        <v>79.209595842205005</v>
      </c>
      <c r="AM247">
        <v>86.784306649238403</v>
      </c>
      <c r="AN247">
        <v>1.0000000030348499</v>
      </c>
    </row>
    <row r="248" spans="1:40" x14ac:dyDescent="0.25">
      <c r="A248" t="str">
        <f>"20190312172614900"</f>
        <v>20190312172614900</v>
      </c>
      <c r="B248" t="str">
        <f>"1552382774889102"</f>
        <v>1552382774889102</v>
      </c>
      <c r="C248" t="s">
        <v>40</v>
      </c>
      <c r="D248">
        <v>3.39961</v>
      </c>
      <c r="E248">
        <v>0.52908949999999999</v>
      </c>
      <c r="F248" t="s">
        <v>44</v>
      </c>
      <c r="G248">
        <v>-435.66579999999999</v>
      </c>
      <c r="H248">
        <v>0.89778630000000004</v>
      </c>
      <c r="I248">
        <v>367.3793</v>
      </c>
      <c r="J248">
        <v>-436.15269999999998</v>
      </c>
      <c r="K248">
        <v>1.0859559999999999</v>
      </c>
      <c r="L248">
        <v>367.5224</v>
      </c>
      <c r="M248">
        <v>0.99986319999999995</v>
      </c>
      <c r="N248">
        <v>0</v>
      </c>
      <c r="O248">
        <v>1.684977E-4</v>
      </c>
      <c r="P248">
        <v>0.98365849999999999</v>
      </c>
      <c r="Q248">
        <v>0.17174429999999999</v>
      </c>
      <c r="R248">
        <v>-5.403604E-2</v>
      </c>
      <c r="S248">
        <v>3.1497190000000002</v>
      </c>
      <c r="T248">
        <v>-0.75908399999999998</v>
      </c>
      <c r="U248">
        <v>-0.57019039999999999</v>
      </c>
      <c r="V248">
        <v>5.4321750000000002E-2</v>
      </c>
      <c r="W248">
        <v>0.18795690000000001</v>
      </c>
      <c r="X248">
        <v>0.98067389999999999</v>
      </c>
      <c r="Y248">
        <v>0.17348329999999901</v>
      </c>
      <c r="Z248">
        <v>-2.0490120000000001E-2</v>
      </c>
      <c r="AA248">
        <v>0.98462360000000004</v>
      </c>
      <c r="AB248">
        <v>32</v>
      </c>
      <c r="AC248">
        <v>0.48689999999999101</v>
      </c>
      <c r="AD248">
        <v>-0.188169699999999</v>
      </c>
      <c r="AE248">
        <v>-0.143100000000004</v>
      </c>
      <c r="AF248">
        <v>0.125876556738901</v>
      </c>
      <c r="AG248">
        <v>-0.188169699999999</v>
      </c>
      <c r="AH248">
        <v>0.42803032044547801</v>
      </c>
      <c r="AI248">
        <v>112.867972651062</v>
      </c>
      <c r="AJ248">
        <v>73.612272468525902</v>
      </c>
      <c r="AK248">
        <v>0.48421348468954301</v>
      </c>
      <c r="AL248">
        <v>79.166424540230295</v>
      </c>
      <c r="AM248">
        <v>86.829496952203897</v>
      </c>
      <c r="AN248">
        <v>0.99999997346094005</v>
      </c>
    </row>
    <row r="249" spans="1:40" x14ac:dyDescent="0.25">
      <c r="A249" t="str">
        <f>"20190312172614923"</f>
        <v>20190312172614923</v>
      </c>
      <c r="B249" t="str">
        <f>"1552382774918373"</f>
        <v>1552382774918373</v>
      </c>
      <c r="C249" t="s">
        <v>40</v>
      </c>
      <c r="D249">
        <v>3.3450280000000001</v>
      </c>
      <c r="E249">
        <v>0.49387009999999998</v>
      </c>
      <c r="F249" t="s">
        <v>44</v>
      </c>
      <c r="G249">
        <v>-435.36070000000001</v>
      </c>
      <c r="H249">
        <v>0.93461179999999999</v>
      </c>
      <c r="I249">
        <v>367.42290000000003</v>
      </c>
      <c r="J249">
        <v>-435.82940000000002</v>
      </c>
      <c r="K249">
        <v>1.083169</v>
      </c>
      <c r="L249">
        <v>367.5222</v>
      </c>
      <c r="M249">
        <v>0.99986710000000001</v>
      </c>
      <c r="N249">
        <v>0</v>
      </c>
      <c r="O249" s="1">
        <v>-5.8069799999999998E-5</v>
      </c>
      <c r="P249">
        <v>0.98355079999999995</v>
      </c>
      <c r="Q249">
        <v>0.17259269999999999</v>
      </c>
      <c r="R249">
        <v>-5.3290900000000002E-2</v>
      </c>
      <c r="S249">
        <v>3.1328130000000001</v>
      </c>
      <c r="T249">
        <v>-0.59875659999999997</v>
      </c>
      <c r="U249">
        <v>-0.39233400000000002</v>
      </c>
      <c r="V249">
        <v>5.3350099999999998E-2</v>
      </c>
      <c r="W249">
        <v>0.18857499999999999</v>
      </c>
      <c r="X249">
        <v>0.98060860000000005</v>
      </c>
      <c r="Y249">
        <v>0.1220315</v>
      </c>
      <c r="Z249">
        <v>-1.150227E-2</v>
      </c>
      <c r="AA249">
        <v>0.9924596</v>
      </c>
      <c r="AB249">
        <v>32</v>
      </c>
      <c r="AC249">
        <v>0.468700000000012</v>
      </c>
      <c r="AD249">
        <v>-0.1485572</v>
      </c>
      <c r="AE249">
        <v>-9.9299999999970995E-2</v>
      </c>
      <c r="AF249">
        <v>9.05653349000589E-2</v>
      </c>
      <c r="AG249">
        <v>-0.1485572</v>
      </c>
      <c r="AH249">
        <v>0.42759450441206298</v>
      </c>
      <c r="AI249">
        <v>108.772148046764</v>
      </c>
      <c r="AJ249">
        <v>78.041375345371804</v>
      </c>
      <c r="AK249">
        <v>0.46163663390246401</v>
      </c>
      <c r="AL249">
        <v>79.130365445360397</v>
      </c>
      <c r="AM249">
        <v>86.885887988344805</v>
      </c>
      <c r="AN249">
        <v>0.99999999509448401</v>
      </c>
    </row>
    <row r="250" spans="1:40" x14ac:dyDescent="0.25">
      <c r="A250" t="str">
        <f>"20190312172614946"</f>
        <v>20190312172614946</v>
      </c>
      <c r="B250" t="str">
        <f>"1552382774938869"</f>
        <v>1552382774938869</v>
      </c>
      <c r="C250" t="s">
        <v>40</v>
      </c>
      <c r="D250">
        <v>3.2729149999999998</v>
      </c>
      <c r="E250">
        <v>0.49034990000000001</v>
      </c>
      <c r="F250" t="s">
        <v>43</v>
      </c>
      <c r="G250">
        <v>-415.13490000000002</v>
      </c>
      <c r="H250">
        <v>-0.05</v>
      </c>
      <c r="I250">
        <v>366.78129999999999</v>
      </c>
      <c r="J250">
        <v>-435.50170000000003</v>
      </c>
      <c r="K250">
        <v>1.0804069999999999</v>
      </c>
      <c r="L250">
        <v>367.52199999999999</v>
      </c>
      <c r="M250">
        <v>0.9998726</v>
      </c>
      <c r="N250">
        <v>0</v>
      </c>
      <c r="O250">
        <v>-2.99699E-4</v>
      </c>
      <c r="P250">
        <v>0.98350539999999997</v>
      </c>
      <c r="Q250">
        <v>0.17295099999999999</v>
      </c>
      <c r="R250">
        <v>-5.2966880000000001E-2</v>
      </c>
      <c r="S250">
        <v>3.0737920000000001</v>
      </c>
      <c r="T250">
        <v>-0.1683114</v>
      </c>
      <c r="U250">
        <v>-0.1100464</v>
      </c>
      <c r="V250">
        <v>5.2784600000000001E-2</v>
      </c>
      <c r="W250">
        <v>0.1885985</v>
      </c>
      <c r="X250">
        <v>0.98063469999999997</v>
      </c>
      <c r="Y250">
        <v>3.5426489999999998E-2</v>
      </c>
      <c r="Z250">
        <v>-9.5249199999999999E-4</v>
      </c>
      <c r="AA250">
        <v>0.99937180000000003</v>
      </c>
      <c r="AB250">
        <v>32</v>
      </c>
      <c r="AC250">
        <v>20.366800000000001</v>
      </c>
      <c r="AD250">
        <v>-1.1304069999999999</v>
      </c>
      <c r="AE250">
        <v>-0.74070000000000302</v>
      </c>
      <c r="AF250">
        <v>0.732342264348817</v>
      </c>
      <c r="AG250">
        <v>-1.1304069999999999</v>
      </c>
      <c r="AH250">
        <v>20.304555125115201</v>
      </c>
      <c r="AI250">
        <v>93.184448165438695</v>
      </c>
      <c r="AJ250">
        <v>87.934358096420993</v>
      </c>
      <c r="AK250">
        <v>20.3491794430794</v>
      </c>
      <c r="AL250">
        <v>79.128994573861803</v>
      </c>
      <c r="AM250">
        <v>86.918914836453297</v>
      </c>
      <c r="AN250">
        <v>1.00000001152174</v>
      </c>
    </row>
    <row r="251" spans="1:40" x14ac:dyDescent="0.25">
      <c r="A251" t="str">
        <f>"20190312172614969"</f>
        <v>20190312172614969</v>
      </c>
      <c r="B251" t="str">
        <f>"1552382774959365"</f>
        <v>1552382774959365</v>
      </c>
      <c r="C251" t="s">
        <v>40</v>
      </c>
      <c r="D251">
        <v>3.3091460000000001</v>
      </c>
      <c r="E251">
        <v>0.48925740000000001</v>
      </c>
      <c r="F251" t="s">
        <v>43</v>
      </c>
      <c r="G251">
        <v>-404.26089999999999</v>
      </c>
      <c r="H251">
        <v>-0.05</v>
      </c>
      <c r="I251">
        <v>366.69970000000001</v>
      </c>
      <c r="J251">
        <v>-435.1737</v>
      </c>
      <c r="K251">
        <v>1.077817</v>
      </c>
      <c r="L251">
        <v>367.52170000000001</v>
      </c>
      <c r="M251">
        <v>0.99987729999999997</v>
      </c>
      <c r="N251">
        <v>0</v>
      </c>
      <c r="O251">
        <v>-5.376558E-4</v>
      </c>
      <c r="P251">
        <v>0.98364030000000002</v>
      </c>
      <c r="Q251">
        <v>0.17228959999999999</v>
      </c>
      <c r="R251">
        <v>-5.2614260000000003E-2</v>
      </c>
      <c r="S251">
        <v>3.0654300000000001</v>
      </c>
      <c r="T251">
        <v>-0.1109183</v>
      </c>
      <c r="U251">
        <v>-8.0688480000000007E-2</v>
      </c>
      <c r="V251">
        <v>5.2195190000000002E-2</v>
      </c>
      <c r="W251">
        <v>0.18764120000000001</v>
      </c>
      <c r="X251">
        <v>0.98084990000000005</v>
      </c>
      <c r="Y251">
        <v>2.5758929999999999E-2</v>
      </c>
      <c r="Z251">
        <v>-4.4634550000000002E-4</v>
      </c>
      <c r="AA251">
        <v>0.99966809999999995</v>
      </c>
      <c r="AB251">
        <v>32</v>
      </c>
      <c r="AC251">
        <v>30.912800000000001</v>
      </c>
      <c r="AD251">
        <v>-1.1278170000000001</v>
      </c>
      <c r="AE251">
        <v>-0.82200000000000195</v>
      </c>
      <c r="AF251">
        <v>0.80430756531982295</v>
      </c>
      <c r="AG251">
        <v>-1.1278170000000001</v>
      </c>
      <c r="AH251">
        <v>30.872173578777701</v>
      </c>
      <c r="AI251">
        <v>92.091480240846494</v>
      </c>
      <c r="AJ251">
        <v>88.507620246666704</v>
      </c>
      <c r="AK251">
        <v>30.903235806680499</v>
      </c>
      <c r="AL251">
        <v>79.184841235509097</v>
      </c>
      <c r="AM251">
        <v>86.953921252484506</v>
      </c>
      <c r="AN251">
        <v>1.00000004206329</v>
      </c>
    </row>
    <row r="252" spans="1:40" x14ac:dyDescent="0.25">
      <c r="A252" t="str">
        <f>"20190312172614994"</f>
        <v>20190312172614994</v>
      </c>
      <c r="B252" t="str">
        <f>"1552382774988645"</f>
        <v>1552382774988645</v>
      </c>
      <c r="C252" t="s">
        <v>40</v>
      </c>
      <c r="D252">
        <v>3.2976169999999998</v>
      </c>
      <c r="E252">
        <v>0.48885990000000001</v>
      </c>
      <c r="F252" t="s">
        <v>41</v>
      </c>
      <c r="G252">
        <v>-397.68520000000001</v>
      </c>
      <c r="H252" s="1">
        <v>-1.5615959999999999E-6</v>
      </c>
      <c r="I252">
        <v>366.65539999999999</v>
      </c>
      <c r="J252">
        <v>-434.81349999999998</v>
      </c>
      <c r="K252">
        <v>1.0753490000000001</v>
      </c>
      <c r="L252">
        <v>367.52120000000002</v>
      </c>
      <c r="M252">
        <v>0.99987360000000003</v>
      </c>
      <c r="N252">
        <v>0</v>
      </c>
      <c r="O252">
        <v>-7.7987249999999998E-4</v>
      </c>
      <c r="P252">
        <v>0.98364969999999996</v>
      </c>
      <c r="Q252">
        <v>0.172338299999999</v>
      </c>
      <c r="R252">
        <v>-5.2280510000000002E-2</v>
      </c>
      <c r="S252">
        <v>3.061493</v>
      </c>
      <c r="T252">
        <v>-8.8019730000000004E-2</v>
      </c>
      <c r="U252">
        <v>-7.0739750000000004E-2</v>
      </c>
      <c r="V252">
        <v>5.1621180000000003E-2</v>
      </c>
      <c r="W252">
        <v>0.187917</v>
      </c>
      <c r="X252">
        <v>0.98082749999999996</v>
      </c>
      <c r="Y252">
        <v>2.2311460000000002E-2</v>
      </c>
      <c r="Z252">
        <v>-2.9820790000000002E-4</v>
      </c>
      <c r="AA252">
        <v>0.99975099999999995</v>
      </c>
      <c r="AB252">
        <v>32</v>
      </c>
      <c r="AC252">
        <v>37.128299999999903</v>
      </c>
      <c r="AD252">
        <v>-1.075350561596</v>
      </c>
      <c r="AE252">
        <v>-0.86580000000003499</v>
      </c>
      <c r="AF252">
        <v>0.836139721095012</v>
      </c>
      <c r="AG252">
        <v>-1.075350561596</v>
      </c>
      <c r="AH252">
        <v>37.097860969735997</v>
      </c>
      <c r="AI252">
        <v>91.659938571310207</v>
      </c>
      <c r="AJ252">
        <v>88.708842879547603</v>
      </c>
      <c r="AK252">
        <v>37.122860840638097</v>
      </c>
      <c r="AL252">
        <v>79.168753119512402</v>
      </c>
      <c r="AM252">
        <v>86.987289391611696</v>
      </c>
      <c r="AN252">
        <v>1.0000000649349099</v>
      </c>
    </row>
    <row r="253" spans="1:40" x14ac:dyDescent="0.25">
      <c r="A253" t="str">
        <f>"20190312172615035"</f>
        <v>20190312172615035</v>
      </c>
      <c r="B253" t="str">
        <f>"1552382775028661"</f>
        <v>1552382775028661</v>
      </c>
      <c r="C253" t="s">
        <v>40</v>
      </c>
      <c r="D253">
        <v>3.3000949999999998</v>
      </c>
      <c r="E253">
        <v>0.48890440000000002</v>
      </c>
      <c r="F253" t="s">
        <v>41</v>
      </c>
      <c r="G253">
        <v>-386.77510000000001</v>
      </c>
      <c r="H253" s="1">
        <v>-1.9233880000000002E-6</v>
      </c>
      <c r="I253">
        <v>366.47280000000001</v>
      </c>
      <c r="J253">
        <v>-434.23110000000003</v>
      </c>
      <c r="K253">
        <v>1.0717179999999999</v>
      </c>
      <c r="L253">
        <v>367.52030000000002</v>
      </c>
      <c r="M253">
        <v>0.99987539999999997</v>
      </c>
      <c r="N253">
        <v>0</v>
      </c>
      <c r="O253">
        <v>-1.175111E-3</v>
      </c>
      <c r="P253">
        <v>0.98361240000000005</v>
      </c>
      <c r="Q253">
        <v>0.17262849999999999</v>
      </c>
      <c r="R253">
        <v>-5.2024250000000001E-2</v>
      </c>
      <c r="S253">
        <v>3.058319</v>
      </c>
      <c r="T253">
        <v>-6.8461060000000004E-2</v>
      </c>
      <c r="U253">
        <v>-6.674194E-2</v>
      </c>
      <c r="V253">
        <v>5.097604E-2</v>
      </c>
      <c r="W253">
        <v>0.18807479999999999</v>
      </c>
      <c r="X253">
        <v>0.98083089999999995</v>
      </c>
      <c r="Y253">
        <v>2.063802E-2</v>
      </c>
      <c r="Z253">
        <v>-2.0463480000000001E-4</v>
      </c>
      <c r="AA253">
        <v>0.99978699999999998</v>
      </c>
      <c r="AB253">
        <v>32</v>
      </c>
      <c r="AC253">
        <v>47.456000000000003</v>
      </c>
      <c r="AD253">
        <v>-1.0717199233879999</v>
      </c>
      <c r="AE253">
        <v>-1.0475000000000101</v>
      </c>
      <c r="AF253">
        <v>0.99122100979456096</v>
      </c>
      <c r="AG253">
        <v>-1.0717199233879999</v>
      </c>
      <c r="AH253">
        <v>47.433018682100602</v>
      </c>
      <c r="AI253">
        <v>91.294060291163802</v>
      </c>
      <c r="AJ253">
        <v>88.802848372205005</v>
      </c>
      <c r="AK253">
        <v>47.455477702589199</v>
      </c>
      <c r="AL253">
        <v>79.159546678290297</v>
      </c>
      <c r="AM253">
        <v>87.024883218231196</v>
      </c>
      <c r="AN253">
        <v>0.999999970721965</v>
      </c>
    </row>
    <row r="254" spans="1:40" x14ac:dyDescent="0.25">
      <c r="A254" t="str">
        <f>"20190312172615057"</f>
        <v>20190312172615057</v>
      </c>
      <c r="B254" t="str">
        <f>"1552382775049157"</f>
        <v>1552382775049157</v>
      </c>
      <c r="C254" t="s">
        <v>40</v>
      </c>
      <c r="D254">
        <v>3.2788270000000002</v>
      </c>
      <c r="E254">
        <v>0.48898009999999997</v>
      </c>
      <c r="F254" t="s">
        <v>41</v>
      </c>
      <c r="G254">
        <v>-376.94549999999998</v>
      </c>
      <c r="H254" s="1">
        <v>-1.9130149999999999E-6</v>
      </c>
      <c r="I254">
        <v>366.2808</v>
      </c>
      <c r="J254">
        <v>-433.89350000000002</v>
      </c>
      <c r="K254">
        <v>1.069869</v>
      </c>
      <c r="L254">
        <v>367.5197</v>
      </c>
      <c r="M254">
        <v>0.99987950000000003</v>
      </c>
      <c r="N254">
        <v>0</v>
      </c>
      <c r="O254">
        <v>-1.3962569999999999E-3</v>
      </c>
      <c r="P254">
        <v>0.98353619999999997</v>
      </c>
      <c r="Q254">
        <v>0.17318649999999999</v>
      </c>
      <c r="R254">
        <v>-5.1605270000000002E-2</v>
      </c>
      <c r="S254">
        <v>3.0565190000000002</v>
      </c>
      <c r="T254">
        <v>-5.7182429999999999E-2</v>
      </c>
      <c r="U254">
        <v>-6.6131590000000004E-2</v>
      </c>
      <c r="V254">
        <v>5.0341209999999997E-2</v>
      </c>
      <c r="W254">
        <v>0.18833810000000001</v>
      </c>
      <c r="X254">
        <v>0.98081320000000005</v>
      </c>
      <c r="Y254">
        <v>2.023177E-2</v>
      </c>
      <c r="Z254">
        <v>-1.6309359999999999E-4</v>
      </c>
      <c r="AA254">
        <v>0.99979530000000005</v>
      </c>
      <c r="AB254">
        <v>32</v>
      </c>
      <c r="AC254">
        <v>56.948</v>
      </c>
      <c r="AD254">
        <v>-1.0698709130149999</v>
      </c>
      <c r="AE254">
        <v>-1.2388999999999999</v>
      </c>
      <c r="AF254">
        <v>1.15896638664051</v>
      </c>
      <c r="AG254">
        <v>-1.0698709130149999</v>
      </c>
      <c r="AH254">
        <v>56.929591052501202</v>
      </c>
      <c r="AI254">
        <v>91.076402936927195</v>
      </c>
      <c r="AJ254">
        <v>88.833739887326104</v>
      </c>
      <c r="AK254">
        <v>56.951436893733401</v>
      </c>
      <c r="AL254">
        <v>79.144186579517594</v>
      </c>
      <c r="AM254">
        <v>87.061815571732396</v>
      </c>
      <c r="AN254">
        <v>1.00000000531505</v>
      </c>
    </row>
    <row r="255" spans="1:40" x14ac:dyDescent="0.25">
      <c r="A255" t="str">
        <f>"20190312172615081"</f>
        <v>20190312172615081</v>
      </c>
      <c r="B255" t="str">
        <f>"1552382775068677"</f>
        <v>1552382775068677</v>
      </c>
      <c r="C255" t="s">
        <v>40</v>
      </c>
      <c r="D255">
        <v>3.2796129999999999</v>
      </c>
      <c r="E255">
        <v>0.48907539999999999</v>
      </c>
      <c r="F255" t="s">
        <v>41</v>
      </c>
      <c r="G255">
        <v>-370.19819999999999</v>
      </c>
      <c r="H255" s="1">
        <v>-4.8003980000000002E-6</v>
      </c>
      <c r="I255">
        <v>366.15960000000001</v>
      </c>
      <c r="J255">
        <v>-433.5686</v>
      </c>
      <c r="K255">
        <v>1.0683049999999901</v>
      </c>
      <c r="L255">
        <v>367.51900000000001</v>
      </c>
      <c r="M255">
        <v>0.99988370000000004</v>
      </c>
      <c r="N255">
        <v>0</v>
      </c>
      <c r="O255">
        <v>-1.619555E-3</v>
      </c>
      <c r="P255">
        <v>0.98350550000000003</v>
      </c>
      <c r="Q255">
        <v>0.17343349999999999</v>
      </c>
      <c r="R255">
        <v>-5.136131E-2</v>
      </c>
      <c r="S255">
        <v>3.055847</v>
      </c>
      <c r="T255">
        <v>-5.13283E-2</v>
      </c>
      <c r="U255">
        <v>-6.5246579999999998E-2</v>
      </c>
      <c r="V255">
        <v>4.9877009999999999E-2</v>
      </c>
      <c r="W255">
        <v>0.1883128</v>
      </c>
      <c r="X255">
        <v>0.98084179999999999</v>
      </c>
      <c r="Y255">
        <v>1.9724579999999999E-2</v>
      </c>
      <c r="Z255">
        <v>-1.3842260000000001E-4</v>
      </c>
      <c r="AA255">
        <v>0.99980550000000001</v>
      </c>
      <c r="AB255">
        <v>32</v>
      </c>
      <c r="AC255">
        <v>63.370399999999997</v>
      </c>
      <c r="AD255">
        <v>-1.0683098003979901</v>
      </c>
      <c r="AE255">
        <v>-1.3593999999999899</v>
      </c>
      <c r="AF255">
        <v>1.2563976638794201</v>
      </c>
      <c r="AG255">
        <v>-1.0683098003979901</v>
      </c>
      <c r="AH255">
        <v>63.354521780293801</v>
      </c>
      <c r="AI255">
        <v>90.965863388478098</v>
      </c>
      <c r="AJ255">
        <v>88.863903524576699</v>
      </c>
      <c r="AK255">
        <v>63.375983234417397</v>
      </c>
      <c r="AL255">
        <v>79.145662863016398</v>
      </c>
      <c r="AM255">
        <v>87.0889467047257</v>
      </c>
      <c r="AN255">
        <v>1.0000000316988</v>
      </c>
    </row>
    <row r="256" spans="1:40" x14ac:dyDescent="0.25">
      <c r="A256" t="str">
        <f>"20190312172615104"</f>
        <v>20190312172615104</v>
      </c>
      <c r="B256" t="str">
        <f>"1552382775098933"</f>
        <v>1552382775098933</v>
      </c>
      <c r="C256" t="s">
        <v>40</v>
      </c>
      <c r="D256">
        <v>3.2826659999999999</v>
      </c>
      <c r="E256">
        <v>0.48916850000000001</v>
      </c>
      <c r="F256" t="s">
        <v>41</v>
      </c>
      <c r="G256">
        <v>-363.81540000000001</v>
      </c>
      <c r="H256" s="1">
        <v>-3.2720179999999998E-6</v>
      </c>
      <c r="I256">
        <v>366.02780000000001</v>
      </c>
      <c r="J256">
        <v>-433.24079999999998</v>
      </c>
      <c r="K256">
        <v>1.066937</v>
      </c>
      <c r="L256">
        <v>367.51819999999998</v>
      </c>
      <c r="M256">
        <v>0.99988730000000003</v>
      </c>
      <c r="N256">
        <v>0</v>
      </c>
      <c r="O256">
        <v>-1.854313E-3</v>
      </c>
      <c r="P256">
        <v>0.98339949999999998</v>
      </c>
      <c r="Q256">
        <v>0.17419760000000001</v>
      </c>
      <c r="R256">
        <v>-5.0803399999999999E-2</v>
      </c>
      <c r="S256">
        <v>3.055145</v>
      </c>
      <c r="T256">
        <v>-4.6791199999999998E-2</v>
      </c>
      <c r="U256">
        <v>-6.5307619999999997E-2</v>
      </c>
      <c r="V256">
        <v>4.9086690000000002E-2</v>
      </c>
      <c r="W256">
        <v>0.1888078</v>
      </c>
      <c r="X256">
        <v>0.98078650000000001</v>
      </c>
      <c r="Y256">
        <v>1.9515190000000002E-2</v>
      </c>
      <c r="Z256">
        <v>-1.2101909999999999E-4</v>
      </c>
      <c r="AA256">
        <v>0.99980959999999997</v>
      </c>
      <c r="AB256">
        <v>32</v>
      </c>
      <c r="AC256">
        <v>69.425399999999897</v>
      </c>
      <c r="AD256">
        <v>-1.0669402720179999</v>
      </c>
      <c r="AE256">
        <v>-1.49039999999996</v>
      </c>
      <c r="AF256">
        <v>1.36132535654822</v>
      </c>
      <c r="AG256">
        <v>-1.0669402720179999</v>
      </c>
      <c r="AH256">
        <v>69.411658483683695</v>
      </c>
      <c r="AI256">
        <v>90.880466067642999</v>
      </c>
      <c r="AJ256">
        <v>88.876439477588605</v>
      </c>
      <c r="AK256">
        <v>69.433204605044594</v>
      </c>
      <c r="AL256">
        <v>79.116783311830204</v>
      </c>
      <c r="AM256">
        <v>87.134834702805605</v>
      </c>
      <c r="AN256">
        <v>1.00000002352912</v>
      </c>
    </row>
    <row r="257" spans="1:40" x14ac:dyDescent="0.25">
      <c r="A257" t="str">
        <f>"20190312172615126"</f>
        <v>20190312172615126</v>
      </c>
      <c r="B257" t="str">
        <f>"1552382775118453"</f>
        <v>1552382775118453</v>
      </c>
      <c r="C257" t="s">
        <v>40</v>
      </c>
      <c r="D257">
        <v>3.3048160000000002</v>
      </c>
      <c r="E257">
        <v>0.48929529999999899</v>
      </c>
      <c r="F257" t="s">
        <v>41</v>
      </c>
      <c r="G257">
        <v>-355.33870000000002</v>
      </c>
      <c r="H257" s="1">
        <v>-2.6446259999999999E-6</v>
      </c>
      <c r="I257">
        <v>365.88069999999999</v>
      </c>
      <c r="J257">
        <v>-432.92939999999999</v>
      </c>
      <c r="K257">
        <v>1.065809</v>
      </c>
      <c r="L257">
        <v>367.51740000000001</v>
      </c>
      <c r="M257">
        <v>0.99989070000000002</v>
      </c>
      <c r="N257">
        <v>0</v>
      </c>
      <c r="O257">
        <v>-2.0781630000000001E-3</v>
      </c>
      <c r="P257">
        <v>0.98332830000000004</v>
      </c>
      <c r="Q257">
        <v>0.17474300000000001</v>
      </c>
      <c r="R257">
        <v>-5.0304210000000002E-2</v>
      </c>
      <c r="S257">
        <v>3.0547789999999999</v>
      </c>
      <c r="T257">
        <v>-4.1837930000000002E-2</v>
      </c>
      <c r="U257">
        <v>-6.4208979999999999E-2</v>
      </c>
      <c r="V257">
        <v>4.836617E-2</v>
      </c>
      <c r="W257">
        <v>0.18909899999999999</v>
      </c>
      <c r="X257">
        <v>0.98076620000000003</v>
      </c>
      <c r="Y257">
        <v>1.8935E-2</v>
      </c>
      <c r="Z257">
        <v>-1.011848E-4</v>
      </c>
      <c r="AA257">
        <v>0.99982070000000001</v>
      </c>
      <c r="AB257">
        <v>32</v>
      </c>
      <c r="AC257">
        <v>77.590699999999899</v>
      </c>
      <c r="AD257">
        <v>-1.065811644626</v>
      </c>
      <c r="AE257">
        <v>-1.63670000000001</v>
      </c>
      <c r="AF257">
        <v>1.4751548467812201</v>
      </c>
      <c r="AG257">
        <v>-1.065811644626</v>
      </c>
      <c r="AH257">
        <v>77.579302427939595</v>
      </c>
      <c r="AI257">
        <v>90.786957744734707</v>
      </c>
      <c r="AJ257">
        <v>88.910663540759401</v>
      </c>
      <c r="AK257">
        <v>77.600645625468303</v>
      </c>
      <c r="AL257">
        <v>79.099792769777196</v>
      </c>
      <c r="AM257">
        <v>87.176764206390004</v>
      </c>
      <c r="AN257">
        <v>1.0000000286319499</v>
      </c>
    </row>
    <row r="258" spans="1:40" x14ac:dyDescent="0.25">
      <c r="A258" t="str">
        <f>"20190312172615147"</f>
        <v>20190312172615147</v>
      </c>
      <c r="B258" t="str">
        <f>"1552382775138949"</f>
        <v>1552382775138949</v>
      </c>
      <c r="C258" t="s">
        <v>40</v>
      </c>
      <c r="D258">
        <v>3.307572</v>
      </c>
      <c r="E258">
        <v>0.48942390000000002</v>
      </c>
      <c r="F258" t="s">
        <v>41</v>
      </c>
      <c r="G258">
        <v>-347.89330000000001</v>
      </c>
      <c r="H258" s="1">
        <v>-1.8241790000000001E-6</v>
      </c>
      <c r="I258">
        <v>365.74169999999998</v>
      </c>
      <c r="J258">
        <v>-432.62240000000003</v>
      </c>
      <c r="K258">
        <v>1.0648489999999999</v>
      </c>
      <c r="L258">
        <v>367.51650000000001</v>
      </c>
      <c r="M258">
        <v>0.99989380000000005</v>
      </c>
      <c r="N258">
        <v>0</v>
      </c>
      <c r="O258">
        <v>-2.2946619999999998E-3</v>
      </c>
      <c r="P258">
        <v>0.98335399999999995</v>
      </c>
      <c r="Q258">
        <v>0.1747882</v>
      </c>
      <c r="R258">
        <v>-4.963907E-2</v>
      </c>
      <c r="S258">
        <v>3.0544129999999998</v>
      </c>
      <c r="T258">
        <v>-3.8282869999999997E-2</v>
      </c>
      <c r="U258">
        <v>-6.3781740000000003E-2</v>
      </c>
      <c r="V258">
        <v>4.748724E-2</v>
      </c>
      <c r="W258">
        <v>0.18890470000000001</v>
      </c>
      <c r="X258">
        <v>0.98084660000000001</v>
      </c>
      <c r="Y258">
        <v>1.8581549999999999E-2</v>
      </c>
      <c r="Z258" s="1">
        <v>-8.7670910000000002E-5</v>
      </c>
      <c r="AA258">
        <v>0.99982729999999997</v>
      </c>
      <c r="AB258">
        <v>32</v>
      </c>
      <c r="AC258">
        <v>84.729100000000003</v>
      </c>
      <c r="AD258">
        <v>-1.064850824179</v>
      </c>
      <c r="AE258">
        <v>-1.7748000000000199</v>
      </c>
      <c r="AF258">
        <v>1.58010107899087</v>
      </c>
      <c r="AG258">
        <v>-1.064850824179</v>
      </c>
      <c r="AH258">
        <v>84.719574508014105</v>
      </c>
      <c r="AI258">
        <v>90.719994624023002</v>
      </c>
      <c r="AJ258">
        <v>88.931502805765604</v>
      </c>
      <c r="AK258">
        <v>84.740999117998001</v>
      </c>
      <c r="AL258">
        <v>79.111129772706803</v>
      </c>
      <c r="AM258">
        <v>87.228215318924001</v>
      </c>
      <c r="AN258">
        <v>1.0000000381882299</v>
      </c>
    </row>
    <row r="259" spans="1:40" x14ac:dyDescent="0.25">
      <c r="A259" t="str">
        <f>"20190312172615170"</f>
        <v>20190312172615170</v>
      </c>
      <c r="B259" t="str">
        <f>"1552382775159110"</f>
        <v>1552382775159110</v>
      </c>
      <c r="C259" t="s">
        <v>40</v>
      </c>
      <c r="D259">
        <v>3.2760579999999999</v>
      </c>
      <c r="E259">
        <v>0.48953219999999997</v>
      </c>
      <c r="F259" t="s">
        <v>41</v>
      </c>
      <c r="G259">
        <v>-344.57100000000003</v>
      </c>
      <c r="H259" s="1">
        <v>-3.2398619999999999E-6</v>
      </c>
      <c r="I259">
        <v>365.70940000000002</v>
      </c>
      <c r="J259">
        <v>-432.29250000000002</v>
      </c>
      <c r="K259">
        <v>1.063966</v>
      </c>
      <c r="L259">
        <v>367.51549999999997</v>
      </c>
      <c r="M259">
        <v>0.99989669999999997</v>
      </c>
      <c r="N259">
        <v>0</v>
      </c>
      <c r="O259">
        <v>-2.523693E-3</v>
      </c>
      <c r="P259">
        <v>0.98333930000000003</v>
      </c>
      <c r="Q259">
        <v>0.1750565</v>
      </c>
      <c r="R259">
        <v>-4.8982199999999997E-2</v>
      </c>
      <c r="S259">
        <v>3.0541990000000001</v>
      </c>
      <c r="T259">
        <v>-3.6936040000000003E-2</v>
      </c>
      <c r="U259">
        <v>-6.268311E-2</v>
      </c>
      <c r="V259">
        <v>4.6603980000000003E-2</v>
      </c>
      <c r="W259">
        <v>0.1889313</v>
      </c>
      <c r="X259">
        <v>0.98088379999999997</v>
      </c>
      <c r="Y259">
        <v>1.7994650000000001E-2</v>
      </c>
      <c r="Z259" s="1">
        <v>-7.8275140000000002E-5</v>
      </c>
      <c r="AA259">
        <v>0.99983809999999995</v>
      </c>
      <c r="AB259">
        <v>32</v>
      </c>
      <c r="AC259">
        <v>87.721500000000006</v>
      </c>
      <c r="AD259">
        <v>-1.063969239862</v>
      </c>
      <c r="AE259">
        <v>-1.8060999999999501</v>
      </c>
      <c r="AF259">
        <v>1.58445695310096</v>
      </c>
      <c r="AG259">
        <v>-1.063969239862</v>
      </c>
      <c r="AH259">
        <v>87.712881002911402</v>
      </c>
      <c r="AI259">
        <v>90.694858204794201</v>
      </c>
      <c r="AJ259">
        <v>88.965114101730805</v>
      </c>
      <c r="AK259">
        <v>87.733642510786595</v>
      </c>
      <c r="AL259">
        <v>79.109577315634098</v>
      </c>
      <c r="AM259">
        <v>87.279795197396695</v>
      </c>
      <c r="AN259">
        <v>0.99999999808698503</v>
      </c>
    </row>
    <row r="260" spans="1:40" x14ac:dyDescent="0.25">
      <c r="A260" t="str">
        <f>"20190312172615194"</f>
        <v>20190312172615194</v>
      </c>
      <c r="B260" t="str">
        <f>"1552382775188382"</f>
        <v>1552382775188382</v>
      </c>
      <c r="C260" t="s">
        <v>40</v>
      </c>
      <c r="D260">
        <v>3.2979780000000001</v>
      </c>
      <c r="E260">
        <v>0.4896336</v>
      </c>
      <c r="F260" t="s">
        <v>41</v>
      </c>
      <c r="G260">
        <v>-340.00259999999997</v>
      </c>
      <c r="H260" s="1">
        <v>-5.4076130000000003E-6</v>
      </c>
      <c r="I260">
        <v>365.6628</v>
      </c>
      <c r="J260">
        <v>-431.96409999999997</v>
      </c>
      <c r="K260">
        <v>1.0632250000000001</v>
      </c>
      <c r="L260">
        <v>367.51440000000002</v>
      </c>
      <c r="M260">
        <v>0.99989930000000005</v>
      </c>
      <c r="N260">
        <v>0</v>
      </c>
      <c r="O260">
        <v>-2.7496740000000001E-3</v>
      </c>
      <c r="P260">
        <v>0.98337110000000005</v>
      </c>
      <c r="Q260">
        <v>0.1750372</v>
      </c>
      <c r="R260">
        <v>-4.840875E-2</v>
      </c>
      <c r="S260">
        <v>3.0540769999999999</v>
      </c>
      <c r="T260">
        <v>-3.520918E-2</v>
      </c>
      <c r="U260">
        <v>-6.1309809999999999E-2</v>
      </c>
      <c r="V260">
        <v>4.580675E-2</v>
      </c>
      <c r="W260">
        <v>0.1886912</v>
      </c>
      <c r="X260">
        <v>0.98096760000000005</v>
      </c>
      <c r="Y260">
        <v>1.7320269999999999E-2</v>
      </c>
      <c r="Z260" s="1">
        <v>-6.8127310000000001E-5</v>
      </c>
      <c r="AA260">
        <v>0.99985000000000002</v>
      </c>
      <c r="AB260">
        <v>32</v>
      </c>
      <c r="AC260">
        <v>91.961500000000001</v>
      </c>
      <c r="AD260">
        <v>-1.0632304076129999</v>
      </c>
      <c r="AE260">
        <v>-1.8516000000000099</v>
      </c>
      <c r="AF260">
        <v>1.59849075562231</v>
      </c>
      <c r="AG260">
        <v>-1.0632304076129999</v>
      </c>
      <c r="AH260">
        <v>91.953957323134503</v>
      </c>
      <c r="AI260">
        <v>90.662360827075602</v>
      </c>
      <c r="AJ260">
        <v>89.004093432139399</v>
      </c>
      <c r="AK260">
        <v>91.973995775873206</v>
      </c>
      <c r="AL260">
        <v>79.1235863498909</v>
      </c>
      <c r="AM260">
        <v>87.326488285706603</v>
      </c>
      <c r="AN260">
        <v>1.00000002977638</v>
      </c>
    </row>
    <row r="261" spans="1:40" x14ac:dyDescent="0.25">
      <c r="A261" t="str">
        <f>"20190312172615216"</f>
        <v>20190312172615216</v>
      </c>
      <c r="B261" t="str">
        <f>"1552382775208878"</f>
        <v>1552382775208878</v>
      </c>
      <c r="C261" t="s">
        <v>40</v>
      </c>
      <c r="D261">
        <v>3.2484150000000001</v>
      </c>
      <c r="E261">
        <v>0.4897125</v>
      </c>
      <c r="F261" t="s">
        <v>41</v>
      </c>
      <c r="G261">
        <v>-335.10599999999999</v>
      </c>
      <c r="H261" s="1">
        <v>-2.7948290000000001E-6</v>
      </c>
      <c r="I261">
        <v>365.59679999999997</v>
      </c>
      <c r="J261">
        <v>-431.64170000000001</v>
      </c>
      <c r="K261">
        <v>1.062602</v>
      </c>
      <c r="L261">
        <v>367.51319999999998</v>
      </c>
      <c r="M261">
        <v>0.99990140000000005</v>
      </c>
      <c r="N261">
        <v>0</v>
      </c>
      <c r="O261">
        <v>-2.970828E-3</v>
      </c>
      <c r="P261">
        <v>0.98349690000000001</v>
      </c>
      <c r="Q261">
        <v>0.17447289999999999</v>
      </c>
      <c r="R261">
        <v>-4.7884509999999998E-2</v>
      </c>
      <c r="S261">
        <v>3.0537719999999999</v>
      </c>
      <c r="T261">
        <v>-3.3521769999999999E-2</v>
      </c>
      <c r="U261">
        <v>-6.045532E-2</v>
      </c>
      <c r="V261">
        <v>4.5062820000000003E-2</v>
      </c>
      <c r="W261">
        <v>0.18792919999999999</v>
      </c>
      <c r="X261">
        <v>0.98114829999999997</v>
      </c>
      <c r="Y261">
        <v>1.6821610000000001E-2</v>
      </c>
      <c r="Z261" s="1">
        <v>-5.9705079999999997E-5</v>
      </c>
      <c r="AA261">
        <v>0.99985849999999998</v>
      </c>
      <c r="AB261">
        <v>32</v>
      </c>
      <c r="AC261">
        <v>96.535700000000006</v>
      </c>
      <c r="AD261">
        <v>-1.0626047948289901</v>
      </c>
      <c r="AE261">
        <v>-1.9164000000000101</v>
      </c>
      <c r="AF261">
        <v>1.62937622523885</v>
      </c>
      <c r="AG261">
        <v>-1.0626047948289901</v>
      </c>
      <c r="AH261">
        <v>96.529276641143497</v>
      </c>
      <c r="AI261">
        <v>90.630602886648006</v>
      </c>
      <c r="AJ261">
        <v>89.032961612195805</v>
      </c>
      <c r="AK261">
        <v>96.548874901242598</v>
      </c>
      <c r="AL261">
        <v>79.168040876064694</v>
      </c>
      <c r="AM261">
        <v>87.370330019161202</v>
      </c>
      <c r="AN261">
        <v>1.00000001427594</v>
      </c>
    </row>
    <row r="262" spans="1:40" x14ac:dyDescent="0.25">
      <c r="A262" t="str">
        <f>"20190312172615237"</f>
        <v>20190312172615237</v>
      </c>
      <c r="B262" t="str">
        <f>"1552382775228398"</f>
        <v>1552382775228398</v>
      </c>
      <c r="C262" t="s">
        <v>40</v>
      </c>
      <c r="D262">
        <v>3.2508780000000002</v>
      </c>
      <c r="E262">
        <v>0.49313750000000001</v>
      </c>
      <c r="F262" t="s">
        <v>41</v>
      </c>
      <c r="G262">
        <v>-340.3415</v>
      </c>
      <c r="H262" s="1">
        <v>-5.2381790000000001E-6</v>
      </c>
      <c r="I262">
        <v>365.71480000000003</v>
      </c>
      <c r="J262">
        <v>-431.33890000000002</v>
      </c>
      <c r="K262">
        <v>1.06212</v>
      </c>
      <c r="L262">
        <v>367.51209999999998</v>
      </c>
      <c r="M262">
        <v>0.99990319999999999</v>
      </c>
      <c r="N262">
        <v>0</v>
      </c>
      <c r="O262">
        <v>-3.1786150000000001E-3</v>
      </c>
      <c r="P262">
        <v>0.98354169999999996</v>
      </c>
      <c r="Q262">
        <v>0.17433070000000001</v>
      </c>
      <c r="R262">
        <v>-4.748492E-2</v>
      </c>
      <c r="S262">
        <v>3.0537109999999998</v>
      </c>
      <c r="T262">
        <v>-3.554094E-2</v>
      </c>
      <c r="U262">
        <v>-6.0150149999999999E-2</v>
      </c>
      <c r="V262">
        <v>4.4457009999999998E-2</v>
      </c>
      <c r="W262">
        <v>0.1876168</v>
      </c>
      <c r="X262">
        <v>0.98123570000000004</v>
      </c>
      <c r="Y262">
        <v>1.6514279999999999E-2</v>
      </c>
      <c r="Z262" s="1">
        <v>-5.9096150000000002E-5</v>
      </c>
      <c r="AA262">
        <v>0.99986359999999996</v>
      </c>
      <c r="AB262">
        <v>32</v>
      </c>
      <c r="AC262">
        <v>90.997399999999999</v>
      </c>
      <c r="AD262">
        <v>-1.0621252381790001</v>
      </c>
      <c r="AE262">
        <v>-1.7972999999999499</v>
      </c>
      <c r="AF262">
        <v>1.5078133389314701</v>
      </c>
      <c r="AG262">
        <v>-1.0621252381790001</v>
      </c>
      <c r="AH262">
        <v>90.990262301784895</v>
      </c>
      <c r="AI262">
        <v>90.668688884708203</v>
      </c>
      <c r="AJ262">
        <v>89.050629903057597</v>
      </c>
      <c r="AK262">
        <v>91.008952553219999</v>
      </c>
      <c r="AL262">
        <v>79.186264006053605</v>
      </c>
      <c r="AM262">
        <v>87.405864590613504</v>
      </c>
      <c r="AN262">
        <v>0.99999999416743501</v>
      </c>
    </row>
    <row r="263" spans="1:40" x14ac:dyDescent="0.25">
      <c r="A263" t="str">
        <f>"20190312172615259"</f>
        <v>20190312172615259</v>
      </c>
      <c r="B263" t="str">
        <f>"1552382775248897"</f>
        <v>1552382775248897</v>
      </c>
      <c r="C263" t="s">
        <v>40</v>
      </c>
      <c r="D263">
        <v>3.224037</v>
      </c>
      <c r="E263">
        <v>0.49306939999999999</v>
      </c>
      <c r="F263" t="s">
        <v>41</v>
      </c>
      <c r="G263">
        <v>-392.65260000000001</v>
      </c>
      <c r="H263" s="1">
        <v>-3.7009270000000001E-6</v>
      </c>
      <c r="I263">
        <v>366.42200000000003</v>
      </c>
      <c r="J263">
        <v>-431.02210000000002</v>
      </c>
      <c r="K263">
        <v>1.0616920000000001</v>
      </c>
      <c r="L263">
        <v>367.51089999999999</v>
      </c>
      <c r="M263">
        <v>0.99990469999999998</v>
      </c>
      <c r="N263">
        <v>0</v>
      </c>
      <c r="O263">
        <v>-3.3951329999999998E-3</v>
      </c>
      <c r="P263">
        <v>0.98348060000000004</v>
      </c>
      <c r="Q263">
        <v>0.1747039</v>
      </c>
      <c r="R263">
        <v>-4.7377269999999999E-2</v>
      </c>
      <c r="S263">
        <v>3.0609440000000001</v>
      </c>
      <c r="T263">
        <v>-8.4037299999999995E-2</v>
      </c>
      <c r="U263">
        <v>-8.6242680000000002E-2</v>
      </c>
      <c r="V263">
        <v>4.4135340000000002E-2</v>
      </c>
      <c r="W263">
        <v>0.1878351</v>
      </c>
      <c r="X263">
        <v>0.98120839999999998</v>
      </c>
      <c r="Y263">
        <v>2.4761720000000001E-2</v>
      </c>
      <c r="Z263">
        <v>-2.4659809999999998E-4</v>
      </c>
      <c r="AA263">
        <v>0.99969330000000001</v>
      </c>
      <c r="AB263">
        <v>32</v>
      </c>
      <c r="AC263">
        <v>38.369500000000002</v>
      </c>
      <c r="AD263">
        <v>-1.0616957009270001</v>
      </c>
      <c r="AE263">
        <v>-1.08890000000002</v>
      </c>
      <c r="AF263">
        <v>0.95787969625630498</v>
      </c>
      <c r="AG263">
        <v>-1.0616957009270001</v>
      </c>
      <c r="AH263">
        <v>38.3436420910583</v>
      </c>
      <c r="AI263">
        <v>91.585561067853504</v>
      </c>
      <c r="AJ263">
        <v>88.568966110825798</v>
      </c>
      <c r="AK263">
        <v>38.370296064547702</v>
      </c>
      <c r="AL263">
        <v>79.173529335527505</v>
      </c>
      <c r="AM263">
        <v>87.424537611516001</v>
      </c>
      <c r="AN263">
        <v>0.99999993862974002</v>
      </c>
    </row>
    <row r="264" spans="1:40" x14ac:dyDescent="0.25">
      <c r="A264" t="str">
        <f>"20190312172615281"</f>
        <v>20190312172615281</v>
      </c>
      <c r="B264" t="str">
        <f>"1552382775279150"</f>
        <v>1552382775279150</v>
      </c>
      <c r="C264" t="s">
        <v>40</v>
      </c>
      <c r="D264">
        <v>3.1871260000000001</v>
      </c>
      <c r="E264">
        <v>0.49330590000000002</v>
      </c>
      <c r="F264" t="s">
        <v>41</v>
      </c>
      <c r="G264">
        <v>-391.52859999999998</v>
      </c>
      <c r="H264" s="1">
        <v>-4.1854870000000003E-6</v>
      </c>
      <c r="I264">
        <v>366.40870000000001</v>
      </c>
      <c r="J264">
        <v>-430.71109999999999</v>
      </c>
      <c r="K264">
        <v>1.061185</v>
      </c>
      <c r="L264">
        <v>367.5095</v>
      </c>
      <c r="M264">
        <v>0.99991359999999996</v>
      </c>
      <c r="N264">
        <v>0</v>
      </c>
      <c r="O264">
        <v>-3.6013600000000001E-3</v>
      </c>
      <c r="P264">
        <v>0.98333800000000005</v>
      </c>
      <c r="Q264">
        <v>0.17544499999999999</v>
      </c>
      <c r="R264">
        <v>-4.7600200000000002E-2</v>
      </c>
      <c r="S264">
        <v>3.060883</v>
      </c>
      <c r="T264">
        <v>-8.2284930000000006E-2</v>
      </c>
      <c r="U264">
        <v>-8.54187E-2</v>
      </c>
      <c r="V264">
        <v>4.4152539999999997E-2</v>
      </c>
      <c r="W264">
        <v>0.18784680000000001</v>
      </c>
      <c r="X264">
        <v>0.98120549999999995</v>
      </c>
      <c r="Y264">
        <v>2.428781E-2</v>
      </c>
      <c r="Z264">
        <v>-2.2955450000000001E-4</v>
      </c>
      <c r="AA264">
        <v>0.99970499999999995</v>
      </c>
      <c r="AB264">
        <v>32</v>
      </c>
      <c r="AC264">
        <v>39.182499999999997</v>
      </c>
      <c r="AD264">
        <v>-1.0611891854869999</v>
      </c>
      <c r="AE264">
        <v>-1.10079999999999</v>
      </c>
      <c r="AF264">
        <v>0.95896844379781199</v>
      </c>
      <c r="AG264">
        <v>-1.0611891854869999</v>
      </c>
      <c r="AH264">
        <v>39.157511094382997</v>
      </c>
      <c r="AI264">
        <v>91.551900765605495</v>
      </c>
      <c r="AJ264">
        <v>88.5971053232511</v>
      </c>
      <c r="AK264">
        <v>39.183624361081201</v>
      </c>
      <c r="AL264">
        <v>79.172848047789699</v>
      </c>
      <c r="AM264">
        <v>87.423527674718201</v>
      </c>
      <c r="AN264">
        <v>1.0000000501444599</v>
      </c>
    </row>
    <row r="265" spans="1:40" x14ac:dyDescent="0.25">
      <c r="A265" t="str">
        <f>"20190312172615304"</f>
        <v>20190312172615304</v>
      </c>
      <c r="B265" t="str">
        <f>"1552382775298670"</f>
        <v>1552382775298670</v>
      </c>
      <c r="C265" t="s">
        <v>40</v>
      </c>
      <c r="D265">
        <v>3.2032729999999998</v>
      </c>
      <c r="E265">
        <v>0.49367</v>
      </c>
      <c r="F265" t="s">
        <v>41</v>
      </c>
      <c r="G265">
        <v>-391.74639999999999</v>
      </c>
      <c r="H265" s="1">
        <v>-4.0950069999999997E-6</v>
      </c>
      <c r="I265">
        <v>366.392</v>
      </c>
      <c r="J265">
        <v>-430.38159999999999</v>
      </c>
      <c r="K265">
        <v>1.060575</v>
      </c>
      <c r="L265">
        <v>367.50799999999998</v>
      </c>
      <c r="M265">
        <v>0.99992939999999997</v>
      </c>
      <c r="N265">
        <v>0</v>
      </c>
      <c r="O265">
        <v>-3.8152170000000001E-3</v>
      </c>
      <c r="P265">
        <v>0.98314060000000003</v>
      </c>
      <c r="Q265">
        <v>0.17659129999999901</v>
      </c>
      <c r="R265">
        <v>-4.7433860000000001E-2</v>
      </c>
      <c r="S265">
        <v>3.0614620000000001</v>
      </c>
      <c r="T265">
        <v>-8.3377720000000002E-2</v>
      </c>
      <c r="U265">
        <v>-8.7799070000000007E-2</v>
      </c>
      <c r="V265">
        <v>4.3770049999999998E-2</v>
      </c>
      <c r="W265">
        <v>0.1876314</v>
      </c>
      <c r="X265">
        <v>0.98126380000000002</v>
      </c>
      <c r="Y265">
        <v>2.484513E-2</v>
      </c>
      <c r="Z265">
        <v>-2.3432109999999999E-4</v>
      </c>
      <c r="AA265">
        <v>0.99969129999999995</v>
      </c>
      <c r="AB265">
        <v>32</v>
      </c>
      <c r="AC265">
        <v>38.635199999999998</v>
      </c>
      <c r="AD265">
        <v>-1.060579095007</v>
      </c>
      <c r="AE265">
        <v>-1.1160000000000401</v>
      </c>
      <c r="AF265">
        <v>0.96785214071289005</v>
      </c>
      <c r="AG265">
        <v>-1.060579095007</v>
      </c>
      <c r="AH265">
        <v>38.610105923962202</v>
      </c>
      <c r="AI265">
        <v>91.572965396128794</v>
      </c>
      <c r="AJ265">
        <v>88.564048693655394</v>
      </c>
      <c r="AK265">
        <v>38.636793930690303</v>
      </c>
      <c r="AL265">
        <v>79.185412453002996</v>
      </c>
      <c r="AM265">
        <v>87.445969316528803</v>
      </c>
      <c r="AN265">
        <v>1.0000000023666999</v>
      </c>
    </row>
    <row r="266" spans="1:40" x14ac:dyDescent="0.25">
      <c r="A266" t="str">
        <f>"20190312172615325"</f>
        <v>20190312172615325</v>
      </c>
      <c r="B266" t="str">
        <f>"1552382775319165"</f>
        <v>1552382775319165</v>
      </c>
      <c r="C266" t="s">
        <v>40</v>
      </c>
      <c r="D266">
        <v>3.177765</v>
      </c>
      <c r="E266">
        <v>0.49407770000000001</v>
      </c>
      <c r="F266" t="s">
        <v>41</v>
      </c>
      <c r="G266">
        <v>-390.9579</v>
      </c>
      <c r="H266" s="1">
        <v>-4.4417500000000003E-6</v>
      </c>
      <c r="I266">
        <v>366.34410000000003</v>
      </c>
      <c r="J266">
        <v>-430.06020000000001</v>
      </c>
      <c r="K266">
        <v>1.0600639999999999</v>
      </c>
      <c r="L266">
        <v>367.50670000000002</v>
      </c>
      <c r="M266">
        <v>0.99994360000000004</v>
      </c>
      <c r="N266">
        <v>0</v>
      </c>
      <c r="O266">
        <v>-4.0221140000000002E-3</v>
      </c>
      <c r="P266">
        <v>0.98285840000000002</v>
      </c>
      <c r="Q266">
        <v>0.17811729999999901</v>
      </c>
      <c r="R266">
        <v>-4.7578130000000003E-2</v>
      </c>
      <c r="S266">
        <v>3.0618590000000001</v>
      </c>
      <c r="T266">
        <v>-8.2370399999999996E-2</v>
      </c>
      <c r="U266">
        <v>-9.0393070000000006E-2</v>
      </c>
      <c r="V266">
        <v>4.3704260000000002E-2</v>
      </c>
      <c r="W266">
        <v>0.1877569</v>
      </c>
      <c r="X266">
        <v>0.98124270000000002</v>
      </c>
      <c r="Y266">
        <v>2.5480869999999999E-2</v>
      </c>
      <c r="Z266">
        <v>-2.3444429999999999E-4</v>
      </c>
      <c r="AA266">
        <v>0.99967530000000004</v>
      </c>
      <c r="AB266">
        <v>32</v>
      </c>
      <c r="AC266">
        <v>39.1023</v>
      </c>
      <c r="AD266">
        <v>-1.0600684417499999</v>
      </c>
      <c r="AE266">
        <v>-1.1625999999999901</v>
      </c>
      <c r="AF266">
        <v>1.00457142159931</v>
      </c>
      <c r="AG266">
        <v>-1.0600684417499999</v>
      </c>
      <c r="AH266">
        <v>39.077964675976403</v>
      </c>
      <c r="AI266">
        <v>91.553369325947997</v>
      </c>
      <c r="AJ266">
        <v>88.527430245504902</v>
      </c>
      <c r="AK266">
        <v>39.105245582391497</v>
      </c>
      <c r="AL266">
        <v>79.178091437219905</v>
      </c>
      <c r="AM266">
        <v>87.449748398277194</v>
      </c>
      <c r="AN266">
        <v>0.99999997607152302</v>
      </c>
    </row>
    <row r="267" spans="1:40" x14ac:dyDescent="0.25">
      <c r="A267" t="str">
        <f>"20190312172615349"</f>
        <v>20190312172615349</v>
      </c>
      <c r="B267" t="str">
        <f>"1552382775338687"</f>
        <v>1552382775338687</v>
      </c>
      <c r="C267" t="s">
        <v>40</v>
      </c>
      <c r="D267">
        <v>3.193425</v>
      </c>
      <c r="E267">
        <v>0.49416599999999999</v>
      </c>
      <c r="F267" t="s">
        <v>41</v>
      </c>
      <c r="G267">
        <v>-390.82600000000002</v>
      </c>
      <c r="H267" s="1">
        <v>-4.5073769999999998E-6</v>
      </c>
      <c r="I267">
        <v>366.29320000000001</v>
      </c>
      <c r="J267">
        <v>-429.72379999999998</v>
      </c>
      <c r="K267">
        <v>1.059625</v>
      </c>
      <c r="L267">
        <v>367.5052</v>
      </c>
      <c r="M267">
        <v>0.99995610000000001</v>
      </c>
      <c r="N267">
        <v>0</v>
      </c>
      <c r="O267">
        <v>-4.2316790000000003E-3</v>
      </c>
      <c r="P267">
        <v>0.98266819999999999</v>
      </c>
      <c r="Q267">
        <v>0.17904010000000001</v>
      </c>
      <c r="R267">
        <v>-4.8043000000000002E-2</v>
      </c>
      <c r="S267">
        <v>3.0627439999999999</v>
      </c>
      <c r="T267">
        <v>-8.2752229999999996E-2</v>
      </c>
      <c r="U267">
        <v>-9.4726560000000001E-2</v>
      </c>
      <c r="V267">
        <v>4.3957799999999998E-2</v>
      </c>
      <c r="W267">
        <v>0.1872557</v>
      </c>
      <c r="X267">
        <v>0.98132719999999996</v>
      </c>
      <c r="Y267">
        <v>2.6675609999999999E-2</v>
      </c>
      <c r="Z267">
        <v>-2.459327E-4</v>
      </c>
      <c r="AA267">
        <v>0.99964410000000004</v>
      </c>
      <c r="AB267">
        <v>33</v>
      </c>
      <c r="AC267">
        <v>38.897799999999997</v>
      </c>
      <c r="AD267">
        <v>-1.0596295073769999</v>
      </c>
      <c r="AE267">
        <v>-1.21199999999998</v>
      </c>
      <c r="AF267">
        <v>1.0466044676914199</v>
      </c>
      <c r="AG267">
        <v>-1.0596295073769999</v>
      </c>
      <c r="AH267">
        <v>38.8737607307106</v>
      </c>
      <c r="AI267">
        <v>91.560829000794399</v>
      </c>
      <c r="AJ267">
        <v>88.4577891341238</v>
      </c>
      <c r="AK267">
        <v>38.902281025066301</v>
      </c>
      <c r="AL267">
        <v>79.207327198216603</v>
      </c>
      <c r="AM267">
        <v>87.435193989368202</v>
      </c>
      <c r="AN267">
        <v>1.0000000294115801</v>
      </c>
    </row>
    <row r="268" spans="1:40" x14ac:dyDescent="0.25">
      <c r="A268" t="str">
        <f>"20190312172615370"</f>
        <v>20190312172615370</v>
      </c>
      <c r="B268" t="str">
        <f>"1552382775368943"</f>
        <v>1552382775368943</v>
      </c>
      <c r="C268" t="s">
        <v>40</v>
      </c>
      <c r="D268">
        <v>3.2070180000000001</v>
      </c>
      <c r="E268">
        <v>0.49429519999999999</v>
      </c>
      <c r="F268" t="s">
        <v>41</v>
      </c>
      <c r="G268">
        <v>-390.17840000000001</v>
      </c>
      <c r="H268" s="1">
        <v>-4.7921719999999997E-6</v>
      </c>
      <c r="I268">
        <v>366.25380000000001</v>
      </c>
      <c r="J268">
        <v>-429.38479999999998</v>
      </c>
      <c r="K268">
        <v>1.0592569999999999</v>
      </c>
      <c r="L268">
        <v>367.50360000000001</v>
      </c>
      <c r="M268">
        <v>0.99996569999999996</v>
      </c>
      <c r="N268">
        <v>0</v>
      </c>
      <c r="O268">
        <v>-4.4282139999999998E-3</v>
      </c>
      <c r="P268">
        <v>0.98251549999999999</v>
      </c>
      <c r="Q268">
        <v>0.1798681</v>
      </c>
      <c r="R268">
        <v>-4.8072669999999998E-2</v>
      </c>
      <c r="S268">
        <v>3.0631710000000001</v>
      </c>
      <c r="T268">
        <v>-8.2078460000000006E-2</v>
      </c>
      <c r="U268">
        <v>-9.6923830000000002E-2</v>
      </c>
      <c r="V268">
        <v>4.379218E-2</v>
      </c>
      <c r="W268">
        <v>0.1867193</v>
      </c>
      <c r="X268">
        <v>0.9814368</v>
      </c>
      <c r="Y268">
        <v>2.719125E-2</v>
      </c>
      <c r="Z268">
        <v>-2.4553710000000002E-4</v>
      </c>
      <c r="AA268">
        <v>0.99963020000000002</v>
      </c>
      <c r="AB268">
        <v>33</v>
      </c>
      <c r="AC268">
        <v>39.206399999999903</v>
      </c>
      <c r="AD268">
        <v>-1.05926179217199</v>
      </c>
      <c r="AE268">
        <v>-1.24979999999999</v>
      </c>
      <c r="AF268">
        <v>1.0753849838103799</v>
      </c>
      <c r="AG268">
        <v>-1.05926179217199</v>
      </c>
      <c r="AH268">
        <v>39.182977544544997</v>
      </c>
      <c r="AI268">
        <v>91.5479585168152</v>
      </c>
      <c r="AJ268">
        <v>88.427900035071005</v>
      </c>
      <c r="AK268">
        <v>39.212041743118597</v>
      </c>
      <c r="AL268">
        <v>79.238612375561104</v>
      </c>
      <c r="AM268">
        <v>87.445129552805497</v>
      </c>
      <c r="AN268">
        <v>1.0000000222079399</v>
      </c>
    </row>
    <row r="269" spans="1:40" x14ac:dyDescent="0.25">
      <c r="A269" t="str">
        <f>"20190312172615394"</f>
        <v>20190312172615394</v>
      </c>
      <c r="B269" t="str">
        <f>"1552382775388461"</f>
        <v>1552382775388461</v>
      </c>
      <c r="C269" t="s">
        <v>40</v>
      </c>
      <c r="D269">
        <v>3.18832</v>
      </c>
      <c r="E269">
        <v>0.49428159999999999</v>
      </c>
      <c r="F269" t="s">
        <v>41</v>
      </c>
      <c r="G269">
        <v>-389.08109999999999</v>
      </c>
      <c r="H269" s="1">
        <v>-1.206746E-6</v>
      </c>
      <c r="I269">
        <v>366.2038</v>
      </c>
      <c r="J269">
        <v>-429.03379999999999</v>
      </c>
      <c r="K269">
        <v>1.0589550000000001</v>
      </c>
      <c r="L269">
        <v>367.50189999999998</v>
      </c>
      <c r="M269">
        <v>0.99997309999999995</v>
      </c>
      <c r="N269">
        <v>0</v>
      </c>
      <c r="O269">
        <v>-4.6159349999999998E-3</v>
      </c>
      <c r="P269">
        <v>0.98226230000000003</v>
      </c>
      <c r="Q269">
        <v>0.181255</v>
      </c>
      <c r="R269">
        <v>-4.803731E-2</v>
      </c>
      <c r="S269">
        <v>3.0632929999999998</v>
      </c>
      <c r="T269">
        <v>-8.0508949999999996E-2</v>
      </c>
      <c r="U269">
        <v>-9.8785399999999995E-2</v>
      </c>
      <c r="V269">
        <v>4.3574359999999999E-2</v>
      </c>
      <c r="W269">
        <v>0.1868332</v>
      </c>
      <c r="X269">
        <v>0.98142479999999999</v>
      </c>
      <c r="Y269">
        <v>2.7609459999999999E-2</v>
      </c>
      <c r="Z269">
        <v>-2.4139450000000001E-4</v>
      </c>
      <c r="AA269">
        <v>0.99961880000000003</v>
      </c>
      <c r="AB269">
        <v>33</v>
      </c>
      <c r="AC269">
        <v>39.952699999999901</v>
      </c>
      <c r="AD269">
        <v>-1.0589562067460001</v>
      </c>
      <c r="AE269">
        <v>-1.2980999999999701</v>
      </c>
      <c r="AF269">
        <v>1.11288310057409</v>
      </c>
      <c r="AG269">
        <v>-1.0589562067460001</v>
      </c>
      <c r="AH269">
        <v>39.930243855124601</v>
      </c>
      <c r="AI269">
        <v>91.518547409617</v>
      </c>
      <c r="AJ269">
        <v>88.403540867087202</v>
      </c>
      <c r="AK269">
        <v>39.959783174750399</v>
      </c>
      <c r="AL269">
        <v>79.231969287090493</v>
      </c>
      <c r="AM269">
        <v>87.457789588185804</v>
      </c>
      <c r="AN269">
        <v>1.0000000037633401</v>
      </c>
    </row>
    <row r="270" spans="1:40" x14ac:dyDescent="0.25">
      <c r="A270" t="str">
        <f>"20190312172615417"</f>
        <v>20190312172615417</v>
      </c>
      <c r="B270" t="str">
        <f>"1552382775408958"</f>
        <v>1552382775408958</v>
      </c>
      <c r="C270" t="s">
        <v>40</v>
      </c>
      <c r="D270">
        <v>3.2004009999999998</v>
      </c>
      <c r="E270">
        <v>0.4943072</v>
      </c>
      <c r="F270" t="s">
        <v>41</v>
      </c>
      <c r="G270">
        <v>-386.08920000000001</v>
      </c>
      <c r="H270" s="1">
        <v>-2.2792140000000001E-6</v>
      </c>
      <c r="I270">
        <v>366.12549999999999</v>
      </c>
      <c r="J270">
        <v>-428.69450000000001</v>
      </c>
      <c r="K270">
        <v>1.0587690000000001</v>
      </c>
      <c r="L270">
        <v>367.50020000000001</v>
      </c>
      <c r="M270">
        <v>0.99997720000000001</v>
      </c>
      <c r="N270">
        <v>0</v>
      </c>
      <c r="O270">
        <v>-4.7782249999999997E-3</v>
      </c>
      <c r="P270">
        <v>0.98218209999999995</v>
      </c>
      <c r="Q270">
        <v>0.18163180000000001</v>
      </c>
      <c r="R270">
        <v>-4.8254289999999998E-2</v>
      </c>
      <c r="S270">
        <v>3.0632929999999998</v>
      </c>
      <c r="T270">
        <v>-7.5536850000000003E-2</v>
      </c>
      <c r="U270">
        <v>-9.817505E-2</v>
      </c>
      <c r="V270">
        <v>4.3634619999999999E-2</v>
      </c>
      <c r="W270">
        <v>0.18629209999999999</v>
      </c>
      <c r="X270">
        <v>0.98152490000000003</v>
      </c>
      <c r="Y270">
        <v>2.72494E-2</v>
      </c>
      <c r="Z270">
        <v>-2.1805469999999999E-4</v>
      </c>
      <c r="AA270">
        <v>0.99962870000000004</v>
      </c>
      <c r="AB270">
        <v>34</v>
      </c>
      <c r="AC270">
        <v>42.6053</v>
      </c>
      <c r="AD270">
        <v>-1.058771279214</v>
      </c>
      <c r="AE270">
        <v>-1.37470000000001</v>
      </c>
      <c r="AF270">
        <v>1.17038225314369</v>
      </c>
      <c r="AG270">
        <v>-1.058771279214</v>
      </c>
      <c r="AH270">
        <v>42.585110934350404</v>
      </c>
      <c r="AI270">
        <v>91.423684151283595</v>
      </c>
      <c r="AJ270">
        <v>88.425715327596393</v>
      </c>
      <c r="AK270">
        <v>42.6143457597449</v>
      </c>
      <c r="AL270">
        <v>79.263525250526598</v>
      </c>
      <c r="AM270">
        <v>87.454537809763394</v>
      </c>
      <c r="AN270">
        <v>0.99999992795247905</v>
      </c>
    </row>
    <row r="271" spans="1:40" x14ac:dyDescent="0.25">
      <c r="A271" t="str">
        <f>"20190312172615438"</f>
        <v>20190312172615438</v>
      </c>
      <c r="B271" t="str">
        <f>"1552382775428478"</f>
        <v>1552382775428478</v>
      </c>
      <c r="C271" t="s">
        <v>40</v>
      </c>
      <c r="D271">
        <v>3.1969069999999999</v>
      </c>
      <c r="E271">
        <v>0.4942976</v>
      </c>
      <c r="F271" t="s">
        <v>41</v>
      </c>
      <c r="G271">
        <v>-384.95909999999998</v>
      </c>
      <c r="H271" s="1">
        <v>-2.7713780000000001E-6</v>
      </c>
      <c r="I271">
        <v>366.08409999999998</v>
      </c>
      <c r="J271">
        <v>-428.3657</v>
      </c>
      <c r="K271">
        <v>1.0587439999999999</v>
      </c>
      <c r="L271">
        <v>367.49849999999998</v>
      </c>
      <c r="M271">
        <v>0.99997840000000005</v>
      </c>
      <c r="N271">
        <v>0</v>
      </c>
      <c r="O271">
        <v>-4.9156829999999997E-3</v>
      </c>
      <c r="P271">
        <v>0.98225289999999998</v>
      </c>
      <c r="Q271">
        <v>0.18129100000000001</v>
      </c>
      <c r="R271">
        <v>-4.8094289999999998E-2</v>
      </c>
      <c r="S271">
        <v>3.0632929999999998</v>
      </c>
      <c r="T271">
        <v>-7.4157829999999994E-2</v>
      </c>
      <c r="U271">
        <v>-9.9182129999999993E-2</v>
      </c>
      <c r="V271">
        <v>4.3341919999999999E-2</v>
      </c>
      <c r="W271">
        <v>0.18556120000000001</v>
      </c>
      <c r="X271">
        <v>0.9816764</v>
      </c>
      <c r="Y271">
        <v>2.7440519999999999E-2</v>
      </c>
      <c r="Z271">
        <v>-2.130604E-4</v>
      </c>
      <c r="AA271">
        <v>0.99962340000000005</v>
      </c>
      <c r="AB271">
        <v>34</v>
      </c>
      <c r="AC271">
        <v>43.406599999999997</v>
      </c>
      <c r="AD271">
        <v>-1.0587467713779899</v>
      </c>
      <c r="AE271">
        <v>-1.4144000000000001</v>
      </c>
      <c r="AF271">
        <v>1.2002944493260901</v>
      </c>
      <c r="AG271">
        <v>-1.0587467713779899</v>
      </c>
      <c r="AH271">
        <v>43.387242960123601</v>
      </c>
      <c r="AI271">
        <v>91.397334673483698</v>
      </c>
      <c r="AJ271">
        <v>88.415334439479594</v>
      </c>
      <c r="AK271">
        <v>43.4167537152628</v>
      </c>
      <c r="AL271">
        <v>79.306146859791795</v>
      </c>
      <c r="AM271">
        <v>87.471980174188005</v>
      </c>
      <c r="AN271">
        <v>1.0000000176458399</v>
      </c>
    </row>
    <row r="272" spans="1:40" x14ac:dyDescent="0.25">
      <c r="A272" t="str">
        <f>"20190312172615460"</f>
        <v>20190312172615460</v>
      </c>
      <c r="B272" t="str">
        <f>"1552382775448977"</f>
        <v>1552382775448977</v>
      </c>
      <c r="C272" t="s">
        <v>40</v>
      </c>
      <c r="D272">
        <v>3.215789</v>
      </c>
      <c r="E272">
        <v>0.49431209999999998</v>
      </c>
      <c r="F272" t="s">
        <v>41</v>
      </c>
      <c r="G272">
        <v>-385.22089999999997</v>
      </c>
      <c r="H272" s="1">
        <v>-2.6561970000000002E-6</v>
      </c>
      <c r="I272">
        <v>366.10019999999997</v>
      </c>
      <c r="J272">
        <v>-428.02589999999998</v>
      </c>
      <c r="K272">
        <v>1.058843</v>
      </c>
      <c r="L272">
        <v>367.4966</v>
      </c>
      <c r="M272">
        <v>0.99997729999999996</v>
      </c>
      <c r="N272">
        <v>0</v>
      </c>
      <c r="O272">
        <v>-5.0491059999999898E-3</v>
      </c>
      <c r="P272">
        <v>0.98233809999999999</v>
      </c>
      <c r="Q272">
        <v>0.180951</v>
      </c>
      <c r="R272">
        <v>-4.7630699999999998E-2</v>
      </c>
      <c r="S272">
        <v>3.0632320000000002</v>
      </c>
      <c r="T272">
        <v>-7.5169920000000001E-2</v>
      </c>
      <c r="U272">
        <v>-9.9273680000000003E-2</v>
      </c>
      <c r="V272">
        <v>4.2748590000000003E-2</v>
      </c>
      <c r="W272">
        <v>0.18532129999999999</v>
      </c>
      <c r="X272">
        <v>0.9817477</v>
      </c>
      <c r="Y272">
        <v>2.7337520000000001E-2</v>
      </c>
      <c r="Z272">
        <v>-2.1143560000000001E-4</v>
      </c>
      <c r="AA272">
        <v>0.99962620000000002</v>
      </c>
      <c r="AB272">
        <v>34</v>
      </c>
      <c r="AC272">
        <v>42.805</v>
      </c>
      <c r="AD272">
        <v>-1.0588456561970001</v>
      </c>
      <c r="AE272">
        <v>-1.3964000000000201</v>
      </c>
      <c r="AF272">
        <v>1.1795320849898101</v>
      </c>
      <c r="AG272">
        <v>-1.0588456561970001</v>
      </c>
      <c r="AH272">
        <v>42.785352727236202</v>
      </c>
      <c r="AI272">
        <v>91.417120003862905</v>
      </c>
      <c r="AJ272">
        <v>88.420835815959606</v>
      </c>
      <c r="AK272">
        <v>42.814703760007397</v>
      </c>
      <c r="AL272">
        <v>79.320134393278593</v>
      </c>
      <c r="AM272">
        <v>87.506724426297197</v>
      </c>
      <c r="AN272">
        <v>0.99999998631798304</v>
      </c>
    </row>
    <row r="273" spans="1:40" x14ac:dyDescent="0.25">
      <c r="A273" t="str">
        <f>"20190312172615482"</f>
        <v>20190312172615482</v>
      </c>
      <c r="B273" t="str">
        <f>"1552382775479230"</f>
        <v>1552382775479230</v>
      </c>
      <c r="C273" t="s">
        <v>40</v>
      </c>
      <c r="D273">
        <v>3.2467280000000001</v>
      </c>
      <c r="E273">
        <v>0.49446050000000003</v>
      </c>
      <c r="F273" t="s">
        <v>41</v>
      </c>
      <c r="G273">
        <v>-385.17149999999998</v>
      </c>
      <c r="H273" s="1">
        <v>-2.672729E-6</v>
      </c>
      <c r="I273">
        <v>366.12650000000002</v>
      </c>
      <c r="J273">
        <v>-427.69659999999999</v>
      </c>
      <c r="K273">
        <v>1.05898</v>
      </c>
      <c r="L273">
        <v>367.4948</v>
      </c>
      <c r="M273">
        <v>0.99997499999999995</v>
      </c>
      <c r="N273">
        <v>0</v>
      </c>
      <c r="O273">
        <v>-5.1849740000000002E-3</v>
      </c>
      <c r="P273">
        <v>0.98249790000000004</v>
      </c>
      <c r="Q273">
        <v>0.1801596</v>
      </c>
      <c r="R273">
        <v>-4.7335229999999999E-2</v>
      </c>
      <c r="S273">
        <v>3.0631409999999999</v>
      </c>
      <c r="T273">
        <v>-7.5684070000000006E-2</v>
      </c>
      <c r="U273">
        <v>-9.7930909999999996E-2</v>
      </c>
      <c r="V273">
        <v>4.2318149999999999E-2</v>
      </c>
      <c r="W273">
        <v>0.18489249999999999</v>
      </c>
      <c r="X273">
        <v>0.98184720000000003</v>
      </c>
      <c r="Y273">
        <v>2.6765029999999999E-2</v>
      </c>
      <c r="Z273">
        <v>-2.024638E-4</v>
      </c>
      <c r="AA273">
        <v>0.99964169999999997</v>
      </c>
      <c r="AB273">
        <v>34</v>
      </c>
      <c r="AC273">
        <v>42.525100000000002</v>
      </c>
      <c r="AD273">
        <v>-1.0589826727289999</v>
      </c>
      <c r="AE273">
        <v>-1.3682999999999701</v>
      </c>
      <c r="AF273">
        <v>1.1470769124114399</v>
      </c>
      <c r="AG273">
        <v>-1.0589826727289999</v>
      </c>
      <c r="AH273">
        <v>42.505291239104203</v>
      </c>
      <c r="AI273">
        <v>91.426660495033701</v>
      </c>
      <c r="AJ273">
        <v>88.454152034943604</v>
      </c>
      <c r="AK273">
        <v>42.533951298523803</v>
      </c>
      <c r="AL273">
        <v>79.345134947461602</v>
      </c>
      <c r="AM273">
        <v>87.532048089772999</v>
      </c>
      <c r="AN273">
        <v>0.99999999326175604</v>
      </c>
    </row>
    <row r="274" spans="1:40" x14ac:dyDescent="0.25">
      <c r="A274" t="str">
        <f>"20190312172615504"</f>
        <v>20190312172615504</v>
      </c>
      <c r="B274" t="str">
        <f>"1552382775498750"</f>
        <v>1552382775498750</v>
      </c>
      <c r="C274" t="s">
        <v>40</v>
      </c>
      <c r="D274">
        <v>3.2686250000000001</v>
      </c>
      <c r="E274">
        <v>0.49440190000000001</v>
      </c>
      <c r="F274" t="s">
        <v>41</v>
      </c>
      <c r="G274">
        <v>-387.01710000000003</v>
      </c>
      <c r="H274" s="1">
        <v>-1.9139200000000001E-6</v>
      </c>
      <c r="I274">
        <v>366.18579999999997</v>
      </c>
      <c r="J274">
        <v>-427.36130000000003</v>
      </c>
      <c r="K274">
        <v>1.0591060000000001</v>
      </c>
      <c r="L274">
        <v>367.49290000000002</v>
      </c>
      <c r="M274">
        <v>0.99997170000000002</v>
      </c>
      <c r="N274">
        <v>0</v>
      </c>
      <c r="O274">
        <v>-5.3315339999999998E-3</v>
      </c>
      <c r="P274">
        <v>0.98257550000000005</v>
      </c>
      <c r="Q274">
        <v>0.17972289999999999</v>
      </c>
      <c r="R274">
        <v>-4.7379379999999999E-2</v>
      </c>
      <c r="S274">
        <v>3.0633240000000002</v>
      </c>
      <c r="T274">
        <v>-7.9745289999999996E-2</v>
      </c>
      <c r="U274">
        <v>-9.8571779999999998E-2</v>
      </c>
      <c r="V274">
        <v>4.2216009999999998E-2</v>
      </c>
      <c r="W274">
        <v>0.18491460000000001</v>
      </c>
      <c r="X274">
        <v>0.98184749999999998</v>
      </c>
      <c r="Y274">
        <v>2.6824819999999999E-2</v>
      </c>
      <c r="Z274">
        <v>-2.1027510000000001E-4</v>
      </c>
      <c r="AA274">
        <v>0.99964010000000003</v>
      </c>
      <c r="AB274">
        <v>34</v>
      </c>
      <c r="AC274">
        <v>40.344200000000001</v>
      </c>
      <c r="AD274">
        <v>-1.0591079139199999</v>
      </c>
      <c r="AE274">
        <v>-1.3071000000000399</v>
      </c>
      <c r="AF274">
        <v>1.0912306771278499</v>
      </c>
      <c r="AG274">
        <v>-1.0591079139199999</v>
      </c>
      <c r="AH274">
        <v>40.322835900497203</v>
      </c>
      <c r="AI274">
        <v>91.504018002367999</v>
      </c>
      <c r="AJ274">
        <v>88.449819952772202</v>
      </c>
      <c r="AK274">
        <v>40.351500455651703</v>
      </c>
      <c r="AL274">
        <v>79.3438471809053</v>
      </c>
      <c r="AM274">
        <v>87.537998204543001</v>
      </c>
      <c r="AN274">
        <v>1.0000000570248599</v>
      </c>
    </row>
    <row r="275" spans="1:40" x14ac:dyDescent="0.25">
      <c r="A275" t="str">
        <f>"20190312172615527"</f>
        <v>20190312172615527</v>
      </c>
      <c r="B275" t="str">
        <f>"1552382775518270"</f>
        <v>1552382775518270</v>
      </c>
      <c r="C275" t="s">
        <v>40</v>
      </c>
      <c r="D275">
        <v>3.2316690000000001</v>
      </c>
      <c r="E275">
        <v>0.49427130000000002</v>
      </c>
      <c r="F275" t="s">
        <v>41</v>
      </c>
      <c r="G275">
        <v>-387.459</v>
      </c>
      <c r="H275" s="1">
        <v>-1.7555880000000001E-6</v>
      </c>
      <c r="I275">
        <v>366.21559999999999</v>
      </c>
      <c r="J275">
        <v>-427.01549999999997</v>
      </c>
      <c r="K275">
        <v>1.0592109999999999</v>
      </c>
      <c r="L275">
        <v>367.49090000000001</v>
      </c>
      <c r="M275">
        <v>0.99996819999999997</v>
      </c>
      <c r="N275">
        <v>0</v>
      </c>
      <c r="O275">
        <v>-5.4818069999999896E-3</v>
      </c>
      <c r="P275">
        <v>0.9827418</v>
      </c>
      <c r="Q275">
        <v>0.17891489999999999</v>
      </c>
      <c r="R275">
        <v>-4.6994559999999998E-2</v>
      </c>
      <c r="S275">
        <v>3.0633539999999999</v>
      </c>
      <c r="T275">
        <v>-8.130896E-2</v>
      </c>
      <c r="U275">
        <v>-9.8052979999999998E-2</v>
      </c>
      <c r="V275">
        <v>4.1680969999999998E-2</v>
      </c>
      <c r="W275">
        <v>0.18461230000000001</v>
      </c>
      <c r="X275">
        <v>0.9819272</v>
      </c>
      <c r="Y275">
        <v>2.6505009999999999E-2</v>
      </c>
      <c r="Z275">
        <v>-2.0616570000000001E-4</v>
      </c>
      <c r="AA275">
        <v>0.9996486</v>
      </c>
      <c r="AB275">
        <v>34</v>
      </c>
      <c r="AC275">
        <v>39.5564999999999</v>
      </c>
      <c r="AD275">
        <v>-1.059212755588</v>
      </c>
      <c r="AE275">
        <v>-1.2753000000000101</v>
      </c>
      <c r="AF275">
        <v>1.0576785134493101</v>
      </c>
      <c r="AG275">
        <v>-1.059212755588</v>
      </c>
      <c r="AH275">
        <v>39.534579088588401</v>
      </c>
      <c r="AI275">
        <v>91.534156070528596</v>
      </c>
      <c r="AJ275">
        <v>88.467517183540707</v>
      </c>
      <c r="AK275">
        <v>39.562906354453602</v>
      </c>
      <c r="AL275">
        <v>79.361470676492601</v>
      </c>
      <c r="AM275">
        <v>87.569360679653798</v>
      </c>
      <c r="AN275">
        <v>1.0000000153356301</v>
      </c>
    </row>
    <row r="276" spans="1:40" x14ac:dyDescent="0.25">
      <c r="A276" t="str">
        <f>"20190312172615549"</f>
        <v>20190312172615549</v>
      </c>
      <c r="B276" t="str">
        <f>"1552382775538769"</f>
        <v>1552382775538769</v>
      </c>
      <c r="C276" t="s">
        <v>40</v>
      </c>
      <c r="D276">
        <v>3.2282109999999999</v>
      </c>
      <c r="E276">
        <v>0.45791939999999998</v>
      </c>
      <c r="F276" t="s">
        <v>41</v>
      </c>
      <c r="G276">
        <v>-388.30759999999998</v>
      </c>
      <c r="H276" s="1">
        <v>-1.4475389999999999E-6</v>
      </c>
      <c r="I276">
        <v>366.28809999999999</v>
      </c>
      <c r="J276">
        <v>-426.67599999999999</v>
      </c>
      <c r="K276">
        <v>1.0592889999999999</v>
      </c>
      <c r="L276">
        <v>367.4889</v>
      </c>
      <c r="M276">
        <v>0.99996419999999997</v>
      </c>
      <c r="N276">
        <v>0</v>
      </c>
      <c r="O276">
        <v>-5.6310049999999997E-3</v>
      </c>
      <c r="P276">
        <v>0.98290659999999996</v>
      </c>
      <c r="Q276">
        <v>0.17818809999999999</v>
      </c>
      <c r="R276">
        <v>-4.6299260000000002E-2</v>
      </c>
      <c r="S276">
        <v>3.0634160000000001</v>
      </c>
      <c r="T276">
        <v>-8.3827849999999995E-2</v>
      </c>
      <c r="U276">
        <v>-9.5184329999999998E-2</v>
      </c>
      <c r="V276">
        <v>4.0836160000000003E-2</v>
      </c>
      <c r="W276">
        <v>0.18439159999999999</v>
      </c>
      <c r="X276">
        <v>0.98200419999999999</v>
      </c>
      <c r="Y276">
        <v>2.5420020000000002E-2</v>
      </c>
      <c r="Z276">
        <v>-1.936292E-4</v>
      </c>
      <c r="AA276">
        <v>0.99967680000000003</v>
      </c>
      <c r="AB276">
        <v>34</v>
      </c>
      <c r="AC276">
        <v>38.368400000000001</v>
      </c>
      <c r="AD276">
        <v>-1.0592904475389999</v>
      </c>
      <c r="AE276">
        <v>-1.2008000000000101</v>
      </c>
      <c r="AF276">
        <v>0.983974724430282</v>
      </c>
      <c r="AG276">
        <v>-1.0592904475389999</v>
      </c>
      <c r="AH276">
        <v>38.345354362596296</v>
      </c>
      <c r="AI276">
        <v>91.581873045823897</v>
      </c>
      <c r="AJ276">
        <v>88.530063675767906</v>
      </c>
      <c r="AK276">
        <v>38.372600950465298</v>
      </c>
      <c r="AL276">
        <v>79.374337125865793</v>
      </c>
      <c r="AM276">
        <v>87.618755260204196</v>
      </c>
      <c r="AN276">
        <v>1.00000005146587</v>
      </c>
    </row>
    <row r="277" spans="1:40" x14ac:dyDescent="0.25">
      <c r="A277" t="str">
        <f>"20190312172615571"</f>
        <v>20190312172615571</v>
      </c>
      <c r="B277" t="str">
        <f>"1552382775569022"</f>
        <v>1552382775569022</v>
      </c>
      <c r="C277" t="s">
        <v>40</v>
      </c>
      <c r="D277">
        <v>3.0793659999999998</v>
      </c>
      <c r="E277">
        <v>0.43531389999999998</v>
      </c>
      <c r="F277" t="s">
        <v>41</v>
      </c>
      <c r="G277">
        <v>-395.78379999999999</v>
      </c>
      <c r="H277" s="1">
        <v>-1.8192380000000001E-6</v>
      </c>
      <c r="I277">
        <v>369.4572</v>
      </c>
      <c r="J277">
        <v>-426.33300000000003</v>
      </c>
      <c r="K277">
        <v>1.059337</v>
      </c>
      <c r="L277">
        <v>367.48680000000002</v>
      </c>
      <c r="M277">
        <v>0.99995999999999996</v>
      </c>
      <c r="N277">
        <v>0</v>
      </c>
      <c r="O277">
        <v>-5.7828059999999997E-3</v>
      </c>
      <c r="P277">
        <v>0.98306539999999998</v>
      </c>
      <c r="Q277">
        <v>0.17754790000000001</v>
      </c>
      <c r="R277">
        <v>-4.538267E-2</v>
      </c>
      <c r="S277">
        <v>3.0805660000000001</v>
      </c>
      <c r="T277">
        <v>-0.1056322</v>
      </c>
      <c r="U277">
        <v>0.19628909999999999</v>
      </c>
      <c r="V277">
        <v>3.976727E-2</v>
      </c>
      <c r="W277">
        <v>0.18425050000000001</v>
      </c>
      <c r="X277">
        <v>0.98207449999999996</v>
      </c>
      <c r="Y277">
        <v>-6.9315749999999995E-2</v>
      </c>
      <c r="Z277">
        <v>1.38490799999999E-3</v>
      </c>
      <c r="AA277">
        <v>0.99759379999999998</v>
      </c>
      <c r="AB277">
        <v>34</v>
      </c>
      <c r="AC277">
        <v>30.549199999999999</v>
      </c>
      <c r="AD277">
        <v>-1.059338819238</v>
      </c>
      <c r="AE277">
        <v>1.9703999999999799</v>
      </c>
      <c r="AF277">
        <v>-2.14446331683031</v>
      </c>
      <c r="AG277">
        <v>-1.059338819238</v>
      </c>
      <c r="AH277">
        <v>30.500770505163199</v>
      </c>
      <c r="AI277">
        <v>91.984276802390397</v>
      </c>
      <c r="AJ277">
        <v>94.021761922735195</v>
      </c>
      <c r="AK277">
        <v>30.594409996922799</v>
      </c>
      <c r="AL277">
        <v>79.382561972414095</v>
      </c>
      <c r="AM277">
        <v>87.681181405225999</v>
      </c>
      <c r="AN277">
        <v>1.0000000030318701</v>
      </c>
    </row>
    <row r="278" spans="1:40" x14ac:dyDescent="0.25">
      <c r="A278" t="str">
        <f>"20190312172615594"</f>
        <v>20190312172615594</v>
      </c>
      <c r="B278" t="str">
        <f>"1552382775588542"</f>
        <v>1552382775588542</v>
      </c>
      <c r="C278" t="s">
        <v>40</v>
      </c>
      <c r="D278">
        <v>3.114579</v>
      </c>
      <c r="E278">
        <v>0.42869489999999999</v>
      </c>
      <c r="F278" t="s">
        <v>41</v>
      </c>
      <c r="G278">
        <v>-395.62380000000002</v>
      </c>
      <c r="H278" s="1">
        <v>-2.2974280000000002E-6</v>
      </c>
      <c r="I278">
        <v>371.26130000000001</v>
      </c>
      <c r="J278">
        <v>-425.99959999999999</v>
      </c>
      <c r="K278">
        <v>1.0593729999999999</v>
      </c>
      <c r="L278">
        <v>367.48480000000001</v>
      </c>
      <c r="M278">
        <v>0.99995579999999995</v>
      </c>
      <c r="N278">
        <v>0</v>
      </c>
      <c r="O278">
        <v>-5.9305310000000002E-3</v>
      </c>
      <c r="P278">
        <v>0.98335220000000001</v>
      </c>
      <c r="Q278">
        <v>0.17635599999999901</v>
      </c>
      <c r="R278">
        <v>-4.3784789999999997E-2</v>
      </c>
      <c r="S278">
        <v>3.0884399999999999</v>
      </c>
      <c r="T278">
        <v>-0.1065379</v>
      </c>
      <c r="U278">
        <v>0.37960820000000001</v>
      </c>
      <c r="V278">
        <v>3.8021039999999999E-2</v>
      </c>
      <c r="W278">
        <v>0.1835174</v>
      </c>
      <c r="X278">
        <v>0.98228090000000001</v>
      </c>
      <c r="Y278">
        <v>-0.12780039999999901</v>
      </c>
      <c r="Z278">
        <v>2.3991490000000002E-3</v>
      </c>
      <c r="AA278">
        <v>0.99179700000000004</v>
      </c>
      <c r="AB278">
        <v>34</v>
      </c>
      <c r="AC278">
        <v>30.375799999999899</v>
      </c>
      <c r="AD278">
        <v>-1.059375297428</v>
      </c>
      <c r="AE278">
        <v>3.7764999999999902</v>
      </c>
      <c r="AF278">
        <v>-3.9518494938423201</v>
      </c>
      <c r="AG278">
        <v>-1.059375297428</v>
      </c>
      <c r="AH278">
        <v>30.316555506313399</v>
      </c>
      <c r="AI278">
        <v>91.984541358834704</v>
      </c>
      <c r="AJ278">
        <v>97.426792212017602</v>
      </c>
      <c r="AK278">
        <v>30.591386503559502</v>
      </c>
      <c r="AL278">
        <v>79.425294159372797</v>
      </c>
      <c r="AM278">
        <v>87.783365054617605</v>
      </c>
      <c r="AN278">
        <v>1.00000000104512</v>
      </c>
    </row>
    <row r="279" spans="1:40" x14ac:dyDescent="0.25">
      <c r="A279" t="str">
        <f>"20190312172615617"</f>
        <v>20190312172615617</v>
      </c>
      <c r="B279" t="str">
        <f>"1552382775609039"</f>
        <v>1552382775609039</v>
      </c>
      <c r="C279" t="s">
        <v>40</v>
      </c>
      <c r="D279">
        <v>3.1019429999999999</v>
      </c>
      <c r="E279">
        <v>0.42489389999999999</v>
      </c>
      <c r="F279" t="s">
        <v>41</v>
      </c>
      <c r="G279">
        <v>-396.67</v>
      </c>
      <c r="H279" s="1">
        <v>-1.9479009999999998E-6</v>
      </c>
      <c r="I279">
        <v>371.63440000000003</v>
      </c>
      <c r="J279">
        <v>-425.63479999999998</v>
      </c>
      <c r="K279">
        <v>1.0593969999999999</v>
      </c>
      <c r="L279">
        <v>367.48239999999998</v>
      </c>
      <c r="M279">
        <v>0.99995120000000004</v>
      </c>
      <c r="N279">
        <v>0</v>
      </c>
      <c r="O279">
        <v>-6.0914059999999997E-3</v>
      </c>
      <c r="P279">
        <v>0.98365970000000003</v>
      </c>
      <c r="Q279">
        <v>0.1752204</v>
      </c>
      <c r="R279">
        <v>-4.1367660000000001E-2</v>
      </c>
      <c r="S279">
        <v>3.090271</v>
      </c>
      <c r="T279">
        <v>-0.111619</v>
      </c>
      <c r="U279">
        <v>0.43722529999999998</v>
      </c>
      <c r="V279">
        <v>3.5443019999999999E-2</v>
      </c>
      <c r="W279">
        <v>0.1828504</v>
      </c>
      <c r="X279">
        <v>0.98250170000000003</v>
      </c>
      <c r="Y279">
        <v>-0.14602089999999901</v>
      </c>
      <c r="Z279">
        <v>2.8420780000000001E-3</v>
      </c>
      <c r="AA279">
        <v>0.98927739999999997</v>
      </c>
      <c r="AB279">
        <v>34</v>
      </c>
      <c r="AC279">
        <v>28.964799999999901</v>
      </c>
      <c r="AD279">
        <v>-1.059398947901</v>
      </c>
      <c r="AE279">
        <v>4.1520000000000401</v>
      </c>
      <c r="AF279">
        <v>-4.3226983593378296</v>
      </c>
      <c r="AG279">
        <v>-1.059398947901</v>
      </c>
      <c r="AH279">
        <v>28.901086060709201</v>
      </c>
      <c r="AI279">
        <v>92.076221274925203</v>
      </c>
      <c r="AJ279">
        <v>98.506597137557407</v>
      </c>
      <c r="AK279">
        <v>29.2417650412069</v>
      </c>
      <c r="AL279">
        <v>79.464168592162295</v>
      </c>
      <c r="AM279">
        <v>87.933993146520393</v>
      </c>
      <c r="AN279">
        <v>1.00000003347488</v>
      </c>
    </row>
    <row r="280" spans="1:40" x14ac:dyDescent="0.25">
      <c r="A280" t="str">
        <f>"20190312172615640"</f>
        <v>20190312172615640</v>
      </c>
      <c r="B280" t="str">
        <f>"1552382775628558"</f>
        <v>1552382775628558</v>
      </c>
      <c r="C280" t="s">
        <v>40</v>
      </c>
      <c r="D280">
        <v>3.2075589999999998</v>
      </c>
      <c r="E280">
        <v>0.42276710000000001</v>
      </c>
      <c r="F280" t="s">
        <v>41</v>
      </c>
      <c r="G280">
        <v>-397.49220000000003</v>
      </c>
      <c r="H280" s="1">
        <v>-1.6431570000000001E-6</v>
      </c>
      <c r="I280">
        <v>371.81470000000002</v>
      </c>
      <c r="J280">
        <v>-425.28199999999998</v>
      </c>
      <c r="K280">
        <v>1.05941</v>
      </c>
      <c r="L280">
        <v>367.48009999999999</v>
      </c>
      <c r="M280">
        <v>0.99994700000000003</v>
      </c>
      <c r="N280">
        <v>0</v>
      </c>
      <c r="O280">
        <v>-6.2457609999999998E-3</v>
      </c>
      <c r="P280">
        <v>0.98381110000000005</v>
      </c>
      <c r="Q280">
        <v>0.17491300000000001</v>
      </c>
      <c r="R280">
        <v>-3.9009790000000003E-2</v>
      </c>
      <c r="S280">
        <v>3.0905459999999998</v>
      </c>
      <c r="T280">
        <v>-0.1163397</v>
      </c>
      <c r="U280">
        <v>0.475769</v>
      </c>
      <c r="V280">
        <v>3.2932320000000001E-2</v>
      </c>
      <c r="W280">
        <v>0.1829634</v>
      </c>
      <c r="X280">
        <v>0.982568</v>
      </c>
      <c r="Y280">
        <v>-0.1582075</v>
      </c>
      <c r="Z280">
        <v>3.1929850000000002E-3</v>
      </c>
      <c r="AA280">
        <v>0.98740070000000002</v>
      </c>
      <c r="AB280">
        <v>34</v>
      </c>
      <c r="AC280">
        <v>27.7897999999999</v>
      </c>
      <c r="AD280">
        <v>-1.059411643157</v>
      </c>
      <c r="AE280">
        <v>4.3346000000000204</v>
      </c>
      <c r="AF280">
        <v>-4.5017027256830202</v>
      </c>
      <c r="AG280">
        <v>-1.059411643157</v>
      </c>
      <c r="AH280">
        <v>27.722851149363599</v>
      </c>
      <c r="AI280">
        <v>92.160190606613</v>
      </c>
      <c r="AJ280">
        <v>99.223320722533302</v>
      </c>
      <c r="AK280">
        <v>28.1059452128878</v>
      </c>
      <c r="AL280">
        <v>79.457582812528599</v>
      </c>
      <c r="AM280">
        <v>88.080359963836599</v>
      </c>
      <c r="AN280">
        <v>1.00000000903207</v>
      </c>
    </row>
    <row r="281" spans="1:40" x14ac:dyDescent="0.25">
      <c r="A281" t="str">
        <f>"20190312172615660"</f>
        <v>20190312172615660</v>
      </c>
      <c r="B281" t="str">
        <f>"1552382775649057"</f>
        <v>1552382775649057</v>
      </c>
      <c r="C281" t="s">
        <v>40</v>
      </c>
      <c r="D281">
        <v>3.2029339999999999</v>
      </c>
      <c r="E281">
        <v>0.42135040000000001</v>
      </c>
      <c r="F281" t="s">
        <v>41</v>
      </c>
      <c r="G281">
        <v>-397.58929999999998</v>
      </c>
      <c r="H281" s="1">
        <v>-1.6404169999999901E-6</v>
      </c>
      <c r="I281">
        <v>371.96109999999999</v>
      </c>
      <c r="J281">
        <v>-424.9683</v>
      </c>
      <c r="K281">
        <v>1.0594140000000001</v>
      </c>
      <c r="L281">
        <v>367.47809999999998</v>
      </c>
      <c r="M281">
        <v>0.99994329999999998</v>
      </c>
      <c r="N281">
        <v>0</v>
      </c>
      <c r="O281">
        <v>-6.381154E-3</v>
      </c>
      <c r="P281">
        <v>0.98388980000000004</v>
      </c>
      <c r="Q281">
        <v>0.17490749999999999</v>
      </c>
      <c r="R281">
        <v>-3.6994249999999999E-2</v>
      </c>
      <c r="S281">
        <v>3.090179</v>
      </c>
      <c r="T281">
        <v>-0.1182177</v>
      </c>
      <c r="U281">
        <v>0.50003050000000004</v>
      </c>
      <c r="V281">
        <v>3.0783669999999999E-2</v>
      </c>
      <c r="W281">
        <v>0.1833013</v>
      </c>
      <c r="X281">
        <v>0.98257459999999996</v>
      </c>
      <c r="Y281">
        <v>-0.16590849999999999</v>
      </c>
      <c r="Z281">
        <v>3.3943459999999999E-3</v>
      </c>
      <c r="AA281">
        <v>0.98613530000000005</v>
      </c>
      <c r="AB281">
        <v>34</v>
      </c>
      <c r="AC281">
        <v>27.379000000000001</v>
      </c>
      <c r="AD281">
        <v>-1.0594156404170001</v>
      </c>
      <c r="AE281">
        <v>4.4829999999999997</v>
      </c>
      <c r="AF281">
        <v>-4.6508429776820401</v>
      </c>
      <c r="AG281">
        <v>-1.0594156404170001</v>
      </c>
      <c r="AH281">
        <v>27.310012208765301</v>
      </c>
      <c r="AI281">
        <v>92.190017341066707</v>
      </c>
      <c r="AJ281">
        <v>99.664644193079098</v>
      </c>
      <c r="AK281">
        <v>27.7234461917188</v>
      </c>
      <c r="AL281">
        <v>79.437888599172496</v>
      </c>
      <c r="AM281">
        <v>88.205533061249895</v>
      </c>
      <c r="AN281">
        <v>0.99999992274275595</v>
      </c>
    </row>
    <row r="282" spans="1:40" x14ac:dyDescent="0.25">
      <c r="A282" t="str">
        <f>"20190312172615683"</f>
        <v>20190312172615683</v>
      </c>
      <c r="B282" t="str">
        <f>"1552382775679310"</f>
        <v>1552382775679310</v>
      </c>
      <c r="C282" t="s">
        <v>40</v>
      </c>
      <c r="D282">
        <v>3.2023540000000001</v>
      </c>
      <c r="E282">
        <v>0.41989650000000001</v>
      </c>
      <c r="F282" t="s">
        <v>41</v>
      </c>
      <c r="G282">
        <v>-397.08449999999999</v>
      </c>
      <c r="H282" s="1">
        <v>-1.9090700000000001E-6</v>
      </c>
      <c r="I282">
        <v>372.15679999999998</v>
      </c>
      <c r="J282">
        <v>-424.62970000000001</v>
      </c>
      <c r="K282">
        <v>1.0594049999999999</v>
      </c>
      <c r="L282">
        <v>367.47570000000002</v>
      </c>
      <c r="M282">
        <v>0.99993929999999998</v>
      </c>
      <c r="N282">
        <v>0</v>
      </c>
      <c r="O282">
        <v>-6.5275580000000001E-3</v>
      </c>
      <c r="P282">
        <v>0.9840257</v>
      </c>
      <c r="Q282">
        <v>0.17454929999999999</v>
      </c>
      <c r="R282">
        <v>-3.5019699999999897E-2</v>
      </c>
      <c r="S282">
        <v>3.0894780000000002</v>
      </c>
      <c r="T282">
        <v>-0.1173811</v>
      </c>
      <c r="U282">
        <v>0.51840209999999998</v>
      </c>
      <c r="V282">
        <v>2.866467E-2</v>
      </c>
      <c r="W282">
        <v>0.183283</v>
      </c>
      <c r="X282">
        <v>0.98264220000000002</v>
      </c>
      <c r="Y282">
        <v>-0.17179169999999999</v>
      </c>
      <c r="Z282">
        <v>3.4859560000000001E-3</v>
      </c>
      <c r="AA282">
        <v>0.98512719999999998</v>
      </c>
      <c r="AB282">
        <v>34</v>
      </c>
      <c r="AC282">
        <v>27.545200000000001</v>
      </c>
      <c r="AD282">
        <v>-1.05940690907</v>
      </c>
      <c r="AE282">
        <v>4.6810999999999501</v>
      </c>
      <c r="AF282">
        <v>-4.8538318737111297</v>
      </c>
      <c r="AG282">
        <v>-1.05940690907</v>
      </c>
      <c r="AH282">
        <v>27.474555536254002</v>
      </c>
      <c r="AI282">
        <v>92.174564959981097</v>
      </c>
      <c r="AJ282">
        <v>100.01886192444999</v>
      </c>
      <c r="AK282">
        <v>27.9201222914933</v>
      </c>
      <c r="AL282">
        <v>79.438956084892595</v>
      </c>
      <c r="AM282">
        <v>88.329097819976695</v>
      </c>
      <c r="AN282">
        <v>1.00000000730802</v>
      </c>
    </row>
    <row r="283" spans="1:40" x14ac:dyDescent="0.25">
      <c r="A283" t="str">
        <f>"20190312172615705"</f>
        <v>20190312172615705</v>
      </c>
      <c r="B283" t="str">
        <f>"1552382775698830"</f>
        <v>1552382775698830</v>
      </c>
      <c r="C283" t="s">
        <v>40</v>
      </c>
      <c r="D283">
        <v>3.192831</v>
      </c>
      <c r="E283">
        <v>0.41927500000000001</v>
      </c>
      <c r="F283" t="s">
        <v>41</v>
      </c>
      <c r="G283">
        <v>-397.08350000000002</v>
      </c>
      <c r="H283" s="1">
        <v>-1.937112E-6</v>
      </c>
      <c r="I283">
        <v>372.26069999999999</v>
      </c>
      <c r="J283">
        <v>-424.2867</v>
      </c>
      <c r="K283">
        <v>1.0594059999999901</v>
      </c>
      <c r="L283">
        <v>367.47340000000003</v>
      </c>
      <c r="M283">
        <v>0.99993540000000003</v>
      </c>
      <c r="N283">
        <v>0</v>
      </c>
      <c r="O283">
        <v>-6.6760269999999898E-3</v>
      </c>
      <c r="P283">
        <v>0.98416959999999998</v>
      </c>
      <c r="Q283">
        <v>0.174093</v>
      </c>
      <c r="R283">
        <v>-3.3195170000000003E-2</v>
      </c>
      <c r="S283">
        <v>3.088867</v>
      </c>
      <c r="T283">
        <v>-0.1187954</v>
      </c>
      <c r="U283">
        <v>0.53656009999999998</v>
      </c>
      <c r="V283">
        <v>2.6693350000000001E-2</v>
      </c>
      <c r="W283">
        <v>0.18313869999999999</v>
      </c>
      <c r="X283">
        <v>0.98272459999999995</v>
      </c>
      <c r="Y283">
        <v>-0.17758650000000001</v>
      </c>
      <c r="Z283">
        <v>3.6431160000000001E-3</v>
      </c>
      <c r="AA283">
        <v>0.98409840000000004</v>
      </c>
      <c r="AB283">
        <v>34</v>
      </c>
      <c r="AC283">
        <v>27.203199999999899</v>
      </c>
      <c r="AD283">
        <v>-1.05940793711199</v>
      </c>
      <c r="AE283">
        <v>4.7872999999999504</v>
      </c>
      <c r="AF283">
        <v>-4.9615114393209501</v>
      </c>
      <c r="AG283">
        <v>-1.05940793711199</v>
      </c>
      <c r="AH283">
        <v>27.130720391119599</v>
      </c>
      <c r="AI283">
        <v>92.199722059783596</v>
      </c>
      <c r="AJ283">
        <v>100.363410197485</v>
      </c>
      <c r="AK283">
        <v>27.600995088598602</v>
      </c>
      <c r="AL283">
        <v>79.447365915638997</v>
      </c>
      <c r="AM283">
        <v>88.444080544334597</v>
      </c>
      <c r="AN283">
        <v>0.99999997890853598</v>
      </c>
    </row>
    <row r="284" spans="1:40" x14ac:dyDescent="0.25">
      <c r="A284" t="str">
        <f>"20190312172615729"</f>
        <v>20190312172615729</v>
      </c>
      <c r="B284" t="str">
        <f>"1552382775719327"</f>
        <v>1552382775719327</v>
      </c>
      <c r="C284" t="s">
        <v>40</v>
      </c>
      <c r="D284">
        <v>3.1659929999999998</v>
      </c>
      <c r="E284">
        <v>0.41873149999999998</v>
      </c>
      <c r="F284" t="s">
        <v>41</v>
      </c>
      <c r="G284">
        <v>-397.18790000000001</v>
      </c>
      <c r="H284" s="1">
        <v>-1.896523E-6</v>
      </c>
      <c r="I284">
        <v>372.27629999999999</v>
      </c>
      <c r="J284">
        <v>-423.93209999999999</v>
      </c>
      <c r="K284">
        <v>1.059402</v>
      </c>
      <c r="L284">
        <v>367.47089999999997</v>
      </c>
      <c r="M284">
        <v>0.99993160000000003</v>
      </c>
      <c r="N284">
        <v>0</v>
      </c>
      <c r="O284">
        <v>-6.8304969999999996E-3</v>
      </c>
      <c r="P284">
        <v>0.98427659999999995</v>
      </c>
      <c r="Q284">
        <v>0.17375260000000001</v>
      </c>
      <c r="R284">
        <v>-3.1779399999999999E-2</v>
      </c>
      <c r="S284">
        <v>3.0880740000000002</v>
      </c>
      <c r="T284">
        <v>-0.1207252</v>
      </c>
      <c r="U284">
        <v>0.54733279999999995</v>
      </c>
      <c r="V284">
        <v>2.5124750000000001E-2</v>
      </c>
      <c r="W284">
        <v>0.1830862</v>
      </c>
      <c r="X284">
        <v>0.98277570000000003</v>
      </c>
      <c r="Y284">
        <v>-0.1811035</v>
      </c>
      <c r="Z284">
        <v>3.776265E-3</v>
      </c>
      <c r="AA284">
        <v>0.98345680000000002</v>
      </c>
      <c r="AB284">
        <v>34</v>
      </c>
      <c r="AC284">
        <v>26.7441999999999</v>
      </c>
      <c r="AD284">
        <v>-1.0594038965229999</v>
      </c>
      <c r="AE284">
        <v>4.8054000000000201</v>
      </c>
      <c r="AF284">
        <v>-4.9804017285257096</v>
      </c>
      <c r="AG284">
        <v>-1.0594038965229999</v>
      </c>
      <c r="AH284">
        <v>26.670210646643898</v>
      </c>
      <c r="AI284">
        <v>92.236113657504205</v>
      </c>
      <c r="AJ284">
        <v>100.57759726462599</v>
      </c>
      <c r="AK284">
        <v>27.1519221037817</v>
      </c>
      <c r="AL284">
        <v>79.450425296606596</v>
      </c>
      <c r="AM284">
        <v>88.535547181783699</v>
      </c>
      <c r="AN284">
        <v>0.999999943101744</v>
      </c>
    </row>
    <row r="285" spans="1:40" x14ac:dyDescent="0.25">
      <c r="A285" t="str">
        <f>"20190312172615750"</f>
        <v>20190312172615750</v>
      </c>
      <c r="B285" t="str">
        <f>"1552382775738855"</f>
        <v>1552382775738855</v>
      </c>
      <c r="C285" t="s">
        <v>40</v>
      </c>
      <c r="D285">
        <v>3.189581</v>
      </c>
      <c r="E285">
        <v>0.41834640000000001</v>
      </c>
      <c r="F285" t="s">
        <v>41</v>
      </c>
      <c r="G285">
        <v>-397.0179</v>
      </c>
      <c r="H285" s="1">
        <v>-1.9814810000000001E-6</v>
      </c>
      <c r="I285">
        <v>372.32159999999999</v>
      </c>
      <c r="J285">
        <v>-423.59829999999999</v>
      </c>
      <c r="K285">
        <v>1.0593969999999999</v>
      </c>
      <c r="L285">
        <v>367.46839999999997</v>
      </c>
      <c r="M285">
        <v>0.99992840000000005</v>
      </c>
      <c r="N285">
        <v>0</v>
      </c>
      <c r="O285">
        <v>-6.9765490000000003E-3</v>
      </c>
      <c r="P285">
        <v>0.98431199999999996</v>
      </c>
      <c r="Q285">
        <v>0.1737291</v>
      </c>
      <c r="R285">
        <v>-3.079958E-2</v>
      </c>
      <c r="S285">
        <v>3.0873110000000001</v>
      </c>
      <c r="T285">
        <v>-0.1215231</v>
      </c>
      <c r="U285">
        <v>0.556427</v>
      </c>
      <c r="V285">
        <v>2.4000959999999998E-2</v>
      </c>
      <c r="W285">
        <v>0.18330370000000001</v>
      </c>
      <c r="X285">
        <v>0.98276330000000001</v>
      </c>
      <c r="Y285">
        <v>-0.18409120000000001</v>
      </c>
      <c r="Z285">
        <v>3.8651660000000002E-3</v>
      </c>
      <c r="AA285">
        <v>0.98290160000000004</v>
      </c>
      <c r="AB285">
        <v>34</v>
      </c>
      <c r="AC285">
        <v>26.580400000000001</v>
      </c>
      <c r="AD285">
        <v>-1.0593989814810001</v>
      </c>
      <c r="AE285">
        <v>4.85320000000001</v>
      </c>
      <c r="AF285">
        <v>-5.03079634848923</v>
      </c>
      <c r="AG285">
        <v>-1.0593989814810001</v>
      </c>
      <c r="AH285">
        <v>26.5051469625569</v>
      </c>
      <c r="AI285">
        <v>92.248762609395897</v>
      </c>
      <c r="AJ285">
        <v>100.74715603419099</v>
      </c>
      <c r="AK285">
        <v>26.999149127494299</v>
      </c>
      <c r="AL285">
        <v>79.4377495250816</v>
      </c>
      <c r="AM285">
        <v>88.601005536308705</v>
      </c>
      <c r="AN285">
        <v>0.99999999817075003</v>
      </c>
    </row>
    <row r="286" spans="1:40" x14ac:dyDescent="0.25">
      <c r="A286" t="str">
        <f>"20190312172615773"</f>
        <v>20190312172615773</v>
      </c>
      <c r="B286" t="str">
        <f>"1552382775769102"</f>
        <v>1552382775769102</v>
      </c>
      <c r="C286" t="s">
        <v>40</v>
      </c>
      <c r="D286">
        <v>3.1579899999999999</v>
      </c>
      <c r="E286">
        <v>0.41793229999999998</v>
      </c>
      <c r="F286" t="s">
        <v>41</v>
      </c>
      <c r="G286">
        <v>-396.79329999999999</v>
      </c>
      <c r="H286" s="1">
        <v>-2.0853519999999999E-6</v>
      </c>
      <c r="I286">
        <v>372.34980000000002</v>
      </c>
      <c r="J286">
        <v>-423.2602</v>
      </c>
      <c r="K286">
        <v>1.059393</v>
      </c>
      <c r="L286">
        <v>367.46589999999998</v>
      </c>
      <c r="M286">
        <v>0.99992510000000001</v>
      </c>
      <c r="N286">
        <v>0</v>
      </c>
      <c r="O286">
        <v>-7.1238330000000004E-3</v>
      </c>
      <c r="P286">
        <v>0.98426519999999995</v>
      </c>
      <c r="Q286">
        <v>0.17412320000000001</v>
      </c>
      <c r="R286">
        <v>-3.0055809999999999E-2</v>
      </c>
      <c r="S286">
        <v>3.0869450000000001</v>
      </c>
      <c r="T286">
        <v>-0.1220031</v>
      </c>
      <c r="U286">
        <v>0.56216429999999995</v>
      </c>
      <c r="V286">
        <v>2.311295E-2</v>
      </c>
      <c r="W286">
        <v>0.1839163</v>
      </c>
      <c r="X286">
        <v>0.98267009999999999</v>
      </c>
      <c r="Y286">
        <v>-0.18602199999999999</v>
      </c>
      <c r="Z286">
        <v>3.9238399999999996E-3</v>
      </c>
      <c r="AA286">
        <v>0.98253769999999996</v>
      </c>
      <c r="AB286">
        <v>34</v>
      </c>
      <c r="AC286">
        <v>26.466899999999999</v>
      </c>
      <c r="AD286">
        <v>-1.059395085352</v>
      </c>
      <c r="AE286">
        <v>4.8839000000000397</v>
      </c>
      <c r="AF286">
        <v>-5.0644841832913601</v>
      </c>
      <c r="AG286">
        <v>-1.059395085352</v>
      </c>
      <c r="AH286">
        <v>26.390544612364401</v>
      </c>
      <c r="AI286">
        <v>92.257636969501206</v>
      </c>
      <c r="AJ286">
        <v>100.863289739495</v>
      </c>
      <c r="AK286">
        <v>26.892976089062198</v>
      </c>
      <c r="AL286">
        <v>79.402042785063003</v>
      </c>
      <c r="AM286">
        <v>88.652619669063398</v>
      </c>
      <c r="AN286">
        <v>0.99999996964869997</v>
      </c>
    </row>
    <row r="287" spans="1:40" x14ac:dyDescent="0.25">
      <c r="A287" t="str">
        <f>"20190312172615795"</f>
        <v>20190312172615795</v>
      </c>
      <c r="B287" t="str">
        <f>"1552382775788622"</f>
        <v>1552382775788622</v>
      </c>
      <c r="C287" t="s">
        <v>40</v>
      </c>
      <c r="D287">
        <v>3.1647259999999999</v>
      </c>
      <c r="E287">
        <v>0.41770859999999899</v>
      </c>
      <c r="F287" t="s">
        <v>41</v>
      </c>
      <c r="G287">
        <v>-396.12470000000002</v>
      </c>
      <c r="H287" s="1">
        <v>-2.4016809999999999E-6</v>
      </c>
      <c r="I287">
        <v>372.46069999999997</v>
      </c>
      <c r="J287">
        <v>-422.916</v>
      </c>
      <c r="K287">
        <v>1.059388</v>
      </c>
      <c r="L287">
        <v>367.4633</v>
      </c>
      <c r="M287">
        <v>0.99992199999999998</v>
      </c>
      <c r="N287">
        <v>0</v>
      </c>
      <c r="O287">
        <v>-7.2742429999999997E-3</v>
      </c>
      <c r="P287">
        <v>0.98435709999999998</v>
      </c>
      <c r="Q287">
        <v>0.1736838</v>
      </c>
      <c r="R287">
        <v>-2.9592609999999998E-2</v>
      </c>
      <c r="S287">
        <v>3.0865779999999998</v>
      </c>
      <c r="T287">
        <v>-0.1205024</v>
      </c>
      <c r="U287">
        <v>0.56814580000000003</v>
      </c>
      <c r="V287">
        <v>2.250106E-2</v>
      </c>
      <c r="W287">
        <v>0.18367539999999999</v>
      </c>
      <c r="X287">
        <v>0.98272939999999998</v>
      </c>
      <c r="Y287">
        <v>-0.18803420000000001</v>
      </c>
      <c r="Z287">
        <v>3.9201540000000003E-3</v>
      </c>
      <c r="AA287">
        <v>0.98215469999999905</v>
      </c>
      <c r="AB287">
        <v>34</v>
      </c>
      <c r="AC287">
        <v>26.7912999999999</v>
      </c>
      <c r="AD287">
        <v>-1.0593904016810001</v>
      </c>
      <c r="AE287">
        <v>4.9973999999999696</v>
      </c>
      <c r="AF287">
        <v>-5.1843306022276803</v>
      </c>
      <c r="AG287">
        <v>-1.0593904016810001</v>
      </c>
      <c r="AH287">
        <v>26.713871675133898</v>
      </c>
      <c r="AI287">
        <v>92.229433193108093</v>
      </c>
      <c r="AJ287">
        <v>100.982803926918</v>
      </c>
      <c r="AK287">
        <v>27.2328942951697</v>
      </c>
      <c r="AL287">
        <v>79.416085000977404</v>
      </c>
      <c r="AM287">
        <v>88.688356577964598</v>
      </c>
      <c r="AN287">
        <v>1.0000000119453201</v>
      </c>
    </row>
    <row r="288" spans="1:40" x14ac:dyDescent="0.25">
      <c r="A288" t="str">
        <f>"20190312172615818"</f>
        <v>20190312172615818</v>
      </c>
      <c r="B288" t="str">
        <f>"1552382775809118"</f>
        <v>1552382775809118</v>
      </c>
      <c r="C288" t="s">
        <v>40</v>
      </c>
      <c r="D288">
        <v>3.1738879999999998</v>
      </c>
      <c r="E288">
        <v>0.41752830000000002</v>
      </c>
      <c r="F288" t="s">
        <v>41</v>
      </c>
      <c r="G288">
        <v>-396.09050000000002</v>
      </c>
      <c r="H288" s="1">
        <v>-2.4081209999999998E-6</v>
      </c>
      <c r="I288">
        <v>372.42970000000003</v>
      </c>
      <c r="J288">
        <v>-422.54629999999997</v>
      </c>
      <c r="K288">
        <v>1.059393</v>
      </c>
      <c r="L288">
        <v>367.46039999999999</v>
      </c>
      <c r="M288">
        <v>0.99991870000000005</v>
      </c>
      <c r="N288">
        <v>0</v>
      </c>
      <c r="O288">
        <v>-7.4354669999999899E-3</v>
      </c>
      <c r="P288">
        <v>0.98438959999999998</v>
      </c>
      <c r="Q288">
        <v>0.17353560000000001</v>
      </c>
      <c r="R288">
        <v>-2.9371629999999999E-2</v>
      </c>
      <c r="S288">
        <v>3.0863649999999998</v>
      </c>
      <c r="T288">
        <v>-0.1218861</v>
      </c>
      <c r="U288">
        <v>0.57141109999999995</v>
      </c>
      <c r="V288">
        <v>2.2121100000000001E-2</v>
      </c>
      <c r="W288">
        <v>0.18371570000000001</v>
      </c>
      <c r="X288">
        <v>0.98273049999999995</v>
      </c>
      <c r="Y288">
        <v>-0.18920509999999999</v>
      </c>
      <c r="Z288">
        <v>3.9942600000000003E-3</v>
      </c>
      <c r="AA288">
        <v>0.98192950000000001</v>
      </c>
      <c r="AB288">
        <v>34</v>
      </c>
      <c r="AC288">
        <v>26.455799999999901</v>
      </c>
      <c r="AD288">
        <v>-1.059395408121</v>
      </c>
      <c r="AE288">
        <v>4.9693000000000298</v>
      </c>
      <c r="AF288">
        <v>-5.1578954734525402</v>
      </c>
      <c r="AG288">
        <v>-1.059395408121</v>
      </c>
      <c r="AH288">
        <v>26.377262507550199</v>
      </c>
      <c r="AI288">
        <v>92.257241085015806</v>
      </c>
      <c r="AJ288">
        <v>101.064191323901</v>
      </c>
      <c r="AK288">
        <v>26.897698446856399</v>
      </c>
      <c r="AL288">
        <v>79.413736079571393</v>
      </c>
      <c r="AM288">
        <v>88.710499302918393</v>
      </c>
      <c r="AN288">
        <v>1.0000000185609701</v>
      </c>
    </row>
    <row r="289" spans="1:40" x14ac:dyDescent="0.25">
      <c r="A289" t="str">
        <f>"20190312172615841"</f>
        <v>20190312172615841</v>
      </c>
      <c r="B289" t="str">
        <f>"1552382775828638"</f>
        <v>1552382775828638</v>
      </c>
      <c r="C289" t="s">
        <v>40</v>
      </c>
      <c r="D289">
        <v>3.143662</v>
      </c>
      <c r="E289">
        <v>0.41737269999999999</v>
      </c>
      <c r="F289" t="s">
        <v>41</v>
      </c>
      <c r="G289">
        <v>-395.98840000000001</v>
      </c>
      <c r="H289" s="1">
        <v>-2.442265E-6</v>
      </c>
      <c r="I289">
        <v>372.39359999999999</v>
      </c>
      <c r="J289">
        <v>-422.20400000000001</v>
      </c>
      <c r="K289">
        <v>1.0593939999999999</v>
      </c>
      <c r="L289">
        <v>367.45780000000002</v>
      </c>
      <c r="M289">
        <v>0.99991600000000003</v>
      </c>
      <c r="N289">
        <v>0</v>
      </c>
      <c r="O289">
        <v>-7.5850919999999999E-3</v>
      </c>
      <c r="P289">
        <v>0.98446579999999995</v>
      </c>
      <c r="Q289">
        <v>0.17311849999999901</v>
      </c>
      <c r="R289">
        <v>-2.9278160000000001E-2</v>
      </c>
      <c r="S289">
        <v>3.086395</v>
      </c>
      <c r="T289">
        <v>-0.1231163</v>
      </c>
      <c r="U289">
        <v>0.57330319999999901</v>
      </c>
      <c r="V289">
        <v>2.1879760000000002E-2</v>
      </c>
      <c r="W289">
        <v>0.18345600000000001</v>
      </c>
      <c r="X289">
        <v>0.9827844</v>
      </c>
      <c r="Y289">
        <v>-0.1899285</v>
      </c>
      <c r="Z289">
        <v>4.0544969999999998E-3</v>
      </c>
      <c r="AA289">
        <v>0.98178949999999998</v>
      </c>
      <c r="AB289">
        <v>34</v>
      </c>
      <c r="AC289">
        <v>26.215599999999899</v>
      </c>
      <c r="AD289">
        <v>-1.059396442265</v>
      </c>
      <c r="AE289">
        <v>4.9357999999999702</v>
      </c>
      <c r="AF289">
        <v>-5.1264316390141804</v>
      </c>
      <c r="AG289">
        <v>-1.059396442265</v>
      </c>
      <c r="AH289">
        <v>26.136184897917602</v>
      </c>
      <c r="AI289">
        <v>92.277784605422497</v>
      </c>
      <c r="AJ289">
        <v>101.09728957257499</v>
      </c>
      <c r="AK289">
        <v>26.655258077713398</v>
      </c>
      <c r="AL289">
        <v>79.428872893089107</v>
      </c>
      <c r="AM289">
        <v>88.724632939977198</v>
      </c>
      <c r="AN289">
        <v>1.0000000023585001</v>
      </c>
    </row>
    <row r="290" spans="1:40" x14ac:dyDescent="0.25">
      <c r="A290" t="str">
        <f>"20190312172615861"</f>
        <v>20190312172615861</v>
      </c>
      <c r="B290" t="str">
        <f>"1552382775858894"</f>
        <v>1552382775858894</v>
      </c>
      <c r="C290" t="s">
        <v>40</v>
      </c>
      <c r="D290">
        <v>3.1420750000000002</v>
      </c>
      <c r="E290">
        <v>0.417211</v>
      </c>
      <c r="F290" t="s">
        <v>41</v>
      </c>
      <c r="G290">
        <v>-396.053</v>
      </c>
      <c r="H290" s="1">
        <v>-2.3968859999999999E-6</v>
      </c>
      <c r="I290">
        <v>372.32709999999997</v>
      </c>
      <c r="J290">
        <v>-421.88200000000001</v>
      </c>
      <c r="K290">
        <v>1.059399</v>
      </c>
      <c r="L290">
        <v>367.45519999999999</v>
      </c>
      <c r="M290">
        <v>0.99991350000000001</v>
      </c>
      <c r="N290">
        <v>0</v>
      </c>
      <c r="O290">
        <v>-7.7252980000000002E-3</v>
      </c>
      <c r="P290">
        <v>0.98445450000000001</v>
      </c>
      <c r="Q290">
        <v>0.17314679999999999</v>
      </c>
      <c r="R290">
        <v>-2.9492259999999999E-2</v>
      </c>
      <c r="S290">
        <v>3.0864560000000001</v>
      </c>
      <c r="T290">
        <v>-0.12503410000000001</v>
      </c>
      <c r="U290">
        <v>0.57470699999999997</v>
      </c>
      <c r="V290">
        <v>2.1956010000000001E-2</v>
      </c>
      <c r="W290">
        <v>0.18361640000000001</v>
      </c>
      <c r="X290">
        <v>0.98275270000000003</v>
      </c>
      <c r="Y290">
        <v>-0.19048909999999999</v>
      </c>
      <c r="Z290">
        <v>4.13424E-3</v>
      </c>
      <c r="AA290">
        <v>0.98168060000000001</v>
      </c>
      <c r="AB290">
        <v>34</v>
      </c>
      <c r="AC290">
        <v>25.828999999999802</v>
      </c>
      <c r="AD290">
        <v>-1.0594013968860001</v>
      </c>
      <c r="AE290">
        <v>4.8718999999999797</v>
      </c>
      <c r="AF290">
        <v>-5.0630775979778901</v>
      </c>
      <c r="AG290">
        <v>-1.0594013968860001</v>
      </c>
      <c r="AH290">
        <v>25.748760962577901</v>
      </c>
      <c r="AI290">
        <v>92.311816436692993</v>
      </c>
      <c r="AJ290">
        <v>101.12436387679</v>
      </c>
      <c r="AK290">
        <v>26.263201959982801</v>
      </c>
      <c r="AL290">
        <v>79.419523373597798</v>
      </c>
      <c r="AM290">
        <v>88.720148549356693</v>
      </c>
      <c r="AN290">
        <v>0.99999995904068395</v>
      </c>
    </row>
    <row r="291" spans="1:40" x14ac:dyDescent="0.25">
      <c r="A291" t="str">
        <f>"20190312172615883"</f>
        <v>20190312172615883</v>
      </c>
      <c r="B291" t="str">
        <f>"1552382775879390"</f>
        <v>1552382775879390</v>
      </c>
      <c r="C291" t="s">
        <v>40</v>
      </c>
      <c r="D291">
        <v>3.1575489999999999</v>
      </c>
      <c r="E291">
        <v>0.41709849999999998</v>
      </c>
      <c r="F291" t="s">
        <v>41</v>
      </c>
      <c r="G291">
        <v>-395.71570000000003</v>
      </c>
      <c r="H291" s="1">
        <v>-2.5434500000000002E-6</v>
      </c>
      <c r="I291">
        <v>372.33420000000001</v>
      </c>
      <c r="J291">
        <v>-421.55529999999999</v>
      </c>
      <c r="K291">
        <v>1.059404</v>
      </c>
      <c r="L291">
        <v>367.45249999999999</v>
      </c>
      <c r="M291">
        <v>0.99991110000000005</v>
      </c>
      <c r="N291">
        <v>0</v>
      </c>
      <c r="O291">
        <v>-7.8679379999999997E-3</v>
      </c>
      <c r="P291">
        <v>0.98452609999999996</v>
      </c>
      <c r="Q291">
        <v>0.1727013</v>
      </c>
      <c r="R291">
        <v>-2.9713960000000001E-2</v>
      </c>
      <c r="S291">
        <v>3.0865480000000001</v>
      </c>
      <c r="T291">
        <v>-0.1249658</v>
      </c>
      <c r="U291">
        <v>0.57553100000000001</v>
      </c>
      <c r="V291">
        <v>2.203652E-2</v>
      </c>
      <c r="W291">
        <v>0.18329010000000001</v>
      </c>
      <c r="X291">
        <v>0.98281189999999996</v>
      </c>
      <c r="Y291">
        <v>-0.19087689999999999</v>
      </c>
      <c r="Z291">
        <v>4.1452709999999999E-3</v>
      </c>
      <c r="AA291">
        <v>0.98160519999999996</v>
      </c>
      <c r="AB291">
        <v>34</v>
      </c>
      <c r="AC291">
        <v>25.839599999999901</v>
      </c>
      <c r="AD291">
        <v>-1.05940654345</v>
      </c>
      <c r="AE291">
        <v>4.8817000000000199</v>
      </c>
      <c r="AF291">
        <v>-5.0766255821338699</v>
      </c>
      <c r="AG291">
        <v>-1.05940654345</v>
      </c>
      <c r="AH291">
        <v>25.7585823414346</v>
      </c>
      <c r="AI291">
        <v>92.310749853363205</v>
      </c>
      <c r="AJ291">
        <v>101.149239471607</v>
      </c>
      <c r="AK291">
        <v>26.275445453235399</v>
      </c>
      <c r="AL291">
        <v>79.438542729471706</v>
      </c>
      <c r="AM291">
        <v>88.715534409325898</v>
      </c>
      <c r="AN291">
        <v>1.0000000498766599</v>
      </c>
    </row>
    <row r="292" spans="1:40" x14ac:dyDescent="0.25">
      <c r="A292" t="str">
        <f>"20190312172615905"</f>
        <v>20190312172615905</v>
      </c>
      <c r="B292" t="str">
        <f>"1552382775898910"</f>
        <v>1552382775898910</v>
      </c>
      <c r="C292" t="s">
        <v>40</v>
      </c>
      <c r="D292">
        <v>3.1149969999999998</v>
      </c>
      <c r="E292">
        <v>0.4169831</v>
      </c>
      <c r="F292" t="s">
        <v>41</v>
      </c>
      <c r="G292">
        <v>-395.5849</v>
      </c>
      <c r="H292" s="1">
        <v>-2.590815E-6</v>
      </c>
      <c r="I292">
        <v>372.30130000000003</v>
      </c>
      <c r="J292">
        <v>-421.2047</v>
      </c>
      <c r="K292">
        <v>1.059399</v>
      </c>
      <c r="L292">
        <v>367.44959999999998</v>
      </c>
      <c r="M292">
        <v>0.99990860000000004</v>
      </c>
      <c r="N292">
        <v>0</v>
      </c>
      <c r="O292">
        <v>-8.0210360000000005E-3</v>
      </c>
      <c r="P292">
        <v>0.98461779999999999</v>
      </c>
      <c r="Q292">
        <v>0.17215749999999999</v>
      </c>
      <c r="R292">
        <v>-2.982547E-2</v>
      </c>
      <c r="S292">
        <v>3.0866389999999999</v>
      </c>
      <c r="T292">
        <v>-0.12591250000000001</v>
      </c>
      <c r="U292">
        <v>0.57629390000000003</v>
      </c>
      <c r="V292">
        <v>2.199632E-2</v>
      </c>
      <c r="W292">
        <v>0.18285979999999999</v>
      </c>
      <c r="X292">
        <v>0.98289289999999996</v>
      </c>
      <c r="Y292">
        <v>-0.1912536</v>
      </c>
      <c r="Z292">
        <v>4.1902420000000003E-3</v>
      </c>
      <c r="AA292">
        <v>0.98153170000000001</v>
      </c>
      <c r="AB292">
        <v>34</v>
      </c>
      <c r="AC292">
        <v>25.619800000000001</v>
      </c>
      <c r="AD292">
        <v>-1.0594015908149901</v>
      </c>
      <c r="AE292">
        <v>4.8517000000000499</v>
      </c>
      <c r="AF292">
        <v>-5.0487195026755396</v>
      </c>
      <c r="AG292">
        <v>-1.0594015908149901</v>
      </c>
      <c r="AH292">
        <v>25.537902391136601</v>
      </c>
      <c r="AI292">
        <v>92.330414918733396</v>
      </c>
      <c r="AJ292">
        <v>101.18289748516101</v>
      </c>
      <c r="AK292">
        <v>26.0537206342307</v>
      </c>
      <c r="AL292">
        <v>79.463620405115606</v>
      </c>
      <c r="AM292">
        <v>88.717982429978306</v>
      </c>
      <c r="AN292">
        <v>0.99999999870999601</v>
      </c>
    </row>
    <row r="293" spans="1:40" x14ac:dyDescent="0.25">
      <c r="A293" t="str">
        <f>"20190312172615929"</f>
        <v>20190312172615929</v>
      </c>
      <c r="B293" t="str">
        <f>"1552382775918430"</f>
        <v>1552382775918430</v>
      </c>
      <c r="C293" t="s">
        <v>40</v>
      </c>
      <c r="D293">
        <v>3.1439530000000002</v>
      </c>
      <c r="E293">
        <v>0.41689490000000001</v>
      </c>
      <c r="F293" t="s">
        <v>41</v>
      </c>
      <c r="G293">
        <v>-395.55669999999998</v>
      </c>
      <c r="H293" s="1">
        <v>-2.5862809999999998E-6</v>
      </c>
      <c r="I293">
        <v>372.23880000000003</v>
      </c>
      <c r="J293">
        <v>-420.85590000000002</v>
      </c>
      <c r="K293">
        <v>1.0594049999999999</v>
      </c>
      <c r="L293">
        <v>367.44659999999999</v>
      </c>
      <c r="M293">
        <v>0.99990630000000003</v>
      </c>
      <c r="N293">
        <v>0</v>
      </c>
      <c r="O293">
        <v>-8.1734579999999998E-3</v>
      </c>
      <c r="P293">
        <v>0.98479410000000001</v>
      </c>
      <c r="Q293">
        <v>0.17119329999999999</v>
      </c>
      <c r="R293">
        <v>-2.955783E-2</v>
      </c>
      <c r="S293">
        <v>3.0866090000000002</v>
      </c>
      <c r="T293">
        <v>-0.12749349999999901</v>
      </c>
      <c r="U293">
        <v>0.57635499999999995</v>
      </c>
      <c r="V293">
        <v>2.1576789999999998E-2</v>
      </c>
      <c r="W293">
        <v>0.18199480000000001</v>
      </c>
      <c r="X293">
        <v>0.98306269999999996</v>
      </c>
      <c r="Y293">
        <v>-0.19141939999999999</v>
      </c>
      <c r="Z293">
        <v>4.2524800000000003E-3</v>
      </c>
      <c r="AA293">
        <v>0.98149909999999996</v>
      </c>
      <c r="AB293">
        <v>34</v>
      </c>
      <c r="AC293">
        <v>25.299199999999999</v>
      </c>
      <c r="AD293">
        <v>-1.059407586281</v>
      </c>
      <c r="AE293">
        <v>4.7922000000000304</v>
      </c>
      <c r="AF293">
        <v>-4.9903866478718504</v>
      </c>
      <c r="AG293">
        <v>-1.059407586281</v>
      </c>
      <c r="AH293">
        <v>25.216497388790199</v>
      </c>
      <c r="AI293">
        <v>92.360005273593202</v>
      </c>
      <c r="AJ293">
        <v>101.194283917826</v>
      </c>
      <c r="AK293">
        <v>25.727379265832599</v>
      </c>
      <c r="AL293">
        <v>79.514026794643797</v>
      </c>
      <c r="AM293">
        <v>88.742643229161104</v>
      </c>
      <c r="AN293">
        <v>0.99999996861251605</v>
      </c>
    </row>
    <row r="294" spans="1:40" x14ac:dyDescent="0.25">
      <c r="A294" t="str">
        <f>"20190312172615951"</f>
        <v>20190312172615951</v>
      </c>
      <c r="B294" t="str">
        <f>"1552382775948686"</f>
        <v>1552382775948686</v>
      </c>
      <c r="C294" t="s">
        <v>40</v>
      </c>
      <c r="D294">
        <v>3.1354320000000002</v>
      </c>
      <c r="E294">
        <v>0.41672690000000001</v>
      </c>
      <c r="F294" t="s">
        <v>41</v>
      </c>
      <c r="G294">
        <v>-395.8895</v>
      </c>
      <c r="H294" s="1">
        <v>-2.4111250000000001E-6</v>
      </c>
      <c r="I294">
        <v>372.11700000000002</v>
      </c>
      <c r="J294">
        <v>-420.5077</v>
      </c>
      <c r="K294">
        <v>1.0594140000000001</v>
      </c>
      <c r="L294">
        <v>367.4436</v>
      </c>
      <c r="M294">
        <v>0.99990400000000002</v>
      </c>
      <c r="N294">
        <v>0</v>
      </c>
      <c r="O294">
        <v>-8.3258039999999991E-3</v>
      </c>
      <c r="P294">
        <v>0.98487990000000003</v>
      </c>
      <c r="Q294">
        <v>0.17066979999999901</v>
      </c>
      <c r="R294">
        <v>-2.9724649999999998E-2</v>
      </c>
      <c r="S294">
        <v>3.086395</v>
      </c>
      <c r="T294">
        <v>-0.13096540000000001</v>
      </c>
      <c r="U294">
        <v>0.57736209999999999</v>
      </c>
      <c r="V294">
        <v>2.1592610000000002E-2</v>
      </c>
      <c r="W294">
        <v>0.18155640000000001</v>
      </c>
      <c r="X294">
        <v>0.9831434</v>
      </c>
      <c r="Y294">
        <v>-0.191881</v>
      </c>
      <c r="Z294">
        <v>4.3844640000000002E-3</v>
      </c>
      <c r="AA294">
        <v>0.98140839999999996</v>
      </c>
      <c r="AB294">
        <v>34</v>
      </c>
      <c r="AC294">
        <v>24.618200000000002</v>
      </c>
      <c r="AD294">
        <v>-1.059416411125</v>
      </c>
      <c r="AE294">
        <v>4.6733999999999503</v>
      </c>
      <c r="AF294">
        <v>-4.8695126403075397</v>
      </c>
      <c r="AG294">
        <v>-1.059416411125</v>
      </c>
      <c r="AH294">
        <v>24.534578935290199</v>
      </c>
      <c r="AI294">
        <v>92.425277483947497</v>
      </c>
      <c r="AJ294">
        <v>101.225919597106</v>
      </c>
      <c r="AK294">
        <v>25.035576286921401</v>
      </c>
      <c r="AL294">
        <v>79.539570695422299</v>
      </c>
      <c r="AM294">
        <v>88.741824888300997</v>
      </c>
      <c r="AN294">
        <v>0.99999995607556502</v>
      </c>
    </row>
    <row r="295" spans="1:40" x14ac:dyDescent="0.25">
      <c r="A295" t="str">
        <f>"20190312172615973"</f>
        <v>20190312172615973</v>
      </c>
      <c r="B295" t="str">
        <f>"1552382775969182"</f>
        <v>1552382775969182</v>
      </c>
      <c r="C295" t="s">
        <v>40</v>
      </c>
      <c r="D295">
        <v>2.9619979999999999</v>
      </c>
      <c r="E295">
        <v>0.4166842</v>
      </c>
      <c r="F295" t="s">
        <v>41</v>
      </c>
      <c r="G295">
        <v>-395.84500000000003</v>
      </c>
      <c r="H295" s="1">
        <v>-2.4167460000000001E-6</v>
      </c>
      <c r="I295">
        <v>372.06650000000002</v>
      </c>
      <c r="J295">
        <v>-420.17910000000001</v>
      </c>
      <c r="K295">
        <v>1.0594159999999999</v>
      </c>
      <c r="L295">
        <v>367.44069999999999</v>
      </c>
      <c r="M295">
        <v>0.99990210000000002</v>
      </c>
      <c r="N295">
        <v>0</v>
      </c>
      <c r="O295">
        <v>-8.4690129999999992E-3</v>
      </c>
      <c r="P295">
        <v>0.98496050000000002</v>
      </c>
      <c r="Q295">
        <v>0.17015329999999901</v>
      </c>
      <c r="R295">
        <v>-3.0011639999999999E-2</v>
      </c>
      <c r="S295">
        <v>3.0865170000000002</v>
      </c>
      <c r="T295">
        <v>-0.1325848</v>
      </c>
      <c r="U295">
        <v>0.57855219999999996</v>
      </c>
      <c r="V295">
        <v>2.1737570000000001E-2</v>
      </c>
      <c r="W295">
        <v>0.1811094</v>
      </c>
      <c r="X295">
        <v>0.98322270000000001</v>
      </c>
      <c r="Y295">
        <v>-0.1923753</v>
      </c>
      <c r="Z295">
        <v>4.4549209999999997E-3</v>
      </c>
      <c r="AA295">
        <v>0.9813113</v>
      </c>
      <c r="AB295">
        <v>34</v>
      </c>
      <c r="AC295">
        <v>24.3340999999999</v>
      </c>
      <c r="AD295">
        <v>-1.0594184167459999</v>
      </c>
      <c r="AE295">
        <v>4.6258000000000203</v>
      </c>
      <c r="AF295">
        <v>-4.82291007680384</v>
      </c>
      <c r="AG295">
        <v>-1.0594184167459999</v>
      </c>
      <c r="AH295">
        <v>24.249688586990398</v>
      </c>
      <c r="AI295">
        <v>92.453548137414202</v>
      </c>
      <c r="AJ295">
        <v>101.248516097256</v>
      </c>
      <c r="AK295">
        <v>24.7473276447516</v>
      </c>
      <c r="AL295">
        <v>79.565614196472197</v>
      </c>
      <c r="AM295">
        <v>88.733483111514502</v>
      </c>
      <c r="AN295">
        <v>1.00000000725657</v>
      </c>
    </row>
    <row r="296" spans="1:40" x14ac:dyDescent="0.25">
      <c r="A296" t="str">
        <f>"20190312172616109"</f>
        <v>20190312172616109</v>
      </c>
      <c r="B296" t="str">
        <f>"1552382776098991"</f>
        <v>1552382776098991</v>
      </c>
      <c r="C296" t="s">
        <v>40</v>
      </c>
      <c r="D296">
        <v>2.9730400000000001</v>
      </c>
      <c r="E296">
        <v>0.4166842</v>
      </c>
      <c r="F296" t="s">
        <v>41</v>
      </c>
      <c r="G296">
        <v>-395.87040000000002</v>
      </c>
      <c r="H296" s="1">
        <v>-2.3860990000000001E-6</v>
      </c>
      <c r="I296">
        <v>371.99220000000003</v>
      </c>
      <c r="J296">
        <v>-418.07839999999999</v>
      </c>
      <c r="K296">
        <v>1.0594589999999999</v>
      </c>
      <c r="L296">
        <v>367.4212</v>
      </c>
      <c r="M296">
        <v>0.99989030000000001</v>
      </c>
      <c r="N296">
        <v>0</v>
      </c>
      <c r="O296">
        <v>-9.3860209999999996E-3</v>
      </c>
      <c r="P296">
        <v>0.98527370000000003</v>
      </c>
      <c r="Q296">
        <v>0.16832549999999999</v>
      </c>
      <c r="R296">
        <v>-3.0046610000000001E-2</v>
      </c>
      <c r="S296">
        <v>3.0866389999999999</v>
      </c>
      <c r="T296">
        <v>-0.13452120000000001</v>
      </c>
      <c r="U296">
        <v>0.57794190000000001</v>
      </c>
      <c r="V296">
        <v>2.086592E-2</v>
      </c>
      <c r="W296">
        <v>0.17961939999999901</v>
      </c>
      <c r="X296">
        <v>0.98351480000000002</v>
      </c>
      <c r="Y296">
        <v>-0.19307389999999999</v>
      </c>
      <c r="Z296">
        <v>4.574542E-3</v>
      </c>
      <c r="AA296">
        <v>0.98117350000000003</v>
      </c>
      <c r="AB296">
        <v>34</v>
      </c>
      <c r="AC296">
        <v>22.207999999999899</v>
      </c>
      <c r="AD296">
        <v>-1.0594613860990001</v>
      </c>
      <c r="AE296">
        <v>4.5710000000000202</v>
      </c>
      <c r="AF296">
        <v>-4.7688448045141598</v>
      </c>
      <c r="AG296">
        <v>-1.0594613860990001</v>
      </c>
      <c r="AH296">
        <v>22.115827778481702</v>
      </c>
      <c r="AI296">
        <v>92.681134019201195</v>
      </c>
      <c r="AJ296">
        <v>102.168399144598</v>
      </c>
      <c r="AK296">
        <v>22.648933253591402</v>
      </c>
      <c r="AL296">
        <v>79.652407634895496</v>
      </c>
      <c r="AM296">
        <v>88.784614294468398</v>
      </c>
      <c r="AN296">
        <v>0.999999938646421</v>
      </c>
    </row>
    <row r="297" spans="1:40" x14ac:dyDescent="0.25">
      <c r="A297" t="str">
        <f>"20190312172616131"</f>
        <v>20190312172616131</v>
      </c>
      <c r="B297" t="str">
        <f>"1552382776118511"</f>
        <v>1552382776118511</v>
      </c>
      <c r="C297" t="s">
        <v>40</v>
      </c>
      <c r="D297">
        <v>3.2560769999999999</v>
      </c>
      <c r="E297">
        <v>0.49146400000000001</v>
      </c>
      <c r="F297" t="s">
        <v>41</v>
      </c>
      <c r="G297">
        <v>-394.7165</v>
      </c>
      <c r="H297" s="1">
        <v>-2.8289449999999999E-6</v>
      </c>
      <c r="I297">
        <v>371.79610000000002</v>
      </c>
      <c r="J297">
        <v>-417.7414</v>
      </c>
      <c r="K297">
        <v>1.059458</v>
      </c>
      <c r="L297">
        <v>367.41789999999997</v>
      </c>
      <c r="M297">
        <v>0.9998882</v>
      </c>
      <c r="N297">
        <v>0</v>
      </c>
      <c r="O297">
        <v>-9.5327799999999994E-3</v>
      </c>
      <c r="P297">
        <v>0.98531880000000005</v>
      </c>
      <c r="Q297">
        <v>0.16805629999999999</v>
      </c>
      <c r="R297">
        <v>-3.007015E-2</v>
      </c>
      <c r="S297">
        <v>3.0863339999999999</v>
      </c>
      <c r="T297">
        <v>-0.1399647</v>
      </c>
      <c r="U297">
        <v>0.57797240000000005</v>
      </c>
      <c r="V297">
        <v>2.0744450000000001E-2</v>
      </c>
      <c r="W297">
        <v>0.17939330000000001</v>
      </c>
      <c r="X297">
        <v>0.98355870000000001</v>
      </c>
      <c r="Y297">
        <v>-0.19322919999999999</v>
      </c>
      <c r="Z297">
        <v>4.7700140000000004E-3</v>
      </c>
      <c r="AA297">
        <v>0.98114199999999996</v>
      </c>
      <c r="AB297">
        <v>34</v>
      </c>
      <c r="AC297">
        <v>23.024899999999999</v>
      </c>
      <c r="AD297">
        <v>-1.059460828945</v>
      </c>
      <c r="AE297">
        <v>4.3782000000000396</v>
      </c>
      <c r="AF297">
        <v>-4.5881316241742098</v>
      </c>
      <c r="AG297">
        <v>-1.059460828945</v>
      </c>
      <c r="AH297">
        <v>22.9352490953552</v>
      </c>
      <c r="AI297">
        <v>92.593502735613299</v>
      </c>
      <c r="AJ297">
        <v>101.312531023064</v>
      </c>
      <c r="AK297">
        <v>23.4136511487382</v>
      </c>
      <c r="AL297">
        <v>79.665576774710701</v>
      </c>
      <c r="AM297">
        <v>88.791741418694599</v>
      </c>
      <c r="AN297">
        <v>1.0000000023181901</v>
      </c>
    </row>
    <row r="298" spans="1:40" x14ac:dyDescent="0.25">
      <c r="A298" t="str">
        <f>"20190312172616152"</f>
        <v>20190312172616152</v>
      </c>
      <c r="B298" t="str">
        <f>"1552382776148766"</f>
        <v>1552382776148766</v>
      </c>
      <c r="C298" t="s">
        <v>40</v>
      </c>
      <c r="D298">
        <v>3.2101860000000002</v>
      </c>
      <c r="E298">
        <v>0.49118919999999999</v>
      </c>
      <c r="F298" t="s">
        <v>41</v>
      </c>
      <c r="G298">
        <v>-377.40539999999999</v>
      </c>
      <c r="H298" s="1">
        <v>-1.529502E-6</v>
      </c>
      <c r="I298">
        <v>367.16899999999998</v>
      </c>
      <c r="J298">
        <v>-417.40769999999998</v>
      </c>
      <c r="K298">
        <v>1.059461</v>
      </c>
      <c r="L298">
        <v>367.41449999999998</v>
      </c>
      <c r="M298">
        <v>0.99988639999999995</v>
      </c>
      <c r="N298">
        <v>0</v>
      </c>
      <c r="O298">
        <v>-9.6784360000000003E-3</v>
      </c>
      <c r="P298">
        <v>0.9853227</v>
      </c>
      <c r="Q298">
        <v>0.16806189999999999</v>
      </c>
      <c r="R298">
        <v>-2.9910340000000001E-2</v>
      </c>
      <c r="S298">
        <v>3.0578609999999999</v>
      </c>
      <c r="T298">
        <v>-8.0317139999999995E-2</v>
      </c>
      <c r="U298">
        <v>-1.8859859999999999E-2</v>
      </c>
      <c r="V298">
        <v>2.0441049999999999E-2</v>
      </c>
      <c r="W298">
        <v>0.1794374</v>
      </c>
      <c r="X298">
        <v>0.98355700000000001</v>
      </c>
      <c r="Y298">
        <v>-3.5070930000000002E-3</v>
      </c>
      <c r="Z298">
        <v>3.0022749999999998E-4</v>
      </c>
      <c r="AA298">
        <v>0.99999380000000004</v>
      </c>
      <c r="AB298">
        <v>34</v>
      </c>
      <c r="AC298">
        <v>40.002299999999899</v>
      </c>
      <c r="AD298">
        <v>-1.0594625295019999</v>
      </c>
      <c r="AE298">
        <v>-0.24549999999993499</v>
      </c>
      <c r="AF298">
        <v>-0.141597727829579</v>
      </c>
      <c r="AG298">
        <v>-1.0594625295019999</v>
      </c>
      <c r="AH298">
        <v>39.9747628348169</v>
      </c>
      <c r="AI298">
        <v>91.518161450047899</v>
      </c>
      <c r="AJ298">
        <v>90.2029510042602</v>
      </c>
      <c r="AK298">
        <v>39.989050682253101</v>
      </c>
      <c r="AL298">
        <v>79.663008273970803</v>
      </c>
      <c r="AM298">
        <v>88.809405742215603</v>
      </c>
      <c r="AN298">
        <v>0.99999999464643097</v>
      </c>
    </row>
    <row r="299" spans="1:40" x14ac:dyDescent="0.25">
      <c r="A299" t="str">
        <f>"20190312172616174"</f>
        <v>20190312172616174</v>
      </c>
      <c r="B299" t="str">
        <f>"1552382776169262"</f>
        <v>1552382776169262</v>
      </c>
      <c r="C299" t="s">
        <v>40</v>
      </c>
      <c r="D299">
        <v>3.159929</v>
      </c>
      <c r="E299">
        <v>0.49185800000000002</v>
      </c>
      <c r="F299" t="s">
        <v>41</v>
      </c>
      <c r="G299">
        <v>-377.52010000000001</v>
      </c>
      <c r="H299" s="1">
        <v>-1.473271E-6</v>
      </c>
      <c r="I299">
        <v>367.20859999999999</v>
      </c>
      <c r="J299">
        <v>-417.08</v>
      </c>
      <c r="K299">
        <v>1.0594709999999901</v>
      </c>
      <c r="L299">
        <v>367.41120000000001</v>
      </c>
      <c r="M299">
        <v>0.99988460000000001</v>
      </c>
      <c r="N299">
        <v>0</v>
      </c>
      <c r="O299">
        <v>-9.8219180000000007E-3</v>
      </c>
      <c r="P299">
        <v>0.9854096</v>
      </c>
      <c r="Q299">
        <v>0.1675335</v>
      </c>
      <c r="R299">
        <v>-3.0012529999999999E-2</v>
      </c>
      <c r="S299">
        <v>3.0580440000000002</v>
      </c>
      <c r="T299">
        <v>-8.1225160000000005E-2</v>
      </c>
      <c r="U299">
        <v>-1.5777590000000001E-2</v>
      </c>
      <c r="V299">
        <v>2.0400600000000001E-2</v>
      </c>
      <c r="W299">
        <v>0.17894289999999999</v>
      </c>
      <c r="X299">
        <v>0.98364790000000002</v>
      </c>
      <c r="Y299">
        <v>-4.6582860000000002E-3</v>
      </c>
      <c r="Z299">
        <v>3.2269980000000002E-4</v>
      </c>
      <c r="AA299">
        <v>0.99998909999999996</v>
      </c>
      <c r="AB299">
        <v>34</v>
      </c>
      <c r="AC299">
        <v>39.559899999999899</v>
      </c>
      <c r="AD299">
        <v>-1.0594724732709999</v>
      </c>
      <c r="AE299">
        <v>-0.20260000000001799</v>
      </c>
      <c r="AF299">
        <v>-0.18585666340537799</v>
      </c>
      <c r="AG299">
        <v>-1.0594724732709999</v>
      </c>
      <c r="AH299">
        <v>39.531628364490402</v>
      </c>
      <c r="AI299">
        <v>91.535178431671497</v>
      </c>
      <c r="AJ299">
        <v>90.269372256834799</v>
      </c>
      <c r="AK299">
        <v>39.546259820229999</v>
      </c>
      <c r="AL299">
        <v>79.691806891149696</v>
      </c>
      <c r="AM299">
        <v>88.811870861811002</v>
      </c>
      <c r="AN299">
        <v>0.99999996855758899</v>
      </c>
    </row>
    <row r="300" spans="1:40" x14ac:dyDescent="0.25">
      <c r="A300" t="str">
        <f>"20190312172616197"</f>
        <v>20190312172616197</v>
      </c>
      <c r="B300" t="str">
        <f>"1552382776188783"</f>
        <v>1552382776188783</v>
      </c>
      <c r="C300" t="s">
        <v>40</v>
      </c>
      <c r="D300">
        <v>3.1875279999999999</v>
      </c>
      <c r="E300">
        <v>0.4919674</v>
      </c>
      <c r="F300" t="s">
        <v>41</v>
      </c>
      <c r="G300">
        <v>-380.98360000000002</v>
      </c>
      <c r="H300" s="1">
        <v>-4.2865009999999998E-6</v>
      </c>
      <c r="I300">
        <v>367.15730000000002</v>
      </c>
      <c r="J300">
        <v>-416.72059999999999</v>
      </c>
      <c r="K300">
        <v>1.059477</v>
      </c>
      <c r="L300">
        <v>367.40750000000003</v>
      </c>
      <c r="M300">
        <v>0.99988259999999995</v>
      </c>
      <c r="N300">
        <v>0</v>
      </c>
      <c r="O300">
        <v>-9.9793399999999997E-3</v>
      </c>
      <c r="P300">
        <v>0.98547459999999998</v>
      </c>
      <c r="Q300">
        <v>0.16715629999999901</v>
      </c>
      <c r="R300">
        <v>-2.9980980000000001E-2</v>
      </c>
      <c r="S300">
        <v>3.059021</v>
      </c>
      <c r="T300">
        <v>-8.9786050000000006E-2</v>
      </c>
      <c r="U300">
        <v>-2.1514889999999998E-2</v>
      </c>
      <c r="V300">
        <v>2.0213040000000002E-2</v>
      </c>
      <c r="W300">
        <v>0.17859900000000001</v>
      </c>
      <c r="X300">
        <v>0.98371430000000004</v>
      </c>
      <c r="Y300">
        <v>-2.9414670000000001E-3</v>
      </c>
      <c r="Z300">
        <v>3.3601099999999999E-4</v>
      </c>
      <c r="AA300">
        <v>0.99999559999999998</v>
      </c>
      <c r="AB300">
        <v>34</v>
      </c>
      <c r="AC300">
        <v>35.736999999999902</v>
      </c>
      <c r="AD300">
        <v>-1.0594812865009999</v>
      </c>
      <c r="AE300">
        <v>-0.25020000000000597</v>
      </c>
      <c r="AF300">
        <v>-0.106374753960793</v>
      </c>
      <c r="AG300">
        <v>-1.0594812865009999</v>
      </c>
      <c r="AH300">
        <v>35.706335690198998</v>
      </c>
      <c r="AI300">
        <v>91.699578802385503</v>
      </c>
      <c r="AJ300">
        <v>90.170692575972893</v>
      </c>
      <c r="AK300">
        <v>35.722209122699901</v>
      </c>
      <c r="AL300">
        <v>79.711833819970096</v>
      </c>
      <c r="AM300">
        <v>88.8228706897943</v>
      </c>
      <c r="AN300">
        <v>0.99999999690576502</v>
      </c>
    </row>
    <row r="301" spans="1:40" x14ac:dyDescent="0.25">
      <c r="A301" t="str">
        <f>"20190312172616220"</f>
        <v>20190312172616220</v>
      </c>
      <c r="B301" t="str">
        <f>"1552382776209278"</f>
        <v>1552382776209278</v>
      </c>
      <c r="C301" t="s">
        <v>40</v>
      </c>
      <c r="D301">
        <v>3.162947</v>
      </c>
      <c r="E301">
        <v>0.49267699999999998</v>
      </c>
      <c r="F301" t="s">
        <v>41</v>
      </c>
      <c r="G301">
        <v>-382.52949999999998</v>
      </c>
      <c r="H301" s="1">
        <v>-3.6241199999999999E-6</v>
      </c>
      <c r="I301">
        <v>367.15269999999998</v>
      </c>
      <c r="J301">
        <v>-416.35410000000002</v>
      </c>
      <c r="K301">
        <v>1.0594859999999999</v>
      </c>
      <c r="L301">
        <v>367.40370000000001</v>
      </c>
      <c r="M301">
        <v>0.99988080000000001</v>
      </c>
      <c r="N301">
        <v>0</v>
      </c>
      <c r="O301">
        <v>-1.0140079999999999E-2</v>
      </c>
      <c r="P301">
        <v>0.98553800000000003</v>
      </c>
      <c r="Q301">
        <v>0.16677020000000001</v>
      </c>
      <c r="R301">
        <v>-3.0046320000000001E-2</v>
      </c>
      <c r="S301">
        <v>3.0596009999999998</v>
      </c>
      <c r="T301">
        <v>-9.4807859999999994E-2</v>
      </c>
      <c r="U301">
        <v>-2.2796629999999998E-2</v>
      </c>
      <c r="V301">
        <v>2.0119120000000001E-2</v>
      </c>
      <c r="W301">
        <v>0.17824289999999901</v>
      </c>
      <c r="X301">
        <v>0.98378080000000001</v>
      </c>
      <c r="Y301">
        <v>-2.684072E-3</v>
      </c>
      <c r="Z301">
        <v>3.5572039999999999E-4</v>
      </c>
      <c r="AA301">
        <v>0.99999640000000001</v>
      </c>
      <c r="AB301">
        <v>34</v>
      </c>
      <c r="AC301">
        <v>33.824599999999997</v>
      </c>
      <c r="AD301">
        <v>-1.05948962412</v>
      </c>
      <c r="AE301">
        <v>-0.25100000000003297</v>
      </c>
      <c r="AF301">
        <v>-9.1930115981714605E-2</v>
      </c>
      <c r="AG301">
        <v>-1.05948962412</v>
      </c>
      <c r="AH301">
        <v>33.792253224796099</v>
      </c>
      <c r="AI301">
        <v>91.795801534263404</v>
      </c>
      <c r="AJ301">
        <v>90.155869886124194</v>
      </c>
      <c r="AK301">
        <v>33.808983235503902</v>
      </c>
      <c r="AL301">
        <v>79.732569459048605</v>
      </c>
      <c r="AM301">
        <v>88.828417877232795</v>
      </c>
      <c r="AN301">
        <v>0.99999998641931198</v>
      </c>
    </row>
    <row r="302" spans="1:40" x14ac:dyDescent="0.25">
      <c r="A302" t="str">
        <f>"20190312172616244"</f>
        <v>20190312172616244</v>
      </c>
      <c r="B302" t="str">
        <f>"1552382776238559"</f>
        <v>1552382776238559</v>
      </c>
      <c r="C302" t="s">
        <v>40</v>
      </c>
      <c r="D302">
        <v>3.2192229999999999</v>
      </c>
      <c r="E302">
        <v>0.49308960000000002</v>
      </c>
      <c r="F302" t="s">
        <v>41</v>
      </c>
      <c r="G302">
        <v>-384.82569999999998</v>
      </c>
      <c r="H302" s="1">
        <v>-2.6471870000000001E-6</v>
      </c>
      <c r="I302">
        <v>367.10680000000002</v>
      </c>
      <c r="J302">
        <v>-415.99799999999999</v>
      </c>
      <c r="K302">
        <v>1.059493</v>
      </c>
      <c r="L302">
        <v>367.3999</v>
      </c>
      <c r="M302">
        <v>0.99987870000000001</v>
      </c>
      <c r="N302">
        <v>0</v>
      </c>
      <c r="O302">
        <v>-1.0295459999999999E-2</v>
      </c>
      <c r="P302">
        <v>0.98557950000000005</v>
      </c>
      <c r="Q302">
        <v>0.16650509999999999</v>
      </c>
      <c r="R302">
        <v>-3.0151520000000001E-2</v>
      </c>
      <c r="S302">
        <v>3.0605159999999998</v>
      </c>
      <c r="T302">
        <v>-0.1028464</v>
      </c>
      <c r="U302">
        <v>-2.8808589999999999E-2</v>
      </c>
      <c r="V302">
        <v>2.0070669999999999E-2</v>
      </c>
      <c r="W302">
        <v>0.17800639999999901</v>
      </c>
      <c r="X302">
        <v>0.98382460000000005</v>
      </c>
      <c r="Y302">
        <v>-8.7733380000000005E-4</v>
      </c>
      <c r="Z302">
        <v>3.6061760000000002E-4</v>
      </c>
      <c r="AA302">
        <v>0.99999950000000004</v>
      </c>
      <c r="AB302">
        <v>34</v>
      </c>
      <c r="AC302">
        <v>31.1723</v>
      </c>
      <c r="AD302">
        <v>-1.0594956471870001</v>
      </c>
      <c r="AE302">
        <v>-0.29309999999998099</v>
      </c>
      <c r="AF302">
        <v>-2.7838467847665301E-2</v>
      </c>
      <c r="AG302">
        <v>-1.0594956471870001</v>
      </c>
      <c r="AH302">
        <v>31.1376980815099</v>
      </c>
      <c r="AI302">
        <v>91.948801525654503</v>
      </c>
      <c r="AJ302">
        <v>90.051224926345895</v>
      </c>
      <c r="AK302">
        <v>31.1557305775674</v>
      </c>
      <c r="AL302">
        <v>79.746340034025394</v>
      </c>
      <c r="AM302">
        <v>88.831290466389106</v>
      </c>
      <c r="AN302">
        <v>0.99999997690018405</v>
      </c>
    </row>
    <row r="303" spans="1:40" x14ac:dyDescent="0.25">
      <c r="A303" t="str">
        <f>"20190312172616274"</f>
        <v>20190312172616274</v>
      </c>
      <c r="B303" t="str">
        <f>"1552382776268814"</f>
        <v>1552382776268814</v>
      </c>
      <c r="C303" t="s">
        <v>40</v>
      </c>
      <c r="D303">
        <v>3.1906240000000001</v>
      </c>
      <c r="E303">
        <v>0.4932568</v>
      </c>
      <c r="F303" t="s">
        <v>41</v>
      </c>
      <c r="G303">
        <v>-384.67020000000002</v>
      </c>
      <c r="H303" s="1">
        <v>-2.7208580000000002E-6</v>
      </c>
      <c r="I303">
        <v>367.06779999999998</v>
      </c>
      <c r="J303">
        <v>-415.53559999999999</v>
      </c>
      <c r="K303">
        <v>1.059491</v>
      </c>
      <c r="L303">
        <v>367.39499999999998</v>
      </c>
      <c r="M303">
        <v>0.99987630000000005</v>
      </c>
      <c r="N303">
        <v>0</v>
      </c>
      <c r="O303">
        <v>-1.0498E-2</v>
      </c>
      <c r="P303">
        <v>0.98562000000000005</v>
      </c>
      <c r="Q303">
        <v>0.1662526</v>
      </c>
      <c r="R303">
        <v>-3.0226389999999999E-2</v>
      </c>
      <c r="S303">
        <v>3.0603940000000001</v>
      </c>
      <c r="T303">
        <v>-0.1035012</v>
      </c>
      <c r="U303">
        <v>-3.2440190000000001E-2</v>
      </c>
      <c r="V303">
        <v>1.9945589999999999E-2</v>
      </c>
      <c r="W303">
        <v>0.17779389999999901</v>
      </c>
      <c r="X303">
        <v>0.98386560000000001</v>
      </c>
      <c r="Y303">
        <v>1.066347E-4</v>
      </c>
      <c r="Z303">
        <v>3.5313819999999998E-4</v>
      </c>
      <c r="AA303">
        <v>0.99999990000000005</v>
      </c>
      <c r="AB303">
        <v>34</v>
      </c>
      <c r="AC303">
        <v>30.865399999999902</v>
      </c>
      <c r="AD303">
        <v>-1.059493720858</v>
      </c>
      <c r="AE303">
        <v>-0.32720000000000399</v>
      </c>
      <c r="AF303">
        <v>3.1310822613050899E-3</v>
      </c>
      <c r="AG303">
        <v>-1.059493720858</v>
      </c>
      <c r="AH303">
        <v>30.830810476401599</v>
      </c>
      <c r="AI303">
        <v>91.968181770555304</v>
      </c>
      <c r="AJ303">
        <v>89.994181216922499</v>
      </c>
      <c r="AK303">
        <v>30.849009893025901</v>
      </c>
      <c r="AL303">
        <v>79.7587130738262</v>
      </c>
      <c r="AM303">
        <v>88.838620224943298</v>
      </c>
      <c r="AN303">
        <v>1.0000000081505001</v>
      </c>
    </row>
    <row r="304" spans="1:40" x14ac:dyDescent="0.25">
      <c r="A304" t="str">
        <f>"20190312172616299"</f>
        <v>20190312172616299</v>
      </c>
      <c r="B304" t="str">
        <f>"1552382776289311"</f>
        <v>1552382776289311</v>
      </c>
      <c r="C304" t="s">
        <v>40</v>
      </c>
      <c r="D304">
        <v>3.1871830000000001</v>
      </c>
      <c r="E304">
        <v>0.49357240000000002</v>
      </c>
      <c r="F304" t="s">
        <v>41</v>
      </c>
      <c r="G304">
        <v>-383.92950000000002</v>
      </c>
      <c r="H304" s="1">
        <v>-3.0433580000000001E-6</v>
      </c>
      <c r="I304">
        <v>367.041</v>
      </c>
      <c r="J304">
        <v>-415.15390000000002</v>
      </c>
      <c r="K304">
        <v>1.059499</v>
      </c>
      <c r="L304">
        <v>367.39080000000001</v>
      </c>
      <c r="M304">
        <v>0.99987389999999998</v>
      </c>
      <c r="N304">
        <v>0</v>
      </c>
      <c r="O304">
        <v>-1.066523E-2</v>
      </c>
      <c r="P304">
        <v>0.98563650000000003</v>
      </c>
      <c r="Q304">
        <v>0.16613599999999901</v>
      </c>
      <c r="R304">
        <v>-3.032079E-2</v>
      </c>
      <c r="S304">
        <v>3.060028</v>
      </c>
      <c r="T304">
        <v>-0.1025776</v>
      </c>
      <c r="U304">
        <v>-3.4271240000000001E-2</v>
      </c>
      <c r="V304">
        <v>1.9875139999999999E-2</v>
      </c>
      <c r="W304">
        <v>0.17771319999999999</v>
      </c>
      <c r="X304">
        <v>0.98388160000000002</v>
      </c>
      <c r="Y304">
        <v>5.3869659999999995E-4</v>
      </c>
      <c r="Z304">
        <v>3.4839400000000003E-4</v>
      </c>
      <c r="AA304">
        <v>0.99999979999999999</v>
      </c>
      <c r="AB304">
        <v>35</v>
      </c>
      <c r="AC304">
        <v>31.224399999999999</v>
      </c>
      <c r="AD304">
        <v>-1.059502043358</v>
      </c>
      <c r="AE304">
        <v>-0.34980000000001599</v>
      </c>
      <c r="AF304">
        <v>1.6722390215351799E-2</v>
      </c>
      <c r="AG304">
        <v>-1.059502043358</v>
      </c>
      <c r="AH304">
        <v>31.1904475371826</v>
      </c>
      <c r="AI304">
        <v>91.9455204702858</v>
      </c>
      <c r="AJ304">
        <v>89.969281547186299</v>
      </c>
      <c r="AK304">
        <v>31.208441835310399</v>
      </c>
      <c r="AL304">
        <v>79.763411612072204</v>
      </c>
      <c r="AM304">
        <v>88.842740042119701</v>
      </c>
      <c r="AN304">
        <v>1.0000000027314</v>
      </c>
    </row>
    <row r="305" spans="1:40" x14ac:dyDescent="0.25">
      <c r="A305" t="str">
        <f>"20190312172616320"</f>
        <v>20190312172616320</v>
      </c>
      <c r="B305" t="str">
        <f>"1552382776308834"</f>
        <v>1552382776308834</v>
      </c>
      <c r="C305" t="s">
        <v>40</v>
      </c>
      <c r="D305">
        <v>3.2234129999999999</v>
      </c>
      <c r="E305">
        <v>0.49371399999999999</v>
      </c>
      <c r="F305" t="s">
        <v>41</v>
      </c>
      <c r="G305">
        <v>-383.90600000000001</v>
      </c>
      <c r="H305" s="1">
        <v>-3.058838E-6</v>
      </c>
      <c r="I305">
        <v>367.01049999999998</v>
      </c>
      <c r="J305">
        <v>-414.822</v>
      </c>
      <c r="K305">
        <v>1.059512</v>
      </c>
      <c r="L305">
        <v>367.38709999999998</v>
      </c>
      <c r="M305">
        <v>0.99987210000000004</v>
      </c>
      <c r="N305">
        <v>0</v>
      </c>
      <c r="O305">
        <v>-1.0811350000000001E-2</v>
      </c>
      <c r="P305">
        <v>0.98559050000000004</v>
      </c>
      <c r="Q305">
        <v>0.16637550000000001</v>
      </c>
      <c r="R305">
        <v>-3.0509430000000001E-2</v>
      </c>
      <c r="S305">
        <v>3.060028</v>
      </c>
      <c r="T305">
        <v>-0.10375429999999999</v>
      </c>
      <c r="U305">
        <v>-3.7231449999999999E-2</v>
      </c>
      <c r="V305">
        <v>1.992029E-2</v>
      </c>
      <c r="W305">
        <v>0.17798629999999999</v>
      </c>
      <c r="X305">
        <v>0.98383129999999996</v>
      </c>
      <c r="Y305">
        <v>1.3595440000000001E-3</v>
      </c>
      <c r="Z305">
        <v>3.4342729999999998E-4</v>
      </c>
      <c r="AA305">
        <v>0.99999899999999997</v>
      </c>
      <c r="AB305">
        <v>35</v>
      </c>
      <c r="AC305">
        <v>30.915999999999901</v>
      </c>
      <c r="AD305">
        <v>-1.059515058838</v>
      </c>
      <c r="AE305">
        <v>-0.37659999999999599</v>
      </c>
      <c r="AF305">
        <v>4.2261446737844703E-2</v>
      </c>
      <c r="AG305">
        <v>-1.059515058838</v>
      </c>
      <c r="AH305">
        <v>30.8819996401574</v>
      </c>
      <c r="AI305">
        <v>91.964959639110702</v>
      </c>
      <c r="AJ305">
        <v>89.921591831783601</v>
      </c>
      <c r="AK305">
        <v>30.900198380665199</v>
      </c>
      <c r="AL305">
        <v>79.747510440660406</v>
      </c>
      <c r="AM305">
        <v>88.8400525477538</v>
      </c>
      <c r="AN305">
        <v>0.99999998390053102</v>
      </c>
    </row>
    <row r="306" spans="1:40" x14ac:dyDescent="0.25">
      <c r="A306" t="str">
        <f>"20190312172616342"</f>
        <v>20190312172616342</v>
      </c>
      <c r="B306" t="str">
        <f>"1552382776339087"</f>
        <v>1552382776339087</v>
      </c>
      <c r="C306" t="s">
        <v>40</v>
      </c>
      <c r="D306">
        <v>3.2337720000000001</v>
      </c>
      <c r="E306">
        <v>0.49380289999999999</v>
      </c>
      <c r="F306" t="s">
        <v>41</v>
      </c>
      <c r="G306">
        <v>-383.37209999999999</v>
      </c>
      <c r="H306" s="1">
        <v>-3.292324E-6</v>
      </c>
      <c r="I306">
        <v>366.9855</v>
      </c>
      <c r="J306">
        <v>-414.48910000000001</v>
      </c>
      <c r="K306">
        <v>1.059523</v>
      </c>
      <c r="L306">
        <v>367.38330000000002</v>
      </c>
      <c r="M306">
        <v>0.99987009999999998</v>
      </c>
      <c r="N306">
        <v>0</v>
      </c>
      <c r="O306">
        <v>-1.095785E-2</v>
      </c>
      <c r="P306">
        <v>0.98555210000000004</v>
      </c>
      <c r="Q306">
        <v>0.16655429999999999</v>
      </c>
      <c r="R306">
        <v>-3.0770769999999999E-2</v>
      </c>
      <c r="S306">
        <v>3.0600589999999999</v>
      </c>
      <c r="T306">
        <v>-0.10309</v>
      </c>
      <c r="U306">
        <v>-3.90625E-2</v>
      </c>
      <c r="V306">
        <v>2.003812E-2</v>
      </c>
      <c r="W306">
        <v>0.1782002</v>
      </c>
      <c r="X306">
        <v>0.98379019999999995</v>
      </c>
      <c r="Y306">
        <v>1.8109370000000001E-3</v>
      </c>
      <c r="Z306">
        <v>3.3855780000000002E-4</v>
      </c>
      <c r="AA306">
        <v>0.99999830000000001</v>
      </c>
      <c r="AB306">
        <v>35</v>
      </c>
      <c r="AC306">
        <v>31.117000000000001</v>
      </c>
      <c r="AD306">
        <v>-1.0595262923240001</v>
      </c>
      <c r="AE306">
        <v>-0.39780000000001697</v>
      </c>
      <c r="AF306">
        <v>5.6711134229753102E-2</v>
      </c>
      <c r="AG306">
        <v>-1.0595262923240001</v>
      </c>
      <c r="AH306">
        <v>31.083459004136198</v>
      </c>
      <c r="AI306">
        <v>91.952253412778902</v>
      </c>
      <c r="AJ306">
        <v>89.895465139932199</v>
      </c>
      <c r="AK306">
        <v>31.101563236896698</v>
      </c>
      <c r="AL306">
        <v>79.735055909883698</v>
      </c>
      <c r="AM306">
        <v>88.833144530917494</v>
      </c>
      <c r="AN306">
        <v>0.999999997574607</v>
      </c>
    </row>
    <row r="307" spans="1:40" x14ac:dyDescent="0.25">
      <c r="A307" t="str">
        <f>"20190312172616365"</f>
        <v>20190312172616365</v>
      </c>
      <c r="B307" t="str">
        <f>"1552382776358606"</f>
        <v>1552382776358606</v>
      </c>
      <c r="C307" t="s">
        <v>40</v>
      </c>
      <c r="D307">
        <v>3.2464759999999999</v>
      </c>
      <c r="E307">
        <v>0.49382019999999999</v>
      </c>
      <c r="F307" t="s">
        <v>41</v>
      </c>
      <c r="G307">
        <v>-382.75020000000001</v>
      </c>
      <c r="H307" s="1">
        <v>-3.5640239999999999E-6</v>
      </c>
      <c r="I307">
        <v>366.9579</v>
      </c>
      <c r="J307">
        <v>-414.13099999999997</v>
      </c>
      <c r="K307">
        <v>1.059531</v>
      </c>
      <c r="L307">
        <v>367.37920000000003</v>
      </c>
      <c r="M307">
        <v>0.99986770000000003</v>
      </c>
      <c r="N307">
        <v>0</v>
      </c>
      <c r="O307">
        <v>-1.1116549999999999E-2</v>
      </c>
      <c r="P307">
        <v>0.9855024</v>
      </c>
      <c r="Q307">
        <v>0.16684099999999999</v>
      </c>
      <c r="R307">
        <v>-3.0813730000000001E-2</v>
      </c>
      <c r="S307">
        <v>3.0599980000000002</v>
      </c>
      <c r="T307">
        <v>-0.1021504</v>
      </c>
      <c r="U307">
        <v>-4.1015629999999997E-2</v>
      </c>
      <c r="V307">
        <v>1.9925559999999998E-2</v>
      </c>
      <c r="W307">
        <v>0.17852870000000001</v>
      </c>
      <c r="X307">
        <v>0.98373290000000002</v>
      </c>
      <c r="Y307">
        <v>2.2903630000000001E-3</v>
      </c>
      <c r="Z307">
        <v>3.3277520000000001E-4</v>
      </c>
      <c r="AA307">
        <v>0.99999729999999998</v>
      </c>
      <c r="AB307">
        <v>35</v>
      </c>
      <c r="AC307">
        <v>31.380799999999901</v>
      </c>
      <c r="AD307">
        <v>-1.0595345640239999</v>
      </c>
      <c r="AE307">
        <v>-0.42130000000002998</v>
      </c>
      <c r="AF307">
        <v>7.2320704296227001E-2</v>
      </c>
      <c r="AG307">
        <v>-1.0595345640239999</v>
      </c>
      <c r="AH307">
        <v>31.347814562722299</v>
      </c>
      <c r="AI307">
        <v>91.935815846694396</v>
      </c>
      <c r="AJ307">
        <v>89.867816502236806</v>
      </c>
      <c r="AK307">
        <v>31.3657985971257</v>
      </c>
      <c r="AL307">
        <v>79.715927242625</v>
      </c>
      <c r="AM307">
        <v>88.839629737250903</v>
      </c>
      <c r="AN307">
        <v>0.99999997160370602</v>
      </c>
    </row>
    <row r="308" spans="1:40" x14ac:dyDescent="0.25">
      <c r="A308" t="str">
        <f>"20190312172616386"</f>
        <v>20190312172616386</v>
      </c>
      <c r="B308" t="str">
        <f>"1552382776379103"</f>
        <v>1552382776379103</v>
      </c>
      <c r="C308" t="s">
        <v>40</v>
      </c>
      <c r="D308">
        <v>3.2497660000000002</v>
      </c>
      <c r="E308">
        <v>0.49391499999999999</v>
      </c>
      <c r="F308" t="s">
        <v>41</v>
      </c>
      <c r="G308">
        <v>-381.90010000000001</v>
      </c>
      <c r="H308" s="1">
        <v>-3.9314670000000001E-6</v>
      </c>
      <c r="I308">
        <v>366.94229999999999</v>
      </c>
      <c r="J308">
        <v>-413.79020000000003</v>
      </c>
      <c r="K308">
        <v>1.0595399999999999</v>
      </c>
      <c r="L308">
        <v>367.37529999999998</v>
      </c>
      <c r="M308">
        <v>0.99986540000000002</v>
      </c>
      <c r="N308">
        <v>0</v>
      </c>
      <c r="O308">
        <v>-1.127099E-2</v>
      </c>
      <c r="P308">
        <v>0.98549410000000004</v>
      </c>
      <c r="Q308">
        <v>0.16680029999999901</v>
      </c>
      <c r="R308">
        <v>-3.1290159999999997E-2</v>
      </c>
      <c r="S308">
        <v>3.0599059999999998</v>
      </c>
      <c r="T308">
        <v>-0.10058880000000001</v>
      </c>
      <c r="U308">
        <v>-4.1473389999999999E-2</v>
      </c>
      <c r="V308">
        <v>2.0250730000000002E-2</v>
      </c>
      <c r="W308">
        <v>0.17853289999999999</v>
      </c>
      <c r="X308">
        <v>0.98372550000000003</v>
      </c>
      <c r="Y308">
        <v>2.2858029999999999E-3</v>
      </c>
      <c r="Z308">
        <v>3.3285049999999999E-4</v>
      </c>
      <c r="AA308">
        <v>0.99999729999999998</v>
      </c>
      <c r="AB308">
        <v>35</v>
      </c>
      <c r="AC308">
        <v>31.8901</v>
      </c>
      <c r="AD308">
        <v>-1.0595439314670001</v>
      </c>
      <c r="AE308">
        <v>-0.432999999999992</v>
      </c>
      <c r="AF308">
        <v>7.3432898097586102E-2</v>
      </c>
      <c r="AG308">
        <v>-1.0595439314670001</v>
      </c>
      <c r="AH308">
        <v>31.857793702336799</v>
      </c>
      <c r="AI308">
        <v>91.904867184314298</v>
      </c>
      <c r="AJ308">
        <v>89.867932232650105</v>
      </c>
      <c r="AK308">
        <v>31.875492863858302</v>
      </c>
      <c r="AL308">
        <v>79.715682695000993</v>
      </c>
      <c r="AM308">
        <v>88.820689812354004</v>
      </c>
      <c r="AN308">
        <v>0.99999997389909601</v>
      </c>
    </row>
    <row r="309" spans="1:40" x14ac:dyDescent="0.25">
      <c r="A309" t="str">
        <f>"20190312172616409"</f>
        <v>20190312172616409</v>
      </c>
      <c r="B309" t="str">
        <f>"1552382776398622"</f>
        <v>1552382776398622</v>
      </c>
      <c r="C309" t="s">
        <v>40</v>
      </c>
      <c r="D309">
        <v>3.266216</v>
      </c>
      <c r="E309">
        <v>0.49396760000000001</v>
      </c>
      <c r="F309" t="s">
        <v>41</v>
      </c>
      <c r="G309">
        <v>-381.48289999999997</v>
      </c>
      <c r="H309" s="1">
        <v>-4.115016E-6</v>
      </c>
      <c r="I309">
        <v>366.91640000000001</v>
      </c>
      <c r="J309">
        <v>-413.44850000000002</v>
      </c>
      <c r="K309">
        <v>1.059545</v>
      </c>
      <c r="L309">
        <v>367.37130000000002</v>
      </c>
      <c r="M309">
        <v>0.9998631</v>
      </c>
      <c r="N309">
        <v>0</v>
      </c>
      <c r="O309">
        <v>-1.1427970000000001E-2</v>
      </c>
      <c r="P309">
        <v>0.98553279999999999</v>
      </c>
      <c r="Q309">
        <v>0.16656850000000001</v>
      </c>
      <c r="R309">
        <v>-3.1311520000000002E-2</v>
      </c>
      <c r="S309">
        <v>3.059723</v>
      </c>
      <c r="T309">
        <v>-0.100346</v>
      </c>
      <c r="U309">
        <v>-4.3457030000000001E-2</v>
      </c>
      <c r="V309">
        <v>2.011804E-2</v>
      </c>
      <c r="W309">
        <v>0.17834990000000001</v>
      </c>
      <c r="X309">
        <v>0.98376140000000001</v>
      </c>
      <c r="Y309">
        <v>2.7775870000000002E-3</v>
      </c>
      <c r="Z309">
        <v>3.2915050000000001E-4</v>
      </c>
      <c r="AA309">
        <v>0.99999610000000005</v>
      </c>
      <c r="AB309">
        <v>35</v>
      </c>
      <c r="AC309">
        <v>31.965599999999998</v>
      </c>
      <c r="AD309">
        <v>-1.0595491150159999</v>
      </c>
      <c r="AE309">
        <v>-0.45490000000000902</v>
      </c>
      <c r="AF309">
        <v>8.9443965453184796E-2</v>
      </c>
      <c r="AG309">
        <v>-1.0595491150159999</v>
      </c>
      <c r="AH309">
        <v>31.9336330951832</v>
      </c>
      <c r="AI309">
        <v>91.900353509772401</v>
      </c>
      <c r="AJ309">
        <v>89.839518782390499</v>
      </c>
      <c r="AK309">
        <v>31.951331227475801</v>
      </c>
      <c r="AL309">
        <v>79.726338675512594</v>
      </c>
      <c r="AM309">
        <v>88.828457654372698</v>
      </c>
      <c r="AN309">
        <v>0.99999995724670399</v>
      </c>
    </row>
    <row r="310" spans="1:40" x14ac:dyDescent="0.25">
      <c r="A310" t="str">
        <f>"20190312172616432"</f>
        <v>20190312172616432</v>
      </c>
      <c r="B310" t="str">
        <f>"1552382776428878"</f>
        <v>1552382776428878</v>
      </c>
      <c r="C310" t="s">
        <v>40</v>
      </c>
      <c r="D310">
        <v>3.3018089999999898</v>
      </c>
      <c r="E310">
        <v>0.49421920000000003</v>
      </c>
      <c r="F310" t="s">
        <v>41</v>
      </c>
      <c r="G310">
        <v>-381.14080000000001</v>
      </c>
      <c r="H310" s="1">
        <v>-4.2639290000000001E-6</v>
      </c>
      <c r="I310">
        <v>366.90429999999998</v>
      </c>
      <c r="J310">
        <v>-413.08530000000002</v>
      </c>
      <c r="K310">
        <v>1.0595479999999999</v>
      </c>
      <c r="L310">
        <v>367.36689999999999</v>
      </c>
      <c r="M310">
        <v>0.99986050000000004</v>
      </c>
      <c r="N310">
        <v>0</v>
      </c>
      <c r="O310">
        <v>-1.159644E-2</v>
      </c>
      <c r="P310">
        <v>0.98556330000000003</v>
      </c>
      <c r="Q310">
        <v>0.16634370000000001</v>
      </c>
      <c r="R310">
        <v>-3.1539560000000001E-2</v>
      </c>
      <c r="S310">
        <v>3.0596009999999998</v>
      </c>
      <c r="T310">
        <v>-0.1003411</v>
      </c>
      <c r="U310">
        <v>-4.4219969999999997E-2</v>
      </c>
      <c r="V310">
        <v>2.0181009999999999E-2</v>
      </c>
      <c r="W310">
        <v>0.17817959999999999</v>
      </c>
      <c r="X310">
        <v>0.98379099999999997</v>
      </c>
      <c r="Y310">
        <v>2.8590059999999999E-3</v>
      </c>
      <c r="Z310">
        <v>3.333357E-4</v>
      </c>
      <c r="AA310">
        <v>0.99999590000000005</v>
      </c>
      <c r="AB310">
        <v>35</v>
      </c>
      <c r="AC310">
        <v>31.944500000000001</v>
      </c>
      <c r="AD310">
        <v>-1.059552263929</v>
      </c>
      <c r="AE310">
        <v>-0.462600000000008</v>
      </c>
      <c r="AF310">
        <v>9.1998453268523198E-2</v>
      </c>
      <c r="AG310">
        <v>-1.059552263929</v>
      </c>
      <c r="AH310">
        <v>31.9126152540275</v>
      </c>
      <c r="AI310">
        <v>91.9016093805498</v>
      </c>
      <c r="AJ310">
        <v>89.834826809086707</v>
      </c>
      <c r="AK310">
        <v>31.9303323983167</v>
      </c>
      <c r="AL310">
        <v>79.736255293363698</v>
      </c>
      <c r="AM310">
        <v>88.824827071873202</v>
      </c>
      <c r="AN310">
        <v>0.99999998735089002</v>
      </c>
    </row>
    <row r="311" spans="1:40" x14ac:dyDescent="0.25">
      <c r="A311" t="str">
        <f>"20190312172616455"</f>
        <v>20190312172616455</v>
      </c>
      <c r="B311" t="str">
        <f>"1552382776448400"</f>
        <v>1552382776448400</v>
      </c>
      <c r="C311" t="s">
        <v>40</v>
      </c>
      <c r="D311">
        <v>3.2810329999999999</v>
      </c>
      <c r="E311">
        <v>0.51819959999999998</v>
      </c>
      <c r="F311" t="s">
        <v>41</v>
      </c>
      <c r="G311">
        <v>-381.00689999999997</v>
      </c>
      <c r="H311" s="1">
        <v>-4.3255980000000001E-6</v>
      </c>
      <c r="I311">
        <v>366.88049999999998</v>
      </c>
      <c r="J311">
        <v>-412.74799999999999</v>
      </c>
      <c r="K311">
        <v>1.059553</v>
      </c>
      <c r="L311">
        <v>367.36290000000002</v>
      </c>
      <c r="M311">
        <v>0.99985789999999997</v>
      </c>
      <c r="N311">
        <v>0</v>
      </c>
      <c r="O311">
        <v>-1.1752459999999999E-2</v>
      </c>
      <c r="P311">
        <v>0.98561290000000001</v>
      </c>
      <c r="Q311">
        <v>0.166021</v>
      </c>
      <c r="R311">
        <v>-3.1691619999999997E-2</v>
      </c>
      <c r="S311">
        <v>3.0595089999999998</v>
      </c>
      <c r="T311">
        <v>-0.1010559</v>
      </c>
      <c r="U311">
        <v>-4.6386719999999999E-2</v>
      </c>
      <c r="V311">
        <v>2.0179220000000001E-2</v>
      </c>
      <c r="W311">
        <v>0.17790880000000001</v>
      </c>
      <c r="X311">
        <v>0.98384000000000005</v>
      </c>
      <c r="Y311">
        <v>3.4112779999999998E-3</v>
      </c>
      <c r="Z311">
        <v>3.3175099999999998E-4</v>
      </c>
      <c r="AA311">
        <v>0.9999941</v>
      </c>
      <c r="AB311">
        <v>34</v>
      </c>
      <c r="AC311">
        <v>31.741099999999999</v>
      </c>
      <c r="AD311">
        <v>-1.059557325598</v>
      </c>
      <c r="AE311">
        <v>-0.48240000000004102</v>
      </c>
      <c r="AF311">
        <v>0.10918179157581399</v>
      </c>
      <c r="AG311">
        <v>-1.059557325598</v>
      </c>
      <c r="AH311">
        <v>31.7092516687493</v>
      </c>
      <c r="AI311">
        <v>91.913801836147996</v>
      </c>
      <c r="AJ311">
        <v>89.802719054971703</v>
      </c>
      <c r="AK311">
        <v>31.727137024665801</v>
      </c>
      <c r="AL311">
        <v>79.752022467141003</v>
      </c>
      <c r="AM311">
        <v>88.824989784957097</v>
      </c>
      <c r="AN311">
        <v>0.99999994381862201</v>
      </c>
    </row>
    <row r="312" spans="1:40" x14ac:dyDescent="0.25">
      <c r="A312" t="str">
        <f>"20190312172616476"</f>
        <v>20190312172616476</v>
      </c>
      <c r="B312" t="str">
        <f>"1552382776468895"</f>
        <v>1552382776468895</v>
      </c>
      <c r="C312" t="s">
        <v>40</v>
      </c>
      <c r="D312">
        <v>3.2925589999999998</v>
      </c>
      <c r="E312">
        <v>0.51882280000000003</v>
      </c>
      <c r="F312" t="s">
        <v>41</v>
      </c>
      <c r="G312">
        <v>-373.94130000000001</v>
      </c>
      <c r="H312" s="1">
        <v>-3.5192289999999999E-6</v>
      </c>
      <c r="I312">
        <v>364.32960000000003</v>
      </c>
      <c r="J312">
        <v>-412.4246</v>
      </c>
      <c r="K312">
        <v>1.0595559999999999</v>
      </c>
      <c r="L312">
        <v>367.35890000000001</v>
      </c>
      <c r="M312">
        <v>0.99985559999999996</v>
      </c>
      <c r="N312">
        <v>0</v>
      </c>
      <c r="O312">
        <v>-1.189833E-2</v>
      </c>
      <c r="P312">
        <v>0.98568129999999998</v>
      </c>
      <c r="Q312">
        <v>0.16555739999999999</v>
      </c>
      <c r="R312">
        <v>-3.199283E-2</v>
      </c>
      <c r="S312">
        <v>3.0501399999999999</v>
      </c>
      <c r="T312">
        <v>-8.3279249999999999E-2</v>
      </c>
      <c r="U312">
        <v>-0.23840330000000001</v>
      </c>
      <c r="V312">
        <v>2.0334830000000002E-2</v>
      </c>
      <c r="W312">
        <v>0.17749970000000001</v>
      </c>
      <c r="X312">
        <v>0.98391070000000003</v>
      </c>
      <c r="Y312">
        <v>6.6035179999999999E-2</v>
      </c>
      <c r="Z312">
        <v>-5.7566269999999905E-4</v>
      </c>
      <c r="AA312">
        <v>0.99781719999999896</v>
      </c>
      <c r="AB312">
        <v>34</v>
      </c>
      <c r="AC312">
        <v>38.4832999999999</v>
      </c>
      <c r="AD312">
        <v>-1.0595595192289999</v>
      </c>
      <c r="AE312">
        <v>-3.0292999999999699</v>
      </c>
      <c r="AF312">
        <v>2.5692291752005998</v>
      </c>
      <c r="AG312">
        <v>-1.0595595192289999</v>
      </c>
      <c r="AH312">
        <v>38.487625296534397</v>
      </c>
      <c r="AI312">
        <v>91.573447226004205</v>
      </c>
      <c r="AJ312">
        <v>86.180904620051905</v>
      </c>
      <c r="AK312">
        <v>38.587833651242001</v>
      </c>
      <c r="AL312">
        <v>79.775841411866196</v>
      </c>
      <c r="AM312">
        <v>88.8160164414451</v>
      </c>
      <c r="AN312">
        <v>0.99999995719285295</v>
      </c>
    </row>
    <row r="313" spans="1:40" x14ac:dyDescent="0.25">
      <c r="A313" t="str">
        <f>"20190312172616509"</f>
        <v>20190312172616509</v>
      </c>
      <c r="B313" t="str">
        <f>"1552382776499150"</f>
        <v>1552382776499150</v>
      </c>
      <c r="C313" t="s">
        <v>40</v>
      </c>
      <c r="D313">
        <v>3.2626170000000001</v>
      </c>
      <c r="E313">
        <v>0.51926059999999996</v>
      </c>
      <c r="F313" t="s">
        <v>41</v>
      </c>
      <c r="G313">
        <v>-374.19779999999997</v>
      </c>
      <c r="H313" s="1">
        <v>-3.4152299999999999E-6</v>
      </c>
      <c r="I313">
        <v>364.29559999999998</v>
      </c>
      <c r="J313">
        <v>-411.89859999999999</v>
      </c>
      <c r="K313">
        <v>1.0595779999999999</v>
      </c>
      <c r="L313">
        <v>367.35230000000001</v>
      </c>
      <c r="M313">
        <v>0.99985170000000001</v>
      </c>
      <c r="N313">
        <v>0</v>
      </c>
      <c r="O313">
        <v>-1.2120300000000001E-2</v>
      </c>
      <c r="P313">
        <v>0.98573980000000005</v>
      </c>
      <c r="Q313">
        <v>0.16519310000000001</v>
      </c>
      <c r="R313">
        <v>-3.2066959999999999E-2</v>
      </c>
      <c r="S313">
        <v>3.0498349999999999</v>
      </c>
      <c r="T313">
        <v>-8.4534410000000004E-2</v>
      </c>
      <c r="U313">
        <v>-0.24438480000000001</v>
      </c>
      <c r="V313">
        <v>2.0187779999999999E-2</v>
      </c>
      <c r="W313">
        <v>0.1772425</v>
      </c>
      <c r="X313">
        <v>0.98396019999999895</v>
      </c>
      <c r="Y313">
        <v>6.7764889999999994E-2</v>
      </c>
      <c r="Z313">
        <v>-6.0213809999999895E-4</v>
      </c>
      <c r="AA313">
        <v>0.99770110000000001</v>
      </c>
      <c r="AB313">
        <v>34</v>
      </c>
      <c r="AC313">
        <v>37.700800000000001</v>
      </c>
      <c r="AD313">
        <v>-1.0595814152299901</v>
      </c>
      <c r="AE313">
        <v>-3.0567000000000299</v>
      </c>
      <c r="AF313">
        <v>2.59745792267478</v>
      </c>
      <c r="AG313">
        <v>-1.0595814152299901</v>
      </c>
      <c r="AH313">
        <v>37.705492473191299</v>
      </c>
      <c r="AI313">
        <v>91.6058706368445</v>
      </c>
      <c r="AJ313">
        <v>86.059231220805103</v>
      </c>
      <c r="AK313">
        <v>37.809703292692603</v>
      </c>
      <c r="AL313">
        <v>79.790816401569302</v>
      </c>
      <c r="AM313">
        <v>88.824635046059498</v>
      </c>
      <c r="AN313">
        <v>1.0000000627258001</v>
      </c>
    </row>
    <row r="314" spans="1:40" x14ac:dyDescent="0.25">
      <c r="A314" t="str">
        <f>"20190312172616531"</f>
        <v>20190312172616531</v>
      </c>
      <c r="B314" t="str">
        <f>"1552382776528431"</f>
        <v>1552382776528431</v>
      </c>
      <c r="C314" t="s">
        <v>40</v>
      </c>
      <c r="D314">
        <v>3.2836699999999999</v>
      </c>
      <c r="E314">
        <v>0.51943679999999903</v>
      </c>
      <c r="F314" t="s">
        <v>41</v>
      </c>
      <c r="G314">
        <v>-373.60509999999999</v>
      </c>
      <c r="H314" s="1">
        <v>-3.6804540000000002E-6</v>
      </c>
      <c r="I314">
        <v>364.23390000000001</v>
      </c>
      <c r="J314">
        <v>-411.55790000000002</v>
      </c>
      <c r="K314">
        <v>1.059598</v>
      </c>
      <c r="L314">
        <v>367.34800000000001</v>
      </c>
      <c r="M314">
        <v>0.99984899999999999</v>
      </c>
      <c r="N314">
        <v>0</v>
      </c>
      <c r="O314">
        <v>-1.2262439999999999E-2</v>
      </c>
      <c r="P314">
        <v>0.98578180000000004</v>
      </c>
      <c r="Q314">
        <v>0.1648732</v>
      </c>
      <c r="R314">
        <v>-3.2421020000000002E-2</v>
      </c>
      <c r="S314">
        <v>3.0494379999999999</v>
      </c>
      <c r="T314">
        <v>-8.4377999999999995E-2</v>
      </c>
      <c r="U314">
        <v>-0.2483215</v>
      </c>
      <c r="V314">
        <v>2.039842E-2</v>
      </c>
      <c r="W314">
        <v>0.17700080000000001</v>
      </c>
      <c r="X314">
        <v>0.98399930000000002</v>
      </c>
      <c r="Y314">
        <v>6.8912680000000004E-2</v>
      </c>
      <c r="Z314">
        <v>-6.1299710000000003E-4</v>
      </c>
      <c r="AA314">
        <v>0.99762249999999997</v>
      </c>
      <c r="AB314">
        <v>34</v>
      </c>
      <c r="AC314">
        <v>37.952800000000003</v>
      </c>
      <c r="AD314">
        <v>-1.0596016804539901</v>
      </c>
      <c r="AE314">
        <v>-3.1141000000000001</v>
      </c>
      <c r="AF314">
        <v>2.6463876335198</v>
      </c>
      <c r="AG314">
        <v>-1.0596016804539901</v>
      </c>
      <c r="AH314">
        <v>37.958745670871203</v>
      </c>
      <c r="AI314">
        <v>91.595101429503401</v>
      </c>
      <c r="AJ314">
        <v>86.0119363378668</v>
      </c>
      <c r="AK314">
        <v>38.065634056638899</v>
      </c>
      <c r="AL314">
        <v>79.8048866250641</v>
      </c>
      <c r="AM314">
        <v>88.812421919219702</v>
      </c>
      <c r="AN314">
        <v>1.00000000056981</v>
      </c>
    </row>
    <row r="315" spans="1:40" x14ac:dyDescent="0.25">
      <c r="A315" t="str">
        <f>"20190312172616553"</f>
        <v>20190312172616553</v>
      </c>
      <c r="B315" t="str">
        <f>"1552382776548927"</f>
        <v>1552382776548927</v>
      </c>
      <c r="C315" t="s">
        <v>40</v>
      </c>
      <c r="D315">
        <v>3.290171</v>
      </c>
      <c r="E315">
        <v>0.51959569999999999</v>
      </c>
      <c r="F315" t="s">
        <v>41</v>
      </c>
      <c r="G315">
        <v>-373.3981</v>
      </c>
      <c r="H315" s="1">
        <v>-3.773401E-6</v>
      </c>
      <c r="I315">
        <v>364.21039999999999</v>
      </c>
      <c r="J315">
        <v>-411.22239999999999</v>
      </c>
      <c r="K315">
        <v>1.0596159999999999</v>
      </c>
      <c r="L315">
        <v>367.34359999999998</v>
      </c>
      <c r="M315">
        <v>0.99984629999999997</v>
      </c>
      <c r="N315">
        <v>0</v>
      </c>
      <c r="O315">
        <v>-1.2407420000000001E-2</v>
      </c>
      <c r="P315">
        <v>0.9857013</v>
      </c>
      <c r="Q315">
        <v>0.1652747</v>
      </c>
      <c r="R315">
        <v>-3.2828650000000001E-2</v>
      </c>
      <c r="S315">
        <v>3.0492249999999999</v>
      </c>
      <c r="T315">
        <v>-8.4669229999999998E-2</v>
      </c>
      <c r="U315">
        <v>-0.25070189999999998</v>
      </c>
      <c r="V315">
        <v>2.0661369999999998E-2</v>
      </c>
      <c r="W315">
        <v>0.1774781</v>
      </c>
      <c r="X315">
        <v>0.9839078</v>
      </c>
      <c r="Y315">
        <v>6.9546930000000007E-2</v>
      </c>
      <c r="Z315">
        <v>-6.1990739999999997E-4</v>
      </c>
      <c r="AA315">
        <v>0.99757850000000003</v>
      </c>
      <c r="AB315">
        <v>34</v>
      </c>
      <c r="AC315">
        <v>37.824300000000001</v>
      </c>
      <c r="AD315">
        <v>-1.059619773401</v>
      </c>
      <c r="AE315">
        <v>-3.13319999999998</v>
      </c>
      <c r="AF315">
        <v>2.66154625820718</v>
      </c>
      <c r="AG315">
        <v>-1.059619773401</v>
      </c>
      <c r="AH315">
        <v>37.830778724180199</v>
      </c>
      <c r="AI315">
        <v>91.600450592512402</v>
      </c>
      <c r="AJ315">
        <v>85.975644277219004</v>
      </c>
      <c r="AK315">
        <v>37.939088568739301</v>
      </c>
      <c r="AL315">
        <v>79.777099032852206</v>
      </c>
      <c r="AM315">
        <v>88.797005839670504</v>
      </c>
      <c r="AN315">
        <v>0.99999996354536203</v>
      </c>
    </row>
    <row r="316" spans="1:40" x14ac:dyDescent="0.25">
      <c r="A316" t="str">
        <f>"20190312172616576"</f>
        <v>20190312172616576</v>
      </c>
      <c r="B316" t="str">
        <f>"1552382776568447"</f>
        <v>1552382776568447</v>
      </c>
      <c r="C316" t="s">
        <v>40</v>
      </c>
      <c r="D316">
        <v>3.290772</v>
      </c>
      <c r="E316">
        <v>0.51961979999999997</v>
      </c>
      <c r="F316" t="s">
        <v>41</v>
      </c>
      <c r="G316">
        <v>-372.32429999999999</v>
      </c>
      <c r="H316" s="1">
        <v>-4.2519720000000002E-6</v>
      </c>
      <c r="I316">
        <v>364.10939999999999</v>
      </c>
      <c r="J316">
        <v>-410.87799999999999</v>
      </c>
      <c r="K316">
        <v>1.059634</v>
      </c>
      <c r="L316">
        <v>367.33920000000001</v>
      </c>
      <c r="M316">
        <v>0.99984340000000005</v>
      </c>
      <c r="N316">
        <v>0</v>
      </c>
      <c r="O316">
        <v>-1.2557219999999999E-2</v>
      </c>
      <c r="P316">
        <v>0.98573889999999997</v>
      </c>
      <c r="Q316">
        <v>0.16496810000000001</v>
      </c>
      <c r="R316">
        <v>-3.3231999999999998E-2</v>
      </c>
      <c r="S316">
        <v>3.049042</v>
      </c>
      <c r="T316">
        <v>-8.305883E-2</v>
      </c>
      <c r="U316">
        <v>-0.2535095</v>
      </c>
      <c r="V316">
        <v>2.0914470000000001E-2</v>
      </c>
      <c r="W316">
        <v>0.17725050000000001</v>
      </c>
      <c r="X316">
        <v>0.98394349999999997</v>
      </c>
      <c r="Y316">
        <v>7.0315290000000003E-2</v>
      </c>
      <c r="Z316">
        <v>-6.1450839999999997E-4</v>
      </c>
      <c r="AA316">
        <v>0.99752459999999998</v>
      </c>
      <c r="AB316">
        <v>34</v>
      </c>
      <c r="AC316">
        <v>38.553699999999999</v>
      </c>
      <c r="AD316">
        <v>-1.059638251972</v>
      </c>
      <c r="AE316">
        <v>-3.2298000000000102</v>
      </c>
      <c r="AF316">
        <v>2.7433224781868399</v>
      </c>
      <c r="AG316">
        <v>-1.059638251972</v>
      </c>
      <c r="AH316">
        <v>38.562292870140404</v>
      </c>
      <c r="AI316">
        <v>91.570046442930902</v>
      </c>
      <c r="AJ316">
        <v>85.9308321291048</v>
      </c>
      <c r="AK316">
        <v>38.674269002100701</v>
      </c>
      <c r="AL316">
        <v>79.790349838345804</v>
      </c>
      <c r="AM316">
        <v>88.782317844407899</v>
      </c>
      <c r="AN316">
        <v>0.99999998299894</v>
      </c>
    </row>
    <row r="317" spans="1:40" x14ac:dyDescent="0.25">
      <c r="A317" t="str">
        <f>"20190312172616598"</f>
        <v>20190312172616598</v>
      </c>
      <c r="B317" t="str">
        <f>"1552382776588946"</f>
        <v>1552382776588946</v>
      </c>
      <c r="C317" t="s">
        <v>40</v>
      </c>
      <c r="D317">
        <v>3.2838720000000001</v>
      </c>
      <c r="E317">
        <v>0.51966970000000001</v>
      </c>
      <c r="F317" t="s">
        <v>41</v>
      </c>
      <c r="G317">
        <v>-372.5498</v>
      </c>
      <c r="H317" s="1">
        <v>-4.1512059999999999E-6</v>
      </c>
      <c r="I317">
        <v>364.13229999999999</v>
      </c>
      <c r="J317">
        <v>-410.53140000000002</v>
      </c>
      <c r="K317">
        <v>1.0596399999999999</v>
      </c>
      <c r="L317">
        <v>367.3347</v>
      </c>
      <c r="M317">
        <v>0.99984050000000002</v>
      </c>
      <c r="N317">
        <v>0</v>
      </c>
      <c r="O317">
        <v>-1.2706210000000001E-2</v>
      </c>
      <c r="P317">
        <v>0.98575650000000004</v>
      </c>
      <c r="Q317">
        <v>0.16480839999999999</v>
      </c>
      <c r="R317">
        <v>-3.349742E-2</v>
      </c>
      <c r="S317">
        <v>3.0489199999999999</v>
      </c>
      <c r="T317">
        <v>-8.4291580000000005E-2</v>
      </c>
      <c r="U317">
        <v>-0.2550964</v>
      </c>
      <c r="V317">
        <v>2.1032120000000001E-2</v>
      </c>
      <c r="W317">
        <v>0.17716689999999999</v>
      </c>
      <c r="X317">
        <v>0.98395600000000005</v>
      </c>
      <c r="Y317">
        <v>7.0684810000000001E-2</v>
      </c>
      <c r="Z317">
        <v>-6.2462460000000004E-4</v>
      </c>
      <c r="AA317">
        <v>0.99749849999999995</v>
      </c>
      <c r="AB317">
        <v>34</v>
      </c>
      <c r="AC317">
        <v>37.9816</v>
      </c>
      <c r="AD317">
        <v>-1.059644151206</v>
      </c>
      <c r="AE317">
        <v>-3.2024000000000101</v>
      </c>
      <c r="AF317">
        <v>2.7174010843421499</v>
      </c>
      <c r="AG317">
        <v>-1.059644151206</v>
      </c>
      <c r="AH317">
        <v>37.989866345089702</v>
      </c>
      <c r="AI317">
        <v>91.593656418013694</v>
      </c>
      <c r="AJ317">
        <v>85.908622422426504</v>
      </c>
      <c r="AK317">
        <v>38.101667408371299</v>
      </c>
      <c r="AL317">
        <v>79.795216300780993</v>
      </c>
      <c r="AM317">
        <v>88.7754856580558</v>
      </c>
      <c r="AN317">
        <v>0.99999993523164998</v>
      </c>
    </row>
    <row r="318" spans="1:40" x14ac:dyDescent="0.25">
      <c r="A318" t="str">
        <f>"20190312172616620"</f>
        <v>20190312172616620</v>
      </c>
      <c r="B318" t="str">
        <f>"1552382776608462"</f>
        <v>1552382776608462</v>
      </c>
      <c r="C318" t="s">
        <v>40</v>
      </c>
      <c r="D318">
        <v>3.323035</v>
      </c>
      <c r="E318">
        <v>0.51966849999999998</v>
      </c>
      <c r="F318" t="s">
        <v>41</v>
      </c>
      <c r="G318">
        <v>-372.44290000000001</v>
      </c>
      <c r="H318" s="1">
        <v>-4.1974980000000004E-6</v>
      </c>
      <c r="I318">
        <v>364.12979999999999</v>
      </c>
      <c r="J318">
        <v>-410.19439999999997</v>
      </c>
      <c r="K318">
        <v>1.0596429999999999</v>
      </c>
      <c r="L318">
        <v>367.33030000000002</v>
      </c>
      <c r="M318">
        <v>0.9998378</v>
      </c>
      <c r="N318">
        <v>0</v>
      </c>
      <c r="O318">
        <v>-1.2847799999999901E-2</v>
      </c>
      <c r="P318">
        <v>0.98583129999999997</v>
      </c>
      <c r="Q318">
        <v>0.1643326</v>
      </c>
      <c r="R318">
        <v>-3.3638809999999998E-2</v>
      </c>
      <c r="S318">
        <v>3.0488279999999999</v>
      </c>
      <c r="T318">
        <v>-8.4819909999999998E-2</v>
      </c>
      <c r="U318">
        <v>-0.2565308</v>
      </c>
      <c r="V318">
        <v>2.103263E-2</v>
      </c>
      <c r="W318">
        <v>0.17676</v>
      </c>
      <c r="X318">
        <v>0.98402920000000005</v>
      </c>
      <c r="Y318">
        <v>7.1011660000000004E-2</v>
      </c>
      <c r="Z318">
        <v>-6.2915210000000004E-4</v>
      </c>
      <c r="AA318">
        <v>0.99747529999999995</v>
      </c>
      <c r="AB318">
        <v>34</v>
      </c>
      <c r="AC318">
        <v>37.751499999999901</v>
      </c>
      <c r="AD318">
        <v>-1.059647197498</v>
      </c>
      <c r="AE318">
        <v>-3.2005000000000301</v>
      </c>
      <c r="AF318">
        <v>2.7130511637080899</v>
      </c>
      <c r="AG318">
        <v>-1.059647197498</v>
      </c>
      <c r="AH318">
        <v>37.759968668080198</v>
      </c>
      <c r="AI318">
        <v>91.6033221793423</v>
      </c>
      <c r="AJ318">
        <v>85.890364333707495</v>
      </c>
      <c r="AK318">
        <v>37.872136625947903</v>
      </c>
      <c r="AL318">
        <v>79.818904140045802</v>
      </c>
      <c r="AM318">
        <v>88.775547037999502</v>
      </c>
      <c r="AN318">
        <v>0.99999996778867795</v>
      </c>
    </row>
    <row r="319" spans="1:40" x14ac:dyDescent="0.25">
      <c r="A319" t="str">
        <f>"20190312172616645"</f>
        <v>20190312172616645</v>
      </c>
      <c r="B319" t="str">
        <f>"1552382776638719"</f>
        <v>1552382776638719</v>
      </c>
      <c r="C319" t="s">
        <v>40</v>
      </c>
      <c r="D319">
        <v>3.3185549999999999</v>
      </c>
      <c r="E319">
        <v>0.51957929999999997</v>
      </c>
      <c r="F319" t="s">
        <v>41</v>
      </c>
      <c r="G319">
        <v>-372.89569999999998</v>
      </c>
      <c r="H319" s="1">
        <v>-3.9935489999999998E-6</v>
      </c>
      <c r="I319">
        <v>364.18439999999998</v>
      </c>
      <c r="J319">
        <v>-409.81180000000001</v>
      </c>
      <c r="K319">
        <v>1.059647</v>
      </c>
      <c r="L319">
        <v>367.3252</v>
      </c>
      <c r="M319">
        <v>0.99983489999999997</v>
      </c>
      <c r="N319">
        <v>0</v>
      </c>
      <c r="O319">
        <v>-1.30067E-2</v>
      </c>
      <c r="P319">
        <v>0.98592049999999998</v>
      </c>
      <c r="Q319">
        <v>0.163744899999999</v>
      </c>
      <c r="R319">
        <v>-3.3884820000000003E-2</v>
      </c>
      <c r="S319">
        <v>3.0488279999999999</v>
      </c>
      <c r="T319">
        <v>-8.6616399999999996E-2</v>
      </c>
      <c r="U319">
        <v>-0.25714110000000001</v>
      </c>
      <c r="V319">
        <v>2.112143E-2</v>
      </c>
      <c r="W319">
        <v>0.17624329999999999</v>
      </c>
      <c r="X319">
        <v>0.98411999999999999</v>
      </c>
      <c r="Y319">
        <v>7.1050489999999994E-2</v>
      </c>
      <c r="Z319">
        <v>-6.3851279999999999E-4</v>
      </c>
      <c r="AA319">
        <v>0.99747249999999998</v>
      </c>
      <c r="AB319">
        <v>34</v>
      </c>
      <c r="AC319">
        <v>36.9161</v>
      </c>
      <c r="AD319">
        <v>-1.0596509935489999</v>
      </c>
      <c r="AE319">
        <v>-3.1408000000000098</v>
      </c>
      <c r="AF319">
        <v>2.6581645590529601</v>
      </c>
      <c r="AG319">
        <v>-1.0596509935489999</v>
      </c>
      <c r="AH319">
        <v>36.923627355948597</v>
      </c>
      <c r="AI319">
        <v>91.639608084897404</v>
      </c>
      <c r="AJ319">
        <v>85.882329933823499</v>
      </c>
      <c r="AK319">
        <v>37.034348329248203</v>
      </c>
      <c r="AL319">
        <v>79.848981347245896</v>
      </c>
      <c r="AM319">
        <v>88.770492384064497</v>
      </c>
      <c r="AN319">
        <v>0.99999999500006698</v>
      </c>
    </row>
    <row r="320" spans="1:40" x14ac:dyDescent="0.25">
      <c r="A320" t="str">
        <f>"20190312172616667"</f>
        <v>20190312172616667</v>
      </c>
      <c r="B320" t="str">
        <f>"1552382776659215"</f>
        <v>1552382776659215</v>
      </c>
      <c r="C320" t="s">
        <v>40</v>
      </c>
      <c r="D320">
        <v>3.2821400000000001</v>
      </c>
      <c r="E320">
        <v>0.51959469999999996</v>
      </c>
      <c r="F320" t="s">
        <v>41</v>
      </c>
      <c r="G320">
        <v>-373.26979999999998</v>
      </c>
      <c r="H320" s="1">
        <v>-3.8234830000000001E-6</v>
      </c>
      <c r="I320">
        <v>364.23849999999999</v>
      </c>
      <c r="J320">
        <v>-409.4776</v>
      </c>
      <c r="K320">
        <v>1.059652</v>
      </c>
      <c r="L320">
        <v>367.32069999999999</v>
      </c>
      <c r="M320">
        <v>0.99983239999999995</v>
      </c>
      <c r="N320">
        <v>0</v>
      </c>
      <c r="O320">
        <v>-1.314571E-2</v>
      </c>
      <c r="P320">
        <v>0.98602769999999995</v>
      </c>
      <c r="Q320">
        <v>0.16309199999999999</v>
      </c>
      <c r="R320">
        <v>-3.3922760000000003E-2</v>
      </c>
      <c r="S320">
        <v>3.0486149999999999</v>
      </c>
      <c r="T320">
        <v>-8.8404060000000007E-2</v>
      </c>
      <c r="U320">
        <v>-0.25750729999999999</v>
      </c>
      <c r="V320">
        <v>2.1020939999999998E-2</v>
      </c>
      <c r="W320">
        <v>0.17564479999999999</v>
      </c>
      <c r="X320">
        <v>0.98422909999999997</v>
      </c>
      <c r="Y320">
        <v>7.103574E-2</v>
      </c>
      <c r="Z320">
        <v>-6.4749209999999998E-4</v>
      </c>
      <c r="AA320">
        <v>0.99747350000000001</v>
      </c>
      <c r="AB320">
        <v>34</v>
      </c>
      <c r="AC320">
        <v>36.207799999999999</v>
      </c>
      <c r="AD320">
        <v>-1.059655823483</v>
      </c>
      <c r="AE320">
        <v>-3.0821999999999998</v>
      </c>
      <c r="AF320">
        <v>2.60370372605276</v>
      </c>
      <c r="AG320">
        <v>-1.059655823483</v>
      </c>
      <c r="AH320">
        <v>36.214397480284603</v>
      </c>
      <c r="AI320">
        <v>91.671719297912603</v>
      </c>
      <c r="AJ320">
        <v>85.887685791441598</v>
      </c>
      <c r="AK320">
        <v>36.323335865767497</v>
      </c>
      <c r="AL320">
        <v>79.883815815811801</v>
      </c>
      <c r="AM320">
        <v>88.776475862149297</v>
      </c>
      <c r="AN320">
        <v>0.99999994848616502</v>
      </c>
    </row>
    <row r="321" spans="1:40" x14ac:dyDescent="0.25">
      <c r="A321" t="str">
        <f>"20190312172616689"</f>
        <v>20190312172616689</v>
      </c>
      <c r="B321" t="str">
        <f>"1552382776678735"</f>
        <v>1552382776678735</v>
      </c>
      <c r="C321" t="s">
        <v>40</v>
      </c>
      <c r="D321">
        <v>3.2957459999999998</v>
      </c>
      <c r="E321">
        <v>0.51965680000000003</v>
      </c>
      <c r="F321" t="s">
        <v>41</v>
      </c>
      <c r="G321">
        <v>-374.03559999999999</v>
      </c>
      <c r="H321" s="1">
        <v>-3.4796140000000001E-6</v>
      </c>
      <c r="I321">
        <v>364.32490000000001</v>
      </c>
      <c r="J321">
        <v>-409.13990000000001</v>
      </c>
      <c r="K321">
        <v>1.059655</v>
      </c>
      <c r="L321">
        <v>367.31610000000001</v>
      </c>
      <c r="M321">
        <v>0.99982979999999999</v>
      </c>
      <c r="N321">
        <v>0</v>
      </c>
      <c r="O321">
        <v>-1.3287530000000001E-2</v>
      </c>
      <c r="P321">
        <v>0.98612160000000004</v>
      </c>
      <c r="Q321">
        <v>0.16244739999999999</v>
      </c>
      <c r="R321">
        <v>-3.4280379999999999E-2</v>
      </c>
      <c r="S321">
        <v>3.048737</v>
      </c>
      <c r="T321">
        <v>-9.1151830000000003E-2</v>
      </c>
      <c r="U321">
        <v>-0.25769039999999999</v>
      </c>
      <c r="V321">
        <v>2.1237579999999999E-2</v>
      </c>
      <c r="W321">
        <v>0.1750495</v>
      </c>
      <c r="X321">
        <v>0.9843305</v>
      </c>
      <c r="Y321">
        <v>7.094897E-2</v>
      </c>
      <c r="Z321">
        <v>-6.6205509999999997E-4</v>
      </c>
      <c r="AA321">
        <v>0.99747969999999997</v>
      </c>
      <c r="AB321">
        <v>34</v>
      </c>
      <c r="AC321">
        <v>35.104300000000002</v>
      </c>
      <c r="AD321">
        <v>-1.0596584796140001</v>
      </c>
      <c r="AE321">
        <v>-2.9911999999999899</v>
      </c>
      <c r="AF321">
        <v>2.5221666159380298</v>
      </c>
      <c r="AG321">
        <v>-1.0596584796140001</v>
      </c>
      <c r="AH321">
        <v>35.109188583389503</v>
      </c>
      <c r="AI321">
        <v>91.724323991350701</v>
      </c>
      <c r="AJ321">
        <v>85.891056258999001</v>
      </c>
      <c r="AK321">
        <v>35.215611928745098</v>
      </c>
      <c r="AL321">
        <v>79.918460753846702</v>
      </c>
      <c r="AM321">
        <v>88.763997519508095</v>
      </c>
      <c r="AN321">
        <v>0.99999994774237599</v>
      </c>
    </row>
    <row r="322" spans="1:40" x14ac:dyDescent="0.25">
      <c r="A322" t="str">
        <f>"20190312172616709"</f>
        <v>20190312172616709</v>
      </c>
      <c r="B322" t="str">
        <f>"1552382776699230"</f>
        <v>1552382776699230</v>
      </c>
      <c r="C322" t="s">
        <v>40</v>
      </c>
      <c r="D322">
        <v>3.3304870000000002</v>
      </c>
      <c r="E322">
        <v>0.51973069999999999</v>
      </c>
      <c r="F322" t="s">
        <v>41</v>
      </c>
      <c r="G322">
        <v>-374.48320000000001</v>
      </c>
      <c r="H322" s="1">
        <v>-3.279866E-6</v>
      </c>
      <c r="I322">
        <v>364.36849999999998</v>
      </c>
      <c r="J322">
        <v>-408.81650000000002</v>
      </c>
      <c r="K322">
        <v>1.0596490000000001</v>
      </c>
      <c r="L322">
        <v>367.3116</v>
      </c>
      <c r="M322">
        <v>0.99982749999999998</v>
      </c>
      <c r="N322">
        <v>0</v>
      </c>
      <c r="O322">
        <v>-1.3423930000000001E-2</v>
      </c>
      <c r="P322">
        <v>0.98614679999999999</v>
      </c>
      <c r="Q322">
        <v>0.1622161</v>
      </c>
      <c r="R322">
        <v>-3.4647650000000002E-2</v>
      </c>
      <c r="S322">
        <v>3.0485229999999999</v>
      </c>
      <c r="T322">
        <v>-9.3211169999999996E-2</v>
      </c>
      <c r="U322">
        <v>-0.25927729999999999</v>
      </c>
      <c r="V322">
        <v>2.1469889999999998E-2</v>
      </c>
      <c r="W322">
        <v>0.17485989999999901</v>
      </c>
      <c r="X322">
        <v>0.98435919999999999</v>
      </c>
      <c r="Y322">
        <v>7.1332969999999996E-2</v>
      </c>
      <c r="Z322">
        <v>-6.7873569999999999E-4</v>
      </c>
      <c r="AA322">
        <v>0.99745229999999996</v>
      </c>
      <c r="AB322">
        <v>34</v>
      </c>
      <c r="AC322">
        <v>34.333300000000001</v>
      </c>
      <c r="AD322">
        <v>-1.059652279866</v>
      </c>
      <c r="AE322">
        <v>-2.94310000000001</v>
      </c>
      <c r="AF322">
        <v>2.4795642554688202</v>
      </c>
      <c r="AG322">
        <v>-1.059652279866</v>
      </c>
      <c r="AH322">
        <v>34.337247168107602</v>
      </c>
      <c r="AI322">
        <v>91.763007049328706</v>
      </c>
      <c r="AJ322">
        <v>85.869721499792703</v>
      </c>
      <c r="AK322">
        <v>34.442962197449603</v>
      </c>
      <c r="AL322">
        <v>79.929494615654505</v>
      </c>
      <c r="AM322">
        <v>88.750518030054593</v>
      </c>
      <c r="AN322">
        <v>0.99999998771463094</v>
      </c>
    </row>
    <row r="323" spans="1:40" x14ac:dyDescent="0.25">
      <c r="A323" t="str">
        <f>"20190312172616733"</f>
        <v>20190312172616733</v>
      </c>
      <c r="B323" t="str">
        <f>"1552382776728511"</f>
        <v>1552382776728511</v>
      </c>
      <c r="C323" t="s">
        <v>40</v>
      </c>
      <c r="D323">
        <v>3.3576899999999998</v>
      </c>
      <c r="E323">
        <v>0.53801750000000004</v>
      </c>
      <c r="F323" t="s">
        <v>41</v>
      </c>
      <c r="G323">
        <v>-374.56709999999998</v>
      </c>
      <c r="H323" s="1">
        <v>-3.2417389999999998E-6</v>
      </c>
      <c r="I323">
        <v>364.38049999999998</v>
      </c>
      <c r="J323">
        <v>-408.46370000000002</v>
      </c>
      <c r="K323">
        <v>1.0596540000000001</v>
      </c>
      <c r="L323">
        <v>367.30669999999998</v>
      </c>
      <c r="M323">
        <v>0.99982519999999997</v>
      </c>
      <c r="N323">
        <v>0</v>
      </c>
      <c r="O323">
        <v>-1.357415E-2</v>
      </c>
      <c r="P323">
        <v>0.98611110000000002</v>
      </c>
      <c r="Q323">
        <v>0.16233719999999999</v>
      </c>
      <c r="R323">
        <v>-3.510079E-2</v>
      </c>
      <c r="S323">
        <v>3.0485229999999999</v>
      </c>
      <c r="T323">
        <v>-9.4319219999999995E-2</v>
      </c>
      <c r="U323">
        <v>-0.26089479999999998</v>
      </c>
      <c r="V323">
        <v>2.1775119999999999E-2</v>
      </c>
      <c r="W323">
        <v>0.1750186</v>
      </c>
      <c r="X323">
        <v>0.98432430000000004</v>
      </c>
      <c r="Y323">
        <v>7.1707729999999997E-2</v>
      </c>
      <c r="Z323">
        <v>-6.8793390000000004E-4</v>
      </c>
      <c r="AA323">
        <v>0.99742540000000002</v>
      </c>
      <c r="AB323">
        <v>34</v>
      </c>
      <c r="AC323">
        <v>33.896599999999999</v>
      </c>
      <c r="AD323">
        <v>-1.059657241739</v>
      </c>
      <c r="AE323">
        <v>-2.9261999999999899</v>
      </c>
      <c r="AF323">
        <v>2.4633851805308602</v>
      </c>
      <c r="AG323">
        <v>-1.059657241739</v>
      </c>
      <c r="AH323">
        <v>33.900315456061001</v>
      </c>
      <c r="AI323">
        <v>91.785665379847103</v>
      </c>
      <c r="AJ323">
        <v>85.843875377432198</v>
      </c>
      <c r="AK323">
        <v>34.006213079936998</v>
      </c>
      <c r="AL323">
        <v>79.920259453956504</v>
      </c>
      <c r="AM323">
        <v>88.732715412650293</v>
      </c>
      <c r="AN323">
        <v>0.99999999688373198</v>
      </c>
    </row>
    <row r="324" spans="1:40" x14ac:dyDescent="0.25">
      <c r="A324" t="str">
        <f>"20190312172616754"</f>
        <v>20190312172616754</v>
      </c>
      <c r="B324" t="str">
        <f>"1552382776749008"</f>
        <v>1552382776749008</v>
      </c>
      <c r="C324" t="s">
        <v>40</v>
      </c>
      <c r="D324">
        <v>3.3389030000000002</v>
      </c>
      <c r="E324">
        <v>0.53810979999999997</v>
      </c>
      <c r="F324" t="s">
        <v>41</v>
      </c>
      <c r="G324">
        <v>-379.58690000000001</v>
      </c>
      <c r="H324" s="1">
        <v>-1.771343E-6</v>
      </c>
      <c r="I324">
        <v>363.43490000000003</v>
      </c>
      <c r="J324">
        <v>-408.1354</v>
      </c>
      <c r="K324">
        <v>1.059658</v>
      </c>
      <c r="L324">
        <v>367.3021</v>
      </c>
      <c r="M324">
        <v>0.99982260000000001</v>
      </c>
      <c r="N324">
        <v>0</v>
      </c>
      <c r="O324">
        <v>-1.371347E-2</v>
      </c>
      <c r="P324">
        <v>0.98607929999999999</v>
      </c>
      <c r="Q324">
        <v>0.1624139</v>
      </c>
      <c r="R324">
        <v>-3.5626240000000003E-2</v>
      </c>
      <c r="S324">
        <v>3.0461119999999999</v>
      </c>
      <c r="T324">
        <v>-0.11177910000000001</v>
      </c>
      <c r="U324">
        <v>-0.40841670000000002</v>
      </c>
      <c r="V324">
        <v>2.216369E-2</v>
      </c>
      <c r="W324">
        <v>0.17512649999999999</v>
      </c>
      <c r="X324">
        <v>0.98429639999999996</v>
      </c>
      <c r="Y324">
        <v>0.11921370000000001</v>
      </c>
      <c r="Z324">
        <v>-1.6761149999999999E-3</v>
      </c>
      <c r="AA324">
        <v>0.99286719999999895</v>
      </c>
      <c r="AB324">
        <v>34</v>
      </c>
      <c r="AC324">
        <v>28.548499999999901</v>
      </c>
      <c r="AD324">
        <v>-1.059659771343</v>
      </c>
      <c r="AE324">
        <v>-3.86719999999996</v>
      </c>
      <c r="AF324">
        <v>3.4706092279112601</v>
      </c>
      <c r="AG324">
        <v>-1.059659771343</v>
      </c>
      <c r="AH324">
        <v>28.560212731615302</v>
      </c>
      <c r="AI324">
        <v>92.109347982517903</v>
      </c>
      <c r="AJ324">
        <v>83.0714437938191</v>
      </c>
      <c r="AK324">
        <v>28.789820397477101</v>
      </c>
      <c r="AL324">
        <v>79.913979900997802</v>
      </c>
      <c r="AM324">
        <v>88.710072151092305</v>
      </c>
      <c r="AN324">
        <v>0.99999996160481197</v>
      </c>
    </row>
    <row r="325" spans="1:40" x14ac:dyDescent="0.25">
      <c r="A325" t="str">
        <f>"20190312172616777"</f>
        <v>20190312172616777</v>
      </c>
      <c r="B325" t="str">
        <f>"1552382776768527"</f>
        <v>1552382776768527</v>
      </c>
      <c r="C325" t="s">
        <v>40</v>
      </c>
      <c r="D325">
        <v>3.2973340000000002</v>
      </c>
      <c r="E325">
        <v>0.53849599999999997</v>
      </c>
      <c r="F325" t="s">
        <v>41</v>
      </c>
      <c r="G325">
        <v>-379.25779999999997</v>
      </c>
      <c r="H325" s="1">
        <v>-1.89124E-6</v>
      </c>
      <c r="I325">
        <v>363.40519999999998</v>
      </c>
      <c r="J325">
        <v>-407.79410000000001</v>
      </c>
      <c r="K325">
        <v>1.0596639999999999</v>
      </c>
      <c r="L325">
        <v>367.29730000000001</v>
      </c>
      <c r="M325">
        <v>0.99982040000000005</v>
      </c>
      <c r="N325">
        <v>0</v>
      </c>
      <c r="O325">
        <v>-1.3858250000000001E-2</v>
      </c>
      <c r="P325">
        <v>0.98614000000000002</v>
      </c>
      <c r="Q325">
        <v>0.1618898</v>
      </c>
      <c r="R325">
        <v>-3.6326480000000001E-2</v>
      </c>
      <c r="S325">
        <v>3.0458370000000001</v>
      </c>
      <c r="T325">
        <v>-0.1117665</v>
      </c>
      <c r="U325">
        <v>-0.41101070000000001</v>
      </c>
      <c r="V325">
        <v>2.272004E-2</v>
      </c>
      <c r="W325">
        <v>0.1746317</v>
      </c>
      <c r="X325">
        <v>0.98437169999999896</v>
      </c>
      <c r="Y325">
        <v>0.1199119</v>
      </c>
      <c r="Z325">
        <v>-1.6834440000000001E-3</v>
      </c>
      <c r="AA325">
        <v>0.99278310000000003</v>
      </c>
      <c r="AB325">
        <v>34</v>
      </c>
      <c r="AC325">
        <v>28.536300000000001</v>
      </c>
      <c r="AD325">
        <v>-1.0596658912400001</v>
      </c>
      <c r="AE325">
        <v>-3.8921000000000201</v>
      </c>
      <c r="AF325">
        <v>3.4915033350738001</v>
      </c>
      <c r="AG325">
        <v>-1.0596658912400001</v>
      </c>
      <c r="AH325">
        <v>28.548853445963701</v>
      </c>
      <c r="AI325">
        <v>92.110001100119206</v>
      </c>
      <c r="AJ325">
        <v>83.027394948887604</v>
      </c>
      <c r="AK325">
        <v>28.781079208726801</v>
      </c>
      <c r="AL325">
        <v>79.9427743363144</v>
      </c>
      <c r="AM325">
        <v>88.677805022802204</v>
      </c>
      <c r="AN325">
        <v>1.00000003731169</v>
      </c>
    </row>
    <row r="326" spans="1:40" x14ac:dyDescent="0.25">
      <c r="A326" t="str">
        <f>"20190312172616799"</f>
        <v>20190312172616799</v>
      </c>
      <c r="B326" t="str">
        <f>"1552382776789023"</f>
        <v>1552382776789023</v>
      </c>
      <c r="C326" t="s">
        <v>40</v>
      </c>
      <c r="D326">
        <v>3.2975319999999999</v>
      </c>
      <c r="E326">
        <v>0.53897039999999996</v>
      </c>
      <c r="F326" t="s">
        <v>41</v>
      </c>
      <c r="G326">
        <v>-379.2045</v>
      </c>
      <c r="H326" s="1">
        <v>-1.91284E-6</v>
      </c>
      <c r="I326">
        <v>363.39229999999998</v>
      </c>
      <c r="J326">
        <v>-407.4425</v>
      </c>
      <c r="K326">
        <v>1.0596620000000001</v>
      </c>
      <c r="L326">
        <v>367.29219999999998</v>
      </c>
      <c r="M326">
        <v>0.99981779999999998</v>
      </c>
      <c r="N326">
        <v>0</v>
      </c>
      <c r="O326">
        <v>-1.400672E-2</v>
      </c>
      <c r="P326">
        <v>0.98618539999999999</v>
      </c>
      <c r="Q326">
        <v>0.1614661</v>
      </c>
      <c r="R326">
        <v>-3.6974180000000002E-2</v>
      </c>
      <c r="S326">
        <v>3.0453800000000002</v>
      </c>
      <c r="T326">
        <v>-0.1128759</v>
      </c>
      <c r="U326">
        <v>-0.41595460000000001</v>
      </c>
      <c r="V326">
        <v>2.3220350000000001E-2</v>
      </c>
      <c r="W326">
        <v>0.174234</v>
      </c>
      <c r="X326">
        <v>0.98443049999999999</v>
      </c>
      <c r="Y326">
        <v>0.12136429999999999</v>
      </c>
      <c r="Z326">
        <v>-1.7215240000000001E-3</v>
      </c>
      <c r="AA326">
        <v>0.99260649999999995</v>
      </c>
      <c r="AB326">
        <v>34</v>
      </c>
      <c r="AC326">
        <v>28.238</v>
      </c>
      <c r="AD326">
        <v>-1.0596639128399901</v>
      </c>
      <c r="AE326">
        <v>-3.8999000000000001</v>
      </c>
      <c r="AF326">
        <v>3.49912704770392</v>
      </c>
      <c r="AG326">
        <v>-1.0596639128399901</v>
      </c>
      <c r="AH326">
        <v>28.250820256096301</v>
      </c>
      <c r="AI326">
        <v>92.131833334384396</v>
      </c>
      <c r="AJ326">
        <v>82.939344006583894</v>
      </c>
      <c r="AK326">
        <v>28.486411196330302</v>
      </c>
      <c r="AL326">
        <v>79.965915675867294</v>
      </c>
      <c r="AM326">
        <v>88.648780795293504</v>
      </c>
      <c r="AN326">
        <v>1.0000000403701801</v>
      </c>
    </row>
    <row r="327" spans="1:40" x14ac:dyDescent="0.25">
      <c r="A327" t="str">
        <f>"20190312172616822"</f>
        <v>20190312172616822</v>
      </c>
      <c r="B327" t="str">
        <f>"1552382776819279"</f>
        <v>1552382776819279</v>
      </c>
      <c r="C327" t="s">
        <v>40</v>
      </c>
      <c r="D327">
        <v>3.281571</v>
      </c>
      <c r="E327">
        <v>0.53931809999999902</v>
      </c>
      <c r="F327" t="s">
        <v>41</v>
      </c>
      <c r="G327">
        <v>-378.98689999999999</v>
      </c>
      <c r="H327" s="1">
        <v>-1.9975170000000002E-6</v>
      </c>
      <c r="I327">
        <v>363.35219999999998</v>
      </c>
      <c r="J327">
        <v>-407.10320000000002</v>
      </c>
      <c r="K327">
        <v>1.0596620000000001</v>
      </c>
      <c r="L327">
        <v>367.28730000000002</v>
      </c>
      <c r="M327">
        <v>0.99981560000000003</v>
      </c>
      <c r="N327">
        <v>0</v>
      </c>
      <c r="O327">
        <v>-1.415014E-2</v>
      </c>
      <c r="P327">
        <v>0.98624880000000004</v>
      </c>
      <c r="Q327">
        <v>0.1609651</v>
      </c>
      <c r="R327">
        <v>-3.7466409999999999E-2</v>
      </c>
      <c r="S327">
        <v>3.0447389999999999</v>
      </c>
      <c r="T327">
        <v>-0.113383399999999</v>
      </c>
      <c r="U327">
        <v>-0.42156979999999999</v>
      </c>
      <c r="V327">
        <v>2.3569730000000001E-2</v>
      </c>
      <c r="W327">
        <v>0.17375499999999999</v>
      </c>
      <c r="X327">
        <v>0.98450680000000002</v>
      </c>
      <c r="Y327">
        <v>0.12304470000000001</v>
      </c>
      <c r="Z327">
        <v>-1.7552220000000001E-3</v>
      </c>
      <c r="AA327">
        <v>0.99239960000000005</v>
      </c>
      <c r="AB327">
        <v>34</v>
      </c>
      <c r="AC327">
        <v>28.116299999999999</v>
      </c>
      <c r="AD327">
        <v>-1.0596639975169999</v>
      </c>
      <c r="AE327">
        <v>-3.93510000000003</v>
      </c>
      <c r="AF327">
        <v>3.5319024065061599</v>
      </c>
      <c r="AG327">
        <v>-1.0596639975169999</v>
      </c>
      <c r="AH327">
        <v>28.129982435790801</v>
      </c>
      <c r="AI327">
        <v>92.140536959529598</v>
      </c>
      <c r="AJ327">
        <v>82.843590708095107</v>
      </c>
      <c r="AK327">
        <v>28.3706385940574</v>
      </c>
      <c r="AL327">
        <v>79.993784909271298</v>
      </c>
      <c r="AM327">
        <v>88.628563929504693</v>
      </c>
      <c r="AN327">
        <v>0.99999998572175597</v>
      </c>
    </row>
    <row r="328" spans="1:40" x14ac:dyDescent="0.25">
      <c r="A328" t="str">
        <f>"20190312172616846"</f>
        <v>20190312172616846</v>
      </c>
      <c r="B328" t="str">
        <f>"1552382776838799"</f>
        <v>1552382776838799</v>
      </c>
      <c r="C328" t="s">
        <v>40</v>
      </c>
      <c r="D328">
        <v>3.3130929999999998</v>
      </c>
      <c r="E328">
        <v>0.53960569999999997</v>
      </c>
      <c r="F328" t="s">
        <v>41</v>
      </c>
      <c r="G328">
        <v>-379.25659999999999</v>
      </c>
      <c r="H328" s="1">
        <v>-1.895973E-6</v>
      </c>
      <c r="I328">
        <v>363.38900000000001</v>
      </c>
      <c r="J328">
        <v>-406.73939999999999</v>
      </c>
      <c r="K328">
        <v>1.0596570000000001</v>
      </c>
      <c r="L328">
        <v>367.28199999999998</v>
      </c>
      <c r="M328">
        <v>0.99981319999999996</v>
      </c>
      <c r="N328">
        <v>0</v>
      </c>
      <c r="O328">
        <v>-1.430381E-2</v>
      </c>
      <c r="P328">
        <v>0.98628179999999999</v>
      </c>
      <c r="Q328">
        <v>0.16063529999999901</v>
      </c>
      <c r="R328">
        <v>-3.800721E-2</v>
      </c>
      <c r="S328">
        <v>3.044556</v>
      </c>
      <c r="T328">
        <v>-0.1158563</v>
      </c>
      <c r="U328">
        <v>-0.42620849999999999</v>
      </c>
      <c r="V328">
        <v>2.3958460000000001E-2</v>
      </c>
      <c r="W328">
        <v>0.17344509999999999</v>
      </c>
      <c r="X328">
        <v>0.98455210000000004</v>
      </c>
      <c r="Y328">
        <v>0.1243793</v>
      </c>
      <c r="Z328">
        <v>-1.8128440000000001E-3</v>
      </c>
      <c r="AA328">
        <v>0.99223309999999998</v>
      </c>
      <c r="AB328">
        <v>34</v>
      </c>
      <c r="AC328">
        <v>27.482800000000001</v>
      </c>
      <c r="AD328">
        <v>-1.059658895973</v>
      </c>
      <c r="AE328">
        <v>-3.89299999999997</v>
      </c>
      <c r="AF328">
        <v>3.4943669647162898</v>
      </c>
      <c r="AG328">
        <v>-1.059658895973</v>
      </c>
      <c r="AH328">
        <v>27.495604928119899</v>
      </c>
      <c r="AI328">
        <v>92.189448661039805</v>
      </c>
      <c r="AJ328">
        <v>82.757209677924806</v>
      </c>
      <c r="AK328">
        <v>27.737010794661501</v>
      </c>
      <c r="AL328">
        <v>80.011815017609507</v>
      </c>
      <c r="AM328">
        <v>88.606018126740906</v>
      </c>
      <c r="AN328">
        <v>1.00000002406699</v>
      </c>
    </row>
    <row r="329" spans="1:40" x14ac:dyDescent="0.25">
      <c r="A329" t="str">
        <f>"20190312172616868"</f>
        <v>20190312172616868</v>
      </c>
      <c r="B329" t="str">
        <f>"1552382776859295"</f>
        <v>1552382776859295</v>
      </c>
      <c r="C329" t="s">
        <v>40</v>
      </c>
      <c r="D329">
        <v>3.3156129999999999</v>
      </c>
      <c r="E329">
        <v>0.53959650000000003</v>
      </c>
      <c r="F329" t="s">
        <v>41</v>
      </c>
      <c r="G329">
        <v>-379.00360000000001</v>
      </c>
      <c r="H329" s="1">
        <v>-1.987712E-6</v>
      </c>
      <c r="I329">
        <v>363.36779999999999</v>
      </c>
      <c r="J329">
        <v>-406.40890000000002</v>
      </c>
      <c r="K329">
        <v>1.059655</v>
      </c>
      <c r="L329">
        <v>367.27710000000002</v>
      </c>
      <c r="M329">
        <v>0.99981089999999995</v>
      </c>
      <c r="N329">
        <v>0</v>
      </c>
      <c r="O329">
        <v>-1.4443370000000001E-2</v>
      </c>
      <c r="P329">
        <v>0.98630799999999996</v>
      </c>
      <c r="Q329">
        <v>0.16044229999999901</v>
      </c>
      <c r="R329">
        <v>-3.8143959999999998E-2</v>
      </c>
      <c r="S329">
        <v>3.0441590000000001</v>
      </c>
      <c r="T329">
        <v>-0.1163034</v>
      </c>
      <c r="U329">
        <v>-0.42959589999999998</v>
      </c>
      <c r="V329">
        <v>2.3956959999999999E-2</v>
      </c>
      <c r="W329">
        <v>0.17326759999999999</v>
      </c>
      <c r="X329">
        <v>0.9845834</v>
      </c>
      <c r="Y329">
        <v>0.12534010000000001</v>
      </c>
      <c r="Z329">
        <v>-1.8328859999999999E-3</v>
      </c>
      <c r="AA329">
        <v>0.9921122</v>
      </c>
      <c r="AB329">
        <v>34</v>
      </c>
      <c r="AC329">
        <v>27.4053</v>
      </c>
      <c r="AD329">
        <v>-1.0596569877119999</v>
      </c>
      <c r="AE329">
        <v>-3.90930000000002</v>
      </c>
      <c r="AF329">
        <v>3.5078937426614201</v>
      </c>
      <c r="AG329">
        <v>-1.0596569877119999</v>
      </c>
      <c r="AH329">
        <v>27.418733677268801</v>
      </c>
      <c r="AI329">
        <v>92.195343234002195</v>
      </c>
      <c r="AJ329">
        <v>82.709307442435602</v>
      </c>
      <c r="AK329">
        <v>27.6625224429444</v>
      </c>
      <c r="AL329">
        <v>80.022141471435702</v>
      </c>
      <c r="AM329">
        <v>88.606149661795001</v>
      </c>
      <c r="AN329">
        <v>1.00000003434888</v>
      </c>
    </row>
    <row r="330" spans="1:40" x14ac:dyDescent="0.25">
      <c r="A330" t="str">
        <f>"20190312172616890"</f>
        <v>20190312172616890</v>
      </c>
      <c r="B330" t="str">
        <f>"1552382776878391"</f>
        <v>1552382776878391</v>
      </c>
      <c r="C330" t="s">
        <v>40</v>
      </c>
      <c r="D330">
        <v>3.331763</v>
      </c>
      <c r="E330">
        <v>0.53979650000000001</v>
      </c>
      <c r="F330" t="s">
        <v>41</v>
      </c>
      <c r="G330">
        <v>-378.87259999999998</v>
      </c>
      <c r="H330" s="1">
        <v>-2.026645E-6</v>
      </c>
      <c r="I330">
        <v>363.38900000000001</v>
      </c>
      <c r="J330">
        <v>-406.06700000000001</v>
      </c>
      <c r="K330">
        <v>1.059655</v>
      </c>
      <c r="L330">
        <v>367.27199999999999</v>
      </c>
      <c r="M330">
        <v>0.99980869999999999</v>
      </c>
      <c r="N330">
        <v>0</v>
      </c>
      <c r="O330">
        <v>-1.4587839999999999E-2</v>
      </c>
      <c r="P330">
        <v>0.98637960000000002</v>
      </c>
      <c r="Q330">
        <v>0.16000590000000001</v>
      </c>
      <c r="R330">
        <v>-3.812575E-2</v>
      </c>
      <c r="S330">
        <v>3.0440670000000001</v>
      </c>
      <c r="T330">
        <v>-0.1171421</v>
      </c>
      <c r="U330">
        <v>-0.42980960000000001</v>
      </c>
      <c r="V330">
        <v>2.3794920000000001E-2</v>
      </c>
      <c r="W330">
        <v>0.17284959999999999</v>
      </c>
      <c r="X330">
        <v>0.98466070000000006</v>
      </c>
      <c r="Y330">
        <v>0.12526809999999999</v>
      </c>
      <c r="Z330">
        <v>-1.8392339999999999E-3</v>
      </c>
      <c r="AA330">
        <v>0.99212120000000004</v>
      </c>
      <c r="AB330">
        <v>34</v>
      </c>
      <c r="AC330">
        <v>27.194399999999899</v>
      </c>
      <c r="AD330">
        <v>-1.0596570266450001</v>
      </c>
      <c r="AE330">
        <v>-3.88299999999998</v>
      </c>
      <c r="AF330">
        <v>3.4806662424848902</v>
      </c>
      <c r="AG330">
        <v>-1.0596570266450001</v>
      </c>
      <c r="AH330">
        <v>27.2076698645416</v>
      </c>
      <c r="AI330">
        <v>92.212359153034399</v>
      </c>
      <c r="AJ330">
        <v>82.709772494160603</v>
      </c>
      <c r="AK330">
        <v>27.449867212130101</v>
      </c>
      <c r="AL330">
        <v>80.046457039983295</v>
      </c>
      <c r="AM330">
        <v>88.615682341110499</v>
      </c>
      <c r="AN330">
        <v>0.99999993828122602</v>
      </c>
    </row>
    <row r="331" spans="1:40" x14ac:dyDescent="0.25">
      <c r="A331" t="str">
        <f>"20190312172616911"</f>
        <v>20190312172616911</v>
      </c>
      <c r="B331" t="str">
        <f>"1552382776908647"</f>
        <v>1552382776908647</v>
      </c>
      <c r="C331" t="s">
        <v>40</v>
      </c>
      <c r="D331">
        <v>3.3602569999999998</v>
      </c>
      <c r="E331">
        <v>0.53978740000000003</v>
      </c>
      <c r="F331" t="s">
        <v>41</v>
      </c>
      <c r="G331">
        <v>-378.91289999999998</v>
      </c>
      <c r="H331" s="1">
        <v>-2.0037859999999998E-6</v>
      </c>
      <c r="I331">
        <v>363.42340000000002</v>
      </c>
      <c r="J331">
        <v>-405.73349999999999</v>
      </c>
      <c r="K331">
        <v>1.0596509999999999</v>
      </c>
      <c r="L331">
        <v>367.26690000000002</v>
      </c>
      <c r="M331">
        <v>0.99980630000000004</v>
      </c>
      <c r="N331">
        <v>0</v>
      </c>
      <c r="O331">
        <v>-1.4729570000000001E-2</v>
      </c>
      <c r="P331">
        <v>0.98638289999999995</v>
      </c>
      <c r="Q331">
        <v>0.15997649999999999</v>
      </c>
      <c r="R331">
        <v>-3.8164320000000002E-2</v>
      </c>
      <c r="S331">
        <v>3.0440369999999999</v>
      </c>
      <c r="T331">
        <v>-0.1187899</v>
      </c>
      <c r="U331">
        <v>-0.431427</v>
      </c>
      <c r="V331">
        <v>2.3692970000000001E-2</v>
      </c>
      <c r="W331">
        <v>0.17283979999999999</v>
      </c>
      <c r="X331">
        <v>0.98466500000000001</v>
      </c>
      <c r="Y331">
        <v>0.12564320000000001</v>
      </c>
      <c r="Z331">
        <v>-1.866819E-3</v>
      </c>
      <c r="AA331">
        <v>0.99207369999999995</v>
      </c>
      <c r="AB331">
        <v>34</v>
      </c>
      <c r="AC331">
        <v>26.820599999999999</v>
      </c>
      <c r="AD331">
        <v>-1.0596530037859999</v>
      </c>
      <c r="AE331">
        <v>-3.8435000000000001</v>
      </c>
      <c r="AF331">
        <v>3.4427275904507502</v>
      </c>
      <c r="AG331">
        <v>-1.0596530037859999</v>
      </c>
      <c r="AH331">
        <v>26.833265106874599</v>
      </c>
      <c r="AI331">
        <v>92.243083564687097</v>
      </c>
      <c r="AJ331">
        <v>82.688851342100506</v>
      </c>
      <c r="AK331">
        <v>27.0739608119369</v>
      </c>
      <c r="AL331">
        <v>80.047028320122905</v>
      </c>
      <c r="AM331">
        <v>88.621617212752099</v>
      </c>
      <c r="AN331">
        <v>1.00000005775822</v>
      </c>
    </row>
    <row r="332" spans="1:40" x14ac:dyDescent="0.25">
      <c r="A332" t="str">
        <f>"20190312172616933"</f>
        <v>20190312172616933</v>
      </c>
      <c r="B332" t="str">
        <f>"1552382776929143"</f>
        <v>1552382776929143</v>
      </c>
      <c r="C332" t="s">
        <v>40</v>
      </c>
      <c r="D332">
        <v>3.365872</v>
      </c>
      <c r="E332">
        <v>0.53987619999999903</v>
      </c>
      <c r="F332" t="s">
        <v>41</v>
      </c>
      <c r="G332">
        <v>-379.0016</v>
      </c>
      <c r="H332" s="1">
        <v>-1.9590659999999999E-6</v>
      </c>
      <c r="I332">
        <v>363.47789999999998</v>
      </c>
      <c r="J332">
        <v>-405.41039999999998</v>
      </c>
      <c r="K332">
        <v>1.0596540000000001</v>
      </c>
      <c r="L332">
        <v>367.26209999999998</v>
      </c>
      <c r="M332">
        <v>0.99980409999999997</v>
      </c>
      <c r="N332">
        <v>0</v>
      </c>
      <c r="O332">
        <v>-1.4868080000000001E-2</v>
      </c>
      <c r="P332">
        <v>0.98638550000000003</v>
      </c>
      <c r="Q332">
        <v>0.15992779999999901</v>
      </c>
      <c r="R332">
        <v>-3.8307040000000001E-2</v>
      </c>
      <c r="S332">
        <v>3.0442809999999998</v>
      </c>
      <c r="T332">
        <v>-0.12067559999999999</v>
      </c>
      <c r="U332">
        <v>-0.43148799999999998</v>
      </c>
      <c r="V332">
        <v>2.3698319999999998E-2</v>
      </c>
      <c r="W332">
        <v>0.1728102</v>
      </c>
      <c r="X332">
        <v>0.98467000000000005</v>
      </c>
      <c r="Y332">
        <v>0.12551180000000001</v>
      </c>
      <c r="Z332">
        <v>-1.8882269999999999E-3</v>
      </c>
      <c r="AA332">
        <v>0.99209029999999998</v>
      </c>
      <c r="AB332">
        <v>34</v>
      </c>
      <c r="AC332">
        <v>26.4087999999999</v>
      </c>
      <c r="AD332">
        <v>-1.059655959066</v>
      </c>
      <c r="AE332">
        <v>-3.78419999999999</v>
      </c>
      <c r="AF332">
        <v>3.3857584926017199</v>
      </c>
      <c r="AG332">
        <v>-1.059655959066</v>
      </c>
      <c r="AH332">
        <v>26.420467222904499</v>
      </c>
      <c r="AI332">
        <v>92.278143128767496</v>
      </c>
      <c r="AJ332">
        <v>82.697400045448404</v>
      </c>
      <c r="AK332">
        <v>26.657594032439999</v>
      </c>
      <c r="AL332">
        <v>80.048749526223901</v>
      </c>
      <c r="AM332">
        <v>88.621313084715098</v>
      </c>
      <c r="AN332">
        <v>0.99999999224743097</v>
      </c>
    </row>
    <row r="333" spans="1:40" x14ac:dyDescent="0.25">
      <c r="A333" t="str">
        <f>"20190312172616956"</f>
        <v>20190312172616956</v>
      </c>
      <c r="B333" t="str">
        <f>"1552382776948663"</f>
        <v>1552382776948663</v>
      </c>
      <c r="C333" t="s">
        <v>40</v>
      </c>
      <c r="D333">
        <v>3.347286</v>
      </c>
      <c r="E333">
        <v>0.5399311</v>
      </c>
      <c r="F333" t="s">
        <v>41</v>
      </c>
      <c r="G333">
        <v>-378.96929999999998</v>
      </c>
      <c r="H333" s="1">
        <v>-1.9630620000000001E-6</v>
      </c>
      <c r="I333">
        <v>363.5043</v>
      </c>
      <c r="J333">
        <v>-405.06229999999999</v>
      </c>
      <c r="K333">
        <v>1.0596620000000001</v>
      </c>
      <c r="L333">
        <v>367.25670000000002</v>
      </c>
      <c r="M333">
        <v>0.99980139999999995</v>
      </c>
      <c r="N333">
        <v>0</v>
      </c>
      <c r="O333">
        <v>-1.5017010000000001E-2</v>
      </c>
      <c r="P333">
        <v>0.98638119999999996</v>
      </c>
      <c r="Q333">
        <v>0.15997410000000001</v>
      </c>
      <c r="R333">
        <v>-3.8217050000000002E-2</v>
      </c>
      <c r="S333">
        <v>3.044403</v>
      </c>
      <c r="T333">
        <v>-0.1220074</v>
      </c>
      <c r="U333">
        <v>-0.43264770000000002</v>
      </c>
      <c r="V333">
        <v>2.346148E-2</v>
      </c>
      <c r="W333">
        <v>0.17288110000000001</v>
      </c>
      <c r="X333">
        <v>0.98466319999999996</v>
      </c>
      <c r="Y333">
        <v>0.12572700000000001</v>
      </c>
      <c r="Z333">
        <v>-1.9072799999999999E-3</v>
      </c>
      <c r="AA333">
        <v>0.99206300000000003</v>
      </c>
      <c r="AB333">
        <v>34</v>
      </c>
      <c r="AC333">
        <v>26.093</v>
      </c>
      <c r="AD333">
        <v>-1.0596639630619999</v>
      </c>
      <c r="AE333">
        <v>-3.7524000000000202</v>
      </c>
      <c r="AF333">
        <v>3.3546836933201201</v>
      </c>
      <c r="AG333">
        <v>-1.0596639630619999</v>
      </c>
      <c r="AH333">
        <v>26.1042316141457</v>
      </c>
      <c r="AI333">
        <v>92.305623853646495</v>
      </c>
      <c r="AJ333">
        <v>82.676993352669299</v>
      </c>
      <c r="AK333">
        <v>26.340229660384601</v>
      </c>
      <c r="AL333">
        <v>80.044624921710493</v>
      </c>
      <c r="AM333">
        <v>88.635076962000696</v>
      </c>
      <c r="AN333">
        <v>0.99999996660761903</v>
      </c>
    </row>
    <row r="334" spans="1:40" x14ac:dyDescent="0.25">
      <c r="A334" t="str">
        <f>"20190312172616978"</f>
        <v>20190312172616978</v>
      </c>
      <c r="B334" t="str">
        <f>"1552382776969011"</f>
        <v>1552382776969011</v>
      </c>
      <c r="C334" t="s">
        <v>40</v>
      </c>
      <c r="D334">
        <v>3.3257509999999999</v>
      </c>
      <c r="E334">
        <v>0.53996089999999997</v>
      </c>
      <c r="F334" t="s">
        <v>41</v>
      </c>
      <c r="G334">
        <v>-378.8338</v>
      </c>
      <c r="H334" s="1">
        <v>-2.001007E-6</v>
      </c>
      <c r="I334">
        <v>363.53500000000003</v>
      </c>
      <c r="J334">
        <v>-404.71589999999998</v>
      </c>
      <c r="K334">
        <v>1.0596749999999999</v>
      </c>
      <c r="L334">
        <v>367.25130000000001</v>
      </c>
      <c r="M334">
        <v>0.99979879999999999</v>
      </c>
      <c r="N334">
        <v>0</v>
      </c>
      <c r="O334">
        <v>-1.51649E-2</v>
      </c>
      <c r="P334">
        <v>0.98628229999999995</v>
      </c>
      <c r="Q334">
        <v>0.16060199999999999</v>
      </c>
      <c r="R334">
        <v>-3.8132699999999999E-2</v>
      </c>
      <c r="S334">
        <v>3.0446469999999999</v>
      </c>
      <c r="T334">
        <v>-0.1230069</v>
      </c>
      <c r="U334">
        <v>-0.43200680000000002</v>
      </c>
      <c r="V334">
        <v>2.3232969999999999E-2</v>
      </c>
      <c r="W334">
        <v>0.1735391</v>
      </c>
      <c r="X334">
        <v>0.98455289999999995</v>
      </c>
      <c r="Y334">
        <v>0.12536349999999999</v>
      </c>
      <c r="Z334">
        <v>-1.9095239999999999E-3</v>
      </c>
      <c r="AA334">
        <v>0.99210909999999997</v>
      </c>
      <c r="AB334">
        <v>34</v>
      </c>
      <c r="AC334">
        <v>25.882099999999902</v>
      </c>
      <c r="AD334">
        <v>-1.059677001007</v>
      </c>
      <c r="AE334">
        <v>-3.71629999999998</v>
      </c>
      <c r="AF334">
        <v>3.31788990027326</v>
      </c>
      <c r="AG334">
        <v>-1.059677001007</v>
      </c>
      <c r="AH334">
        <v>25.892958170786098</v>
      </c>
      <c r="AI334">
        <v>92.324553761891593</v>
      </c>
      <c r="AJ334">
        <v>82.697985222304297</v>
      </c>
      <c r="AK334">
        <v>26.1261667982671</v>
      </c>
      <c r="AL334">
        <v>80.006346054796595</v>
      </c>
      <c r="AM334">
        <v>88.6482147082735</v>
      </c>
      <c r="AN334">
        <v>1.0000000015111199</v>
      </c>
    </row>
    <row r="335" spans="1:40" x14ac:dyDescent="0.25">
      <c r="A335" t="str">
        <f>"20190312172617001"</f>
        <v>20190312172617001</v>
      </c>
      <c r="B335" t="str">
        <f>"1552382776999211"</f>
        <v>1552382776999211</v>
      </c>
      <c r="C335" t="s">
        <v>40</v>
      </c>
      <c r="D335">
        <v>3.3535020000000002</v>
      </c>
      <c r="E335">
        <v>0.54008459999999903</v>
      </c>
      <c r="F335" t="s">
        <v>41</v>
      </c>
      <c r="G335">
        <v>-378.26319999999998</v>
      </c>
      <c r="H335" s="1">
        <v>-2.2046879999999999E-6</v>
      </c>
      <c r="I335">
        <v>363.49919999999997</v>
      </c>
      <c r="J335">
        <v>-404.36610000000002</v>
      </c>
      <c r="K335">
        <v>1.059688</v>
      </c>
      <c r="L335">
        <v>367.24590000000001</v>
      </c>
      <c r="M335">
        <v>0.99979600000000002</v>
      </c>
      <c r="N335">
        <v>0</v>
      </c>
      <c r="O335">
        <v>-1.53145E-2</v>
      </c>
      <c r="P335">
        <v>0.98628199999999999</v>
      </c>
      <c r="Q335">
        <v>0.16058410000000001</v>
      </c>
      <c r="R335">
        <v>-3.8218009999999997E-2</v>
      </c>
      <c r="S335">
        <v>3.0449220000000001</v>
      </c>
      <c r="T335">
        <v>-0.12197719999999999</v>
      </c>
      <c r="U335">
        <v>-0.43188480000000001</v>
      </c>
      <c r="V335">
        <v>2.3170280000000001E-2</v>
      </c>
      <c r="W335">
        <v>0.173556399999999</v>
      </c>
      <c r="X335">
        <v>0.98455130000000002</v>
      </c>
      <c r="Y335">
        <v>0.12516530000000001</v>
      </c>
      <c r="Z335">
        <v>-1.8834819999999999E-3</v>
      </c>
      <c r="AA335">
        <v>0.99213410000000002</v>
      </c>
      <c r="AB335">
        <v>34</v>
      </c>
      <c r="AC335">
        <v>26.102900000000002</v>
      </c>
      <c r="AD335">
        <v>-1.0596902046879999</v>
      </c>
      <c r="AE335">
        <v>-3.7467000000000299</v>
      </c>
      <c r="AF335">
        <v>3.3410777700893601</v>
      </c>
      <c r="AG335">
        <v>-1.0596902046879999</v>
      </c>
      <c r="AH335">
        <v>26.115051030654001</v>
      </c>
      <c r="AI335">
        <v>92.304893461239701</v>
      </c>
      <c r="AJ335">
        <v>82.709362751480498</v>
      </c>
      <c r="AK335">
        <v>26.3492245489191</v>
      </c>
      <c r="AL335">
        <v>80.005339287946498</v>
      </c>
      <c r="AM335">
        <v>88.651858720275698</v>
      </c>
      <c r="AN335">
        <v>0.99999997409396302</v>
      </c>
    </row>
    <row r="336" spans="1:40" x14ac:dyDescent="0.25">
      <c r="A336" t="str">
        <f>"20190312172617023"</f>
        <v>20190312172617023</v>
      </c>
      <c r="B336" t="str">
        <f>"1552382777018732"</f>
        <v>1552382777018732</v>
      </c>
      <c r="C336" t="s">
        <v>40</v>
      </c>
      <c r="D336">
        <v>3.3281079999999998</v>
      </c>
      <c r="E336">
        <v>0.54023060000000001</v>
      </c>
      <c r="F336" t="s">
        <v>41</v>
      </c>
      <c r="G336">
        <v>-378.08069999999998</v>
      </c>
      <c r="H336" s="1">
        <v>-2.2647730000000002E-6</v>
      </c>
      <c r="I336">
        <v>363.50689999999997</v>
      </c>
      <c r="J336">
        <v>-404.03289999999998</v>
      </c>
      <c r="K336">
        <v>1.0596939999999999</v>
      </c>
      <c r="L336">
        <v>367.24059999999997</v>
      </c>
      <c r="M336">
        <v>0.99979340000000005</v>
      </c>
      <c r="N336">
        <v>0</v>
      </c>
      <c r="O336">
        <v>-1.5458039999999999E-2</v>
      </c>
      <c r="P336">
        <v>0.98627699999999996</v>
      </c>
      <c r="Q336">
        <v>0.16060539999999901</v>
      </c>
      <c r="R336">
        <v>-3.8258100000000003E-2</v>
      </c>
      <c r="S336">
        <v>3.0448909999999998</v>
      </c>
      <c r="T336">
        <v>-0.12275369999999999</v>
      </c>
      <c r="U336">
        <v>-0.43310549999999998</v>
      </c>
      <c r="V336">
        <v>2.3068769999999999E-2</v>
      </c>
      <c r="W336">
        <v>0.17361750000000001</v>
      </c>
      <c r="X336">
        <v>0.98454299999999995</v>
      </c>
      <c r="Y336">
        <v>0.125413</v>
      </c>
      <c r="Z336">
        <v>-1.894642E-3</v>
      </c>
      <c r="AA336">
        <v>0.99210279999999995</v>
      </c>
      <c r="AB336">
        <v>34</v>
      </c>
      <c r="AC336">
        <v>25.952200000000001</v>
      </c>
      <c r="AD336">
        <v>-1.0596962647729999</v>
      </c>
      <c r="AE336">
        <v>-3.73369999999999</v>
      </c>
      <c r="AF336">
        <v>3.3266147163456901</v>
      </c>
      <c r="AG336">
        <v>-1.0596962647729999</v>
      </c>
      <c r="AH336">
        <v>25.9644066709056</v>
      </c>
      <c r="AI336">
        <v>92.318211010509103</v>
      </c>
      <c r="AJ336">
        <v>82.698919867730098</v>
      </c>
      <c r="AK336">
        <v>26.198086483877901</v>
      </c>
      <c r="AL336">
        <v>80.001785434054199</v>
      </c>
      <c r="AM336">
        <v>88.657751508851803</v>
      </c>
      <c r="AN336">
        <v>1.00000006165227</v>
      </c>
    </row>
    <row r="337" spans="1:40" x14ac:dyDescent="0.25">
      <c r="A337" t="str">
        <f>"20190312172617045"</f>
        <v>20190312172617045</v>
      </c>
      <c r="B337" t="str">
        <f>"1552382777039227"</f>
        <v>1552382777039227</v>
      </c>
      <c r="C337" t="s">
        <v>40</v>
      </c>
      <c r="D337">
        <v>3.3365710000000002</v>
      </c>
      <c r="E337">
        <v>0.54014329999999999</v>
      </c>
      <c r="F337" t="s">
        <v>41</v>
      </c>
      <c r="G337">
        <v>-377.76220000000001</v>
      </c>
      <c r="H337" s="1">
        <v>-2.3767719999999999E-6</v>
      </c>
      <c r="I337">
        <v>363.4932</v>
      </c>
      <c r="J337">
        <v>-403.7081</v>
      </c>
      <c r="K337">
        <v>1.0597030000000001</v>
      </c>
      <c r="L337">
        <v>367.23540000000003</v>
      </c>
      <c r="M337">
        <v>0.99979059999999997</v>
      </c>
      <c r="N337">
        <v>0</v>
      </c>
      <c r="O337">
        <v>-1.5597939999999999E-2</v>
      </c>
      <c r="P337">
        <v>0.98626570000000002</v>
      </c>
      <c r="Q337">
        <v>0.160643799999999</v>
      </c>
      <c r="R337">
        <v>-3.8389550000000001E-2</v>
      </c>
      <c r="S337">
        <v>3.0448909999999998</v>
      </c>
      <c r="T337">
        <v>-0.1228235</v>
      </c>
      <c r="U337">
        <v>-0.4343262</v>
      </c>
      <c r="V337">
        <v>2.306223E-2</v>
      </c>
      <c r="W337">
        <v>0.17370099999999999</v>
      </c>
      <c r="X337">
        <v>0.98452839999999997</v>
      </c>
      <c r="Y337">
        <v>0.12566379999999999</v>
      </c>
      <c r="Z337">
        <v>-1.895086E-3</v>
      </c>
      <c r="AA337">
        <v>0.99207109999999998</v>
      </c>
      <c r="AB337">
        <v>34</v>
      </c>
      <c r="AC337">
        <v>25.945899999999899</v>
      </c>
      <c r="AD337">
        <v>-1.0597053767719999</v>
      </c>
      <c r="AE337">
        <v>-3.74220000000002</v>
      </c>
      <c r="AF337">
        <v>3.3315622993427501</v>
      </c>
      <c r="AG337">
        <v>-1.0597053767719999</v>
      </c>
      <c r="AH337">
        <v>25.958698400994098</v>
      </c>
      <c r="AI337">
        <v>92.318676216140105</v>
      </c>
      <c r="AJ337">
        <v>82.686588145677803</v>
      </c>
      <c r="AK337">
        <v>26.1930583459384</v>
      </c>
      <c r="AL337">
        <v>79.996927175361094</v>
      </c>
      <c r="AM337">
        <v>88.658112005494502</v>
      </c>
      <c r="AN337">
        <v>1.0000000371300599</v>
      </c>
    </row>
    <row r="338" spans="1:40" x14ac:dyDescent="0.25">
      <c r="A338" t="str">
        <f>"20190312172617070"</f>
        <v>20190312172617070</v>
      </c>
      <c r="B338" t="str">
        <f>"1552382777058747"</f>
        <v>1552382777058747</v>
      </c>
      <c r="C338" t="s">
        <v>40</v>
      </c>
      <c r="D338">
        <v>3.3284479999999999</v>
      </c>
      <c r="E338">
        <v>0.51672799999999997</v>
      </c>
      <c r="F338" t="s">
        <v>41</v>
      </c>
      <c r="G338">
        <v>-377.5256</v>
      </c>
      <c r="H338" s="1">
        <v>-2.454065E-6</v>
      </c>
      <c r="I338">
        <v>363.50540000000001</v>
      </c>
      <c r="J338">
        <v>-403.3381</v>
      </c>
      <c r="K338">
        <v>1.0597099999999999</v>
      </c>
      <c r="L338">
        <v>367.22949999999997</v>
      </c>
      <c r="M338">
        <v>0.99978719999999999</v>
      </c>
      <c r="N338">
        <v>0</v>
      </c>
      <c r="O338">
        <v>-1.5757009999999998E-2</v>
      </c>
      <c r="P338">
        <v>0.98638840000000005</v>
      </c>
      <c r="Q338">
        <v>0.1598648</v>
      </c>
      <c r="R338">
        <v>-3.8486699999999999E-2</v>
      </c>
      <c r="S338">
        <v>3.0449830000000002</v>
      </c>
      <c r="T338">
        <v>-0.1232417</v>
      </c>
      <c r="U338">
        <v>-0.43377690000000002</v>
      </c>
      <c r="V338">
        <v>2.3000260000000002E-2</v>
      </c>
      <c r="W338">
        <v>0.1729839</v>
      </c>
      <c r="X338">
        <v>0.98465599999999998</v>
      </c>
      <c r="Y338">
        <v>0.1253261</v>
      </c>
      <c r="Z338">
        <v>-1.8883039999999999E-3</v>
      </c>
      <c r="AA338">
        <v>0.99211380000000005</v>
      </c>
      <c r="AB338">
        <v>34</v>
      </c>
      <c r="AC338">
        <v>25.8125</v>
      </c>
      <c r="AD338">
        <v>-1.059712454065</v>
      </c>
      <c r="AE338">
        <v>-3.72409999999996</v>
      </c>
      <c r="AF338">
        <v>3.31140629233006</v>
      </c>
      <c r="AG338">
        <v>-1.059712454065</v>
      </c>
      <c r="AH338">
        <v>25.825340940364899</v>
      </c>
      <c r="AI338">
        <v>92.330686421318106</v>
      </c>
      <c r="AJ338">
        <v>82.693225189291397</v>
      </c>
      <c r="AK338">
        <v>26.0583314278615</v>
      </c>
      <c r="AL338">
        <v>80.038644549215604</v>
      </c>
      <c r="AM338">
        <v>88.661889812456593</v>
      </c>
      <c r="AN338">
        <v>0.99999993997763703</v>
      </c>
    </row>
    <row r="339" spans="1:40" x14ac:dyDescent="0.25">
      <c r="A339" t="str">
        <f>"20190312172617092"</f>
        <v>20190312172617092</v>
      </c>
      <c r="B339" t="str">
        <f>"1552382777088869"</f>
        <v>1552382777088869</v>
      </c>
      <c r="C339" t="s">
        <v>40</v>
      </c>
      <c r="D339">
        <v>3.319947</v>
      </c>
      <c r="E339">
        <v>0.51169399999999998</v>
      </c>
      <c r="F339" t="s">
        <v>41</v>
      </c>
      <c r="G339">
        <v>-374.8766</v>
      </c>
      <c r="H339" s="1">
        <v>-3.013224E-6</v>
      </c>
      <c r="I339">
        <v>364.92020000000002</v>
      </c>
      <c r="J339">
        <v>-402.9896</v>
      </c>
      <c r="K339">
        <v>1.0597160000000001</v>
      </c>
      <c r="L339">
        <v>367.22379999999998</v>
      </c>
      <c r="M339">
        <v>0.99978409999999995</v>
      </c>
      <c r="N339">
        <v>0</v>
      </c>
      <c r="O339">
        <v>-1.5907149999999998E-2</v>
      </c>
      <c r="P339">
        <v>0.98651120000000003</v>
      </c>
      <c r="Q339">
        <v>0.159053</v>
      </c>
      <c r="R339">
        <v>-3.8705419999999997E-2</v>
      </c>
      <c r="S339">
        <v>3.0501399999999999</v>
      </c>
      <c r="T339">
        <v>-0.1135665</v>
      </c>
      <c r="U339">
        <v>-0.24746699999999999</v>
      </c>
      <c r="V339">
        <v>2.3068539999999998E-2</v>
      </c>
      <c r="W339">
        <v>0.17223339999999901</v>
      </c>
      <c r="X339">
        <v>0.98478600000000005</v>
      </c>
      <c r="Y339">
        <v>6.496681E-2</v>
      </c>
      <c r="Z339">
        <v>-6.1602360000000004E-4</v>
      </c>
      <c r="AA339">
        <v>0.99788730000000003</v>
      </c>
      <c r="AB339">
        <v>34</v>
      </c>
      <c r="AC339">
        <v>28.113</v>
      </c>
      <c r="AD339">
        <v>-1.059719013224</v>
      </c>
      <c r="AE339">
        <v>-2.3035999999999599</v>
      </c>
      <c r="AF339">
        <v>1.8534547762997999</v>
      </c>
      <c r="AG339">
        <v>-1.059719013224</v>
      </c>
      <c r="AH339">
        <v>28.106418925003801</v>
      </c>
      <c r="AI339">
        <v>92.154571045040797</v>
      </c>
      <c r="AJ339">
        <v>86.227139350112495</v>
      </c>
      <c r="AK339">
        <v>28.1873922841861</v>
      </c>
      <c r="AL339">
        <v>80.082300725078397</v>
      </c>
      <c r="AM339">
        <v>88.658095967350803</v>
      </c>
      <c r="AN339">
        <v>0.99999998370464505</v>
      </c>
    </row>
    <row r="340" spans="1:40" x14ac:dyDescent="0.25">
      <c r="A340" t="str">
        <f>"20190312172617113"</f>
        <v>20190312172617113</v>
      </c>
      <c r="B340" t="str">
        <f>"1552382777109365"</f>
        <v>1552382777109365</v>
      </c>
      <c r="C340" t="s">
        <v>40</v>
      </c>
      <c r="D340">
        <v>3.3323309999999999</v>
      </c>
      <c r="E340">
        <v>0.51037829999999995</v>
      </c>
      <c r="F340" t="s">
        <v>41</v>
      </c>
      <c r="G340">
        <v>-371.8349</v>
      </c>
      <c r="H340" s="1">
        <v>-4.2870130000000004E-6</v>
      </c>
      <c r="I340">
        <v>365.09559999999999</v>
      </c>
      <c r="J340">
        <v>-402.6737</v>
      </c>
      <c r="K340">
        <v>1.05972</v>
      </c>
      <c r="L340">
        <v>367.21870000000001</v>
      </c>
      <c r="M340">
        <v>0.99978109999999998</v>
      </c>
      <c r="N340">
        <v>0</v>
      </c>
      <c r="O340">
        <v>-1.6042810000000001E-2</v>
      </c>
      <c r="P340">
        <v>0.98653500000000005</v>
      </c>
      <c r="Q340">
        <v>0.1589265</v>
      </c>
      <c r="R340">
        <v>-3.8617449999999998E-2</v>
      </c>
      <c r="S340">
        <v>3.0495610000000002</v>
      </c>
      <c r="T340">
        <v>-0.10373</v>
      </c>
      <c r="U340">
        <v>-0.208313</v>
      </c>
      <c r="V340">
        <v>2.2846579999999998E-2</v>
      </c>
      <c r="W340">
        <v>0.1721587</v>
      </c>
      <c r="X340">
        <v>0.98480429999999997</v>
      </c>
      <c r="Y340">
        <v>5.2113890000000003E-2</v>
      </c>
      <c r="Z340">
        <v>-3.401764E-4</v>
      </c>
      <c r="AA340">
        <v>0.99864109999999995</v>
      </c>
      <c r="AB340">
        <v>34</v>
      </c>
      <c r="AC340">
        <v>30.8387999999999</v>
      </c>
      <c r="AD340">
        <v>-1.0597242870129999</v>
      </c>
      <c r="AE340">
        <v>-2.12310000000002</v>
      </c>
      <c r="AF340">
        <v>1.62612994412348</v>
      </c>
      <c r="AG340">
        <v>-1.0597242870129999</v>
      </c>
      <c r="AH340">
        <v>30.832657405201498</v>
      </c>
      <c r="AI340">
        <v>91.965762030500898</v>
      </c>
      <c r="AJ340">
        <v>86.980988727748894</v>
      </c>
      <c r="AK340">
        <v>30.8936899192406</v>
      </c>
      <c r="AL340">
        <v>80.086646252211494</v>
      </c>
      <c r="AM340">
        <v>88.671027482432393</v>
      </c>
      <c r="AN340">
        <v>1.00000004675093</v>
      </c>
    </row>
    <row r="341" spans="1:40" x14ac:dyDescent="0.25">
      <c r="A341" t="str">
        <f>"20190312172617135"</f>
        <v>20190312172617135</v>
      </c>
      <c r="B341" t="str">
        <f>"1552382777128885"</f>
        <v>1552382777128885</v>
      </c>
      <c r="C341" t="s">
        <v>40</v>
      </c>
      <c r="D341">
        <v>3.339108</v>
      </c>
      <c r="E341">
        <v>0.50978800000000002</v>
      </c>
      <c r="F341" t="s">
        <v>41</v>
      </c>
      <c r="G341">
        <v>-370.25549999999998</v>
      </c>
      <c r="H341" s="1">
        <v>-4.9605360000000003E-6</v>
      </c>
      <c r="I341">
        <v>365.11840000000001</v>
      </c>
      <c r="J341">
        <v>-402.33920000000001</v>
      </c>
      <c r="K341">
        <v>1.0597299999999901</v>
      </c>
      <c r="L341">
        <v>367.2131</v>
      </c>
      <c r="M341">
        <v>0.99977819999999995</v>
      </c>
      <c r="N341">
        <v>0</v>
      </c>
      <c r="O341">
        <v>-1.618613E-2</v>
      </c>
      <c r="P341">
        <v>0.98658140000000005</v>
      </c>
      <c r="Q341">
        <v>0.158641</v>
      </c>
      <c r="R341">
        <v>-3.8609810000000001E-2</v>
      </c>
      <c r="S341">
        <v>3.0492859999999999</v>
      </c>
      <c r="T341">
        <v>-9.9678520000000007E-2</v>
      </c>
      <c r="U341">
        <v>-0.1975403</v>
      </c>
      <c r="V341">
        <v>2.2696890000000001E-2</v>
      </c>
      <c r="W341">
        <v>0.171929</v>
      </c>
      <c r="X341">
        <v>0.98484780000000005</v>
      </c>
      <c r="Y341">
        <v>4.8467589999999998E-2</v>
      </c>
      <c r="Z341">
        <v>-2.6276439999999999E-4</v>
      </c>
      <c r="AA341">
        <v>0.99882470000000001</v>
      </c>
      <c r="AB341">
        <v>34</v>
      </c>
      <c r="AC341">
        <v>32.0837</v>
      </c>
      <c r="AD341">
        <v>-1.05973496053599</v>
      </c>
      <c r="AE341">
        <v>-2.09469999999998</v>
      </c>
      <c r="AF341">
        <v>1.5733581961624601</v>
      </c>
      <c r="AG341">
        <v>-1.05973496053599</v>
      </c>
      <c r="AH341">
        <v>32.0785550829332</v>
      </c>
      <c r="AI341">
        <v>91.889843387964206</v>
      </c>
      <c r="AJ341">
        <v>87.192061732271497</v>
      </c>
      <c r="AK341">
        <v>32.134594915896997</v>
      </c>
      <c r="AL341">
        <v>80.100005427555104</v>
      </c>
      <c r="AM341">
        <v>88.679790066787703</v>
      </c>
      <c r="AN341">
        <v>0.99999995951075504</v>
      </c>
    </row>
    <row r="342" spans="1:40" x14ac:dyDescent="0.25">
      <c r="A342" t="str">
        <f>"20190312172617157"</f>
        <v>20190312172617157</v>
      </c>
      <c r="B342" t="str">
        <f>"1552382777148405"</f>
        <v>1552382777148405</v>
      </c>
      <c r="C342" t="s">
        <v>40</v>
      </c>
      <c r="D342">
        <v>3.3362349999999998</v>
      </c>
      <c r="E342">
        <v>0.5093491</v>
      </c>
      <c r="F342" t="s">
        <v>41</v>
      </c>
      <c r="G342">
        <v>-369.31560000000002</v>
      </c>
      <c r="H342" s="1">
        <v>-1.413527E-6</v>
      </c>
      <c r="I342">
        <v>365.12670000000003</v>
      </c>
      <c r="J342">
        <v>-402.01069999999999</v>
      </c>
      <c r="K342">
        <v>1.059736</v>
      </c>
      <c r="L342">
        <v>367.20760000000001</v>
      </c>
      <c r="M342">
        <v>0.99977510000000003</v>
      </c>
      <c r="N342">
        <v>0</v>
      </c>
      <c r="O342">
        <v>-1.6327060000000001E-2</v>
      </c>
      <c r="P342">
        <v>0.98660309999999996</v>
      </c>
      <c r="Q342">
        <v>0.15849250000000001</v>
      </c>
      <c r="R342">
        <v>-3.8654529999999999E-2</v>
      </c>
      <c r="S342">
        <v>3.049042</v>
      </c>
      <c r="T342">
        <v>-9.7843769999999997E-2</v>
      </c>
      <c r="U342">
        <v>-0.19262699999999999</v>
      </c>
      <c r="V342">
        <v>2.260268E-2</v>
      </c>
      <c r="W342">
        <v>0.17183499999999999</v>
      </c>
      <c r="X342">
        <v>0.98486640000000003</v>
      </c>
      <c r="Y342">
        <v>4.6730479999999998E-2</v>
      </c>
      <c r="Z342">
        <v>-2.2560939999999999E-4</v>
      </c>
      <c r="AA342">
        <v>0.99890749999999995</v>
      </c>
      <c r="AB342">
        <v>34</v>
      </c>
      <c r="AC342">
        <v>32.695099999999897</v>
      </c>
      <c r="AD342">
        <v>-1.0597374135269999</v>
      </c>
      <c r="AE342">
        <v>-2.0808999999999802</v>
      </c>
      <c r="AF342">
        <v>1.5451420636512501</v>
      </c>
      <c r="AG342">
        <v>-1.0597374135269999</v>
      </c>
      <c r="AH342">
        <v>32.690513584488102</v>
      </c>
      <c r="AI342">
        <v>91.854653811306207</v>
      </c>
      <c r="AJ342">
        <v>87.293885272761699</v>
      </c>
      <c r="AK342">
        <v>32.744162621757397</v>
      </c>
      <c r="AL342">
        <v>80.105472871756703</v>
      </c>
      <c r="AM342">
        <v>88.685292873251996</v>
      </c>
      <c r="AN342">
        <v>0.99999998710857096</v>
      </c>
    </row>
    <row r="343" spans="1:40" x14ac:dyDescent="0.25">
      <c r="A343" t="str">
        <f>"20190312172617179"</f>
        <v>20190312172617179</v>
      </c>
      <c r="B343" t="str">
        <f>"1552382777168904"</f>
        <v>1552382777168904</v>
      </c>
      <c r="C343" t="s">
        <v>40</v>
      </c>
      <c r="D343">
        <v>3.3316780000000001</v>
      </c>
      <c r="E343">
        <v>0.509154</v>
      </c>
      <c r="F343" t="s">
        <v>41</v>
      </c>
      <c r="G343">
        <v>-368.88459999999998</v>
      </c>
      <c r="H343" s="1">
        <v>-1.5529650000000001E-6</v>
      </c>
      <c r="I343">
        <v>365.15379999999999</v>
      </c>
      <c r="J343">
        <v>-401.6653</v>
      </c>
      <c r="K343">
        <v>1.0597460000000001</v>
      </c>
      <c r="L343">
        <v>367.20190000000002</v>
      </c>
      <c r="M343">
        <v>0.99977169999999904</v>
      </c>
      <c r="N343">
        <v>0</v>
      </c>
      <c r="O343">
        <v>-1.6475630000000002E-2</v>
      </c>
      <c r="P343">
        <v>0.98664359999999995</v>
      </c>
      <c r="Q343">
        <v>0.1582867</v>
      </c>
      <c r="R343">
        <v>-3.846571E-2</v>
      </c>
      <c r="S343">
        <v>3.0489809999999999</v>
      </c>
      <c r="T343">
        <v>-9.7539780000000006E-2</v>
      </c>
      <c r="U343">
        <v>-0.1890259</v>
      </c>
      <c r="V343">
        <v>2.2266230000000001E-2</v>
      </c>
      <c r="W343">
        <v>0.17168810000000001</v>
      </c>
      <c r="X343">
        <v>0.98489970000000004</v>
      </c>
      <c r="Y343">
        <v>4.5408900000000002E-2</v>
      </c>
      <c r="Z343">
        <v>-1.9906000000000001E-4</v>
      </c>
      <c r="AA343">
        <v>0.99896850000000004</v>
      </c>
      <c r="AB343">
        <v>34</v>
      </c>
      <c r="AC343">
        <v>32.780700000000003</v>
      </c>
      <c r="AD343">
        <v>-1.05974755296499</v>
      </c>
      <c r="AE343">
        <v>-2.04810000000003</v>
      </c>
      <c r="AF343">
        <v>1.5061213137476801</v>
      </c>
      <c r="AG343">
        <v>-1.05974755296499</v>
      </c>
      <c r="AH343">
        <v>32.775874932831599</v>
      </c>
      <c r="AI343">
        <v>91.849957545482894</v>
      </c>
      <c r="AJ343">
        <v>87.3689876463568</v>
      </c>
      <c r="AK343">
        <v>32.8275713981458</v>
      </c>
      <c r="AL343">
        <v>80.114016761324294</v>
      </c>
      <c r="AM343">
        <v>88.704899877216505</v>
      </c>
      <c r="AN343">
        <v>1.0000000038700501</v>
      </c>
    </row>
    <row r="344" spans="1:40" x14ac:dyDescent="0.25">
      <c r="A344" t="str">
        <f>"20190312172617200"</f>
        <v>20190312172617200</v>
      </c>
      <c r="B344" t="str">
        <f>"1552382777189102"</f>
        <v>1552382777189102</v>
      </c>
      <c r="C344" t="s">
        <v>40</v>
      </c>
      <c r="D344">
        <v>3.3466309999999999</v>
      </c>
      <c r="E344">
        <v>0.50901909999999995</v>
      </c>
      <c r="F344" t="s">
        <v>41</v>
      </c>
      <c r="G344">
        <v>-368.55349999999999</v>
      </c>
      <c r="H344" s="1">
        <v>-1.6608770000000001E-6</v>
      </c>
      <c r="I344">
        <v>365.17180000000002</v>
      </c>
      <c r="J344">
        <v>-401.34</v>
      </c>
      <c r="K344">
        <v>1.059747</v>
      </c>
      <c r="L344">
        <v>367.19639999999998</v>
      </c>
      <c r="M344">
        <v>0.99976880000000001</v>
      </c>
      <c r="N344">
        <v>0</v>
      </c>
      <c r="O344">
        <v>-1.6616059999999998E-2</v>
      </c>
      <c r="P344">
        <v>0.98667059999999995</v>
      </c>
      <c r="Q344">
        <v>0.15802089999999999</v>
      </c>
      <c r="R344">
        <v>-3.886672E-2</v>
      </c>
      <c r="S344">
        <v>3.04895</v>
      </c>
      <c r="T344">
        <v>-9.758174E-2</v>
      </c>
      <c r="U344">
        <v>-0.18692020000000001</v>
      </c>
      <c r="V344">
        <v>2.2527990000000001E-2</v>
      </c>
      <c r="W344">
        <v>0.17147519999999999</v>
      </c>
      <c r="X344">
        <v>0.9849308</v>
      </c>
      <c r="Y344">
        <v>4.4582339999999998E-2</v>
      </c>
      <c r="Z344">
        <v>-1.8145189999999999E-4</v>
      </c>
      <c r="AA344">
        <v>0.9990057</v>
      </c>
      <c r="AB344">
        <v>34</v>
      </c>
      <c r="AC344">
        <v>32.786499999999897</v>
      </c>
      <c r="AD344">
        <v>-1.0597486608769999</v>
      </c>
      <c r="AE344">
        <v>-2.02459999999996</v>
      </c>
      <c r="AF344">
        <v>1.47794901400588</v>
      </c>
      <c r="AG344">
        <v>-1.0597486608769999</v>
      </c>
      <c r="AH344">
        <v>32.781498157376198</v>
      </c>
      <c r="AI344">
        <v>91.849715181557698</v>
      </c>
      <c r="AJ344">
        <v>87.418576314664705</v>
      </c>
      <c r="AK344">
        <v>32.831905548631902</v>
      </c>
      <c r="AL344">
        <v>80.126398296463606</v>
      </c>
      <c r="AM344">
        <v>88.689721422068303</v>
      </c>
      <c r="AN344">
        <v>0.99999996766855903</v>
      </c>
    </row>
    <row r="345" spans="1:40" x14ac:dyDescent="0.25">
      <c r="A345" t="str">
        <f>"20190312172617223"</f>
        <v>20190312172617223</v>
      </c>
      <c r="B345" t="str">
        <f>"1552382777219341"</f>
        <v>1552382777219341</v>
      </c>
      <c r="C345" t="s">
        <v>40</v>
      </c>
      <c r="D345">
        <v>3.3423929999999999</v>
      </c>
      <c r="E345">
        <v>0.50888279999999997</v>
      </c>
      <c r="F345" t="s">
        <v>41</v>
      </c>
      <c r="G345">
        <v>-368.44979999999998</v>
      </c>
      <c r="H345" s="1">
        <v>-1.6946329999999999E-6</v>
      </c>
      <c r="I345">
        <v>365.17759999999998</v>
      </c>
      <c r="J345">
        <v>-401.0129</v>
      </c>
      <c r="K345">
        <v>1.0599419999999999</v>
      </c>
      <c r="L345">
        <v>367.19080000000002</v>
      </c>
      <c r="M345">
        <v>0.99975650000000005</v>
      </c>
      <c r="N345">
        <v>0</v>
      </c>
      <c r="O345">
        <v>-1.6743460000000002E-2</v>
      </c>
      <c r="P345">
        <v>0.98683609999999999</v>
      </c>
      <c r="Q345">
        <v>0.15695809999999999</v>
      </c>
      <c r="R345">
        <v>-3.8972109999999997E-2</v>
      </c>
      <c r="S345">
        <v>3.0488590000000002</v>
      </c>
      <c r="T345">
        <v>-9.8236439999999994E-2</v>
      </c>
      <c r="U345">
        <v>-0.18713379999999999</v>
      </c>
      <c r="V345">
        <v>2.2502399999999999E-2</v>
      </c>
      <c r="W345">
        <v>0.1711365</v>
      </c>
      <c r="X345">
        <v>0.98499029999999999</v>
      </c>
      <c r="Y345">
        <v>4.4526349999999999E-2</v>
      </c>
      <c r="Z345">
        <v>-1.7766829999999999E-4</v>
      </c>
      <c r="AA345">
        <v>0.99900820000000001</v>
      </c>
      <c r="AB345">
        <v>34</v>
      </c>
      <c r="AC345">
        <v>32.563099999999999</v>
      </c>
      <c r="AD345">
        <v>-1.0599436946330001</v>
      </c>
      <c r="AE345">
        <v>-2.0132000000000398</v>
      </c>
      <c r="AF345">
        <v>1.4660949769351601</v>
      </c>
      <c r="AG345">
        <v>-1.0599436946330001</v>
      </c>
      <c r="AH345">
        <v>32.557880959770699</v>
      </c>
      <c r="AI345">
        <v>91.862757727123096</v>
      </c>
      <c r="AJ345">
        <v>87.421688892030801</v>
      </c>
      <c r="AK345">
        <v>32.6081052455948</v>
      </c>
      <c r="AL345">
        <v>80.146095621079397</v>
      </c>
      <c r="AM345">
        <v>88.691288308265996</v>
      </c>
      <c r="AN345">
        <v>0.99999997536604901</v>
      </c>
    </row>
    <row r="346" spans="1:40" x14ac:dyDescent="0.25">
      <c r="A346" t="str">
        <f>"20190312172617245"</f>
        <v>20190312172617245</v>
      </c>
      <c r="B346" t="str">
        <f>"1552382777238860"</f>
        <v>1552382777238860</v>
      </c>
      <c r="C346" t="s">
        <v>40</v>
      </c>
      <c r="D346">
        <v>3.32185</v>
      </c>
      <c r="E346">
        <v>0.50878630000000002</v>
      </c>
      <c r="F346" t="s">
        <v>41</v>
      </c>
      <c r="G346">
        <v>-368.95659999999998</v>
      </c>
      <c r="H346" s="1">
        <v>-1.5067530000000001E-6</v>
      </c>
      <c r="I346">
        <v>365.23559999999998</v>
      </c>
      <c r="J346">
        <v>-400.67950000000002</v>
      </c>
      <c r="K346">
        <v>1.0605450000000001</v>
      </c>
      <c r="L346">
        <v>367.18509999999998</v>
      </c>
      <c r="M346">
        <v>0.99973509999999999</v>
      </c>
      <c r="N346">
        <v>0</v>
      </c>
      <c r="O346">
        <v>-1.6865499999999999E-2</v>
      </c>
      <c r="P346">
        <v>0.98697489999999999</v>
      </c>
      <c r="Q346">
        <v>0.15598699999999999</v>
      </c>
      <c r="R346">
        <v>-3.9354449999999999E-2</v>
      </c>
      <c r="S346">
        <v>3.0487060000000001</v>
      </c>
      <c r="T346">
        <v>-0.1008052</v>
      </c>
      <c r="U346">
        <v>-0.18594359999999999</v>
      </c>
      <c r="V346">
        <v>2.2757590000000001E-2</v>
      </c>
      <c r="W346">
        <v>0.171431</v>
      </c>
      <c r="X346">
        <v>0.98493330000000001</v>
      </c>
      <c r="Y346">
        <v>4.4018149999999999E-2</v>
      </c>
      <c r="Z346">
        <v>-1.6989079999999999E-4</v>
      </c>
      <c r="AA346">
        <v>0.99903070000000005</v>
      </c>
      <c r="AB346">
        <v>34</v>
      </c>
      <c r="AC346">
        <v>31.722899999999999</v>
      </c>
      <c r="AD346">
        <v>-1.060546506753</v>
      </c>
      <c r="AE346">
        <v>-1.9495</v>
      </c>
      <c r="AF346">
        <v>1.41256161289287</v>
      </c>
      <c r="AG346">
        <v>-1.060546506753</v>
      </c>
      <c r="AH346">
        <v>31.715955576537802</v>
      </c>
      <c r="AI346">
        <v>91.913298654067106</v>
      </c>
      <c r="AJ346">
        <v>87.449852391880299</v>
      </c>
      <c r="AK346">
        <v>31.765105498583299</v>
      </c>
      <c r="AL346">
        <v>80.128969660170995</v>
      </c>
      <c r="AM346">
        <v>88.6763754548452</v>
      </c>
      <c r="AN346">
        <v>1.0000000505562401</v>
      </c>
    </row>
    <row r="347" spans="1:40" x14ac:dyDescent="0.25">
      <c r="A347" t="str">
        <f>"20190312172617271"</f>
        <v>20190312172617271</v>
      </c>
      <c r="B347" t="str">
        <f>"1552382777258380"</f>
        <v>1552382777258380</v>
      </c>
      <c r="C347" t="s">
        <v>40</v>
      </c>
      <c r="D347">
        <v>3.3428</v>
      </c>
      <c r="E347">
        <v>0.50876369999999904</v>
      </c>
      <c r="F347" t="s">
        <v>41</v>
      </c>
      <c r="G347">
        <v>-369.52730000000003</v>
      </c>
      <c r="H347" s="1">
        <v>-1.3017179999999901E-6</v>
      </c>
      <c r="I347">
        <v>365.27620000000002</v>
      </c>
      <c r="J347">
        <v>-400.31720000000001</v>
      </c>
      <c r="K347">
        <v>1.0613250000000001</v>
      </c>
      <c r="L347">
        <v>367.17880000000002</v>
      </c>
      <c r="M347">
        <v>0.99973299999999998</v>
      </c>
      <c r="N347">
        <v>0</v>
      </c>
      <c r="O347">
        <v>-1.701012E-2</v>
      </c>
      <c r="P347">
        <v>0.98698540000000001</v>
      </c>
      <c r="Q347">
        <v>0.15590290000000001</v>
      </c>
      <c r="R347">
        <v>-3.9424550000000003E-2</v>
      </c>
      <c r="S347">
        <v>3.048584</v>
      </c>
      <c r="T347">
        <v>-0.1037859</v>
      </c>
      <c r="U347">
        <v>-0.18679809999999999</v>
      </c>
      <c r="V347">
        <v>2.268645E-2</v>
      </c>
      <c r="W347">
        <v>0.171325799999999</v>
      </c>
      <c r="X347">
        <v>0.98495319999999997</v>
      </c>
      <c r="Y347">
        <v>4.4154150000000003E-2</v>
      </c>
      <c r="Z347">
        <v>-1.7231310000000001E-4</v>
      </c>
      <c r="AA347">
        <v>0.99902469999999999</v>
      </c>
      <c r="AB347">
        <v>33</v>
      </c>
      <c r="AC347">
        <v>30.7898999999999</v>
      </c>
      <c r="AD347">
        <v>-1.0613263017179999</v>
      </c>
      <c r="AE347">
        <v>-1.9026000000000001</v>
      </c>
      <c r="AF347">
        <v>1.37689093707142</v>
      </c>
      <c r="AG347">
        <v>-1.0613263017179999</v>
      </c>
      <c r="AH347">
        <v>30.7813769451765</v>
      </c>
      <c r="AI347">
        <v>91.972776078434705</v>
      </c>
      <c r="AJ347">
        <v>87.438792747152107</v>
      </c>
      <c r="AK347">
        <v>30.830429916112902</v>
      </c>
      <c r="AL347">
        <v>80.135087241235993</v>
      </c>
      <c r="AM347">
        <v>88.680538276456303</v>
      </c>
      <c r="AN347">
        <v>1.00000000547474</v>
      </c>
    </row>
    <row r="348" spans="1:40" x14ac:dyDescent="0.25">
      <c r="A348" t="str">
        <f>"20190312172617292"</f>
        <v>20190312172617292</v>
      </c>
      <c r="B348" t="str">
        <f>"1552382777288636"</f>
        <v>1552382777288636</v>
      </c>
      <c r="C348" t="s">
        <v>40</v>
      </c>
      <c r="D348">
        <v>3.3323680000000002</v>
      </c>
      <c r="E348">
        <v>0.5088165</v>
      </c>
      <c r="F348" t="s">
        <v>41</v>
      </c>
      <c r="G348">
        <v>-369.21359999999999</v>
      </c>
      <c r="H348" s="1">
        <v>-1.4105859999999999E-6</v>
      </c>
      <c r="I348">
        <v>365.26819999999998</v>
      </c>
      <c r="J348">
        <v>-399.98410000000001</v>
      </c>
      <c r="K348">
        <v>1.062044</v>
      </c>
      <c r="L348">
        <v>367.173</v>
      </c>
      <c r="M348">
        <v>0.99975780000000003</v>
      </c>
      <c r="N348">
        <v>0</v>
      </c>
      <c r="O348">
        <v>-1.7141360000000001E-2</v>
      </c>
      <c r="P348">
        <v>0.98675619999999997</v>
      </c>
      <c r="Q348">
        <v>0.1573099</v>
      </c>
      <c r="R348">
        <v>-3.9571679999999998E-2</v>
      </c>
      <c r="S348">
        <v>3.0485229999999999</v>
      </c>
      <c r="T348">
        <v>-0.1040224</v>
      </c>
      <c r="U348">
        <v>-0.1872559</v>
      </c>
      <c r="V348">
        <v>2.2712389999999999E-2</v>
      </c>
      <c r="W348">
        <v>0.17091429999999999</v>
      </c>
      <c r="X348">
        <v>0.98502409999999996</v>
      </c>
      <c r="Y348">
        <v>4.4174129999999999E-2</v>
      </c>
      <c r="Z348">
        <v>-1.6859319999999999E-4</v>
      </c>
      <c r="AA348">
        <v>0.99902389999999996</v>
      </c>
      <c r="AB348">
        <v>33</v>
      </c>
      <c r="AC348">
        <v>30.770499999999998</v>
      </c>
      <c r="AD348">
        <v>-1.062045410586</v>
      </c>
      <c r="AE348">
        <v>-1.90480000000002</v>
      </c>
      <c r="AF348">
        <v>1.3753893862941899</v>
      </c>
      <c r="AG348">
        <v>-1.062045410586</v>
      </c>
      <c r="AH348">
        <v>30.762125508377999</v>
      </c>
      <c r="AI348">
        <v>91.975347975650394</v>
      </c>
      <c r="AJ348">
        <v>87.439983155691294</v>
      </c>
      <c r="AK348">
        <v>30.811166842741901</v>
      </c>
      <c r="AL348">
        <v>80.159017505905695</v>
      </c>
      <c r="AM348">
        <v>88.679125166974003</v>
      </c>
      <c r="AN348">
        <v>1.0000000140923999</v>
      </c>
    </row>
    <row r="349" spans="1:40" x14ac:dyDescent="0.25">
      <c r="A349" t="str">
        <f>"20190312172617313"</f>
        <v>20190312172617313</v>
      </c>
      <c r="B349" t="str">
        <f>"1552382777309132"</f>
        <v>1552382777309132</v>
      </c>
      <c r="C349" t="s">
        <v>40</v>
      </c>
      <c r="D349">
        <v>3.3148230000000001</v>
      </c>
      <c r="E349">
        <v>0.50869560000000003</v>
      </c>
      <c r="F349" t="s">
        <v>41</v>
      </c>
      <c r="G349">
        <v>-367.35410000000002</v>
      </c>
      <c r="H349" s="1">
        <v>-2.073471E-6</v>
      </c>
      <c r="I349">
        <v>365.15519999999998</v>
      </c>
      <c r="J349">
        <v>-399.68279999999999</v>
      </c>
      <c r="K349">
        <v>1.062975</v>
      </c>
      <c r="L349">
        <v>367.16770000000002</v>
      </c>
      <c r="M349">
        <v>0.99978049999999996</v>
      </c>
      <c r="N349">
        <v>0</v>
      </c>
      <c r="O349">
        <v>-1.7255900000000001E-2</v>
      </c>
      <c r="P349">
        <v>0.98638429999999999</v>
      </c>
      <c r="Q349">
        <v>0.15962799999999999</v>
      </c>
      <c r="R349">
        <v>-3.9562460000000001E-2</v>
      </c>
      <c r="S349">
        <v>3.048492</v>
      </c>
      <c r="T349">
        <v>-9.9222420000000006E-2</v>
      </c>
      <c r="U349">
        <v>-0.18850710000000001</v>
      </c>
      <c r="V349">
        <v>2.2598409999999999E-2</v>
      </c>
      <c r="W349">
        <v>0.17133519999999999</v>
      </c>
      <c r="X349">
        <v>0.98495359999999998</v>
      </c>
      <c r="Y349">
        <v>4.4470519999999999E-2</v>
      </c>
      <c r="Z349">
        <v>-1.619271E-4</v>
      </c>
      <c r="AA349">
        <v>0.99901070000000003</v>
      </c>
      <c r="AB349">
        <v>33</v>
      </c>
      <c r="AC349">
        <v>32.328699999999898</v>
      </c>
      <c r="AD349">
        <v>-1.062977073471</v>
      </c>
      <c r="AE349">
        <v>-2.0125000000000401</v>
      </c>
      <c r="AF349">
        <v>1.45273559941167</v>
      </c>
      <c r="AG349">
        <v>-1.062977073471</v>
      </c>
      <c r="AH349">
        <v>32.323804912718302</v>
      </c>
      <c r="AI349">
        <v>91.881610446020204</v>
      </c>
      <c r="AJ349">
        <v>87.426675346111395</v>
      </c>
      <c r="AK349">
        <v>32.373889556492799</v>
      </c>
      <c r="AL349">
        <v>80.134540687821399</v>
      </c>
      <c r="AM349">
        <v>88.685657485822901</v>
      </c>
      <c r="AN349">
        <v>1.0000000165232601</v>
      </c>
    </row>
    <row r="350" spans="1:40" x14ac:dyDescent="0.25">
      <c r="A350" t="str">
        <f>"20190312172617336"</f>
        <v>20190312172617336</v>
      </c>
      <c r="B350" t="str">
        <f>"1552382777328653"</f>
        <v>1552382777328653</v>
      </c>
      <c r="C350" t="s">
        <v>40</v>
      </c>
      <c r="D350">
        <v>3.3438430000000001</v>
      </c>
      <c r="E350">
        <v>0.50871029999999995</v>
      </c>
      <c r="F350" t="s">
        <v>41</v>
      </c>
      <c r="G350">
        <v>-364.30329999999998</v>
      </c>
      <c r="H350" s="1">
        <v>-3.2465429999999999E-6</v>
      </c>
      <c r="I350">
        <v>364.9914</v>
      </c>
      <c r="J350">
        <v>-399.33019999999999</v>
      </c>
      <c r="K350">
        <v>1.0644400000000001</v>
      </c>
      <c r="L350">
        <v>367.16140000000001</v>
      </c>
      <c r="M350">
        <v>0.99980029999999998</v>
      </c>
      <c r="N350">
        <v>0</v>
      </c>
      <c r="O350">
        <v>-1.740475E-2</v>
      </c>
      <c r="P350">
        <v>0.98608549999999995</v>
      </c>
      <c r="Q350">
        <v>0.16149579999999999</v>
      </c>
      <c r="R350">
        <v>-3.943203E-2</v>
      </c>
      <c r="S350">
        <v>3.0487060000000001</v>
      </c>
      <c r="T350">
        <v>-9.1598390000000002E-2</v>
      </c>
      <c r="U350">
        <v>-0.18753049999999999</v>
      </c>
      <c r="V350">
        <v>2.2323519999999999E-2</v>
      </c>
      <c r="W350">
        <v>0.1711905</v>
      </c>
      <c r="X350">
        <v>0.984985</v>
      </c>
      <c r="Y350">
        <v>4.4001480000000003E-2</v>
      </c>
      <c r="Z350">
        <v>-1.379896E-4</v>
      </c>
      <c r="AA350">
        <v>0.99903149999999996</v>
      </c>
      <c r="AB350">
        <v>33</v>
      </c>
      <c r="AC350">
        <v>35.026899999999998</v>
      </c>
      <c r="AD350">
        <v>-1.064443246543</v>
      </c>
      <c r="AE350">
        <v>-2.1700000000000101</v>
      </c>
      <c r="AF350">
        <v>1.5585735794811699</v>
      </c>
      <c r="AG350">
        <v>-1.064443246543</v>
      </c>
      <c r="AH350">
        <v>35.027139712561699</v>
      </c>
      <c r="AI350">
        <v>91.738911939519497</v>
      </c>
      <c r="AJ350">
        <v>87.452237787068896</v>
      </c>
      <c r="AK350">
        <v>35.0779518710983</v>
      </c>
      <c r="AL350">
        <v>80.142955437198594</v>
      </c>
      <c r="AM350">
        <v>88.701681188674399</v>
      </c>
      <c r="AN350">
        <v>0.99999998853021999</v>
      </c>
    </row>
    <row r="351" spans="1:40" x14ac:dyDescent="0.25">
      <c r="A351" t="str">
        <f>"20190312172617357"</f>
        <v>20190312172617357</v>
      </c>
      <c r="B351" t="str">
        <f>"1552382777349149"</f>
        <v>1552382777349149</v>
      </c>
      <c r="C351" t="s">
        <v>40</v>
      </c>
      <c r="D351">
        <v>3.3226879999999999</v>
      </c>
      <c r="E351">
        <v>0.50864819999999999</v>
      </c>
      <c r="F351" t="s">
        <v>41</v>
      </c>
      <c r="G351">
        <v>-361.18700000000001</v>
      </c>
      <c r="H351" s="1">
        <v>-4.6137660000000001E-6</v>
      </c>
      <c r="I351">
        <v>364.82049999999998</v>
      </c>
      <c r="J351">
        <v>-399.01029999999997</v>
      </c>
      <c r="K351">
        <v>1.065949</v>
      </c>
      <c r="L351">
        <v>367.15570000000002</v>
      </c>
      <c r="M351">
        <v>0.99981299999999995</v>
      </c>
      <c r="N351">
        <v>0</v>
      </c>
      <c r="O351">
        <v>-1.7556579999999999E-2</v>
      </c>
      <c r="P351">
        <v>0.98585769999999995</v>
      </c>
      <c r="Q351">
        <v>0.16286919999999999</v>
      </c>
      <c r="R351">
        <v>-3.9476980000000002E-2</v>
      </c>
      <c r="S351">
        <v>3.0487980000000001</v>
      </c>
      <c r="T351">
        <v>-8.5081219999999999E-2</v>
      </c>
      <c r="U351">
        <v>-0.1871033</v>
      </c>
      <c r="V351">
        <v>2.221936E-2</v>
      </c>
      <c r="W351">
        <v>0.17085839999999999</v>
      </c>
      <c r="X351">
        <v>0.98504499999999995</v>
      </c>
      <c r="Y351">
        <v>4.3710520000000003E-2</v>
      </c>
      <c r="Z351">
        <v>-1.1989369999999999E-4</v>
      </c>
      <c r="AA351">
        <v>0.99904420000000005</v>
      </c>
      <c r="AB351">
        <v>33</v>
      </c>
      <c r="AC351">
        <v>37.823300000000003</v>
      </c>
      <c r="AD351">
        <v>-1.065953613766</v>
      </c>
      <c r="AE351">
        <v>-2.3352000000000399</v>
      </c>
      <c r="AF351">
        <v>1.6694495104709499</v>
      </c>
      <c r="AG351">
        <v>-1.065953613766</v>
      </c>
      <c r="AH351">
        <v>37.828538173515398</v>
      </c>
      <c r="AI351">
        <v>91.612516557122902</v>
      </c>
      <c r="AJ351">
        <v>87.473061622346506</v>
      </c>
      <c r="AK351">
        <v>37.880359279180801</v>
      </c>
      <c r="AL351">
        <v>80.162267740482207</v>
      </c>
      <c r="AM351">
        <v>88.707815681672102</v>
      </c>
      <c r="AN351">
        <v>0.99999997241718397</v>
      </c>
    </row>
    <row r="352" spans="1:40" x14ac:dyDescent="0.25">
      <c r="A352" t="str">
        <f>"20190312172617380"</f>
        <v>20190312172617380</v>
      </c>
      <c r="B352" t="str">
        <f>"1552382777368668"</f>
        <v>1552382777368668</v>
      </c>
      <c r="C352" t="s">
        <v>40</v>
      </c>
      <c r="D352">
        <v>3.3246820000000001</v>
      </c>
      <c r="E352">
        <v>0.50861749999999994</v>
      </c>
      <c r="F352" t="s">
        <v>41</v>
      </c>
      <c r="G352">
        <v>-358.29590000000002</v>
      </c>
      <c r="H352" s="1">
        <v>-1.88556E-6</v>
      </c>
      <c r="I352">
        <v>364.65699999999998</v>
      </c>
      <c r="J352">
        <v>-398.6728</v>
      </c>
      <c r="K352">
        <v>1.067598</v>
      </c>
      <c r="L352">
        <v>367.14960000000002</v>
      </c>
      <c r="M352">
        <v>0.99982269999999895</v>
      </c>
      <c r="N352">
        <v>0</v>
      </c>
      <c r="O352">
        <v>-1.772431E-2</v>
      </c>
      <c r="P352">
        <v>0.98555380000000004</v>
      </c>
      <c r="Q352">
        <v>0.1646446</v>
      </c>
      <c r="R352">
        <v>-3.9700020000000003E-2</v>
      </c>
      <c r="S352">
        <v>3.048737</v>
      </c>
      <c r="T352">
        <v>-7.9819319999999999E-2</v>
      </c>
      <c r="U352">
        <v>-0.1871033</v>
      </c>
      <c r="V352">
        <v>2.2280479999999998E-2</v>
      </c>
      <c r="W352">
        <v>0.17091049999999999</v>
      </c>
      <c r="X352">
        <v>0.98503459999999998</v>
      </c>
      <c r="Y352">
        <v>4.3545680000000003E-2</v>
      </c>
      <c r="Z352">
        <v>-1.05949E-4</v>
      </c>
      <c r="AA352">
        <v>0.99905149999999998</v>
      </c>
      <c r="AB352">
        <v>33</v>
      </c>
      <c r="AC352">
        <v>40.3768999999999</v>
      </c>
      <c r="AD352">
        <v>-1.06759988556</v>
      </c>
      <c r="AE352">
        <v>-2.4926000000000301</v>
      </c>
      <c r="AF352">
        <v>1.7753048342939</v>
      </c>
      <c r="AG352">
        <v>-1.06759988556</v>
      </c>
      <c r="AH352">
        <v>40.3866096782385</v>
      </c>
      <c r="AI352">
        <v>91.512772548077606</v>
      </c>
      <c r="AJ352">
        <v>87.483026297190094</v>
      </c>
      <c r="AK352">
        <v>40.439704722867397</v>
      </c>
      <c r="AL352">
        <v>80.1592382517196</v>
      </c>
      <c r="AM352">
        <v>88.704248734500695</v>
      </c>
      <c r="AN352">
        <v>0.99999999099822001</v>
      </c>
    </row>
    <row r="353" spans="1:40" x14ac:dyDescent="0.25">
      <c r="A353" t="str">
        <f>"20190312172617401"</f>
        <v>20190312172617401</v>
      </c>
      <c r="B353" t="str">
        <f>"1552382777398924"</f>
        <v>1552382777398924</v>
      </c>
      <c r="C353" t="s">
        <v>40</v>
      </c>
      <c r="D353">
        <v>3.3007499999999999</v>
      </c>
      <c r="E353">
        <v>0.508542099999999</v>
      </c>
      <c r="F353" t="s">
        <v>41</v>
      </c>
      <c r="G353">
        <v>-354.30919999999998</v>
      </c>
      <c r="H353" s="1">
        <v>-3.3459239999999998E-6</v>
      </c>
      <c r="I353">
        <v>364.4171</v>
      </c>
      <c r="J353">
        <v>-398.35629999999998</v>
      </c>
      <c r="K353">
        <v>1.069278</v>
      </c>
      <c r="L353">
        <v>367.1438</v>
      </c>
      <c r="M353">
        <v>0.99982610000000005</v>
      </c>
      <c r="N353">
        <v>0</v>
      </c>
      <c r="O353">
        <v>-1.7882140000000001E-2</v>
      </c>
      <c r="P353">
        <v>0.98542339999999995</v>
      </c>
      <c r="Q353">
        <v>0.16540859999999999</v>
      </c>
      <c r="R353">
        <v>-3.9760440000000001E-2</v>
      </c>
      <c r="S353">
        <v>3.048645</v>
      </c>
      <c r="T353">
        <v>-7.3364849999999995E-2</v>
      </c>
      <c r="U353">
        <v>-0.18777469999999999</v>
      </c>
      <c r="V353">
        <v>2.218533E-2</v>
      </c>
      <c r="W353">
        <v>0.1706385</v>
      </c>
      <c r="X353">
        <v>0.98508390000000001</v>
      </c>
      <c r="Y353">
        <v>4.3610509999999998E-2</v>
      </c>
      <c r="Z353" s="1">
        <v>-9.4375980000000004E-5</v>
      </c>
      <c r="AA353">
        <v>0.99904859999999895</v>
      </c>
      <c r="AB353">
        <v>33</v>
      </c>
      <c r="AC353">
        <v>44.0471</v>
      </c>
      <c r="AD353">
        <v>-1.069281345924</v>
      </c>
      <c r="AE353">
        <v>-2.7266999999999899</v>
      </c>
      <c r="AF353">
        <v>1.9374591376391199</v>
      </c>
      <c r="AG353">
        <v>-1.069281345924</v>
      </c>
      <c r="AH353">
        <v>44.062948724698998</v>
      </c>
      <c r="AI353">
        <v>91.388789989068201</v>
      </c>
      <c r="AJ353">
        <v>87.482311620989407</v>
      </c>
      <c r="AK353">
        <v>44.118483210806502</v>
      </c>
      <c r="AL353">
        <v>80.1750550236913</v>
      </c>
      <c r="AM353">
        <v>88.709844985318398</v>
      </c>
      <c r="AN353">
        <v>0.99999998829433401</v>
      </c>
    </row>
    <row r="354" spans="1:40" x14ac:dyDescent="0.25">
      <c r="A354" t="str">
        <f>"20190312172617424"</f>
        <v>20190312172617424</v>
      </c>
      <c r="B354" t="str">
        <f>"1552382777418444"</f>
        <v>1552382777418444</v>
      </c>
      <c r="C354" t="s">
        <v>40</v>
      </c>
      <c r="D354">
        <v>3.2023510000000002</v>
      </c>
      <c r="E354">
        <v>0.49381999999999998</v>
      </c>
      <c r="F354" t="s">
        <v>41</v>
      </c>
      <c r="G354">
        <v>-351.66919999999999</v>
      </c>
      <c r="H354" s="1">
        <v>-4.5031449999999999E-6</v>
      </c>
      <c r="I354">
        <v>364.27789999999999</v>
      </c>
      <c r="J354">
        <v>-398.03100000000001</v>
      </c>
      <c r="K354">
        <v>1.0714440000000001</v>
      </c>
      <c r="L354">
        <v>367.1379</v>
      </c>
      <c r="M354">
        <v>0.99982369999999998</v>
      </c>
      <c r="N354">
        <v>0</v>
      </c>
      <c r="O354">
        <v>-1.8046650000000001E-2</v>
      </c>
      <c r="P354">
        <v>0.98541250000000002</v>
      </c>
      <c r="Q354">
        <v>0.16543540000000001</v>
      </c>
      <c r="R354">
        <v>-3.9920959999999998E-2</v>
      </c>
      <c r="S354">
        <v>3.0485530000000001</v>
      </c>
      <c r="T354">
        <v>-6.9821359999999999E-2</v>
      </c>
      <c r="U354">
        <v>-0.18713379999999999</v>
      </c>
      <c r="V354">
        <v>2.2181820000000001E-2</v>
      </c>
      <c r="W354">
        <v>0.17054730000000001</v>
      </c>
      <c r="X354">
        <v>0.98509979999999997</v>
      </c>
      <c r="Y354">
        <v>4.3239590000000001E-2</v>
      </c>
      <c r="Z354" s="1">
        <v>-8.1817009999999993E-5</v>
      </c>
      <c r="AA354">
        <v>0.99906470000000003</v>
      </c>
      <c r="AB354">
        <v>33</v>
      </c>
      <c r="AC354">
        <v>46.361800000000002</v>
      </c>
      <c r="AD354">
        <v>-1.0714485031450001</v>
      </c>
      <c r="AE354">
        <v>-2.8600000000000101</v>
      </c>
      <c r="AF354">
        <v>2.0217720653250599</v>
      </c>
      <c r="AG354">
        <v>-1.0714485031450001</v>
      </c>
      <c r="AH354">
        <v>46.381185456331202</v>
      </c>
      <c r="AI354">
        <v>91.322095376391502</v>
      </c>
      <c r="AJ354">
        <v>87.504037044474501</v>
      </c>
      <c r="AK354">
        <v>46.437591760486498</v>
      </c>
      <c r="AL354">
        <v>80.180358401967496</v>
      </c>
      <c r="AM354">
        <v>88.710069848611695</v>
      </c>
      <c r="AN354">
        <v>1.00000001531792</v>
      </c>
    </row>
    <row r="355" spans="1:40" x14ac:dyDescent="0.25">
      <c r="A355" t="str">
        <f>"20190312172617447"</f>
        <v>20190312172617447</v>
      </c>
      <c r="B355" t="str">
        <f>"1552382777438941"</f>
        <v>1552382777438941</v>
      </c>
      <c r="C355" t="s">
        <v>40</v>
      </c>
      <c r="D355">
        <v>3.2843019999999998</v>
      </c>
      <c r="E355">
        <v>0.49084990000000001</v>
      </c>
      <c r="F355" t="s">
        <v>45</v>
      </c>
      <c r="G355">
        <v>-158.19499999999999</v>
      </c>
      <c r="H355">
        <v>0.11538030000000001</v>
      </c>
      <c r="I355">
        <v>361.57810000000001</v>
      </c>
      <c r="J355">
        <v>-397.69540000000001</v>
      </c>
      <c r="K355">
        <v>1.0740590000000001</v>
      </c>
      <c r="L355">
        <v>367.13170000000002</v>
      </c>
      <c r="M355">
        <v>0.99981980000000004</v>
      </c>
      <c r="N355">
        <v>0</v>
      </c>
      <c r="O355">
        <v>-1.82119E-2</v>
      </c>
      <c r="P355">
        <v>0.98543289999999994</v>
      </c>
      <c r="Q355">
        <v>0.16523379999999999</v>
      </c>
      <c r="R355">
        <v>-4.0252250000000003E-2</v>
      </c>
      <c r="S355">
        <v>3.0436100000000001</v>
      </c>
      <c r="T355">
        <v>-1.2131690000000001E-2</v>
      </c>
      <c r="U355">
        <v>-7.0556640000000004E-2</v>
      </c>
      <c r="V355">
        <v>2.2350220000000001E-2</v>
      </c>
      <c r="W355">
        <v>0.17052200000000001</v>
      </c>
      <c r="X355">
        <v>0.98510039999999999</v>
      </c>
      <c r="Y355">
        <v>4.9646639999999997E-3</v>
      </c>
      <c r="Z355" s="1">
        <v>6.2682869999999906E-5</v>
      </c>
      <c r="AA355">
        <v>0.99998770000000003</v>
      </c>
      <c r="AB355">
        <v>33</v>
      </c>
      <c r="AC355">
        <v>239.50040000000001</v>
      </c>
      <c r="AD355">
        <v>-0.95867869999999999</v>
      </c>
      <c r="AE355">
        <v>-5.5536000000000101</v>
      </c>
      <c r="AF355">
        <v>1.1908399219036501</v>
      </c>
      <c r="AG355">
        <v>-0.95867869999999999</v>
      </c>
      <c r="AH355">
        <v>239.557984395956</v>
      </c>
      <c r="AI355">
        <v>90.229285914646695</v>
      </c>
      <c r="AJ355">
        <v>89.715185700129794</v>
      </c>
      <c r="AK355">
        <v>239.56286242325399</v>
      </c>
      <c r="AL355">
        <v>80.181829793892305</v>
      </c>
      <c r="AM355">
        <v>88.700281091318203</v>
      </c>
      <c r="AN355">
        <v>1.0000000414490999</v>
      </c>
    </row>
    <row r="356" spans="1:40" x14ac:dyDescent="0.25">
      <c r="A356" t="str">
        <f>"20190312172617473"</f>
        <v>20190312172617473</v>
      </c>
      <c r="B356" t="str">
        <f>"1552382777469196"</f>
        <v>1552382777469196</v>
      </c>
      <c r="C356" t="s">
        <v>40</v>
      </c>
      <c r="D356">
        <v>3.2158099999999998</v>
      </c>
      <c r="E356">
        <v>0.49108069999999998</v>
      </c>
      <c r="F356" t="s">
        <v>45</v>
      </c>
      <c r="G356">
        <v>-158.19499999999999</v>
      </c>
      <c r="H356">
        <v>1.2229719999999999</v>
      </c>
      <c r="I356">
        <v>363.35719999999998</v>
      </c>
      <c r="J356">
        <v>-397.3245</v>
      </c>
      <c r="K356">
        <v>1.0771599999999999</v>
      </c>
      <c r="L356">
        <v>367.12479999999999</v>
      </c>
      <c r="M356">
        <v>0.99981730000000002</v>
      </c>
      <c r="N356">
        <v>0</v>
      </c>
      <c r="O356">
        <v>-1.8389820000000001E-2</v>
      </c>
      <c r="P356">
        <v>0.98549560000000003</v>
      </c>
      <c r="Q356">
        <v>0.16487470000000001</v>
      </c>
      <c r="R356">
        <v>-4.0190910000000003E-2</v>
      </c>
      <c r="S356">
        <v>3.042084</v>
      </c>
      <c r="T356">
        <v>1.8925669999999999E-3</v>
      </c>
      <c r="U356">
        <v>-4.7943119999999999E-2</v>
      </c>
      <c r="V356">
        <v>2.2115180000000002E-2</v>
      </c>
      <c r="W356">
        <v>0.17004320000000001</v>
      </c>
      <c r="X356">
        <v>0.98518839999999996</v>
      </c>
      <c r="Y356">
        <v>-2.6324529999999999E-3</v>
      </c>
      <c r="Z356" s="1">
        <v>-1.225819E-5</v>
      </c>
      <c r="AA356">
        <v>0.99999649999999995</v>
      </c>
      <c r="AB356">
        <v>33</v>
      </c>
      <c r="AC356">
        <v>239.12950000000001</v>
      </c>
      <c r="AD356">
        <v>0.145811999999999</v>
      </c>
      <c r="AE356">
        <v>-3.7676000000000101</v>
      </c>
      <c r="AF356">
        <v>-0.63064513867713301</v>
      </c>
      <c r="AG356">
        <v>0.145811999999999</v>
      </c>
      <c r="AH356">
        <v>239.15825794745999</v>
      </c>
      <c r="AI356">
        <v>89.965067557385893</v>
      </c>
      <c r="AJ356">
        <v>90.151084981873097</v>
      </c>
      <c r="AK356">
        <v>239.159133881385</v>
      </c>
      <c r="AL356">
        <v>80.209668970715299</v>
      </c>
      <c r="AM356">
        <v>88.714059452166396</v>
      </c>
      <c r="AN356">
        <v>0.999999977273615</v>
      </c>
    </row>
    <row r="357" spans="1:40" x14ac:dyDescent="0.25">
      <c r="A357" t="str">
        <f>"20190312172617493"</f>
        <v>20190312172617493</v>
      </c>
      <c r="B357" t="str">
        <f>"1552382777488716"</f>
        <v>1552382777488716</v>
      </c>
      <c r="C357" t="s">
        <v>40</v>
      </c>
      <c r="D357">
        <v>3.2934399999999999</v>
      </c>
      <c r="E357">
        <v>0.49083510000000002</v>
      </c>
      <c r="F357" t="s">
        <v>45</v>
      </c>
      <c r="G357">
        <v>-158.19499999999999</v>
      </c>
      <c r="H357">
        <v>1.3247390000000001</v>
      </c>
      <c r="I357">
        <v>363.24759999999998</v>
      </c>
      <c r="J357">
        <v>-397.01650000000001</v>
      </c>
      <c r="K357">
        <v>1.0798639999999999</v>
      </c>
      <c r="L357">
        <v>367.11900000000003</v>
      </c>
      <c r="M357">
        <v>0.99981500000000001</v>
      </c>
      <c r="N357">
        <v>0</v>
      </c>
      <c r="O357">
        <v>-1.852993E-2</v>
      </c>
      <c r="P357">
        <v>0.98552550000000005</v>
      </c>
      <c r="Q357">
        <v>0.16470879999999999</v>
      </c>
      <c r="R357">
        <v>-4.013071E-2</v>
      </c>
      <c r="S357">
        <v>3.0416259999999999</v>
      </c>
      <c r="T357">
        <v>3.150225E-3</v>
      </c>
      <c r="U357">
        <v>-4.9316409999999998E-2</v>
      </c>
      <c r="V357">
        <v>2.1918050000000001E-2</v>
      </c>
      <c r="W357">
        <v>0.1697941</v>
      </c>
      <c r="X357">
        <v>0.98523579999999999</v>
      </c>
      <c r="Y357">
        <v>-2.3188200000000001E-3</v>
      </c>
      <c r="Z357" s="1">
        <v>-2.0389699999999999E-5</v>
      </c>
      <c r="AA357">
        <v>0.99999729999999998</v>
      </c>
      <c r="AB357">
        <v>33</v>
      </c>
      <c r="AC357">
        <v>238.82149999999999</v>
      </c>
      <c r="AD357">
        <v>0.24487499999999901</v>
      </c>
      <c r="AE357">
        <v>-3.8714000000000501</v>
      </c>
      <c r="AF357">
        <v>-0.55466868272608105</v>
      </c>
      <c r="AG357">
        <v>0.24487499999999901</v>
      </c>
      <c r="AH357">
        <v>238.85198139333099</v>
      </c>
      <c r="AI357">
        <v>89.941259598601107</v>
      </c>
      <c r="AJ357">
        <v>90.133053605984998</v>
      </c>
      <c r="AK357">
        <v>238.85275095052401</v>
      </c>
      <c r="AL357">
        <v>80.224152277756701</v>
      </c>
      <c r="AM357">
        <v>88.7255795498818</v>
      </c>
      <c r="AN357">
        <v>1.0000000094561201</v>
      </c>
    </row>
    <row r="358" spans="1:40" x14ac:dyDescent="0.25">
      <c r="A358" t="str">
        <f>"20190312172617514"</f>
        <v>20190312172617514</v>
      </c>
      <c r="B358" t="str">
        <f>"1552382777509213"</f>
        <v>1552382777509213</v>
      </c>
      <c r="C358" t="s">
        <v>40</v>
      </c>
      <c r="D358">
        <v>3.293615</v>
      </c>
      <c r="E358">
        <v>0.4907359</v>
      </c>
      <c r="F358" t="s">
        <v>45</v>
      </c>
      <c r="G358">
        <v>-158.19499999999999</v>
      </c>
      <c r="H358">
        <v>1.4749479999999999</v>
      </c>
      <c r="I358">
        <v>363.4237</v>
      </c>
      <c r="J358">
        <v>-396.71140000000003</v>
      </c>
      <c r="K358">
        <v>1.0826119999999999</v>
      </c>
      <c r="L358">
        <v>367.11329999999998</v>
      </c>
      <c r="M358">
        <v>0.99981189999999998</v>
      </c>
      <c r="N358">
        <v>0</v>
      </c>
      <c r="O358">
        <v>-1.8664799999999999E-2</v>
      </c>
      <c r="P358">
        <v>0.98561589999999999</v>
      </c>
      <c r="Q358">
        <v>0.16413349999999999</v>
      </c>
      <c r="R358">
        <v>-4.0270229999999997E-2</v>
      </c>
      <c r="S358">
        <v>3.0412599999999999</v>
      </c>
      <c r="T358">
        <v>5.0323010000000003E-3</v>
      </c>
      <c r="U358">
        <v>-4.705811E-2</v>
      </c>
      <c r="V358">
        <v>2.192347E-2</v>
      </c>
      <c r="W358">
        <v>0.16931479999999999</v>
      </c>
      <c r="X358">
        <v>0.98531820000000003</v>
      </c>
      <c r="Y358">
        <v>-3.1941130000000002E-3</v>
      </c>
      <c r="Z358" s="1">
        <v>-3.3522760000000001E-5</v>
      </c>
      <c r="AA358">
        <v>0.99999490000000002</v>
      </c>
      <c r="AB358">
        <v>33</v>
      </c>
      <c r="AC358">
        <v>238.5164</v>
      </c>
      <c r="AD358">
        <v>0.39233599999999902</v>
      </c>
      <c r="AE358">
        <v>-3.68959999999998</v>
      </c>
      <c r="AF358">
        <v>-0.76296345404863697</v>
      </c>
      <c r="AG358">
        <v>0.39233599999999902</v>
      </c>
      <c r="AH358">
        <v>238.54307001056</v>
      </c>
      <c r="AI358">
        <v>89.905765186550198</v>
      </c>
      <c r="AJ358">
        <v>90.183255949428997</v>
      </c>
      <c r="AK358">
        <v>238.54461278937299</v>
      </c>
      <c r="AL358">
        <v>80.252017987954204</v>
      </c>
      <c r="AM358">
        <v>88.725371077246194</v>
      </c>
      <c r="AN358">
        <v>1.00000004764355</v>
      </c>
    </row>
    <row r="359" spans="1:40" x14ac:dyDescent="0.25">
      <c r="A359" t="str">
        <f>"20190312172617536"</f>
        <v>20190312172617536</v>
      </c>
      <c r="B359" t="str">
        <f>"1552382777528733"</f>
        <v>1552382777528733</v>
      </c>
      <c r="C359" t="s">
        <v>40</v>
      </c>
      <c r="D359">
        <v>3.1875300000000002</v>
      </c>
      <c r="E359">
        <v>0.49074380000000001</v>
      </c>
      <c r="F359" t="s">
        <v>45</v>
      </c>
      <c r="G359">
        <v>-158.19499999999999</v>
      </c>
      <c r="H359">
        <v>1.482553</v>
      </c>
      <c r="I359">
        <v>363.42230000000001</v>
      </c>
      <c r="J359">
        <v>-396.3682</v>
      </c>
      <c r="K359">
        <v>1.085699</v>
      </c>
      <c r="L359">
        <v>367.10669999999999</v>
      </c>
      <c r="M359">
        <v>0.99980740000000001</v>
      </c>
      <c r="N359">
        <v>0</v>
      </c>
      <c r="O359">
        <v>-1.8815720000000001E-2</v>
      </c>
      <c r="P359">
        <v>0.98568389999999995</v>
      </c>
      <c r="Q359">
        <v>0.16375020000000001</v>
      </c>
      <c r="R359">
        <v>-4.0169099999999999E-2</v>
      </c>
      <c r="S359">
        <v>3.0410159999999999</v>
      </c>
      <c r="T359">
        <v>5.1002499999999997E-3</v>
      </c>
      <c r="U359">
        <v>-4.705811E-2</v>
      </c>
      <c r="V359">
        <v>2.1672469999999999E-2</v>
      </c>
      <c r="W359">
        <v>0.1692612</v>
      </c>
      <c r="X359">
        <v>0.98533289999999996</v>
      </c>
      <c r="Y359">
        <v>-3.3438489999999999E-3</v>
      </c>
      <c r="Z359" s="1">
        <v>-3.4356790000000002E-5</v>
      </c>
      <c r="AA359">
        <v>0.99999439999999995</v>
      </c>
      <c r="AB359">
        <v>33</v>
      </c>
      <c r="AC359">
        <v>238.17320000000001</v>
      </c>
      <c r="AD359">
        <v>0.39685399999999998</v>
      </c>
      <c r="AE359">
        <v>-3.6843999999999801</v>
      </c>
      <c r="AF359">
        <v>-0.79772006119251604</v>
      </c>
      <c r="AG359">
        <v>0.39685399999999998</v>
      </c>
      <c r="AH359">
        <v>238.199699116982</v>
      </c>
      <c r="AI359">
        <v>89.9045426555072</v>
      </c>
      <c r="AJ359">
        <v>90.1918802670112</v>
      </c>
      <c r="AK359">
        <v>238.20136546588901</v>
      </c>
      <c r="AL359">
        <v>80.255133417713694</v>
      </c>
      <c r="AM359">
        <v>88.739978258913098</v>
      </c>
      <c r="AN359">
        <v>0.99999998680187496</v>
      </c>
    </row>
    <row r="360" spans="1:40" x14ac:dyDescent="0.25">
      <c r="A360" t="str">
        <f>"20190312172617559"</f>
        <v>20190312172617559</v>
      </c>
      <c r="B360" t="str">
        <f>"1552382777549228"</f>
        <v>1552382777549228</v>
      </c>
      <c r="C360" t="s">
        <v>40</v>
      </c>
      <c r="D360">
        <v>3.1715689999999999</v>
      </c>
      <c r="E360">
        <v>0.49066209999999999</v>
      </c>
      <c r="F360" t="s">
        <v>45</v>
      </c>
      <c r="G360">
        <v>-158.19499999999999</v>
      </c>
      <c r="H360">
        <v>1.4349229999999999</v>
      </c>
      <c r="I360">
        <v>363.41860000000003</v>
      </c>
      <c r="J360">
        <v>-396.02780000000001</v>
      </c>
      <c r="K360">
        <v>1.088643</v>
      </c>
      <c r="L360">
        <v>367.10019999999997</v>
      </c>
      <c r="M360">
        <v>0.99980179999999996</v>
      </c>
      <c r="N360">
        <v>0</v>
      </c>
      <c r="O360">
        <v>-1.896573E-2</v>
      </c>
      <c r="P360">
        <v>0.985738</v>
      </c>
      <c r="Q360">
        <v>0.16333819999999999</v>
      </c>
      <c r="R360">
        <v>-4.0512939999999997E-2</v>
      </c>
      <c r="S360">
        <v>3.0408940000000002</v>
      </c>
      <c r="T360">
        <v>4.4598579999999997E-3</v>
      </c>
      <c r="U360">
        <v>-4.7088619999999998E-2</v>
      </c>
      <c r="V360">
        <v>2.1867689999999999E-2</v>
      </c>
      <c r="W360">
        <v>0.16932800000000001</v>
      </c>
      <c r="X360">
        <v>0.98531709999999995</v>
      </c>
      <c r="Y360">
        <v>-3.483295E-3</v>
      </c>
      <c r="Z360" s="1">
        <v>-3.03664099999999E-5</v>
      </c>
      <c r="AA360">
        <v>0.99999389999999999</v>
      </c>
      <c r="AB360">
        <v>33</v>
      </c>
      <c r="AC360">
        <v>237.83279999999999</v>
      </c>
      <c r="AD360">
        <v>0.34627999999999898</v>
      </c>
      <c r="AE360">
        <v>-3.68159999999994</v>
      </c>
      <c r="AF360">
        <v>-0.829815815818717</v>
      </c>
      <c r="AG360">
        <v>0.34627999999999898</v>
      </c>
      <c r="AH360">
        <v>237.85934188338501</v>
      </c>
      <c r="AI360">
        <v>89.916588318038194</v>
      </c>
      <c r="AJ360">
        <v>90.199885994622605</v>
      </c>
      <c r="AK360">
        <v>237.861041419825</v>
      </c>
      <c r="AL360">
        <v>80.251249912872694</v>
      </c>
      <c r="AM360">
        <v>88.728611637599997</v>
      </c>
      <c r="AN360">
        <v>0.99999997750117198</v>
      </c>
    </row>
    <row r="361" spans="1:40" x14ac:dyDescent="0.25">
      <c r="A361" t="str">
        <f>"20190312172617580"</f>
        <v>20190312172617580</v>
      </c>
      <c r="B361" t="str">
        <f>"1552382777568751"</f>
        <v>1552382777568751</v>
      </c>
      <c r="C361" t="s">
        <v>40</v>
      </c>
      <c r="D361">
        <v>3.1779920000000002</v>
      </c>
      <c r="E361">
        <v>0.49051739999999999</v>
      </c>
      <c r="F361" t="s">
        <v>45</v>
      </c>
      <c r="G361">
        <v>-158.19499999999999</v>
      </c>
      <c r="H361">
        <v>1.4381809999999999</v>
      </c>
      <c r="I361">
        <v>363.41469999999998</v>
      </c>
      <c r="J361">
        <v>-395.71170000000001</v>
      </c>
      <c r="K361">
        <v>1.0912120000000001</v>
      </c>
      <c r="L361">
        <v>367.09410000000003</v>
      </c>
      <c r="M361">
        <v>0.99979569999999995</v>
      </c>
      <c r="N361">
        <v>0</v>
      </c>
      <c r="O361">
        <v>-1.9104909999999999E-2</v>
      </c>
      <c r="P361">
        <v>0.98580440000000003</v>
      </c>
      <c r="Q361">
        <v>0.16289600000000001</v>
      </c>
      <c r="R361">
        <v>-4.0676360000000002E-2</v>
      </c>
      <c r="S361">
        <v>3.0407099999999998</v>
      </c>
      <c r="T361">
        <v>4.4699910000000004E-3</v>
      </c>
      <c r="U361">
        <v>-4.7119139999999997E-2</v>
      </c>
      <c r="V361">
        <v>2.189261E-2</v>
      </c>
      <c r="W361">
        <v>0.16940450000000001</v>
      </c>
      <c r="X361">
        <v>0.98530340000000005</v>
      </c>
      <c r="Y361">
        <v>-3.6115990000000001E-3</v>
      </c>
      <c r="Z361" s="1">
        <v>-3.0736179999999997E-5</v>
      </c>
      <c r="AA361">
        <v>0.99999349999999998</v>
      </c>
      <c r="AB361">
        <v>33</v>
      </c>
      <c r="AC361">
        <v>237.51669999999999</v>
      </c>
      <c r="AD361">
        <v>0.34696899999999897</v>
      </c>
      <c r="AE361">
        <v>-3.6794000000000402</v>
      </c>
      <c r="AF361">
        <v>-0.85910375734880795</v>
      </c>
      <c r="AG361">
        <v>0.34696899999999897</v>
      </c>
      <c r="AH361">
        <v>237.54313698732801</v>
      </c>
      <c r="AI361">
        <v>89.916311136479294</v>
      </c>
      <c r="AJ361">
        <v>90.207216278585193</v>
      </c>
      <c r="AK361">
        <v>237.54494390858599</v>
      </c>
      <c r="AL361">
        <v>80.246802564931102</v>
      </c>
      <c r="AM361">
        <v>88.7271455720402</v>
      </c>
      <c r="AN361">
        <v>0.99999998052221095</v>
      </c>
    </row>
    <row r="362" spans="1:40" x14ac:dyDescent="0.25">
      <c r="A362" t="str">
        <f>"20190312172617602"</f>
        <v>20190312172617602</v>
      </c>
      <c r="B362" t="str">
        <f>"1552382777599005"</f>
        <v>1552382777599005</v>
      </c>
      <c r="C362" t="s">
        <v>40</v>
      </c>
      <c r="D362">
        <v>3.1745420000000002</v>
      </c>
      <c r="E362">
        <v>0.49054029999999998</v>
      </c>
      <c r="F362" t="s">
        <v>45</v>
      </c>
      <c r="G362">
        <v>-158.19499999999999</v>
      </c>
      <c r="H362">
        <v>1.4041629999999901</v>
      </c>
      <c r="I362">
        <v>363.45139999999998</v>
      </c>
      <c r="J362">
        <v>-395.38260000000002</v>
      </c>
      <c r="K362">
        <v>1.0936729999999999</v>
      </c>
      <c r="L362">
        <v>367.08760000000001</v>
      </c>
      <c r="M362">
        <v>0.99978889999999998</v>
      </c>
      <c r="N362">
        <v>0</v>
      </c>
      <c r="O362">
        <v>-1.9249079999999998E-2</v>
      </c>
      <c r="P362">
        <v>0.98595849999999996</v>
      </c>
      <c r="Q362">
        <v>0.1620095</v>
      </c>
      <c r="R362">
        <v>-4.0480879999999997E-2</v>
      </c>
      <c r="S362">
        <v>3.0405579999999999</v>
      </c>
      <c r="T362">
        <v>4.0073390000000004E-3</v>
      </c>
      <c r="U362">
        <v>-4.6630860000000003E-2</v>
      </c>
      <c r="V362">
        <v>2.1552209999999999E-2</v>
      </c>
      <c r="W362">
        <v>0.16909250000000001</v>
      </c>
      <c r="X362">
        <v>0.98536449999999998</v>
      </c>
      <c r="Y362">
        <v>-3.9156499999999997E-3</v>
      </c>
      <c r="Z362" s="1">
        <v>-2.794678E-5</v>
      </c>
      <c r="AA362">
        <v>0.99999229999999995</v>
      </c>
      <c r="AB362">
        <v>33</v>
      </c>
      <c r="AC362">
        <v>237.1876</v>
      </c>
      <c r="AD362">
        <v>0.31048999999999899</v>
      </c>
      <c r="AE362">
        <v>-3.6362000000000299</v>
      </c>
      <c r="AF362">
        <v>-0.930233109102508</v>
      </c>
      <c r="AG362">
        <v>0.31048999999999899</v>
      </c>
      <c r="AH362">
        <v>237.213240361869</v>
      </c>
      <c r="AI362">
        <v>89.925005789689493</v>
      </c>
      <c r="AJ362">
        <v>90.224684582633998</v>
      </c>
      <c r="AK362">
        <v>237.21526751171601</v>
      </c>
      <c r="AL362">
        <v>80.2649405573423</v>
      </c>
      <c r="AM362">
        <v>88.747008024151597</v>
      </c>
      <c r="AN362">
        <v>0.99999998458619099</v>
      </c>
    </row>
    <row r="363" spans="1:40" x14ac:dyDescent="0.25">
      <c r="A363" t="str">
        <f>"20190312172617624"</f>
        <v>20190312172617624</v>
      </c>
      <c r="B363" t="str">
        <f>"1552382777618525"</f>
        <v>1552382777618525</v>
      </c>
      <c r="C363" t="s">
        <v>40</v>
      </c>
      <c r="D363">
        <v>3.15042</v>
      </c>
      <c r="E363">
        <v>0.49060490000000001</v>
      </c>
      <c r="F363" t="s">
        <v>45</v>
      </c>
      <c r="G363">
        <v>-158.19499999999999</v>
      </c>
      <c r="H363">
        <v>1.202833</v>
      </c>
      <c r="I363">
        <v>363.4597</v>
      </c>
      <c r="J363">
        <v>-395.06909999999999</v>
      </c>
      <c r="K363">
        <v>1.0957939999999999</v>
      </c>
      <c r="L363">
        <v>367.08150000000001</v>
      </c>
      <c r="M363">
        <v>0.99978210000000001</v>
      </c>
      <c r="N363">
        <v>0</v>
      </c>
      <c r="O363">
        <v>-1.9385579999999999E-2</v>
      </c>
      <c r="P363">
        <v>0.98609469999999999</v>
      </c>
      <c r="Q363">
        <v>0.16118750000000001</v>
      </c>
      <c r="R363">
        <v>-4.0444399999999998E-2</v>
      </c>
      <c r="S363">
        <v>3.0405880000000001</v>
      </c>
      <c r="T363">
        <v>1.4004709999999999E-3</v>
      </c>
      <c r="U363">
        <v>-4.6508790000000001E-2</v>
      </c>
      <c r="V363">
        <v>2.1378649999999999E-2</v>
      </c>
      <c r="W363">
        <v>0.16882269999999999</v>
      </c>
      <c r="X363">
        <v>0.98541460000000003</v>
      </c>
      <c r="Y363">
        <v>-4.0925709999999997E-3</v>
      </c>
      <c r="Z363" s="1">
        <v>-9.8702870000000005E-6</v>
      </c>
      <c r="AA363">
        <v>0.99999159999999998</v>
      </c>
      <c r="AB363">
        <v>33</v>
      </c>
      <c r="AC363">
        <v>236.8741</v>
      </c>
      <c r="AD363">
        <v>0.107038999999999</v>
      </c>
      <c r="AE363">
        <v>-3.6217999999999999</v>
      </c>
      <c r="AF363">
        <v>-0.97095991332059195</v>
      </c>
      <c r="AG363">
        <v>0.107038999999999</v>
      </c>
      <c r="AH363">
        <v>236.899748856364</v>
      </c>
      <c r="AI363">
        <v>89.974112125300806</v>
      </c>
      <c r="AJ363">
        <v>90.234831796438897</v>
      </c>
      <c r="AK363">
        <v>236.90176282313601</v>
      </c>
      <c r="AL363">
        <v>80.280625007533601</v>
      </c>
      <c r="AM363">
        <v>88.757158364919903</v>
      </c>
      <c r="AN363">
        <v>1.00000004230213</v>
      </c>
    </row>
    <row r="364" spans="1:40" x14ac:dyDescent="0.25">
      <c r="A364" t="str">
        <f>"20190312172617648"</f>
        <v>20190312172617648</v>
      </c>
      <c r="B364" t="str">
        <f>"1552382777639020"</f>
        <v>1552382777639020</v>
      </c>
      <c r="C364" t="s">
        <v>40</v>
      </c>
      <c r="D364">
        <v>3.2927650000000002</v>
      </c>
      <c r="E364">
        <v>0.49055840000000001</v>
      </c>
      <c r="F364" t="s">
        <v>45</v>
      </c>
      <c r="G364">
        <v>-158.19499999999999</v>
      </c>
      <c r="H364">
        <v>1.031922</v>
      </c>
      <c r="I364">
        <v>363.41300000000001</v>
      </c>
      <c r="J364">
        <v>-394.71519999999998</v>
      </c>
      <c r="K364">
        <v>1.0979449999999999</v>
      </c>
      <c r="L364">
        <v>367.0745</v>
      </c>
      <c r="M364">
        <v>0.9997741</v>
      </c>
      <c r="N364">
        <v>0</v>
      </c>
      <c r="O364">
        <v>-1.953891E-2</v>
      </c>
      <c r="P364">
        <v>0.98617969999999999</v>
      </c>
      <c r="Q364">
        <v>0.16070079999999901</v>
      </c>
      <c r="R364">
        <v>-4.0308730000000001E-2</v>
      </c>
      <c r="S364">
        <v>3.0404969999999998</v>
      </c>
      <c r="T364">
        <v>-8.1872939999999995E-4</v>
      </c>
      <c r="U364">
        <v>-4.7088619999999998E-2</v>
      </c>
      <c r="V364">
        <v>2.1090299999999999E-2</v>
      </c>
      <c r="W364">
        <v>0.1689416</v>
      </c>
      <c r="X364">
        <v>0.98540039999999995</v>
      </c>
      <c r="Y364">
        <v>-4.0549200000000001E-3</v>
      </c>
      <c r="Z364" s="1">
        <v>5.8066699999999901E-6</v>
      </c>
      <c r="AA364">
        <v>0.99999179999999999</v>
      </c>
      <c r="AB364">
        <v>33</v>
      </c>
      <c r="AC364">
        <v>236.52019999999999</v>
      </c>
      <c r="AD364">
        <v>-6.6023000000000095E-2</v>
      </c>
      <c r="AE364">
        <v>-3.6614999999999802</v>
      </c>
      <c r="AF364">
        <v>-0.960707574722795</v>
      </c>
      <c r="AG364">
        <v>-6.6023000000000095E-2</v>
      </c>
      <c r="AH364">
        <v>236.546570284106</v>
      </c>
      <c r="AI364">
        <v>90.015991810617507</v>
      </c>
      <c r="AJ364">
        <v>90.232699153760805</v>
      </c>
      <c r="AK364">
        <v>236.548530393351</v>
      </c>
      <c r="AL364">
        <v>80.273712910843201</v>
      </c>
      <c r="AM364">
        <v>88.773898693824805</v>
      </c>
      <c r="AN364">
        <v>1.0000000066424</v>
      </c>
    </row>
    <row r="365" spans="1:40" x14ac:dyDescent="0.25">
      <c r="A365" t="str">
        <f>"20190312172617672"</f>
        <v>20190312172617672</v>
      </c>
      <c r="B365" t="str">
        <f>"1552382777658544"</f>
        <v>1552382777658544</v>
      </c>
      <c r="C365" t="s">
        <v>40</v>
      </c>
      <c r="D365">
        <v>3.1735549999999999</v>
      </c>
      <c r="E365">
        <v>0.49058619999999997</v>
      </c>
      <c r="F365" t="s">
        <v>45</v>
      </c>
      <c r="G365">
        <v>-158.19499999999999</v>
      </c>
      <c r="H365">
        <v>0.9841413</v>
      </c>
      <c r="I365">
        <v>363.45159999999998</v>
      </c>
      <c r="J365">
        <v>-394.37349999999998</v>
      </c>
      <c r="K365">
        <v>1.099742</v>
      </c>
      <c r="L365">
        <v>367.06760000000003</v>
      </c>
      <c r="M365">
        <v>0.9997665</v>
      </c>
      <c r="N365">
        <v>0</v>
      </c>
      <c r="O365">
        <v>-1.9686809999999999E-2</v>
      </c>
      <c r="P365">
        <v>0.98625079999999998</v>
      </c>
      <c r="Q365">
        <v>0.160279799999999</v>
      </c>
      <c r="R365">
        <v>-4.0253549999999999E-2</v>
      </c>
      <c r="S365">
        <v>3.040314</v>
      </c>
      <c r="T365">
        <v>-1.4617439999999901E-3</v>
      </c>
      <c r="U365">
        <v>-4.6569819999999998E-2</v>
      </c>
      <c r="V365">
        <v>2.088742E-2</v>
      </c>
      <c r="W365">
        <v>0.16907039999999901</v>
      </c>
      <c r="X365">
        <v>0.9853826</v>
      </c>
      <c r="Y365">
        <v>-4.3726040000000004E-3</v>
      </c>
      <c r="Z365" s="1">
        <v>1.051526E-5</v>
      </c>
      <c r="AA365">
        <v>0.9999905</v>
      </c>
      <c r="AB365">
        <v>33</v>
      </c>
      <c r="AC365">
        <v>236.17850000000001</v>
      </c>
      <c r="AD365">
        <v>-0.1156007</v>
      </c>
      <c r="AE365">
        <v>-3.6160000000000401</v>
      </c>
      <c r="AF365">
        <v>-1.0344864008050101</v>
      </c>
      <c r="AG365">
        <v>-0.1156007</v>
      </c>
      <c r="AH365">
        <v>236.20385777777301</v>
      </c>
      <c r="AI365">
        <v>90.028040897513307</v>
      </c>
      <c r="AJ365">
        <v>90.250932928549403</v>
      </c>
      <c r="AK365">
        <v>236.206151390554</v>
      </c>
      <c r="AL365">
        <v>80.266225211391699</v>
      </c>
      <c r="AM365">
        <v>88.785667805927105</v>
      </c>
      <c r="AN365">
        <v>0.999999976426587</v>
      </c>
    </row>
    <row r="366" spans="1:40" x14ac:dyDescent="0.25">
      <c r="A366" t="str">
        <f>"20190312172617692"</f>
        <v>20190312172617692</v>
      </c>
      <c r="B366" t="str">
        <f>"1552382777688798"</f>
        <v>1552382777688798</v>
      </c>
      <c r="C366" t="s">
        <v>40</v>
      </c>
      <c r="D366">
        <v>3.1743809999999999</v>
      </c>
      <c r="E366">
        <v>0.49971599999999999</v>
      </c>
      <c r="F366" t="s">
        <v>45</v>
      </c>
      <c r="G366">
        <v>-158.19499999999999</v>
      </c>
      <c r="H366">
        <v>0.88302179999999997</v>
      </c>
      <c r="I366">
        <v>363.48090000000002</v>
      </c>
      <c r="J366">
        <v>-394.05739999999997</v>
      </c>
      <c r="K366">
        <v>1.1012010000000001</v>
      </c>
      <c r="L366">
        <v>367.06119999999999</v>
      </c>
      <c r="M366">
        <v>0.99975930000000002</v>
      </c>
      <c r="N366">
        <v>0</v>
      </c>
      <c r="O366">
        <v>-1.982399E-2</v>
      </c>
      <c r="P366">
        <v>0.98631310000000005</v>
      </c>
      <c r="Q366">
        <v>0.1598301</v>
      </c>
      <c r="R366">
        <v>-4.05101E-2</v>
      </c>
      <c r="S366">
        <v>3.0404049999999998</v>
      </c>
      <c r="T366">
        <v>-2.7887820000000001E-3</v>
      </c>
      <c r="U366">
        <v>-4.6173100000000002E-2</v>
      </c>
      <c r="V366">
        <v>2.1007250000000002E-2</v>
      </c>
      <c r="W366">
        <v>0.1690953</v>
      </c>
      <c r="X366">
        <v>0.98537580000000002</v>
      </c>
      <c r="Y366">
        <v>-4.6408100000000004E-3</v>
      </c>
      <c r="Z366" s="1">
        <v>2.0309779999999999E-5</v>
      </c>
      <c r="AA366">
        <v>0.99998920000000002</v>
      </c>
      <c r="AB366">
        <v>33</v>
      </c>
      <c r="AC366">
        <v>235.86240000000001</v>
      </c>
      <c r="AD366">
        <v>-0.21817919999999999</v>
      </c>
      <c r="AE366">
        <v>-3.5802999999999598</v>
      </c>
      <c r="AF366">
        <v>-1.0963431321704</v>
      </c>
      <c r="AG366">
        <v>-0.21817919999999999</v>
      </c>
      <c r="AH366">
        <v>235.88682267007201</v>
      </c>
      <c r="AI366">
        <v>90.052994095285001</v>
      </c>
      <c r="AJ366">
        <v>90.2662945787269</v>
      </c>
      <c r="AK366">
        <v>235.88947132038001</v>
      </c>
      <c r="AL366">
        <v>80.264777898706996</v>
      </c>
      <c r="AM366">
        <v>88.778694926216701</v>
      </c>
      <c r="AN366">
        <v>0.99999999613014601</v>
      </c>
    </row>
    <row r="367" spans="1:40" x14ac:dyDescent="0.25">
      <c r="A367" t="str">
        <f>"20190312172617714"</f>
        <v>20190312172617714</v>
      </c>
      <c r="B367" t="str">
        <f>"1552382777709293"</f>
        <v>1552382777709293</v>
      </c>
      <c r="C367" t="s">
        <v>40</v>
      </c>
      <c r="D367">
        <v>3.2950590000000002</v>
      </c>
      <c r="E367">
        <v>0.50008739999999996</v>
      </c>
      <c r="F367" t="s">
        <v>41</v>
      </c>
      <c r="G367">
        <v>-352.66879999999998</v>
      </c>
      <c r="H367" s="1">
        <v>-3.8697899999999999E-6</v>
      </c>
      <c r="I367">
        <v>365.43110000000001</v>
      </c>
      <c r="J367">
        <v>-393.74270000000001</v>
      </c>
      <c r="K367">
        <v>1.1024689999999999</v>
      </c>
      <c r="L367">
        <v>367.0548</v>
      </c>
      <c r="M367">
        <v>0.99975230000000004</v>
      </c>
      <c r="N367">
        <v>0</v>
      </c>
      <c r="O367">
        <v>-1.996038E-2</v>
      </c>
      <c r="P367">
        <v>0.9864058</v>
      </c>
      <c r="Q367">
        <v>0.15923080000000001</v>
      </c>
      <c r="R367">
        <v>-4.0613139999999999E-2</v>
      </c>
      <c r="S367">
        <v>3.0498660000000002</v>
      </c>
      <c r="T367">
        <v>-8.1145880000000004E-2</v>
      </c>
      <c r="U367">
        <v>-0.12011719999999999</v>
      </c>
      <c r="V367">
        <v>2.0973729999999999E-2</v>
      </c>
      <c r="W367">
        <v>0.16893320000000001</v>
      </c>
      <c r="X367">
        <v>0.98540430000000001</v>
      </c>
      <c r="Y367">
        <v>1.9400379999999998E-2</v>
      </c>
      <c r="Z367">
        <v>2.727796E-4</v>
      </c>
      <c r="AA367">
        <v>0.99981180000000003</v>
      </c>
      <c r="AB367">
        <v>33</v>
      </c>
      <c r="AC367">
        <v>41.073900000000002</v>
      </c>
      <c r="AD367">
        <v>-1.1024728697899999</v>
      </c>
      <c r="AE367">
        <v>-1.6236999999999799</v>
      </c>
      <c r="AF367">
        <v>0.80290854302746895</v>
      </c>
      <c r="AG367">
        <v>-1.1024728697899999</v>
      </c>
      <c r="AH367">
        <v>41.068585662374097</v>
      </c>
      <c r="AI367">
        <v>91.537423673754802</v>
      </c>
      <c r="AJ367">
        <v>88.879985508655295</v>
      </c>
      <c r="AK367">
        <v>41.091225789271</v>
      </c>
      <c r="AL367">
        <v>80.274200941782496</v>
      </c>
      <c r="AM367">
        <v>88.780678355887304</v>
      </c>
      <c r="AN367">
        <v>0.99999997893542103</v>
      </c>
    </row>
    <row r="368" spans="1:40" x14ac:dyDescent="0.25">
      <c r="A368" t="str">
        <f>"20190312172617737"</f>
        <v>20190312172617737</v>
      </c>
      <c r="B368" t="str">
        <f>"1552382777728812"</f>
        <v>1552382777728812</v>
      </c>
      <c r="C368" t="s">
        <v>40</v>
      </c>
      <c r="D368">
        <v>3.2007249999999998</v>
      </c>
      <c r="E368">
        <v>0.5002006</v>
      </c>
      <c r="F368" t="s">
        <v>41</v>
      </c>
      <c r="G368">
        <v>-353.8689</v>
      </c>
      <c r="H368" s="1">
        <v>-3.3533370000000001E-6</v>
      </c>
      <c r="I368">
        <v>365.44009999999997</v>
      </c>
      <c r="J368">
        <v>-393.39330000000001</v>
      </c>
      <c r="K368">
        <v>1.1036779999999999</v>
      </c>
      <c r="L368">
        <v>367.04770000000002</v>
      </c>
      <c r="M368">
        <v>0.99974499999999999</v>
      </c>
      <c r="N368">
        <v>0</v>
      </c>
      <c r="O368">
        <v>-2.0111199999999999E-2</v>
      </c>
      <c r="P368">
        <v>0.98652169999999895</v>
      </c>
      <c r="Q368">
        <v>0.15848660000000001</v>
      </c>
      <c r="R368">
        <v>-4.0706779999999998E-2</v>
      </c>
      <c r="S368">
        <v>3.0498660000000002</v>
      </c>
      <c r="T368">
        <v>-8.4325670000000005E-2</v>
      </c>
      <c r="U368">
        <v>-0.12350460000000001</v>
      </c>
      <c r="V368">
        <v>2.091579E-2</v>
      </c>
      <c r="W368">
        <v>0.16863239999999999</v>
      </c>
      <c r="X368">
        <v>0.98545709999999997</v>
      </c>
      <c r="Y368">
        <v>2.0357879999999998E-2</v>
      </c>
      <c r="Z368">
        <v>2.7439679999999999E-4</v>
      </c>
      <c r="AA368">
        <v>0.99979269999999998</v>
      </c>
      <c r="AB368">
        <v>33</v>
      </c>
      <c r="AC368">
        <v>39.5244</v>
      </c>
      <c r="AD368">
        <v>-1.103681353337</v>
      </c>
      <c r="AE368">
        <v>-1.6076000000000401</v>
      </c>
      <c r="AF368">
        <v>0.81171789720570298</v>
      </c>
      <c r="AG368">
        <v>-1.103681353337</v>
      </c>
      <c r="AH368">
        <v>39.517974441248001</v>
      </c>
      <c r="AI368">
        <v>91.599437346206301</v>
      </c>
      <c r="AJ368">
        <v>88.823283044480803</v>
      </c>
      <c r="AK368">
        <v>39.541715977097901</v>
      </c>
      <c r="AL368">
        <v>80.291686835460098</v>
      </c>
      <c r="AM368">
        <v>88.784110853644606</v>
      </c>
      <c r="AN368">
        <v>1.00000002627074</v>
      </c>
    </row>
    <row r="369" spans="1:40" x14ac:dyDescent="0.25">
      <c r="A369" t="str">
        <f>"20190312172617760"</f>
        <v>20190312172617760</v>
      </c>
      <c r="B369" t="str">
        <f>"1552382777749308"</f>
        <v>1552382777749308</v>
      </c>
      <c r="C369" t="s">
        <v>40</v>
      </c>
      <c r="D369">
        <v>3.1778490000000001</v>
      </c>
      <c r="E369">
        <v>0.50029319999999999</v>
      </c>
      <c r="F369" t="s">
        <v>41</v>
      </c>
      <c r="G369">
        <v>-354.99990000000003</v>
      </c>
      <c r="H369" s="1">
        <v>-2.861176E-6</v>
      </c>
      <c r="I369">
        <v>365.47949999999997</v>
      </c>
      <c r="J369">
        <v>-393.06869999999998</v>
      </c>
      <c r="K369">
        <v>1.104641</v>
      </c>
      <c r="L369">
        <v>367.041</v>
      </c>
      <c r="M369">
        <v>0.99973800000000002</v>
      </c>
      <c r="N369">
        <v>0</v>
      </c>
      <c r="O369">
        <v>-2.0251129999999999E-2</v>
      </c>
      <c r="P369">
        <v>0.98662169999999905</v>
      </c>
      <c r="Q369">
        <v>0.15774969999999999</v>
      </c>
      <c r="R369">
        <v>-4.1145920000000002E-2</v>
      </c>
      <c r="S369">
        <v>3.0499269999999998</v>
      </c>
      <c r="T369">
        <v>-8.7674859999999993E-2</v>
      </c>
      <c r="U369">
        <v>-0.1245728</v>
      </c>
      <c r="V369">
        <v>2.121439E-2</v>
      </c>
      <c r="W369">
        <v>0.16826949999999999</v>
      </c>
      <c r="X369">
        <v>0.98551270000000002</v>
      </c>
      <c r="Y369">
        <v>2.0566569999999999E-2</v>
      </c>
      <c r="Z369">
        <v>2.8630590000000003E-4</v>
      </c>
      <c r="AA369">
        <v>0.99978849999999997</v>
      </c>
      <c r="AB369">
        <v>33</v>
      </c>
      <c r="AC369">
        <v>38.068799999999896</v>
      </c>
      <c r="AD369">
        <v>-1.1046438611760001</v>
      </c>
      <c r="AE369">
        <v>-1.5615000000000201</v>
      </c>
      <c r="AF369">
        <v>0.78953597834424205</v>
      </c>
      <c r="AG369">
        <v>-1.1046438611760001</v>
      </c>
      <c r="AH369">
        <v>38.060623302385501</v>
      </c>
      <c r="AI369">
        <v>91.662086993294494</v>
      </c>
      <c r="AJ369">
        <v>88.811617144736999</v>
      </c>
      <c r="AK369">
        <v>38.084834925298402</v>
      </c>
      <c r="AL369">
        <v>80.312780438872096</v>
      </c>
      <c r="AM369">
        <v>88.766827338661201</v>
      </c>
      <c r="AN369">
        <v>0.99999997841730504</v>
      </c>
    </row>
    <row r="370" spans="1:40" x14ac:dyDescent="0.25">
      <c r="A370" t="str">
        <f>"20190312172617782"</f>
        <v>20190312172617782</v>
      </c>
      <c r="B370" t="str">
        <f>"1552382777778590"</f>
        <v>1552382777778590</v>
      </c>
      <c r="C370" t="s">
        <v>40</v>
      </c>
      <c r="D370">
        <v>3.2199110000000002</v>
      </c>
      <c r="E370">
        <v>0.49991580000000002</v>
      </c>
      <c r="F370" t="s">
        <v>41</v>
      </c>
      <c r="G370">
        <v>-355.96440000000001</v>
      </c>
      <c r="H370" s="1">
        <v>-2.4551060000000002E-6</v>
      </c>
      <c r="I370">
        <v>365.4984</v>
      </c>
      <c r="J370">
        <v>-392.74130000000002</v>
      </c>
      <c r="K370">
        <v>1.10547</v>
      </c>
      <c r="L370">
        <v>367.0342</v>
      </c>
      <c r="M370">
        <v>0.9997315</v>
      </c>
      <c r="N370">
        <v>0</v>
      </c>
      <c r="O370">
        <v>-2.0392489999999999E-2</v>
      </c>
      <c r="P370">
        <v>0.98668800000000001</v>
      </c>
      <c r="Q370">
        <v>0.15723470000000001</v>
      </c>
      <c r="R370">
        <v>-4.1525569999999998E-2</v>
      </c>
      <c r="S370">
        <v>3.0499269999999998</v>
      </c>
      <c r="T370">
        <v>-9.0800049999999993E-2</v>
      </c>
      <c r="U370">
        <v>-0.12680050000000001</v>
      </c>
      <c r="V370">
        <v>2.1452820000000001E-2</v>
      </c>
      <c r="W370">
        <v>0.1680951</v>
      </c>
      <c r="X370">
        <v>0.98553729999999995</v>
      </c>
      <c r="Y370">
        <v>2.1153970000000001E-2</v>
      </c>
      <c r="Z370">
        <v>2.9196989999999998E-4</v>
      </c>
      <c r="AA370">
        <v>0.9997762</v>
      </c>
      <c r="AB370">
        <v>33</v>
      </c>
      <c r="AC370">
        <v>36.776899999999998</v>
      </c>
      <c r="AD370">
        <v>-1.105472455106</v>
      </c>
      <c r="AE370">
        <v>-1.5357999999999901</v>
      </c>
      <c r="AF370">
        <v>0.78475480320607804</v>
      </c>
      <c r="AG370">
        <v>-1.105472455106</v>
      </c>
      <c r="AH370">
        <v>36.767409199778797</v>
      </c>
      <c r="AI370">
        <v>91.721780846733594</v>
      </c>
      <c r="AJ370">
        <v>88.777278212530902</v>
      </c>
      <c r="AK370">
        <v>36.792394441163097</v>
      </c>
      <c r="AL370">
        <v>80.322917207216705</v>
      </c>
      <c r="AM370">
        <v>88.753003095079194</v>
      </c>
      <c r="AN370">
        <v>0.999999977910626</v>
      </c>
    </row>
    <row r="371" spans="1:40" x14ac:dyDescent="0.25">
      <c r="A371" t="str">
        <f>"20190312172617803"</f>
        <v>20190312172617803</v>
      </c>
      <c r="B371" t="str">
        <f>"1552382777799085"</f>
        <v>1552382777799085</v>
      </c>
      <c r="C371" t="s">
        <v>40</v>
      </c>
      <c r="D371">
        <v>3.1901099999999998</v>
      </c>
      <c r="E371">
        <v>0.49993140000000003</v>
      </c>
      <c r="F371" t="s">
        <v>41</v>
      </c>
      <c r="G371">
        <v>-355.4212</v>
      </c>
      <c r="H371" s="1">
        <v>-2.6749329999999999E-6</v>
      </c>
      <c r="I371">
        <v>365.51049999999998</v>
      </c>
      <c r="J371">
        <v>-392.423</v>
      </c>
      <c r="K371">
        <v>1.106158</v>
      </c>
      <c r="L371">
        <v>367.02760000000001</v>
      </c>
      <c r="M371">
        <v>0.99972519999999998</v>
      </c>
      <c r="N371">
        <v>0</v>
      </c>
      <c r="O371">
        <v>-2.052961E-2</v>
      </c>
      <c r="P371">
        <v>0.98671600000000004</v>
      </c>
      <c r="Q371">
        <v>0.15683259999999999</v>
      </c>
      <c r="R371">
        <v>-4.2369089999999998E-2</v>
      </c>
      <c r="S371">
        <v>3.0496219999999998</v>
      </c>
      <c r="T371">
        <v>-9.0333700000000003E-2</v>
      </c>
      <c r="U371">
        <v>-0.1245117</v>
      </c>
      <c r="V371">
        <v>2.2160059999999999E-2</v>
      </c>
      <c r="W371">
        <v>0.16799169999999999</v>
      </c>
      <c r="X371">
        <v>0.98553930000000001</v>
      </c>
      <c r="Y371">
        <v>2.0272269999999998E-2</v>
      </c>
      <c r="Z371">
        <v>3.076159E-4</v>
      </c>
      <c r="AA371">
        <v>0.99979439999999997</v>
      </c>
      <c r="AB371">
        <v>33</v>
      </c>
      <c r="AC371">
        <v>37.001800000000003</v>
      </c>
      <c r="AD371">
        <v>-1.106160674933</v>
      </c>
      <c r="AE371">
        <v>-1.5171000000000201</v>
      </c>
      <c r="AF371">
        <v>0.75642417590626099</v>
      </c>
      <c r="AG371">
        <v>-1.106160674933</v>
      </c>
      <c r="AH371">
        <v>36.992143847100301</v>
      </c>
      <c r="AI371">
        <v>91.712423699611307</v>
      </c>
      <c r="AJ371">
        <v>88.828565494444604</v>
      </c>
      <c r="AK371">
        <v>37.016408191195801</v>
      </c>
      <c r="AL371">
        <v>80.328927226946007</v>
      </c>
      <c r="AM371">
        <v>88.711909306869003</v>
      </c>
      <c r="AN371">
        <v>0.99999999568629105</v>
      </c>
    </row>
    <row r="372" spans="1:40" x14ac:dyDescent="0.25">
      <c r="A372" t="str">
        <f>"20190312172617826"</f>
        <v>20190312172617826</v>
      </c>
      <c r="B372" t="str">
        <f>"1552382777818605"</f>
        <v>1552382777818605</v>
      </c>
      <c r="C372" t="s">
        <v>40</v>
      </c>
      <c r="D372">
        <v>3.2318319999999998</v>
      </c>
      <c r="E372">
        <v>0.49987100000000001</v>
      </c>
      <c r="F372" t="s">
        <v>41</v>
      </c>
      <c r="G372">
        <v>-356.4504</v>
      </c>
      <c r="H372" s="1">
        <v>-2.283729E-6</v>
      </c>
      <c r="I372">
        <v>365.52080000000001</v>
      </c>
      <c r="J372">
        <v>-392.09199999999998</v>
      </c>
      <c r="K372">
        <v>1.1067659999999999</v>
      </c>
      <c r="L372">
        <v>367.02069999999998</v>
      </c>
      <c r="M372">
        <v>0.99971900000000002</v>
      </c>
      <c r="N372">
        <v>0</v>
      </c>
      <c r="O372">
        <v>-2.0672389999999999E-2</v>
      </c>
      <c r="P372">
        <v>0.9867243</v>
      </c>
      <c r="Q372">
        <v>0.15664790000000001</v>
      </c>
      <c r="R372">
        <v>-4.2856650000000003E-2</v>
      </c>
      <c r="S372">
        <v>3.0497740000000002</v>
      </c>
      <c r="T372">
        <v>-9.3780760000000005E-2</v>
      </c>
      <c r="U372">
        <v>-0.12774659999999999</v>
      </c>
      <c r="V372">
        <v>2.2506189999999999E-2</v>
      </c>
      <c r="W372">
        <v>0.1680857</v>
      </c>
      <c r="X372">
        <v>0.98551540000000004</v>
      </c>
      <c r="Y372">
        <v>2.1185679999999998E-2</v>
      </c>
      <c r="Z372">
        <v>3.0967810000000001E-4</v>
      </c>
      <c r="AA372">
        <v>0.99977550000000004</v>
      </c>
      <c r="AB372">
        <v>33</v>
      </c>
      <c r="AC372">
        <v>35.641599999999897</v>
      </c>
      <c r="AD372">
        <v>-1.1067682837289901</v>
      </c>
      <c r="AE372">
        <v>-1.49989999999996</v>
      </c>
      <c r="AF372">
        <v>0.76199932139409698</v>
      </c>
      <c r="AG372">
        <v>-1.1067682837289901</v>
      </c>
      <c r="AH372">
        <v>35.630694187007201</v>
      </c>
      <c r="AI372">
        <v>91.778755294578602</v>
      </c>
      <c r="AJ372">
        <v>88.774857131474207</v>
      </c>
      <c r="AK372">
        <v>35.656022594334601</v>
      </c>
      <c r="AL372">
        <v>80.323463458477903</v>
      </c>
      <c r="AM372">
        <v>88.691765142896102</v>
      </c>
      <c r="AN372">
        <v>0.99999996738498198</v>
      </c>
    </row>
    <row r="373" spans="1:40" x14ac:dyDescent="0.25">
      <c r="A373" t="str">
        <f>"20190312172617849"</f>
        <v>20190312172617849</v>
      </c>
      <c r="B373" t="str">
        <f>"1552382777839101"</f>
        <v>1552382777839101</v>
      </c>
      <c r="C373" t="s">
        <v>40</v>
      </c>
      <c r="D373">
        <v>3.229028</v>
      </c>
      <c r="E373">
        <v>0.49981170000000003</v>
      </c>
      <c r="F373" t="s">
        <v>41</v>
      </c>
      <c r="G373">
        <v>-356.91059999999999</v>
      </c>
      <c r="H373" s="1">
        <v>-2.1226589999999999E-6</v>
      </c>
      <c r="I373">
        <v>365.5376</v>
      </c>
      <c r="J373">
        <v>-391.75659999999999</v>
      </c>
      <c r="K373">
        <v>1.1072919999999999</v>
      </c>
      <c r="L373">
        <v>367.01350000000002</v>
      </c>
      <c r="M373">
        <v>0.99971319999999997</v>
      </c>
      <c r="N373">
        <v>0</v>
      </c>
      <c r="O373">
        <v>-2.08173E-2</v>
      </c>
      <c r="P373">
        <v>0.98668350000000005</v>
      </c>
      <c r="Q373">
        <v>0.1567656</v>
      </c>
      <c r="R373">
        <v>-4.3366780000000001E-2</v>
      </c>
      <c r="S373">
        <v>3.050049</v>
      </c>
      <c r="T373">
        <v>-9.5950960000000002E-2</v>
      </c>
      <c r="U373">
        <v>-0.12857060000000001</v>
      </c>
      <c r="V373">
        <v>2.2873870000000001E-2</v>
      </c>
      <c r="W373">
        <v>0.1684543</v>
      </c>
      <c r="X373">
        <v>0.98544399999999999</v>
      </c>
      <c r="Y373">
        <v>2.1306539999999999E-2</v>
      </c>
      <c r="Z373">
        <v>3.1946630000000001E-4</v>
      </c>
      <c r="AA373">
        <v>0.99977300000000002</v>
      </c>
      <c r="AB373">
        <v>33</v>
      </c>
      <c r="AC373">
        <v>34.845999999999997</v>
      </c>
      <c r="AD373">
        <v>-1.1072941226589901</v>
      </c>
      <c r="AE373">
        <v>-1.47590000000002</v>
      </c>
      <c r="AF373">
        <v>0.749374309577298</v>
      </c>
      <c r="AG373">
        <v>-1.1072941226589901</v>
      </c>
      <c r="AH373">
        <v>34.834062883852297</v>
      </c>
      <c r="AI373">
        <v>91.820266083624603</v>
      </c>
      <c r="AJ373">
        <v>88.767603892031602</v>
      </c>
      <c r="AK373">
        <v>34.859713124552599</v>
      </c>
      <c r="AL373">
        <v>80.302038773622996</v>
      </c>
      <c r="AM373">
        <v>88.670304030153503</v>
      </c>
      <c r="AN373">
        <v>0.99999997112663297</v>
      </c>
    </row>
    <row r="374" spans="1:40" x14ac:dyDescent="0.25">
      <c r="A374" t="str">
        <f>"20190312172617872"</f>
        <v>20190312172617872</v>
      </c>
      <c r="B374" t="str">
        <f>"1552382777869357"</f>
        <v>1552382777869357</v>
      </c>
      <c r="C374" t="s">
        <v>40</v>
      </c>
      <c r="D374">
        <v>3.2240549999999999</v>
      </c>
      <c r="E374">
        <v>0.4996237</v>
      </c>
      <c r="F374" t="s">
        <v>41</v>
      </c>
      <c r="G374">
        <v>-357.1078</v>
      </c>
      <c r="H374" s="1">
        <v>-2.0547789999999998E-6</v>
      </c>
      <c r="I374">
        <v>365.54050000000001</v>
      </c>
      <c r="J374">
        <v>-391.42180000000002</v>
      </c>
      <c r="K374">
        <v>1.1077220000000001</v>
      </c>
      <c r="L374">
        <v>367.00639999999999</v>
      </c>
      <c r="M374">
        <v>0.99970729999999997</v>
      </c>
      <c r="N374">
        <v>0</v>
      </c>
      <c r="O374">
        <v>-2.0961830000000001E-2</v>
      </c>
      <c r="P374">
        <v>0.98665170000000002</v>
      </c>
      <c r="Q374">
        <v>0.15684400000000001</v>
      </c>
      <c r="R374">
        <v>-4.3799440000000002E-2</v>
      </c>
      <c r="S374">
        <v>3.0502319999999998</v>
      </c>
      <c r="T374">
        <v>-9.7477910000000001E-2</v>
      </c>
      <c r="U374">
        <v>-0.12966920000000001</v>
      </c>
      <c r="V374">
        <v>2.3164690000000002E-2</v>
      </c>
      <c r="W374">
        <v>0.1687546</v>
      </c>
      <c r="X374">
        <v>0.98538579999999998</v>
      </c>
      <c r="Y374">
        <v>2.1518840000000001E-2</v>
      </c>
      <c r="Z374">
        <v>3.2575120000000001E-4</v>
      </c>
      <c r="AA374">
        <v>0.9997684</v>
      </c>
      <c r="AB374">
        <v>33</v>
      </c>
      <c r="AC374">
        <v>34.314</v>
      </c>
      <c r="AD374">
        <v>-1.1077240547789999</v>
      </c>
      <c r="AE374">
        <v>-1.46589999999997</v>
      </c>
      <c r="AF374">
        <v>0.74546568829544602</v>
      </c>
      <c r="AG374">
        <v>-1.1077240547789999</v>
      </c>
      <c r="AH374">
        <v>34.301508108162203</v>
      </c>
      <c r="AI374">
        <v>91.849215962330106</v>
      </c>
      <c r="AJ374">
        <v>88.755001820515702</v>
      </c>
      <c r="AK374">
        <v>34.327485054519798</v>
      </c>
      <c r="AL374">
        <v>80.284582706329701</v>
      </c>
      <c r="AM374">
        <v>88.653324862466803</v>
      </c>
      <c r="AN374">
        <v>0.99999994636279599</v>
      </c>
    </row>
    <row r="375" spans="1:40" x14ac:dyDescent="0.25">
      <c r="A375" t="str">
        <f>"20190312172617894"</f>
        <v>20190312172617894</v>
      </c>
      <c r="B375" t="str">
        <f>"1552382777888876"</f>
        <v>1552382777888876</v>
      </c>
      <c r="C375" t="s">
        <v>40</v>
      </c>
      <c r="D375">
        <v>3.2522359999999999</v>
      </c>
      <c r="E375">
        <v>0.49959730000000002</v>
      </c>
      <c r="F375" t="s">
        <v>41</v>
      </c>
      <c r="G375">
        <v>-357.07150000000001</v>
      </c>
      <c r="H375" s="1">
        <v>-2.064582E-6</v>
      </c>
      <c r="I375">
        <v>365.55</v>
      </c>
      <c r="J375">
        <v>-391.09879999999998</v>
      </c>
      <c r="K375">
        <v>1.1080700000000001</v>
      </c>
      <c r="L375">
        <v>366.99950000000001</v>
      </c>
      <c r="M375">
        <v>0.99970199999999998</v>
      </c>
      <c r="N375">
        <v>0</v>
      </c>
      <c r="O375">
        <v>-2.1101290000000002E-2</v>
      </c>
      <c r="P375">
        <v>0.98668199999999995</v>
      </c>
      <c r="Q375">
        <v>0.1565676</v>
      </c>
      <c r="R375">
        <v>-4.410538E-2</v>
      </c>
      <c r="S375">
        <v>3.0505369999999998</v>
      </c>
      <c r="T375">
        <v>-9.8373059999999998E-2</v>
      </c>
      <c r="U375">
        <v>-0.12933349999999999</v>
      </c>
      <c r="V375">
        <v>2.3332160000000001E-2</v>
      </c>
      <c r="W375">
        <v>0.16866900000000001</v>
      </c>
      <c r="X375">
        <v>0.98539659999999996</v>
      </c>
      <c r="Y375">
        <v>2.1265450000000002E-2</v>
      </c>
      <c r="Z375">
        <v>3.3728639999999998E-4</v>
      </c>
      <c r="AA375">
        <v>0.99977380000000005</v>
      </c>
      <c r="AB375">
        <v>33</v>
      </c>
      <c r="AC375">
        <v>34.027299999999897</v>
      </c>
      <c r="AD375">
        <v>-1.1080720645819999</v>
      </c>
      <c r="AE375">
        <v>-1.4495</v>
      </c>
      <c r="AF375">
        <v>0.73033013556543003</v>
      </c>
      <c r="AG375">
        <v>-1.1080720645819999</v>
      </c>
      <c r="AH375">
        <v>34.014306688750104</v>
      </c>
      <c r="AI375">
        <v>91.865414901053896</v>
      </c>
      <c r="AJ375">
        <v>88.769976227575199</v>
      </c>
      <c r="AK375">
        <v>34.040186035384302</v>
      </c>
      <c r="AL375">
        <v>80.289559472691096</v>
      </c>
      <c r="AM375">
        <v>88.643607508679807</v>
      </c>
      <c r="AN375">
        <v>1.00000004027141</v>
      </c>
    </row>
    <row r="376" spans="1:40" x14ac:dyDescent="0.25">
      <c r="A376" t="str">
        <f>"20190312172617917"</f>
        <v>20190312172617917</v>
      </c>
      <c r="B376" t="str">
        <f>"1552382777909373"</f>
        <v>1552382777909373</v>
      </c>
      <c r="C376" t="s">
        <v>40</v>
      </c>
      <c r="D376">
        <v>3.2489409999999999</v>
      </c>
      <c r="E376">
        <v>0.49954159999999997</v>
      </c>
      <c r="F376" t="s">
        <v>41</v>
      </c>
      <c r="G376">
        <v>-357.19130000000001</v>
      </c>
      <c r="H376" s="1">
        <v>-2.0231109999999998E-6</v>
      </c>
      <c r="I376">
        <v>365.55279999999999</v>
      </c>
      <c r="J376">
        <v>-390.77330000000001</v>
      </c>
      <c r="K376">
        <v>1.1083620000000001</v>
      </c>
      <c r="L376">
        <v>366.99250000000001</v>
      </c>
      <c r="M376">
        <v>0.99969699999999995</v>
      </c>
      <c r="N376">
        <v>0</v>
      </c>
      <c r="O376">
        <v>-2.1242170000000001E-2</v>
      </c>
      <c r="P376">
        <v>0.98673619999999995</v>
      </c>
      <c r="Q376">
        <v>0.15615570000000001</v>
      </c>
      <c r="R376">
        <v>-4.4352719999999998E-2</v>
      </c>
      <c r="S376">
        <v>3.0505369999999998</v>
      </c>
      <c r="T376">
        <v>-9.9689009999999995E-2</v>
      </c>
      <c r="U376">
        <v>-0.13015750000000001</v>
      </c>
      <c r="V376">
        <v>2.3438939999999998E-2</v>
      </c>
      <c r="W376">
        <v>0.16842370000000001</v>
      </c>
      <c r="X376">
        <v>0.98543599999999998</v>
      </c>
      <c r="Y376">
        <v>2.1394079999999999E-2</v>
      </c>
      <c r="Z376">
        <v>3.4429339999999902E-4</v>
      </c>
      <c r="AA376">
        <v>0.99977110000000002</v>
      </c>
      <c r="AB376">
        <v>33</v>
      </c>
      <c r="AC376">
        <v>33.581999999999901</v>
      </c>
      <c r="AD376">
        <v>-1.1083640231109999</v>
      </c>
      <c r="AE376">
        <v>-1.43970000000001</v>
      </c>
      <c r="AF376">
        <v>0.72517687206904802</v>
      </c>
      <c r="AG376">
        <v>-1.1083640231109999</v>
      </c>
      <c r="AH376">
        <v>33.5685066449347</v>
      </c>
      <c r="AI376">
        <v>91.890662642782203</v>
      </c>
      <c r="AJ376">
        <v>88.762437873759197</v>
      </c>
      <c r="AK376">
        <v>33.594627407883799</v>
      </c>
      <c r="AL376">
        <v>80.303817900378505</v>
      </c>
      <c r="AM376">
        <v>88.637456751167207</v>
      </c>
      <c r="AN376">
        <v>1.000000018363</v>
      </c>
    </row>
    <row r="377" spans="1:40" x14ac:dyDescent="0.25">
      <c r="A377" t="str">
        <f>"20190312172617939"</f>
        <v>20190312172617939</v>
      </c>
      <c r="B377" t="str">
        <f>"1552382777928895"</f>
        <v>1552382777928895</v>
      </c>
      <c r="C377" t="s">
        <v>40</v>
      </c>
      <c r="D377">
        <v>3.2317010000000002</v>
      </c>
      <c r="E377">
        <v>0.49940430000000002</v>
      </c>
      <c r="F377" t="s">
        <v>41</v>
      </c>
      <c r="G377">
        <v>-357.56670000000003</v>
      </c>
      <c r="H377" s="1">
        <v>-1.8906759999999999E-6</v>
      </c>
      <c r="I377">
        <v>365.57029999999997</v>
      </c>
      <c r="J377">
        <v>-390.44189999999998</v>
      </c>
      <c r="K377">
        <v>1.108606</v>
      </c>
      <c r="L377">
        <v>366.9853</v>
      </c>
      <c r="M377">
        <v>0.99969209999999997</v>
      </c>
      <c r="N377">
        <v>0</v>
      </c>
      <c r="O377">
        <v>-2.138578E-2</v>
      </c>
      <c r="P377">
        <v>0.98676399999999997</v>
      </c>
      <c r="Q377">
        <v>0.15594520000000001</v>
      </c>
      <c r="R377">
        <v>-4.4472970000000001E-2</v>
      </c>
      <c r="S377">
        <v>3.0505979999999999</v>
      </c>
      <c r="T377">
        <v>-0.1018221</v>
      </c>
      <c r="U377">
        <v>-0.13064580000000001</v>
      </c>
      <c r="V377">
        <v>2.341681E-2</v>
      </c>
      <c r="W377">
        <v>0.16835929999999999</v>
      </c>
      <c r="X377">
        <v>0.98544750000000003</v>
      </c>
      <c r="Y377">
        <v>2.1409359999999999E-2</v>
      </c>
      <c r="Z377">
        <v>3.5618299999999999E-4</v>
      </c>
      <c r="AA377">
        <v>0.99977070000000001</v>
      </c>
      <c r="AB377">
        <v>33</v>
      </c>
      <c r="AC377">
        <v>32.8751999999999</v>
      </c>
      <c r="AD377">
        <v>-1.108607890676</v>
      </c>
      <c r="AE377">
        <v>-1.41500000000002</v>
      </c>
      <c r="AF377">
        <v>0.71075212825121303</v>
      </c>
      <c r="AG377">
        <v>-1.108607890676</v>
      </c>
      <c r="AH377">
        <v>32.860644960019201</v>
      </c>
      <c r="AI377">
        <v>91.931783017576294</v>
      </c>
      <c r="AJ377">
        <v>88.760926676221004</v>
      </c>
      <c r="AK377">
        <v>32.8870212581121</v>
      </c>
      <c r="AL377">
        <v>80.307560905699304</v>
      </c>
      <c r="AM377">
        <v>88.638758599010799</v>
      </c>
      <c r="AN377">
        <v>0.99999998807165802</v>
      </c>
    </row>
    <row r="378" spans="1:40" x14ac:dyDescent="0.25">
      <c r="A378" t="str">
        <f>"20190312172617960"</f>
        <v>20190312172617960</v>
      </c>
      <c r="B378" t="str">
        <f>"1552382777949389"</f>
        <v>1552382777949389</v>
      </c>
      <c r="C378" t="s">
        <v>40</v>
      </c>
      <c r="D378">
        <v>3.2508080000000001</v>
      </c>
      <c r="E378">
        <v>0.49935489999999999</v>
      </c>
      <c r="F378" t="s">
        <v>41</v>
      </c>
      <c r="G378">
        <v>-357.51549999999997</v>
      </c>
      <c r="H378" s="1">
        <v>-1.9041990000000001E-6</v>
      </c>
      <c r="I378">
        <v>365.58499999999998</v>
      </c>
      <c r="J378">
        <v>-390.12970000000001</v>
      </c>
      <c r="K378">
        <v>1.1087959999999999</v>
      </c>
      <c r="L378">
        <v>366.9785</v>
      </c>
      <c r="M378">
        <v>0.99968769999999996</v>
      </c>
      <c r="N378">
        <v>0</v>
      </c>
      <c r="O378">
        <v>-2.152126E-2</v>
      </c>
      <c r="P378">
        <v>0.98678339999999998</v>
      </c>
      <c r="Q378">
        <v>0.15568470000000001</v>
      </c>
      <c r="R378">
        <v>-4.4954649999999999E-2</v>
      </c>
      <c r="S378">
        <v>3.0506289999999998</v>
      </c>
      <c r="T378">
        <v>-0.1027122</v>
      </c>
      <c r="U378">
        <v>-0.12973019999999999</v>
      </c>
      <c r="V378">
        <v>2.3763869999999999E-2</v>
      </c>
      <c r="W378">
        <v>0.1682197</v>
      </c>
      <c r="X378">
        <v>0.98546299999999998</v>
      </c>
      <c r="Y378">
        <v>2.0974240000000002E-2</v>
      </c>
      <c r="Z378">
        <v>3.7117139999999997E-4</v>
      </c>
      <c r="AA378">
        <v>0.99977990000000005</v>
      </c>
      <c r="AB378">
        <v>33</v>
      </c>
      <c r="AC378">
        <v>32.614199999999997</v>
      </c>
      <c r="AD378">
        <v>-1.1087979041989999</v>
      </c>
      <c r="AE378">
        <v>-1.39350000000001</v>
      </c>
      <c r="AF378">
        <v>0.69042533911683202</v>
      </c>
      <c r="AG378">
        <v>-1.1087979041989999</v>
      </c>
      <c r="AH378">
        <v>32.599027284135502</v>
      </c>
      <c r="AI378">
        <v>91.947626546510506</v>
      </c>
      <c r="AJ378">
        <v>88.786695553305194</v>
      </c>
      <c r="AK378">
        <v>32.625185054081498</v>
      </c>
      <c r="AL378">
        <v>80.3156748177841</v>
      </c>
      <c r="AM378">
        <v>88.618613151399202</v>
      </c>
      <c r="AN378">
        <v>0.99999995667723196</v>
      </c>
    </row>
    <row r="379" spans="1:40" x14ac:dyDescent="0.25">
      <c r="A379" t="str">
        <f>"20190312172617983"</f>
        <v>20190312172617983</v>
      </c>
      <c r="B379" t="str">
        <f>"1552382777978669"</f>
        <v>1552382777978669</v>
      </c>
      <c r="C379" t="s">
        <v>40</v>
      </c>
      <c r="D379">
        <v>3.2428330000000001</v>
      </c>
      <c r="E379">
        <v>0.5007144</v>
      </c>
      <c r="F379" t="s">
        <v>41</v>
      </c>
      <c r="G379">
        <v>-357.50189999999998</v>
      </c>
      <c r="H379" s="1">
        <v>-1.9084790000000001E-6</v>
      </c>
      <c r="I379">
        <v>365.58629999999999</v>
      </c>
      <c r="J379">
        <v>-389.80650000000003</v>
      </c>
      <c r="K379">
        <v>1.1089690000000001</v>
      </c>
      <c r="L379">
        <v>366.97129999999999</v>
      </c>
      <c r="M379">
        <v>0.99968319999999999</v>
      </c>
      <c r="N379">
        <v>0</v>
      </c>
      <c r="O379">
        <v>-2.166204E-2</v>
      </c>
      <c r="P379">
        <v>0.98689789999999999</v>
      </c>
      <c r="Q379">
        <v>0.1549305</v>
      </c>
      <c r="R379">
        <v>-4.504594E-2</v>
      </c>
      <c r="S379">
        <v>3.0506289999999998</v>
      </c>
      <c r="T379">
        <v>-0.103669899999999</v>
      </c>
      <c r="U379">
        <v>-0.13015750000000001</v>
      </c>
      <c r="V379">
        <v>2.3713229999999998E-2</v>
      </c>
      <c r="W379">
        <v>0.16757759999999999</v>
      </c>
      <c r="X379">
        <v>0.98557360000000005</v>
      </c>
      <c r="Y379">
        <v>2.0973269999999999E-2</v>
      </c>
      <c r="Z379">
        <v>3.7942549999999997E-4</v>
      </c>
      <c r="AA379">
        <v>0.99977990000000005</v>
      </c>
      <c r="AB379">
        <v>33</v>
      </c>
      <c r="AC379">
        <v>32.304600000000001</v>
      </c>
      <c r="AD379">
        <v>-1.108970908479</v>
      </c>
      <c r="AE379">
        <v>-1.38499999999999</v>
      </c>
      <c r="AF379">
        <v>0.68402932470269096</v>
      </c>
      <c r="AG379">
        <v>-1.108970908479</v>
      </c>
      <c r="AH379">
        <v>32.289041641915098</v>
      </c>
      <c r="AI379">
        <v>91.966616149116007</v>
      </c>
      <c r="AJ379">
        <v>88.786395321223395</v>
      </c>
      <c r="AK379">
        <v>32.315320248238798</v>
      </c>
      <c r="AL379">
        <v>80.352994104367696</v>
      </c>
      <c r="AM379">
        <v>88.621710330751696</v>
      </c>
      <c r="AN379">
        <v>0.99999994515787505</v>
      </c>
    </row>
    <row r="380" spans="1:40" x14ac:dyDescent="0.25">
      <c r="A380" t="str">
        <f>"20190312172618005"</f>
        <v>20190312172618005</v>
      </c>
      <c r="B380" t="str">
        <f>"1552382777999165"</f>
        <v>1552382777999165</v>
      </c>
      <c r="C380" t="s">
        <v>40</v>
      </c>
      <c r="D380">
        <v>3.2358169999999999</v>
      </c>
      <c r="E380">
        <v>0.50172899999999998</v>
      </c>
      <c r="F380" t="s">
        <v>41</v>
      </c>
      <c r="G380">
        <v>-357.48779999999999</v>
      </c>
      <c r="H380" s="1">
        <v>-1.943956E-6</v>
      </c>
      <c r="I380">
        <v>365.471</v>
      </c>
      <c r="J380">
        <v>-389.47890000000001</v>
      </c>
      <c r="K380">
        <v>1.109103</v>
      </c>
      <c r="L380">
        <v>366.96409999999997</v>
      </c>
      <c r="M380">
        <v>0.99967870000000003</v>
      </c>
      <c r="N380">
        <v>0</v>
      </c>
      <c r="O380">
        <v>-2.1804299999999999E-2</v>
      </c>
      <c r="P380">
        <v>0.98693509999999995</v>
      </c>
      <c r="Q380">
        <v>0.15451579999999901</v>
      </c>
      <c r="R380">
        <v>-4.5648910000000001E-2</v>
      </c>
      <c r="S380">
        <v>3.0498050000000001</v>
      </c>
      <c r="T380">
        <v>-0.1046493</v>
      </c>
      <c r="U380">
        <v>-0.141571</v>
      </c>
      <c r="V380">
        <v>2.4174439999999998E-2</v>
      </c>
      <c r="W380">
        <v>0.1672621</v>
      </c>
      <c r="X380">
        <v>0.98561600000000005</v>
      </c>
      <c r="Y380">
        <v>2.4574459999999999E-2</v>
      </c>
      <c r="Z380">
        <v>3.2621540000000001E-4</v>
      </c>
      <c r="AA380">
        <v>0.99969790000000003</v>
      </c>
      <c r="AB380">
        <v>33</v>
      </c>
      <c r="AC380">
        <v>31.991099999999999</v>
      </c>
      <c r="AD380">
        <v>-1.1091049439559999</v>
      </c>
      <c r="AE380">
        <v>-1.4930999999999699</v>
      </c>
      <c r="AF380">
        <v>0.79419064623301805</v>
      </c>
      <c r="AG380">
        <v>-1.1091049439559999</v>
      </c>
      <c r="AH380">
        <v>31.9776997200713</v>
      </c>
      <c r="AI380">
        <v>91.985821493344204</v>
      </c>
      <c r="AJ380">
        <v>88.577307929888093</v>
      </c>
      <c r="AK380">
        <v>32.006782592855501</v>
      </c>
      <c r="AL380">
        <v>80.371329829192007</v>
      </c>
      <c r="AM380">
        <v>88.594974377842703</v>
      </c>
      <c r="AN380">
        <v>0.99999995655086005</v>
      </c>
    </row>
    <row r="381" spans="1:40" x14ac:dyDescent="0.25">
      <c r="A381" t="str">
        <f>"20190312172618027"</f>
        <v>20190312172618027</v>
      </c>
      <c r="B381" t="str">
        <f>"1552382778018685"</f>
        <v>1552382778018685</v>
      </c>
      <c r="C381" t="s">
        <v>40</v>
      </c>
      <c r="D381">
        <v>3.2159949999999999</v>
      </c>
      <c r="E381">
        <v>0.50264229999999999</v>
      </c>
      <c r="F381" t="s">
        <v>41</v>
      </c>
      <c r="G381">
        <v>-357.25199999999899</v>
      </c>
      <c r="H381" s="1">
        <v>-2.0539840000000001E-6</v>
      </c>
      <c r="I381">
        <v>365.35899999999998</v>
      </c>
      <c r="J381">
        <v>-389.1497</v>
      </c>
      <c r="K381">
        <v>1.1092200000000001</v>
      </c>
      <c r="L381">
        <v>366.95670000000001</v>
      </c>
      <c r="M381">
        <v>0.99967450000000002</v>
      </c>
      <c r="N381">
        <v>0</v>
      </c>
      <c r="O381">
        <v>-2.1947319999999999E-2</v>
      </c>
      <c r="P381">
        <v>0.98694409999999999</v>
      </c>
      <c r="Q381">
        <v>0.1543619</v>
      </c>
      <c r="R381">
        <v>-4.5978810000000002E-2</v>
      </c>
      <c r="S381">
        <v>3.0491329999999999</v>
      </c>
      <c r="T381">
        <v>-0.10493710000000001</v>
      </c>
      <c r="U381">
        <v>-0.1518555</v>
      </c>
      <c r="V381">
        <v>2.4362519999999999E-2</v>
      </c>
      <c r="W381">
        <v>0.16719539999999999</v>
      </c>
      <c r="X381">
        <v>0.98562280000000002</v>
      </c>
      <c r="Y381">
        <v>2.780374E-2</v>
      </c>
      <c r="Z381">
        <v>2.7654950000000002E-4</v>
      </c>
      <c r="AA381">
        <v>0.99961330000000004</v>
      </c>
      <c r="AB381">
        <v>33</v>
      </c>
      <c r="AC381">
        <v>31.8977</v>
      </c>
      <c r="AD381">
        <v>-1.1092220539839901</v>
      </c>
      <c r="AE381">
        <v>-1.5976999999999699</v>
      </c>
      <c r="AF381">
        <v>0.89610591918391902</v>
      </c>
      <c r="AG381">
        <v>-1.1092220539839901</v>
      </c>
      <c r="AH381">
        <v>31.886621063092701</v>
      </c>
      <c r="AI381">
        <v>91.991527230135901</v>
      </c>
      <c r="AJ381">
        <v>88.3902472129991</v>
      </c>
      <c r="AK381">
        <v>31.918489660457102</v>
      </c>
      <c r="AL381">
        <v>80.375207135011493</v>
      </c>
      <c r="AM381">
        <v>88.584057310433494</v>
      </c>
      <c r="AN381">
        <v>1.0000000690208699</v>
      </c>
    </row>
    <row r="382" spans="1:40" x14ac:dyDescent="0.25">
      <c r="A382" t="str">
        <f>"20190312172618049"</f>
        <v>20190312172618049</v>
      </c>
      <c r="B382" t="str">
        <f>"1552382778039181"</f>
        <v>1552382778039181</v>
      </c>
      <c r="C382" t="s">
        <v>40</v>
      </c>
      <c r="D382">
        <v>3.2291979999999998</v>
      </c>
      <c r="E382">
        <v>0.50333919999999999</v>
      </c>
      <c r="F382" t="s">
        <v>41</v>
      </c>
      <c r="G382">
        <v>-357.01499999999999</v>
      </c>
      <c r="H382" s="1">
        <v>-2.1582770000000002E-6</v>
      </c>
      <c r="I382">
        <v>365.27010000000001</v>
      </c>
      <c r="J382">
        <v>-388.83089999999999</v>
      </c>
      <c r="K382">
        <v>1.109313</v>
      </c>
      <c r="L382">
        <v>366.94959999999998</v>
      </c>
      <c r="M382">
        <v>0.99967039999999996</v>
      </c>
      <c r="N382">
        <v>0</v>
      </c>
      <c r="O382">
        <v>-2.208537E-2</v>
      </c>
      <c r="P382">
        <v>0.98692420000000003</v>
      </c>
      <c r="Q382">
        <v>0.15435579999999999</v>
      </c>
      <c r="R382">
        <v>-4.6423279999999997E-2</v>
      </c>
      <c r="S382">
        <v>3.048645</v>
      </c>
      <c r="T382">
        <v>-0.1052328</v>
      </c>
      <c r="U382">
        <v>-0.1600037</v>
      </c>
      <c r="V382">
        <v>2.467111E-2</v>
      </c>
      <c r="W382">
        <v>0.1672621</v>
      </c>
      <c r="X382">
        <v>0.98560369999999997</v>
      </c>
      <c r="Y382">
        <v>3.0336809999999999E-2</v>
      </c>
      <c r="Z382">
        <v>2.3843240000000001E-4</v>
      </c>
      <c r="AA382">
        <v>0.99953970000000003</v>
      </c>
      <c r="AB382">
        <v>33</v>
      </c>
      <c r="AC382">
        <v>31.815899999999999</v>
      </c>
      <c r="AD382">
        <v>-1.109315158277</v>
      </c>
      <c r="AE382">
        <v>-1.67949999999996</v>
      </c>
      <c r="AF382">
        <v>0.97518193533977104</v>
      </c>
      <c r="AG382">
        <v>-1.109315158277</v>
      </c>
      <c r="AH382">
        <v>31.806674477459801</v>
      </c>
      <c r="AI382">
        <v>91.996546627462394</v>
      </c>
      <c r="AJ382">
        <v>88.243880803882703</v>
      </c>
      <c r="AK382">
        <v>31.840950068150999</v>
      </c>
      <c r="AL382">
        <v>80.371329897803193</v>
      </c>
      <c r="AM382">
        <v>88.566101813260303</v>
      </c>
      <c r="AN382">
        <v>0.99999996360936505</v>
      </c>
    </row>
    <row r="383" spans="1:40" x14ac:dyDescent="0.25">
      <c r="A383" t="str">
        <f>"20190312172618072"</f>
        <v>20190312172618072</v>
      </c>
      <c r="B383" t="str">
        <f>"1552382778058701"</f>
        <v>1552382778058701</v>
      </c>
      <c r="C383" t="s">
        <v>40</v>
      </c>
      <c r="D383">
        <v>3.2316129999999998</v>
      </c>
      <c r="E383">
        <v>0.50396890000000005</v>
      </c>
      <c r="F383" t="s">
        <v>41</v>
      </c>
      <c r="G383">
        <v>-356.48270000000002</v>
      </c>
      <c r="H383" s="1">
        <v>-2.3651629999999999E-6</v>
      </c>
      <c r="I383">
        <v>365.17349999999999</v>
      </c>
      <c r="J383">
        <v>-388.50569999999999</v>
      </c>
      <c r="K383">
        <v>1.1093900000000001</v>
      </c>
      <c r="L383">
        <v>366.94220000000001</v>
      </c>
      <c r="M383">
        <v>0.99966659999999996</v>
      </c>
      <c r="N383">
        <v>0</v>
      </c>
      <c r="O383">
        <v>-2.2226349999999999E-2</v>
      </c>
      <c r="P383">
        <v>0.98691430000000002</v>
      </c>
      <c r="Q383">
        <v>0.15415970000000001</v>
      </c>
      <c r="R383">
        <v>-4.7277979999999997E-2</v>
      </c>
      <c r="S383">
        <v>3.0481569999999998</v>
      </c>
      <c r="T383">
        <v>-0.1045301</v>
      </c>
      <c r="U383">
        <v>-0.16735839999999999</v>
      </c>
      <c r="V383">
        <v>2.5386390000000002E-2</v>
      </c>
      <c r="W383">
        <v>0.16713149999999999</v>
      </c>
      <c r="X383">
        <v>0.98560769999999998</v>
      </c>
      <c r="Y383">
        <v>3.2607749999999998E-2</v>
      </c>
      <c r="Z383">
        <v>2.0278909999999999E-4</v>
      </c>
      <c r="AA383">
        <v>0.99946820000000003</v>
      </c>
      <c r="AB383">
        <v>33</v>
      </c>
      <c r="AC383">
        <v>32.022999999999897</v>
      </c>
      <c r="AD383">
        <v>-1.10939236516299</v>
      </c>
      <c r="AE383">
        <v>-1.7687000000000199</v>
      </c>
      <c r="AF383">
        <v>1.0551845663563799</v>
      </c>
      <c r="AG383">
        <v>-1.10939236516299</v>
      </c>
      <c r="AH383">
        <v>32.016094737417603</v>
      </c>
      <c r="AI383">
        <v>91.9834906875505</v>
      </c>
      <c r="AJ383">
        <v>88.112332350357406</v>
      </c>
      <c r="AK383">
        <v>32.052683009761601</v>
      </c>
      <c r="AL383">
        <v>80.378919650730793</v>
      </c>
      <c r="AM383">
        <v>88.524553457931603</v>
      </c>
      <c r="AN383">
        <v>0.99999997269438501</v>
      </c>
    </row>
    <row r="384" spans="1:40" x14ac:dyDescent="0.25">
      <c r="A384" t="str">
        <f>"20190312172618096"</f>
        <v>20190312172618096</v>
      </c>
      <c r="B384" t="str">
        <f>"1552382778088957"</f>
        <v>1552382778088957</v>
      </c>
      <c r="C384" t="s">
        <v>40</v>
      </c>
      <c r="D384">
        <v>3.2159200000000001</v>
      </c>
      <c r="E384">
        <v>0.50480309999999995</v>
      </c>
      <c r="F384" t="s">
        <v>41</v>
      </c>
      <c r="G384">
        <v>-356.09769999999997</v>
      </c>
      <c r="H384" s="1">
        <v>-2.520223E-6</v>
      </c>
      <c r="I384">
        <v>365.0831</v>
      </c>
      <c r="J384">
        <v>-388.15620000000001</v>
      </c>
      <c r="K384">
        <v>1.109456</v>
      </c>
      <c r="L384">
        <v>366.93430000000001</v>
      </c>
      <c r="M384">
        <v>0.9996623</v>
      </c>
      <c r="N384">
        <v>0</v>
      </c>
      <c r="O384">
        <v>-2.2377669999999999E-2</v>
      </c>
      <c r="P384">
        <v>0.98698370000000002</v>
      </c>
      <c r="Q384">
        <v>0.15341540000000001</v>
      </c>
      <c r="R384">
        <v>-4.824428E-2</v>
      </c>
      <c r="S384">
        <v>3.0476990000000002</v>
      </c>
      <c r="T384">
        <v>-0.1043289</v>
      </c>
      <c r="U384">
        <v>-0.1748352</v>
      </c>
      <c r="V384">
        <v>2.6200959999999999E-2</v>
      </c>
      <c r="W384">
        <v>0.16644970000000001</v>
      </c>
      <c r="X384">
        <v>0.98570179999999996</v>
      </c>
      <c r="Y384">
        <v>3.4907599999999997E-2</v>
      </c>
      <c r="Z384">
        <v>1.6826259999999901E-4</v>
      </c>
      <c r="AA384">
        <v>0.99939049999999996</v>
      </c>
      <c r="AB384">
        <v>33</v>
      </c>
      <c r="AC384">
        <v>32.058500000000002</v>
      </c>
      <c r="AD384">
        <v>-1.1094585202230001</v>
      </c>
      <c r="AE384">
        <v>-1.8512</v>
      </c>
      <c r="AF384">
        <v>1.13192804718527</v>
      </c>
      <c r="AG384">
        <v>-1.1094585202230001</v>
      </c>
      <c r="AH384">
        <v>32.0536379695329</v>
      </c>
      <c r="AI384">
        <v>91.981128399708297</v>
      </c>
      <c r="AJ384">
        <v>87.977522518095299</v>
      </c>
      <c r="AK384">
        <v>32.092800849941099</v>
      </c>
      <c r="AL384">
        <v>80.4185393041477</v>
      </c>
      <c r="AM384">
        <v>88.4773782314236</v>
      </c>
      <c r="AN384">
        <v>1.00000001572912</v>
      </c>
    </row>
    <row r="385" spans="1:40" x14ac:dyDescent="0.25">
      <c r="A385" t="str">
        <f>"20190312172618118"</f>
        <v>20190312172618118</v>
      </c>
      <c r="B385" t="str">
        <f>"1552382778109453"</f>
        <v>1552382778109453</v>
      </c>
      <c r="C385" t="s">
        <v>40</v>
      </c>
      <c r="D385">
        <v>3.2278739999999999</v>
      </c>
      <c r="E385">
        <v>0.50525739999999997</v>
      </c>
      <c r="F385" t="s">
        <v>41</v>
      </c>
      <c r="G385">
        <v>-356.17320000000001</v>
      </c>
      <c r="H385" s="1">
        <v>-2.5173910000000002E-6</v>
      </c>
      <c r="I385">
        <v>364.99720000000002</v>
      </c>
      <c r="J385">
        <v>-387.84019999999998</v>
      </c>
      <c r="K385">
        <v>1.1095090000000001</v>
      </c>
      <c r="L385">
        <v>366.92700000000002</v>
      </c>
      <c r="M385">
        <v>0.99965859999999995</v>
      </c>
      <c r="N385">
        <v>0</v>
      </c>
      <c r="O385">
        <v>-2.2514369999999999E-2</v>
      </c>
      <c r="P385">
        <v>0.98704480000000006</v>
      </c>
      <c r="Q385">
        <v>0.1528514</v>
      </c>
      <c r="R385">
        <v>-4.8778450000000001E-2</v>
      </c>
      <c r="S385">
        <v>3.046967</v>
      </c>
      <c r="T385">
        <v>-0.105696</v>
      </c>
      <c r="U385">
        <v>-0.1845398</v>
      </c>
      <c r="V385">
        <v>2.65986E-2</v>
      </c>
      <c r="W385">
        <v>0.16593479999999999</v>
      </c>
      <c r="X385">
        <v>0.98577789999999998</v>
      </c>
      <c r="Y385">
        <v>3.795457E-2</v>
      </c>
      <c r="Z385">
        <v>1.224349E-4</v>
      </c>
      <c r="AA385">
        <v>0.99927940000000004</v>
      </c>
      <c r="AB385">
        <v>32</v>
      </c>
      <c r="AC385">
        <v>31.666999999999899</v>
      </c>
      <c r="AD385">
        <v>-1.109511517391</v>
      </c>
      <c r="AE385">
        <v>-1.92979999999994</v>
      </c>
      <c r="AF385">
        <v>1.2147997733541001</v>
      </c>
      <c r="AG385">
        <v>-1.109511517391</v>
      </c>
      <c r="AH385">
        <v>31.663697767616</v>
      </c>
      <c r="AI385">
        <v>92.005377019865307</v>
      </c>
      <c r="AJ385">
        <v>87.802885168800401</v>
      </c>
      <c r="AK385">
        <v>31.706411191042999</v>
      </c>
      <c r="AL385">
        <v>80.448456376321701</v>
      </c>
      <c r="AM385">
        <v>88.454400491635596</v>
      </c>
      <c r="AN385">
        <v>0.99999995575070399</v>
      </c>
    </row>
    <row r="386" spans="1:40" x14ac:dyDescent="0.25">
      <c r="A386" t="str">
        <f>"20190312172618141"</f>
        <v>20190312172618141</v>
      </c>
      <c r="B386" t="str">
        <f>"1552382778128973"</f>
        <v>1552382778128973</v>
      </c>
      <c r="C386" t="s">
        <v>40</v>
      </c>
      <c r="D386">
        <v>3.229222</v>
      </c>
      <c r="E386">
        <v>0.50567309999999999</v>
      </c>
      <c r="F386" t="s">
        <v>41</v>
      </c>
      <c r="G386">
        <v>-356.24349999999998</v>
      </c>
      <c r="H386" s="1">
        <v>-2.5036329999999999E-6</v>
      </c>
      <c r="I386">
        <v>364.959</v>
      </c>
      <c r="J386">
        <v>-387.49900000000002</v>
      </c>
      <c r="K386">
        <v>1.109556</v>
      </c>
      <c r="L386">
        <v>366.91919999999999</v>
      </c>
      <c r="M386">
        <v>0.99965459999999995</v>
      </c>
      <c r="N386">
        <v>0</v>
      </c>
      <c r="O386">
        <v>-2.266261E-2</v>
      </c>
      <c r="P386">
        <v>0.98714150000000001</v>
      </c>
      <c r="Q386">
        <v>0.1521855</v>
      </c>
      <c r="R386">
        <v>-4.8902870000000001E-2</v>
      </c>
      <c r="S386">
        <v>3.04657</v>
      </c>
      <c r="T386">
        <v>-0.1069793</v>
      </c>
      <c r="U386">
        <v>-0.18975829999999999</v>
      </c>
      <c r="V386">
        <v>2.6573840000000001E-2</v>
      </c>
      <c r="W386">
        <v>0.16531599999999999</v>
      </c>
      <c r="X386">
        <v>0.98588260000000005</v>
      </c>
      <c r="Y386">
        <v>3.9518320000000003E-2</v>
      </c>
      <c r="Z386">
        <v>1.0170290000000001E-4</v>
      </c>
      <c r="AA386">
        <v>0.99921879999999996</v>
      </c>
      <c r="AB386">
        <v>32</v>
      </c>
      <c r="AC386">
        <v>31.255500000000001</v>
      </c>
      <c r="AD386">
        <v>-1.109558503633</v>
      </c>
      <c r="AE386">
        <v>-1.96019999999998</v>
      </c>
      <c r="AF386">
        <v>1.2497337662489301</v>
      </c>
      <c r="AG386">
        <v>-1.109558503633</v>
      </c>
      <c r="AH386">
        <v>31.252667376295499</v>
      </c>
      <c r="AI386">
        <v>92.031686614619701</v>
      </c>
      <c r="AJ386">
        <v>87.710072559053998</v>
      </c>
      <c r="AK386">
        <v>31.2973189377757</v>
      </c>
      <c r="AL386">
        <v>80.484408202007799</v>
      </c>
      <c r="AM386">
        <v>88.456002465722904</v>
      </c>
      <c r="AN386">
        <v>1.0000000249055501</v>
      </c>
    </row>
    <row r="387" spans="1:40" x14ac:dyDescent="0.25">
      <c r="A387" t="str">
        <f>"20190312172618161"</f>
        <v>20190312172618161</v>
      </c>
      <c r="B387" t="str">
        <f>"1552382778149469"</f>
        <v>1552382778149469</v>
      </c>
      <c r="C387" t="s">
        <v>40</v>
      </c>
      <c r="D387">
        <v>3.224761</v>
      </c>
      <c r="E387">
        <v>0.50605770000000005</v>
      </c>
      <c r="F387" t="s">
        <v>41</v>
      </c>
      <c r="G387">
        <v>-356.45609999999999</v>
      </c>
      <c r="H387" s="1">
        <v>-2.4347460000000002E-6</v>
      </c>
      <c r="I387">
        <v>364.94600000000003</v>
      </c>
      <c r="J387">
        <v>-387.21339999999998</v>
      </c>
      <c r="K387">
        <v>1.109588</v>
      </c>
      <c r="L387">
        <v>366.9126</v>
      </c>
      <c r="M387">
        <v>0.99965139999999997</v>
      </c>
      <c r="N387">
        <v>0</v>
      </c>
      <c r="O387">
        <v>-2.2786569999999999E-2</v>
      </c>
      <c r="P387">
        <v>0.98730620000000002</v>
      </c>
      <c r="Q387">
        <v>0.15104819999999999</v>
      </c>
      <c r="R387">
        <v>-4.9106129999999998E-2</v>
      </c>
      <c r="S387">
        <v>3.046265</v>
      </c>
      <c r="T387">
        <v>-0.10888150000000001</v>
      </c>
      <c r="U387">
        <v>-0.193634</v>
      </c>
      <c r="V387">
        <v>2.6650259999999999E-2</v>
      </c>
      <c r="W387">
        <v>0.164215</v>
      </c>
      <c r="X387">
        <v>0.98606450000000001</v>
      </c>
      <c r="Y387">
        <v>4.0665859999999998E-2</v>
      </c>
      <c r="Z387" s="1">
        <v>8.7455669999999907E-5</v>
      </c>
      <c r="AA387">
        <v>0.99917279999999997</v>
      </c>
      <c r="AB387">
        <v>32</v>
      </c>
      <c r="AC387">
        <v>30.757299999999901</v>
      </c>
      <c r="AD387">
        <v>-1.1095904347459999</v>
      </c>
      <c r="AE387">
        <v>-1.9666000000000201</v>
      </c>
      <c r="AF387">
        <v>1.2635358458289001</v>
      </c>
      <c r="AG387">
        <v>-1.1095904347459999</v>
      </c>
      <c r="AH387">
        <v>30.754266262341499</v>
      </c>
      <c r="AI387">
        <v>92.064551492709597</v>
      </c>
      <c r="AJ387">
        <v>87.6473319777553</v>
      </c>
      <c r="AK387">
        <v>30.800204660059801</v>
      </c>
      <c r="AL387">
        <v>80.548364735123101</v>
      </c>
      <c r="AM387">
        <v>88.451849959073598</v>
      </c>
      <c r="AN387">
        <v>1.00000000037165</v>
      </c>
    </row>
    <row r="388" spans="1:40" x14ac:dyDescent="0.25">
      <c r="A388" t="str">
        <f>"20190312172618183"</f>
        <v>20190312172618183</v>
      </c>
      <c r="B388" t="str">
        <f>"1552382778178749"</f>
        <v>1552382778178749</v>
      </c>
      <c r="C388" t="s">
        <v>40</v>
      </c>
      <c r="D388">
        <v>3.2343030000000002</v>
      </c>
      <c r="E388">
        <v>0.50661179999999995</v>
      </c>
      <c r="F388" t="s">
        <v>41</v>
      </c>
      <c r="G388">
        <v>-357.08580000000001</v>
      </c>
      <c r="H388" s="1">
        <v>-2.2166000000000001E-6</v>
      </c>
      <c r="I388">
        <v>364.96039999999999</v>
      </c>
      <c r="J388">
        <v>-386.89929999999998</v>
      </c>
      <c r="K388">
        <v>1.1096170000000001</v>
      </c>
      <c r="L388">
        <v>366.90530000000001</v>
      </c>
      <c r="M388">
        <v>0.99964770000000003</v>
      </c>
      <c r="N388">
        <v>0</v>
      </c>
      <c r="O388">
        <v>-2.292303E-2</v>
      </c>
      <c r="P388">
        <v>0.98739440000000001</v>
      </c>
      <c r="Q388">
        <v>0.15048909999999999</v>
      </c>
      <c r="R388">
        <v>-4.9046529999999998E-2</v>
      </c>
      <c r="S388">
        <v>3.0458980000000002</v>
      </c>
      <c r="T388">
        <v>-0.1121793</v>
      </c>
      <c r="U388">
        <v>-0.19735720000000001</v>
      </c>
      <c r="V388">
        <v>2.645364E-2</v>
      </c>
      <c r="W388">
        <v>0.16368959999999999</v>
      </c>
      <c r="X388">
        <v>0.98615719999999996</v>
      </c>
      <c r="Y388">
        <v>4.1752009999999999E-2</v>
      </c>
      <c r="Z388" s="1">
        <v>7.515063E-5</v>
      </c>
      <c r="AA388">
        <v>0.99912800000000002</v>
      </c>
      <c r="AB388">
        <v>32</v>
      </c>
      <c r="AC388">
        <v>29.813499999999902</v>
      </c>
      <c r="AD388">
        <v>-1.1096192166000001</v>
      </c>
      <c r="AE388">
        <v>-1.9449000000000101</v>
      </c>
      <c r="AF388">
        <v>1.25917506409411</v>
      </c>
      <c r="AG388">
        <v>-1.1096192166000001</v>
      </c>
      <c r="AH388">
        <v>29.809134044514</v>
      </c>
      <c r="AI388">
        <v>92.129903915864404</v>
      </c>
      <c r="AJ388">
        <v>87.581192651612</v>
      </c>
      <c r="AK388">
        <v>29.8563435325173</v>
      </c>
      <c r="AL388">
        <v>80.578881361916501</v>
      </c>
      <c r="AM388">
        <v>88.463410772038202</v>
      </c>
      <c r="AN388">
        <v>1.0000000516646199</v>
      </c>
    </row>
    <row r="389" spans="1:40" x14ac:dyDescent="0.25">
      <c r="A389" t="str">
        <f>"20190312172618207"</f>
        <v>20190312172618207</v>
      </c>
      <c r="B389" t="str">
        <f>"1552382778199245"</f>
        <v>1552382778199245</v>
      </c>
      <c r="C389" t="s">
        <v>40</v>
      </c>
      <c r="D389">
        <v>3.2400120000000001</v>
      </c>
      <c r="E389">
        <v>0.50695259999999998</v>
      </c>
      <c r="F389" t="s">
        <v>41</v>
      </c>
      <c r="G389">
        <v>-357.16730000000001</v>
      </c>
      <c r="H389" s="1">
        <v>-2.1949520000000001E-6</v>
      </c>
      <c r="I389">
        <v>364.9375</v>
      </c>
      <c r="J389">
        <v>-386.56290000000001</v>
      </c>
      <c r="K389">
        <v>1.109648</v>
      </c>
      <c r="L389">
        <v>366.8974</v>
      </c>
      <c r="M389">
        <v>0.99964390000000003</v>
      </c>
      <c r="N389">
        <v>0</v>
      </c>
      <c r="O389">
        <v>-2.306938E-2</v>
      </c>
      <c r="P389">
        <v>0.98741769999999995</v>
      </c>
      <c r="Q389">
        <v>0.1504134</v>
      </c>
      <c r="R389">
        <v>-4.8810029999999997E-2</v>
      </c>
      <c r="S389">
        <v>3.0456539999999999</v>
      </c>
      <c r="T389">
        <v>-0.1136658</v>
      </c>
      <c r="U389">
        <v>-0.20156859999999999</v>
      </c>
      <c r="V389">
        <v>2.6071810000000001E-2</v>
      </c>
      <c r="W389">
        <v>0.1636444</v>
      </c>
      <c r="X389">
        <v>0.98617480000000002</v>
      </c>
      <c r="Y389">
        <v>4.2985420000000003E-2</v>
      </c>
      <c r="Z389" s="1">
        <v>5.8614009999999999E-5</v>
      </c>
      <c r="AA389">
        <v>0.99907570000000001</v>
      </c>
      <c r="AB389">
        <v>32</v>
      </c>
      <c r="AC389">
        <v>29.395600000000002</v>
      </c>
      <c r="AD389">
        <v>-1.1096501949519999</v>
      </c>
      <c r="AE389">
        <v>-1.9599</v>
      </c>
      <c r="AF389">
        <v>1.2793640505746999</v>
      </c>
      <c r="AG389">
        <v>-1.1096501949519999</v>
      </c>
      <c r="AH389">
        <v>29.391296645674799</v>
      </c>
      <c r="AI389">
        <v>92.160096240231894</v>
      </c>
      <c r="AJ389">
        <v>87.507564307244095</v>
      </c>
      <c r="AK389">
        <v>29.440047799606401</v>
      </c>
      <c r="AL389">
        <v>80.581505872750498</v>
      </c>
      <c r="AM389">
        <v>88.485606404869003</v>
      </c>
      <c r="AN389">
        <v>0.99999998254153699</v>
      </c>
    </row>
    <row r="390" spans="1:40" x14ac:dyDescent="0.25">
      <c r="A390" t="str">
        <f>"20190312172618229"</f>
        <v>20190312172618229</v>
      </c>
      <c r="B390" t="str">
        <f>"1552382778218765"</f>
        <v>1552382778218765</v>
      </c>
      <c r="C390" t="s">
        <v>40</v>
      </c>
      <c r="D390">
        <v>3.2396940000000001</v>
      </c>
      <c r="E390">
        <v>0.50727440000000001</v>
      </c>
      <c r="F390" t="s">
        <v>41</v>
      </c>
      <c r="G390">
        <v>-356.87549999999999</v>
      </c>
      <c r="H390" s="1">
        <v>-2.2998520000000002E-6</v>
      </c>
      <c r="I390">
        <v>364.91649999999998</v>
      </c>
      <c r="J390">
        <v>-386.23750000000001</v>
      </c>
      <c r="K390">
        <v>1.1096710000000001</v>
      </c>
      <c r="L390">
        <v>366.88979999999998</v>
      </c>
      <c r="M390">
        <v>0.99964030000000004</v>
      </c>
      <c r="N390">
        <v>0</v>
      </c>
      <c r="O390">
        <v>-2.3210919999999999E-2</v>
      </c>
      <c r="P390">
        <v>0.98739520000000003</v>
      </c>
      <c r="Q390">
        <v>0.1506692</v>
      </c>
      <c r="R390">
        <v>-4.8473420000000003E-2</v>
      </c>
      <c r="S390">
        <v>3.0455320000000001</v>
      </c>
      <c r="T390">
        <v>-0.11383509999999999</v>
      </c>
      <c r="U390">
        <v>-0.2032166</v>
      </c>
      <c r="V390">
        <v>2.5595989999999999E-2</v>
      </c>
      <c r="W390">
        <v>0.16392570000000001</v>
      </c>
      <c r="X390">
        <v>0.98614049999999998</v>
      </c>
      <c r="Y390">
        <v>4.3384590000000001E-2</v>
      </c>
      <c r="Z390" s="1">
        <v>5.6532500000000001E-5</v>
      </c>
      <c r="AA390">
        <v>0.99905840000000001</v>
      </c>
      <c r="AB390">
        <v>32</v>
      </c>
      <c r="AC390">
        <v>29.361999999999998</v>
      </c>
      <c r="AD390">
        <v>-1.10967329985199</v>
      </c>
      <c r="AE390">
        <v>-1.9732999999999901</v>
      </c>
      <c r="AF390">
        <v>1.28935441854682</v>
      </c>
      <c r="AG390">
        <v>-1.10967329985199</v>
      </c>
      <c r="AH390">
        <v>29.358150743140101</v>
      </c>
      <c r="AI390">
        <v>92.162540982375504</v>
      </c>
      <c r="AJ390">
        <v>87.485293757395795</v>
      </c>
      <c r="AK390">
        <v>29.407394048197599</v>
      </c>
      <c r="AL390">
        <v>80.565167516891805</v>
      </c>
      <c r="AM390">
        <v>88.513180427906505</v>
      </c>
      <c r="AN390">
        <v>0.99999993778240803</v>
      </c>
    </row>
    <row r="391" spans="1:40" x14ac:dyDescent="0.25">
      <c r="A391" t="str">
        <f>"20190312172618250"</f>
        <v>20190312172618250</v>
      </c>
      <c r="B391" t="str">
        <f>"1552382778239261"</f>
        <v>1552382778239261</v>
      </c>
      <c r="C391" t="s">
        <v>40</v>
      </c>
      <c r="D391">
        <v>3.2637890000000001</v>
      </c>
      <c r="E391">
        <v>0.50757870000000005</v>
      </c>
      <c r="F391" t="s">
        <v>41</v>
      </c>
      <c r="G391">
        <v>-356.30590000000001</v>
      </c>
      <c r="H391" s="1">
        <v>-2.5041540000000001E-6</v>
      </c>
      <c r="I391">
        <v>364.87720000000002</v>
      </c>
      <c r="J391">
        <v>-385.92309999999998</v>
      </c>
      <c r="K391">
        <v>1.109677</v>
      </c>
      <c r="L391">
        <v>366.88240000000002</v>
      </c>
      <c r="M391">
        <v>0.99963679999999999</v>
      </c>
      <c r="N391">
        <v>0</v>
      </c>
      <c r="O391">
        <v>-2.3347670000000001E-2</v>
      </c>
      <c r="P391">
        <v>0.98741199999999996</v>
      </c>
      <c r="Q391">
        <v>0.15071970000000001</v>
      </c>
      <c r="R391">
        <v>-4.7972760000000003E-2</v>
      </c>
      <c r="S391">
        <v>3.045471</v>
      </c>
      <c r="T391">
        <v>-0.11290650000000001</v>
      </c>
      <c r="U391">
        <v>-0.20477290000000001</v>
      </c>
      <c r="V391">
        <v>2.4959789999999999E-2</v>
      </c>
      <c r="W391">
        <v>0.1639967</v>
      </c>
      <c r="X391">
        <v>0.9861451</v>
      </c>
      <c r="Y391">
        <v>4.3757610000000002E-2</v>
      </c>
      <c r="Z391" s="1">
        <v>5.4226199999999999E-5</v>
      </c>
      <c r="AA391">
        <v>0.99904219999999999</v>
      </c>
      <c r="AB391">
        <v>32</v>
      </c>
      <c r="AC391">
        <v>29.617199999999901</v>
      </c>
      <c r="AD391">
        <v>-1.109679504154</v>
      </c>
      <c r="AE391">
        <v>-2.0051999999999999</v>
      </c>
      <c r="AF391">
        <v>1.31126567799172</v>
      </c>
      <c r="AG391">
        <v>-1.109679504154</v>
      </c>
      <c r="AH391">
        <v>29.614562644519999</v>
      </c>
      <c r="AI391">
        <v>92.143812665866307</v>
      </c>
      <c r="AJ391">
        <v>87.464728760105899</v>
      </c>
      <c r="AK391">
        <v>29.664340999024802</v>
      </c>
      <c r="AL391">
        <v>80.561044619556498</v>
      </c>
      <c r="AM391">
        <v>88.550126791174094</v>
      </c>
      <c r="AN391">
        <v>1.0000000334908701</v>
      </c>
    </row>
    <row r="392" spans="1:40" x14ac:dyDescent="0.25">
      <c r="A392" t="str">
        <f>"20190312172618272"</f>
        <v>20190312172618272</v>
      </c>
      <c r="B392" t="str">
        <f>"1552382778269517"</f>
        <v>1552382778269517</v>
      </c>
      <c r="C392" t="s">
        <v>40</v>
      </c>
      <c r="D392">
        <v>3.289196</v>
      </c>
      <c r="E392">
        <v>0.50771840000000001</v>
      </c>
      <c r="F392" t="s">
        <v>41</v>
      </c>
      <c r="G392">
        <v>-355.98360000000002</v>
      </c>
      <c r="H392" s="1">
        <v>-2.6177890000000001E-6</v>
      </c>
      <c r="I392">
        <v>364.8623</v>
      </c>
      <c r="J392">
        <v>-385.61169999999998</v>
      </c>
      <c r="K392">
        <v>1.1096980000000001</v>
      </c>
      <c r="L392">
        <v>366.87490000000003</v>
      </c>
      <c r="M392">
        <v>0.99963349999999995</v>
      </c>
      <c r="N392">
        <v>0</v>
      </c>
      <c r="O392">
        <v>-2.3483210000000001E-2</v>
      </c>
      <c r="P392">
        <v>0.98749540000000002</v>
      </c>
      <c r="Q392">
        <v>0.15038760000000001</v>
      </c>
      <c r="R392">
        <v>-4.7292899999999999E-2</v>
      </c>
      <c r="S392">
        <v>3.0455019999999999</v>
      </c>
      <c r="T392">
        <v>-0.1128782</v>
      </c>
      <c r="U392">
        <v>-0.20547489999999999</v>
      </c>
      <c r="V392">
        <v>2.4143950000000001E-2</v>
      </c>
      <c r="W392">
        <v>0.16368440000000001</v>
      </c>
      <c r="X392">
        <v>0.98621729999999996</v>
      </c>
      <c r="Y392">
        <v>4.3850729999999997E-2</v>
      </c>
      <c r="Z392" s="1">
        <v>5.7501599999999998E-5</v>
      </c>
      <c r="AA392">
        <v>0.99903810000000004</v>
      </c>
      <c r="AB392">
        <v>32</v>
      </c>
      <c r="AC392">
        <v>29.6280999999999</v>
      </c>
      <c r="AD392">
        <v>-1.1097006177890001</v>
      </c>
      <c r="AE392">
        <v>-2.0126000000000199</v>
      </c>
      <c r="AF392">
        <v>1.3143834940013801</v>
      </c>
      <c r="AG392">
        <v>-1.1097006177890001</v>
      </c>
      <c r="AH392">
        <v>29.625825601302601</v>
      </c>
      <c r="AI392">
        <v>92.143030768398006</v>
      </c>
      <c r="AJ392">
        <v>87.459673367367103</v>
      </c>
      <c r="AK392">
        <v>29.675723782061699</v>
      </c>
      <c r="AL392">
        <v>80.579183243217301</v>
      </c>
      <c r="AM392">
        <v>88.597600983738403</v>
      </c>
      <c r="AN392">
        <v>1.0000000379721199</v>
      </c>
    </row>
    <row r="393" spans="1:40" x14ac:dyDescent="0.25">
      <c r="A393" t="str">
        <f>"20190312172618296"</f>
        <v>20190312172618296</v>
      </c>
      <c r="B393" t="str">
        <f>"1552382778289037"</f>
        <v>1552382778289037</v>
      </c>
      <c r="C393" t="s">
        <v>40</v>
      </c>
      <c r="D393">
        <v>3.0749620000000002</v>
      </c>
      <c r="E393">
        <v>0.46691240000000001</v>
      </c>
      <c r="F393" t="s">
        <v>41</v>
      </c>
      <c r="G393">
        <v>-355.99560000000002</v>
      </c>
      <c r="H393" s="1">
        <v>-2.607813E-6</v>
      </c>
      <c r="I393">
        <v>364.88440000000003</v>
      </c>
      <c r="J393">
        <v>-385.26089999999999</v>
      </c>
      <c r="K393">
        <v>1.1097129999999999</v>
      </c>
      <c r="L393">
        <v>366.86649999999997</v>
      </c>
      <c r="M393">
        <v>0.99962969999999896</v>
      </c>
      <c r="N393">
        <v>0</v>
      </c>
      <c r="O393">
        <v>-2.3635550000000002E-2</v>
      </c>
      <c r="P393">
        <v>0.9874482</v>
      </c>
      <c r="Q393">
        <v>0.15088279999999901</v>
      </c>
      <c r="R393">
        <v>-4.6699789999999998E-2</v>
      </c>
      <c r="S393">
        <v>3.045563</v>
      </c>
      <c r="T393">
        <v>-0.11411549999999999</v>
      </c>
      <c r="U393">
        <v>-0.20468140000000001</v>
      </c>
      <c r="V393">
        <v>2.340153E-2</v>
      </c>
      <c r="W393">
        <v>0.16419619999999999</v>
      </c>
      <c r="X393">
        <v>0.98615010000000003</v>
      </c>
      <c r="Y393">
        <v>4.34381E-2</v>
      </c>
      <c r="Z393" s="1">
        <v>7.1547399999999999E-5</v>
      </c>
      <c r="AA393">
        <v>0.9990561</v>
      </c>
      <c r="AB393">
        <v>32</v>
      </c>
      <c r="AC393">
        <v>29.2652999999999</v>
      </c>
      <c r="AD393">
        <v>-1.1097156078129999</v>
      </c>
      <c r="AE393">
        <v>-1.98209999999994</v>
      </c>
      <c r="AF393">
        <v>1.28793840617013</v>
      </c>
      <c r="AG393">
        <v>-1.1097156078129999</v>
      </c>
      <c r="AH393">
        <v>29.262092533194501</v>
      </c>
      <c r="AI393">
        <v>92.169706679504301</v>
      </c>
      <c r="AJ393">
        <v>87.479816634880606</v>
      </c>
      <c r="AK393">
        <v>29.311436564753201</v>
      </c>
      <c r="AL393">
        <v>80.549456921767202</v>
      </c>
      <c r="AM393">
        <v>88.640615350029094</v>
      </c>
      <c r="AN393">
        <v>1.0000000217153899</v>
      </c>
    </row>
    <row r="394" spans="1:40" x14ac:dyDescent="0.25">
      <c r="A394" t="str">
        <f>"20190312172618319"</f>
        <v>20190312172618319</v>
      </c>
      <c r="B394" t="str">
        <f>"1552382778309533"</f>
        <v>1552382778309533</v>
      </c>
      <c r="C394" t="s">
        <v>40</v>
      </c>
      <c r="D394">
        <v>3.1437919999999999</v>
      </c>
      <c r="E394">
        <v>0.4529184</v>
      </c>
      <c r="F394" t="s">
        <v>41</v>
      </c>
      <c r="G394">
        <v>-348.72390000000001</v>
      </c>
      <c r="H394" s="1">
        <v>-8.1738640000000001E-7</v>
      </c>
      <c r="I394">
        <v>368.32679999999999</v>
      </c>
      <c r="J394">
        <v>-384.93830000000003</v>
      </c>
      <c r="K394">
        <v>1.10972</v>
      </c>
      <c r="L394">
        <v>366.8587</v>
      </c>
      <c r="M394">
        <v>0.99962620000000002</v>
      </c>
      <c r="N394">
        <v>0</v>
      </c>
      <c r="O394">
        <v>-2.377582E-2</v>
      </c>
      <c r="P394">
        <v>0.98745660000000002</v>
      </c>
      <c r="Q394">
        <v>0.15093500000000001</v>
      </c>
      <c r="R394">
        <v>-4.6355090000000002E-2</v>
      </c>
      <c r="S394">
        <v>3.0581049999999999</v>
      </c>
      <c r="T394">
        <v>-9.2881679999999994E-2</v>
      </c>
      <c r="U394">
        <v>0.1222229</v>
      </c>
      <c r="V394">
        <v>2.2917949999999999E-2</v>
      </c>
      <c r="W394">
        <v>0.16426250000000001</v>
      </c>
      <c r="X394">
        <v>0.98615039999999998</v>
      </c>
      <c r="Y394">
        <v>-6.3642459999999998E-2</v>
      </c>
      <c r="Z394">
        <v>1.6876479999999999E-3</v>
      </c>
      <c r="AA394">
        <v>0.99797139999999995</v>
      </c>
      <c r="AB394">
        <v>32</v>
      </c>
      <c r="AC394">
        <v>36.214399999999998</v>
      </c>
      <c r="AD394">
        <v>-1.1097208173863999</v>
      </c>
      <c r="AE394">
        <v>1.46809999999999</v>
      </c>
      <c r="AF394">
        <v>-2.3266093102416399</v>
      </c>
      <c r="AG394">
        <v>-1.1097208173863999</v>
      </c>
      <c r="AH394">
        <v>36.135377022537497</v>
      </c>
      <c r="AI394">
        <v>91.755373476213705</v>
      </c>
      <c r="AJ394">
        <v>93.683956130002201</v>
      </c>
      <c r="AK394">
        <v>36.227200605842803</v>
      </c>
      <c r="AL394">
        <v>80.545605777191099</v>
      </c>
      <c r="AM394">
        <v>88.668696489455499</v>
      </c>
      <c r="AN394">
        <v>1.0000000063793</v>
      </c>
    </row>
    <row r="395" spans="1:40" x14ac:dyDescent="0.25">
      <c r="A395" t="str">
        <f>"20190312172618340"</f>
        <v>20190312172618340</v>
      </c>
      <c r="B395" t="str">
        <f>"1552382778329057"</f>
        <v>1552382778329057</v>
      </c>
      <c r="C395" t="s">
        <v>40</v>
      </c>
      <c r="D395">
        <v>3.1291639999999998</v>
      </c>
      <c r="E395">
        <v>0.4476754</v>
      </c>
      <c r="F395" t="s">
        <v>41</v>
      </c>
      <c r="G395">
        <v>-351.5881</v>
      </c>
      <c r="H395" s="1">
        <v>-3.6262699999999999E-6</v>
      </c>
      <c r="I395">
        <v>369.41750000000002</v>
      </c>
      <c r="J395">
        <v>-384.62849999999997</v>
      </c>
      <c r="K395">
        <v>1.109728</v>
      </c>
      <c r="L395">
        <v>366.85129999999998</v>
      </c>
      <c r="M395">
        <v>0.99962280000000003</v>
      </c>
      <c r="N395">
        <v>0</v>
      </c>
      <c r="O395">
        <v>-2.3910359999999999E-2</v>
      </c>
      <c r="P395">
        <v>0.9875157</v>
      </c>
      <c r="Q395">
        <v>0.15068860000000001</v>
      </c>
      <c r="R395">
        <v>-4.5892160000000001E-2</v>
      </c>
      <c r="S395">
        <v>3.0646969999999998</v>
      </c>
      <c r="T395">
        <v>-0.1019771</v>
      </c>
      <c r="U395">
        <v>0.23513790000000001</v>
      </c>
      <c r="V395">
        <v>2.2320699999999999E-2</v>
      </c>
      <c r="W395">
        <v>0.164027799999999</v>
      </c>
      <c r="X395">
        <v>0.9862031</v>
      </c>
      <c r="Y395">
        <v>-0.1002521</v>
      </c>
      <c r="Z395">
        <v>2.4594489999999998E-3</v>
      </c>
      <c r="AA395">
        <v>0.99495909999999999</v>
      </c>
      <c r="AB395">
        <v>32</v>
      </c>
      <c r="AC395">
        <v>33.040399999999899</v>
      </c>
      <c r="AD395">
        <v>-1.1097316262700001</v>
      </c>
      <c r="AE395">
        <v>2.56620000000003</v>
      </c>
      <c r="AF395">
        <v>-3.35178772393611</v>
      </c>
      <c r="AG395">
        <v>-1.1097316262700001</v>
      </c>
      <c r="AH395">
        <v>32.9326594989097</v>
      </c>
      <c r="AI395">
        <v>91.920053875064298</v>
      </c>
      <c r="AJ395">
        <v>95.811382589956096</v>
      </c>
      <c r="AK395">
        <v>33.1213835293727</v>
      </c>
      <c r="AL395">
        <v>80.559237403630405</v>
      </c>
      <c r="AM395">
        <v>88.703447998371104</v>
      </c>
      <c r="AN395">
        <v>0.99999994363546796</v>
      </c>
    </row>
    <row r="396" spans="1:40" x14ac:dyDescent="0.25">
      <c r="A396" t="str">
        <f>"20190312172618362"</f>
        <v>20190312172618362</v>
      </c>
      <c r="B396" t="str">
        <f>"1552382778359309"</f>
        <v>1552382778359309</v>
      </c>
      <c r="C396" t="s">
        <v>40</v>
      </c>
      <c r="D396">
        <v>3.229517</v>
      </c>
      <c r="E396">
        <v>0.44299359999999999</v>
      </c>
      <c r="F396" t="s">
        <v>41</v>
      </c>
      <c r="G396">
        <v>-353.32799999999997</v>
      </c>
      <c r="H396" s="1">
        <v>-2.864453E-6</v>
      </c>
      <c r="I396">
        <v>369.6909</v>
      </c>
      <c r="J396">
        <v>-384.31290000000001</v>
      </c>
      <c r="K396">
        <v>1.1097360000000001</v>
      </c>
      <c r="L396">
        <v>366.84350000000001</v>
      </c>
      <c r="M396">
        <v>0.99961940000000005</v>
      </c>
      <c r="N396">
        <v>0</v>
      </c>
      <c r="O396">
        <v>-2.4047740000000001E-2</v>
      </c>
      <c r="P396">
        <v>0.98754730000000002</v>
      </c>
      <c r="Q396">
        <v>0.1506952</v>
      </c>
      <c r="R396">
        <v>-4.5183559999999998E-2</v>
      </c>
      <c r="S396">
        <v>3.0674130000000002</v>
      </c>
      <c r="T396">
        <v>-0.1087518</v>
      </c>
      <c r="U396">
        <v>0.27828979999999998</v>
      </c>
      <c r="V396">
        <v>2.147578E-2</v>
      </c>
      <c r="W396">
        <v>0.16404469999999999</v>
      </c>
      <c r="X396">
        <v>0.98621910000000002</v>
      </c>
      <c r="Y396">
        <v>-0.1141928</v>
      </c>
      <c r="Z396">
        <v>2.8703320000000002E-3</v>
      </c>
      <c r="AA396">
        <v>0.99345450000000002</v>
      </c>
      <c r="AB396">
        <v>32</v>
      </c>
      <c r="AC396">
        <v>30.9848999999999</v>
      </c>
      <c r="AD396">
        <v>-1.109738864453</v>
      </c>
      <c r="AE396">
        <v>2.8473999999999902</v>
      </c>
      <c r="AF396">
        <v>-3.5871983929360698</v>
      </c>
      <c r="AG396">
        <v>-1.109738864453</v>
      </c>
      <c r="AH396">
        <v>30.868193554396299</v>
      </c>
      <c r="AI396">
        <v>92.0451953593018</v>
      </c>
      <c r="AJ396">
        <v>96.628620264096696</v>
      </c>
      <c r="AK396">
        <v>31.095737424432201</v>
      </c>
      <c r="AL396">
        <v>80.558256278535694</v>
      </c>
      <c r="AM396">
        <v>88.752531644112096</v>
      </c>
      <c r="AN396">
        <v>0.99999999296475395</v>
      </c>
    </row>
    <row r="397" spans="1:40" x14ac:dyDescent="0.25">
      <c r="A397" t="str">
        <f>"20190312172618384"</f>
        <v>20190312172618384</v>
      </c>
      <c r="B397" t="str">
        <f>"1552382778378830"</f>
        <v>1552382778378830</v>
      </c>
      <c r="C397" t="s">
        <v>40</v>
      </c>
      <c r="D397">
        <v>3.2258429999999998</v>
      </c>
      <c r="E397">
        <v>0.44153409999999899</v>
      </c>
      <c r="F397" t="s">
        <v>41</v>
      </c>
      <c r="G397">
        <v>-353.03919999999999</v>
      </c>
      <c r="H397" s="1">
        <v>-3.0923099999999999E-6</v>
      </c>
      <c r="I397">
        <v>370.08179999999999</v>
      </c>
      <c r="J397">
        <v>-383.99369999999999</v>
      </c>
      <c r="K397">
        <v>1.109739</v>
      </c>
      <c r="L397">
        <v>366.83580000000001</v>
      </c>
      <c r="M397">
        <v>0.99961580000000005</v>
      </c>
      <c r="N397">
        <v>0</v>
      </c>
      <c r="O397">
        <v>-2.418667E-2</v>
      </c>
      <c r="P397">
        <v>0.98758869999999999</v>
      </c>
      <c r="Q397">
        <v>0.1506738</v>
      </c>
      <c r="R397">
        <v>-4.4338620000000002E-2</v>
      </c>
      <c r="S397">
        <v>3.069</v>
      </c>
      <c r="T397">
        <v>-0.1089025</v>
      </c>
      <c r="U397">
        <v>0.31777949999999999</v>
      </c>
      <c r="V397">
        <v>2.049262E-2</v>
      </c>
      <c r="W397">
        <v>0.16403239999999999</v>
      </c>
      <c r="X397">
        <v>0.98624210000000001</v>
      </c>
      <c r="Y397">
        <v>-0.1269303</v>
      </c>
      <c r="Z397">
        <v>3.101318E-3</v>
      </c>
      <c r="AA397">
        <v>0.99190679999999998</v>
      </c>
      <c r="AB397">
        <v>32</v>
      </c>
      <c r="AC397">
        <v>30.954499999999999</v>
      </c>
      <c r="AD397">
        <v>-1.1097420923100001</v>
      </c>
      <c r="AE397">
        <v>3.24599999999998</v>
      </c>
      <c r="AF397">
        <v>-3.98873426235044</v>
      </c>
      <c r="AG397">
        <v>-1.1097420923100001</v>
      </c>
      <c r="AH397">
        <v>30.827734577378099</v>
      </c>
      <c r="AI397">
        <v>92.044624029172695</v>
      </c>
      <c r="AJ397">
        <v>97.372418651066894</v>
      </c>
      <c r="AK397">
        <v>31.1045133011331</v>
      </c>
      <c r="AL397">
        <v>80.5589710257414</v>
      </c>
      <c r="AM397">
        <v>88.809651601520002</v>
      </c>
      <c r="AN397">
        <v>1.0000000277683101</v>
      </c>
    </row>
    <row r="398" spans="1:40" x14ac:dyDescent="0.25">
      <c r="A398" t="str">
        <f>"20190312172618407"</f>
        <v>20190312172618407</v>
      </c>
      <c r="B398" t="str">
        <f>"1552382778399325"</f>
        <v>1552382778399325</v>
      </c>
      <c r="C398" t="s">
        <v>40</v>
      </c>
      <c r="D398">
        <v>3.2171470000000002</v>
      </c>
      <c r="E398">
        <v>0.44053799999999999</v>
      </c>
      <c r="F398" t="s">
        <v>41</v>
      </c>
      <c r="G398">
        <v>-352.88979999999998</v>
      </c>
      <c r="H398" s="1">
        <v>-3.18741E-6</v>
      </c>
      <c r="I398">
        <v>370.19830000000002</v>
      </c>
      <c r="J398">
        <v>-383.66550000000001</v>
      </c>
      <c r="K398">
        <v>1.1097429999999999</v>
      </c>
      <c r="L398">
        <v>366.82769999999999</v>
      </c>
      <c r="M398">
        <v>0.99961230000000001</v>
      </c>
      <c r="N398">
        <v>0</v>
      </c>
      <c r="O398">
        <v>-2.4329170000000001E-2</v>
      </c>
      <c r="P398">
        <v>0.98765899999999995</v>
      </c>
      <c r="Q398">
        <v>0.1505734</v>
      </c>
      <c r="R398">
        <v>-4.310129E-2</v>
      </c>
      <c r="S398">
        <v>3.0693049999999999</v>
      </c>
      <c r="T398">
        <v>-0.10950790000000001</v>
      </c>
      <c r="U398">
        <v>0.33181759999999999</v>
      </c>
      <c r="V398">
        <v>1.911301E-2</v>
      </c>
      <c r="W398">
        <v>0.16394029999999901</v>
      </c>
      <c r="X398">
        <v>0.98628510000000003</v>
      </c>
      <c r="Y398">
        <v>-0.13154270000000001</v>
      </c>
      <c r="Z398">
        <v>3.2045929999999999E-3</v>
      </c>
      <c r="AA398">
        <v>0.9913054</v>
      </c>
      <c r="AB398">
        <v>32</v>
      </c>
      <c r="AC398">
        <v>30.775700000000001</v>
      </c>
      <c r="AD398">
        <v>-1.1097461874100001</v>
      </c>
      <c r="AE398">
        <v>3.37060000000002</v>
      </c>
      <c r="AF398">
        <v>-4.1131332432773604</v>
      </c>
      <c r="AG398">
        <v>-1.1097461874100001</v>
      </c>
      <c r="AH398">
        <v>30.645202813483699</v>
      </c>
      <c r="AI398">
        <v>92.055514057472905</v>
      </c>
      <c r="AJ398">
        <v>97.644431451015294</v>
      </c>
      <c r="AK398">
        <v>30.9399071937356</v>
      </c>
      <c r="AL398">
        <v>80.564320250217605</v>
      </c>
      <c r="AM398">
        <v>88.889816185359294</v>
      </c>
      <c r="AN398">
        <v>1.00000001379868</v>
      </c>
    </row>
    <row r="399" spans="1:40" x14ac:dyDescent="0.25">
      <c r="A399" t="str">
        <f>"20190312172618429"</f>
        <v>20190312172618429</v>
      </c>
      <c r="B399" t="str">
        <f>"1552382778418848"</f>
        <v>1552382778418848</v>
      </c>
      <c r="C399" t="s">
        <v>40</v>
      </c>
      <c r="D399">
        <v>3.2108699999999999</v>
      </c>
      <c r="E399">
        <v>0.4396545</v>
      </c>
      <c r="F399" t="s">
        <v>41</v>
      </c>
      <c r="G399">
        <v>-352.85390000000001</v>
      </c>
      <c r="H399" s="1">
        <v>-3.223609E-6</v>
      </c>
      <c r="I399">
        <v>370.2765</v>
      </c>
      <c r="J399">
        <v>-383.3476</v>
      </c>
      <c r="K399">
        <v>1.1097490000000001</v>
      </c>
      <c r="L399">
        <v>366.81979999999999</v>
      </c>
      <c r="M399">
        <v>0.99960890000000002</v>
      </c>
      <c r="N399">
        <v>0</v>
      </c>
      <c r="O399">
        <v>-2.4467599999999999E-2</v>
      </c>
      <c r="P399">
        <v>0.98766960000000004</v>
      </c>
      <c r="Q399">
        <v>0.15075329999999901</v>
      </c>
      <c r="R399">
        <v>-4.2220170000000001E-2</v>
      </c>
      <c r="S399">
        <v>3.069366</v>
      </c>
      <c r="T399">
        <v>-0.11054940000000001</v>
      </c>
      <c r="U399">
        <v>0.34356690000000001</v>
      </c>
      <c r="V399">
        <v>1.809492E-2</v>
      </c>
      <c r="W399">
        <v>0.1641261</v>
      </c>
      <c r="X399">
        <v>0.98627339999999997</v>
      </c>
      <c r="Y399">
        <v>-0.13542170000000001</v>
      </c>
      <c r="Z399">
        <v>3.30891E-3</v>
      </c>
      <c r="AA399">
        <v>0.99078259999999996</v>
      </c>
      <c r="AB399">
        <v>32</v>
      </c>
      <c r="AC399">
        <v>30.493699999999901</v>
      </c>
      <c r="AD399">
        <v>-1.1097522236089901</v>
      </c>
      <c r="AE399">
        <v>3.4567000000000099</v>
      </c>
      <c r="AF399">
        <v>-4.1963537300826204</v>
      </c>
      <c r="AG399">
        <v>-1.1097522236089901</v>
      </c>
      <c r="AH399">
        <v>30.360284135724299</v>
      </c>
      <c r="AI399">
        <v>92.073689875514205</v>
      </c>
      <c r="AJ399">
        <v>97.869477208236603</v>
      </c>
      <c r="AK399">
        <v>30.669003691474799</v>
      </c>
      <c r="AL399">
        <v>80.553528493680503</v>
      </c>
      <c r="AM399">
        <v>88.948926084664194</v>
      </c>
      <c r="AN399">
        <v>1.0000000111892799</v>
      </c>
    </row>
    <row r="400" spans="1:40" x14ac:dyDescent="0.25">
      <c r="A400" t="str">
        <f>"20190312172618451"</f>
        <v>20190312172618451</v>
      </c>
      <c r="B400" t="str">
        <f>"1552382778449101"</f>
        <v>1552382778449101</v>
      </c>
      <c r="C400" t="s">
        <v>40</v>
      </c>
      <c r="D400">
        <v>3.1689929999999999</v>
      </c>
      <c r="E400">
        <v>0.43847989999999998</v>
      </c>
      <c r="F400" t="s">
        <v>41</v>
      </c>
      <c r="G400">
        <v>-352.55099999999999</v>
      </c>
      <c r="H400" s="1">
        <v>-3.376807E-6</v>
      </c>
      <c r="I400">
        <v>370.3639</v>
      </c>
      <c r="J400">
        <v>-383.03539999999998</v>
      </c>
      <c r="K400">
        <v>1.109756</v>
      </c>
      <c r="L400">
        <v>366.81200000000001</v>
      </c>
      <c r="M400">
        <v>0.99960539999999998</v>
      </c>
      <c r="N400">
        <v>0</v>
      </c>
      <c r="O400">
        <v>-2.4603280000000002E-2</v>
      </c>
      <c r="P400">
        <v>0.98767590000000005</v>
      </c>
      <c r="Q400">
        <v>0.15078859999999999</v>
      </c>
      <c r="R400">
        <v>-4.1944809999999999E-2</v>
      </c>
      <c r="S400">
        <v>3.0694270000000001</v>
      </c>
      <c r="T400">
        <v>-0.1106063</v>
      </c>
      <c r="U400">
        <v>0.35324100000000003</v>
      </c>
      <c r="V400">
        <v>1.7685320000000001E-2</v>
      </c>
      <c r="W400">
        <v>0.16416610000000001</v>
      </c>
      <c r="X400">
        <v>0.98627419999999999</v>
      </c>
      <c r="Y400">
        <v>-0.13863399999999901</v>
      </c>
      <c r="Z400">
        <v>3.3725130000000002E-3</v>
      </c>
      <c r="AA400">
        <v>0.99033800000000005</v>
      </c>
      <c r="AB400">
        <v>32</v>
      </c>
      <c r="AC400">
        <v>30.484399999999901</v>
      </c>
      <c r="AD400">
        <v>-1.109759376807</v>
      </c>
      <c r="AE400">
        <v>3.5519000000000398</v>
      </c>
      <c r="AF400">
        <v>-4.2952936017303802</v>
      </c>
      <c r="AG400">
        <v>-1.109759376807</v>
      </c>
      <c r="AH400">
        <v>30.348093524208</v>
      </c>
      <c r="AI400">
        <v>92.073592857048396</v>
      </c>
      <c r="AJ400">
        <v>98.055806431160306</v>
      </c>
      <c r="AK400">
        <v>30.670635688774901</v>
      </c>
      <c r="AL400">
        <v>80.551205406886993</v>
      </c>
      <c r="AM400">
        <v>88.972714066188701</v>
      </c>
      <c r="AN400">
        <v>1.0000000382591701</v>
      </c>
    </row>
    <row r="401" spans="1:40" x14ac:dyDescent="0.25">
      <c r="A401" t="str">
        <f>"20190312172618473"</f>
        <v>20190312172618473</v>
      </c>
      <c r="B401" t="str">
        <f>"1552382778468621"</f>
        <v>1552382778468621</v>
      </c>
      <c r="C401" t="s">
        <v>40</v>
      </c>
      <c r="D401">
        <v>3.0734409999999999</v>
      </c>
      <c r="E401">
        <v>0.43822230000000001</v>
      </c>
      <c r="F401" t="s">
        <v>41</v>
      </c>
      <c r="G401">
        <v>-352.6284</v>
      </c>
      <c r="H401" s="1">
        <v>-3.356746E-6</v>
      </c>
      <c r="I401">
        <v>370.41320000000002</v>
      </c>
      <c r="J401">
        <v>-382.7226</v>
      </c>
      <c r="K401">
        <v>1.1097549999999901</v>
      </c>
      <c r="L401">
        <v>366.80419999999998</v>
      </c>
      <c r="M401">
        <v>0.99960199999999999</v>
      </c>
      <c r="N401">
        <v>0</v>
      </c>
      <c r="O401">
        <v>-2.473943E-2</v>
      </c>
      <c r="P401">
        <v>0.98767320000000003</v>
      </c>
      <c r="Q401">
        <v>0.1509289</v>
      </c>
      <c r="R401">
        <v>-4.1495200000000003E-2</v>
      </c>
      <c r="S401">
        <v>3.0699770000000002</v>
      </c>
      <c r="T401">
        <v>-0.1120437</v>
      </c>
      <c r="U401">
        <v>0.36358639999999998</v>
      </c>
      <c r="V401">
        <v>1.71013E-2</v>
      </c>
      <c r="W401">
        <v>0.16430999999999901</v>
      </c>
      <c r="X401">
        <v>0.98626049999999998</v>
      </c>
      <c r="Y401">
        <v>-0.14203540000000001</v>
      </c>
      <c r="Z401">
        <v>3.4818370000000002E-3</v>
      </c>
      <c r="AA401">
        <v>0.9898555</v>
      </c>
      <c r="AB401">
        <v>32</v>
      </c>
      <c r="AC401">
        <v>30.094200000000001</v>
      </c>
      <c r="AD401">
        <v>-1.1097583567460001</v>
      </c>
      <c r="AE401">
        <v>3.6090000000000302</v>
      </c>
      <c r="AF401">
        <v>-4.3466499945662003</v>
      </c>
      <c r="AG401">
        <v>-1.1097583567460001</v>
      </c>
      <c r="AH401">
        <v>29.955537140929199</v>
      </c>
      <c r="AI401">
        <v>92.099688662249307</v>
      </c>
      <c r="AJ401">
        <v>98.256188982439895</v>
      </c>
      <c r="AK401">
        <v>30.289587900584198</v>
      </c>
      <c r="AL401">
        <v>80.542846700049694</v>
      </c>
      <c r="AM401">
        <v>89.006617284928794</v>
      </c>
      <c r="AN401">
        <v>1.0000000022109601</v>
      </c>
    </row>
    <row r="402" spans="1:40" x14ac:dyDescent="0.25">
      <c r="A402" t="str">
        <f>"20190312172618496"</f>
        <v>20190312172618496</v>
      </c>
      <c r="B402" t="str">
        <f>"1552382778489118"</f>
        <v>1552382778489118</v>
      </c>
      <c r="C402" t="s">
        <v>40</v>
      </c>
      <c r="D402">
        <v>3.1722610000000002</v>
      </c>
      <c r="E402">
        <v>0.43780469999999999</v>
      </c>
      <c r="F402" t="s">
        <v>41</v>
      </c>
      <c r="G402">
        <v>-352.12959999999998</v>
      </c>
      <c r="H402" s="1">
        <v>-3.5837480000000001E-6</v>
      </c>
      <c r="I402">
        <v>370.46210000000002</v>
      </c>
      <c r="J402">
        <v>-382.38740000000001</v>
      </c>
      <c r="K402">
        <v>1.1097669999999999</v>
      </c>
      <c r="L402">
        <v>366.79570000000001</v>
      </c>
      <c r="M402">
        <v>0.99959849999999995</v>
      </c>
      <c r="N402">
        <v>0</v>
      </c>
      <c r="O402">
        <v>-2.4885839999999999E-2</v>
      </c>
      <c r="P402">
        <v>0.9876336</v>
      </c>
      <c r="Q402">
        <v>0.15125089999999999</v>
      </c>
      <c r="R402">
        <v>-4.1271219999999997E-2</v>
      </c>
      <c r="S402">
        <v>3.0698850000000002</v>
      </c>
      <c r="T402">
        <v>-0.1113594</v>
      </c>
      <c r="U402">
        <v>0.36706539999999999</v>
      </c>
      <c r="V402">
        <v>1.673349E-2</v>
      </c>
      <c r="W402">
        <v>0.16463459999999999</v>
      </c>
      <c r="X402">
        <v>0.98621270000000005</v>
      </c>
      <c r="Y402">
        <v>-0.14329029999999901</v>
      </c>
      <c r="Z402">
        <v>3.488423E-3</v>
      </c>
      <c r="AA402">
        <v>0.98967459999999996</v>
      </c>
      <c r="AB402">
        <v>32</v>
      </c>
      <c r="AC402">
        <v>30.2578</v>
      </c>
      <c r="AD402">
        <v>-1.1097705837480001</v>
      </c>
      <c r="AE402">
        <v>3.6663999999999999</v>
      </c>
      <c r="AF402">
        <v>-4.4124743486290301</v>
      </c>
      <c r="AG402">
        <v>-1.1097705837480001</v>
      </c>
      <c r="AH402">
        <v>30.117249677283301</v>
      </c>
      <c r="AI402">
        <v>92.088028567853598</v>
      </c>
      <c r="AJ402">
        <v>98.335096806030407</v>
      </c>
      <c r="AK402">
        <v>30.458992904390101</v>
      </c>
      <c r="AL402">
        <v>80.523991939185706</v>
      </c>
      <c r="AM402">
        <v>89.027931436449094</v>
      </c>
      <c r="AN402">
        <v>1.0000000254230099</v>
      </c>
    </row>
    <row r="403" spans="1:40" x14ac:dyDescent="0.25">
      <c r="A403" t="str">
        <f>"20190312172618521"</f>
        <v>20190312172618521</v>
      </c>
      <c r="B403" t="str">
        <f>"1552382778508638"</f>
        <v>1552382778508638</v>
      </c>
      <c r="C403" t="s">
        <v>40</v>
      </c>
      <c r="D403">
        <v>3.191211</v>
      </c>
      <c r="E403">
        <v>0.43758409999999898</v>
      </c>
      <c r="F403" t="s">
        <v>41</v>
      </c>
      <c r="G403">
        <v>-351.6447</v>
      </c>
      <c r="H403" s="1">
        <v>-3.8048509999999999E-6</v>
      </c>
      <c r="I403">
        <v>370.51139999999998</v>
      </c>
      <c r="J403">
        <v>-382.0444</v>
      </c>
      <c r="K403">
        <v>1.109772</v>
      </c>
      <c r="L403">
        <v>366.78699999999998</v>
      </c>
      <c r="M403">
        <v>0.9995946</v>
      </c>
      <c r="N403">
        <v>0</v>
      </c>
      <c r="O403">
        <v>-2.5035209999999999E-2</v>
      </c>
      <c r="P403">
        <v>0.987537</v>
      </c>
      <c r="Q403">
        <v>0.1518446</v>
      </c>
      <c r="R403">
        <v>-4.1403799999999998E-2</v>
      </c>
      <c r="S403">
        <v>3.0700379999999998</v>
      </c>
      <c r="T403">
        <v>-0.11082409999999999</v>
      </c>
      <c r="U403">
        <v>0.37106319999999998</v>
      </c>
      <c r="V403">
        <v>1.6720740000000001E-2</v>
      </c>
      <c r="W403">
        <v>0.16522990000000001</v>
      </c>
      <c r="X403">
        <v>0.98611329999999997</v>
      </c>
      <c r="Y403">
        <v>-0.14470269999999999</v>
      </c>
      <c r="Z403">
        <v>3.5019970000000002E-3</v>
      </c>
      <c r="AA403">
        <v>0.98946900000000004</v>
      </c>
      <c r="AB403">
        <v>32</v>
      </c>
      <c r="AC403">
        <v>30.399699999999999</v>
      </c>
      <c r="AD403">
        <v>-1.109775804851</v>
      </c>
      <c r="AE403">
        <v>3.7244000000000002</v>
      </c>
      <c r="AF403">
        <v>-4.4784850897611301</v>
      </c>
      <c r="AG403">
        <v>-1.109775804851</v>
      </c>
      <c r="AH403">
        <v>30.257192943917101</v>
      </c>
      <c r="AI403">
        <v>92.0779393164525</v>
      </c>
      <c r="AJ403">
        <v>98.419442141061197</v>
      </c>
      <c r="AK403">
        <v>30.606962539292802</v>
      </c>
      <c r="AL403">
        <v>80.489409645506797</v>
      </c>
      <c r="AM403">
        <v>89.028574066441607</v>
      </c>
      <c r="AN403">
        <v>0.99999997171852295</v>
      </c>
    </row>
    <row r="404" spans="1:40" x14ac:dyDescent="0.25">
      <c r="A404" t="str">
        <f>"20190312172618540"</f>
        <v>20190312172618540</v>
      </c>
      <c r="B404" t="str">
        <f>"1552382778529133"</f>
        <v>1552382778529133</v>
      </c>
      <c r="C404" t="s">
        <v>40</v>
      </c>
      <c r="D404">
        <v>3.2032340000000001</v>
      </c>
      <c r="E404">
        <v>0.4371699</v>
      </c>
      <c r="F404" t="s">
        <v>41</v>
      </c>
      <c r="G404">
        <v>-350.84190000000001</v>
      </c>
      <c r="H404" s="1">
        <v>-4.1592480000000004E-6</v>
      </c>
      <c r="I404">
        <v>370.57319999999999</v>
      </c>
      <c r="J404">
        <v>-381.75799999999998</v>
      </c>
      <c r="K404">
        <v>1.109774</v>
      </c>
      <c r="L404">
        <v>366.77969999999999</v>
      </c>
      <c r="M404">
        <v>0.99959149999999997</v>
      </c>
      <c r="N404">
        <v>0</v>
      </c>
      <c r="O404">
        <v>-2.5160140000000001E-2</v>
      </c>
      <c r="P404">
        <v>0.98753360000000001</v>
      </c>
      <c r="Q404">
        <v>0.15180969999999999</v>
      </c>
      <c r="R404">
        <v>-4.1607640000000001E-2</v>
      </c>
      <c r="S404">
        <v>3.0703130000000001</v>
      </c>
      <c r="T404">
        <v>-0.10920100000000001</v>
      </c>
      <c r="U404">
        <v>0.37255860000000002</v>
      </c>
      <c r="V404">
        <v>1.6801170000000001E-2</v>
      </c>
      <c r="W404">
        <v>0.1651965</v>
      </c>
      <c r="X404">
        <v>0.98611749999999998</v>
      </c>
      <c r="Y404">
        <v>-0.14529349999999999</v>
      </c>
      <c r="Z404">
        <v>3.4652250000000002E-3</v>
      </c>
      <c r="AA404">
        <v>0.9893826</v>
      </c>
      <c r="AB404">
        <v>32</v>
      </c>
      <c r="AC404">
        <v>30.9161</v>
      </c>
      <c r="AD404">
        <v>-1.1097781592479901</v>
      </c>
      <c r="AE404">
        <v>3.7934999999999901</v>
      </c>
      <c r="AF404">
        <v>-4.5644295041906897</v>
      </c>
      <c r="AG404">
        <v>-1.1097781592479901</v>
      </c>
      <c r="AH404">
        <v>30.771794424005002</v>
      </c>
      <c r="AI404">
        <v>92.043129614335399</v>
      </c>
      <c r="AJ404">
        <v>98.437254029127899</v>
      </c>
      <c r="AK404">
        <v>31.128266195448401</v>
      </c>
      <c r="AL404">
        <v>80.491349716941698</v>
      </c>
      <c r="AM404">
        <v>89.023906377848803</v>
      </c>
      <c r="AN404">
        <v>0.99999994336593201</v>
      </c>
    </row>
    <row r="405" spans="1:40" x14ac:dyDescent="0.25">
      <c r="A405" t="str">
        <f>"20190312172618563"</f>
        <v>20190312172618563</v>
      </c>
      <c r="B405" t="str">
        <f>"1552382778559389"</f>
        <v>1552382778559389</v>
      </c>
      <c r="C405" t="s">
        <v>40</v>
      </c>
      <c r="D405">
        <v>3.1787550000000002</v>
      </c>
      <c r="E405">
        <v>0.43693739999999998</v>
      </c>
      <c r="F405" t="s">
        <v>41</v>
      </c>
      <c r="G405">
        <v>-350.70600000000002</v>
      </c>
      <c r="H405" s="1">
        <v>-4.2064330000000004E-6</v>
      </c>
      <c r="I405">
        <v>370.57839999999999</v>
      </c>
      <c r="J405">
        <v>-381.44349999999997</v>
      </c>
      <c r="K405">
        <v>1.109772</v>
      </c>
      <c r="L405">
        <v>366.77159999999998</v>
      </c>
      <c r="M405">
        <v>0.99958800000000003</v>
      </c>
      <c r="N405">
        <v>0</v>
      </c>
      <c r="O405">
        <v>-2.5297110000000001E-2</v>
      </c>
      <c r="P405">
        <v>0.98755210000000004</v>
      </c>
      <c r="Q405">
        <v>0.151587</v>
      </c>
      <c r="R405">
        <v>-4.1981150000000002E-2</v>
      </c>
      <c r="S405">
        <v>3.070557</v>
      </c>
      <c r="T405">
        <v>-0.1097393</v>
      </c>
      <c r="U405">
        <v>0.3756409</v>
      </c>
      <c r="V405">
        <v>1.7038580000000001E-2</v>
      </c>
      <c r="W405">
        <v>0.16497500000000001</v>
      </c>
      <c r="X405">
        <v>0.98615059999999999</v>
      </c>
      <c r="Y405">
        <v>-0.14639639999999901</v>
      </c>
      <c r="Z405">
        <v>3.5063239999999999E-3</v>
      </c>
      <c r="AA405">
        <v>0.98921979999999998</v>
      </c>
      <c r="AB405">
        <v>32</v>
      </c>
      <c r="AC405">
        <v>30.737500000000001</v>
      </c>
      <c r="AD405">
        <v>-1.1097762064329999</v>
      </c>
      <c r="AE405">
        <v>3.8068</v>
      </c>
      <c r="AF405">
        <v>-4.5773461905820998</v>
      </c>
      <c r="AG405">
        <v>-1.1097762064329999</v>
      </c>
      <c r="AH405">
        <v>30.592075174017399</v>
      </c>
      <c r="AI405">
        <v>92.054731412514499</v>
      </c>
      <c r="AJ405">
        <v>98.509764050946501</v>
      </c>
      <c r="AK405">
        <v>30.952524369258398</v>
      </c>
      <c r="AL405">
        <v>80.504218162806893</v>
      </c>
      <c r="AM405">
        <v>89.010149568947099</v>
      </c>
      <c r="AN405">
        <v>1.00000003485688</v>
      </c>
    </row>
    <row r="406" spans="1:40" x14ac:dyDescent="0.25">
      <c r="A406" t="str">
        <f>"20190312172618585"</f>
        <v>20190312172618585</v>
      </c>
      <c r="B406" t="str">
        <f>"1552382778578909"</f>
        <v>1552382778578909</v>
      </c>
      <c r="C406" t="s">
        <v>40</v>
      </c>
      <c r="D406">
        <v>3.1996410000000002</v>
      </c>
      <c r="E406">
        <v>0.43678980000000001</v>
      </c>
      <c r="F406" t="s">
        <v>41</v>
      </c>
      <c r="G406">
        <v>-350.73509999999999</v>
      </c>
      <c r="H406" s="1">
        <v>-4.188646E-6</v>
      </c>
      <c r="I406">
        <v>370.53410000000002</v>
      </c>
      <c r="J406">
        <v>-381.11680000000001</v>
      </c>
      <c r="K406">
        <v>1.109774</v>
      </c>
      <c r="L406">
        <v>366.76319999999998</v>
      </c>
      <c r="M406">
        <v>0.99958440000000004</v>
      </c>
      <c r="N406">
        <v>0</v>
      </c>
      <c r="O406">
        <v>-2.543933E-2</v>
      </c>
      <c r="P406">
        <v>0.98751250000000002</v>
      </c>
      <c r="Q406">
        <v>0.15179779999999901</v>
      </c>
      <c r="R406">
        <v>-4.215087E-2</v>
      </c>
      <c r="S406">
        <v>3.070862</v>
      </c>
      <c r="T406">
        <v>-0.1109781</v>
      </c>
      <c r="U406">
        <v>0.37625120000000001</v>
      </c>
      <c r="V406">
        <v>1.7068650000000001E-2</v>
      </c>
      <c r="W406">
        <v>0.16518669999999999</v>
      </c>
      <c r="X406">
        <v>0.98611459999999995</v>
      </c>
      <c r="Y406">
        <v>-0.14671629999999899</v>
      </c>
      <c r="Z406">
        <v>3.5563679999999999E-3</v>
      </c>
      <c r="AA406">
        <v>0.98917219999999995</v>
      </c>
      <c r="AB406">
        <v>32</v>
      </c>
      <c r="AC406">
        <v>30.381699999999999</v>
      </c>
      <c r="AD406">
        <v>-1.1097781886460001</v>
      </c>
      <c r="AE406">
        <v>3.7709000000000401</v>
      </c>
      <c r="AF406">
        <v>-4.5366791662508401</v>
      </c>
      <c r="AG406">
        <v>-1.1097781886460001</v>
      </c>
      <c r="AH406">
        <v>30.236196110658302</v>
      </c>
      <c r="AI406">
        <v>92.078771497832705</v>
      </c>
      <c r="AJ406">
        <v>98.5330816845984</v>
      </c>
      <c r="AK406">
        <v>30.594780939364099</v>
      </c>
      <c r="AL406">
        <v>80.491919527936801</v>
      </c>
      <c r="AM406">
        <v>89.008366818240702</v>
      </c>
      <c r="AN406">
        <v>0.99999999450143595</v>
      </c>
    </row>
    <row r="407" spans="1:40" x14ac:dyDescent="0.25">
      <c r="A407" t="str">
        <f>"20190312172618608"</f>
        <v>20190312172618608</v>
      </c>
      <c r="B407" t="str">
        <f>"1552382778599405"</f>
        <v>1552382778599405</v>
      </c>
      <c r="C407" t="s">
        <v>40</v>
      </c>
      <c r="D407">
        <v>3.1803819999999998</v>
      </c>
      <c r="E407">
        <v>0.43656810000000001</v>
      </c>
      <c r="F407" t="s">
        <v>41</v>
      </c>
      <c r="G407">
        <v>-350.31229999999999</v>
      </c>
      <c r="H407" s="1">
        <v>-4.3336079999999997E-6</v>
      </c>
      <c r="I407">
        <v>370.54</v>
      </c>
      <c r="J407">
        <v>-380.79590000000002</v>
      </c>
      <c r="K407">
        <v>1.10978</v>
      </c>
      <c r="L407">
        <v>366.75490000000002</v>
      </c>
      <c r="M407">
        <v>0.99958089999999999</v>
      </c>
      <c r="N407">
        <v>0</v>
      </c>
      <c r="O407">
        <v>-2.5579270000000001E-2</v>
      </c>
      <c r="P407">
        <v>0.98752309999999999</v>
      </c>
      <c r="Q407">
        <v>0.15155170000000001</v>
      </c>
      <c r="R407">
        <v>-4.2785730000000001E-2</v>
      </c>
      <c r="S407">
        <v>3.0710139999999999</v>
      </c>
      <c r="T407">
        <v>-0.11063729999999999</v>
      </c>
      <c r="U407">
        <v>0.37652590000000002</v>
      </c>
      <c r="V407">
        <v>1.7564300000000001E-2</v>
      </c>
      <c r="W407">
        <v>0.16494120000000001</v>
      </c>
      <c r="X407">
        <v>0.986147</v>
      </c>
      <c r="Y407">
        <v>-0.14693639999999999</v>
      </c>
      <c r="Z407">
        <v>3.5542339999999999E-3</v>
      </c>
      <c r="AA407">
        <v>0.98913960000000001</v>
      </c>
      <c r="AB407">
        <v>32</v>
      </c>
      <c r="AC407">
        <v>30.483599999999999</v>
      </c>
      <c r="AD407">
        <v>-1.109784333608</v>
      </c>
      <c r="AE407">
        <v>3.7850999999999999</v>
      </c>
      <c r="AF407">
        <v>-4.5577320859343304</v>
      </c>
      <c r="AG407">
        <v>-1.109784333608</v>
      </c>
      <c r="AH407">
        <v>30.3371966582068</v>
      </c>
      <c r="AI407">
        <v>92.071809124454504</v>
      </c>
      <c r="AJ407">
        <v>98.543976497676695</v>
      </c>
      <c r="AK407">
        <v>30.697720503532398</v>
      </c>
      <c r="AL407">
        <v>80.506181371339295</v>
      </c>
      <c r="AM407">
        <v>88.979610683343296</v>
      </c>
      <c r="AN407">
        <v>1.00000000485046</v>
      </c>
    </row>
    <row r="408" spans="1:40" x14ac:dyDescent="0.25">
      <c r="A408" t="str">
        <f>"20190312172618629"</f>
        <v>20190312172618629</v>
      </c>
      <c r="B408" t="str">
        <f>"1552382778618929"</f>
        <v>1552382778618929</v>
      </c>
      <c r="C408" t="s">
        <v>40</v>
      </c>
      <c r="D408">
        <v>3.2019069999999998</v>
      </c>
      <c r="E408">
        <v>0.43647959999999902</v>
      </c>
      <c r="F408" t="s">
        <v>41</v>
      </c>
      <c r="G408">
        <v>-350.5403</v>
      </c>
      <c r="H408" s="1">
        <v>-4.2420040000000003E-6</v>
      </c>
      <c r="I408">
        <v>370.46109999999999</v>
      </c>
      <c r="J408">
        <v>-380.48919999999998</v>
      </c>
      <c r="K408">
        <v>1.109777</v>
      </c>
      <c r="L408">
        <v>366.74689999999998</v>
      </c>
      <c r="M408">
        <v>0.9995773</v>
      </c>
      <c r="N408">
        <v>0</v>
      </c>
      <c r="O408">
        <v>-2.5713130000000001E-2</v>
      </c>
      <c r="P408">
        <v>0.98757039999999996</v>
      </c>
      <c r="Q408">
        <v>0.15114649999999999</v>
      </c>
      <c r="R408">
        <v>-4.3124320000000001E-2</v>
      </c>
      <c r="S408">
        <v>3.0715029999999999</v>
      </c>
      <c r="T408">
        <v>-0.11266329999999999</v>
      </c>
      <c r="U408">
        <v>0.37625120000000001</v>
      </c>
      <c r="V408">
        <v>1.776904E-2</v>
      </c>
      <c r="W408">
        <v>0.16453709999999999</v>
      </c>
      <c r="X408">
        <v>0.98621080000000005</v>
      </c>
      <c r="Y408">
        <v>-0.14695859999999999</v>
      </c>
      <c r="Z408">
        <v>3.6240209999999998E-3</v>
      </c>
      <c r="AA408">
        <v>0.98913600000000002</v>
      </c>
      <c r="AB408">
        <v>32</v>
      </c>
      <c r="AC408">
        <v>29.948899999999899</v>
      </c>
      <c r="AD408">
        <v>-1.1097812420039901</v>
      </c>
      <c r="AE408">
        <v>3.7141999999999999</v>
      </c>
      <c r="AF408">
        <v>-4.47706806429946</v>
      </c>
      <c r="AG408">
        <v>-1.1097812420039901</v>
      </c>
      <c r="AH408">
        <v>29.803179583024701</v>
      </c>
      <c r="AI408">
        <v>92.108897486932094</v>
      </c>
      <c r="AJ408">
        <v>98.543157635185295</v>
      </c>
      <c r="AK408">
        <v>30.158005008877801</v>
      </c>
      <c r="AL408">
        <v>80.529654974241694</v>
      </c>
      <c r="AM408">
        <v>88.967785739231502</v>
      </c>
      <c r="AN408">
        <v>0.99999996904778499</v>
      </c>
    </row>
    <row r="409" spans="1:40" x14ac:dyDescent="0.25">
      <c r="A409" t="str">
        <f>"20190312172618653"</f>
        <v>20190312172618653</v>
      </c>
      <c r="B409" t="str">
        <f>"1552382778649182"</f>
        <v>1552382778649182</v>
      </c>
      <c r="C409" t="s">
        <v>40</v>
      </c>
      <c r="D409">
        <v>3.1093449999999998</v>
      </c>
      <c r="E409">
        <v>0.4362144</v>
      </c>
      <c r="F409" t="s">
        <v>41</v>
      </c>
      <c r="G409">
        <v>-350.58179999999999</v>
      </c>
      <c r="H409" s="1">
        <v>-4.2185460000000004E-6</v>
      </c>
      <c r="I409">
        <v>370.4085</v>
      </c>
      <c r="J409">
        <v>-380.16730000000001</v>
      </c>
      <c r="K409">
        <v>1.109777</v>
      </c>
      <c r="L409">
        <v>366.73849999999999</v>
      </c>
      <c r="M409">
        <v>0.99957379999999996</v>
      </c>
      <c r="N409">
        <v>0</v>
      </c>
      <c r="O409">
        <v>-2.585378E-2</v>
      </c>
      <c r="P409">
        <v>0.98769960000000001</v>
      </c>
      <c r="Q409">
        <v>0.15021139999999999</v>
      </c>
      <c r="R409">
        <v>-4.3428950000000001E-2</v>
      </c>
      <c r="S409">
        <v>3.0716549999999998</v>
      </c>
      <c r="T409">
        <v>-0.1139802</v>
      </c>
      <c r="U409">
        <v>0.37606810000000002</v>
      </c>
      <c r="V409">
        <v>1.793078E-2</v>
      </c>
      <c r="W409">
        <v>0.16360350000000001</v>
      </c>
      <c r="X409">
        <v>0.9863632</v>
      </c>
      <c r="Y409">
        <v>-0.14703089999999999</v>
      </c>
      <c r="Z409">
        <v>3.672724E-3</v>
      </c>
      <c r="AA409">
        <v>0.98912509999999998</v>
      </c>
      <c r="AB409">
        <v>32</v>
      </c>
      <c r="AC409">
        <v>29.5855</v>
      </c>
      <c r="AD409">
        <v>-1.1097812185459901</v>
      </c>
      <c r="AE409">
        <v>3.6700000000000101</v>
      </c>
      <c r="AF409">
        <v>-4.4276047795439997</v>
      </c>
      <c r="AG409">
        <v>-1.1097812185459901</v>
      </c>
      <c r="AH409">
        <v>29.439920314877501</v>
      </c>
      <c r="AI409">
        <v>92.134840828881593</v>
      </c>
      <c r="AJ409">
        <v>98.552875241585198</v>
      </c>
      <c r="AK409">
        <v>29.791680157104501</v>
      </c>
      <c r="AL409">
        <v>80.583881356866598</v>
      </c>
      <c r="AM409">
        <v>88.958553125862394</v>
      </c>
      <c r="AN409">
        <v>0.99999999019894903</v>
      </c>
    </row>
    <row r="410" spans="1:40" x14ac:dyDescent="0.25">
      <c r="A410" t="str">
        <f>"20190312172618674"</f>
        <v>20190312172618674</v>
      </c>
      <c r="B410" t="str">
        <f>"1552382778668701"</f>
        <v>1552382778668701</v>
      </c>
      <c r="C410" t="s">
        <v>40</v>
      </c>
      <c r="D410">
        <v>3.1435219999999999</v>
      </c>
      <c r="E410">
        <v>0.4361101</v>
      </c>
      <c r="F410" t="s">
        <v>41</v>
      </c>
      <c r="G410">
        <v>-351.09640000000002</v>
      </c>
      <c r="H410" s="1">
        <v>-3.986221E-6</v>
      </c>
      <c r="I410">
        <v>370.30900000000003</v>
      </c>
      <c r="J410">
        <v>-379.85469999999998</v>
      </c>
      <c r="K410">
        <v>1.1097709999999901</v>
      </c>
      <c r="L410">
        <v>366.7303</v>
      </c>
      <c r="M410">
        <v>0.99957039999999997</v>
      </c>
      <c r="N410">
        <v>0</v>
      </c>
      <c r="O410">
        <v>-2.599015E-2</v>
      </c>
      <c r="P410">
        <v>0.98774770000000001</v>
      </c>
      <c r="Q410">
        <v>0.14984129999999901</v>
      </c>
      <c r="R410">
        <v>-4.3617030000000001E-2</v>
      </c>
      <c r="S410">
        <v>3.0718079999999999</v>
      </c>
      <c r="T410">
        <v>-0.11726590000000001</v>
      </c>
      <c r="U410">
        <v>0.37728879999999998</v>
      </c>
      <c r="V410">
        <v>1.7982599999999901E-2</v>
      </c>
      <c r="W410">
        <v>0.16323280000000001</v>
      </c>
      <c r="X410">
        <v>0.98642370000000001</v>
      </c>
      <c r="Y410">
        <v>-0.1475399</v>
      </c>
      <c r="Z410">
        <v>3.7931100000000001E-3</v>
      </c>
      <c r="AA410">
        <v>0.98904879999999995</v>
      </c>
      <c r="AB410">
        <v>32</v>
      </c>
      <c r="AC410">
        <v>28.758299999999899</v>
      </c>
      <c r="AD410">
        <v>-1.10977498622099</v>
      </c>
      <c r="AE410">
        <v>3.57870000000002</v>
      </c>
      <c r="AF410">
        <v>-4.31865888363075</v>
      </c>
      <c r="AG410">
        <v>-1.10977498622099</v>
      </c>
      <c r="AH410">
        <v>28.613603490027501</v>
      </c>
      <c r="AI410">
        <v>92.196246732392495</v>
      </c>
      <c r="AJ410">
        <v>98.582886121990498</v>
      </c>
      <c r="AK410">
        <v>28.958948871768801</v>
      </c>
      <c r="AL410">
        <v>80.605410586197195</v>
      </c>
      <c r="AM410">
        <v>88.955608052592396</v>
      </c>
      <c r="AN410">
        <v>1.0000000184101401</v>
      </c>
    </row>
    <row r="411" spans="1:40" x14ac:dyDescent="0.25">
      <c r="A411" t="str">
        <f>"20190312172618698"</f>
        <v>20190312172618698</v>
      </c>
      <c r="B411" t="str">
        <f>"1552382778689258"</f>
        <v>1552382778689258</v>
      </c>
      <c r="C411" t="s">
        <v>40</v>
      </c>
      <c r="D411">
        <v>3.2029350000000001</v>
      </c>
      <c r="E411">
        <v>0.43605539999999998</v>
      </c>
      <c r="F411" t="s">
        <v>41</v>
      </c>
      <c r="G411">
        <v>-351.09809999999999</v>
      </c>
      <c r="H411" s="1">
        <v>-3.9727369999999996E-6</v>
      </c>
      <c r="I411">
        <v>370.26100000000002</v>
      </c>
      <c r="J411">
        <v>-379.52670000000001</v>
      </c>
      <c r="K411">
        <v>1.10978</v>
      </c>
      <c r="L411">
        <v>366.72160000000002</v>
      </c>
      <c r="M411">
        <v>0.99956659999999997</v>
      </c>
      <c r="N411">
        <v>0</v>
      </c>
      <c r="O411">
        <v>-2.613294E-2</v>
      </c>
      <c r="P411">
        <v>0.98773580000000005</v>
      </c>
      <c r="Q411">
        <v>0.1498225</v>
      </c>
      <c r="R411">
        <v>-4.394986E-2</v>
      </c>
      <c r="S411">
        <v>3.0718380000000001</v>
      </c>
      <c r="T411">
        <v>-0.11854779999999999</v>
      </c>
      <c r="U411">
        <v>0.37716670000000002</v>
      </c>
      <c r="V411">
        <v>1.8174300000000001E-2</v>
      </c>
      <c r="W411">
        <v>0.163213</v>
      </c>
      <c r="X411">
        <v>0.98642339999999995</v>
      </c>
      <c r="Y411">
        <v>-0.147638299999999</v>
      </c>
      <c r="Z411">
        <v>3.8418979999999998E-3</v>
      </c>
      <c r="AA411">
        <v>0.98903390000000002</v>
      </c>
      <c r="AB411">
        <v>32</v>
      </c>
      <c r="AC411">
        <v>28.428599999999999</v>
      </c>
      <c r="AD411">
        <v>-1.109783972737</v>
      </c>
      <c r="AE411">
        <v>3.5393999999999401</v>
      </c>
      <c r="AF411">
        <v>-4.2747671042440496</v>
      </c>
      <c r="AG411">
        <v>-1.109783972737</v>
      </c>
      <c r="AH411">
        <v>28.283940837396699</v>
      </c>
      <c r="AI411">
        <v>92.221769533518597</v>
      </c>
      <c r="AJ411">
        <v>98.594500686199297</v>
      </c>
      <c r="AK411">
        <v>28.626675733571101</v>
      </c>
      <c r="AL411">
        <v>80.606559874731005</v>
      </c>
      <c r="AM411">
        <v>88.944476700563001</v>
      </c>
      <c r="AN411">
        <v>0.99999995630852401</v>
      </c>
    </row>
    <row r="412" spans="1:40" x14ac:dyDescent="0.25">
      <c r="A412" t="str">
        <f>"20190312172618721"</f>
        <v>20190312172618721</v>
      </c>
      <c r="B412" t="str">
        <f>"1552382778718538"</f>
        <v>1552382778718538</v>
      </c>
      <c r="C412" t="s">
        <v>40</v>
      </c>
      <c r="D412">
        <v>3.0507740000000001</v>
      </c>
      <c r="E412">
        <v>0.436006</v>
      </c>
      <c r="F412" t="s">
        <v>41</v>
      </c>
      <c r="G412">
        <v>-350.57100000000003</v>
      </c>
      <c r="H412" s="1">
        <v>-4.1979519999999998E-6</v>
      </c>
      <c r="I412">
        <v>370.2715</v>
      </c>
      <c r="J412">
        <v>-379.19450000000001</v>
      </c>
      <c r="K412">
        <v>1.1097840000000001</v>
      </c>
      <c r="L412">
        <v>366.71269999999998</v>
      </c>
      <c r="M412">
        <v>0.99956270000000003</v>
      </c>
      <c r="N412">
        <v>0</v>
      </c>
      <c r="O412">
        <v>-2.627753E-2</v>
      </c>
      <c r="P412">
        <v>0.98771439999999999</v>
      </c>
      <c r="Q412">
        <v>0.149908399999999</v>
      </c>
      <c r="R412">
        <v>-4.413425E-2</v>
      </c>
      <c r="S412">
        <v>3.0718990000000002</v>
      </c>
      <c r="T412">
        <v>-0.1177359</v>
      </c>
      <c r="U412">
        <v>0.37661739999999999</v>
      </c>
      <c r="V412">
        <v>1.8215970000000001E-2</v>
      </c>
      <c r="W412">
        <v>0.16329769999999999</v>
      </c>
      <c r="X412">
        <v>0.98640870000000003</v>
      </c>
      <c r="Y412">
        <v>-0.1476064</v>
      </c>
      <c r="Z412">
        <v>3.820483E-3</v>
      </c>
      <c r="AA412">
        <v>0.9890388</v>
      </c>
      <c r="AB412">
        <v>32</v>
      </c>
      <c r="AC412">
        <v>28.6235</v>
      </c>
      <c r="AD412">
        <v>-1.1097881979519999</v>
      </c>
      <c r="AE412">
        <v>3.5588000000000202</v>
      </c>
      <c r="AF412">
        <v>-4.3034242262161202</v>
      </c>
      <c r="AG412">
        <v>-1.1097881979519999</v>
      </c>
      <c r="AH412">
        <v>28.477930911274601</v>
      </c>
      <c r="AI412">
        <v>92.206665941607397</v>
      </c>
      <c r="AJ412">
        <v>98.593198380285301</v>
      </c>
      <c r="AK412">
        <v>28.822623733838402</v>
      </c>
      <c r="AL412">
        <v>80.6016417404891</v>
      </c>
      <c r="AM412">
        <v>88.942041385727606</v>
      </c>
      <c r="AN412">
        <v>1.0000000419120001</v>
      </c>
    </row>
    <row r="413" spans="1:40" x14ac:dyDescent="0.25">
      <c r="A413" t="str">
        <f>"20190312172618742"</f>
        <v>20190312172618742</v>
      </c>
      <c r="B413" t="str">
        <f>"1552382778739035"</f>
        <v>1552382778739035</v>
      </c>
      <c r="C413" t="s">
        <v>40</v>
      </c>
      <c r="D413">
        <v>3.1306259999999999</v>
      </c>
      <c r="E413">
        <v>0.43588500000000002</v>
      </c>
      <c r="F413" t="s">
        <v>41</v>
      </c>
      <c r="G413">
        <v>-350.0204</v>
      </c>
      <c r="H413" s="1">
        <v>-4.3886889999999999E-6</v>
      </c>
      <c r="I413">
        <v>370.29059999999998</v>
      </c>
      <c r="J413">
        <v>-378.8886</v>
      </c>
      <c r="K413">
        <v>1.1097859999999999</v>
      </c>
      <c r="L413">
        <v>366.7045</v>
      </c>
      <c r="M413">
        <v>0.99955919999999998</v>
      </c>
      <c r="N413">
        <v>0</v>
      </c>
      <c r="O413">
        <v>-2.641114E-2</v>
      </c>
      <c r="P413">
        <v>0.98774139999999999</v>
      </c>
      <c r="Q413">
        <v>0.14960680000000001</v>
      </c>
      <c r="R413">
        <v>-4.4551960000000002E-2</v>
      </c>
      <c r="S413">
        <v>3.07193</v>
      </c>
      <c r="T413">
        <v>-0.1168563</v>
      </c>
      <c r="U413">
        <v>0.3767395</v>
      </c>
      <c r="V413">
        <v>1.850069E-2</v>
      </c>
      <c r="W413">
        <v>0.16299520000000001</v>
      </c>
      <c r="X413">
        <v>0.98645340000000004</v>
      </c>
      <c r="Y413">
        <v>-0.14777779999999999</v>
      </c>
      <c r="Z413">
        <v>3.800229E-3</v>
      </c>
      <c r="AA413">
        <v>0.98901329999999998</v>
      </c>
      <c r="AB413">
        <v>32</v>
      </c>
      <c r="AC413">
        <v>28.868200000000002</v>
      </c>
      <c r="AD413">
        <v>-1.1097903886889999</v>
      </c>
      <c r="AE413">
        <v>3.5860999999999801</v>
      </c>
      <c r="AF413">
        <v>-4.3410428917190496</v>
      </c>
      <c r="AG413">
        <v>-1.1097903886889999</v>
      </c>
      <c r="AH413">
        <v>28.721603870839601</v>
      </c>
      <c r="AI413">
        <v>92.187958309168806</v>
      </c>
      <c r="AJ413">
        <v>98.594751193294996</v>
      </c>
      <c r="AK413">
        <v>29.069000963362999</v>
      </c>
      <c r="AL413">
        <v>80.619208786040701</v>
      </c>
      <c r="AM413">
        <v>88.925557762563898</v>
      </c>
      <c r="AN413">
        <v>1.00000001056253</v>
      </c>
    </row>
    <row r="414" spans="1:40" x14ac:dyDescent="0.25">
      <c r="A414" t="str">
        <f>"20190312172618764"</f>
        <v>20190312172618764</v>
      </c>
      <c r="B414" t="str">
        <f>"1552382778758555"</f>
        <v>1552382778758555</v>
      </c>
      <c r="C414" t="s">
        <v>40</v>
      </c>
      <c r="D414">
        <v>3.0859610000000002</v>
      </c>
      <c r="E414">
        <v>0.4357818</v>
      </c>
      <c r="F414" t="s">
        <v>41</v>
      </c>
      <c r="G414">
        <v>-349.97669999999999</v>
      </c>
      <c r="H414" s="1">
        <v>-4.3952120000000002E-6</v>
      </c>
      <c r="I414">
        <v>370.24349999999998</v>
      </c>
      <c r="J414">
        <v>-378.5881</v>
      </c>
      <c r="K414">
        <v>1.1097889999999999</v>
      </c>
      <c r="L414">
        <v>366.69639999999998</v>
      </c>
      <c r="M414">
        <v>0.99955570000000005</v>
      </c>
      <c r="N414">
        <v>0</v>
      </c>
      <c r="O414">
        <v>-2.65419E-2</v>
      </c>
      <c r="P414">
        <v>0.98781699999999995</v>
      </c>
      <c r="Q414">
        <v>0.14906810000000001</v>
      </c>
      <c r="R414">
        <v>-4.468068E-2</v>
      </c>
      <c r="S414">
        <v>3.0720519999999998</v>
      </c>
      <c r="T414">
        <v>-0.117920899999999</v>
      </c>
      <c r="U414">
        <v>0.37603760000000003</v>
      </c>
      <c r="V414">
        <v>1.8497670000000001E-2</v>
      </c>
      <c r="W414">
        <v>0.1624565</v>
      </c>
      <c r="X414">
        <v>0.98654229999999998</v>
      </c>
      <c r="Y414">
        <v>-0.14767749999999999</v>
      </c>
      <c r="Z414">
        <v>3.8378090000000002E-3</v>
      </c>
      <c r="AA414">
        <v>0.98902809999999997</v>
      </c>
      <c r="AB414">
        <v>32</v>
      </c>
      <c r="AC414">
        <v>28.6114</v>
      </c>
      <c r="AD414">
        <v>-1.1097933952119901</v>
      </c>
      <c r="AE414">
        <v>3.5470999999999999</v>
      </c>
      <c r="AF414">
        <v>-4.29895082733875</v>
      </c>
      <c r="AG414">
        <v>-1.1097933952119901</v>
      </c>
      <c r="AH414">
        <v>28.464984307696799</v>
      </c>
      <c r="AI414">
        <v>92.207707729673999</v>
      </c>
      <c r="AJ414">
        <v>98.588245115848693</v>
      </c>
      <c r="AK414">
        <v>28.809164361941399</v>
      </c>
      <c r="AL414">
        <v>80.650490815915205</v>
      </c>
      <c r="AM414">
        <v>88.925829892770494</v>
      </c>
      <c r="AN414">
        <v>0.99999999393848404</v>
      </c>
    </row>
    <row r="415" spans="1:40" x14ac:dyDescent="0.25">
      <c r="A415" t="str">
        <f>"20190312172618786"</f>
        <v>20190312172618786</v>
      </c>
      <c r="B415" t="str">
        <f>"1552382778779050"</f>
        <v>1552382778779050</v>
      </c>
      <c r="C415" t="s">
        <v>40</v>
      </c>
      <c r="D415">
        <v>3.130887</v>
      </c>
      <c r="E415">
        <v>0.43569380000000002</v>
      </c>
      <c r="F415" t="s">
        <v>41</v>
      </c>
      <c r="G415">
        <v>-350.04809999999998</v>
      </c>
      <c r="H415" s="1">
        <v>-4.3617309999999999E-6</v>
      </c>
      <c r="I415">
        <v>370.1918</v>
      </c>
      <c r="J415">
        <v>-378.26639999999998</v>
      </c>
      <c r="K415">
        <v>1.1097900000000001</v>
      </c>
      <c r="L415">
        <v>366.68770000000001</v>
      </c>
      <c r="M415">
        <v>0.99955210000000005</v>
      </c>
      <c r="N415">
        <v>0</v>
      </c>
      <c r="O415">
        <v>-2.6682299999999999E-2</v>
      </c>
      <c r="P415">
        <v>0.98788050000000005</v>
      </c>
      <c r="Q415">
        <v>0.148606399999999</v>
      </c>
      <c r="R415">
        <v>-4.4817620000000002E-2</v>
      </c>
      <c r="S415">
        <v>3.0720830000000001</v>
      </c>
      <c r="T415">
        <v>-0.1194593</v>
      </c>
      <c r="U415">
        <v>0.37625120000000001</v>
      </c>
      <c r="V415">
        <v>1.8493610000000001E-2</v>
      </c>
      <c r="W415">
        <v>0.1619949</v>
      </c>
      <c r="X415">
        <v>0.98661829999999995</v>
      </c>
      <c r="Y415">
        <v>-0.1478795</v>
      </c>
      <c r="Z415">
        <v>3.8971359999999998E-3</v>
      </c>
      <c r="AA415">
        <v>0.98899769999999998</v>
      </c>
      <c r="AB415">
        <v>32</v>
      </c>
      <c r="AC415">
        <v>28.218299999999999</v>
      </c>
      <c r="AD415">
        <v>-1.109794361731</v>
      </c>
      <c r="AE415">
        <v>3.50409999999999</v>
      </c>
      <c r="AF415">
        <v>-4.2493775215010601</v>
      </c>
      <c r="AG415">
        <v>-1.109794361731</v>
      </c>
      <c r="AH415">
        <v>28.0719841177009</v>
      </c>
      <c r="AI415">
        <v>92.238470597120596</v>
      </c>
      <c r="AJ415">
        <v>98.607760080272698</v>
      </c>
      <c r="AK415">
        <v>28.4134676720392</v>
      </c>
      <c r="AL415">
        <v>80.677293789698197</v>
      </c>
      <c r="AM415">
        <v>88.926148310689399</v>
      </c>
      <c r="AN415">
        <v>1.0000000155658599</v>
      </c>
    </row>
    <row r="416" spans="1:40" x14ac:dyDescent="0.25">
      <c r="A416" t="str">
        <f>"20190312172618809"</f>
        <v>20190312172618809</v>
      </c>
      <c r="B416" t="str">
        <f>"1552382778798570"</f>
        <v>1552382778798570</v>
      </c>
      <c r="C416" t="s">
        <v>40</v>
      </c>
      <c r="D416">
        <v>3.3163499999999999</v>
      </c>
      <c r="E416">
        <v>0.46059159999999999</v>
      </c>
      <c r="F416" t="s">
        <v>41</v>
      </c>
      <c r="G416">
        <v>-350.09019999999998</v>
      </c>
      <c r="H416" s="1">
        <v>-4.3380060000000004E-6</v>
      </c>
      <c r="I416">
        <v>370.13889999999998</v>
      </c>
      <c r="J416">
        <v>-377.95060000000001</v>
      </c>
      <c r="K416">
        <v>1.1097859999999999</v>
      </c>
      <c r="L416">
        <v>366.67910000000001</v>
      </c>
      <c r="M416">
        <v>0.99954829999999995</v>
      </c>
      <c r="N416">
        <v>0</v>
      </c>
      <c r="O416">
        <v>-2.682033E-2</v>
      </c>
      <c r="P416">
        <v>0.98792720000000001</v>
      </c>
      <c r="Q416">
        <v>0.14806420000000001</v>
      </c>
      <c r="R416">
        <v>-4.5575650000000002E-2</v>
      </c>
      <c r="S416">
        <v>3.0720830000000001</v>
      </c>
      <c r="T416">
        <v>-0.1210016</v>
      </c>
      <c r="U416">
        <v>0.3762817</v>
      </c>
      <c r="V416">
        <v>1.9113379999999999E-2</v>
      </c>
      <c r="W416">
        <v>0.16145190000000001</v>
      </c>
      <c r="X416">
        <v>0.98669549999999995</v>
      </c>
      <c r="Y416">
        <v>-0.14802209999999999</v>
      </c>
      <c r="Z416">
        <v>3.9556259999999899E-3</v>
      </c>
      <c r="AA416">
        <v>0.98897610000000002</v>
      </c>
      <c r="AB416">
        <v>32</v>
      </c>
      <c r="AC416">
        <v>27.860399999999998</v>
      </c>
      <c r="AD416">
        <v>-1.1097903380059999</v>
      </c>
      <c r="AE416">
        <v>3.4597999999999698</v>
      </c>
      <c r="AF416">
        <v>-4.1992870018034401</v>
      </c>
      <c r="AG416">
        <v>-1.1097903380059999</v>
      </c>
      <c r="AH416">
        <v>27.7142668225375</v>
      </c>
      <c r="AI416">
        <v>92.267276002275906</v>
      </c>
      <c r="AJ416">
        <v>98.615962779802004</v>
      </c>
      <c r="AK416">
        <v>28.052561940554501</v>
      </c>
      <c r="AL416">
        <v>80.708820484831094</v>
      </c>
      <c r="AM416">
        <v>88.890256355595199</v>
      </c>
      <c r="AN416">
        <v>1.00000002351444</v>
      </c>
    </row>
    <row r="417" spans="1:40" x14ac:dyDescent="0.25">
      <c r="A417" t="str">
        <f>"20190312172618830"</f>
        <v>20190312172618830</v>
      </c>
      <c r="B417" t="str">
        <f>"1552382778819070"</f>
        <v>1552382778819070</v>
      </c>
      <c r="C417" t="s">
        <v>40</v>
      </c>
      <c r="D417">
        <v>3.292033</v>
      </c>
      <c r="E417">
        <v>0.48135660000000002</v>
      </c>
      <c r="F417" t="s">
        <v>41</v>
      </c>
      <c r="G417">
        <v>-352.50909999999999</v>
      </c>
      <c r="H417" s="1">
        <v>-3.4576869999999998E-6</v>
      </c>
      <c r="I417">
        <v>368.14049999999997</v>
      </c>
      <c r="J417">
        <v>-377.64030000000002</v>
      </c>
      <c r="K417">
        <v>1.1097840000000001</v>
      </c>
      <c r="L417">
        <v>366.67070000000001</v>
      </c>
      <c r="M417">
        <v>0.99954469999999995</v>
      </c>
      <c r="N417">
        <v>0</v>
      </c>
      <c r="O417">
        <v>-2.6956089999999999E-2</v>
      </c>
      <c r="P417">
        <v>0.98790029999999995</v>
      </c>
      <c r="Q417">
        <v>0.148038</v>
      </c>
      <c r="R417">
        <v>-4.6235730000000003E-2</v>
      </c>
      <c r="S417">
        <v>3.0648499999999999</v>
      </c>
      <c r="T417">
        <v>-0.13369200000000001</v>
      </c>
      <c r="U417">
        <v>0.17605589999999999</v>
      </c>
      <c r="V417">
        <v>1.9639839999999999E-2</v>
      </c>
      <c r="W417">
        <v>0.16142319999999999</v>
      </c>
      <c r="X417">
        <v>0.98668990000000001</v>
      </c>
      <c r="Y417">
        <v>-8.4137050000000005E-2</v>
      </c>
      <c r="Z417">
        <v>3.0072499999999999E-3</v>
      </c>
      <c r="AA417">
        <v>0.99644960000000005</v>
      </c>
      <c r="AB417">
        <v>32</v>
      </c>
      <c r="AC417">
        <v>25.1312</v>
      </c>
      <c r="AD417">
        <v>-1.1097874576869999</v>
      </c>
      <c r="AE417">
        <v>1.46979999999996</v>
      </c>
      <c r="AF417">
        <v>-2.1426029338630399</v>
      </c>
      <c r="AG417">
        <v>-1.1097874576869999</v>
      </c>
      <c r="AH417">
        <v>25.0337908426654</v>
      </c>
      <c r="AI417">
        <v>92.529115946806897</v>
      </c>
      <c r="AJ417">
        <v>94.891934147093707</v>
      </c>
      <c r="AK417">
        <v>25.1498123151596</v>
      </c>
      <c r="AL417">
        <v>80.710487126092801</v>
      </c>
      <c r="AM417">
        <v>88.859691007640095</v>
      </c>
      <c r="AN417">
        <v>1.0000000657877299</v>
      </c>
    </row>
    <row r="418" spans="1:40" x14ac:dyDescent="0.25">
      <c r="A418" t="str">
        <f>"20190312172618853"</f>
        <v>20190312172618853</v>
      </c>
      <c r="B418" t="str">
        <f>"1552382778849322"</f>
        <v>1552382778849322</v>
      </c>
      <c r="C418" t="s">
        <v>40</v>
      </c>
      <c r="D418">
        <v>3.2492040000000002</v>
      </c>
      <c r="E418">
        <v>0.4988686</v>
      </c>
      <c r="F418" t="s">
        <v>41</v>
      </c>
      <c r="G418">
        <v>-360.03919999999999</v>
      </c>
      <c r="H418" s="1">
        <v>-4.7695769999999996E-6</v>
      </c>
      <c r="I418">
        <v>366.71800000000002</v>
      </c>
      <c r="J418">
        <v>-377.33370000000002</v>
      </c>
      <c r="K418">
        <v>1.1097840000000001</v>
      </c>
      <c r="L418">
        <v>366.66230000000002</v>
      </c>
      <c r="M418">
        <v>0.99954109999999996</v>
      </c>
      <c r="N418">
        <v>0</v>
      </c>
      <c r="O418">
        <v>-2.708969E-2</v>
      </c>
      <c r="P418">
        <v>0.98809979999999997</v>
      </c>
      <c r="Q418">
        <v>0.14642359999999999</v>
      </c>
      <c r="R418">
        <v>-4.7102270000000002E-2</v>
      </c>
      <c r="S418">
        <v>3.0661320000000001</v>
      </c>
      <c r="T418">
        <v>-0.19332479999999999</v>
      </c>
      <c r="U418">
        <v>8.2702639999999994E-3</v>
      </c>
      <c r="V418">
        <v>2.0367880000000001E-2</v>
      </c>
      <c r="W418">
        <v>0.15980929999999999</v>
      </c>
      <c r="X418">
        <v>0.98693779999999998</v>
      </c>
      <c r="Y418">
        <v>-2.967566E-2</v>
      </c>
      <c r="Z418">
        <v>2.6409910000000001E-3</v>
      </c>
      <c r="AA418">
        <v>0.99955609999999995</v>
      </c>
      <c r="AB418">
        <v>32</v>
      </c>
      <c r="AC418">
        <v>17.294499999999999</v>
      </c>
      <c r="AD418">
        <v>-1.1097887695769999</v>
      </c>
      <c r="AE418">
        <v>5.5700000000001602E-2</v>
      </c>
      <c r="AF418">
        <v>-0.52207546826561602</v>
      </c>
      <c r="AG418">
        <v>-1.1097887695769999</v>
      </c>
      <c r="AH418">
        <v>17.215752648834801</v>
      </c>
      <c r="AI418">
        <v>93.686696558482495</v>
      </c>
      <c r="AJ418">
        <v>91.736988037068201</v>
      </c>
      <c r="AK418">
        <v>17.2593839163948</v>
      </c>
      <c r="AL418">
        <v>80.804172900572397</v>
      </c>
      <c r="AM418">
        <v>88.817729011828305</v>
      </c>
      <c r="AN418">
        <v>1.00000004198551</v>
      </c>
    </row>
    <row r="419" spans="1:40" x14ac:dyDescent="0.25">
      <c r="A419" t="str">
        <f>"20190312172618887"</f>
        <v>20190312172618887</v>
      </c>
      <c r="B419" t="str">
        <f>"1552382778878602"</f>
        <v>1552382778878602</v>
      </c>
      <c r="C419" t="s">
        <v>40</v>
      </c>
      <c r="D419">
        <v>3.252405</v>
      </c>
      <c r="E419">
        <v>0.5060325</v>
      </c>
      <c r="F419" t="s">
        <v>44</v>
      </c>
      <c r="G419">
        <v>-376.39510000000001</v>
      </c>
      <c r="H419">
        <v>1.035013</v>
      </c>
      <c r="I419">
        <v>366.62079999999997</v>
      </c>
      <c r="J419">
        <v>-376.84780000000001</v>
      </c>
      <c r="K419">
        <v>1.1097809999999999</v>
      </c>
      <c r="L419">
        <v>366.64879999999999</v>
      </c>
      <c r="M419">
        <v>0.99953559999999997</v>
      </c>
      <c r="N419">
        <v>0</v>
      </c>
      <c r="O419">
        <v>-2.730167E-2</v>
      </c>
      <c r="P419">
        <v>0.9882531</v>
      </c>
      <c r="Q419">
        <v>0.1450804</v>
      </c>
      <c r="R419">
        <v>-4.8039699999999998E-2</v>
      </c>
      <c r="S419">
        <v>3.0659480000000001</v>
      </c>
      <c r="T419">
        <v>-0.2443825</v>
      </c>
      <c r="U419">
        <v>-0.1347961</v>
      </c>
      <c r="V419">
        <v>2.1090669999999999E-2</v>
      </c>
      <c r="W419">
        <v>0.1584545</v>
      </c>
      <c r="X419">
        <v>0.98714100000000005</v>
      </c>
      <c r="Y419">
        <v>1.6662599999999899E-2</v>
      </c>
      <c r="Z419">
        <v>1.508653E-3</v>
      </c>
      <c r="AA419">
        <v>0.99985999999999997</v>
      </c>
      <c r="AB419">
        <v>32</v>
      </c>
      <c r="AC419">
        <v>0.452699999999993</v>
      </c>
      <c r="AD419">
        <v>-7.4767999999999904E-2</v>
      </c>
      <c r="AE419">
        <v>-2.8000000000019998E-2</v>
      </c>
      <c r="AF419">
        <v>1.52154977786639E-2</v>
      </c>
      <c r="AG419">
        <v>-7.4767999999999904E-2</v>
      </c>
      <c r="AH419">
        <v>0.44130378378191698</v>
      </c>
      <c r="AI419">
        <v>99.610432018676605</v>
      </c>
      <c r="AJ419">
        <v>88.025309017010798</v>
      </c>
      <c r="AK419">
        <v>0.44785130878103901</v>
      </c>
      <c r="AL419">
        <v>80.882798742398506</v>
      </c>
      <c r="AM419">
        <v>88.776038522287195</v>
      </c>
      <c r="AN419">
        <v>0.99999999940614903</v>
      </c>
    </row>
    <row r="420" spans="1:40" x14ac:dyDescent="0.25">
      <c r="A420" t="str">
        <f>"20190312172618911"</f>
        <v>20190312172618911</v>
      </c>
      <c r="B420" t="str">
        <f>"1552382778899098"</f>
        <v>1552382778899098</v>
      </c>
      <c r="C420" t="s">
        <v>40</v>
      </c>
      <c r="D420">
        <v>3.2210909999999999</v>
      </c>
      <c r="E420">
        <v>0.50885249999999904</v>
      </c>
      <c r="F420" t="s">
        <v>44</v>
      </c>
      <c r="G420">
        <v>-376.1062</v>
      </c>
      <c r="H420">
        <v>1.0454589999999999</v>
      </c>
      <c r="I420">
        <v>366.60140000000001</v>
      </c>
      <c r="J420">
        <v>-376.52069999999998</v>
      </c>
      <c r="K420">
        <v>1.109777</v>
      </c>
      <c r="L420">
        <v>366.6397</v>
      </c>
      <c r="M420">
        <v>0.99953199999999998</v>
      </c>
      <c r="N420">
        <v>0</v>
      </c>
      <c r="O420">
        <v>-2.7444030000000001E-2</v>
      </c>
      <c r="P420">
        <v>0.98831709999999995</v>
      </c>
      <c r="Q420">
        <v>0.1445246</v>
      </c>
      <c r="R420">
        <v>-4.8399600000000001E-2</v>
      </c>
      <c r="S420">
        <v>3.0652159999999999</v>
      </c>
      <c r="T420">
        <v>-0.26614399999999999</v>
      </c>
      <c r="U420">
        <v>-0.1949158</v>
      </c>
      <c r="V420">
        <v>2.1307300000000001E-2</v>
      </c>
      <c r="W420">
        <v>0.1578881</v>
      </c>
      <c r="X420">
        <v>0.98722710000000002</v>
      </c>
      <c r="Y420">
        <v>3.6014160000000003E-2</v>
      </c>
      <c r="Z420">
        <v>8.1650129999999996E-4</v>
      </c>
      <c r="AA420">
        <v>0.99935099999999999</v>
      </c>
      <c r="AB420">
        <v>32</v>
      </c>
      <c r="AC420">
        <v>0.414499999999975</v>
      </c>
      <c r="AD420">
        <v>-6.4318000000000097E-2</v>
      </c>
      <c r="AE420">
        <v>-3.8299999999992403E-2</v>
      </c>
      <c r="AF420">
        <v>2.6281538715017899E-2</v>
      </c>
      <c r="AG420">
        <v>-6.4318000000000097E-2</v>
      </c>
      <c r="AH420">
        <v>0.40570917917013499</v>
      </c>
      <c r="AI420">
        <v>98.989729325145603</v>
      </c>
      <c r="AJ420">
        <v>86.293600703433</v>
      </c>
      <c r="AK420">
        <v>0.41161567324888598</v>
      </c>
      <c r="AL420">
        <v>80.915664806670705</v>
      </c>
      <c r="AM420">
        <v>88.763578458036093</v>
      </c>
      <c r="AN420">
        <v>1.0000000000646501</v>
      </c>
    </row>
    <row r="421" spans="1:40" x14ac:dyDescent="0.25">
      <c r="A421" t="str">
        <f>"20190312172618933"</f>
        <v>20190312172618933</v>
      </c>
      <c r="B421" t="str">
        <f>"1552382778929354"</f>
        <v>1552382778929354</v>
      </c>
      <c r="C421" t="s">
        <v>40</v>
      </c>
      <c r="D421">
        <v>3.2432409999999998</v>
      </c>
      <c r="E421">
        <v>0.51202599999999998</v>
      </c>
      <c r="F421" t="s">
        <v>44</v>
      </c>
      <c r="G421">
        <v>-375.55709999999999</v>
      </c>
      <c r="H421">
        <v>1.0233159999999999</v>
      </c>
      <c r="I421">
        <v>366.57089999999999</v>
      </c>
      <c r="J421">
        <v>-376.20920000000001</v>
      </c>
      <c r="K421">
        <v>1.1097760000000001</v>
      </c>
      <c r="L421">
        <v>366.63099999999997</v>
      </c>
      <c r="M421">
        <v>0.99952819999999998</v>
      </c>
      <c r="N421">
        <v>0</v>
      </c>
      <c r="O421">
        <v>-2.7579490000000002E-2</v>
      </c>
      <c r="P421">
        <v>0.98833230000000005</v>
      </c>
      <c r="Q421">
        <v>0.14417279999999999</v>
      </c>
      <c r="R421">
        <v>-4.9127700000000003E-2</v>
      </c>
      <c r="S421">
        <v>3.0650019999999998</v>
      </c>
      <c r="T421">
        <v>-0.275146</v>
      </c>
      <c r="U421">
        <v>-0.21847530000000001</v>
      </c>
      <c r="V421">
        <v>2.1900639999999999E-2</v>
      </c>
      <c r="W421">
        <v>0.15752550000000001</v>
      </c>
      <c r="X421">
        <v>0.98727200000000004</v>
      </c>
      <c r="Y421">
        <v>4.3497319999999999E-2</v>
      </c>
      <c r="Z421">
        <v>5.2111279999999996E-4</v>
      </c>
      <c r="AA421">
        <v>0.99905339999999998</v>
      </c>
      <c r="AB421">
        <v>32</v>
      </c>
      <c r="AC421">
        <v>0.652100000000018</v>
      </c>
      <c r="AD421">
        <v>-8.6460000000000203E-2</v>
      </c>
      <c r="AE421">
        <v>-6.0099999999977102E-2</v>
      </c>
      <c r="AF421">
        <v>4.1369778419438799E-2</v>
      </c>
      <c r="AG421">
        <v>-8.6460000000000203E-2</v>
      </c>
      <c r="AH421">
        <v>0.64231325683846596</v>
      </c>
      <c r="AI421">
        <v>97.650680637133604</v>
      </c>
      <c r="AJ421">
        <v>86.314813368520205</v>
      </c>
      <c r="AK421">
        <v>0.64942521515329998</v>
      </c>
      <c r="AL421">
        <v>80.936703183765005</v>
      </c>
      <c r="AM421">
        <v>88.729216997576401</v>
      </c>
      <c r="AN421">
        <v>0.99999996158332904</v>
      </c>
    </row>
    <row r="422" spans="1:40" x14ac:dyDescent="0.25">
      <c r="A422" t="str">
        <f>"20190312172618953"</f>
        <v>20190312172618953</v>
      </c>
      <c r="B422" t="str">
        <f>"1552382778948875"</f>
        <v>1552382778948875</v>
      </c>
      <c r="C422" t="s">
        <v>40</v>
      </c>
      <c r="D422">
        <v>3.2426349999999999</v>
      </c>
      <c r="E422">
        <v>0.5134012</v>
      </c>
      <c r="F422" t="s">
        <v>44</v>
      </c>
      <c r="G422">
        <v>-375.2765</v>
      </c>
      <c r="H422">
        <v>1.022548</v>
      </c>
      <c r="I422">
        <v>366.55610000000001</v>
      </c>
      <c r="J422">
        <v>-375.91719999999998</v>
      </c>
      <c r="K422">
        <v>1.109777</v>
      </c>
      <c r="L422">
        <v>366.62270000000001</v>
      </c>
      <c r="M422">
        <v>0.99952479999999999</v>
      </c>
      <c r="N422">
        <v>0</v>
      </c>
      <c r="O422">
        <v>-2.770709E-2</v>
      </c>
      <c r="P422">
        <v>0.98840030000000001</v>
      </c>
      <c r="Q422">
        <v>0.1434666</v>
      </c>
      <c r="R422">
        <v>-4.9823720000000002E-2</v>
      </c>
      <c r="S422">
        <v>3.0650629999999999</v>
      </c>
      <c r="T422">
        <v>-0.28683570000000003</v>
      </c>
      <c r="U422">
        <v>-0.2455444</v>
      </c>
      <c r="V422">
        <v>2.2467890000000001E-2</v>
      </c>
      <c r="W422">
        <v>0.1568107</v>
      </c>
      <c r="X422">
        <v>0.9873731</v>
      </c>
      <c r="Y422">
        <v>5.2097249999999998E-2</v>
      </c>
      <c r="Z422">
        <v>1.5389169999999999E-4</v>
      </c>
      <c r="AA422">
        <v>0.99864200000000003</v>
      </c>
      <c r="AB422">
        <v>31</v>
      </c>
      <c r="AC422">
        <v>0.64069999999998095</v>
      </c>
      <c r="AD422">
        <v>-8.7229000000000001E-2</v>
      </c>
      <c r="AE422">
        <v>-6.6599999999993997E-2</v>
      </c>
      <c r="AF422">
        <v>4.7941733013302797E-2</v>
      </c>
      <c r="AG422">
        <v>-8.7229000000000001E-2</v>
      </c>
      <c r="AH422">
        <v>0.63073324577147305</v>
      </c>
      <c r="AI422">
        <v>97.851567593574202</v>
      </c>
      <c r="AJ422">
        <v>85.653333163992997</v>
      </c>
      <c r="AK422">
        <v>0.63853875021547202</v>
      </c>
      <c r="AL422">
        <v>80.978174142466898</v>
      </c>
      <c r="AM422">
        <v>88.6964470168584</v>
      </c>
      <c r="AN422">
        <v>1.00000002015957</v>
      </c>
    </row>
    <row r="423" spans="1:40" x14ac:dyDescent="0.25">
      <c r="A423" t="str">
        <f>"20190312172618977"</f>
        <v>20190312172618977</v>
      </c>
      <c r="B423" t="str">
        <f>"1552382778969370"</f>
        <v>1552382778969370</v>
      </c>
      <c r="C423" t="s">
        <v>40</v>
      </c>
      <c r="D423">
        <v>3.218677</v>
      </c>
      <c r="E423">
        <v>0.51441490000000001</v>
      </c>
      <c r="F423" t="s">
        <v>44</v>
      </c>
      <c r="G423">
        <v>-374.9957</v>
      </c>
      <c r="H423">
        <v>1.0221579999999999</v>
      </c>
      <c r="I423">
        <v>366.54469999999998</v>
      </c>
      <c r="J423">
        <v>-375.59249999999997</v>
      </c>
      <c r="K423">
        <v>1.1097760000000001</v>
      </c>
      <c r="L423">
        <v>366.61360000000002</v>
      </c>
      <c r="M423">
        <v>0.99952110000000005</v>
      </c>
      <c r="N423">
        <v>0</v>
      </c>
      <c r="O423">
        <v>-2.7848970000000001E-2</v>
      </c>
      <c r="P423">
        <v>0.98849969999999998</v>
      </c>
      <c r="Q423">
        <v>0.142591</v>
      </c>
      <c r="R423">
        <v>-5.0364300000000001E-2</v>
      </c>
      <c r="S423">
        <v>3.064514</v>
      </c>
      <c r="T423">
        <v>-0.2915703</v>
      </c>
      <c r="U423">
        <v>-0.25912479999999999</v>
      </c>
      <c r="V423">
        <v>2.2864519999999999E-2</v>
      </c>
      <c r="W423">
        <v>0.15592429999999999</v>
      </c>
      <c r="X423">
        <v>0.98750439999999995</v>
      </c>
      <c r="Y423">
        <v>5.6343030000000002E-2</v>
      </c>
      <c r="Z423" s="1">
        <v>-3.1354840000000003E-5</v>
      </c>
      <c r="AA423">
        <v>0.99841150000000001</v>
      </c>
      <c r="AB423">
        <v>31</v>
      </c>
      <c r="AC423">
        <v>0.59679999999997302</v>
      </c>
      <c r="AD423">
        <v>-8.7618000000000196E-2</v>
      </c>
      <c r="AE423">
        <v>-6.89000000000419E-2</v>
      </c>
      <c r="AF423">
        <v>5.11632236554476E-2</v>
      </c>
      <c r="AG423">
        <v>-8.7618000000000196E-2</v>
      </c>
      <c r="AH423">
        <v>0.58602243152942302</v>
      </c>
      <c r="AI423">
        <v>98.471721776669796</v>
      </c>
      <c r="AJ423">
        <v>85.010391438321705</v>
      </c>
      <c r="AK423">
        <v>0.59474101896075304</v>
      </c>
      <c r="AL423">
        <v>81.029593967761002</v>
      </c>
      <c r="AM423">
        <v>88.673619613773795</v>
      </c>
      <c r="AN423">
        <v>1.00000005681233</v>
      </c>
    </row>
    <row r="424" spans="1:40" x14ac:dyDescent="0.25">
      <c r="A424" t="str">
        <f>"20190312172618999"</f>
        <v>20190312172618999</v>
      </c>
      <c r="B424" t="str">
        <f>"1552382778988890"</f>
        <v>1552382778988890</v>
      </c>
      <c r="C424" t="s">
        <v>40</v>
      </c>
      <c r="D424">
        <v>3.2483939999999998</v>
      </c>
      <c r="E424">
        <v>0.5152717</v>
      </c>
      <c r="F424" t="s">
        <v>44</v>
      </c>
      <c r="G424">
        <v>-374.71350000000001</v>
      </c>
      <c r="H424">
        <v>1.024851</v>
      </c>
      <c r="I424">
        <v>366.53590000000003</v>
      </c>
      <c r="J424">
        <v>-375.27300000000002</v>
      </c>
      <c r="K424">
        <v>1.109772</v>
      </c>
      <c r="L424">
        <v>366.60449999999997</v>
      </c>
      <c r="M424">
        <v>0.9995174</v>
      </c>
      <c r="N424">
        <v>0</v>
      </c>
      <c r="O424">
        <v>-2.7989150000000001E-2</v>
      </c>
      <c r="P424">
        <v>0.98854260000000005</v>
      </c>
      <c r="Q424">
        <v>0.14215820000000001</v>
      </c>
      <c r="R424">
        <v>-5.0740439999999998E-2</v>
      </c>
      <c r="S424">
        <v>3.0639340000000002</v>
      </c>
      <c r="T424">
        <v>-0.2964137</v>
      </c>
      <c r="U424">
        <v>-0.26931759999999999</v>
      </c>
      <c r="V424">
        <v>2.3100300000000001E-2</v>
      </c>
      <c r="W424">
        <v>0.15547540000000001</v>
      </c>
      <c r="X424">
        <v>0.98756960000000005</v>
      </c>
      <c r="Y424">
        <v>5.9497269999999998E-2</v>
      </c>
      <c r="Z424">
        <v>-1.7034219999999999E-4</v>
      </c>
      <c r="AA424">
        <v>0.99822840000000002</v>
      </c>
      <c r="AB424">
        <v>31</v>
      </c>
      <c r="AC424">
        <v>0.55950000000001399</v>
      </c>
      <c r="AD424">
        <v>-8.4920999999999996E-2</v>
      </c>
      <c r="AE424">
        <v>-6.8599999999946704E-2</v>
      </c>
      <c r="AF424">
        <v>5.1737531782946398E-2</v>
      </c>
      <c r="AG424">
        <v>-8.4920999999999996E-2</v>
      </c>
      <c r="AH424">
        <v>0.54874662554387699</v>
      </c>
      <c r="AI424">
        <v>98.758758163737397</v>
      </c>
      <c r="AJ424">
        <v>84.613898320373593</v>
      </c>
      <c r="AK424">
        <v>0.557683788075091</v>
      </c>
      <c r="AL424">
        <v>81.055630797314194</v>
      </c>
      <c r="AM424">
        <v>88.660035318060807</v>
      </c>
      <c r="AN424">
        <v>0.99999996935470403</v>
      </c>
    </row>
    <row r="425" spans="1:40" x14ac:dyDescent="0.25">
      <c r="A425" t="str">
        <f>"20190312172619021"</f>
        <v>20190312172619021</v>
      </c>
      <c r="B425" t="str">
        <f>"1552382779009386"</f>
        <v>1552382779009386</v>
      </c>
      <c r="C425" t="s">
        <v>40</v>
      </c>
      <c r="D425">
        <v>3.2457560000000001</v>
      </c>
      <c r="E425">
        <v>0.51590219999999998</v>
      </c>
      <c r="F425" t="s">
        <v>44</v>
      </c>
      <c r="G425">
        <v>-374.43150000000003</v>
      </c>
      <c r="H425">
        <v>1.027439</v>
      </c>
      <c r="I425">
        <v>366.52839999999998</v>
      </c>
      <c r="J425">
        <v>-374.96809999999999</v>
      </c>
      <c r="K425">
        <v>1.109772</v>
      </c>
      <c r="L425">
        <v>366.59589999999997</v>
      </c>
      <c r="M425">
        <v>0.99951389999999996</v>
      </c>
      <c r="N425">
        <v>0</v>
      </c>
      <c r="O425">
        <v>-2.812218E-2</v>
      </c>
      <c r="P425">
        <v>0.98851469999999997</v>
      </c>
      <c r="Q425">
        <v>0.14202629999999999</v>
      </c>
      <c r="R425">
        <v>-5.1646520000000001E-2</v>
      </c>
      <c r="S425">
        <v>3.06366</v>
      </c>
      <c r="T425">
        <v>-0.29983870000000001</v>
      </c>
      <c r="U425">
        <v>-0.277099599999999</v>
      </c>
      <c r="V425">
        <v>2.3874920000000001E-2</v>
      </c>
      <c r="W425">
        <v>0.15532560000000001</v>
      </c>
      <c r="X425">
        <v>0.98757479999999997</v>
      </c>
      <c r="Y425">
        <v>6.1873659999999997E-2</v>
      </c>
      <c r="Z425">
        <v>-2.7514670000000001E-4</v>
      </c>
      <c r="AA425">
        <v>0.99808390000000002</v>
      </c>
      <c r="AB425">
        <v>31</v>
      </c>
      <c r="AC425">
        <v>0.53659999999996399</v>
      </c>
      <c r="AD425">
        <v>-8.2332999999999906E-2</v>
      </c>
      <c r="AE425">
        <v>-6.7499999999995397E-2</v>
      </c>
      <c r="AF425">
        <v>5.1195100362568198E-2</v>
      </c>
      <c r="AG425">
        <v>-8.2332999999999906E-2</v>
      </c>
      <c r="AH425">
        <v>0.52609369209145396</v>
      </c>
      <c r="AI425">
        <v>98.853417570740703</v>
      </c>
      <c r="AJ425">
        <v>84.441947206433994</v>
      </c>
      <c r="AK425">
        <v>0.53495255308162704</v>
      </c>
      <c r="AL425">
        <v>81.064319710300893</v>
      </c>
      <c r="AM425">
        <v>88.615126923249704</v>
      </c>
      <c r="AN425">
        <v>1.0000000197076999</v>
      </c>
    </row>
    <row r="426" spans="1:40" x14ac:dyDescent="0.25">
      <c r="A426" t="str">
        <f>"20190312172619043"</f>
        <v>20190312172619043</v>
      </c>
      <c r="B426" t="str">
        <f>"1552382779038667"</f>
        <v>1552382779038667</v>
      </c>
      <c r="C426" t="s">
        <v>40</v>
      </c>
      <c r="D426">
        <v>3.22262</v>
      </c>
      <c r="E426">
        <v>0.52967869999999995</v>
      </c>
      <c r="F426" t="s">
        <v>44</v>
      </c>
      <c r="G426">
        <v>-374.15019999999998</v>
      </c>
      <c r="H426">
        <v>1.0292490000000001</v>
      </c>
      <c r="I426">
        <v>366.51940000000002</v>
      </c>
      <c r="J426">
        <v>-374.66180000000003</v>
      </c>
      <c r="K426">
        <v>1.109772</v>
      </c>
      <c r="L426">
        <v>366.58710000000002</v>
      </c>
      <c r="M426">
        <v>0.99951049999999997</v>
      </c>
      <c r="N426">
        <v>0</v>
      </c>
      <c r="O426">
        <v>-2.8255220000000001E-2</v>
      </c>
      <c r="P426">
        <v>0.98842459999999999</v>
      </c>
      <c r="Q426">
        <v>0.14245160000000001</v>
      </c>
      <c r="R426">
        <v>-5.2200160000000002E-2</v>
      </c>
      <c r="S426">
        <v>3.0633240000000002</v>
      </c>
      <c r="T426">
        <v>-0.301739799999999</v>
      </c>
      <c r="U426">
        <v>-0.28521729999999901</v>
      </c>
      <c r="V426">
        <v>2.429943E-2</v>
      </c>
      <c r="W426">
        <v>0.1557326</v>
      </c>
      <c r="X426">
        <v>0.9875003</v>
      </c>
      <c r="Y426">
        <v>6.4359940000000004E-2</v>
      </c>
      <c r="Z426">
        <v>-3.857655E-4</v>
      </c>
      <c r="AA426">
        <v>0.99792670000000006</v>
      </c>
      <c r="AB426">
        <v>31</v>
      </c>
      <c r="AC426">
        <v>0.51160000000004402</v>
      </c>
      <c r="AD426">
        <v>-8.05229999999999E-2</v>
      </c>
      <c r="AE426">
        <v>-6.7700000000001995E-2</v>
      </c>
      <c r="AF426">
        <v>5.1951445853307902E-2</v>
      </c>
      <c r="AG426">
        <v>-8.05229999999999E-2</v>
      </c>
      <c r="AH426">
        <v>0.50110843053748899</v>
      </c>
      <c r="AI426">
        <v>99.080953673800295</v>
      </c>
      <c r="AJ426">
        <v>84.081116198991296</v>
      </c>
      <c r="AK426">
        <v>0.51018875468888403</v>
      </c>
      <c r="AL426">
        <v>81.040712651293802</v>
      </c>
      <c r="AM426">
        <v>88.590406625803396</v>
      </c>
      <c r="AN426">
        <v>0.99999997375058702</v>
      </c>
    </row>
    <row r="427" spans="1:40" x14ac:dyDescent="0.25">
      <c r="A427" t="str">
        <f>"20190312172619065"</f>
        <v>20190312172619065</v>
      </c>
      <c r="B427" t="str">
        <f>"1552382779059163"</f>
        <v>1552382779059163</v>
      </c>
      <c r="C427" t="s">
        <v>40</v>
      </c>
      <c r="D427">
        <v>3.2184870000000001</v>
      </c>
      <c r="E427">
        <v>0.53040520000000002</v>
      </c>
      <c r="F427" t="s">
        <v>44</v>
      </c>
      <c r="G427">
        <v>-373.89550000000003</v>
      </c>
      <c r="H427">
        <v>0.97870800000000002</v>
      </c>
      <c r="I427">
        <v>366.48829999999998</v>
      </c>
      <c r="J427">
        <v>-374.33870000000002</v>
      </c>
      <c r="K427">
        <v>1.1097680000000001</v>
      </c>
      <c r="L427">
        <v>366.57780000000002</v>
      </c>
      <c r="M427">
        <v>0.99950669999999997</v>
      </c>
      <c r="N427">
        <v>0</v>
      </c>
      <c r="O427">
        <v>-2.8395610000000002E-2</v>
      </c>
      <c r="P427">
        <v>0.98839779999999999</v>
      </c>
      <c r="Q427">
        <v>0.1426414</v>
      </c>
      <c r="R427">
        <v>-5.2186330000000003E-2</v>
      </c>
      <c r="S427">
        <v>3.0903019999999999</v>
      </c>
      <c r="T427">
        <v>-0.52867419999999998</v>
      </c>
      <c r="U427">
        <v>-0.397644</v>
      </c>
      <c r="V427">
        <v>2.4147350000000001E-2</v>
      </c>
      <c r="W427">
        <v>0.1559017</v>
      </c>
      <c r="X427">
        <v>0.98747739999999995</v>
      </c>
      <c r="Y427">
        <v>9.8405439999999997E-2</v>
      </c>
      <c r="Z427">
        <v>-3.5219330000000001E-3</v>
      </c>
      <c r="AA427">
        <v>0.99514020000000003</v>
      </c>
      <c r="AB427">
        <v>31</v>
      </c>
      <c r="AC427">
        <v>0.44319999999998999</v>
      </c>
      <c r="AD427">
        <v>-0.13106000000000001</v>
      </c>
      <c r="AE427">
        <v>-8.95000000000436E-2</v>
      </c>
      <c r="AF427">
        <v>7.0919214488795498E-2</v>
      </c>
      <c r="AG427">
        <v>-0.13106000000000001</v>
      </c>
      <c r="AH427">
        <v>0.41102834831905199</v>
      </c>
      <c r="AI427">
        <v>107.443549150392</v>
      </c>
      <c r="AJ427">
        <v>80.210518862936098</v>
      </c>
      <c r="AK427">
        <v>0.43720768715290897</v>
      </c>
      <c r="AL427">
        <v>81.030904596473604</v>
      </c>
      <c r="AM427">
        <v>88.599192685366106</v>
      </c>
      <c r="AN427">
        <v>1.00000002504283</v>
      </c>
    </row>
    <row r="428" spans="1:40" x14ac:dyDescent="0.25">
      <c r="A428" t="str">
        <f>"20190312172619090"</f>
        <v>20190312172619090</v>
      </c>
      <c r="B428" t="str">
        <f>"1552382779078683"</f>
        <v>1552382779078683</v>
      </c>
      <c r="C428" t="s">
        <v>40</v>
      </c>
      <c r="D428">
        <v>3.205028</v>
      </c>
      <c r="E428">
        <v>0.53072200000000003</v>
      </c>
      <c r="F428" t="s">
        <v>44</v>
      </c>
      <c r="G428">
        <v>-373.61590000000001</v>
      </c>
      <c r="H428">
        <v>0.9773307</v>
      </c>
      <c r="I428">
        <v>366.48320000000001</v>
      </c>
      <c r="J428">
        <v>-373.99869999999999</v>
      </c>
      <c r="K428">
        <v>1.1097619999999999</v>
      </c>
      <c r="L428">
        <v>366.56799999999998</v>
      </c>
      <c r="M428">
        <v>0.99950280000000002</v>
      </c>
      <c r="N428">
        <v>0</v>
      </c>
      <c r="O428">
        <v>-2.8543369999999998E-2</v>
      </c>
      <c r="P428">
        <v>0.98854260000000005</v>
      </c>
      <c r="Q428">
        <v>0.14166719999999999</v>
      </c>
      <c r="R428">
        <v>-5.2093399999999998E-2</v>
      </c>
      <c r="S428">
        <v>3.095764</v>
      </c>
      <c r="T428">
        <v>-0.56725619999999999</v>
      </c>
      <c r="U428">
        <v>-0.40454099999999998</v>
      </c>
      <c r="V428">
        <v>2.3903919999999999E-2</v>
      </c>
      <c r="W428">
        <v>0.1549035</v>
      </c>
      <c r="X428">
        <v>0.98764039999999997</v>
      </c>
      <c r="Y428">
        <v>0.1000463</v>
      </c>
      <c r="Z428">
        <v>-3.8897049999999998E-3</v>
      </c>
      <c r="AA428">
        <v>0.9949751</v>
      </c>
      <c r="AB428">
        <v>31</v>
      </c>
      <c r="AC428">
        <v>0.38279999999997399</v>
      </c>
      <c r="AD428">
        <v>-0.1324313</v>
      </c>
      <c r="AE428">
        <v>-8.4800000000029699E-2</v>
      </c>
      <c r="AF428">
        <v>6.6276818300172805E-2</v>
      </c>
      <c r="AG428">
        <v>-0.1324313</v>
      </c>
      <c r="AH428">
        <v>0.34563290184648499</v>
      </c>
      <c r="AI428">
        <v>110.621325044816</v>
      </c>
      <c r="AJ428">
        <v>79.145016665600707</v>
      </c>
      <c r="AK428">
        <v>0.37602229814534399</v>
      </c>
      <c r="AL428">
        <v>81.088800616671705</v>
      </c>
      <c r="AM428">
        <v>88.613537484701098</v>
      </c>
      <c r="AN428">
        <v>1.00000002570788</v>
      </c>
    </row>
    <row r="429" spans="1:40" x14ac:dyDescent="0.25">
      <c r="A429" t="str">
        <f>"20190312172619112"</f>
        <v>20190312172619112</v>
      </c>
      <c r="B429" t="str">
        <f>"1552382779108938"</f>
        <v>1552382779108938</v>
      </c>
      <c r="C429" t="s">
        <v>40</v>
      </c>
      <c r="D429">
        <v>3.1997550000000001</v>
      </c>
      <c r="E429">
        <v>0.53077640000000004</v>
      </c>
      <c r="F429" t="s">
        <v>44</v>
      </c>
      <c r="G429">
        <v>-373.07740000000001</v>
      </c>
      <c r="H429">
        <v>0.93438270000000001</v>
      </c>
      <c r="I429">
        <v>366.447</v>
      </c>
      <c r="J429">
        <v>-373.68680000000001</v>
      </c>
      <c r="K429">
        <v>1.1097520000000001</v>
      </c>
      <c r="L429">
        <v>366.55889999999999</v>
      </c>
      <c r="M429">
        <v>0.99949940000000004</v>
      </c>
      <c r="N429">
        <v>0</v>
      </c>
      <c r="O429">
        <v>-2.8678749999999999E-2</v>
      </c>
      <c r="P429">
        <v>0.98867989999999994</v>
      </c>
      <c r="Q429">
        <v>0.1405931</v>
      </c>
      <c r="R429">
        <v>-5.240098E-2</v>
      </c>
      <c r="S429">
        <v>3.0978089999999998</v>
      </c>
      <c r="T429">
        <v>-0.58971049999999903</v>
      </c>
      <c r="U429">
        <v>-0.4068909</v>
      </c>
      <c r="V429">
        <v>2.407283E-2</v>
      </c>
      <c r="W429">
        <v>0.15380820000000001</v>
      </c>
      <c r="X429">
        <v>0.98780749999999995</v>
      </c>
      <c r="Y429">
        <v>0.1004723</v>
      </c>
      <c r="Z429">
        <v>-4.0528700000000001E-3</v>
      </c>
      <c r="AA429">
        <v>0.99493160000000003</v>
      </c>
      <c r="AB429">
        <v>31</v>
      </c>
      <c r="AC429">
        <v>0.60939999999999295</v>
      </c>
      <c r="AD429">
        <v>-0.17536930000000001</v>
      </c>
      <c r="AE429">
        <v>-0.111900000000048</v>
      </c>
      <c r="AF429">
        <v>8.7375688734736001E-2</v>
      </c>
      <c r="AG429">
        <v>-0.17536930000000001</v>
      </c>
      <c r="AH429">
        <v>0.56693976444111605</v>
      </c>
      <c r="AI429">
        <v>106.999268183534</v>
      </c>
      <c r="AJ429">
        <v>81.238616325451304</v>
      </c>
      <c r="AK429">
        <v>0.59984131140569796</v>
      </c>
      <c r="AL429">
        <v>81.152318228820604</v>
      </c>
      <c r="AM429">
        <v>88.603980421586897</v>
      </c>
      <c r="AN429">
        <v>1.0000000602938399</v>
      </c>
    </row>
    <row r="430" spans="1:40" x14ac:dyDescent="0.25">
      <c r="A430" t="str">
        <f>"20190312172619134"</f>
        <v>20190312172619134</v>
      </c>
      <c r="B430" t="str">
        <f>"1552382779129435"</f>
        <v>1552382779129435</v>
      </c>
      <c r="C430" t="s">
        <v>40</v>
      </c>
      <c r="D430">
        <v>3.2059639999999998</v>
      </c>
      <c r="E430">
        <v>0.53087680000000004</v>
      </c>
      <c r="F430" t="s">
        <v>44</v>
      </c>
      <c r="G430">
        <v>-372.79719999999998</v>
      </c>
      <c r="H430">
        <v>0.93526949999999998</v>
      </c>
      <c r="I430">
        <v>366.44170000000003</v>
      </c>
      <c r="J430">
        <v>-373.38499999999999</v>
      </c>
      <c r="K430">
        <v>1.1097520000000001</v>
      </c>
      <c r="L430">
        <v>366.55020000000002</v>
      </c>
      <c r="M430">
        <v>0.99949569999999999</v>
      </c>
      <c r="N430">
        <v>0</v>
      </c>
      <c r="O430">
        <v>-2.8809370000000001E-2</v>
      </c>
      <c r="P430">
        <v>0.98873849999999996</v>
      </c>
      <c r="Q430">
        <v>0.14025789999999999</v>
      </c>
      <c r="R430">
        <v>-5.2194690000000002E-2</v>
      </c>
      <c r="S430">
        <v>3.0991819999999999</v>
      </c>
      <c r="T430">
        <v>-0.60795369999999904</v>
      </c>
      <c r="U430">
        <v>-0.40786739999999999</v>
      </c>
      <c r="V430">
        <v>2.3735300000000001E-2</v>
      </c>
      <c r="W430">
        <v>0.1534529</v>
      </c>
      <c r="X430">
        <v>0.9878709</v>
      </c>
      <c r="Y430">
        <v>0.1005176</v>
      </c>
      <c r="Z430">
        <v>-4.1532169999999998E-3</v>
      </c>
      <c r="AA430">
        <v>0.99492659999999999</v>
      </c>
      <c r="AB430">
        <v>31</v>
      </c>
      <c r="AC430">
        <v>0.58780000000001498</v>
      </c>
      <c r="AD430">
        <v>-0.17448250000000001</v>
      </c>
      <c r="AE430">
        <v>-0.10849999999999201</v>
      </c>
      <c r="AF430">
        <v>8.4333212827808104E-2</v>
      </c>
      <c r="AG430">
        <v>-0.17448250000000001</v>
      </c>
      <c r="AH430">
        <v>0.54430177877161501</v>
      </c>
      <c r="AI430">
        <v>107.57727956292101</v>
      </c>
      <c r="AJ430">
        <v>81.192717145256196</v>
      </c>
      <c r="AK430">
        <v>0.57777215229366596</v>
      </c>
      <c r="AL430">
        <v>81.172919778982205</v>
      </c>
      <c r="AM430">
        <v>88.623635014189801</v>
      </c>
      <c r="AN430">
        <v>1.00000003602565</v>
      </c>
    </row>
    <row r="431" spans="1:40" x14ac:dyDescent="0.25">
      <c r="A431" t="str">
        <f>"20190312172619155"</f>
        <v>20190312172619155</v>
      </c>
      <c r="B431" t="str">
        <f>"1552382779148955"</f>
        <v>1552382779148955</v>
      </c>
      <c r="C431" t="s">
        <v>40</v>
      </c>
      <c r="D431">
        <v>3.183071</v>
      </c>
      <c r="E431">
        <v>0.5311361</v>
      </c>
      <c r="F431" t="s">
        <v>44</v>
      </c>
      <c r="G431">
        <v>-372.51670000000001</v>
      </c>
      <c r="H431">
        <v>0.93745670000000003</v>
      </c>
      <c r="I431">
        <v>366.43549999999999</v>
      </c>
      <c r="J431">
        <v>-373.0797</v>
      </c>
      <c r="K431">
        <v>1.1097509999999999</v>
      </c>
      <c r="L431">
        <v>366.5412</v>
      </c>
      <c r="M431">
        <v>0.9994923</v>
      </c>
      <c r="N431">
        <v>0</v>
      </c>
      <c r="O431">
        <v>-2.8942019999999999E-2</v>
      </c>
      <c r="P431">
        <v>0.98888310000000001</v>
      </c>
      <c r="Q431">
        <v>0.139268</v>
      </c>
      <c r="R431">
        <v>-5.2104629999999999E-2</v>
      </c>
      <c r="S431">
        <v>3.100006</v>
      </c>
      <c r="T431">
        <v>-0.6152687</v>
      </c>
      <c r="U431">
        <v>-0.40750120000000001</v>
      </c>
      <c r="V431">
        <v>2.3509450000000001E-2</v>
      </c>
      <c r="W431">
        <v>0.15244540000000001</v>
      </c>
      <c r="X431">
        <v>0.98803220000000003</v>
      </c>
      <c r="Y431">
        <v>0.1002127</v>
      </c>
      <c r="Z431">
        <v>-4.1454220000000002E-3</v>
      </c>
      <c r="AA431">
        <v>0.99495739999999999</v>
      </c>
      <c r="AB431">
        <v>31</v>
      </c>
      <c r="AC431">
        <v>0.56299999999998795</v>
      </c>
      <c r="AD431">
        <v>-0.17229430000000001</v>
      </c>
      <c r="AE431">
        <v>-0.10570000000001301</v>
      </c>
      <c r="AF431">
        <v>8.19466085500066E-2</v>
      </c>
      <c r="AG431">
        <v>-0.17229430000000001</v>
      </c>
      <c r="AH431">
        <v>0.51888281293661997</v>
      </c>
      <c r="AI431">
        <v>108.158639999785</v>
      </c>
      <c r="AJ431">
        <v>81.025461806576502</v>
      </c>
      <c r="AK431">
        <v>0.552847127175639</v>
      </c>
      <c r="AL431">
        <v>81.231331897608499</v>
      </c>
      <c r="AM431">
        <v>88.636949136344199</v>
      </c>
      <c r="AN431">
        <v>0.99999996122864998</v>
      </c>
    </row>
    <row r="432" spans="1:40" x14ac:dyDescent="0.25">
      <c r="A432" t="str">
        <f>"20190312172619178"</f>
        <v>20190312172619178</v>
      </c>
      <c r="B432" t="str">
        <f>"1552382779169450"</f>
        <v>1552382779169450</v>
      </c>
      <c r="C432" t="s">
        <v>40</v>
      </c>
      <c r="D432">
        <v>3.2055180000000001</v>
      </c>
      <c r="E432">
        <v>0.53133609999999998</v>
      </c>
      <c r="F432" t="s">
        <v>44</v>
      </c>
      <c r="G432">
        <v>-372.23599999999999</v>
      </c>
      <c r="H432">
        <v>0.94011239999999996</v>
      </c>
      <c r="I432">
        <v>366.42970000000003</v>
      </c>
      <c r="J432">
        <v>-372.76350000000002</v>
      </c>
      <c r="K432">
        <v>1.1097509999999999</v>
      </c>
      <c r="L432">
        <v>366.53190000000001</v>
      </c>
      <c r="M432">
        <v>0.99948840000000005</v>
      </c>
      <c r="N432">
        <v>0</v>
      </c>
      <c r="O432">
        <v>-2.9079810000000001E-2</v>
      </c>
      <c r="P432">
        <v>0.98889199999999999</v>
      </c>
      <c r="Q432">
        <v>0.13914499999999999</v>
      </c>
      <c r="R432">
        <v>-5.2263860000000002E-2</v>
      </c>
      <c r="S432">
        <v>3.0999150000000002</v>
      </c>
      <c r="T432">
        <v>-0.62326040000000005</v>
      </c>
      <c r="U432">
        <v>-0.4099121</v>
      </c>
      <c r="V432">
        <v>2.3531429999999999E-2</v>
      </c>
      <c r="W432">
        <v>0.15230450000000001</v>
      </c>
      <c r="X432">
        <v>0.98805339999999997</v>
      </c>
      <c r="Y432">
        <v>0.10079589999999999</v>
      </c>
      <c r="Z432">
        <v>-4.2286850000000003E-3</v>
      </c>
      <c r="AA432">
        <v>0.99489810000000001</v>
      </c>
      <c r="AB432">
        <v>31</v>
      </c>
      <c r="AC432">
        <v>0.52750000000003106</v>
      </c>
      <c r="AD432">
        <v>-0.169638599999999</v>
      </c>
      <c r="AE432">
        <v>-0.102199999999982</v>
      </c>
      <c r="AF432">
        <v>7.8946548022329394E-2</v>
      </c>
      <c r="AG432">
        <v>-0.169638599999999</v>
      </c>
      <c r="AH432">
        <v>0.48218561952517902</v>
      </c>
      <c r="AI432">
        <v>109.146446696559</v>
      </c>
      <c r="AJ432">
        <v>80.701663550531293</v>
      </c>
      <c r="AK432">
        <v>0.51721637999147196</v>
      </c>
      <c r="AL432">
        <v>81.239500202932106</v>
      </c>
      <c r="AM432">
        <v>88.635704505012797</v>
      </c>
      <c r="AN432">
        <v>0.99999995508482598</v>
      </c>
    </row>
    <row r="433" spans="1:40" x14ac:dyDescent="0.25">
      <c r="A433" t="str">
        <f>"20190312172619199"</f>
        <v>20190312172619199</v>
      </c>
      <c r="B433" t="str">
        <f>"1552382779188974"</f>
        <v>1552382779188974</v>
      </c>
      <c r="C433" t="s">
        <v>40</v>
      </c>
      <c r="D433">
        <v>3.2144080000000002</v>
      </c>
      <c r="E433">
        <v>0.53149840000000004</v>
      </c>
      <c r="F433" t="s">
        <v>44</v>
      </c>
      <c r="G433">
        <v>-371.95389999999998</v>
      </c>
      <c r="H433">
        <v>0.94585350000000001</v>
      </c>
      <c r="I433">
        <v>366.42360000000002</v>
      </c>
      <c r="J433">
        <v>-372.46269999999998</v>
      </c>
      <c r="K433">
        <v>1.1097520000000001</v>
      </c>
      <c r="L433">
        <v>366.52300000000002</v>
      </c>
      <c r="M433">
        <v>0.99948499999999996</v>
      </c>
      <c r="N433">
        <v>0</v>
      </c>
      <c r="O433">
        <v>-2.921116E-2</v>
      </c>
      <c r="P433">
        <v>0.98880179999999995</v>
      </c>
      <c r="Q433">
        <v>0.1397764</v>
      </c>
      <c r="R433">
        <v>-5.2284049999999999E-2</v>
      </c>
      <c r="S433">
        <v>3.1002200000000002</v>
      </c>
      <c r="T433">
        <v>-0.62779719999999894</v>
      </c>
      <c r="U433">
        <v>-0.4126282</v>
      </c>
      <c r="V433">
        <v>2.342431E-2</v>
      </c>
      <c r="W433">
        <v>0.15291569999999999</v>
      </c>
      <c r="X433">
        <v>0.9879616</v>
      </c>
      <c r="Y433">
        <v>0.1014781</v>
      </c>
      <c r="Z433">
        <v>-4.3001389999999997E-3</v>
      </c>
      <c r="AA433">
        <v>0.9948285</v>
      </c>
      <c r="AB433">
        <v>31</v>
      </c>
      <c r="AC433">
        <v>0.50880000000000702</v>
      </c>
      <c r="AD433">
        <v>-0.1638985</v>
      </c>
      <c r="AE433">
        <v>-9.9400000000002806E-2</v>
      </c>
      <c r="AF433">
        <v>7.6815780488916893E-2</v>
      </c>
      <c r="AG433">
        <v>-0.1638985</v>
      </c>
      <c r="AH433">
        <v>0.46500843902009698</v>
      </c>
      <c r="AI433">
        <v>109.175151643495</v>
      </c>
      <c r="AJ433">
        <v>80.619893237638493</v>
      </c>
      <c r="AK433">
        <v>0.49899522121387002</v>
      </c>
      <c r="AL433">
        <v>81.204066503481997</v>
      </c>
      <c r="AM433">
        <v>88.641786588417403</v>
      </c>
      <c r="AN433">
        <v>1.00000001634001</v>
      </c>
    </row>
    <row r="434" spans="1:40" x14ac:dyDescent="0.25">
      <c r="A434" t="str">
        <f>"20190312172619221"</f>
        <v>20190312172619221</v>
      </c>
      <c r="B434" t="str">
        <f>"1552382779219227"</f>
        <v>1552382779219227</v>
      </c>
      <c r="C434" t="s">
        <v>40</v>
      </c>
      <c r="D434">
        <v>3.2447810000000001</v>
      </c>
      <c r="E434">
        <v>0.55211889999999997</v>
      </c>
      <c r="F434" t="s">
        <v>44</v>
      </c>
      <c r="G434">
        <v>-371.67290000000003</v>
      </c>
      <c r="H434">
        <v>0.949604</v>
      </c>
      <c r="I434">
        <v>366.41730000000001</v>
      </c>
      <c r="J434">
        <v>-372.1617</v>
      </c>
      <c r="K434">
        <v>1.1097539999999999</v>
      </c>
      <c r="L434">
        <v>366.51409999999998</v>
      </c>
      <c r="M434">
        <v>0.99948139999999996</v>
      </c>
      <c r="N434">
        <v>0</v>
      </c>
      <c r="O434">
        <v>-2.9342010000000002E-2</v>
      </c>
      <c r="P434">
        <v>0.98869850000000004</v>
      </c>
      <c r="Q434">
        <v>0.14060719999999999</v>
      </c>
      <c r="R434">
        <v>-5.2009949999999999E-2</v>
      </c>
      <c r="S434">
        <v>3.1009519999999999</v>
      </c>
      <c r="T434">
        <v>-0.62884879999999999</v>
      </c>
      <c r="U434">
        <v>-0.4147034</v>
      </c>
      <c r="V434">
        <v>2.302415E-2</v>
      </c>
      <c r="W434">
        <v>0.15372239999999901</v>
      </c>
      <c r="X434">
        <v>0.9878458</v>
      </c>
      <c r="Y434">
        <v>0.1019603</v>
      </c>
      <c r="Z434">
        <v>-4.3281070000000003E-3</v>
      </c>
      <c r="AA434">
        <v>0.99477910000000003</v>
      </c>
      <c r="AB434">
        <v>31</v>
      </c>
      <c r="AC434">
        <v>0.48879999999996898</v>
      </c>
      <c r="AD434">
        <v>-0.16014999999999999</v>
      </c>
      <c r="AE434">
        <v>-9.6799999999973296E-2</v>
      </c>
      <c r="AF434">
        <v>7.4698589746666696E-2</v>
      </c>
      <c r="AG434">
        <v>-0.16014999999999999</v>
      </c>
      <c r="AH434">
        <v>0.445419840238857</v>
      </c>
      <c r="AI434">
        <v>109.524331423398</v>
      </c>
      <c r="AJ434">
        <v>80.479871466179205</v>
      </c>
      <c r="AK434">
        <v>0.47919383957700201</v>
      </c>
      <c r="AL434">
        <v>81.157292891298596</v>
      </c>
      <c r="AM434">
        <v>88.664824183129895</v>
      </c>
      <c r="AN434">
        <v>1.0000000061613099</v>
      </c>
    </row>
    <row r="435" spans="1:40" x14ac:dyDescent="0.25">
      <c r="A435" t="str">
        <f>"20190312172619244"</f>
        <v>20190312172619244</v>
      </c>
      <c r="B435" t="str">
        <f>"1552382779238748"</f>
        <v>1552382779238748</v>
      </c>
      <c r="C435" t="s">
        <v>40</v>
      </c>
      <c r="D435">
        <v>3.2248070000000002</v>
      </c>
      <c r="E435">
        <v>0.55564369999999996</v>
      </c>
      <c r="F435" t="s">
        <v>44</v>
      </c>
      <c r="G435">
        <v>-371.40039999999999</v>
      </c>
      <c r="H435">
        <v>0.93644729999999998</v>
      </c>
      <c r="I435">
        <v>366.37169999999998</v>
      </c>
      <c r="J435">
        <v>-371.84589999999997</v>
      </c>
      <c r="K435">
        <v>1.1097539999999999</v>
      </c>
      <c r="L435">
        <v>366.50470000000001</v>
      </c>
      <c r="M435">
        <v>0.99947770000000002</v>
      </c>
      <c r="N435">
        <v>0</v>
      </c>
      <c r="O435">
        <v>-2.9477759999999999E-2</v>
      </c>
      <c r="P435">
        <v>0.98867649999999996</v>
      </c>
      <c r="Q435">
        <v>0.1408625</v>
      </c>
      <c r="R435">
        <v>-5.1736169999999998E-2</v>
      </c>
      <c r="S435">
        <v>3.1043400000000001</v>
      </c>
      <c r="T435">
        <v>-0.70675679999999996</v>
      </c>
      <c r="U435">
        <v>-0.57913210000000004</v>
      </c>
      <c r="V435">
        <v>2.2617109999999999E-2</v>
      </c>
      <c r="W435">
        <v>0.15395420000000001</v>
      </c>
      <c r="X435">
        <v>0.98781909999999895</v>
      </c>
      <c r="Y435">
        <v>0.15132139999999999</v>
      </c>
      <c r="Z435">
        <v>-1.030055E-2</v>
      </c>
      <c r="AA435">
        <v>0.9884309</v>
      </c>
      <c r="AB435">
        <v>31</v>
      </c>
      <c r="AC435">
        <v>0.44549999999998102</v>
      </c>
      <c r="AD435">
        <v>-0.17330670000000001</v>
      </c>
      <c r="AE435">
        <v>-0.133000000000038</v>
      </c>
      <c r="AF435">
        <v>0.105192286979265</v>
      </c>
      <c r="AG435">
        <v>-0.17330670000000001</v>
      </c>
      <c r="AH435">
        <v>0.39442246339136999</v>
      </c>
      <c r="AI435">
        <v>113.003842166232</v>
      </c>
      <c r="AJ435">
        <v>75.0668247277859</v>
      </c>
      <c r="AK435">
        <v>0.44347458679447999</v>
      </c>
      <c r="AL435">
        <v>81.143851687978696</v>
      </c>
      <c r="AM435">
        <v>88.688384769521207</v>
      </c>
      <c r="AN435">
        <v>1.0000000018435999</v>
      </c>
    </row>
    <row r="436" spans="1:40" x14ac:dyDescent="0.25">
      <c r="A436" t="str">
        <f>"20190312172619267"</f>
        <v>20190312172619267</v>
      </c>
      <c r="B436" t="str">
        <f>"1552382779259243"</f>
        <v>1552382779259243</v>
      </c>
      <c r="C436" t="s">
        <v>40</v>
      </c>
      <c r="D436">
        <v>3.2470680000000001</v>
      </c>
      <c r="E436">
        <v>0.55676490000000001</v>
      </c>
      <c r="F436" t="s">
        <v>44</v>
      </c>
      <c r="G436">
        <v>-371.11869999999999</v>
      </c>
      <c r="H436">
        <v>0.94245020000000002</v>
      </c>
      <c r="I436">
        <v>366.36219999999997</v>
      </c>
      <c r="J436">
        <v>-371.52969999999999</v>
      </c>
      <c r="K436">
        <v>1.1097629999999901</v>
      </c>
      <c r="L436">
        <v>366.49520000000001</v>
      </c>
      <c r="M436">
        <v>0.99947399999999997</v>
      </c>
      <c r="N436">
        <v>0</v>
      </c>
      <c r="O436">
        <v>-2.9613270000000001E-2</v>
      </c>
      <c r="P436">
        <v>0.98859830000000004</v>
      </c>
      <c r="Q436">
        <v>0.14133490000000001</v>
      </c>
      <c r="R436">
        <v>-5.1940269999999997E-2</v>
      </c>
      <c r="S436">
        <v>3.1044010000000002</v>
      </c>
      <c r="T436">
        <v>-0.71424790000000005</v>
      </c>
      <c r="U436">
        <v>-0.60699459999999905</v>
      </c>
      <c r="V436">
        <v>2.268945E-2</v>
      </c>
      <c r="W436">
        <v>0.15440419999999999</v>
      </c>
      <c r="X436">
        <v>0.98774720000000005</v>
      </c>
      <c r="Y436">
        <v>0.15947900000000001</v>
      </c>
      <c r="Z436">
        <v>-1.12862E-2</v>
      </c>
      <c r="AA436">
        <v>0.98713680000000004</v>
      </c>
      <c r="AB436">
        <v>31</v>
      </c>
      <c r="AC436">
        <v>0.41100000000000098</v>
      </c>
      <c r="AD436">
        <v>-0.16731279999999901</v>
      </c>
      <c r="AE436">
        <v>-0.133000000000038</v>
      </c>
      <c r="AF436">
        <v>0.10501597893535999</v>
      </c>
      <c r="AG436">
        <v>-0.16731279999999901</v>
      </c>
      <c r="AH436">
        <v>0.36065619063321502</v>
      </c>
      <c r="AI436">
        <v>114.008854858251</v>
      </c>
      <c r="AJ436">
        <v>73.7654804830714</v>
      </c>
      <c r="AK436">
        <v>0.41121140149277702</v>
      </c>
      <c r="AL436">
        <v>81.117756545070407</v>
      </c>
      <c r="AM436">
        <v>88.684095342078507</v>
      </c>
      <c r="AN436">
        <v>0.99999999961339103</v>
      </c>
    </row>
    <row r="437" spans="1:40" x14ac:dyDescent="0.25">
      <c r="A437" t="str">
        <f>"20190312172619289"</f>
        <v>20190312172619289</v>
      </c>
      <c r="B437" t="str">
        <f>"1552382779278762"</f>
        <v>1552382779278762</v>
      </c>
      <c r="C437" t="s">
        <v>40</v>
      </c>
      <c r="D437">
        <v>3.237263</v>
      </c>
      <c r="E437">
        <v>0.55719879999999999</v>
      </c>
      <c r="F437" t="s">
        <v>44</v>
      </c>
      <c r="G437">
        <v>-370.83679999999998</v>
      </c>
      <c r="H437">
        <v>0.94933140000000005</v>
      </c>
      <c r="I437">
        <v>366.35739999999998</v>
      </c>
      <c r="J437">
        <v>-371.21780000000001</v>
      </c>
      <c r="K437">
        <v>1.1097649999999999</v>
      </c>
      <c r="L437">
        <v>366.48579999999998</v>
      </c>
      <c r="M437">
        <v>0.99947019999999998</v>
      </c>
      <c r="N437">
        <v>0</v>
      </c>
      <c r="O437">
        <v>-2.9747719999999998E-2</v>
      </c>
      <c r="P437">
        <v>0.98851730000000004</v>
      </c>
      <c r="Q437">
        <v>0.14193800000000001</v>
      </c>
      <c r="R437">
        <v>-5.1837559999999998E-2</v>
      </c>
      <c r="S437">
        <v>3.1049799999999999</v>
      </c>
      <c r="T437">
        <v>-0.71894179999999996</v>
      </c>
      <c r="U437">
        <v>-0.61657709999999999</v>
      </c>
      <c r="V437">
        <v>2.245608E-2</v>
      </c>
      <c r="W437">
        <v>0.1549864</v>
      </c>
      <c r="X437">
        <v>0.98766140000000002</v>
      </c>
      <c r="Y437">
        <v>0.16214049999999999</v>
      </c>
      <c r="Z437">
        <v>-1.1624209999999999E-2</v>
      </c>
      <c r="AA437">
        <v>0.9866992</v>
      </c>
      <c r="AB437">
        <v>31</v>
      </c>
      <c r="AC437">
        <v>0.38100000000002798</v>
      </c>
      <c r="AD437">
        <v>-0.16043359999999901</v>
      </c>
      <c r="AE437">
        <v>-0.12839999999999899</v>
      </c>
      <c r="AF437">
        <v>0.100936329268163</v>
      </c>
      <c r="AG437">
        <v>-0.16043359999999901</v>
      </c>
      <c r="AH437">
        <v>0.331816557187599</v>
      </c>
      <c r="AI437">
        <v>114.82396761832599</v>
      </c>
      <c r="AJ437">
        <v>73.080597399446901</v>
      </c>
      <c r="AK437">
        <v>0.38213781571433397</v>
      </c>
      <c r="AL437">
        <v>81.083992954149494</v>
      </c>
      <c r="AM437">
        <v>88.697512157258004</v>
      </c>
      <c r="AN437">
        <v>1.00000005038194</v>
      </c>
    </row>
    <row r="438" spans="1:40" x14ac:dyDescent="0.25">
      <c r="A438" t="str">
        <f>"20190312172619312"</f>
        <v>20190312172619312</v>
      </c>
      <c r="B438" t="str">
        <f>"1552382779309020"</f>
        <v>1552382779309020</v>
      </c>
      <c r="C438" t="s">
        <v>40</v>
      </c>
      <c r="D438">
        <v>3.2279249999999999</v>
      </c>
      <c r="E438">
        <v>0.55783199999999999</v>
      </c>
      <c r="F438" t="s">
        <v>44</v>
      </c>
      <c r="G438">
        <v>-370.30270000000002</v>
      </c>
      <c r="H438">
        <v>0.89727559999999995</v>
      </c>
      <c r="I438">
        <v>366.3032</v>
      </c>
      <c r="J438">
        <v>-370.90219999999999</v>
      </c>
      <c r="K438">
        <v>1.109774</v>
      </c>
      <c r="L438">
        <v>366.47629999999998</v>
      </c>
      <c r="M438">
        <v>0.99946639999999998</v>
      </c>
      <c r="N438">
        <v>0</v>
      </c>
      <c r="O438">
        <v>-2.988526E-2</v>
      </c>
      <c r="P438">
        <v>0.98850740000000004</v>
      </c>
      <c r="Q438">
        <v>0.14185149999999999</v>
      </c>
      <c r="R438">
        <v>-5.2261780000000001E-2</v>
      </c>
      <c r="S438">
        <v>3.1059269999999999</v>
      </c>
      <c r="T438">
        <v>-0.72127699999999995</v>
      </c>
      <c r="U438">
        <v>-0.61920169999999997</v>
      </c>
      <c r="V438">
        <v>2.27435E-2</v>
      </c>
      <c r="W438">
        <v>0.154882299999999</v>
      </c>
      <c r="X438">
        <v>0.98767110000000002</v>
      </c>
      <c r="Y438">
        <v>0.16271910000000001</v>
      </c>
      <c r="Z438">
        <v>-1.169124E-2</v>
      </c>
      <c r="AA438">
        <v>0.98660309999999996</v>
      </c>
      <c r="AB438">
        <v>31</v>
      </c>
      <c r="AC438">
        <v>0.59949999999997705</v>
      </c>
      <c r="AD438">
        <v>-0.2124984</v>
      </c>
      <c r="AE438">
        <v>-0.173099999999976</v>
      </c>
      <c r="AF438">
        <v>0.13898628660423801</v>
      </c>
      <c r="AG438">
        <v>-0.2124984</v>
      </c>
      <c r="AH438">
        <v>0.54159548676361502</v>
      </c>
      <c r="AI438">
        <v>110.808885554382</v>
      </c>
      <c r="AJ438">
        <v>75.607126165714305</v>
      </c>
      <c r="AK438">
        <v>0.59816254408756797</v>
      </c>
      <c r="AL438">
        <v>81.090029874294302</v>
      </c>
      <c r="AM438">
        <v>88.680860151087103</v>
      </c>
      <c r="AN438">
        <v>0.99999999771037495</v>
      </c>
    </row>
    <row r="439" spans="1:40" x14ac:dyDescent="0.25">
      <c r="A439" t="str">
        <f>"20190312172619334"</f>
        <v>20190312172619334</v>
      </c>
      <c r="B439" t="str">
        <f>"1552382779328538"</f>
        <v>1552382779328538</v>
      </c>
      <c r="C439" t="s">
        <v>40</v>
      </c>
      <c r="D439">
        <v>3.2240030000000002</v>
      </c>
      <c r="E439">
        <v>0.55804679999999995</v>
      </c>
      <c r="F439" t="s">
        <v>44</v>
      </c>
      <c r="G439">
        <v>-370.02159999999998</v>
      </c>
      <c r="H439">
        <v>0.90415409999999996</v>
      </c>
      <c r="I439">
        <v>366.29860000000002</v>
      </c>
      <c r="J439">
        <v>-370.59379999999999</v>
      </c>
      <c r="K439">
        <v>1.1097699999999999</v>
      </c>
      <c r="L439">
        <v>366.46690000000001</v>
      </c>
      <c r="M439">
        <v>0.99946270000000004</v>
      </c>
      <c r="N439">
        <v>0</v>
      </c>
      <c r="O439">
        <v>-3.0019959999999998E-2</v>
      </c>
      <c r="P439">
        <v>0.98848930000000002</v>
      </c>
      <c r="Q439">
        <v>0.14188979999999901</v>
      </c>
      <c r="R439">
        <v>-5.2501850000000003E-2</v>
      </c>
      <c r="S439">
        <v>3.105896</v>
      </c>
      <c r="T439">
        <v>-0.72527350000000002</v>
      </c>
      <c r="U439">
        <v>-0.6254883</v>
      </c>
      <c r="V439">
        <v>2.2850450000000001E-2</v>
      </c>
      <c r="W439">
        <v>0.1549045</v>
      </c>
      <c r="X439">
        <v>0.98766520000000002</v>
      </c>
      <c r="Y439">
        <v>0.16443139999999901</v>
      </c>
      <c r="Z439">
        <v>-1.1917000000000001E-2</v>
      </c>
      <c r="AA439">
        <v>0.98631659999999999</v>
      </c>
      <c r="AB439">
        <v>31</v>
      </c>
      <c r="AC439">
        <v>0.57220000000000903</v>
      </c>
      <c r="AD439">
        <v>-0.20561589999999999</v>
      </c>
      <c r="AE439">
        <v>-0.16829999999998699</v>
      </c>
      <c r="AF439">
        <v>0.13500094453671699</v>
      </c>
      <c r="AG439">
        <v>-0.20561589999999999</v>
      </c>
      <c r="AH439">
        <v>0.51570548366264601</v>
      </c>
      <c r="AI439">
        <v>111.09217126619301</v>
      </c>
      <c r="AJ439">
        <v>75.330341974549</v>
      </c>
      <c r="AK439">
        <v>0.57136266874756403</v>
      </c>
      <c r="AL439">
        <v>81.088742814281503</v>
      </c>
      <c r="AM439">
        <v>88.674651264853793</v>
      </c>
      <c r="AN439">
        <v>1.00000004723824</v>
      </c>
    </row>
    <row r="440" spans="1:40" x14ac:dyDescent="0.25">
      <c r="A440" t="str">
        <f>"20190312172619357"</f>
        <v>20190312172619357</v>
      </c>
      <c r="B440" t="str">
        <f>"1552382779349035"</f>
        <v>1552382779349035</v>
      </c>
      <c r="C440" t="s">
        <v>40</v>
      </c>
      <c r="D440">
        <v>3.2556430000000001</v>
      </c>
      <c r="E440">
        <v>0.55834079999999997</v>
      </c>
      <c r="F440" t="s">
        <v>44</v>
      </c>
      <c r="G440">
        <v>-369.74119999999999</v>
      </c>
      <c r="H440">
        <v>0.90970150000000005</v>
      </c>
      <c r="I440">
        <v>366.29419999999999</v>
      </c>
      <c r="J440">
        <v>-370.27820000000003</v>
      </c>
      <c r="K440">
        <v>1.109774</v>
      </c>
      <c r="L440">
        <v>366.4572</v>
      </c>
      <c r="M440">
        <v>0.99945870000000003</v>
      </c>
      <c r="N440">
        <v>0</v>
      </c>
      <c r="O440">
        <v>-3.015694E-2</v>
      </c>
      <c r="P440">
        <v>0.98854050000000004</v>
      </c>
      <c r="Q440">
        <v>0.14148429999999901</v>
      </c>
      <c r="R440">
        <v>-5.2632819999999997E-2</v>
      </c>
      <c r="S440">
        <v>3.1062620000000001</v>
      </c>
      <c r="T440">
        <v>-0.72903689999999999</v>
      </c>
      <c r="U440">
        <v>-0.62741089999999999</v>
      </c>
      <c r="V440">
        <v>2.2844050000000001E-2</v>
      </c>
      <c r="W440">
        <v>0.15448519999999999</v>
      </c>
      <c r="X440">
        <v>0.98773100000000003</v>
      </c>
      <c r="Y440">
        <v>0.16481949999999901</v>
      </c>
      <c r="Z440">
        <v>-1.198837E-2</v>
      </c>
      <c r="AA440">
        <v>0.98625090000000004</v>
      </c>
      <c r="AB440">
        <v>31</v>
      </c>
      <c r="AC440">
        <v>0.53700000000003401</v>
      </c>
      <c r="AD440">
        <v>-0.20007249999999999</v>
      </c>
      <c r="AE440">
        <v>-0.16300000000001</v>
      </c>
      <c r="AF440">
        <v>0.13018367035876599</v>
      </c>
      <c r="AG440">
        <v>-0.20007249999999999</v>
      </c>
      <c r="AH440">
        <v>0.48058835529081001</v>
      </c>
      <c r="AI440">
        <v>111.891532866593</v>
      </c>
      <c r="AJ440">
        <v>74.843230234333703</v>
      </c>
      <c r="AK440">
        <v>0.5366022367876</v>
      </c>
      <c r="AL440">
        <v>81.113059480149005</v>
      </c>
      <c r="AM440">
        <v>88.675110573857097</v>
      </c>
      <c r="AN440">
        <v>1.0000000280002199</v>
      </c>
    </row>
    <row r="441" spans="1:40" x14ac:dyDescent="0.25">
      <c r="A441" t="str">
        <f>"20190312172619379"</f>
        <v>20190312172619379</v>
      </c>
      <c r="B441" t="str">
        <f>"1552382779368558"</f>
        <v>1552382779368558</v>
      </c>
      <c r="C441" t="s">
        <v>40</v>
      </c>
      <c r="D441">
        <v>3.2848929999999998</v>
      </c>
      <c r="E441">
        <v>0.55862129999999999</v>
      </c>
      <c r="F441" t="s">
        <v>44</v>
      </c>
      <c r="G441">
        <v>-369.46019999999999</v>
      </c>
      <c r="H441">
        <v>0.91690190000000005</v>
      </c>
      <c r="I441">
        <v>366.29109999999997</v>
      </c>
      <c r="J441">
        <v>-369.9735</v>
      </c>
      <c r="K441">
        <v>1.1097699999999999</v>
      </c>
      <c r="L441">
        <v>366.4479</v>
      </c>
      <c r="M441">
        <v>0.99945490000000003</v>
      </c>
      <c r="N441">
        <v>0</v>
      </c>
      <c r="O441">
        <v>-3.0288820000000001E-2</v>
      </c>
      <c r="P441">
        <v>0.98858889999999999</v>
      </c>
      <c r="Q441">
        <v>0.14110729999999999</v>
      </c>
      <c r="R441">
        <v>-5.2734389999999999E-2</v>
      </c>
      <c r="S441">
        <v>3.1060789999999998</v>
      </c>
      <c r="T441">
        <v>-0.73238829999999999</v>
      </c>
      <c r="U441">
        <v>-0.63049319999999998</v>
      </c>
      <c r="V441">
        <v>2.2813420000000001E-2</v>
      </c>
      <c r="W441">
        <v>0.1540956</v>
      </c>
      <c r="X441">
        <v>0.98779260000000002</v>
      </c>
      <c r="Y441">
        <v>0.1655925</v>
      </c>
      <c r="Z441">
        <v>-1.2100329999999999E-2</v>
      </c>
      <c r="AA441">
        <v>0.98612</v>
      </c>
      <c r="AB441">
        <v>31</v>
      </c>
      <c r="AC441">
        <v>0.51330000000001497</v>
      </c>
      <c r="AD441">
        <v>-0.19286809999999999</v>
      </c>
      <c r="AE441">
        <v>-0.156800000000032</v>
      </c>
      <c r="AF441">
        <v>0.12503363770017001</v>
      </c>
      <c r="AG441">
        <v>-0.19286809999999999</v>
      </c>
      <c r="AH441">
        <v>0.45859496504691299</v>
      </c>
      <c r="AI441">
        <v>112.084976957941</v>
      </c>
      <c r="AJ441">
        <v>74.749267358351105</v>
      </c>
      <c r="AK441">
        <v>0.51297256897472299</v>
      </c>
      <c r="AL441">
        <v>81.135652769784301</v>
      </c>
      <c r="AM441">
        <v>88.676968875871694</v>
      </c>
      <c r="AN441">
        <v>1.0000000633431001</v>
      </c>
    </row>
    <row r="442" spans="1:40" x14ac:dyDescent="0.25">
      <c r="A442" t="str">
        <f>"20190312172619400"</f>
        <v>20190312172619400</v>
      </c>
      <c r="B442" t="str">
        <f>"1552382779389054"</f>
        <v>1552382779389054</v>
      </c>
      <c r="C442" t="s">
        <v>40</v>
      </c>
      <c r="D442">
        <v>3.3464010000000002</v>
      </c>
      <c r="E442">
        <v>0.56791480000000005</v>
      </c>
      <c r="F442" t="s">
        <v>44</v>
      </c>
      <c r="G442">
        <v>-369.18029999999999</v>
      </c>
      <c r="H442">
        <v>0.92211140000000003</v>
      </c>
      <c r="I442">
        <v>366.286</v>
      </c>
      <c r="J442">
        <v>-369.67329999999998</v>
      </c>
      <c r="K442">
        <v>1.1097649999999999</v>
      </c>
      <c r="L442">
        <v>366.43869999999998</v>
      </c>
      <c r="M442">
        <v>0.99945110000000004</v>
      </c>
      <c r="N442">
        <v>0</v>
      </c>
      <c r="O442">
        <v>-3.0418440000000001E-2</v>
      </c>
      <c r="P442">
        <v>0.98863789999999996</v>
      </c>
      <c r="Q442">
        <v>0.14077129999999999</v>
      </c>
      <c r="R442">
        <v>-5.2713900000000001E-2</v>
      </c>
      <c r="S442">
        <v>3.1057429999999999</v>
      </c>
      <c r="T442">
        <v>-0.73475889999999999</v>
      </c>
      <c r="U442">
        <v>-0.6328125</v>
      </c>
      <c r="V442">
        <v>2.2663050000000001E-2</v>
      </c>
      <c r="W442">
        <v>0.15374930000000001</v>
      </c>
      <c r="X442">
        <v>0.98785000000000001</v>
      </c>
      <c r="Y442">
        <v>0.16615820000000001</v>
      </c>
      <c r="Z442">
        <v>-1.217435E-2</v>
      </c>
      <c r="AA442">
        <v>0.98602400000000001</v>
      </c>
      <c r="AB442">
        <v>31</v>
      </c>
      <c r="AC442">
        <v>0.492999999999995</v>
      </c>
      <c r="AD442">
        <v>-0.1876536</v>
      </c>
      <c r="AE442">
        <v>-0.15269999999998099</v>
      </c>
      <c r="AF442">
        <v>0.12156123451770801</v>
      </c>
      <c r="AG442">
        <v>-0.1876536</v>
      </c>
      <c r="AH442">
        <v>0.43933643295828401</v>
      </c>
      <c r="AI442">
        <v>112.375103375566</v>
      </c>
      <c r="AJ442">
        <v>74.533615911581705</v>
      </c>
      <c r="AK442">
        <v>0.49295791773227299</v>
      </c>
      <c r="AL442">
        <v>81.155733409578005</v>
      </c>
      <c r="AM442">
        <v>88.6857626391255</v>
      </c>
      <c r="AN442">
        <v>1.00000004179289</v>
      </c>
    </row>
    <row r="443" spans="1:40" x14ac:dyDescent="0.25">
      <c r="A443" t="str">
        <f>"20190312172619422"</f>
        <v>20190312172619422</v>
      </c>
      <c r="B443" t="str">
        <f>"1552382779419306"</f>
        <v>1552382779419306</v>
      </c>
      <c r="C443" t="s">
        <v>40</v>
      </c>
      <c r="D443">
        <v>3.3160099999999999</v>
      </c>
      <c r="E443">
        <v>0.56641519999999901</v>
      </c>
      <c r="F443" t="s">
        <v>44</v>
      </c>
      <c r="G443">
        <v>-368.90300000000002</v>
      </c>
      <c r="H443">
        <v>0.9201684</v>
      </c>
      <c r="I443">
        <v>366.26299999999998</v>
      </c>
      <c r="J443">
        <v>-369.36829999999998</v>
      </c>
      <c r="K443">
        <v>1.1097629999999901</v>
      </c>
      <c r="L443">
        <v>366.42919999999998</v>
      </c>
      <c r="M443">
        <v>0.99944710000000003</v>
      </c>
      <c r="N443">
        <v>0</v>
      </c>
      <c r="O443">
        <v>-3.0550440000000002E-2</v>
      </c>
      <c r="P443">
        <v>0.98860919999999997</v>
      </c>
      <c r="Q443">
        <v>0.1410836</v>
      </c>
      <c r="R443">
        <v>-5.2415839999999998E-2</v>
      </c>
      <c r="S443">
        <v>3.105591</v>
      </c>
      <c r="T443">
        <v>-0.76444469999999898</v>
      </c>
      <c r="U443">
        <v>-0.70779419999999904</v>
      </c>
      <c r="V443">
        <v>2.223516E-2</v>
      </c>
      <c r="W443">
        <v>0.15405079999999999</v>
      </c>
      <c r="X443">
        <v>0.98781269999999999</v>
      </c>
      <c r="Y443">
        <v>0.18785940000000001</v>
      </c>
      <c r="Z443">
        <v>-1.519148E-2</v>
      </c>
      <c r="AA443">
        <v>0.98207840000000002</v>
      </c>
      <c r="AB443">
        <v>31</v>
      </c>
      <c r="AC443">
        <v>0.46529999999995603</v>
      </c>
      <c r="AD443">
        <v>-0.189594599999999</v>
      </c>
      <c r="AE443">
        <v>-0.166199999999946</v>
      </c>
      <c r="AF443">
        <v>0.13240957880142401</v>
      </c>
      <c r="AG443">
        <v>-0.189594599999999</v>
      </c>
      <c r="AH443">
        <v>0.40981760154569002</v>
      </c>
      <c r="AI443">
        <v>113.76026901253</v>
      </c>
      <c r="AJ443">
        <v>72.094670253740702</v>
      </c>
      <c r="AK443">
        <v>0.47056229709167302</v>
      </c>
      <c r="AL443">
        <v>81.138249992557903</v>
      </c>
      <c r="AM443">
        <v>88.710518983472895</v>
      </c>
      <c r="AN443">
        <v>0.99999999080107704</v>
      </c>
    </row>
    <row r="444" spans="1:40" x14ac:dyDescent="0.25">
      <c r="A444" t="str">
        <f>"20190312172619444"</f>
        <v>20190312172619444</v>
      </c>
      <c r="B444" t="str">
        <f>"1552382779438827"</f>
        <v>1552382779438827</v>
      </c>
      <c r="C444" t="s">
        <v>40</v>
      </c>
      <c r="D444">
        <v>3.2701030000000002</v>
      </c>
      <c r="E444">
        <v>0.56611290000000003</v>
      </c>
      <c r="F444" t="s">
        <v>44</v>
      </c>
      <c r="G444">
        <v>-368.6223</v>
      </c>
      <c r="H444">
        <v>0.92783629999999995</v>
      </c>
      <c r="I444">
        <v>366.26159999999999</v>
      </c>
      <c r="J444">
        <v>-369.05829999999997</v>
      </c>
      <c r="K444">
        <v>1.1097669999999999</v>
      </c>
      <c r="L444">
        <v>366.4196</v>
      </c>
      <c r="M444">
        <v>0.99944330000000003</v>
      </c>
      <c r="N444">
        <v>0</v>
      </c>
      <c r="O444">
        <v>-3.0685190000000001E-2</v>
      </c>
      <c r="P444">
        <v>0.98856880000000003</v>
      </c>
      <c r="Q444">
        <v>0.14131740000000001</v>
      </c>
      <c r="R444">
        <v>-5.2552000000000001E-2</v>
      </c>
      <c r="S444">
        <v>3.1057429999999999</v>
      </c>
      <c r="T444">
        <v>-0.75745609999999997</v>
      </c>
      <c r="U444">
        <v>-0.69607540000000001</v>
      </c>
      <c r="V444">
        <v>2.223903E-2</v>
      </c>
      <c r="W444">
        <v>0.15427460000000001</v>
      </c>
      <c r="X444">
        <v>0.98777769999999998</v>
      </c>
      <c r="Y444">
        <v>0.1843669</v>
      </c>
      <c r="Z444">
        <v>-1.4614810000000001E-2</v>
      </c>
      <c r="AA444">
        <v>0.98274879999999998</v>
      </c>
      <c r="AB444">
        <v>31</v>
      </c>
      <c r="AC444">
        <v>0.43599999999997802</v>
      </c>
      <c r="AD444">
        <v>-0.181930699999999</v>
      </c>
      <c r="AE444">
        <v>-0.15800000000001499</v>
      </c>
      <c r="AF444">
        <v>0.12526656167338901</v>
      </c>
      <c r="AG444">
        <v>-0.181930699999999</v>
      </c>
      <c r="AH444">
        <v>0.38187145420549101</v>
      </c>
      <c r="AI444">
        <v>114.35555288553699</v>
      </c>
      <c r="AJ444">
        <v>71.838785792953104</v>
      </c>
      <c r="AK444">
        <v>0.441153373117535</v>
      </c>
      <c r="AL444">
        <v>81.125272184589093</v>
      </c>
      <c r="AM444">
        <v>88.710248944024897</v>
      </c>
      <c r="AN444">
        <v>1.00000000563889</v>
      </c>
    </row>
    <row r="445" spans="1:40" x14ac:dyDescent="0.25">
      <c r="A445" t="str">
        <f>"20190312172619469"</f>
        <v>20190312172619469</v>
      </c>
      <c r="B445" t="str">
        <f>"1552382779459323"</f>
        <v>1552382779459323</v>
      </c>
      <c r="C445" t="s">
        <v>40</v>
      </c>
      <c r="D445">
        <v>3.2825639999999998</v>
      </c>
      <c r="E445">
        <v>0.56569060000000004</v>
      </c>
      <c r="F445" t="s">
        <v>44</v>
      </c>
      <c r="G445">
        <v>-368.34179999999998</v>
      </c>
      <c r="H445">
        <v>0.93497980000000003</v>
      </c>
      <c r="I445">
        <v>366.2595</v>
      </c>
      <c r="J445">
        <v>-368.73140000000001</v>
      </c>
      <c r="K445">
        <v>1.109764</v>
      </c>
      <c r="L445">
        <v>366.40929999999997</v>
      </c>
      <c r="M445">
        <v>0.99943899999999997</v>
      </c>
      <c r="N445">
        <v>0</v>
      </c>
      <c r="O445">
        <v>-3.0826989999999999E-2</v>
      </c>
      <c r="P445">
        <v>0.98856010000000005</v>
      </c>
      <c r="Q445">
        <v>0.1413586</v>
      </c>
      <c r="R445">
        <v>-5.260331E-2</v>
      </c>
      <c r="S445">
        <v>3.1061399999999999</v>
      </c>
      <c r="T445">
        <v>-0.75773049999999997</v>
      </c>
      <c r="U445">
        <v>-0.6933899</v>
      </c>
      <c r="V445">
        <v>2.2149970000000001E-2</v>
      </c>
      <c r="W445">
        <v>0.1543071</v>
      </c>
      <c r="X445">
        <v>0.98777459999999995</v>
      </c>
      <c r="Y445">
        <v>0.183419</v>
      </c>
      <c r="Z445">
        <v>-1.447322E-2</v>
      </c>
      <c r="AA445">
        <v>0.98292829999999998</v>
      </c>
      <c r="AB445">
        <v>31</v>
      </c>
      <c r="AC445">
        <v>0.38960000000002898</v>
      </c>
      <c r="AD445">
        <v>-0.174784199999999</v>
      </c>
      <c r="AE445">
        <v>-0.14979999999997001</v>
      </c>
      <c r="AF445">
        <v>0.117172339255195</v>
      </c>
      <c r="AG445">
        <v>-0.174784199999999</v>
      </c>
      <c r="AH445">
        <v>0.33524973381499101</v>
      </c>
      <c r="AI445">
        <v>116.204612228363</v>
      </c>
      <c r="AJ445">
        <v>70.735089787146293</v>
      </c>
      <c r="AK445">
        <v>0.39581720235381002</v>
      </c>
      <c r="AL445">
        <v>81.123387286195694</v>
      </c>
      <c r="AM445">
        <v>88.715408208433701</v>
      </c>
      <c r="AN445">
        <v>0.99999998134328505</v>
      </c>
    </row>
    <row r="446" spans="1:40" x14ac:dyDescent="0.25">
      <c r="A446" t="str">
        <f>"20190312172619489"</f>
        <v>20190312172619489</v>
      </c>
      <c r="B446" t="str">
        <f>"1552382779478846"</f>
        <v>1552382779478846</v>
      </c>
      <c r="C446" t="s">
        <v>40</v>
      </c>
      <c r="D446">
        <v>3.2934640000000002</v>
      </c>
      <c r="E446">
        <v>0.56549259999999901</v>
      </c>
      <c r="F446" t="s">
        <v>44</v>
      </c>
      <c r="G446">
        <v>-367.80849999999998</v>
      </c>
      <c r="H446">
        <v>0.88451480000000005</v>
      </c>
      <c r="I446">
        <v>366.20409999999998</v>
      </c>
      <c r="J446">
        <v>-368.43680000000001</v>
      </c>
      <c r="K446">
        <v>1.1097619999999999</v>
      </c>
      <c r="L446">
        <v>366.40010000000001</v>
      </c>
      <c r="M446">
        <v>0.99943510000000002</v>
      </c>
      <c r="N446">
        <v>0</v>
      </c>
      <c r="O446">
        <v>-3.095473E-2</v>
      </c>
      <c r="P446">
        <v>0.98849759999999998</v>
      </c>
      <c r="Q446">
        <v>0.14172009999999999</v>
      </c>
      <c r="R446">
        <v>-5.2802910000000002E-2</v>
      </c>
      <c r="S446">
        <v>3.1064150000000001</v>
      </c>
      <c r="T446">
        <v>-0.75826510000000003</v>
      </c>
      <c r="U446">
        <v>-0.68988039999999995</v>
      </c>
      <c r="V446">
        <v>2.222524E-2</v>
      </c>
      <c r="W446">
        <v>0.15466089999999999</v>
      </c>
      <c r="X446">
        <v>0.98771759999999997</v>
      </c>
      <c r="Y446">
        <v>0.18224660000000001</v>
      </c>
      <c r="Z446">
        <v>-1.4313889999999999E-2</v>
      </c>
      <c r="AA446">
        <v>0.98314860000000004</v>
      </c>
      <c r="AB446">
        <v>31</v>
      </c>
      <c r="AC446">
        <v>0.62830000000002395</v>
      </c>
      <c r="AD446">
        <v>-0.22524720000000001</v>
      </c>
      <c r="AE446">
        <v>-0.19600000000002599</v>
      </c>
      <c r="AF446">
        <v>0.15795490081649899</v>
      </c>
      <c r="AG446">
        <v>-0.22524720000000001</v>
      </c>
      <c r="AH446">
        <v>0.56758724943210104</v>
      </c>
      <c r="AI446">
        <v>110.922939821646</v>
      </c>
      <c r="AJ446">
        <v>74.448548814353899</v>
      </c>
      <c r="AK446">
        <v>0.63074665081765502</v>
      </c>
      <c r="AL446">
        <v>81.102869955601804</v>
      </c>
      <c r="AM446">
        <v>88.710970021436495</v>
      </c>
      <c r="AN446">
        <v>1.0000000063158101</v>
      </c>
    </row>
    <row r="447" spans="1:40" x14ac:dyDescent="0.25">
      <c r="A447" t="str">
        <f>"20190312172619513"</f>
        <v>20190312172619513</v>
      </c>
      <c r="B447" t="str">
        <f>"1552382779509099"</f>
        <v>1552382779509099</v>
      </c>
      <c r="C447" t="s">
        <v>40</v>
      </c>
      <c r="D447">
        <v>3.312338</v>
      </c>
      <c r="E447">
        <v>0.56531779999999998</v>
      </c>
      <c r="F447" t="s">
        <v>44</v>
      </c>
      <c r="G447">
        <v>-367.52980000000002</v>
      </c>
      <c r="H447">
        <v>0.88852350000000002</v>
      </c>
      <c r="I447">
        <v>366.1986</v>
      </c>
      <c r="J447">
        <v>-368.12279999999998</v>
      </c>
      <c r="K447">
        <v>1.1097629999999901</v>
      </c>
      <c r="L447">
        <v>366.39019999999999</v>
      </c>
      <c r="M447">
        <v>0.99943099999999996</v>
      </c>
      <c r="N447">
        <v>0</v>
      </c>
      <c r="O447">
        <v>-3.1090690000000001E-2</v>
      </c>
      <c r="P447">
        <v>0.98845559999999999</v>
      </c>
      <c r="Q447">
        <v>0.14196549999999999</v>
      </c>
      <c r="R447">
        <v>-5.293171E-2</v>
      </c>
      <c r="S447">
        <v>3.1067200000000001</v>
      </c>
      <c r="T447">
        <v>-0.75792309999999996</v>
      </c>
      <c r="U447">
        <v>-0.68908689999999995</v>
      </c>
      <c r="V447">
        <v>2.2220569999999999E-2</v>
      </c>
      <c r="W447">
        <v>0.15489929999999999</v>
      </c>
      <c r="X447">
        <v>0.98768029999999996</v>
      </c>
      <c r="Y447">
        <v>0.1818718</v>
      </c>
      <c r="Z447">
        <v>-1.422985E-2</v>
      </c>
      <c r="AA447">
        <v>0.98321930000000002</v>
      </c>
      <c r="AB447">
        <v>31</v>
      </c>
      <c r="AC447">
        <v>0.59299999999996</v>
      </c>
      <c r="AD447">
        <v>-0.22123949999999901</v>
      </c>
      <c r="AE447">
        <v>-0.191599999999994</v>
      </c>
      <c r="AF447">
        <v>0.15369770457595999</v>
      </c>
      <c r="AG447">
        <v>-0.22123949999999901</v>
      </c>
      <c r="AH447">
        <v>0.53166263480059806</v>
      </c>
      <c r="AI447">
        <v>111.789474194554</v>
      </c>
      <c r="AJ447">
        <v>73.876011401792098</v>
      </c>
      <c r="AK447">
        <v>0.59601598803663203</v>
      </c>
      <c r="AL447">
        <v>81.089043617149798</v>
      </c>
      <c r="AM447">
        <v>88.711192129040498</v>
      </c>
      <c r="AN447">
        <v>0.999999960939851</v>
      </c>
    </row>
    <row r="448" spans="1:40" x14ac:dyDescent="0.25">
      <c r="A448" t="str">
        <f>"20190312172619536"</f>
        <v>20190312172619536</v>
      </c>
      <c r="B448" t="str">
        <f>"1552382779528619"</f>
        <v>1552382779528619</v>
      </c>
      <c r="C448" t="s">
        <v>40</v>
      </c>
      <c r="D448">
        <v>3.336096</v>
      </c>
      <c r="E448">
        <v>0.56528230000000002</v>
      </c>
      <c r="F448" t="s">
        <v>44</v>
      </c>
      <c r="G448">
        <v>-367.24959999999999</v>
      </c>
      <c r="H448">
        <v>0.89678440000000004</v>
      </c>
      <c r="I448">
        <v>366.19670000000002</v>
      </c>
      <c r="J448">
        <v>-367.79899999999998</v>
      </c>
      <c r="K448">
        <v>1.1097709999999901</v>
      </c>
      <c r="L448">
        <v>366.37990000000002</v>
      </c>
      <c r="M448">
        <v>0.9994267</v>
      </c>
      <c r="N448">
        <v>0</v>
      </c>
      <c r="O448">
        <v>-3.1230709999999998E-2</v>
      </c>
      <c r="P448">
        <v>0.9883535</v>
      </c>
      <c r="Q448">
        <v>0.1425698</v>
      </c>
      <c r="R448">
        <v>-5.3213469999999999E-2</v>
      </c>
      <c r="S448">
        <v>3.1070250000000001</v>
      </c>
      <c r="T448">
        <v>-0.75787579999999999</v>
      </c>
      <c r="U448">
        <v>-0.68786619999999998</v>
      </c>
      <c r="V448">
        <v>2.2366779999999999E-2</v>
      </c>
      <c r="W448">
        <v>0.1554961</v>
      </c>
      <c r="X448">
        <v>0.98758330000000005</v>
      </c>
      <c r="Y448">
        <v>0.18136450000000001</v>
      </c>
      <c r="Z448">
        <v>-1.413473E-2</v>
      </c>
      <c r="AA448">
        <v>0.98331440000000003</v>
      </c>
      <c r="AB448">
        <v>31</v>
      </c>
      <c r="AC448">
        <v>0.54940000000004796</v>
      </c>
      <c r="AD448">
        <v>-0.212986599999999</v>
      </c>
      <c r="AE448">
        <v>-0.183199999999999</v>
      </c>
      <c r="AF448">
        <v>0.14618010338851201</v>
      </c>
      <c r="AG448">
        <v>-0.212986599999999</v>
      </c>
      <c r="AH448">
        <v>0.488750303381705</v>
      </c>
      <c r="AI448">
        <v>112.660733389249</v>
      </c>
      <c r="AJ448">
        <v>73.348626024143897</v>
      </c>
      <c r="AK448">
        <v>0.55281893370428703</v>
      </c>
      <c r="AL448">
        <v>81.054430829805398</v>
      </c>
      <c r="AM448">
        <v>88.702587364887805</v>
      </c>
      <c r="AN448">
        <v>1.0000000422008299</v>
      </c>
    </row>
    <row r="449" spans="1:40" x14ac:dyDescent="0.25">
      <c r="A449" t="str">
        <f>"20190312172619556"</f>
        <v>20190312172619556</v>
      </c>
      <c r="B449" t="str">
        <f>"1552382779549115"</f>
        <v>1552382779549115</v>
      </c>
      <c r="C449" t="s">
        <v>40</v>
      </c>
      <c r="D449">
        <v>3.3772060000000002</v>
      </c>
      <c r="E449">
        <v>0.56528469999999997</v>
      </c>
      <c r="F449" t="s">
        <v>44</v>
      </c>
      <c r="G449">
        <v>-366.9683</v>
      </c>
      <c r="H449">
        <v>0.90777229999999998</v>
      </c>
      <c r="I449">
        <v>366.19549999999998</v>
      </c>
      <c r="J449">
        <v>-367.50200000000001</v>
      </c>
      <c r="K449">
        <v>1.109772</v>
      </c>
      <c r="L449">
        <v>366.37049999999999</v>
      </c>
      <c r="M449">
        <v>0.9994227</v>
      </c>
      <c r="N449">
        <v>0</v>
      </c>
      <c r="O449">
        <v>-3.1359419999999999E-2</v>
      </c>
      <c r="P449">
        <v>0.98827489999999996</v>
      </c>
      <c r="Q449">
        <v>0.14308180000000001</v>
      </c>
      <c r="R449">
        <v>-5.3294099999999997E-2</v>
      </c>
      <c r="S449">
        <v>3.1072389999999999</v>
      </c>
      <c r="T449">
        <v>-0.7556794</v>
      </c>
      <c r="U449">
        <v>-0.68865969999999999</v>
      </c>
      <c r="V449">
        <v>2.2322649999999999E-2</v>
      </c>
      <c r="W449">
        <v>0.156002</v>
      </c>
      <c r="X449">
        <v>0.98750450000000001</v>
      </c>
      <c r="Y449">
        <v>0.18148790000000001</v>
      </c>
      <c r="Z449">
        <v>-1.40778E-2</v>
      </c>
      <c r="AA449">
        <v>0.98329239999999996</v>
      </c>
      <c r="AB449">
        <v>31</v>
      </c>
      <c r="AC449">
        <v>0.53369999999995299</v>
      </c>
      <c r="AD449">
        <v>-0.2019997</v>
      </c>
      <c r="AE449">
        <v>-0.17500000000001101</v>
      </c>
      <c r="AF449">
        <v>0.140059671449418</v>
      </c>
      <c r="AG449">
        <v>-0.2019997</v>
      </c>
      <c r="AH449">
        <v>0.4772013003401</v>
      </c>
      <c r="AI449">
        <v>112.10540539459799</v>
      </c>
      <c r="AJ449">
        <v>73.642915647081196</v>
      </c>
      <c r="AK449">
        <v>0.53678829291713404</v>
      </c>
      <c r="AL449">
        <v>81.025086700248707</v>
      </c>
      <c r="AM449">
        <v>88.705043017158403</v>
      </c>
      <c r="AN449">
        <v>1.0000000311136299</v>
      </c>
    </row>
    <row r="450" spans="1:40" x14ac:dyDescent="0.25">
      <c r="A450" t="str">
        <f>"20190312172619579"</f>
        <v>20190312172619579</v>
      </c>
      <c r="B450" t="str">
        <f>"1552382779568635"</f>
        <v>1552382779568635</v>
      </c>
      <c r="C450" t="s">
        <v>40</v>
      </c>
      <c r="D450">
        <v>3.3201779999999999</v>
      </c>
      <c r="E450">
        <v>0.56801990000000002</v>
      </c>
      <c r="F450" t="s">
        <v>44</v>
      </c>
      <c r="G450">
        <v>-366.68979999999999</v>
      </c>
      <c r="H450">
        <v>0.91254710000000006</v>
      </c>
      <c r="I450">
        <v>366.19040000000001</v>
      </c>
      <c r="J450">
        <v>-367.1918</v>
      </c>
      <c r="K450">
        <v>1.109777</v>
      </c>
      <c r="L450">
        <v>366.36070000000001</v>
      </c>
      <c r="M450">
        <v>0.99941849999999999</v>
      </c>
      <c r="N450">
        <v>0</v>
      </c>
      <c r="O450">
        <v>-3.1493729999999998E-2</v>
      </c>
      <c r="P450">
        <v>0.98822699999999997</v>
      </c>
      <c r="Q450">
        <v>0.14340359999999999</v>
      </c>
      <c r="R450">
        <v>-5.3318499999999998E-2</v>
      </c>
      <c r="S450">
        <v>3.107666</v>
      </c>
      <c r="T450">
        <v>-0.75464989999999998</v>
      </c>
      <c r="U450">
        <v>-0.68936160000000002</v>
      </c>
      <c r="V450">
        <v>2.221559E-2</v>
      </c>
      <c r="W450">
        <v>0.15631800000000001</v>
      </c>
      <c r="X450">
        <v>0.98745689999999997</v>
      </c>
      <c r="Y450">
        <v>0.18155350000000001</v>
      </c>
      <c r="Z450">
        <v>-1.403303E-2</v>
      </c>
      <c r="AA450">
        <v>0.98328099999999996</v>
      </c>
      <c r="AB450">
        <v>31</v>
      </c>
      <c r="AC450">
        <v>0.50200000000000899</v>
      </c>
      <c r="AD450">
        <v>-0.19722990000000001</v>
      </c>
      <c r="AE450">
        <v>-0.17029999999999701</v>
      </c>
      <c r="AF450">
        <v>0.135629177387943</v>
      </c>
      <c r="AG450">
        <v>-0.19722990000000001</v>
      </c>
      <c r="AH450">
        <v>0.44545105377746302</v>
      </c>
      <c r="AI450">
        <v>112.95586756926301</v>
      </c>
      <c r="AJ450">
        <v>73.065763295473602</v>
      </c>
      <c r="AK450">
        <v>0.50568918173557198</v>
      </c>
      <c r="AL450">
        <v>81.006755975848193</v>
      </c>
      <c r="AM450">
        <v>88.711189461649795</v>
      </c>
      <c r="AN450">
        <v>0.99999998946032898</v>
      </c>
    </row>
    <row r="451" spans="1:40" x14ac:dyDescent="0.25">
      <c r="A451" t="str">
        <f>"20190312172619601"</f>
        <v>20190312172619601</v>
      </c>
      <c r="B451" t="str">
        <f>"1552382779598892"</f>
        <v>1552382779598892</v>
      </c>
      <c r="C451" t="s">
        <v>40</v>
      </c>
      <c r="D451">
        <v>3.4028209999999999</v>
      </c>
      <c r="E451">
        <v>0.56847879999999995</v>
      </c>
      <c r="F451" t="s">
        <v>44</v>
      </c>
      <c r="G451">
        <v>-366.41239999999999</v>
      </c>
      <c r="H451">
        <v>0.91466720000000001</v>
      </c>
      <c r="I451">
        <v>366.18209999999999</v>
      </c>
      <c r="J451">
        <v>-366.88920000000002</v>
      </c>
      <c r="K451">
        <v>1.1097779999999999</v>
      </c>
      <c r="L451">
        <v>366.351</v>
      </c>
      <c r="M451">
        <v>0.99941440000000004</v>
      </c>
      <c r="N451">
        <v>0</v>
      </c>
      <c r="O451">
        <v>-3.1624590000000001E-2</v>
      </c>
      <c r="P451">
        <v>0.98823640000000001</v>
      </c>
      <c r="Q451">
        <v>0.1434318</v>
      </c>
      <c r="R451">
        <v>-5.3071010000000002E-2</v>
      </c>
      <c r="S451">
        <v>3.1103209999999999</v>
      </c>
      <c r="T451">
        <v>-0.77865459999999997</v>
      </c>
      <c r="U451">
        <v>-0.71166989999999997</v>
      </c>
      <c r="V451">
        <v>2.1838300000000001E-2</v>
      </c>
      <c r="W451">
        <v>0.1563425</v>
      </c>
      <c r="X451">
        <v>0.98746140000000004</v>
      </c>
      <c r="Y451">
        <v>0.1875356</v>
      </c>
      <c r="Z451">
        <v>-1.5141E-2</v>
      </c>
      <c r="AA451">
        <v>0.98214109999999999</v>
      </c>
      <c r="AB451">
        <v>31</v>
      </c>
      <c r="AC451">
        <v>0.47680000000002498</v>
      </c>
      <c r="AD451">
        <v>-0.1951108</v>
      </c>
      <c r="AE451">
        <v>-0.16890000000000699</v>
      </c>
      <c r="AF451">
        <v>0.133824856396696</v>
      </c>
      <c r="AG451">
        <v>-0.1951108</v>
      </c>
      <c r="AH451">
        <v>0.41949058928983401</v>
      </c>
      <c r="AI451">
        <v>113.898690741574</v>
      </c>
      <c r="AJ451">
        <v>72.306404916605999</v>
      </c>
      <c r="AK451">
        <v>0.48161153533627898</v>
      </c>
      <c r="AL451">
        <v>81.005334420544798</v>
      </c>
      <c r="AM451">
        <v>88.733076060001295</v>
      </c>
      <c r="AN451">
        <v>0.99999995257154795</v>
      </c>
    </row>
    <row r="452" spans="1:40" x14ac:dyDescent="0.25">
      <c r="A452" t="str">
        <f>"20190312172619625"</f>
        <v>20190312172619625</v>
      </c>
      <c r="B452" t="str">
        <f>"1552382779619388"</f>
        <v>1552382779619388</v>
      </c>
      <c r="C452" t="s">
        <v>40</v>
      </c>
      <c r="D452">
        <v>3.3277640000000002</v>
      </c>
      <c r="E452">
        <v>0.56848080000000001</v>
      </c>
      <c r="F452" t="s">
        <v>44</v>
      </c>
      <c r="G452">
        <v>-366.13369999999998</v>
      </c>
      <c r="H452">
        <v>0.92053479999999999</v>
      </c>
      <c r="I452">
        <v>366.17720000000003</v>
      </c>
      <c r="J452">
        <v>-366.57170000000002</v>
      </c>
      <c r="K452">
        <v>1.1097790000000001</v>
      </c>
      <c r="L452">
        <v>366.3408</v>
      </c>
      <c r="M452">
        <v>0.99941020000000003</v>
      </c>
      <c r="N452">
        <v>0</v>
      </c>
      <c r="O452">
        <v>-3.1761530000000003E-2</v>
      </c>
      <c r="P452">
        <v>0.98832569999999997</v>
      </c>
      <c r="Q452">
        <v>0.14288380000000001</v>
      </c>
      <c r="R452">
        <v>-5.2885219999999997E-2</v>
      </c>
      <c r="S452">
        <v>3.110382</v>
      </c>
      <c r="T452">
        <v>-0.77910199999999996</v>
      </c>
      <c r="U452">
        <v>-0.71472170000000002</v>
      </c>
      <c r="V452">
        <v>2.1514149999999999E-2</v>
      </c>
      <c r="W452">
        <v>0.1557914</v>
      </c>
      <c r="X452">
        <v>0.98755559999999998</v>
      </c>
      <c r="Y452">
        <v>0.1882906</v>
      </c>
      <c r="Z452">
        <v>-1.5206300000000001E-2</v>
      </c>
      <c r="AA452">
        <v>0.98199559999999997</v>
      </c>
      <c r="AB452">
        <v>31</v>
      </c>
      <c r="AC452">
        <v>0.43800000000004502</v>
      </c>
      <c r="AD452">
        <v>-0.1892442</v>
      </c>
      <c r="AE452">
        <v>-0.16359999999997399</v>
      </c>
      <c r="AF452">
        <v>0.12854583307112499</v>
      </c>
      <c r="AG452">
        <v>-0.1892442</v>
      </c>
      <c r="AH452">
        <v>0.38062082995528601</v>
      </c>
      <c r="AI452">
        <v>115.22323048268299</v>
      </c>
      <c r="AJ452">
        <v>71.338799131582206</v>
      </c>
      <c r="AK452">
        <v>0.44408289161984199</v>
      </c>
      <c r="AL452">
        <v>81.037301735734601</v>
      </c>
      <c r="AM452">
        <v>88.751994274515198</v>
      </c>
      <c r="AN452">
        <v>0.99999994102776901</v>
      </c>
    </row>
    <row r="453" spans="1:40" x14ac:dyDescent="0.25">
      <c r="A453" t="str">
        <f>"20190312172619647"</f>
        <v>20190312172619647</v>
      </c>
      <c r="B453" t="str">
        <f>"1552382779638908"</f>
        <v>1552382779638908</v>
      </c>
      <c r="C453" t="s">
        <v>40</v>
      </c>
      <c r="D453">
        <v>3.3649269999999998</v>
      </c>
      <c r="E453">
        <v>0.56852689999999995</v>
      </c>
      <c r="F453" t="s">
        <v>44</v>
      </c>
      <c r="G453">
        <v>-365.85379999999998</v>
      </c>
      <c r="H453">
        <v>0.92962730000000005</v>
      </c>
      <c r="I453">
        <v>366.17559999999997</v>
      </c>
      <c r="J453">
        <v>-366.26100000000002</v>
      </c>
      <c r="K453">
        <v>1.1097779999999999</v>
      </c>
      <c r="L453">
        <v>366.33069999999998</v>
      </c>
      <c r="M453">
        <v>0.99940589999999996</v>
      </c>
      <c r="N453">
        <v>0</v>
      </c>
      <c r="O453">
        <v>-3.1895729999999997E-2</v>
      </c>
      <c r="P453">
        <v>0.98827030000000005</v>
      </c>
      <c r="Q453">
        <v>0.14331240000000001</v>
      </c>
      <c r="R453">
        <v>-5.2757569999999997E-2</v>
      </c>
      <c r="S453">
        <v>3.110077</v>
      </c>
      <c r="T453">
        <v>-0.78045279999999995</v>
      </c>
      <c r="U453">
        <v>-0.71380619999999995</v>
      </c>
      <c r="V453">
        <v>2.1255699999999999E-2</v>
      </c>
      <c r="W453">
        <v>0.15621579999999999</v>
      </c>
      <c r="X453">
        <v>0.98749419999999999</v>
      </c>
      <c r="Y453">
        <v>0.18790370000000001</v>
      </c>
      <c r="Z453">
        <v>-1.515388E-2</v>
      </c>
      <c r="AA453">
        <v>0.98207060000000002</v>
      </c>
      <c r="AB453">
        <v>31</v>
      </c>
      <c r="AC453">
        <v>0.40719999999998802</v>
      </c>
      <c r="AD453">
        <v>-0.1801507</v>
      </c>
      <c r="AE453">
        <v>-0.15510000000000401</v>
      </c>
      <c r="AF453">
        <v>0.121298385939013</v>
      </c>
      <c r="AG453">
        <v>-0.1801507</v>
      </c>
      <c r="AH453">
        <v>0.35180576919693302</v>
      </c>
      <c r="AI453">
        <v>115.83195556277499</v>
      </c>
      <c r="AJ453">
        <v>70.976424222162294</v>
      </c>
      <c r="AK453">
        <v>0.41344270749663198</v>
      </c>
      <c r="AL453">
        <v>81.012684423218303</v>
      </c>
      <c r="AM453">
        <v>88.766905298295399</v>
      </c>
      <c r="AN453">
        <v>0.99999998799288403</v>
      </c>
    </row>
    <row r="454" spans="1:40" x14ac:dyDescent="0.25">
      <c r="A454" t="str">
        <f>"20190312172619670"</f>
        <v>20190312172619670</v>
      </c>
      <c r="B454" t="str">
        <f>"1552382779659403"</f>
        <v>1552382779659403</v>
      </c>
      <c r="C454" t="s">
        <v>40</v>
      </c>
      <c r="D454">
        <v>3.3481679999999998</v>
      </c>
      <c r="E454">
        <v>0.56859099999999996</v>
      </c>
      <c r="F454" t="s">
        <v>44</v>
      </c>
      <c r="G454">
        <v>-365.57389999999998</v>
      </c>
      <c r="H454">
        <v>0.93780830000000004</v>
      </c>
      <c r="I454">
        <v>366.17290000000003</v>
      </c>
      <c r="J454">
        <v>-365.94369999999998</v>
      </c>
      <c r="K454">
        <v>1.109785</v>
      </c>
      <c r="L454">
        <v>366.32049999999998</v>
      </c>
      <c r="M454">
        <v>0.99940150000000005</v>
      </c>
      <c r="N454">
        <v>0</v>
      </c>
      <c r="O454">
        <v>-3.2032940000000003E-2</v>
      </c>
      <c r="P454">
        <v>0.98818340000000005</v>
      </c>
      <c r="Q454">
        <v>0.1438499</v>
      </c>
      <c r="R454">
        <v>-5.2923150000000002E-2</v>
      </c>
      <c r="S454">
        <v>3.110382</v>
      </c>
      <c r="T454">
        <v>-0.77851949999999903</v>
      </c>
      <c r="U454">
        <v>-0.71383669999999899</v>
      </c>
      <c r="V454">
        <v>2.1288040000000001E-2</v>
      </c>
      <c r="W454">
        <v>0.15675510000000001</v>
      </c>
      <c r="X454">
        <v>0.98740799999999995</v>
      </c>
      <c r="Y454">
        <v>0.1877878</v>
      </c>
      <c r="Z454">
        <v>-1.506856E-2</v>
      </c>
      <c r="AA454">
        <v>0.98209400000000002</v>
      </c>
      <c r="AB454">
        <v>31</v>
      </c>
      <c r="AC454">
        <v>0.36979999999999702</v>
      </c>
      <c r="AD454">
        <v>-0.17197669999999901</v>
      </c>
      <c r="AE454">
        <v>-0.14759999999995399</v>
      </c>
      <c r="AF454">
        <v>0.114345709949044</v>
      </c>
      <c r="AG454">
        <v>-0.17197669999999901</v>
      </c>
      <c r="AH454">
        <v>0.315483668266266</v>
      </c>
      <c r="AI454">
        <v>117.13498557354499</v>
      </c>
      <c r="AJ454">
        <v>70.077167446993201</v>
      </c>
      <c r="AK454">
        <v>0.37706878904170799</v>
      </c>
      <c r="AL454">
        <v>80.981399041838202</v>
      </c>
      <c r="AM454">
        <v>88.764921978448101</v>
      </c>
      <c r="AN454">
        <v>0.99999995024352395</v>
      </c>
    </row>
    <row r="455" spans="1:40" x14ac:dyDescent="0.25">
      <c r="A455" t="str">
        <f>"20190312172619690"</f>
        <v>20190312172619690</v>
      </c>
      <c r="B455" t="str">
        <f>"1552382779678926"</f>
        <v>1552382779678926</v>
      </c>
      <c r="C455" t="s">
        <v>40</v>
      </c>
      <c r="D455">
        <v>3.4393859999999998</v>
      </c>
      <c r="E455">
        <v>0.56863339999999996</v>
      </c>
      <c r="F455" t="s">
        <v>44</v>
      </c>
      <c r="G455">
        <v>-365.0446</v>
      </c>
      <c r="H455">
        <v>0.88515279999999996</v>
      </c>
      <c r="I455">
        <v>366.11399999999998</v>
      </c>
      <c r="J455">
        <v>-365.65769999999998</v>
      </c>
      <c r="K455">
        <v>1.1097950000000001</v>
      </c>
      <c r="L455">
        <v>366.31119999999999</v>
      </c>
      <c r="M455">
        <v>0.99939739999999999</v>
      </c>
      <c r="N455">
        <v>0</v>
      </c>
      <c r="O455">
        <v>-3.2157449999999997E-2</v>
      </c>
      <c r="P455">
        <v>0.98810640000000005</v>
      </c>
      <c r="Q455">
        <v>0.14434900000000001</v>
      </c>
      <c r="R455">
        <v>-5.300523E-2</v>
      </c>
      <c r="S455">
        <v>3.110779</v>
      </c>
      <c r="T455">
        <v>-0.77727990000000002</v>
      </c>
      <c r="U455">
        <v>-0.71371459999999998</v>
      </c>
      <c r="V455">
        <v>2.1248960000000001E-2</v>
      </c>
      <c r="W455">
        <v>0.15726409999999999</v>
      </c>
      <c r="X455">
        <v>0.98732790000000004</v>
      </c>
      <c r="Y455">
        <v>0.1876254</v>
      </c>
      <c r="Z455">
        <v>-1.499356E-2</v>
      </c>
      <c r="AA455">
        <v>0.98212619999999895</v>
      </c>
      <c r="AB455">
        <v>31</v>
      </c>
      <c r="AC455">
        <v>0.613099999999974</v>
      </c>
      <c r="AD455">
        <v>-0.22464219999999999</v>
      </c>
      <c r="AE455">
        <v>-0.197199999999952</v>
      </c>
      <c r="AF455">
        <v>0.15814043137036299</v>
      </c>
      <c r="AG455">
        <v>-0.22464219999999999</v>
      </c>
      <c r="AH455">
        <v>0.55196951156325502</v>
      </c>
      <c r="AI455">
        <v>111.36754237134799</v>
      </c>
      <c r="AJ455">
        <v>74.012880341775002</v>
      </c>
      <c r="AK455">
        <v>0.61655726072297901</v>
      </c>
      <c r="AL455">
        <v>80.9518692189463</v>
      </c>
      <c r="AM455">
        <v>88.767088615704793</v>
      </c>
      <c r="AN455">
        <v>0.999999948784149</v>
      </c>
    </row>
    <row r="456" spans="1:40" x14ac:dyDescent="0.25">
      <c r="A456" t="str">
        <f>"20190312172619714"</f>
        <v>20190312172619714</v>
      </c>
      <c r="B456" t="str">
        <f>"1552382779709179"</f>
        <v>1552382779709179</v>
      </c>
      <c r="C456" t="s">
        <v>40</v>
      </c>
      <c r="D456">
        <v>3.3639429999999999</v>
      </c>
      <c r="E456">
        <v>0.52339460000000004</v>
      </c>
      <c r="F456" t="s">
        <v>44</v>
      </c>
      <c r="G456">
        <v>-364.7679</v>
      </c>
      <c r="H456">
        <v>0.88795949999999901</v>
      </c>
      <c r="I456">
        <v>366.10649999999998</v>
      </c>
      <c r="J456">
        <v>-365.35109999999997</v>
      </c>
      <c r="K456">
        <v>1.109804</v>
      </c>
      <c r="L456">
        <v>366.30110000000002</v>
      </c>
      <c r="M456">
        <v>0.99939279999999997</v>
      </c>
      <c r="N456">
        <v>0</v>
      </c>
      <c r="O456">
        <v>-3.2292479999999998E-2</v>
      </c>
      <c r="P456">
        <v>0.98803399999999997</v>
      </c>
      <c r="Q456">
        <v>0.14472079999999901</v>
      </c>
      <c r="R456">
        <v>-5.3336250000000002E-2</v>
      </c>
      <c r="S456">
        <v>3.1111149999999999</v>
      </c>
      <c r="T456">
        <v>-0.77564529999999998</v>
      </c>
      <c r="U456">
        <v>-0.71481319999999904</v>
      </c>
      <c r="V456">
        <v>2.1448330000000002E-2</v>
      </c>
      <c r="W456">
        <v>0.15765170000000001</v>
      </c>
      <c r="X456">
        <v>0.98726179999999997</v>
      </c>
      <c r="Y456">
        <v>0.1878176</v>
      </c>
      <c r="Z456">
        <v>-1.495148E-2</v>
      </c>
      <c r="AA456">
        <v>0.98209009999999997</v>
      </c>
      <c r="AB456">
        <v>31</v>
      </c>
      <c r="AC456">
        <v>0.58319999999997596</v>
      </c>
      <c r="AD456">
        <v>-0.2218445</v>
      </c>
      <c r="AE456">
        <v>-0.19460000000003599</v>
      </c>
      <c r="AF456">
        <v>0.15542709079450101</v>
      </c>
      <c r="AG456">
        <v>-0.2218445</v>
      </c>
      <c r="AH456">
        <v>0.52130574176757805</v>
      </c>
      <c r="AI456">
        <v>112.186386840436</v>
      </c>
      <c r="AJ456">
        <v>73.398072156368002</v>
      </c>
      <c r="AK456">
        <v>0.58747956486412101</v>
      </c>
      <c r="AL456">
        <v>80.929381091690701</v>
      </c>
      <c r="AM456">
        <v>88.755441055894593</v>
      </c>
      <c r="AN456">
        <v>0.99999997555595899</v>
      </c>
    </row>
    <row r="457" spans="1:40" x14ac:dyDescent="0.25">
      <c r="A457" t="str">
        <f>"20190312172619737"</f>
        <v>20190312172619737</v>
      </c>
      <c r="B457" t="str">
        <f>"1552382779728699"</f>
        <v>1552382779728699</v>
      </c>
      <c r="C457" t="s">
        <v>40</v>
      </c>
      <c r="D457">
        <v>3.4125920000000001</v>
      </c>
      <c r="E457">
        <v>0.51858320000000002</v>
      </c>
      <c r="F457" t="s">
        <v>44</v>
      </c>
      <c r="G457">
        <v>-364.45179999999999</v>
      </c>
      <c r="H457">
        <v>0.97748120000000005</v>
      </c>
      <c r="I457">
        <v>366.19779999999997</v>
      </c>
      <c r="J457">
        <v>-365.02370000000002</v>
      </c>
      <c r="K457">
        <v>1.10981</v>
      </c>
      <c r="L457">
        <v>366.2903</v>
      </c>
      <c r="M457">
        <v>0.99938769999999999</v>
      </c>
      <c r="N457">
        <v>0</v>
      </c>
      <c r="O457">
        <v>-3.2436739999999999E-2</v>
      </c>
      <c r="P457">
        <v>0.98804720000000001</v>
      </c>
      <c r="Q457">
        <v>0.14457039999999999</v>
      </c>
      <c r="R457">
        <v>-5.3498879999999999E-2</v>
      </c>
      <c r="S457">
        <v>3.08371</v>
      </c>
      <c r="T457">
        <v>-0.4537622</v>
      </c>
      <c r="U457">
        <v>-0.353485099999999</v>
      </c>
      <c r="V457">
        <v>2.1467409999999999E-2</v>
      </c>
      <c r="W457">
        <v>0.157526</v>
      </c>
      <c r="X457">
        <v>0.98728150000000003</v>
      </c>
      <c r="Y457">
        <v>8.1079010000000007E-2</v>
      </c>
      <c r="Z457">
        <v>-1.1845099999999999E-3</v>
      </c>
      <c r="AA457">
        <v>0.99670700000000001</v>
      </c>
      <c r="AB457">
        <v>31</v>
      </c>
      <c r="AC457">
        <v>0.57190000000002705</v>
      </c>
      <c r="AD457">
        <v>-0.1323288</v>
      </c>
      <c r="AE457">
        <v>-9.2500000000029503E-2</v>
      </c>
      <c r="AF457">
        <v>7.0234729305379606E-2</v>
      </c>
      <c r="AG457">
        <v>-0.1323288</v>
      </c>
      <c r="AH457">
        <v>0.54610712505100201</v>
      </c>
      <c r="AI457">
        <v>103.5137958089</v>
      </c>
      <c r="AJ457">
        <v>82.671430460145203</v>
      </c>
      <c r="AK457">
        <v>0.56628333945253095</v>
      </c>
      <c r="AL457">
        <v>80.936674756077394</v>
      </c>
      <c r="AM457">
        <v>88.754359118058403</v>
      </c>
      <c r="AN457">
        <v>1.00000002530517</v>
      </c>
    </row>
    <row r="458" spans="1:40" x14ac:dyDescent="0.25">
      <c r="A458" t="str">
        <f>"20190312172619758"</f>
        <v>20190312172619758</v>
      </c>
      <c r="B458" t="str">
        <f>"1552382779749194"</f>
        <v>1552382779749194</v>
      </c>
      <c r="C458" t="s">
        <v>40</v>
      </c>
      <c r="D458">
        <v>3.3761000000000001</v>
      </c>
      <c r="E458">
        <v>0.51657839999999999</v>
      </c>
      <c r="F458" t="s">
        <v>44</v>
      </c>
      <c r="G458">
        <v>-364.16520000000003</v>
      </c>
      <c r="H458">
        <v>0.99959540000000002</v>
      </c>
      <c r="I458">
        <v>366.2022</v>
      </c>
      <c r="J458">
        <v>-364.72109999999998</v>
      </c>
      <c r="K458">
        <v>1.109812</v>
      </c>
      <c r="L458">
        <v>366.28039999999999</v>
      </c>
      <c r="M458">
        <v>0.99938320000000003</v>
      </c>
      <c r="N458">
        <v>0</v>
      </c>
      <c r="O458">
        <v>-3.2569809999999998E-2</v>
      </c>
      <c r="P458">
        <v>0.98800619999999995</v>
      </c>
      <c r="Q458">
        <v>0.14470829999999901</v>
      </c>
      <c r="R458">
        <v>-5.3883970000000003E-2</v>
      </c>
      <c r="S458">
        <v>3.077118</v>
      </c>
      <c r="T458">
        <v>-0.39526709999999998</v>
      </c>
      <c r="U458">
        <v>-0.31497190000000003</v>
      </c>
      <c r="V458">
        <v>2.172172E-2</v>
      </c>
      <c r="W458">
        <v>0.15768750000000001</v>
      </c>
      <c r="X458">
        <v>0.98725010000000002</v>
      </c>
      <c r="Y458">
        <v>6.9073369999999995E-2</v>
      </c>
      <c r="Z458">
        <v>-2.5288570000000002E-4</v>
      </c>
      <c r="AA458">
        <v>0.99761149999999998</v>
      </c>
      <c r="AB458">
        <v>31</v>
      </c>
      <c r="AC458">
        <v>0.55589999999995099</v>
      </c>
      <c r="AD458">
        <v>-0.1102166</v>
      </c>
      <c r="AE458">
        <v>-7.8199999999981104E-2</v>
      </c>
      <c r="AF458">
        <v>5.7822503139397297E-2</v>
      </c>
      <c r="AG458">
        <v>-0.1102166</v>
      </c>
      <c r="AH458">
        <v>0.53743567714478901</v>
      </c>
      <c r="AI458">
        <v>101.524736373126</v>
      </c>
      <c r="AJ458">
        <v>83.859190220573396</v>
      </c>
      <c r="AK458">
        <v>0.55165953980054006</v>
      </c>
      <c r="AL458">
        <v>80.927303873813102</v>
      </c>
      <c r="AM458">
        <v>88.739567504128701</v>
      </c>
      <c r="AN458">
        <v>0.99999997036300803</v>
      </c>
    </row>
    <row r="459" spans="1:40" x14ac:dyDescent="0.25">
      <c r="A459" t="str">
        <f>"20190312172619781"</f>
        <v>20190312172619781</v>
      </c>
      <c r="B459" t="str">
        <f>"1552382779779451"</f>
        <v>1552382779779451</v>
      </c>
      <c r="C459" t="s">
        <v>40</v>
      </c>
      <c r="D459">
        <v>3.385208</v>
      </c>
      <c r="E459">
        <v>0.51514890000000002</v>
      </c>
      <c r="F459" t="s">
        <v>44</v>
      </c>
      <c r="G459">
        <v>-363.88470000000001</v>
      </c>
      <c r="H459">
        <v>1.010473</v>
      </c>
      <c r="I459">
        <v>366.19850000000002</v>
      </c>
      <c r="J459">
        <v>-364.4126</v>
      </c>
      <c r="K459">
        <v>1.1098170000000001</v>
      </c>
      <c r="L459">
        <v>366.27019999999999</v>
      </c>
      <c r="M459">
        <v>0.99937830000000005</v>
      </c>
      <c r="N459">
        <v>0</v>
      </c>
      <c r="O459">
        <v>-3.2704339999999998E-2</v>
      </c>
      <c r="P459">
        <v>0.98798580000000003</v>
      </c>
      <c r="Q459">
        <v>0.14475979999999999</v>
      </c>
      <c r="R459">
        <v>-5.411668E-2</v>
      </c>
      <c r="S459">
        <v>3.0734859999999999</v>
      </c>
      <c r="T459">
        <v>-0.36507000000000001</v>
      </c>
      <c r="U459">
        <v>-0.30026249999999999</v>
      </c>
      <c r="V459">
        <v>2.182224E-2</v>
      </c>
      <c r="W459">
        <v>0.15776519999999999</v>
      </c>
      <c r="X459">
        <v>0.98723550000000004</v>
      </c>
      <c r="Y459">
        <v>6.4406669999999999E-2</v>
      </c>
      <c r="Z459" s="1">
        <v>5.7445840000000001E-5</v>
      </c>
      <c r="AA459">
        <v>0.99792369999999997</v>
      </c>
      <c r="AB459">
        <v>31</v>
      </c>
      <c r="AC459">
        <v>0.52789999999998805</v>
      </c>
      <c r="AD459">
        <v>-9.9344000000000099E-2</v>
      </c>
      <c r="AE459">
        <v>-7.1699999999964306E-2</v>
      </c>
      <c r="AF459">
        <v>5.2567590926557002E-2</v>
      </c>
      <c r="AG459">
        <v>-9.9344000000000099E-2</v>
      </c>
      <c r="AH459">
        <v>0.51215358230021402</v>
      </c>
      <c r="AI459">
        <v>100.921526255934</v>
      </c>
      <c r="AJ459">
        <v>84.139666813183595</v>
      </c>
      <c r="AK459">
        <v>0.52434137145066495</v>
      </c>
      <c r="AL459">
        <v>80.922795836060104</v>
      </c>
      <c r="AM459">
        <v>88.733717868063295</v>
      </c>
      <c r="AN459">
        <v>1.0000000004749501</v>
      </c>
    </row>
    <row r="460" spans="1:40" x14ac:dyDescent="0.25">
      <c r="A460" t="str">
        <f>"20190312172619802"</f>
        <v>20190312172619802</v>
      </c>
      <c r="B460" t="str">
        <f>"1552382779798971"</f>
        <v>1552382779798971</v>
      </c>
      <c r="C460" t="s">
        <v>40</v>
      </c>
      <c r="D460">
        <v>3.3868649999999998</v>
      </c>
      <c r="E460">
        <v>0.51447019999999999</v>
      </c>
      <c r="F460" t="s">
        <v>44</v>
      </c>
      <c r="G460">
        <v>-363.60500000000002</v>
      </c>
      <c r="H460">
        <v>1.0200499999999999</v>
      </c>
      <c r="I460">
        <v>366.19380000000001</v>
      </c>
      <c r="J460">
        <v>-364.12700000000001</v>
      </c>
      <c r="K460">
        <v>1.109818</v>
      </c>
      <c r="L460">
        <v>366.26069999999999</v>
      </c>
      <c r="M460">
        <v>0.99937390000000004</v>
      </c>
      <c r="N460">
        <v>0</v>
      </c>
      <c r="O460">
        <v>-3.2828860000000001E-2</v>
      </c>
      <c r="P460">
        <v>0.98802889999999999</v>
      </c>
      <c r="Q460">
        <v>0.14441019999999999</v>
      </c>
      <c r="R460">
        <v>-5.426603E-2</v>
      </c>
      <c r="S460">
        <v>3.0707399999999998</v>
      </c>
      <c r="T460">
        <v>-0.3415821</v>
      </c>
      <c r="U460">
        <v>-0.2890625</v>
      </c>
      <c r="V460">
        <v>2.1846870000000001E-2</v>
      </c>
      <c r="W460">
        <v>0.157444</v>
      </c>
      <c r="X460">
        <v>0.9872862</v>
      </c>
      <c r="Y460">
        <v>6.0811440000000001E-2</v>
      </c>
      <c r="Z460">
        <v>2.6655919999999999E-4</v>
      </c>
      <c r="AA460">
        <v>0.99814919999999996</v>
      </c>
      <c r="AB460">
        <v>31</v>
      </c>
      <c r="AC460">
        <v>0.52199999999993396</v>
      </c>
      <c r="AD460">
        <v>-8.9768000000000001E-2</v>
      </c>
      <c r="AE460">
        <v>-6.6899999999975507E-2</v>
      </c>
      <c r="AF460">
        <v>4.83198832925366E-2</v>
      </c>
      <c r="AG460">
        <v>-8.9768000000000001E-2</v>
      </c>
      <c r="AH460">
        <v>0.50910241082777297</v>
      </c>
      <c r="AI460">
        <v>99.956104455848703</v>
      </c>
      <c r="AJ460">
        <v>84.578189462526396</v>
      </c>
      <c r="AK460">
        <v>0.51920936976912702</v>
      </c>
      <c r="AL460">
        <v>80.941431871299301</v>
      </c>
      <c r="AM460">
        <v>88.732354205164597</v>
      </c>
      <c r="AN460">
        <v>0.99999996978761796</v>
      </c>
    </row>
    <row r="461" spans="1:40" x14ac:dyDescent="0.25">
      <c r="A461" t="str">
        <f>"20190312172619825"</f>
        <v>20190312172619825</v>
      </c>
      <c r="B461" t="str">
        <f>"1552382779819468"</f>
        <v>1552382779819468</v>
      </c>
      <c r="C461" t="s">
        <v>40</v>
      </c>
      <c r="D461">
        <v>3.3842379999999999</v>
      </c>
      <c r="E461">
        <v>0.51401660000000005</v>
      </c>
      <c r="F461" t="s">
        <v>44</v>
      </c>
      <c r="G461">
        <v>-363.32889999999998</v>
      </c>
      <c r="H461">
        <v>1.022999</v>
      </c>
      <c r="I461">
        <v>366.18700000000001</v>
      </c>
      <c r="J461">
        <v>-363.80799999999999</v>
      </c>
      <c r="K461">
        <v>1.109823</v>
      </c>
      <c r="L461">
        <v>366.25009999999997</v>
      </c>
      <c r="M461">
        <v>0.9993689</v>
      </c>
      <c r="N461">
        <v>0</v>
      </c>
      <c r="O461">
        <v>-3.2968310000000001E-2</v>
      </c>
      <c r="P461">
        <v>0.98810699999999996</v>
      </c>
      <c r="Q461">
        <v>0.14400929999999901</v>
      </c>
      <c r="R461">
        <v>-5.3908640000000001E-2</v>
      </c>
      <c r="S461">
        <v>3.06955</v>
      </c>
      <c r="T461">
        <v>-0.33399220000000002</v>
      </c>
      <c r="U461">
        <v>-0.28378300000000001</v>
      </c>
      <c r="V461">
        <v>2.1349050000000001E-2</v>
      </c>
      <c r="W461">
        <v>0.1570753</v>
      </c>
      <c r="X461">
        <v>0.98735580000000001</v>
      </c>
      <c r="Y461">
        <v>5.9024790000000001E-2</v>
      </c>
      <c r="Z461">
        <v>3.7260769999999997E-4</v>
      </c>
      <c r="AA461">
        <v>0.99825640000000004</v>
      </c>
      <c r="AB461">
        <v>31</v>
      </c>
      <c r="AC461">
        <v>0.47910000000007302</v>
      </c>
      <c r="AD461">
        <v>-8.6823999999999998E-2</v>
      </c>
      <c r="AE461">
        <v>-6.3100000000019904E-2</v>
      </c>
      <c r="AF461">
        <v>4.5790976451974899E-2</v>
      </c>
      <c r="AG461">
        <v>-8.6823999999999998E-2</v>
      </c>
      <c r="AH461">
        <v>0.46588051126054197</v>
      </c>
      <c r="AI461">
        <v>100.507344621687</v>
      </c>
      <c r="AJ461">
        <v>84.386479959148502</v>
      </c>
      <c r="AK461">
        <v>0.47610909597781198</v>
      </c>
      <c r="AL461">
        <v>80.962822843761401</v>
      </c>
      <c r="AM461">
        <v>88.761317970927706</v>
      </c>
      <c r="AN461">
        <v>0.99999995379981499</v>
      </c>
    </row>
    <row r="462" spans="1:40" x14ac:dyDescent="0.25">
      <c r="A462" t="str">
        <f>"20190312172619847"</f>
        <v>20190312172619847</v>
      </c>
      <c r="B462" t="str">
        <f>"1552382779838990"</f>
        <v>1552382779838990</v>
      </c>
      <c r="C462" t="s">
        <v>40</v>
      </c>
      <c r="D462">
        <v>3.394031</v>
      </c>
      <c r="E462">
        <v>0.51361959999999995</v>
      </c>
      <c r="F462" t="s">
        <v>44</v>
      </c>
      <c r="G462">
        <v>-363.05149999999998</v>
      </c>
      <c r="H462">
        <v>1.028826</v>
      </c>
      <c r="I462">
        <v>366.18119999999999</v>
      </c>
      <c r="J462">
        <v>-363.50189999999998</v>
      </c>
      <c r="K462">
        <v>1.109829</v>
      </c>
      <c r="L462">
        <v>366.23989999999998</v>
      </c>
      <c r="M462">
        <v>0.99936409999999998</v>
      </c>
      <c r="N462">
        <v>0</v>
      </c>
      <c r="O462">
        <v>-3.310271E-2</v>
      </c>
      <c r="P462">
        <v>0.98802639999999997</v>
      </c>
      <c r="Q462">
        <v>0.14466209999999999</v>
      </c>
      <c r="R462">
        <v>-5.3636389999999999E-2</v>
      </c>
      <c r="S462">
        <v>3.068756</v>
      </c>
      <c r="T462">
        <v>-0.32864510000000002</v>
      </c>
      <c r="U462">
        <v>-0.27935789999999999</v>
      </c>
      <c r="V462">
        <v>2.0946739999999998E-2</v>
      </c>
      <c r="W462">
        <v>0.15775429999999999</v>
      </c>
      <c r="X462">
        <v>0.98725620000000003</v>
      </c>
      <c r="Y462">
        <v>5.7500780000000001E-2</v>
      </c>
      <c r="Z462">
        <v>4.6233059999999999E-4</v>
      </c>
      <c r="AA462">
        <v>0.99834540000000005</v>
      </c>
      <c r="AB462">
        <v>31</v>
      </c>
      <c r="AC462">
        <v>0.45040000000000102</v>
      </c>
      <c r="AD462">
        <v>-8.1003000000000103E-2</v>
      </c>
      <c r="AE462">
        <v>-5.8699999999987498E-2</v>
      </c>
      <c r="AF462">
        <v>4.2408273819225101E-2</v>
      </c>
      <c r="AG462">
        <v>-8.1003000000000103E-2</v>
      </c>
      <c r="AH462">
        <v>0.43816086265627602</v>
      </c>
      <c r="AI462">
        <v>100.426395331454</v>
      </c>
      <c r="AJ462">
        <v>84.4717331082432</v>
      </c>
      <c r="AK462">
        <v>0.44759902732358398</v>
      </c>
      <c r="AL462">
        <v>80.9234282275238</v>
      </c>
      <c r="AM462">
        <v>88.784530545750798</v>
      </c>
      <c r="AN462">
        <v>0.99999999476177803</v>
      </c>
    </row>
    <row r="463" spans="1:40" x14ac:dyDescent="0.25">
      <c r="A463" t="str">
        <f>"20190312172619870"</f>
        <v>20190312172619870</v>
      </c>
      <c r="B463" t="str">
        <f>"1552382779859483"</f>
        <v>1552382779859483</v>
      </c>
      <c r="C463" t="s">
        <v>40</v>
      </c>
      <c r="D463">
        <v>3.3953350000000002</v>
      </c>
      <c r="E463">
        <v>0.51331939999999998</v>
      </c>
      <c r="F463" t="s">
        <v>44</v>
      </c>
      <c r="G463">
        <v>-362.7749</v>
      </c>
      <c r="H463">
        <v>1.0335920000000001</v>
      </c>
      <c r="I463">
        <v>366.17450000000002</v>
      </c>
      <c r="J463">
        <v>-363.1979</v>
      </c>
      <c r="K463">
        <v>1.1098349999999999</v>
      </c>
      <c r="L463">
        <v>366.2296</v>
      </c>
      <c r="M463">
        <v>0.99935929999999995</v>
      </c>
      <c r="N463">
        <v>0</v>
      </c>
      <c r="O463">
        <v>-3.3236389999999998E-2</v>
      </c>
      <c r="P463">
        <v>0.98790990000000001</v>
      </c>
      <c r="Q463">
        <v>0.14562829999999999</v>
      </c>
      <c r="R463">
        <v>-5.3164089999999997E-2</v>
      </c>
      <c r="S463">
        <v>3.0685419999999999</v>
      </c>
      <c r="T463">
        <v>-0.3218087</v>
      </c>
      <c r="U463">
        <v>-0.27575680000000002</v>
      </c>
      <c r="V463">
        <v>2.0346599999999999E-2</v>
      </c>
      <c r="W463">
        <v>0.158744</v>
      </c>
      <c r="X463">
        <v>0.98711009999999999</v>
      </c>
      <c r="Y463">
        <v>5.6224669999999997E-2</v>
      </c>
      <c r="Z463">
        <v>5.3337540000000002E-4</v>
      </c>
      <c r="AA463">
        <v>0.99841800000000003</v>
      </c>
      <c r="AB463">
        <v>31</v>
      </c>
      <c r="AC463">
        <v>0.42300000000000099</v>
      </c>
      <c r="AD463">
        <v>-7.6243000000000005E-2</v>
      </c>
      <c r="AE463">
        <v>-5.5099999999981698E-2</v>
      </c>
      <c r="AF463">
        <v>3.9739805343422203E-2</v>
      </c>
      <c r="AG463">
        <v>-7.6243000000000005E-2</v>
      </c>
      <c r="AH463">
        <v>0.41145358329916698</v>
      </c>
      <c r="AI463">
        <v>100.450373696079</v>
      </c>
      <c r="AJ463">
        <v>84.483260024226695</v>
      </c>
      <c r="AK463">
        <v>0.42034069323283202</v>
      </c>
      <c r="AL463">
        <v>80.865998945120396</v>
      </c>
      <c r="AM463">
        <v>88.819169968956203</v>
      </c>
      <c r="AN463">
        <v>0.99999999559478403</v>
      </c>
    </row>
    <row r="464" spans="1:40" x14ac:dyDescent="0.25">
      <c r="A464" t="str">
        <f>"20190312172619891"</f>
        <v>20190312172619891</v>
      </c>
      <c r="B464" t="str">
        <f>"1552382779888765"</f>
        <v>1552382779888765</v>
      </c>
      <c r="C464" t="s">
        <v>40</v>
      </c>
      <c r="D464">
        <v>3.3682850000000002</v>
      </c>
      <c r="E464">
        <v>0.51290979999999997</v>
      </c>
      <c r="F464" t="s">
        <v>44</v>
      </c>
      <c r="G464">
        <v>-362.23849999999999</v>
      </c>
      <c r="H464">
        <v>1.0115229999999999</v>
      </c>
      <c r="I464">
        <v>366.14429999999999</v>
      </c>
      <c r="J464">
        <v>-362.90199999999999</v>
      </c>
      <c r="K464">
        <v>1.109842</v>
      </c>
      <c r="L464">
        <v>366.21960000000001</v>
      </c>
      <c r="M464">
        <v>0.99935479999999999</v>
      </c>
      <c r="N464">
        <v>0</v>
      </c>
      <c r="O464">
        <v>-3.3366590000000002E-2</v>
      </c>
      <c r="P464">
        <v>0.98761529999999997</v>
      </c>
      <c r="Q464">
        <v>0.14774699999999999</v>
      </c>
      <c r="R464">
        <v>-5.2795210000000002E-2</v>
      </c>
      <c r="S464">
        <v>3.068451</v>
      </c>
      <c r="T464">
        <v>-0.31457089999999999</v>
      </c>
      <c r="U464">
        <v>-0.27209470000000002</v>
      </c>
      <c r="V464">
        <v>1.985957E-2</v>
      </c>
      <c r="W464">
        <v>0.16088060000000001</v>
      </c>
      <c r="X464">
        <v>0.98677400000000004</v>
      </c>
      <c r="Y464">
        <v>5.492797E-2</v>
      </c>
      <c r="Z464">
        <v>6.0093980000000004E-4</v>
      </c>
      <c r="AA464">
        <v>0.99849019999999999</v>
      </c>
      <c r="AB464">
        <v>31</v>
      </c>
      <c r="AC464">
        <v>0.66349999999999898</v>
      </c>
      <c r="AD464">
        <v>-9.8319000000000004E-2</v>
      </c>
      <c r="AE464">
        <v>-7.5300000000026998E-2</v>
      </c>
      <c r="AF464">
        <v>5.1990289033201402E-2</v>
      </c>
      <c r="AG464">
        <v>-9.8319000000000004E-2</v>
      </c>
      <c r="AH464">
        <v>0.65151906233034795</v>
      </c>
      <c r="AI464">
        <v>98.554810646956795</v>
      </c>
      <c r="AJ464">
        <v>85.437546660124298</v>
      </c>
      <c r="AK464">
        <v>0.66094379828739702</v>
      </c>
      <c r="AL464">
        <v>80.741986441719504</v>
      </c>
      <c r="AM464">
        <v>88.847034932561797</v>
      </c>
      <c r="AN464">
        <v>0.99999994852647101</v>
      </c>
    </row>
    <row r="465" spans="1:40" x14ac:dyDescent="0.25">
      <c r="A465" t="str">
        <f>"20190312172619926"</f>
        <v>20190312172619926</v>
      </c>
      <c r="B465" t="str">
        <f>"1552382779919019"</f>
        <v>1552382779919019</v>
      </c>
      <c r="C465" t="s">
        <v>40</v>
      </c>
      <c r="D465">
        <v>3.3839000000000001</v>
      </c>
      <c r="E465">
        <v>0.51250240000000002</v>
      </c>
      <c r="F465" t="s">
        <v>44</v>
      </c>
      <c r="G465">
        <v>-361.9622</v>
      </c>
      <c r="H465">
        <v>1.016921</v>
      </c>
      <c r="I465">
        <v>366.13729999999998</v>
      </c>
      <c r="J465">
        <v>-362.41910000000001</v>
      </c>
      <c r="K465">
        <v>1.1098429999999999</v>
      </c>
      <c r="L465">
        <v>366.20330000000001</v>
      </c>
      <c r="M465">
        <v>0.99934730000000005</v>
      </c>
      <c r="N465">
        <v>0</v>
      </c>
      <c r="O465">
        <v>-3.357802E-2</v>
      </c>
      <c r="P465">
        <v>0.98782579999999998</v>
      </c>
      <c r="Q465">
        <v>0.14679310000000001</v>
      </c>
      <c r="R465">
        <v>-5.1501859999999997E-2</v>
      </c>
      <c r="S465">
        <v>3.0687259999999998</v>
      </c>
      <c r="T465">
        <v>-0.303568</v>
      </c>
      <c r="U465">
        <v>-0.26788329999999999</v>
      </c>
      <c r="V465">
        <v>1.8350109999999999E-2</v>
      </c>
      <c r="W465">
        <v>0.15995999999999999</v>
      </c>
      <c r="X465">
        <v>0.98695290000000002</v>
      </c>
      <c r="Y465">
        <v>5.3365290000000003E-2</v>
      </c>
      <c r="Z465">
        <v>6.7778999999999995E-4</v>
      </c>
      <c r="AA465">
        <v>0.99857490000000004</v>
      </c>
      <c r="AB465">
        <v>31</v>
      </c>
      <c r="AC465">
        <v>0.45690000000001801</v>
      </c>
      <c r="AD465">
        <v>-9.2922000000000102E-2</v>
      </c>
      <c r="AE465">
        <v>-6.6000000000030895E-2</v>
      </c>
      <c r="AF465">
        <v>4.8648574233308699E-2</v>
      </c>
      <c r="AG465">
        <v>-9.2922000000000102E-2</v>
      </c>
      <c r="AH465">
        <v>0.44099147039519399</v>
      </c>
      <c r="AI465">
        <v>101.829099872361</v>
      </c>
      <c r="AJ465">
        <v>83.704792682582493</v>
      </c>
      <c r="AK465">
        <v>0.45329312681778999</v>
      </c>
      <c r="AL465">
        <v>80.795425304071202</v>
      </c>
      <c r="AM465">
        <v>88.934840019812199</v>
      </c>
      <c r="AN465">
        <v>0.99999997747770997</v>
      </c>
    </row>
    <row r="466" spans="1:40" x14ac:dyDescent="0.25">
      <c r="A466" t="str">
        <f>"20190312172619950"</f>
        <v>20190312172619950</v>
      </c>
      <c r="B466" t="str">
        <f>"1552382779938539"</f>
        <v>1552382779938539</v>
      </c>
      <c r="C466" t="s">
        <v>40</v>
      </c>
      <c r="D466">
        <v>3.3775210000000002</v>
      </c>
      <c r="E466">
        <v>0.48947360000000001</v>
      </c>
      <c r="F466" t="s">
        <v>44</v>
      </c>
      <c r="G466">
        <v>-361.67869999999999</v>
      </c>
      <c r="H466">
        <v>1.036476</v>
      </c>
      <c r="I466">
        <v>366.1404</v>
      </c>
      <c r="J466">
        <v>-362.11320000000001</v>
      </c>
      <c r="K466">
        <v>1.109847</v>
      </c>
      <c r="L466">
        <v>366.19279999999998</v>
      </c>
      <c r="M466">
        <v>0.99934270000000003</v>
      </c>
      <c r="N466">
        <v>0</v>
      </c>
      <c r="O466">
        <v>-3.370911E-2</v>
      </c>
      <c r="P466">
        <v>0.98790789999999995</v>
      </c>
      <c r="Q466">
        <v>0.1464674</v>
      </c>
      <c r="R466">
        <v>-5.0849949999999998E-2</v>
      </c>
      <c r="S466">
        <v>3.0685730000000002</v>
      </c>
      <c r="T466">
        <v>-0.30406919999999998</v>
      </c>
      <c r="U466">
        <v>-0.26095580000000002</v>
      </c>
      <c r="V466">
        <v>1.7565819999999999E-2</v>
      </c>
      <c r="W466">
        <v>0.15965119999999999</v>
      </c>
      <c r="X466">
        <v>0.98701719999999904</v>
      </c>
      <c r="Y466">
        <v>5.1012429999999997E-2</v>
      </c>
      <c r="Z466">
        <v>8.0803639999999996E-4</v>
      </c>
      <c r="AA466">
        <v>0.99869770000000002</v>
      </c>
      <c r="AB466">
        <v>31</v>
      </c>
      <c r="AC466">
        <v>0.43450000000001399</v>
      </c>
      <c r="AD466">
        <v>-7.3371000000000006E-2</v>
      </c>
      <c r="AE466">
        <v>-5.2399999999977298E-2</v>
      </c>
      <c r="AF466">
        <v>3.6691066368408E-2</v>
      </c>
      <c r="AG466">
        <v>-7.3371000000000006E-2</v>
      </c>
      <c r="AH466">
        <v>0.42409980566849798</v>
      </c>
      <c r="AI466">
        <v>99.779427378379907</v>
      </c>
      <c r="AJ466">
        <v>85.055358098469895</v>
      </c>
      <c r="AK466">
        <v>0.43196085836602</v>
      </c>
      <c r="AL466">
        <v>80.813348868680805</v>
      </c>
      <c r="AM466">
        <v>88.980421908599595</v>
      </c>
      <c r="AN466">
        <v>1.00000000839477</v>
      </c>
    </row>
    <row r="467" spans="1:40" x14ac:dyDescent="0.25">
      <c r="A467" t="str">
        <f>"20190312172619970"</f>
        <v>20190312172619970</v>
      </c>
      <c r="B467" t="str">
        <f>"1552382779959039"</f>
        <v>1552382779959039</v>
      </c>
      <c r="C467" t="s">
        <v>40</v>
      </c>
      <c r="D467">
        <v>3.3303319999999998</v>
      </c>
      <c r="E467">
        <v>0.48884420000000001</v>
      </c>
      <c r="F467" t="s">
        <v>41</v>
      </c>
      <c r="G467">
        <v>-342.50819999999999</v>
      </c>
      <c r="H467" s="1">
        <v>-4.2132840000000004E-6</v>
      </c>
      <c r="I467">
        <v>365.71870000000001</v>
      </c>
      <c r="J467">
        <v>-361.82459999999998</v>
      </c>
      <c r="K467">
        <v>1.10985</v>
      </c>
      <c r="L467">
        <v>366.18299999999999</v>
      </c>
      <c r="M467">
        <v>0.99933859999999997</v>
      </c>
      <c r="N467">
        <v>0</v>
      </c>
      <c r="O467">
        <v>-3.3824640000000003E-2</v>
      </c>
      <c r="P467">
        <v>0.987815</v>
      </c>
      <c r="Q467">
        <v>0.14710129999999999</v>
      </c>
      <c r="R467">
        <v>-5.0821680000000001E-2</v>
      </c>
      <c r="S467">
        <v>3.0585939999999998</v>
      </c>
      <c r="T467">
        <v>-0.1731492</v>
      </c>
      <c r="U467">
        <v>-7.3974609999999996E-2</v>
      </c>
      <c r="V467">
        <v>1.7424820000000001E-2</v>
      </c>
      <c r="W467">
        <v>0.16029740000000001</v>
      </c>
      <c r="X467">
        <v>0.98691490000000004</v>
      </c>
      <c r="Y467">
        <v>-9.5834149999999996E-3</v>
      </c>
      <c r="Z467">
        <v>2.1837340000000001E-3</v>
      </c>
      <c r="AA467">
        <v>0.9999517</v>
      </c>
      <c r="AB467">
        <v>31</v>
      </c>
      <c r="AC467">
        <v>19.316399999999899</v>
      </c>
      <c r="AD467">
        <v>-1.1098542132839999</v>
      </c>
      <c r="AE467">
        <v>-0.46430000000003702</v>
      </c>
      <c r="AF467">
        <v>-0.188771421865331</v>
      </c>
      <c r="AG467">
        <v>-1.1098542132839999</v>
      </c>
      <c r="AH467">
        <v>19.257513723930899</v>
      </c>
      <c r="AI467">
        <v>93.298279006774607</v>
      </c>
      <c r="AJ467">
        <v>90.561622830195901</v>
      </c>
      <c r="AK467">
        <v>19.290392578997501</v>
      </c>
      <c r="AL467">
        <v>80.775840741732495</v>
      </c>
      <c r="AM467">
        <v>88.988499490660104</v>
      </c>
      <c r="AN467">
        <v>0.99999995032040001</v>
      </c>
    </row>
    <row r="468" spans="1:40" x14ac:dyDescent="0.25">
      <c r="A468" t="str">
        <f>"20190312172619993"</f>
        <v>20190312172619993</v>
      </c>
      <c r="B468" t="str">
        <f>"1552382779988987"</f>
        <v>1552382779988987</v>
      </c>
      <c r="C468" t="s">
        <v>40</v>
      </c>
      <c r="D468">
        <v>3.303166</v>
      </c>
      <c r="E468">
        <v>0.48826809999999998</v>
      </c>
      <c r="F468" t="s">
        <v>41</v>
      </c>
      <c r="G468">
        <v>-341.82979999999998</v>
      </c>
      <c r="H468" s="1">
        <v>-4.5308629999999997E-6</v>
      </c>
      <c r="I468">
        <v>365.73630000000003</v>
      </c>
      <c r="J468">
        <v>-361.50650000000002</v>
      </c>
      <c r="K468">
        <v>1.1098539999999999</v>
      </c>
      <c r="L468">
        <v>366.1721</v>
      </c>
      <c r="M468">
        <v>0.99933430000000001</v>
      </c>
      <c r="N468">
        <v>0</v>
      </c>
      <c r="O468">
        <v>-3.3942140000000003E-2</v>
      </c>
      <c r="P468">
        <v>0.98779340000000004</v>
      </c>
      <c r="Q468">
        <v>0.14713699999999999</v>
      </c>
      <c r="R468">
        <v>-5.1138580000000003E-2</v>
      </c>
      <c r="S468">
        <v>3.058716</v>
      </c>
      <c r="T468">
        <v>-0.1697805</v>
      </c>
      <c r="U468">
        <v>-6.8328860000000005E-2</v>
      </c>
      <c r="V468">
        <v>1.7622889999999999E-2</v>
      </c>
      <c r="W468">
        <v>0.16034689999999999</v>
      </c>
      <c r="X468">
        <v>0.98690339999999999</v>
      </c>
      <c r="Y468">
        <v>-1.154612E-2</v>
      </c>
      <c r="Z468">
        <v>2.2022249999999999E-3</v>
      </c>
      <c r="AA468">
        <v>0.99993089999999996</v>
      </c>
      <c r="AB468">
        <v>31</v>
      </c>
      <c r="AC468">
        <v>19.6767</v>
      </c>
      <c r="AD468">
        <v>-1.109858530863</v>
      </c>
      <c r="AE468">
        <v>-0.43579999999997199</v>
      </c>
      <c r="AF468">
        <v>-0.23164359342858901</v>
      </c>
      <c r="AG468">
        <v>-1.109858530863</v>
      </c>
      <c r="AH468">
        <v>19.617770393622699</v>
      </c>
      <c r="AI468">
        <v>93.237782733037093</v>
      </c>
      <c r="AJ468">
        <v>90.676508248062504</v>
      </c>
      <c r="AK468">
        <v>19.6505053352275</v>
      </c>
      <c r="AL468">
        <v>80.772967968164906</v>
      </c>
      <c r="AM468">
        <v>88.976992155812297</v>
      </c>
      <c r="AN468">
        <v>1.0000000077615601</v>
      </c>
    </row>
    <row r="469" spans="1:40" x14ac:dyDescent="0.25">
      <c r="A469" t="str">
        <f>"20190312172620015"</f>
        <v>20190312172620015</v>
      </c>
      <c r="B469" t="str">
        <f>"1552382780009473"</f>
        <v>1552382780009473</v>
      </c>
      <c r="C469" t="s">
        <v>40</v>
      </c>
      <c r="D469">
        <v>3.3023940000000001</v>
      </c>
      <c r="E469">
        <v>0.48812369999999999</v>
      </c>
      <c r="F469" t="s">
        <v>41</v>
      </c>
      <c r="G469">
        <v>-340.77409999999998</v>
      </c>
      <c r="H469" s="1">
        <v>-5.0298760000000001E-6</v>
      </c>
      <c r="I469">
        <v>365.73630000000003</v>
      </c>
      <c r="J469">
        <v>-361.22329999999999</v>
      </c>
      <c r="K469">
        <v>1.1098650000000001</v>
      </c>
      <c r="L469">
        <v>366.16230000000002</v>
      </c>
      <c r="M469">
        <v>0.99933110000000003</v>
      </c>
      <c r="N469">
        <v>0</v>
      </c>
      <c r="O469">
        <v>-3.4032649999999998E-2</v>
      </c>
      <c r="P469">
        <v>0.98797449999999998</v>
      </c>
      <c r="Q469">
        <v>0.14574870000000001</v>
      </c>
      <c r="R469">
        <v>-5.1612940000000003E-2</v>
      </c>
      <c r="S469">
        <v>3.0581360000000002</v>
      </c>
      <c r="T469">
        <v>-0.16370979999999999</v>
      </c>
      <c r="U469">
        <v>-6.4270019999999997E-2</v>
      </c>
      <c r="V469">
        <v>1.7996669999999999E-2</v>
      </c>
      <c r="W469">
        <v>0.15897749999999999</v>
      </c>
      <c r="X469">
        <v>0.98711819999999895</v>
      </c>
      <c r="Y469">
        <v>-1.296169E-2</v>
      </c>
      <c r="Z469">
        <v>2.1667359999999998E-3</v>
      </c>
      <c r="AA469">
        <v>0.99991359999999996</v>
      </c>
      <c r="AB469">
        <v>31</v>
      </c>
      <c r="AC469">
        <v>20.449200000000001</v>
      </c>
      <c r="AD469">
        <v>-1.10987002987599</v>
      </c>
      <c r="AE469">
        <v>-0.425999999999987</v>
      </c>
      <c r="AF469">
        <v>-0.26945622541667202</v>
      </c>
      <c r="AG469">
        <v>-1.10987002987599</v>
      </c>
      <c r="AH469">
        <v>20.391808783220501</v>
      </c>
      <c r="AI469">
        <v>93.115106347851295</v>
      </c>
      <c r="AJ469">
        <v>90.757059178158499</v>
      </c>
      <c r="AK469">
        <v>20.423767615013201</v>
      </c>
      <c r="AL469">
        <v>80.852448647849599</v>
      </c>
      <c r="AM469">
        <v>88.955526285039397</v>
      </c>
      <c r="AN469">
        <v>1.00000003320428</v>
      </c>
    </row>
    <row r="470" spans="1:40" x14ac:dyDescent="0.25">
      <c r="A470" t="str">
        <f>"20190312172620037"</f>
        <v>20190312172620037</v>
      </c>
      <c r="B470" t="str">
        <f>"1552382780028997"</f>
        <v>1552382780028997</v>
      </c>
      <c r="C470" t="s">
        <v>40</v>
      </c>
      <c r="D470">
        <v>3.2910550000000001</v>
      </c>
      <c r="E470">
        <v>0.48794959999999998</v>
      </c>
      <c r="F470" t="s">
        <v>41</v>
      </c>
      <c r="G470">
        <v>-340.92360000000002</v>
      </c>
      <c r="H470" s="1">
        <v>-4.9603499999999999E-6</v>
      </c>
      <c r="I470">
        <v>365.72980000000001</v>
      </c>
      <c r="J470">
        <v>-360.90609999999998</v>
      </c>
      <c r="K470">
        <v>1.109882</v>
      </c>
      <c r="L470">
        <v>366.15140000000002</v>
      </c>
      <c r="M470">
        <v>0.99932829999999995</v>
      </c>
      <c r="N470">
        <v>0</v>
      </c>
      <c r="O470">
        <v>-3.4109260000000002E-2</v>
      </c>
      <c r="P470">
        <v>0.98811349999999998</v>
      </c>
      <c r="Q470">
        <v>0.14484620000000001</v>
      </c>
      <c r="R470">
        <v>-5.149542E-2</v>
      </c>
      <c r="S470">
        <v>3.057709</v>
      </c>
      <c r="T470">
        <v>-0.16717850000000001</v>
      </c>
      <c r="U470">
        <v>-6.5155030000000003E-2</v>
      </c>
      <c r="V470">
        <v>1.779184E-2</v>
      </c>
      <c r="W470">
        <v>0.1580966</v>
      </c>
      <c r="X470">
        <v>0.98726329999999995</v>
      </c>
      <c r="Y470">
        <v>-1.274345E-2</v>
      </c>
      <c r="Z470">
        <v>2.2111000000000001E-3</v>
      </c>
      <c r="AA470">
        <v>0.99991640000000004</v>
      </c>
      <c r="AB470">
        <v>30</v>
      </c>
      <c r="AC470">
        <v>19.982499999999899</v>
      </c>
      <c r="AD470">
        <v>-1.1098869603499999</v>
      </c>
      <c r="AE470">
        <v>-0.42160000000001202</v>
      </c>
      <c r="AF470">
        <v>-0.259494650369756</v>
      </c>
      <c r="AG470">
        <v>-1.1098869603499999</v>
      </c>
      <c r="AH470">
        <v>19.923814049867701</v>
      </c>
      <c r="AI470">
        <v>93.188184978399207</v>
      </c>
      <c r="AJ470">
        <v>90.746197872535703</v>
      </c>
      <c r="AK470">
        <v>19.956391277784501</v>
      </c>
      <c r="AL470">
        <v>80.903566265871405</v>
      </c>
      <c r="AM470">
        <v>88.967563154880295</v>
      </c>
      <c r="AN470">
        <v>0.99999995401451602</v>
      </c>
    </row>
    <row r="471" spans="1:40" x14ac:dyDescent="0.25">
      <c r="A471" t="str">
        <f>"20190312172620059"</f>
        <v>20190312172620059</v>
      </c>
      <c r="B471" t="str">
        <f>"1552382780049489"</f>
        <v>1552382780049489</v>
      </c>
      <c r="C471" t="s">
        <v>40</v>
      </c>
      <c r="D471">
        <v>3.2819780000000001</v>
      </c>
      <c r="E471">
        <v>0.48782589999999998</v>
      </c>
      <c r="F471" t="s">
        <v>41</v>
      </c>
      <c r="G471">
        <v>-340.86900000000003</v>
      </c>
      <c r="H471" s="1">
        <v>-4.9856159999999998E-6</v>
      </c>
      <c r="I471">
        <v>365.733</v>
      </c>
      <c r="J471">
        <v>-360.60829999999999</v>
      </c>
      <c r="K471">
        <v>1.1099049999999999</v>
      </c>
      <c r="L471">
        <v>366.14120000000003</v>
      </c>
      <c r="M471">
        <v>0.99932639999999995</v>
      </c>
      <c r="N471">
        <v>0</v>
      </c>
      <c r="O471">
        <v>-3.4155890000000001E-2</v>
      </c>
      <c r="P471">
        <v>0.98808059999999998</v>
      </c>
      <c r="Q471">
        <v>0.14530190000000001</v>
      </c>
      <c r="R471">
        <v>-5.0839040000000002E-2</v>
      </c>
      <c r="S471">
        <v>3.0575869999999998</v>
      </c>
      <c r="T471">
        <v>-0.169364299999999</v>
      </c>
      <c r="U471">
        <v>-6.3842769999999993E-2</v>
      </c>
      <c r="V471">
        <v>1.708308E-2</v>
      </c>
      <c r="W471">
        <v>0.15856889999999901</v>
      </c>
      <c r="X471">
        <v>0.98720010000000002</v>
      </c>
      <c r="Y471">
        <v>-1.3215579999999999E-2</v>
      </c>
      <c r="Z471">
        <v>2.2557129999999999E-3</v>
      </c>
      <c r="AA471">
        <v>0.99991010000000002</v>
      </c>
      <c r="AB471">
        <v>30</v>
      </c>
      <c r="AC471">
        <v>19.739299999999901</v>
      </c>
      <c r="AD471">
        <v>-1.109909985616</v>
      </c>
      <c r="AE471">
        <v>-0.40820000000002199</v>
      </c>
      <c r="AF471">
        <v>-0.265473336780153</v>
      </c>
      <c r="AG471">
        <v>-1.109909985616</v>
      </c>
      <c r="AH471">
        <v>19.679531136035099</v>
      </c>
      <c r="AI471">
        <v>93.227723847044999</v>
      </c>
      <c r="AJ471">
        <v>90.772862885878496</v>
      </c>
      <c r="AK471">
        <v>19.712592980196401</v>
      </c>
      <c r="AL471">
        <v>80.876160019394703</v>
      </c>
      <c r="AM471">
        <v>89.008619727886298</v>
      </c>
      <c r="AN471">
        <v>0.99999998255475298</v>
      </c>
    </row>
    <row r="472" spans="1:40" x14ac:dyDescent="0.25">
      <c r="A472" t="str">
        <f>"20190312172620082"</f>
        <v>20190312172620082</v>
      </c>
      <c r="B472" t="str">
        <f>"1552382780078770"</f>
        <v>1552382780078770</v>
      </c>
      <c r="C472" t="s">
        <v>40</v>
      </c>
      <c r="D472">
        <v>3.2604660000000001</v>
      </c>
      <c r="E472">
        <v>0.48779489999999998</v>
      </c>
      <c r="F472" t="s">
        <v>41</v>
      </c>
      <c r="G472">
        <v>-340.20850000000002</v>
      </c>
      <c r="H472" s="1">
        <v>-5.2981839999999999E-6</v>
      </c>
      <c r="I472">
        <v>365.73110000000003</v>
      </c>
      <c r="J472">
        <v>-360.30180000000001</v>
      </c>
      <c r="K472">
        <v>1.1099239999999999</v>
      </c>
      <c r="L472">
        <v>366.13069999999999</v>
      </c>
      <c r="M472">
        <v>0.99932520000000002</v>
      </c>
      <c r="N472">
        <v>0</v>
      </c>
      <c r="O472">
        <v>-3.4183099999999897E-2</v>
      </c>
      <c r="P472">
        <v>0.98785529999999999</v>
      </c>
      <c r="Q472">
        <v>0.14668519999999999</v>
      </c>
      <c r="R472">
        <v>-5.1238859999999997E-2</v>
      </c>
      <c r="S472">
        <v>3.0574949999999999</v>
      </c>
      <c r="T472">
        <v>-0.16635129999999901</v>
      </c>
      <c r="U472">
        <v>-6.14624E-2</v>
      </c>
      <c r="V472">
        <v>1.745673E-2</v>
      </c>
      <c r="W472">
        <v>0.15996469999999999</v>
      </c>
      <c r="X472">
        <v>0.98696839999999997</v>
      </c>
      <c r="Y472">
        <v>-1.402164E-2</v>
      </c>
      <c r="Z472">
        <v>2.2391220000000001E-3</v>
      </c>
      <c r="AA472">
        <v>0.99989919999999999</v>
      </c>
      <c r="AB472">
        <v>30</v>
      </c>
      <c r="AC472">
        <v>20.093299999999999</v>
      </c>
      <c r="AD472">
        <v>-1.1099292981840001</v>
      </c>
      <c r="AE472">
        <v>-0.39959999999996398</v>
      </c>
      <c r="AF472">
        <v>-0.28667252417441302</v>
      </c>
      <c r="AG472">
        <v>-1.1099292981840001</v>
      </c>
      <c r="AH472">
        <v>20.0341095349353</v>
      </c>
      <c r="AI472">
        <v>93.170733850590906</v>
      </c>
      <c r="AJ472">
        <v>90.819802088571393</v>
      </c>
      <c r="AK472">
        <v>20.066879902986202</v>
      </c>
      <c r="AL472">
        <v>80.795153013162306</v>
      </c>
      <c r="AM472">
        <v>88.986702438648805</v>
      </c>
      <c r="AN472">
        <v>1.0000000326334699</v>
      </c>
    </row>
    <row r="473" spans="1:40" x14ac:dyDescent="0.25">
      <c r="A473" t="str">
        <f>"20190312172620104"</f>
        <v>20190312172620104</v>
      </c>
      <c r="B473" t="str">
        <f>"1552382780099095"</f>
        <v>1552382780099095</v>
      </c>
      <c r="C473" t="s">
        <v>40</v>
      </c>
      <c r="D473">
        <v>3.2947769999999998</v>
      </c>
      <c r="E473">
        <v>0.48776059999999999</v>
      </c>
      <c r="F473" t="s">
        <v>41</v>
      </c>
      <c r="G473">
        <v>-339.19779999999997</v>
      </c>
      <c r="H473" s="1">
        <v>-1.301488E-6</v>
      </c>
      <c r="I473">
        <v>365.6986</v>
      </c>
      <c r="J473">
        <v>-359.99930000000001</v>
      </c>
      <c r="K473">
        <v>1.109942</v>
      </c>
      <c r="L473">
        <v>366.12040000000002</v>
      </c>
      <c r="M473">
        <v>0.99932469999999995</v>
      </c>
      <c r="N473">
        <v>0</v>
      </c>
      <c r="O473">
        <v>-3.4193319999999999E-2</v>
      </c>
      <c r="P473">
        <v>0.98777380000000004</v>
      </c>
      <c r="Q473">
        <v>0.14716009999999999</v>
      </c>
      <c r="R473">
        <v>-5.1446310000000002E-2</v>
      </c>
      <c r="S473">
        <v>3.0575260000000002</v>
      </c>
      <c r="T473">
        <v>-0.1608039</v>
      </c>
      <c r="U473">
        <v>-6.2591549999999996E-2</v>
      </c>
      <c r="V473">
        <v>1.7651010000000002E-2</v>
      </c>
      <c r="W473">
        <v>0.16045229999999999</v>
      </c>
      <c r="X473">
        <v>0.98688580000000004</v>
      </c>
      <c r="Y473">
        <v>-1.3668110000000001E-2</v>
      </c>
      <c r="Z473">
        <v>2.1557730000000002E-3</v>
      </c>
      <c r="AA473">
        <v>0.99990429999999997</v>
      </c>
      <c r="AB473">
        <v>30</v>
      </c>
      <c r="AC473">
        <v>20.801500000000001</v>
      </c>
      <c r="AD473">
        <v>-1.109943301488</v>
      </c>
      <c r="AE473">
        <v>-0.42180000000001799</v>
      </c>
      <c r="AF473">
        <v>-0.28896102751625702</v>
      </c>
      <c r="AG473">
        <v>-1.109943301488</v>
      </c>
      <c r="AH473">
        <v>20.744718593996101</v>
      </c>
      <c r="AI473">
        <v>93.062385893411502</v>
      </c>
      <c r="AJ473">
        <v>90.798042961179704</v>
      </c>
      <c r="AK473">
        <v>20.776400606265501</v>
      </c>
      <c r="AL473">
        <v>80.766850080464906</v>
      </c>
      <c r="AM473">
        <v>88.975341869611199</v>
      </c>
      <c r="AN473">
        <v>1.0000000404854701</v>
      </c>
    </row>
    <row r="474" spans="1:40" x14ac:dyDescent="0.25">
      <c r="A474" t="str">
        <f>"20190312172620129"</f>
        <v>20190312172620129</v>
      </c>
      <c r="B474" t="str">
        <f>"1552382780118615"</f>
        <v>1552382780118615</v>
      </c>
      <c r="C474" t="s">
        <v>40</v>
      </c>
      <c r="D474">
        <v>3.221533</v>
      </c>
      <c r="E474">
        <v>0.48773539999999999</v>
      </c>
      <c r="F474" t="s">
        <v>41</v>
      </c>
      <c r="G474">
        <v>-338.66219999999998</v>
      </c>
      <c r="H474" s="1">
        <v>-1.4890780000000001E-6</v>
      </c>
      <c r="I474">
        <v>365.67860000000002</v>
      </c>
      <c r="J474">
        <v>-359.67770000000002</v>
      </c>
      <c r="K474">
        <v>1.109958</v>
      </c>
      <c r="L474">
        <v>366.10939999999999</v>
      </c>
      <c r="M474">
        <v>0.99932469999999995</v>
      </c>
      <c r="N474">
        <v>0</v>
      </c>
      <c r="O474">
        <v>-3.4186889999999998E-2</v>
      </c>
      <c r="P474">
        <v>0.98790529999999999</v>
      </c>
      <c r="Q474">
        <v>0.14638219999999999</v>
      </c>
      <c r="R474">
        <v>-5.1141689999999997E-2</v>
      </c>
      <c r="S474">
        <v>3.0574949999999999</v>
      </c>
      <c r="T474">
        <v>-0.15904839999999901</v>
      </c>
      <c r="U474">
        <v>-6.3293459999999996E-2</v>
      </c>
      <c r="V474">
        <v>1.7343999999999998E-2</v>
      </c>
      <c r="W474">
        <v>0.15968879999999999</v>
      </c>
      <c r="X474">
        <v>0.98701499999999998</v>
      </c>
      <c r="Y474">
        <v>-1.3433789999999999E-2</v>
      </c>
      <c r="Z474">
        <v>2.1258620000000001E-3</v>
      </c>
      <c r="AA474">
        <v>0.99990749999999995</v>
      </c>
      <c r="AB474">
        <v>30</v>
      </c>
      <c r="AC474">
        <v>21.015499999999999</v>
      </c>
      <c r="AD474">
        <v>-1.109959489078</v>
      </c>
      <c r="AE474">
        <v>-0.43079999999997598</v>
      </c>
      <c r="AF474">
        <v>-0.287170884062868</v>
      </c>
      <c r="AG474">
        <v>-1.109959489078</v>
      </c>
      <c r="AH474">
        <v>20.959499264094699</v>
      </c>
      <c r="AI474">
        <v>93.031116833498103</v>
      </c>
      <c r="AJ474">
        <v>90.784973437716701</v>
      </c>
      <c r="AK474">
        <v>20.990833394261301</v>
      </c>
      <c r="AL474">
        <v>80.811166181327295</v>
      </c>
      <c r="AM474">
        <v>88.993292162487606</v>
      </c>
      <c r="AN474">
        <v>0.99999996870321906</v>
      </c>
    </row>
    <row r="475" spans="1:40" x14ac:dyDescent="0.25">
      <c r="A475" t="str">
        <f>"20190312172620150"</f>
        <v>20190312172620150</v>
      </c>
      <c r="B475" t="str">
        <f>"1552382780139111"</f>
        <v>1552382780139111</v>
      </c>
      <c r="C475" t="s">
        <v>40</v>
      </c>
      <c r="D475">
        <v>3.2234090000000002</v>
      </c>
      <c r="E475">
        <v>0.48777219999999999</v>
      </c>
      <c r="F475" t="s">
        <v>41</v>
      </c>
      <c r="G475">
        <v>-338.72710000000001</v>
      </c>
      <c r="H475" s="1">
        <v>-1.4661009999999899E-6</v>
      </c>
      <c r="I475">
        <v>365.68189999999998</v>
      </c>
      <c r="J475">
        <v>-359.37630000000001</v>
      </c>
      <c r="K475">
        <v>1.1099760000000001</v>
      </c>
      <c r="L475">
        <v>366.09910000000002</v>
      </c>
      <c r="M475">
        <v>0.99932540000000003</v>
      </c>
      <c r="N475">
        <v>0</v>
      </c>
      <c r="O475">
        <v>-3.4159580000000002E-2</v>
      </c>
      <c r="P475">
        <v>0.98794979999999999</v>
      </c>
      <c r="Q475">
        <v>0.14614469999999999</v>
      </c>
      <c r="R475">
        <v>-5.0958410000000003E-2</v>
      </c>
      <c r="S475">
        <v>3.0575260000000002</v>
      </c>
      <c r="T475">
        <v>-0.1619872</v>
      </c>
      <c r="U475">
        <v>-6.2377929999999998E-2</v>
      </c>
      <c r="V475">
        <v>1.7181510000000001E-2</v>
      </c>
      <c r="W475">
        <v>0.15946289999999999</v>
      </c>
      <c r="X475">
        <v>0.9870544</v>
      </c>
      <c r="Y475">
        <v>-1.370322E-2</v>
      </c>
      <c r="Z475">
        <v>2.1707609999999998E-3</v>
      </c>
      <c r="AA475">
        <v>0.99990369999999995</v>
      </c>
      <c r="AB475">
        <v>30</v>
      </c>
      <c r="AC475">
        <v>20.6492</v>
      </c>
      <c r="AD475">
        <v>-1.109977466101</v>
      </c>
      <c r="AE475">
        <v>-0.41720000000003599</v>
      </c>
      <c r="AF475">
        <v>-0.28764486679766199</v>
      </c>
      <c r="AG475">
        <v>-1.109977466101</v>
      </c>
      <c r="AH475">
        <v>20.591923456587001</v>
      </c>
      <c r="AI475">
        <v>93.085158601635897</v>
      </c>
      <c r="AJ475">
        <v>90.800302364622198</v>
      </c>
      <c r="AK475">
        <v>20.623823631581601</v>
      </c>
      <c r="AL475">
        <v>80.824277641457797</v>
      </c>
      <c r="AM475">
        <v>89.002761549924202</v>
      </c>
      <c r="AN475">
        <v>1.00000000466082</v>
      </c>
    </row>
    <row r="476" spans="1:40" x14ac:dyDescent="0.25">
      <c r="A476" t="str">
        <f>"20190312172620172"</f>
        <v>20190312172620172</v>
      </c>
      <c r="B476" t="str">
        <f>"1552382780169367"</f>
        <v>1552382780169367</v>
      </c>
      <c r="C476" t="s">
        <v>40</v>
      </c>
      <c r="D476">
        <v>3.2581519999999999</v>
      </c>
      <c r="E476">
        <v>0.48777480000000001</v>
      </c>
      <c r="F476" t="s">
        <v>41</v>
      </c>
      <c r="G476">
        <v>-338.59269999999998</v>
      </c>
      <c r="H476" s="1">
        <v>-1.5129749999999999E-6</v>
      </c>
      <c r="I476">
        <v>365.67770000000002</v>
      </c>
      <c r="J476">
        <v>-359.09089999999998</v>
      </c>
      <c r="K476">
        <v>1.1099969999999999</v>
      </c>
      <c r="L476">
        <v>366.08929999999998</v>
      </c>
      <c r="M476">
        <v>0.99932670000000001</v>
      </c>
      <c r="N476">
        <v>0</v>
      </c>
      <c r="O476">
        <v>-3.412188E-2</v>
      </c>
      <c r="P476">
        <v>0.98799930000000002</v>
      </c>
      <c r="Q476">
        <v>0.14605389999999999</v>
      </c>
      <c r="R476">
        <v>-5.0258490000000003E-2</v>
      </c>
      <c r="S476">
        <v>3.0575559999999999</v>
      </c>
      <c r="T476">
        <v>-0.16329289999999999</v>
      </c>
      <c r="U476">
        <v>-6.19812E-2</v>
      </c>
      <c r="V476">
        <v>1.6512590000000001E-2</v>
      </c>
      <c r="W476">
        <v>0.15938139999999901</v>
      </c>
      <c r="X476">
        <v>0.98707900000000004</v>
      </c>
      <c r="Y476">
        <v>-1.3794219999999999E-2</v>
      </c>
      <c r="Z476">
        <v>2.1886330000000002E-3</v>
      </c>
      <c r="AA476">
        <v>0.99990250000000003</v>
      </c>
      <c r="AB476">
        <v>30</v>
      </c>
      <c r="AC476">
        <v>20.498200000000001</v>
      </c>
      <c r="AD476">
        <v>-1.1099985129750001</v>
      </c>
      <c r="AE476">
        <v>-0.41159999999996399</v>
      </c>
      <c r="AF476">
        <v>-0.28729833543504102</v>
      </c>
      <c r="AG476">
        <v>-1.1099985129750001</v>
      </c>
      <c r="AH476">
        <v>20.440393251276301</v>
      </c>
      <c r="AI476">
        <v>93.108040102061295</v>
      </c>
      <c r="AJ476">
        <v>90.805263285560699</v>
      </c>
      <c r="AK476">
        <v>20.4725258163025</v>
      </c>
      <c r="AL476">
        <v>80.8290079244521</v>
      </c>
      <c r="AM476">
        <v>89.041603078508999</v>
      </c>
      <c r="AN476">
        <v>1.00000002426773</v>
      </c>
    </row>
    <row r="477" spans="1:40" x14ac:dyDescent="0.25">
      <c r="A477" t="str">
        <f>"20190312172620193"</f>
        <v>20190312172620193</v>
      </c>
      <c r="B477" t="str">
        <f>"1552382780189492"</f>
        <v>1552382780189492</v>
      </c>
      <c r="C477" t="s">
        <v>40</v>
      </c>
      <c r="D477">
        <v>3.2833540000000001</v>
      </c>
      <c r="E477">
        <v>0.48777350000000003</v>
      </c>
      <c r="F477" t="s">
        <v>41</v>
      </c>
      <c r="G477">
        <v>-338.41019999999997</v>
      </c>
      <c r="H477" s="1">
        <v>-1.573881E-6</v>
      </c>
      <c r="I477">
        <v>365.68209999999999</v>
      </c>
      <c r="J477">
        <v>-358.79919999999998</v>
      </c>
      <c r="K477">
        <v>1.110007</v>
      </c>
      <c r="L477">
        <v>366.07929999999999</v>
      </c>
      <c r="M477">
        <v>0.99932860000000001</v>
      </c>
      <c r="N477">
        <v>0</v>
      </c>
      <c r="O477">
        <v>-3.406899E-2</v>
      </c>
      <c r="P477">
        <v>0.98799899999999996</v>
      </c>
      <c r="Q477">
        <v>0.1462241</v>
      </c>
      <c r="R477">
        <v>-4.9765869999999997E-2</v>
      </c>
      <c r="S477">
        <v>3.0576479999999999</v>
      </c>
      <c r="T477">
        <v>-0.16411300000000001</v>
      </c>
      <c r="U477">
        <v>-6.0180659999999997E-2</v>
      </c>
      <c r="V477">
        <v>1.606687E-2</v>
      </c>
      <c r="W477">
        <v>0.1595589</v>
      </c>
      <c r="X477">
        <v>0.98705759999999998</v>
      </c>
      <c r="Y477">
        <v>-1.4329100000000001E-2</v>
      </c>
      <c r="Z477">
        <v>2.211069E-3</v>
      </c>
      <c r="AA477">
        <v>0.99989490000000003</v>
      </c>
      <c r="AB477">
        <v>30</v>
      </c>
      <c r="AC477">
        <v>20.388999999999999</v>
      </c>
      <c r="AD477">
        <v>-1.1100085738809999</v>
      </c>
      <c r="AE477">
        <v>-0.397199999999998</v>
      </c>
      <c r="AF477">
        <v>-0.29684687474075999</v>
      </c>
      <c r="AG477">
        <v>-1.1100085738809999</v>
      </c>
      <c r="AH477">
        <v>20.330460914851798</v>
      </c>
      <c r="AI477">
        <v>93.124816793441695</v>
      </c>
      <c r="AJ477">
        <v>90.836521348408496</v>
      </c>
      <c r="AK477">
        <v>20.362904461580399</v>
      </c>
      <c r="AL477">
        <v>80.818705366625494</v>
      </c>
      <c r="AM477">
        <v>89.067447988623499</v>
      </c>
      <c r="AN477">
        <v>0.99999994629928202</v>
      </c>
    </row>
    <row r="478" spans="1:40" x14ac:dyDescent="0.25">
      <c r="A478" t="str">
        <f>"20190312172620215"</f>
        <v>20190312172620215</v>
      </c>
      <c r="B478" t="str">
        <f>"1552382780208974"</f>
        <v>1552382780208974</v>
      </c>
      <c r="C478" t="s">
        <v>40</v>
      </c>
      <c r="D478">
        <v>3.2281360000000001</v>
      </c>
      <c r="E478">
        <v>0.48782510000000001</v>
      </c>
      <c r="F478" t="s">
        <v>41</v>
      </c>
      <c r="G478">
        <v>-338.04860000000002</v>
      </c>
      <c r="H478" s="1">
        <v>-1.697435E-6</v>
      </c>
      <c r="I478">
        <v>365.68040000000002</v>
      </c>
      <c r="J478">
        <v>-358.49630000000002</v>
      </c>
      <c r="K478">
        <v>1.110025</v>
      </c>
      <c r="L478">
        <v>366.06909999999999</v>
      </c>
      <c r="M478">
        <v>0.99933090000000002</v>
      </c>
      <c r="N478">
        <v>0</v>
      </c>
      <c r="O478">
        <v>-3.3991739999999999E-2</v>
      </c>
      <c r="P478">
        <v>0.98820379999999997</v>
      </c>
      <c r="Q478">
        <v>0.1451605</v>
      </c>
      <c r="R478">
        <v>-4.880371E-2</v>
      </c>
      <c r="S478">
        <v>3.0576479999999999</v>
      </c>
      <c r="T478">
        <v>-0.1635615</v>
      </c>
      <c r="U478">
        <v>-5.877686E-2</v>
      </c>
      <c r="V478">
        <v>1.516792E-2</v>
      </c>
      <c r="W478">
        <v>0.1585049</v>
      </c>
      <c r="X478">
        <v>0.9872417</v>
      </c>
      <c r="Y478">
        <v>-1.471074E-2</v>
      </c>
      <c r="Z478">
        <v>2.209735E-3</v>
      </c>
      <c r="AA478">
        <v>0.99988940000000004</v>
      </c>
      <c r="AB478">
        <v>30</v>
      </c>
      <c r="AC478">
        <v>20.447700000000001</v>
      </c>
      <c r="AD478">
        <v>-1.1100266974349999</v>
      </c>
      <c r="AE478">
        <v>-0.38869999999997101</v>
      </c>
      <c r="AF478">
        <v>-0.305740248456431</v>
      </c>
      <c r="AG478">
        <v>-1.1100266974349999</v>
      </c>
      <c r="AH478">
        <v>20.389030733605701</v>
      </c>
      <c r="AI478">
        <v>93.115890748269607</v>
      </c>
      <c r="AJ478">
        <v>90.859104744398195</v>
      </c>
      <c r="AK478">
        <v>20.421513426395801</v>
      </c>
      <c r="AL478">
        <v>80.879874278618999</v>
      </c>
      <c r="AM478">
        <v>89.119780465977101</v>
      </c>
      <c r="AN478">
        <v>1.00000002167001</v>
      </c>
    </row>
    <row r="479" spans="1:40" x14ac:dyDescent="0.25">
      <c r="A479" t="str">
        <f>"20190312172620239"</f>
        <v>20190312172620239</v>
      </c>
      <c r="B479" t="str">
        <f>"1552382780229470"</f>
        <v>1552382780229470</v>
      </c>
      <c r="C479" t="s">
        <v>40</v>
      </c>
      <c r="D479">
        <v>3.2663180000000001</v>
      </c>
      <c r="E479">
        <v>0.48787750000000002</v>
      </c>
      <c r="F479" t="s">
        <v>41</v>
      </c>
      <c r="G479">
        <v>-338.17329999999998</v>
      </c>
      <c r="H479" s="1">
        <v>-1.6507200000000001E-6</v>
      </c>
      <c r="I479">
        <v>365.69639999999998</v>
      </c>
      <c r="J479">
        <v>-358.1782</v>
      </c>
      <c r="K479">
        <v>1.110044</v>
      </c>
      <c r="L479">
        <v>366.05840000000001</v>
      </c>
      <c r="M479">
        <v>0.99933459999999996</v>
      </c>
      <c r="N479">
        <v>0</v>
      </c>
      <c r="O479">
        <v>-3.3879350000000003E-2</v>
      </c>
      <c r="P479">
        <v>0.98835430000000002</v>
      </c>
      <c r="Q479">
        <v>0.1443806</v>
      </c>
      <c r="R479">
        <v>-4.8061779999999998E-2</v>
      </c>
      <c r="S479">
        <v>3.0575869999999998</v>
      </c>
      <c r="T479">
        <v>-0.16700229999999999</v>
      </c>
      <c r="U479">
        <v>-5.6060789999999999E-2</v>
      </c>
      <c r="V479">
        <v>1.4523889999999999E-2</v>
      </c>
      <c r="W479">
        <v>0.1577327</v>
      </c>
      <c r="X479">
        <v>0.987375</v>
      </c>
      <c r="Y479">
        <v>-1.548185E-2</v>
      </c>
      <c r="Z479">
        <v>2.2711340000000002E-3</v>
      </c>
      <c r="AA479">
        <v>0.99987760000000003</v>
      </c>
      <c r="AB479">
        <v>30</v>
      </c>
      <c r="AC479">
        <v>20.004899999999999</v>
      </c>
      <c r="AD479">
        <v>-1.1100456507200001</v>
      </c>
      <c r="AE479">
        <v>-0.36200000000002303</v>
      </c>
      <c r="AF479">
        <v>-0.315053000503631</v>
      </c>
      <c r="AG479">
        <v>-1.1100456507200001</v>
      </c>
      <c r="AH479">
        <v>19.944290874951101</v>
      </c>
      <c r="AI479">
        <v>93.1852458805444</v>
      </c>
      <c r="AJ479">
        <v>90.905006155662406</v>
      </c>
      <c r="AK479">
        <v>19.9776424596214</v>
      </c>
      <c r="AL479">
        <v>80.924681274505502</v>
      </c>
      <c r="AM479">
        <v>89.157262855260797</v>
      </c>
      <c r="AN479">
        <v>0.99999996932751001</v>
      </c>
    </row>
    <row r="480" spans="1:40" x14ac:dyDescent="0.25">
      <c r="A480" t="str">
        <f>"20190312172620260"</f>
        <v>20190312172620260</v>
      </c>
      <c r="B480" t="str">
        <f>"1552382780248993"</f>
        <v>1552382780248993</v>
      </c>
      <c r="C480" t="s">
        <v>40</v>
      </c>
      <c r="D480">
        <v>3.3002060000000002</v>
      </c>
      <c r="E480">
        <v>0.48790299999999998</v>
      </c>
      <c r="F480" t="s">
        <v>41</v>
      </c>
      <c r="G480">
        <v>-338.21390000000002</v>
      </c>
      <c r="H480" s="1">
        <v>-1.634424E-6</v>
      </c>
      <c r="I480">
        <v>365.70569999999998</v>
      </c>
      <c r="J480">
        <v>-357.8888</v>
      </c>
      <c r="K480">
        <v>1.1100699999999999</v>
      </c>
      <c r="L480">
        <v>366.0487</v>
      </c>
      <c r="M480">
        <v>0.99933950000000005</v>
      </c>
      <c r="N480">
        <v>0</v>
      </c>
      <c r="O480">
        <v>-3.3741279999999998E-2</v>
      </c>
      <c r="P480">
        <v>0.9883788</v>
      </c>
      <c r="Q480">
        <v>0.14439370000000001</v>
      </c>
      <c r="R480">
        <v>-4.7520479999999997E-2</v>
      </c>
      <c r="S480">
        <v>3.0575559999999999</v>
      </c>
      <c r="T480">
        <v>-0.17000409999999999</v>
      </c>
      <c r="U480">
        <v>-5.4016109999999999E-2</v>
      </c>
      <c r="V480">
        <v>1.4108799999999999E-2</v>
      </c>
      <c r="W480">
        <v>0.157751</v>
      </c>
      <c r="X480">
        <v>0.98737810000000004</v>
      </c>
      <c r="Y480">
        <v>-1.6008680000000001E-2</v>
      </c>
      <c r="Z480">
        <v>2.3189040000000001E-3</v>
      </c>
      <c r="AA480">
        <v>0.99986920000000001</v>
      </c>
      <c r="AB480">
        <v>30</v>
      </c>
      <c r="AC480">
        <v>19.674899999999901</v>
      </c>
      <c r="AD480">
        <v>-1.110071634424</v>
      </c>
      <c r="AE480">
        <v>-0.34300000000001701</v>
      </c>
      <c r="AF480">
        <v>-0.32009345587531202</v>
      </c>
      <c r="AG480">
        <v>-1.110071634424</v>
      </c>
      <c r="AH480">
        <v>19.6128548600385</v>
      </c>
      <c r="AI480">
        <v>93.239007900938901</v>
      </c>
      <c r="AJ480">
        <v>90.9350181859581</v>
      </c>
      <c r="AK480">
        <v>19.6468520281236</v>
      </c>
      <c r="AL480">
        <v>80.923619513806102</v>
      </c>
      <c r="AM480">
        <v>89.181347365558395</v>
      </c>
      <c r="AN480">
        <v>0.99999997429902399</v>
      </c>
    </row>
    <row r="481" spans="1:40" x14ac:dyDescent="0.25">
      <c r="A481" t="str">
        <f>"20190312172620283"</f>
        <v>20190312172620283</v>
      </c>
      <c r="B481" t="str">
        <f>"1552382780279245"</f>
        <v>1552382780279245</v>
      </c>
      <c r="C481" t="s">
        <v>40</v>
      </c>
      <c r="D481">
        <v>3.2692459999999999</v>
      </c>
      <c r="E481">
        <v>0.48792029999999997</v>
      </c>
      <c r="F481" t="s">
        <v>41</v>
      </c>
      <c r="G481">
        <v>-337.98329999999999</v>
      </c>
      <c r="H481" s="1">
        <v>-1.711658E-6</v>
      </c>
      <c r="I481">
        <v>365.71030000000002</v>
      </c>
      <c r="J481">
        <v>-357.60199999999998</v>
      </c>
      <c r="K481">
        <v>1.110106</v>
      </c>
      <c r="L481">
        <v>366.03919999999999</v>
      </c>
      <c r="M481">
        <v>0.99934540000000005</v>
      </c>
      <c r="N481">
        <v>0</v>
      </c>
      <c r="O481">
        <v>-3.3562450000000001E-2</v>
      </c>
      <c r="P481">
        <v>0.98839589999999999</v>
      </c>
      <c r="Q481">
        <v>0.1442811</v>
      </c>
      <c r="R481">
        <v>-4.7504820000000003E-2</v>
      </c>
      <c r="S481">
        <v>3.0577390000000002</v>
      </c>
      <c r="T481">
        <v>-0.17052110000000001</v>
      </c>
      <c r="U481">
        <v>-5.1971440000000001E-2</v>
      </c>
      <c r="V481">
        <v>1.425734E-2</v>
      </c>
      <c r="W481">
        <v>0.15764320000000001</v>
      </c>
      <c r="X481">
        <v>0.98739319999999997</v>
      </c>
      <c r="Y481">
        <v>-1.6498269999999999E-2</v>
      </c>
      <c r="Z481">
        <v>2.3295049999999999E-3</v>
      </c>
      <c r="AA481">
        <v>0.99986120000000001</v>
      </c>
      <c r="AB481">
        <v>30</v>
      </c>
      <c r="AC481">
        <v>19.618699999999901</v>
      </c>
      <c r="AD481">
        <v>-1.110107711658</v>
      </c>
      <c r="AE481">
        <v>-0.32889999999997599</v>
      </c>
      <c r="AF481">
        <v>-0.32874473518435099</v>
      </c>
      <c r="AG481">
        <v>-1.110107711658</v>
      </c>
      <c r="AH481">
        <v>19.556088486646502</v>
      </c>
      <c r="AI481">
        <v>93.248468870090093</v>
      </c>
      <c r="AJ481">
        <v>90.963071522760799</v>
      </c>
      <c r="AK481">
        <v>19.590329479872</v>
      </c>
      <c r="AL481">
        <v>80.929874412522395</v>
      </c>
      <c r="AM481">
        <v>89.172742283555095</v>
      </c>
      <c r="AN481">
        <v>0.99999999082817703</v>
      </c>
    </row>
    <row r="482" spans="1:40" x14ac:dyDescent="0.25">
      <c r="A482" t="str">
        <f>"20190312172620306"</f>
        <v>20190312172620306</v>
      </c>
      <c r="B482" t="str">
        <f>"1552382780298767"</f>
        <v>1552382780298767</v>
      </c>
      <c r="C482" t="s">
        <v>40</v>
      </c>
      <c r="D482">
        <v>3.297844</v>
      </c>
      <c r="E482">
        <v>0.4879675</v>
      </c>
      <c r="F482" t="s">
        <v>41</v>
      </c>
      <c r="G482">
        <v>-337.83859999999999</v>
      </c>
      <c r="H482" s="1">
        <v>-1.761801E-6</v>
      </c>
      <c r="I482">
        <v>365.70699999999999</v>
      </c>
      <c r="J482">
        <v>-357.27100000000002</v>
      </c>
      <c r="K482">
        <v>1.1101479999999999</v>
      </c>
      <c r="L482">
        <v>366.02839999999998</v>
      </c>
      <c r="M482">
        <v>0.99935410000000002</v>
      </c>
      <c r="N482">
        <v>0</v>
      </c>
      <c r="O482">
        <v>-3.3295449999999997E-2</v>
      </c>
      <c r="P482">
        <v>0.98842790000000003</v>
      </c>
      <c r="Q482">
        <v>0.1440755</v>
      </c>
      <c r="R482">
        <v>-4.7458750000000001E-2</v>
      </c>
      <c r="S482">
        <v>3.0578310000000002</v>
      </c>
      <c r="T482">
        <v>-0.171757299999999</v>
      </c>
      <c r="U482">
        <v>-5.1391600000000003E-2</v>
      </c>
      <c r="V482">
        <v>1.4457269999999999E-2</v>
      </c>
      <c r="W482">
        <v>0.1574431</v>
      </c>
      <c r="X482">
        <v>0.98742220000000003</v>
      </c>
      <c r="Y482">
        <v>-1.64206E-2</v>
      </c>
      <c r="Z482">
        <v>2.3291449999999999E-3</v>
      </c>
      <c r="AA482">
        <v>0.99986240000000004</v>
      </c>
      <c r="AB482">
        <v>30</v>
      </c>
      <c r="AC482">
        <v>19.432399999999902</v>
      </c>
      <c r="AD482">
        <v>-1.1101497618009999</v>
      </c>
      <c r="AE482">
        <v>-0.32139999999998198</v>
      </c>
      <c r="AF482">
        <v>-0.32478815673485301</v>
      </c>
      <c r="AG482">
        <v>-1.1101497618009999</v>
      </c>
      <c r="AH482">
        <v>19.369128186065002</v>
      </c>
      <c r="AI482">
        <v>93.2798828272675</v>
      </c>
      <c r="AJ482">
        <v>90.960665167291296</v>
      </c>
      <c r="AK482">
        <v>19.403634879284802</v>
      </c>
      <c r="AL482">
        <v>80.941484106439802</v>
      </c>
      <c r="AM482">
        <v>89.161167967403799</v>
      </c>
      <c r="AN482">
        <v>0.99999997172315103</v>
      </c>
    </row>
    <row r="483" spans="1:40" x14ac:dyDescent="0.25">
      <c r="A483" t="str">
        <f>"20190312172620329"</f>
        <v>20190312172620329</v>
      </c>
      <c r="B483" t="str">
        <f>"1552382780319262"</f>
        <v>1552382780319262</v>
      </c>
      <c r="C483" t="s">
        <v>40</v>
      </c>
      <c r="D483">
        <v>3.3101780000000001</v>
      </c>
      <c r="E483">
        <v>0.48804629999999999</v>
      </c>
      <c r="F483" t="s">
        <v>41</v>
      </c>
      <c r="G483">
        <v>-337.62259999999998</v>
      </c>
      <c r="H483" s="1">
        <v>-1.8371219999999999E-6</v>
      </c>
      <c r="I483">
        <v>365.7002</v>
      </c>
      <c r="J483">
        <v>-356.97710000000001</v>
      </c>
      <c r="K483">
        <v>1.1102000000000001</v>
      </c>
      <c r="L483">
        <v>366.01889999999997</v>
      </c>
      <c r="M483">
        <v>0.99936429999999998</v>
      </c>
      <c r="N483">
        <v>0</v>
      </c>
      <c r="O483">
        <v>-3.298939E-2</v>
      </c>
      <c r="P483">
        <v>0.9884328</v>
      </c>
      <c r="Q483">
        <v>0.1441849</v>
      </c>
      <c r="R483">
        <v>-4.7024089999999998E-2</v>
      </c>
      <c r="S483">
        <v>3.0578609999999999</v>
      </c>
      <c r="T483">
        <v>-0.17277010000000001</v>
      </c>
      <c r="U483">
        <v>-5.1055910000000003E-2</v>
      </c>
      <c r="V483">
        <v>1.43065E-2</v>
      </c>
      <c r="W483">
        <v>0.1575561</v>
      </c>
      <c r="X483">
        <v>0.98740640000000002</v>
      </c>
      <c r="Y483">
        <v>-1.622417E-2</v>
      </c>
      <c r="Z483">
        <v>2.3200230000000001E-3</v>
      </c>
      <c r="AA483">
        <v>0.99986569999999997</v>
      </c>
      <c r="AB483">
        <v>30</v>
      </c>
      <c r="AC483">
        <v>19.354500000000002</v>
      </c>
      <c r="AD483">
        <v>-1.1102018371219999</v>
      </c>
      <c r="AE483">
        <v>-0.318699999999978</v>
      </c>
      <c r="AF483">
        <v>-0.31897572917445099</v>
      </c>
      <c r="AG483">
        <v>-1.1102018371219999</v>
      </c>
      <c r="AH483">
        <v>19.291021441182401</v>
      </c>
      <c r="AI483">
        <v>93.293300365868504</v>
      </c>
      <c r="AJ483">
        <v>90.947295497235402</v>
      </c>
      <c r="AK483">
        <v>19.325573778780999</v>
      </c>
      <c r="AL483">
        <v>80.934928110445298</v>
      </c>
      <c r="AM483">
        <v>89.169901352923901</v>
      </c>
      <c r="AN483">
        <v>0.99999999967521003</v>
      </c>
    </row>
    <row r="484" spans="1:40" x14ac:dyDescent="0.25">
      <c r="A484" t="str">
        <f>"20190312172620352"</f>
        <v>20190312172620352</v>
      </c>
      <c r="B484" t="str">
        <f>"1552382780349518"</f>
        <v>1552382780349518</v>
      </c>
      <c r="C484" t="s">
        <v>40</v>
      </c>
      <c r="D484">
        <v>3.3242500000000001</v>
      </c>
      <c r="E484">
        <v>0.48816330000000002</v>
      </c>
      <c r="F484" t="s">
        <v>41</v>
      </c>
      <c r="G484">
        <v>-337.32920000000001</v>
      </c>
      <c r="H484" s="1">
        <v>-1.9377960000000002E-6</v>
      </c>
      <c r="I484">
        <v>365.69709999999998</v>
      </c>
      <c r="J484">
        <v>-356.66559999999998</v>
      </c>
      <c r="K484">
        <v>1.1102639999999999</v>
      </c>
      <c r="L484">
        <v>366.00900000000001</v>
      </c>
      <c r="M484">
        <v>0.99937770000000004</v>
      </c>
      <c r="N484">
        <v>0</v>
      </c>
      <c r="O484">
        <v>-3.2578500000000003E-2</v>
      </c>
      <c r="P484">
        <v>0.98835249999999997</v>
      </c>
      <c r="Q484">
        <v>0.1446837</v>
      </c>
      <c r="R484">
        <v>-4.7182809999999999E-2</v>
      </c>
      <c r="S484">
        <v>3.0579529999999999</v>
      </c>
      <c r="T484">
        <v>-0.1727881</v>
      </c>
      <c r="U484">
        <v>-5.0079350000000002E-2</v>
      </c>
      <c r="V484">
        <v>1.485065E-2</v>
      </c>
      <c r="W484">
        <v>0.15805849999999999</v>
      </c>
      <c r="X484">
        <v>0.98731800000000003</v>
      </c>
      <c r="Y484">
        <v>-1.613359E-2</v>
      </c>
      <c r="Z484">
        <v>2.2944609999999998E-3</v>
      </c>
      <c r="AA484">
        <v>0.99986719999999896</v>
      </c>
      <c r="AB484">
        <v>30</v>
      </c>
      <c r="AC484">
        <v>19.336399999999902</v>
      </c>
      <c r="AD484">
        <v>-1.110265937796</v>
      </c>
      <c r="AE484">
        <v>-0.31190000000003598</v>
      </c>
      <c r="AF484">
        <v>-0.31722851151422199</v>
      </c>
      <c r="AG484">
        <v>-1.110265937796</v>
      </c>
      <c r="AH484">
        <v>19.272772693772001</v>
      </c>
      <c r="AI484">
        <v>93.296605785852094</v>
      </c>
      <c r="AJ484">
        <v>90.942999429771803</v>
      </c>
      <c r="AK484">
        <v>19.307332588603501</v>
      </c>
      <c r="AL484">
        <v>80.905776831506103</v>
      </c>
      <c r="AM484">
        <v>89.138255954035202</v>
      </c>
      <c r="AN484">
        <v>0.99999993217583405</v>
      </c>
    </row>
    <row r="485" spans="1:40" x14ac:dyDescent="0.25">
      <c r="A485" t="str">
        <f>"20190312172620373"</f>
        <v>20190312172620373</v>
      </c>
      <c r="B485" t="str">
        <f>"1552382780369038"</f>
        <v>1552382780369038</v>
      </c>
      <c r="C485" t="s">
        <v>40</v>
      </c>
      <c r="D485">
        <v>3.3616899999999998</v>
      </c>
      <c r="E485">
        <v>0.48822890000000002</v>
      </c>
      <c r="F485" t="s">
        <v>41</v>
      </c>
      <c r="G485">
        <v>-336.92259999999999</v>
      </c>
      <c r="H485" s="1">
        <v>-2.0812000000000001E-6</v>
      </c>
      <c r="I485">
        <v>365.6782</v>
      </c>
      <c r="J485">
        <v>-356.37939999999998</v>
      </c>
      <c r="K485">
        <v>1.11032</v>
      </c>
      <c r="L485">
        <v>366.00020000000001</v>
      </c>
      <c r="M485">
        <v>0.99939210000000001</v>
      </c>
      <c r="N485">
        <v>0</v>
      </c>
      <c r="O485">
        <v>-3.2138750000000001E-2</v>
      </c>
      <c r="P485">
        <v>0.98830969999999996</v>
      </c>
      <c r="Q485">
        <v>0.14499589999999901</v>
      </c>
      <c r="R485">
        <v>-4.7123140000000001E-2</v>
      </c>
      <c r="S485">
        <v>3.0580440000000002</v>
      </c>
      <c r="T485">
        <v>-0.1719706</v>
      </c>
      <c r="U485">
        <v>-5.1239010000000001E-2</v>
      </c>
      <c r="V485">
        <v>1.5206570000000001E-2</v>
      </c>
      <c r="W485">
        <v>0.1583735</v>
      </c>
      <c r="X485">
        <v>0.98726219999999998</v>
      </c>
      <c r="Y485">
        <v>-1.531775E-2</v>
      </c>
      <c r="Z485">
        <v>2.2359260000000001E-3</v>
      </c>
      <c r="AA485">
        <v>0.9998802</v>
      </c>
      <c r="AB485">
        <v>30</v>
      </c>
      <c r="AC485">
        <v>19.456799999999902</v>
      </c>
      <c r="AD485">
        <v>-1.1103220812000001</v>
      </c>
      <c r="AE485">
        <v>-0.32200000000000201</v>
      </c>
      <c r="AF485">
        <v>-0.30255566696908398</v>
      </c>
      <c r="AG485">
        <v>-1.1103220812000001</v>
      </c>
      <c r="AH485">
        <v>19.393957017755898</v>
      </c>
      <c r="AI485">
        <v>93.276262077847207</v>
      </c>
      <c r="AJ485">
        <v>90.893771016083093</v>
      </c>
      <c r="AK485">
        <v>19.428070513104998</v>
      </c>
      <c r="AL485">
        <v>80.887499318955904</v>
      </c>
      <c r="AM485">
        <v>89.117556217647206</v>
      </c>
      <c r="AN485">
        <v>1.0000000284111199</v>
      </c>
    </row>
    <row r="486" spans="1:40" x14ac:dyDescent="0.25">
      <c r="A486" t="str">
        <f>"20190312172620394"</f>
        <v>20190312172620394</v>
      </c>
      <c r="B486" t="str">
        <f>"1552382780389535"</f>
        <v>1552382780389535</v>
      </c>
      <c r="C486" t="s">
        <v>40</v>
      </c>
      <c r="D486">
        <v>3.3466909999999999</v>
      </c>
      <c r="E486">
        <v>0.48832599999999998</v>
      </c>
      <c r="F486" t="s">
        <v>41</v>
      </c>
      <c r="G486">
        <v>-336.57049999999998</v>
      </c>
      <c r="H486" s="1">
        <v>-2.203922E-6</v>
      </c>
      <c r="I486">
        <v>365.66719999999998</v>
      </c>
      <c r="J486">
        <v>-356.09649999999999</v>
      </c>
      <c r="K486">
        <v>1.1103749999999999</v>
      </c>
      <c r="L486">
        <v>365.99160000000001</v>
      </c>
      <c r="M486">
        <v>0.99940810000000002</v>
      </c>
      <c r="N486">
        <v>0</v>
      </c>
      <c r="O486">
        <v>-3.16356E-2</v>
      </c>
      <c r="P486">
        <v>0.98830309999999999</v>
      </c>
      <c r="Q486">
        <v>0.1450651</v>
      </c>
      <c r="R486">
        <v>-4.7047459999999999E-2</v>
      </c>
      <c r="S486">
        <v>3.0582579999999999</v>
      </c>
      <c r="T486">
        <v>-0.1714195</v>
      </c>
      <c r="U486">
        <v>-5.1391600000000003E-2</v>
      </c>
      <c r="V486">
        <v>1.5608220000000001E-2</v>
      </c>
      <c r="W486">
        <v>0.158446</v>
      </c>
      <c r="X486">
        <v>0.98724420000000002</v>
      </c>
      <c r="Y486">
        <v>-1.4767799999999999E-2</v>
      </c>
      <c r="Z486">
        <v>2.1850490000000001E-3</v>
      </c>
      <c r="AA486">
        <v>0.99988849999999996</v>
      </c>
      <c r="AB486">
        <v>30</v>
      </c>
      <c r="AC486">
        <v>19.526</v>
      </c>
      <c r="AD486">
        <v>-1.1103772039219999</v>
      </c>
      <c r="AE486">
        <v>-0.324400000000025</v>
      </c>
      <c r="AF486">
        <v>-0.29258962644408898</v>
      </c>
      <c r="AG486">
        <v>-1.1103772039219999</v>
      </c>
      <c r="AH486">
        <v>19.463564273258999</v>
      </c>
      <c r="AI486">
        <v>93.264760665403799</v>
      </c>
      <c r="AJ486">
        <v>90.861244521496999</v>
      </c>
      <c r="AK486">
        <v>19.4974070184673</v>
      </c>
      <c r="AL486">
        <v>80.883291358209306</v>
      </c>
      <c r="AM486">
        <v>89.094235617421404</v>
      </c>
      <c r="AN486">
        <v>0.99999993094060102</v>
      </c>
    </row>
    <row r="487" spans="1:40" x14ac:dyDescent="0.25">
      <c r="A487" t="str">
        <f>"20190312172620417"</f>
        <v>20190312172620417</v>
      </c>
      <c r="B487" t="str">
        <f>"1552382780409059"</f>
        <v>1552382780409059</v>
      </c>
      <c r="C487" t="s">
        <v>40</v>
      </c>
      <c r="D487">
        <v>3.359632</v>
      </c>
      <c r="E487">
        <v>0.48839450000000001</v>
      </c>
      <c r="F487" t="s">
        <v>41</v>
      </c>
      <c r="G487">
        <v>-336.34640000000002</v>
      </c>
      <c r="H487" s="1">
        <v>-2.2825760000000001E-6</v>
      </c>
      <c r="I487">
        <v>365.6583</v>
      </c>
      <c r="J487">
        <v>-355.78210000000001</v>
      </c>
      <c r="K487">
        <v>1.1104400000000001</v>
      </c>
      <c r="L487">
        <v>365.98230000000001</v>
      </c>
      <c r="M487">
        <v>0.99942839999999999</v>
      </c>
      <c r="N487">
        <v>0</v>
      </c>
      <c r="O487">
        <v>-3.0986650000000001E-2</v>
      </c>
      <c r="P487">
        <v>0.98844149999999997</v>
      </c>
      <c r="Q487">
        <v>0.14433319999999999</v>
      </c>
      <c r="R487">
        <v>-4.6384189999999999E-2</v>
      </c>
      <c r="S487">
        <v>3.0582889999999998</v>
      </c>
      <c r="T487">
        <v>-0.17194039999999999</v>
      </c>
      <c r="U487">
        <v>-5.160522E-2</v>
      </c>
      <c r="V487">
        <v>1.55598E-2</v>
      </c>
      <c r="W487">
        <v>0.15771859999999999</v>
      </c>
      <c r="X487">
        <v>0.9873615</v>
      </c>
      <c r="Y487">
        <v>-1.40506E-2</v>
      </c>
      <c r="Z487">
        <v>2.1350729999999999E-3</v>
      </c>
      <c r="AA487">
        <v>0.99989899999999998</v>
      </c>
      <c r="AB487">
        <v>30</v>
      </c>
      <c r="AC487">
        <v>19.435700000000001</v>
      </c>
      <c r="AD487">
        <v>-1.1104422825760001</v>
      </c>
      <c r="AE487">
        <v>-0.324000000000012</v>
      </c>
      <c r="AF487">
        <v>-0.27755210536334701</v>
      </c>
      <c r="AG487">
        <v>-1.1104422825760001</v>
      </c>
      <c r="AH487">
        <v>19.373183295869701</v>
      </c>
      <c r="AI487">
        <v>93.280184186523499</v>
      </c>
      <c r="AJ487">
        <v>90.820798322773001</v>
      </c>
      <c r="AK487">
        <v>19.406966487565398</v>
      </c>
      <c r="AL487">
        <v>80.925499647012003</v>
      </c>
      <c r="AM487">
        <v>89.097152278806604</v>
      </c>
      <c r="AN487">
        <v>0.99999999792212402</v>
      </c>
    </row>
    <row r="488" spans="1:40" x14ac:dyDescent="0.25">
      <c r="A488" t="str">
        <f>"20190312172620439"</f>
        <v>20190312172620439</v>
      </c>
      <c r="B488" t="str">
        <f>"1552382780429550"</f>
        <v>1552382780429550</v>
      </c>
      <c r="C488" t="s">
        <v>40</v>
      </c>
      <c r="D488">
        <v>3.3343799999999999</v>
      </c>
      <c r="E488">
        <v>0.48843959999999997</v>
      </c>
      <c r="F488" t="s">
        <v>41</v>
      </c>
      <c r="G488">
        <v>-336.37580000000003</v>
      </c>
      <c r="H488" s="1">
        <v>-2.2713449999999999E-6</v>
      </c>
      <c r="I488">
        <v>365.66289999999998</v>
      </c>
      <c r="J488">
        <v>-355.48309999999998</v>
      </c>
      <c r="K488">
        <v>1.1105050000000001</v>
      </c>
      <c r="L488">
        <v>365.97379999999998</v>
      </c>
      <c r="M488">
        <v>0.99944999999999995</v>
      </c>
      <c r="N488">
        <v>0</v>
      </c>
      <c r="O488">
        <v>-3.028202E-2</v>
      </c>
      <c r="P488">
        <v>0.98842249999999998</v>
      </c>
      <c r="Q488">
        <v>0.14473039999999901</v>
      </c>
      <c r="R488">
        <v>-4.5544800000000003E-2</v>
      </c>
      <c r="S488">
        <v>3.0582280000000002</v>
      </c>
      <c r="T488">
        <v>-0.17499289999999901</v>
      </c>
      <c r="U488">
        <v>-5.0323489999999999E-2</v>
      </c>
      <c r="V488">
        <v>1.5393570000000001E-2</v>
      </c>
      <c r="W488">
        <v>0.158117799999999</v>
      </c>
      <c r="X488">
        <v>0.98730030000000002</v>
      </c>
      <c r="Y488">
        <v>-1.3763340000000001E-2</v>
      </c>
      <c r="Z488">
        <v>2.1244910000000001E-3</v>
      </c>
      <c r="AA488">
        <v>0.99990299999999999</v>
      </c>
      <c r="AB488">
        <v>30</v>
      </c>
      <c r="AC488">
        <v>19.107299999999899</v>
      </c>
      <c r="AD488">
        <v>-1.1105072713449999</v>
      </c>
      <c r="AE488">
        <v>-0.31090000000000301</v>
      </c>
      <c r="AF488">
        <v>-0.267001449343516</v>
      </c>
      <c r="AG488">
        <v>-1.1105072713449999</v>
      </c>
      <c r="AH488">
        <v>19.043641124304798</v>
      </c>
      <c r="AI488">
        <v>93.337028504683801</v>
      </c>
      <c r="AJ488">
        <v>90.803263083296599</v>
      </c>
      <c r="AK488">
        <v>19.077861081499002</v>
      </c>
      <c r="AL488">
        <v>80.902336925406701</v>
      </c>
      <c r="AM488">
        <v>89.106740741861998</v>
      </c>
      <c r="AN488">
        <v>1.00000004152713</v>
      </c>
    </row>
    <row r="489" spans="1:40" x14ac:dyDescent="0.25">
      <c r="A489" t="str">
        <f>"20190312172620460"</f>
        <v>20190312172620460</v>
      </c>
      <c r="B489" t="str">
        <f>"1552382780449070"</f>
        <v>1552382780449070</v>
      </c>
      <c r="C489" t="s">
        <v>40</v>
      </c>
      <c r="D489">
        <v>3.3731909999999998</v>
      </c>
      <c r="E489">
        <v>0.48850510000000003</v>
      </c>
      <c r="F489" t="s">
        <v>41</v>
      </c>
      <c r="G489">
        <v>-336.02440000000001</v>
      </c>
      <c r="H489" s="1">
        <v>-2.3897219999999999E-6</v>
      </c>
      <c r="I489">
        <v>365.66730000000001</v>
      </c>
      <c r="J489">
        <v>-355.1968</v>
      </c>
      <c r="K489">
        <v>1.110576</v>
      </c>
      <c r="L489">
        <v>365.96589999999998</v>
      </c>
      <c r="M489">
        <v>0.99947260000000004</v>
      </c>
      <c r="N489">
        <v>0</v>
      </c>
      <c r="O489">
        <v>-2.9524100000000001E-2</v>
      </c>
      <c r="P489">
        <v>0.98849849999999995</v>
      </c>
      <c r="Q489">
        <v>0.14447860000000001</v>
      </c>
      <c r="R489">
        <v>-4.4684750000000002E-2</v>
      </c>
      <c r="S489">
        <v>3.0584720000000001</v>
      </c>
      <c r="T489">
        <v>-0.17454620000000001</v>
      </c>
      <c r="U489">
        <v>-4.8156740000000003E-2</v>
      </c>
      <c r="V489">
        <v>1.525665E-2</v>
      </c>
      <c r="W489">
        <v>0.157868799999999</v>
      </c>
      <c r="X489">
        <v>0.98734219999999895</v>
      </c>
      <c r="Y489">
        <v>-1.3716269999999999E-2</v>
      </c>
      <c r="Z489">
        <v>2.074382E-3</v>
      </c>
      <c r="AA489">
        <v>0.99990380000000001</v>
      </c>
      <c r="AB489">
        <v>30</v>
      </c>
      <c r="AC489">
        <v>19.1723999999999</v>
      </c>
      <c r="AD489">
        <v>-1.1105783897220001</v>
      </c>
      <c r="AE489">
        <v>-0.29859999999996401</v>
      </c>
      <c r="AF489">
        <v>-0.26673501751490603</v>
      </c>
      <c r="AG489">
        <v>-1.1105783897220001</v>
      </c>
      <c r="AH489">
        <v>19.1087551834393</v>
      </c>
      <c r="AI489">
        <v>93.325898344044106</v>
      </c>
      <c r="AJ489">
        <v>90.799727565493001</v>
      </c>
      <c r="AK489">
        <v>19.1428591540006</v>
      </c>
      <c r="AL489">
        <v>80.916784399437105</v>
      </c>
      <c r="AM489">
        <v>89.114722240145596</v>
      </c>
      <c r="AN489">
        <v>0.99999997164175003</v>
      </c>
    </row>
    <row r="490" spans="1:40" x14ac:dyDescent="0.25">
      <c r="A490" t="str">
        <f>"20190312172620484"</f>
        <v>20190312172620484</v>
      </c>
      <c r="B490" t="str">
        <f>"1552382780479326"</f>
        <v>1552382780479326</v>
      </c>
      <c r="C490" t="s">
        <v>40</v>
      </c>
      <c r="D490">
        <v>3.3867989999999999</v>
      </c>
      <c r="E490">
        <v>0.48862489999999997</v>
      </c>
      <c r="F490" t="s">
        <v>41</v>
      </c>
      <c r="G490">
        <v>-335.92290000000003</v>
      </c>
      <c r="H490" s="1">
        <v>-2.430596E-6</v>
      </c>
      <c r="I490">
        <v>365.67469999999997</v>
      </c>
      <c r="J490">
        <v>-354.89819999999997</v>
      </c>
      <c r="K490">
        <v>1.1106480000000001</v>
      </c>
      <c r="L490">
        <v>365.95800000000003</v>
      </c>
      <c r="M490">
        <v>0.99949809999999994</v>
      </c>
      <c r="N490">
        <v>0</v>
      </c>
      <c r="O490">
        <v>-2.8648340000000001E-2</v>
      </c>
      <c r="P490">
        <v>0.9885526</v>
      </c>
      <c r="Q490">
        <v>0.14443499999999901</v>
      </c>
      <c r="R490">
        <v>-4.3623019999999998E-2</v>
      </c>
      <c r="S490">
        <v>3.0585330000000002</v>
      </c>
      <c r="T490">
        <v>-0.176234</v>
      </c>
      <c r="U490">
        <v>-4.6203609999999999E-2</v>
      </c>
      <c r="V490">
        <v>1.5033080000000001E-2</v>
      </c>
      <c r="W490">
        <v>0.15782779999999999</v>
      </c>
      <c r="X490">
        <v>0.98735220000000001</v>
      </c>
      <c r="Y490">
        <v>-1.34793E-2</v>
      </c>
      <c r="Z490">
        <v>2.0371579999999999E-3</v>
      </c>
      <c r="AA490">
        <v>0.99990710000000005</v>
      </c>
      <c r="AB490">
        <v>30</v>
      </c>
      <c r="AC490">
        <v>18.975299999999901</v>
      </c>
      <c r="AD490">
        <v>-1.1106504305960001</v>
      </c>
      <c r="AE490">
        <v>-0.28330000000005301</v>
      </c>
      <c r="AF490">
        <v>-0.259587716549457</v>
      </c>
      <c r="AG490">
        <v>-1.1106504305960001</v>
      </c>
      <c r="AH490">
        <v>18.910854344931799</v>
      </c>
      <c r="AI490">
        <v>93.360852547190504</v>
      </c>
      <c r="AJ490">
        <v>90.786444981493503</v>
      </c>
      <c r="AK490">
        <v>18.9452195082768</v>
      </c>
      <c r="AL490">
        <v>80.919163494757797</v>
      </c>
      <c r="AM490">
        <v>89.127701859364393</v>
      </c>
      <c r="AN490">
        <v>0.99999998739598295</v>
      </c>
    </row>
    <row r="491" spans="1:40" x14ac:dyDescent="0.25">
      <c r="A491" t="str">
        <f>"20190312172620506"</f>
        <v>20190312172620506</v>
      </c>
      <c r="B491" t="str">
        <f>"1552382780498846"</f>
        <v>1552382780498846</v>
      </c>
      <c r="C491" t="s">
        <v>40</v>
      </c>
      <c r="D491">
        <v>3.3446839999999902</v>
      </c>
      <c r="E491">
        <v>0.48870059999999899</v>
      </c>
      <c r="F491" t="s">
        <v>41</v>
      </c>
      <c r="G491">
        <v>-335.74369999999999</v>
      </c>
      <c r="H491" s="1">
        <v>-2.505921E-6</v>
      </c>
      <c r="I491">
        <v>365.68329999999997</v>
      </c>
      <c r="J491">
        <v>-354.59620000000001</v>
      </c>
      <c r="K491">
        <v>1.1107149999999999</v>
      </c>
      <c r="L491">
        <v>365.95030000000003</v>
      </c>
      <c r="M491">
        <v>0.99952560000000001</v>
      </c>
      <c r="N491">
        <v>0</v>
      </c>
      <c r="O491">
        <v>-2.767437E-2</v>
      </c>
      <c r="P491">
        <v>0.98862810000000001</v>
      </c>
      <c r="Q491">
        <v>0.14423549999999999</v>
      </c>
      <c r="R491">
        <v>-4.2556389999999999E-2</v>
      </c>
      <c r="S491">
        <v>3.058716</v>
      </c>
      <c r="T491">
        <v>-0.1773556</v>
      </c>
      <c r="U491">
        <v>-4.3853759999999999E-2</v>
      </c>
      <c r="V491">
        <v>1.4902149999999999E-2</v>
      </c>
      <c r="W491">
        <v>0.15763189999999999</v>
      </c>
      <c r="X491">
        <v>0.98738550000000003</v>
      </c>
      <c r="Y491">
        <v>-1.3274960000000001E-2</v>
      </c>
      <c r="Z491">
        <v>1.98767E-3</v>
      </c>
      <c r="AA491">
        <v>0.99990990000000002</v>
      </c>
      <c r="AB491">
        <v>30</v>
      </c>
      <c r="AC491">
        <v>18.852499999999999</v>
      </c>
      <c r="AD491">
        <v>-1.1107175059209999</v>
      </c>
      <c r="AE491">
        <v>-0.26700000000005197</v>
      </c>
      <c r="AF491">
        <v>-0.253999524774777</v>
      </c>
      <c r="AG491">
        <v>-1.1107175059209999</v>
      </c>
      <c r="AH491">
        <v>18.7874673084746</v>
      </c>
      <c r="AI491">
        <v>93.383087270701495</v>
      </c>
      <c r="AJ491">
        <v>90.774570300134101</v>
      </c>
      <c r="AK491">
        <v>18.8219854692205</v>
      </c>
      <c r="AL491">
        <v>80.930530207418897</v>
      </c>
      <c r="AM491">
        <v>89.135327104023403</v>
      </c>
      <c r="AN491">
        <v>1.0000000077912401</v>
      </c>
    </row>
    <row r="492" spans="1:40" x14ac:dyDescent="0.25">
      <c r="A492" t="str">
        <f>"20190312172620530"</f>
        <v>20190312172620530</v>
      </c>
      <c r="B492" t="str">
        <f>"1552382780519342"</f>
        <v>1552382780519342</v>
      </c>
      <c r="C492" t="s">
        <v>40</v>
      </c>
      <c r="D492">
        <v>3.3431199999999999</v>
      </c>
      <c r="E492">
        <v>0.4887688</v>
      </c>
      <c r="F492" t="s">
        <v>41</v>
      </c>
      <c r="G492">
        <v>-335.5686</v>
      </c>
      <c r="H492" s="1">
        <v>-2.5787469999999998E-6</v>
      </c>
      <c r="I492">
        <v>365.69630000000001</v>
      </c>
      <c r="J492">
        <v>-354.29079999999999</v>
      </c>
      <c r="K492">
        <v>1.1107750000000001</v>
      </c>
      <c r="L492">
        <v>365.94310000000002</v>
      </c>
      <c r="M492">
        <v>0.99955479999999997</v>
      </c>
      <c r="N492">
        <v>0</v>
      </c>
      <c r="O492">
        <v>-2.659423E-2</v>
      </c>
      <c r="P492">
        <v>0.98866160000000003</v>
      </c>
      <c r="Q492">
        <v>0.14430899999999999</v>
      </c>
      <c r="R492">
        <v>-4.1509820000000003E-2</v>
      </c>
      <c r="S492">
        <v>3.0587770000000001</v>
      </c>
      <c r="T492">
        <v>-0.17855199999999999</v>
      </c>
      <c r="U492">
        <v>-4.0832519999999997E-2</v>
      </c>
      <c r="V492">
        <v>1.489769E-2</v>
      </c>
      <c r="W492">
        <v>0.15770719999999999</v>
      </c>
      <c r="X492">
        <v>0.98737350000000002</v>
      </c>
      <c r="Y492">
        <v>-1.3183220000000001E-2</v>
      </c>
      <c r="Z492">
        <v>1.935382E-3</v>
      </c>
      <c r="AA492">
        <v>0.9999112</v>
      </c>
      <c r="AB492">
        <v>30</v>
      </c>
      <c r="AC492">
        <v>18.722199999999901</v>
      </c>
      <c r="AD492">
        <v>-1.110777578747</v>
      </c>
      <c r="AE492">
        <v>-0.24680000000000701</v>
      </c>
      <c r="AF492">
        <v>-0.25035426151131801</v>
      </c>
      <c r="AG492">
        <v>-1.110777578747</v>
      </c>
      <c r="AH492">
        <v>18.656481934846902</v>
      </c>
      <c r="AI492">
        <v>93.406972272737903</v>
      </c>
      <c r="AJ492">
        <v>90.768814919313698</v>
      </c>
      <c r="AK492">
        <v>18.691196384152899</v>
      </c>
      <c r="AL492">
        <v>80.926160798439199</v>
      </c>
      <c r="AM492">
        <v>89.135575344936001</v>
      </c>
      <c r="AN492">
        <v>0.999999965300712</v>
      </c>
    </row>
    <row r="493" spans="1:40" x14ac:dyDescent="0.25">
      <c r="A493" t="str">
        <f>"20190312172620552"</f>
        <v>20190312172620552</v>
      </c>
      <c r="B493" t="str">
        <f>"1552382780549601"</f>
        <v>1552382780549601</v>
      </c>
      <c r="C493" t="s">
        <v>40</v>
      </c>
      <c r="D493">
        <v>3.3173089999999998</v>
      </c>
      <c r="E493">
        <v>0.48886869999999999</v>
      </c>
      <c r="F493" t="s">
        <v>41</v>
      </c>
      <c r="G493">
        <v>-335.3134</v>
      </c>
      <c r="H493" s="1">
        <v>-2.6855509999999999E-6</v>
      </c>
      <c r="I493">
        <v>365.71120000000002</v>
      </c>
      <c r="J493">
        <v>-353.98160000000001</v>
      </c>
      <c r="K493">
        <v>1.1108389999999999</v>
      </c>
      <c r="L493">
        <v>365.93610000000001</v>
      </c>
      <c r="M493">
        <v>0.99958579999999997</v>
      </c>
      <c r="N493">
        <v>0</v>
      </c>
      <c r="O493">
        <v>-2.540531E-2</v>
      </c>
      <c r="P493">
        <v>0.98864560000000001</v>
      </c>
      <c r="Q493">
        <v>0.14474219999999999</v>
      </c>
      <c r="R493">
        <v>-4.0371600000000001E-2</v>
      </c>
      <c r="S493">
        <v>3.058929</v>
      </c>
      <c r="T493">
        <v>-0.179043799999999</v>
      </c>
      <c r="U493">
        <v>-3.7353520000000001E-2</v>
      </c>
      <c r="V493">
        <v>1.4910079999999999E-2</v>
      </c>
      <c r="W493">
        <v>0.15814230000000001</v>
      </c>
      <c r="X493">
        <v>0.98730370000000001</v>
      </c>
      <c r="Y493">
        <v>-1.313334E-2</v>
      </c>
      <c r="Z493">
        <v>1.869657E-3</v>
      </c>
      <c r="AA493">
        <v>0.99991200000000002</v>
      </c>
      <c r="AB493">
        <v>30</v>
      </c>
      <c r="AC493">
        <v>18.668199999999999</v>
      </c>
      <c r="AD493">
        <v>-1.1108416855509999</v>
      </c>
      <c r="AE493">
        <v>-0.224899999999991</v>
      </c>
      <c r="AF493">
        <v>-0.24860722895602599</v>
      </c>
      <c r="AG493">
        <v>-1.1108416855509999</v>
      </c>
      <c r="AH493">
        <v>18.6020313771843</v>
      </c>
      <c r="AI493">
        <v>93.417120557132705</v>
      </c>
      <c r="AJ493">
        <v>90.765685033362402</v>
      </c>
      <c r="AK493">
        <v>18.636827685054001</v>
      </c>
      <c r="AL493">
        <v>80.900914422904194</v>
      </c>
      <c r="AM493">
        <v>89.134795381625807</v>
      </c>
      <c r="AN493">
        <v>0.99999994678429105</v>
      </c>
    </row>
    <row r="494" spans="1:40" x14ac:dyDescent="0.25">
      <c r="A494" t="str">
        <f>"20190312172620573"</f>
        <v>20190312172620573</v>
      </c>
      <c r="B494" t="str">
        <f>"1552382780569118"</f>
        <v>1552382780569118</v>
      </c>
      <c r="C494" t="s">
        <v>40</v>
      </c>
      <c r="D494">
        <v>3.3154149999999998</v>
      </c>
      <c r="E494">
        <v>0.48893740000000002</v>
      </c>
      <c r="F494" t="s">
        <v>41</v>
      </c>
      <c r="G494">
        <v>-334.95159999999998</v>
      </c>
      <c r="H494" s="1">
        <v>-2.838539E-6</v>
      </c>
      <c r="I494">
        <v>365.72390000000001</v>
      </c>
      <c r="J494">
        <v>-353.70639999999997</v>
      </c>
      <c r="K494">
        <v>1.110897</v>
      </c>
      <c r="L494">
        <v>365.93020000000001</v>
      </c>
      <c r="M494">
        <v>0.99961350000000004</v>
      </c>
      <c r="N494">
        <v>0</v>
      </c>
      <c r="O494">
        <v>-2.4286800000000001E-2</v>
      </c>
      <c r="P494">
        <v>0.98870340000000001</v>
      </c>
      <c r="Q494">
        <v>0.1445921</v>
      </c>
      <c r="R494">
        <v>-3.9479239999999999E-2</v>
      </c>
      <c r="S494">
        <v>3.0592039999999998</v>
      </c>
      <c r="T494">
        <v>-0.17857419999999999</v>
      </c>
      <c r="U494">
        <v>-3.4088130000000001E-2</v>
      </c>
      <c r="V494">
        <v>1.510359E-2</v>
      </c>
      <c r="W494">
        <v>0.15799449999999901</v>
      </c>
      <c r="X494">
        <v>0.98732450000000005</v>
      </c>
      <c r="Y494">
        <v>-1.3085080000000001E-2</v>
      </c>
      <c r="Z494">
        <v>1.797985E-3</v>
      </c>
      <c r="AA494">
        <v>0.99991280000000005</v>
      </c>
      <c r="AB494">
        <v>30</v>
      </c>
      <c r="AC494">
        <v>18.7547999999999</v>
      </c>
      <c r="AD494">
        <v>-1.1108998385390001</v>
      </c>
      <c r="AE494">
        <v>-0.20629999999999801</v>
      </c>
      <c r="AF494">
        <v>-0.24842512249805401</v>
      </c>
      <c r="AG494">
        <v>-1.1108998385390001</v>
      </c>
      <c r="AH494">
        <v>18.688715802191702</v>
      </c>
      <c r="AI494">
        <v>93.401489008519206</v>
      </c>
      <c r="AJ494">
        <v>90.761575751200496</v>
      </c>
      <c r="AK494">
        <v>18.723352045716702</v>
      </c>
      <c r="AL494">
        <v>80.9094912687044</v>
      </c>
      <c r="AM494">
        <v>89.1235865522209</v>
      </c>
      <c r="AN494">
        <v>1.0000000243806899</v>
      </c>
    </row>
    <row r="495" spans="1:40" x14ac:dyDescent="0.25">
      <c r="A495" t="str">
        <f>"20190312172620595"</f>
        <v>20190312172620595</v>
      </c>
      <c r="B495" t="str">
        <f>"1552382780588638"</f>
        <v>1552382780588638</v>
      </c>
      <c r="C495" t="s">
        <v>40</v>
      </c>
      <c r="D495">
        <v>3.2853159999999999</v>
      </c>
      <c r="E495">
        <v>0.48900339999999998</v>
      </c>
      <c r="F495" t="s">
        <v>41</v>
      </c>
      <c r="G495">
        <v>-334.78500000000003</v>
      </c>
      <c r="H495" s="1">
        <v>-2.9082E-6</v>
      </c>
      <c r="I495">
        <v>365.73410000000001</v>
      </c>
      <c r="J495">
        <v>-353.40699999999998</v>
      </c>
      <c r="K495">
        <v>1.1109500000000001</v>
      </c>
      <c r="L495">
        <v>365.92439999999999</v>
      </c>
      <c r="M495">
        <v>0.99964390000000003</v>
      </c>
      <c r="N495">
        <v>0</v>
      </c>
      <c r="O495">
        <v>-2.300319E-2</v>
      </c>
      <c r="P495">
        <v>0.98878540000000004</v>
      </c>
      <c r="Q495">
        <v>0.14439449999999901</v>
      </c>
      <c r="R495">
        <v>-3.8129669999999997E-2</v>
      </c>
      <c r="S495">
        <v>3.0592959999999998</v>
      </c>
      <c r="T495">
        <v>-0.17961489999999999</v>
      </c>
      <c r="U495">
        <v>-3.1707760000000001E-2</v>
      </c>
      <c r="V495">
        <v>1.500253E-2</v>
      </c>
      <c r="W495">
        <v>0.1577991</v>
      </c>
      <c r="X495">
        <v>0.98735729999999999</v>
      </c>
      <c r="Y495">
        <v>-1.2581699999999999E-2</v>
      </c>
      <c r="Z495">
        <v>1.718357E-3</v>
      </c>
      <c r="AA495">
        <v>0.99991940000000001</v>
      </c>
      <c r="AB495">
        <v>30</v>
      </c>
      <c r="AC495">
        <v>18.6219999999999</v>
      </c>
      <c r="AD495">
        <v>-1.1109529082</v>
      </c>
      <c r="AE495">
        <v>-0.19029999999997901</v>
      </c>
      <c r="AF495">
        <v>-0.23731043304132801</v>
      </c>
      <c r="AG495">
        <v>-1.1109529082</v>
      </c>
      <c r="AH495">
        <v>18.555416016621201</v>
      </c>
      <c r="AI495">
        <v>93.426052595376404</v>
      </c>
      <c r="AJ495">
        <v>90.732731887020094</v>
      </c>
      <c r="AK495">
        <v>18.590158583394398</v>
      </c>
      <c r="AL495">
        <v>80.920829185697102</v>
      </c>
      <c r="AM495">
        <v>89.129478753345794</v>
      </c>
      <c r="AN495">
        <v>1.00000003486524</v>
      </c>
    </row>
    <row r="496" spans="1:40" x14ac:dyDescent="0.25">
      <c r="A496" t="str">
        <f>"20190312172620617"</f>
        <v>20190312172620617</v>
      </c>
      <c r="B496" t="str">
        <f>"1552382780609134"</f>
        <v>1552382780609134</v>
      </c>
      <c r="C496" t="s">
        <v>40</v>
      </c>
      <c r="D496">
        <v>3.2748089999999999</v>
      </c>
      <c r="E496">
        <v>0.49221579999999898</v>
      </c>
      <c r="F496" t="s">
        <v>41</v>
      </c>
      <c r="G496">
        <v>-334.60829999999999</v>
      </c>
      <c r="H496" s="1">
        <v>-2.980503E-6</v>
      </c>
      <c r="I496">
        <v>365.75369999999998</v>
      </c>
      <c r="J496">
        <v>-353.10140000000001</v>
      </c>
      <c r="K496">
        <v>1.1110089999999999</v>
      </c>
      <c r="L496">
        <v>365.91879999999998</v>
      </c>
      <c r="M496">
        <v>0.99967479999999997</v>
      </c>
      <c r="N496">
        <v>0</v>
      </c>
      <c r="O496">
        <v>-2.162304E-2</v>
      </c>
      <c r="P496">
        <v>0.98888010000000004</v>
      </c>
      <c r="Q496">
        <v>0.14408470000000001</v>
      </c>
      <c r="R496">
        <v>-3.682303E-2</v>
      </c>
      <c r="S496">
        <v>3.0593569999999999</v>
      </c>
      <c r="T496">
        <v>-0.18080009999999999</v>
      </c>
      <c r="U496">
        <v>-2.7771000000000001E-2</v>
      </c>
      <c r="V496">
        <v>1.5040380000000001E-2</v>
      </c>
      <c r="W496">
        <v>0.15749109999999999</v>
      </c>
      <c r="X496">
        <v>0.9874058</v>
      </c>
      <c r="Y496">
        <v>-1.2489719999999999E-2</v>
      </c>
      <c r="Z496">
        <v>1.6454620000000001E-3</v>
      </c>
      <c r="AA496">
        <v>0.9999207</v>
      </c>
      <c r="AB496">
        <v>30</v>
      </c>
      <c r="AC496">
        <v>18.493099999999998</v>
      </c>
      <c r="AD496">
        <v>-1.1110119805030001</v>
      </c>
      <c r="AE496">
        <v>-0.165099999999995</v>
      </c>
      <c r="AF496">
        <v>-0.23400766382413901</v>
      </c>
      <c r="AG496">
        <v>-1.1110119805030001</v>
      </c>
      <c r="AH496">
        <v>18.425847360384701</v>
      </c>
      <c r="AI496">
        <v>93.450273176592006</v>
      </c>
      <c r="AJ496">
        <v>90.727615424246807</v>
      </c>
      <c r="AK496">
        <v>18.460795165857402</v>
      </c>
      <c r="AL496">
        <v>80.938698845013803</v>
      </c>
      <c r="AM496">
        <v>89.127325707777203</v>
      </c>
      <c r="AN496">
        <v>0.99999993674169496</v>
      </c>
    </row>
    <row r="497" spans="1:40" x14ac:dyDescent="0.25">
      <c r="A497" t="str">
        <f>"20190312172620640"</f>
        <v>20190312172620640</v>
      </c>
      <c r="B497" t="str">
        <f>"1552382780628658"</f>
        <v>1552382780628658</v>
      </c>
      <c r="C497" t="s">
        <v>40</v>
      </c>
      <c r="D497">
        <v>3.2638400000000001</v>
      </c>
      <c r="E497">
        <v>0.49217810000000001</v>
      </c>
      <c r="F497" t="s">
        <v>41</v>
      </c>
      <c r="G497">
        <v>-335.83769999999998</v>
      </c>
      <c r="H497" s="1">
        <v>-2.473328E-6</v>
      </c>
      <c r="I497">
        <v>365.6397</v>
      </c>
      <c r="J497">
        <v>-352.81380000000001</v>
      </c>
      <c r="K497">
        <v>1.1110610000000001</v>
      </c>
      <c r="L497">
        <v>365.91410000000002</v>
      </c>
      <c r="M497">
        <v>0.99970329999999996</v>
      </c>
      <c r="N497">
        <v>0</v>
      </c>
      <c r="O497">
        <v>-2.0261299999999999E-2</v>
      </c>
      <c r="P497">
        <v>0.98888529999999997</v>
      </c>
      <c r="Q497">
        <v>0.14420629999999901</v>
      </c>
      <c r="R497">
        <v>-3.6203920000000001E-2</v>
      </c>
      <c r="S497">
        <v>3.060638</v>
      </c>
      <c r="T497">
        <v>-0.196967</v>
      </c>
      <c r="U497">
        <v>-4.9468989999999997E-2</v>
      </c>
      <c r="V497">
        <v>1.5749570000000001E-2</v>
      </c>
      <c r="W497">
        <v>0.157615899999999</v>
      </c>
      <c r="X497">
        <v>0.98737490000000006</v>
      </c>
      <c r="Y497">
        <v>-4.0526870000000001E-3</v>
      </c>
      <c r="Z497">
        <v>1.4327420000000001E-3</v>
      </c>
      <c r="AA497">
        <v>0.99999079999999996</v>
      </c>
      <c r="AB497">
        <v>30</v>
      </c>
      <c r="AC497">
        <v>16.976099999999999</v>
      </c>
      <c r="AD497">
        <v>-1.111063473328</v>
      </c>
      <c r="AE497">
        <v>-0.27440000000001402</v>
      </c>
      <c r="AF497">
        <v>-6.9348655515299701E-2</v>
      </c>
      <c r="AG497">
        <v>-1.111063473328</v>
      </c>
      <c r="AH497">
        <v>16.905777196037501</v>
      </c>
      <c r="AI497">
        <v>93.760093212360403</v>
      </c>
      <c r="AJ497">
        <v>90.235029892054698</v>
      </c>
      <c r="AK497">
        <v>16.9423898514892</v>
      </c>
      <c r="AL497">
        <v>80.931458537764897</v>
      </c>
      <c r="AM497">
        <v>89.086155248849593</v>
      </c>
      <c r="AN497">
        <v>1.000000007019</v>
      </c>
    </row>
    <row r="498" spans="1:40" x14ac:dyDescent="0.25">
      <c r="A498" t="str">
        <f>"20190312172620661"</f>
        <v>20190312172620661</v>
      </c>
      <c r="B498" t="str">
        <f>"1552382780649150"</f>
        <v>1552382780649150</v>
      </c>
      <c r="C498" t="s">
        <v>40</v>
      </c>
      <c r="D498">
        <v>3.2405599999999999</v>
      </c>
      <c r="E498">
        <v>0.49222569999999999</v>
      </c>
      <c r="F498" t="s">
        <v>41</v>
      </c>
      <c r="G498">
        <v>-335.4751</v>
      </c>
      <c r="H498" s="1">
        <v>-2.6276629999999999E-6</v>
      </c>
      <c r="I498">
        <v>365.64670000000001</v>
      </c>
      <c r="J498">
        <v>-352.53019999999998</v>
      </c>
      <c r="K498">
        <v>1.1111089999999999</v>
      </c>
      <c r="L498">
        <v>365.90980000000002</v>
      </c>
      <c r="M498">
        <v>0.99973060000000002</v>
      </c>
      <c r="N498">
        <v>0</v>
      </c>
      <c r="O498">
        <v>-1.88649E-2</v>
      </c>
      <c r="P498">
        <v>0.98895549999999999</v>
      </c>
      <c r="Q498">
        <v>0.1440022</v>
      </c>
      <c r="R498">
        <v>-3.5080060000000003E-2</v>
      </c>
      <c r="S498">
        <v>3.0606080000000002</v>
      </c>
      <c r="T498">
        <v>-0.1961224</v>
      </c>
      <c r="U498">
        <v>-4.7180180000000002E-2</v>
      </c>
      <c r="V498">
        <v>1.598871E-2</v>
      </c>
      <c r="W498">
        <v>0.15741440000000001</v>
      </c>
      <c r="X498">
        <v>0.98740320000000004</v>
      </c>
      <c r="Y498">
        <v>-3.4079959999999999E-3</v>
      </c>
      <c r="Z498">
        <v>1.316631E-3</v>
      </c>
      <c r="AA498">
        <v>0.99999329999999997</v>
      </c>
      <c r="AB498">
        <v>30</v>
      </c>
      <c r="AC498">
        <v>17.0550999999999</v>
      </c>
      <c r="AD498">
        <v>-1.111111627663</v>
      </c>
      <c r="AE498">
        <v>-0.26310000000000799</v>
      </c>
      <c r="AF498">
        <v>-5.8470894141446302E-2</v>
      </c>
      <c r="AG498">
        <v>-1.111111627663</v>
      </c>
      <c r="AH498">
        <v>16.984955936391099</v>
      </c>
      <c r="AI498">
        <v>93.742785758593499</v>
      </c>
      <c r="AJ498">
        <v>90.197240560251203</v>
      </c>
      <c r="AK498">
        <v>17.021360581802401</v>
      </c>
      <c r="AL498">
        <v>80.943149570209599</v>
      </c>
      <c r="AM498">
        <v>89.072308507173005</v>
      </c>
      <c r="AN498">
        <v>1.00000000577253</v>
      </c>
    </row>
    <row r="499" spans="1:40" x14ac:dyDescent="0.25">
      <c r="A499" t="str">
        <f>"20190312172620684"</f>
        <v>20190312172620684</v>
      </c>
      <c r="B499" t="str">
        <f>"1552382780679406"</f>
        <v>1552382780679406</v>
      </c>
      <c r="C499" t="s">
        <v>40</v>
      </c>
      <c r="D499">
        <v>3.1908020000000001</v>
      </c>
      <c r="E499">
        <v>0.48937259999999999</v>
      </c>
      <c r="F499" t="s">
        <v>41</v>
      </c>
      <c r="G499">
        <v>-335.23500000000001</v>
      </c>
      <c r="H499" s="1">
        <v>-2.727986E-6</v>
      </c>
      <c r="I499">
        <v>365.6617</v>
      </c>
      <c r="J499">
        <v>-352.22699999999998</v>
      </c>
      <c r="K499">
        <v>1.111156</v>
      </c>
      <c r="L499">
        <v>365.90570000000002</v>
      </c>
      <c r="M499">
        <v>0.99975860000000005</v>
      </c>
      <c r="N499">
        <v>0</v>
      </c>
      <c r="O499">
        <v>-1.7320240000000001E-2</v>
      </c>
      <c r="P499">
        <v>0.9890082</v>
      </c>
      <c r="Q499">
        <v>0.14396900000000001</v>
      </c>
      <c r="R499">
        <v>-3.3703190000000001E-2</v>
      </c>
      <c r="S499">
        <v>3.0605769999999999</v>
      </c>
      <c r="T499">
        <v>-0.19662189999999999</v>
      </c>
      <c r="U499">
        <v>-4.3884279999999998E-2</v>
      </c>
      <c r="V499">
        <v>1.612193E-2</v>
      </c>
      <c r="W499">
        <v>0.15738279999999999</v>
      </c>
      <c r="X499">
        <v>0.98740609999999995</v>
      </c>
      <c r="Y499">
        <v>-2.9433440000000001E-3</v>
      </c>
      <c r="Z499">
        <v>1.205977E-3</v>
      </c>
      <c r="AA499">
        <v>0.99999490000000002</v>
      </c>
      <c r="AB499">
        <v>30</v>
      </c>
      <c r="AC499">
        <v>16.991999999999901</v>
      </c>
      <c r="AD499">
        <v>-1.111158727986</v>
      </c>
      <c r="AE499">
        <v>-0.244000000000028</v>
      </c>
      <c r="AF499">
        <v>-5.01545929643607E-2</v>
      </c>
      <c r="AG499">
        <v>-1.111158727986</v>
      </c>
      <c r="AH499">
        <v>16.9213321977094</v>
      </c>
      <c r="AI499">
        <v>93.756982842412796</v>
      </c>
      <c r="AJ499">
        <v>90.169823395186796</v>
      </c>
      <c r="AK499">
        <v>16.957849879840602</v>
      </c>
      <c r="AL499">
        <v>80.944983230729903</v>
      </c>
      <c r="AM499">
        <v>89.064582976255807</v>
      </c>
      <c r="AN499">
        <v>1.00000003433998</v>
      </c>
    </row>
    <row r="500" spans="1:40" x14ac:dyDescent="0.25">
      <c r="A500" t="str">
        <f>"20190312172620706"</f>
        <v>20190312172620706</v>
      </c>
      <c r="B500" t="str">
        <f>"1552382780698929"</f>
        <v>1552382780698929</v>
      </c>
      <c r="C500" t="s">
        <v>40</v>
      </c>
      <c r="D500">
        <v>3.2642820000000001</v>
      </c>
      <c r="E500">
        <v>0.46319149999999998</v>
      </c>
      <c r="F500" t="s">
        <v>41</v>
      </c>
      <c r="G500">
        <v>-334.86399999999998</v>
      </c>
      <c r="H500" s="1">
        <v>-2.8609009999999998E-6</v>
      </c>
      <c r="I500">
        <v>365.8098</v>
      </c>
      <c r="J500">
        <v>-351.92739999999998</v>
      </c>
      <c r="K500">
        <v>1.1111930000000001</v>
      </c>
      <c r="L500">
        <v>365.90219999999999</v>
      </c>
      <c r="M500">
        <v>0.99978460000000002</v>
      </c>
      <c r="N500">
        <v>0</v>
      </c>
      <c r="O500">
        <v>-1.575234E-2</v>
      </c>
      <c r="P500">
        <v>0.98904999999999998</v>
      </c>
      <c r="Q500">
        <v>0.1439994</v>
      </c>
      <c r="R500">
        <v>-3.2316919999999999E-2</v>
      </c>
      <c r="S500">
        <v>3.0612789999999999</v>
      </c>
      <c r="T500">
        <v>-0.19590769999999999</v>
      </c>
      <c r="U500">
        <v>-1.690674E-2</v>
      </c>
      <c r="V500">
        <v>1.6272729999999999E-2</v>
      </c>
      <c r="W500">
        <v>0.15741440000000001</v>
      </c>
      <c r="X500">
        <v>0.98739860000000002</v>
      </c>
      <c r="Y500">
        <v>-1.01785E-2</v>
      </c>
      <c r="Z500">
        <v>1.3324420000000001E-3</v>
      </c>
      <c r="AA500">
        <v>0.99994729999999998</v>
      </c>
      <c r="AB500">
        <v>30</v>
      </c>
      <c r="AC500">
        <v>17.063399999999898</v>
      </c>
      <c r="AD500">
        <v>-1.111195860901</v>
      </c>
      <c r="AE500">
        <v>-9.2399999999997803E-2</v>
      </c>
      <c r="AF500">
        <v>-0.175679487478758</v>
      </c>
      <c r="AG500">
        <v>-1.111195860901</v>
      </c>
      <c r="AH500">
        <v>16.990685739183899</v>
      </c>
      <c r="AI500">
        <v>93.741632668721294</v>
      </c>
      <c r="AJ500">
        <v>90.592403075878906</v>
      </c>
      <c r="AK500">
        <v>17.027889517239402</v>
      </c>
      <c r="AL500">
        <v>80.943149930078604</v>
      </c>
      <c r="AM500">
        <v>89.055827754681602</v>
      </c>
      <c r="AN500">
        <v>1.00000004517548</v>
      </c>
    </row>
    <row r="501" spans="1:40" x14ac:dyDescent="0.25">
      <c r="A501" t="str">
        <f>"20190312172620729"</f>
        <v>20190312172620729</v>
      </c>
      <c r="B501" t="str">
        <f>"1552382780719422"</f>
        <v>1552382780719422</v>
      </c>
      <c r="C501" t="s">
        <v>40</v>
      </c>
      <c r="D501">
        <v>3.1389619999999998</v>
      </c>
      <c r="E501">
        <v>0.46276780000000001</v>
      </c>
      <c r="F501" t="s">
        <v>41</v>
      </c>
      <c r="G501">
        <v>-329.35820000000001</v>
      </c>
      <c r="H501" s="1">
        <v>-8.0821869999999896E-7</v>
      </c>
      <c r="I501">
        <v>367.34730000000002</v>
      </c>
      <c r="J501">
        <v>-351.63959999999997</v>
      </c>
      <c r="K501">
        <v>1.1112120000000001</v>
      </c>
      <c r="L501">
        <v>365.89929999999998</v>
      </c>
      <c r="M501">
        <v>0.99980760000000002</v>
      </c>
      <c r="N501">
        <v>0</v>
      </c>
      <c r="O501">
        <v>-1.4217870000000001E-2</v>
      </c>
      <c r="P501">
        <v>0.98905960000000004</v>
      </c>
      <c r="Q501">
        <v>0.14431949999999999</v>
      </c>
      <c r="R501">
        <v>-3.055275E-2</v>
      </c>
      <c r="S501">
        <v>3.0615540000000001</v>
      </c>
      <c r="T501">
        <v>-0.15073529999999999</v>
      </c>
      <c r="U501">
        <v>0.19604489999999999</v>
      </c>
      <c r="V501">
        <v>1.6016840000000001E-2</v>
      </c>
      <c r="W501">
        <v>0.15773309999999999</v>
      </c>
      <c r="X501">
        <v>0.98735189999999995</v>
      </c>
      <c r="Y501">
        <v>-7.7975970000000006E-2</v>
      </c>
      <c r="Z501">
        <v>2.6154500000000001E-3</v>
      </c>
      <c r="AA501">
        <v>0.99695180000000005</v>
      </c>
      <c r="AB501">
        <v>30</v>
      </c>
      <c r="AC501">
        <v>22.281399999999898</v>
      </c>
      <c r="AD501">
        <v>-1.1112128082187001</v>
      </c>
      <c r="AE501">
        <v>1.4480000000000299</v>
      </c>
      <c r="AF501">
        <v>-1.7603167541094</v>
      </c>
      <c r="AG501">
        <v>-1.1112128082187001</v>
      </c>
      <c r="AH501">
        <v>22.203565741470602</v>
      </c>
      <c r="AI501">
        <v>92.856121089856202</v>
      </c>
      <c r="AJ501">
        <v>94.532974617208495</v>
      </c>
      <c r="AK501">
        <v>22.3009381106659</v>
      </c>
      <c r="AL501">
        <v>80.924658549699899</v>
      </c>
      <c r="AM501">
        <v>89.070628367340206</v>
      </c>
      <c r="AN501">
        <v>1.0000000222164001</v>
      </c>
    </row>
    <row r="502" spans="1:40" x14ac:dyDescent="0.25">
      <c r="A502" t="str">
        <f>"20190312172620752"</f>
        <v>20190312172620752</v>
      </c>
      <c r="B502" t="str">
        <f>"1552382780738943"</f>
        <v>1552382780738943</v>
      </c>
      <c r="C502" t="s">
        <v>40</v>
      </c>
      <c r="D502">
        <v>3.143411</v>
      </c>
      <c r="E502">
        <v>0.46268619999999999</v>
      </c>
      <c r="F502" t="s">
        <v>41</v>
      </c>
      <c r="G502">
        <v>-328.39640000000003</v>
      </c>
      <c r="H502" s="1">
        <v>-1.106956E-6</v>
      </c>
      <c r="I502">
        <v>367.4547</v>
      </c>
      <c r="J502">
        <v>-351.33580000000001</v>
      </c>
      <c r="K502">
        <v>1.111224</v>
      </c>
      <c r="L502">
        <v>365.89670000000001</v>
      </c>
      <c r="M502">
        <v>0.99982950000000004</v>
      </c>
      <c r="N502">
        <v>0</v>
      </c>
      <c r="O502">
        <v>-1.257957E-2</v>
      </c>
      <c r="P502">
        <v>0.98907100000000003</v>
      </c>
      <c r="Q502">
        <v>0.1446026</v>
      </c>
      <c r="R502">
        <v>-2.878845E-2</v>
      </c>
      <c r="S502">
        <v>3.0608520000000001</v>
      </c>
      <c r="T502">
        <v>-0.14633309999999999</v>
      </c>
      <c r="U502">
        <v>0.20483399999999999</v>
      </c>
      <c r="V502">
        <v>1.5867220000000001E-2</v>
      </c>
      <c r="W502">
        <v>0.15801470000000001</v>
      </c>
      <c r="X502">
        <v>0.98730929999999995</v>
      </c>
      <c r="Y502">
        <v>-7.9214190000000004E-2</v>
      </c>
      <c r="Z502">
        <v>2.4908389999999999E-3</v>
      </c>
      <c r="AA502">
        <v>0.99685449999999998</v>
      </c>
      <c r="AB502">
        <v>30</v>
      </c>
      <c r="AC502">
        <v>22.9393999999999</v>
      </c>
      <c r="AD502">
        <v>-1.111225106956</v>
      </c>
      <c r="AE502">
        <v>1.5579999999999901</v>
      </c>
      <c r="AF502">
        <v>-1.84216786417732</v>
      </c>
      <c r="AG502">
        <v>-1.111225106956</v>
      </c>
      <c r="AH502">
        <v>22.864576041783799</v>
      </c>
      <c r="AI502">
        <v>92.773429483272096</v>
      </c>
      <c r="AJ502">
        <v>94.606293445041004</v>
      </c>
      <c r="AK502">
        <v>22.965566425600102</v>
      </c>
      <c r="AL502">
        <v>80.908319258512705</v>
      </c>
      <c r="AM502">
        <v>89.079268796160207</v>
      </c>
      <c r="AN502">
        <v>1.00000003397655</v>
      </c>
    </row>
    <row r="503" spans="1:40" x14ac:dyDescent="0.25">
      <c r="A503" t="str">
        <f>"20190312172620774"</f>
        <v>20190312172620774</v>
      </c>
      <c r="B503" t="str">
        <f>"1552382780769198"</f>
        <v>1552382780769198</v>
      </c>
      <c r="C503" t="s">
        <v>40</v>
      </c>
      <c r="D503">
        <v>3.138814</v>
      </c>
      <c r="E503">
        <v>0.46283069999999998</v>
      </c>
      <c r="F503" t="s">
        <v>41</v>
      </c>
      <c r="G503">
        <v>-328.19749999999999</v>
      </c>
      <c r="H503" s="1">
        <v>-1.1641199999999999E-6</v>
      </c>
      <c r="I503">
        <v>367.49430000000001</v>
      </c>
      <c r="J503">
        <v>-351.04660000000001</v>
      </c>
      <c r="K503">
        <v>1.1112340000000001</v>
      </c>
      <c r="L503">
        <v>365.89479999999998</v>
      </c>
      <c r="M503">
        <v>0.99984810000000002</v>
      </c>
      <c r="N503">
        <v>0</v>
      </c>
      <c r="O503">
        <v>-1.1012539999999999E-2</v>
      </c>
      <c r="P503">
        <v>0.989035</v>
      </c>
      <c r="Q503">
        <v>0.14501240000000001</v>
      </c>
      <c r="R503">
        <v>-2.7957059999999999E-2</v>
      </c>
      <c r="S503">
        <v>3.060791</v>
      </c>
      <c r="T503">
        <v>-0.14699479999999901</v>
      </c>
      <c r="U503">
        <v>0.2113342</v>
      </c>
      <c r="V503">
        <v>1.6583049999999998E-2</v>
      </c>
      <c r="W503">
        <v>0.15842479999999901</v>
      </c>
      <c r="X503">
        <v>0.98723179999999999</v>
      </c>
      <c r="Y503">
        <v>-7.9760689999999995E-2</v>
      </c>
      <c r="Z503">
        <v>2.4399199999999999E-3</v>
      </c>
      <c r="AA503">
        <v>0.996811</v>
      </c>
      <c r="AB503">
        <v>30</v>
      </c>
      <c r="AC503">
        <v>22.8491</v>
      </c>
      <c r="AD503">
        <v>-1.11123516412</v>
      </c>
      <c r="AE503">
        <v>1.5995000000000299</v>
      </c>
      <c r="AF503">
        <v>-1.8467059925054301</v>
      </c>
      <c r="AG503">
        <v>-1.11123516412</v>
      </c>
      <c r="AH503">
        <v>22.7764890384952</v>
      </c>
      <c r="AI503">
        <v>92.784049880638406</v>
      </c>
      <c r="AJ503">
        <v>94.635372553349299</v>
      </c>
      <c r="AK503">
        <v>22.878234624494699</v>
      </c>
      <c r="AL503">
        <v>80.884522393872601</v>
      </c>
      <c r="AM503">
        <v>89.037663263208401</v>
      </c>
      <c r="AN503">
        <v>1.0000000208667901</v>
      </c>
    </row>
    <row r="504" spans="1:40" x14ac:dyDescent="0.25">
      <c r="A504" t="str">
        <f>"20190312172620796"</f>
        <v>20190312172620796</v>
      </c>
      <c r="B504" t="str">
        <f>"1552382780788718"</f>
        <v>1552382780788718</v>
      </c>
      <c r="C504" t="s">
        <v>40</v>
      </c>
      <c r="D504">
        <v>3.2479239999999998</v>
      </c>
      <c r="E504">
        <v>0.46300160000000001</v>
      </c>
      <c r="F504" t="s">
        <v>41</v>
      </c>
      <c r="G504">
        <v>-328.0326</v>
      </c>
      <c r="H504" s="1">
        <v>-1.2192459999999999E-6</v>
      </c>
      <c r="I504">
        <v>367.49799999999999</v>
      </c>
      <c r="J504">
        <v>-350.74950000000001</v>
      </c>
      <c r="K504">
        <v>1.1112310000000001</v>
      </c>
      <c r="L504">
        <v>365.89330000000001</v>
      </c>
      <c r="M504">
        <v>0.99986439999999999</v>
      </c>
      <c r="N504">
        <v>0</v>
      </c>
      <c r="O504">
        <v>-9.401932E-3</v>
      </c>
      <c r="P504">
        <v>0.98907940000000005</v>
      </c>
      <c r="Q504">
        <v>0.14493399999999901</v>
      </c>
      <c r="R504">
        <v>-2.6765400000000002E-2</v>
      </c>
      <c r="S504">
        <v>3.0609440000000001</v>
      </c>
      <c r="T504">
        <v>-0.14779790000000001</v>
      </c>
      <c r="U504">
        <v>0.21322630000000001</v>
      </c>
      <c r="V504">
        <v>1.6983709999999999E-2</v>
      </c>
      <c r="W504">
        <v>0.15834670000000001</v>
      </c>
      <c r="X504">
        <v>0.98723749999999999</v>
      </c>
      <c r="Y504">
        <v>-7.8766669999999997E-2</v>
      </c>
      <c r="Z504">
        <v>2.3514590000000002E-3</v>
      </c>
      <c r="AA504">
        <v>0.99689030000000001</v>
      </c>
      <c r="AB504">
        <v>30</v>
      </c>
      <c r="AC504">
        <v>22.716899999999999</v>
      </c>
      <c r="AD504">
        <v>-1.11123221924599</v>
      </c>
      <c r="AE504">
        <v>1.60470000000003</v>
      </c>
      <c r="AF504">
        <v>-1.8139125017368201</v>
      </c>
      <c r="AG504">
        <v>-1.11123221924599</v>
      </c>
      <c r="AH504">
        <v>22.6468860414628</v>
      </c>
      <c r="AI504">
        <v>92.800169940614197</v>
      </c>
      <c r="AJ504">
        <v>94.5793552550399</v>
      </c>
      <c r="AK504">
        <v>22.746572554652101</v>
      </c>
      <c r="AL504">
        <v>80.889054232478102</v>
      </c>
      <c r="AM504">
        <v>89.014422645076806</v>
      </c>
      <c r="AN504">
        <v>1.0000000026062501</v>
      </c>
    </row>
    <row r="505" spans="1:40" x14ac:dyDescent="0.25">
      <c r="A505" t="str">
        <f>"20190312172620818"</f>
        <v>20190312172620818</v>
      </c>
      <c r="B505" t="str">
        <f>"1552382780809214"</f>
        <v>1552382780809214</v>
      </c>
      <c r="C505" t="s">
        <v>40</v>
      </c>
      <c r="D505">
        <v>3.1041970000000001</v>
      </c>
      <c r="E505">
        <v>0.46314319999999998</v>
      </c>
      <c r="F505" t="s">
        <v>41</v>
      </c>
      <c r="G505">
        <v>-328.00909999999999</v>
      </c>
      <c r="H505" s="1">
        <v>-1.228203E-6</v>
      </c>
      <c r="I505">
        <v>367.49439999999998</v>
      </c>
      <c r="J505">
        <v>-350.45699999999999</v>
      </c>
      <c r="K505">
        <v>1.1112280000000001</v>
      </c>
      <c r="L505">
        <v>365.89229999999998</v>
      </c>
      <c r="M505">
        <v>0.99987809999999999</v>
      </c>
      <c r="N505">
        <v>0</v>
      </c>
      <c r="O505">
        <v>-7.8191219999999995E-3</v>
      </c>
      <c r="P505">
        <v>0.98923130000000004</v>
      </c>
      <c r="Q505">
        <v>0.1441105</v>
      </c>
      <c r="R505">
        <v>-2.5570369999999999E-2</v>
      </c>
      <c r="S505">
        <v>3.0609440000000001</v>
      </c>
      <c r="T505">
        <v>-0.14957509999999999</v>
      </c>
      <c r="U505">
        <v>0.21551509999999999</v>
      </c>
      <c r="V505">
        <v>1.7355780000000001E-2</v>
      </c>
      <c r="W505">
        <v>0.1575241</v>
      </c>
      <c r="X505">
        <v>0.98736259999999998</v>
      </c>
      <c r="Y505">
        <v>-7.7930749999999993E-2</v>
      </c>
      <c r="Z505">
        <v>2.2820319999999998E-3</v>
      </c>
      <c r="AA505">
        <v>0.99695619999999996</v>
      </c>
      <c r="AB505">
        <v>30</v>
      </c>
      <c r="AC505">
        <v>22.447900000000001</v>
      </c>
      <c r="AD505">
        <v>-1.1112292282030001</v>
      </c>
      <c r="AE505">
        <v>1.6021000000000001</v>
      </c>
      <c r="AF505">
        <v>-1.7732665358238</v>
      </c>
      <c r="AG505">
        <v>-1.1112292282030001</v>
      </c>
      <c r="AH505">
        <v>22.380120786564898</v>
      </c>
      <c r="AI505">
        <v>92.833678472964294</v>
      </c>
      <c r="AJ505">
        <v>94.530309261805002</v>
      </c>
      <c r="AK505">
        <v>22.4777470184608</v>
      </c>
      <c r="AL505">
        <v>80.936784621709506</v>
      </c>
      <c r="AM505">
        <v>88.992963128072702</v>
      </c>
      <c r="AN505">
        <v>0.99999998452948902</v>
      </c>
    </row>
    <row r="506" spans="1:40" x14ac:dyDescent="0.25">
      <c r="A506" t="str">
        <f>"20190312172620841"</f>
        <v>20190312172620841</v>
      </c>
      <c r="B506" t="str">
        <f>"1552382780828734"</f>
        <v>1552382780828734</v>
      </c>
      <c r="C506" t="s">
        <v>40</v>
      </c>
      <c r="D506">
        <v>3.1139329999999998</v>
      </c>
      <c r="E506">
        <v>0.46330139999999997</v>
      </c>
      <c r="F506" t="s">
        <v>41</v>
      </c>
      <c r="G506">
        <v>-328.30259999999998</v>
      </c>
      <c r="H506" s="1">
        <v>-1.133667E-6</v>
      </c>
      <c r="I506">
        <v>367.47430000000003</v>
      </c>
      <c r="J506">
        <v>-350.16539999999998</v>
      </c>
      <c r="K506">
        <v>1.1112329999999999</v>
      </c>
      <c r="L506">
        <v>365.89170000000001</v>
      </c>
      <c r="M506">
        <v>0.99988929999999998</v>
      </c>
      <c r="N506">
        <v>0</v>
      </c>
      <c r="O506">
        <v>-6.245741E-3</v>
      </c>
      <c r="P506">
        <v>0.98932120000000001</v>
      </c>
      <c r="Q506">
        <v>0.143646</v>
      </c>
      <c r="R506">
        <v>-2.4693469999999999E-2</v>
      </c>
      <c r="S506">
        <v>3.0606689999999999</v>
      </c>
      <c r="T506">
        <v>-0.15351770000000001</v>
      </c>
      <c r="U506">
        <v>0.21856690000000001</v>
      </c>
      <c r="V506">
        <v>1.8036590000000002E-2</v>
      </c>
      <c r="W506">
        <v>0.1570607</v>
      </c>
      <c r="X506">
        <v>0.98742430000000003</v>
      </c>
      <c r="Y506">
        <v>-7.7354569999999997E-2</v>
      </c>
      <c r="Z506">
        <v>2.24903E-3</v>
      </c>
      <c r="AA506">
        <v>0.99700109999999997</v>
      </c>
      <c r="AB506">
        <v>30</v>
      </c>
      <c r="AC506">
        <v>21.8628</v>
      </c>
      <c r="AD506">
        <v>-1.111234133667</v>
      </c>
      <c r="AE506">
        <v>1.58260000000001</v>
      </c>
      <c r="AF506">
        <v>-1.7147241582911199</v>
      </c>
      <c r="AG506">
        <v>-1.111234133667</v>
      </c>
      <c r="AH506">
        <v>21.796471574462899</v>
      </c>
      <c r="AI506">
        <v>92.909569270534107</v>
      </c>
      <c r="AJ506">
        <v>94.498183380886701</v>
      </c>
      <c r="AK506">
        <v>21.892037212996399</v>
      </c>
      <c r="AL506">
        <v>80.963670890315498</v>
      </c>
      <c r="AM506">
        <v>88.9535343918987</v>
      </c>
      <c r="AN506">
        <v>1.0000000651469001</v>
      </c>
    </row>
    <row r="507" spans="1:40" x14ac:dyDescent="0.25">
      <c r="A507" t="str">
        <f>"20190312172620862"</f>
        <v>20190312172620862</v>
      </c>
      <c r="B507" t="str">
        <f>"1552382780858991"</f>
        <v>1552382780858991</v>
      </c>
      <c r="C507" t="s">
        <v>40</v>
      </c>
      <c r="D507">
        <v>3.2155819999999999</v>
      </c>
      <c r="E507">
        <v>0.46335189999999998</v>
      </c>
      <c r="F507" t="s">
        <v>41</v>
      </c>
      <c r="G507">
        <v>-328.43020000000001</v>
      </c>
      <c r="H507" s="1">
        <v>-1.095765E-6</v>
      </c>
      <c r="I507">
        <v>367.45359999999999</v>
      </c>
      <c r="J507">
        <v>-349.88049999999998</v>
      </c>
      <c r="K507">
        <v>1.1112310000000001</v>
      </c>
      <c r="L507">
        <v>365.89159999999998</v>
      </c>
      <c r="M507">
        <v>0.99989749999999999</v>
      </c>
      <c r="N507">
        <v>0</v>
      </c>
      <c r="O507">
        <v>-4.7118209999999997E-3</v>
      </c>
      <c r="P507">
        <v>0.98936590000000002</v>
      </c>
      <c r="Q507">
        <v>0.1435004</v>
      </c>
      <c r="R507">
        <v>-2.3720229999999998E-2</v>
      </c>
      <c r="S507">
        <v>3.0606080000000002</v>
      </c>
      <c r="T507">
        <v>-0.1564757</v>
      </c>
      <c r="U507">
        <v>0.2199402</v>
      </c>
      <c r="V507">
        <v>1.8582049999999999E-2</v>
      </c>
      <c r="W507">
        <v>0.15691469999999999</v>
      </c>
      <c r="X507">
        <v>0.98743729999999996</v>
      </c>
      <c r="Y507">
        <v>-7.6270859999999996E-2</v>
      </c>
      <c r="Z507">
        <v>2.1863830000000001E-3</v>
      </c>
      <c r="AA507">
        <v>0.99708470000000005</v>
      </c>
      <c r="AB507">
        <v>30</v>
      </c>
      <c r="AC507">
        <v>21.450299999999899</v>
      </c>
      <c r="AD507">
        <v>-1.1112320957649999</v>
      </c>
      <c r="AE507">
        <v>1.56200000000001</v>
      </c>
      <c r="AF507">
        <v>-1.6586339829899599</v>
      </c>
      <c r="AG507">
        <v>-1.1112320957649999</v>
      </c>
      <c r="AH507">
        <v>21.385610309981999</v>
      </c>
      <c r="AI507">
        <v>92.965619213878398</v>
      </c>
      <c r="AJ507">
        <v>94.434891501563001</v>
      </c>
      <c r="AK507">
        <v>21.478599390802898</v>
      </c>
      <c r="AL507">
        <v>80.972140220041197</v>
      </c>
      <c r="AM507">
        <v>88.921908877393406</v>
      </c>
      <c r="AN507">
        <v>0.99999996854479001</v>
      </c>
    </row>
    <row r="508" spans="1:40" x14ac:dyDescent="0.25">
      <c r="A508" t="str">
        <f>"20190312172620886"</f>
        <v>20190312172620886</v>
      </c>
      <c r="B508" t="str">
        <f>"1552382780879487"</f>
        <v>1552382780879487</v>
      </c>
      <c r="C508" t="s">
        <v>40</v>
      </c>
      <c r="D508">
        <v>3.254165</v>
      </c>
      <c r="E508">
        <v>0.4633448</v>
      </c>
      <c r="F508" t="s">
        <v>41</v>
      </c>
      <c r="G508">
        <v>-328.5231</v>
      </c>
      <c r="H508" s="1">
        <v>-1.0659780000000001E-6</v>
      </c>
      <c r="I508">
        <v>367.44670000000002</v>
      </c>
      <c r="J508">
        <v>-349.57420000000002</v>
      </c>
      <c r="K508">
        <v>1.111226</v>
      </c>
      <c r="L508">
        <v>365.89190000000002</v>
      </c>
      <c r="M508">
        <v>0.99990409999999996</v>
      </c>
      <c r="N508">
        <v>0</v>
      </c>
      <c r="O508">
        <v>-3.0654979999999998E-3</v>
      </c>
      <c r="P508">
        <v>0.98945519999999998</v>
      </c>
      <c r="Q508">
        <v>0.1430524</v>
      </c>
      <c r="R508">
        <v>-2.2686250000000002E-2</v>
      </c>
      <c r="S508">
        <v>3.0606689999999999</v>
      </c>
      <c r="T508">
        <v>-0.159247</v>
      </c>
      <c r="U508">
        <v>0.22286990000000001</v>
      </c>
      <c r="V508">
        <v>1.9178540000000001E-2</v>
      </c>
      <c r="W508">
        <v>0.156467299999999</v>
      </c>
      <c r="X508">
        <v>0.98749690000000001</v>
      </c>
      <c r="Y508">
        <v>-7.5576599999999994E-2</v>
      </c>
      <c r="Z508">
        <v>2.121408E-3</v>
      </c>
      <c r="AA508">
        <v>0.99713770000000002</v>
      </c>
      <c r="AB508">
        <v>29</v>
      </c>
      <c r="AC508">
        <v>21.051100000000002</v>
      </c>
      <c r="AD508">
        <v>-1.1112270659779999</v>
      </c>
      <c r="AE508">
        <v>1.5548</v>
      </c>
      <c r="AF508">
        <v>-1.6148553342187599</v>
      </c>
      <c r="AG508">
        <v>-1.1112270659779999</v>
      </c>
      <c r="AH508">
        <v>20.988068847774901</v>
      </c>
      <c r="AI508">
        <v>93.021817998736694</v>
      </c>
      <c r="AJ508">
        <v>94.399759688704094</v>
      </c>
      <c r="AK508">
        <v>21.079412166888201</v>
      </c>
      <c r="AL508">
        <v>80.998095057571405</v>
      </c>
      <c r="AM508">
        <v>88.887377497259095</v>
      </c>
      <c r="AN508">
        <v>0.99999997993771494</v>
      </c>
    </row>
    <row r="509" spans="1:40" x14ac:dyDescent="0.25">
      <c r="A509" t="str">
        <f>"20190312172620908"</f>
        <v>20190312172620908</v>
      </c>
      <c r="B509" t="str">
        <f>"1552382780899010"</f>
        <v>1552382780899010</v>
      </c>
      <c r="C509" t="s">
        <v>40</v>
      </c>
      <c r="D509">
        <v>3.1454979999999999</v>
      </c>
      <c r="E509">
        <v>0.46329930000000002</v>
      </c>
      <c r="F509" t="s">
        <v>41</v>
      </c>
      <c r="G509">
        <v>-328.37130000000002</v>
      </c>
      <c r="H509" s="1">
        <v>-1.112739E-6</v>
      </c>
      <c r="I509">
        <v>367.46510000000001</v>
      </c>
      <c r="J509">
        <v>-349.27839999999998</v>
      </c>
      <c r="K509">
        <v>1.111224</v>
      </c>
      <c r="L509">
        <v>365.89269999999999</v>
      </c>
      <c r="M509">
        <v>0.99990769999999995</v>
      </c>
      <c r="N509">
        <v>0</v>
      </c>
      <c r="O509">
        <v>-1.47652E-3</v>
      </c>
      <c r="P509">
        <v>0.98952629999999997</v>
      </c>
      <c r="Q509">
        <v>0.14278289999999999</v>
      </c>
      <c r="R509">
        <v>-2.1228919999999998E-2</v>
      </c>
      <c r="S509">
        <v>3.0603639999999999</v>
      </c>
      <c r="T509">
        <v>-0.1603907</v>
      </c>
      <c r="U509">
        <v>0.22708130000000001</v>
      </c>
      <c r="V509">
        <v>1.9295280000000001E-2</v>
      </c>
      <c r="W509">
        <v>0.15619649999999999</v>
      </c>
      <c r="X509">
        <v>0.98753749999999996</v>
      </c>
      <c r="Y509">
        <v>-7.5364959999999995E-2</v>
      </c>
      <c r="Z509">
        <v>2.0480770000000001E-3</v>
      </c>
      <c r="AA509">
        <v>0.99715390000000004</v>
      </c>
      <c r="AB509">
        <v>29</v>
      </c>
      <c r="AC509">
        <v>20.9070999999999</v>
      </c>
      <c r="AD509">
        <v>-1.111225112739</v>
      </c>
      <c r="AE509">
        <v>1.57240000000001</v>
      </c>
      <c r="AF509">
        <v>-1.59877972394325</v>
      </c>
      <c r="AG509">
        <v>-1.111225112739</v>
      </c>
      <c r="AH509">
        <v>20.846196305896701</v>
      </c>
      <c r="AI509">
        <v>93.042397081749897</v>
      </c>
      <c r="AJ509">
        <v>94.385661412605899</v>
      </c>
      <c r="AK509">
        <v>20.936924757013799</v>
      </c>
      <c r="AL509">
        <v>81.013803940262704</v>
      </c>
      <c r="AM509">
        <v>88.8806526781472</v>
      </c>
      <c r="AN509">
        <v>0.99999998417438896</v>
      </c>
    </row>
    <row r="510" spans="1:40" x14ac:dyDescent="0.25">
      <c r="A510" t="str">
        <f>"20190312172620930"</f>
        <v>20190312172620930</v>
      </c>
      <c r="B510" t="str">
        <f>"1552382780919502"</f>
        <v>1552382780919502</v>
      </c>
      <c r="C510" t="s">
        <v>40</v>
      </c>
      <c r="D510">
        <v>3.2478229999999999</v>
      </c>
      <c r="E510">
        <v>0.46327469999999998</v>
      </c>
      <c r="F510" t="s">
        <v>41</v>
      </c>
      <c r="G510">
        <v>-328.06349999999998</v>
      </c>
      <c r="H510" s="1">
        <v>-1.2073240000000001E-6</v>
      </c>
      <c r="I510">
        <v>367.50319999999999</v>
      </c>
      <c r="J510">
        <v>-348.9873</v>
      </c>
      <c r="K510">
        <v>1.1112200000000001</v>
      </c>
      <c r="L510">
        <v>365.89400000000001</v>
      </c>
      <c r="M510">
        <v>0.99990889999999999</v>
      </c>
      <c r="N510">
        <v>0</v>
      </c>
      <c r="O510" s="1">
        <v>8.6999719999999994E-5</v>
      </c>
      <c r="P510">
        <v>0.98962709999999998</v>
      </c>
      <c r="Q510">
        <v>0.1422456</v>
      </c>
      <c r="R510">
        <v>-2.0115359999999999E-2</v>
      </c>
      <c r="S510">
        <v>3.0599059999999998</v>
      </c>
      <c r="T510">
        <v>-0.16027629999999901</v>
      </c>
      <c r="U510">
        <v>0.2322998</v>
      </c>
      <c r="V510">
        <v>1.9731490000000001E-2</v>
      </c>
      <c r="W510">
        <v>0.15565960000000001</v>
      </c>
      <c r="X510">
        <v>0.98761370000000004</v>
      </c>
      <c r="Y510">
        <v>-7.550991E-2</v>
      </c>
      <c r="Z510">
        <v>1.9688489999999999E-3</v>
      </c>
      <c r="AA510">
        <v>0.99714309999999995</v>
      </c>
      <c r="AB510">
        <v>29</v>
      </c>
      <c r="AC510">
        <v>20.9238</v>
      </c>
      <c r="AD510">
        <v>-1.111221207324</v>
      </c>
      <c r="AE510">
        <v>1.60919999999998</v>
      </c>
      <c r="AF510">
        <v>-1.60288517280771</v>
      </c>
      <c r="AG510">
        <v>-1.111221207324</v>
      </c>
      <c r="AH510">
        <v>20.865435848467101</v>
      </c>
      <c r="AI510">
        <v>93.039557177829593</v>
      </c>
      <c r="AJ510">
        <v>94.392840703398505</v>
      </c>
      <c r="AK510">
        <v>20.956394408278101</v>
      </c>
      <c r="AL510">
        <v>81.044947402006699</v>
      </c>
      <c r="AM510">
        <v>88.855442450733193</v>
      </c>
      <c r="AN510">
        <v>1.0000000315987301</v>
      </c>
    </row>
    <row r="511" spans="1:40" x14ac:dyDescent="0.25">
      <c r="A511" t="str">
        <f>"20190312172620965"</f>
        <v>20190312172620965</v>
      </c>
      <c r="B511" t="str">
        <f>"1552382780959518"</f>
        <v>1552382780959518</v>
      </c>
      <c r="C511" t="s">
        <v>40</v>
      </c>
      <c r="D511">
        <v>3.1190319999999998</v>
      </c>
      <c r="E511">
        <v>0.46329920000000002</v>
      </c>
      <c r="F511" t="s">
        <v>41</v>
      </c>
      <c r="G511">
        <v>-328.14600000000002</v>
      </c>
      <c r="H511" s="1">
        <v>-1.179336E-6</v>
      </c>
      <c r="I511">
        <v>367.50290000000001</v>
      </c>
      <c r="J511">
        <v>-348.54230000000001</v>
      </c>
      <c r="K511">
        <v>1.1112169999999999</v>
      </c>
      <c r="L511">
        <v>365.89690000000002</v>
      </c>
      <c r="M511">
        <v>0.99990579999999996</v>
      </c>
      <c r="N511">
        <v>0</v>
      </c>
      <c r="O511">
        <v>2.4782049999999998E-3</v>
      </c>
      <c r="P511">
        <v>0.98966869999999996</v>
      </c>
      <c r="Q511">
        <v>0.14224489999999901</v>
      </c>
      <c r="R511">
        <v>-1.7951539999999998E-2</v>
      </c>
      <c r="S511">
        <v>3.059723</v>
      </c>
      <c r="T511">
        <v>-0.16313839999999999</v>
      </c>
      <c r="U511">
        <v>0.2362061</v>
      </c>
      <c r="V511">
        <v>1.9935830000000002E-2</v>
      </c>
      <c r="W511">
        <v>0.1556563</v>
      </c>
      <c r="X511">
        <v>0.98761010000000005</v>
      </c>
      <c r="Y511">
        <v>-7.4396649999999995E-2</v>
      </c>
      <c r="Z511">
        <v>1.847144E-3</v>
      </c>
      <c r="AA511">
        <v>0.99722699999999997</v>
      </c>
      <c r="AB511">
        <v>29</v>
      </c>
      <c r="AC511">
        <v>20.3963</v>
      </c>
      <c r="AD511">
        <v>-1.1112181793360001</v>
      </c>
      <c r="AE511">
        <v>1.6059999999999901</v>
      </c>
      <c r="AF511">
        <v>-1.5508692934821</v>
      </c>
      <c r="AG511">
        <v>-1.1112181793360001</v>
      </c>
      <c r="AH511">
        <v>20.3402155196645</v>
      </c>
      <c r="AI511">
        <v>93.118018352898403</v>
      </c>
      <c r="AJ511">
        <v>94.360163735939096</v>
      </c>
      <c r="AK511">
        <v>20.429497516922801</v>
      </c>
      <c r="AL511">
        <v>81.045138664316696</v>
      </c>
      <c r="AM511">
        <v>88.843588360819695</v>
      </c>
      <c r="AN511">
        <v>1.0000000153347399</v>
      </c>
    </row>
    <row r="512" spans="1:40" x14ac:dyDescent="0.25">
      <c r="A512" t="str">
        <f>"20190312172620987"</f>
        <v>20190312172620987</v>
      </c>
      <c r="B512" t="str">
        <f>"1552382780979038"</f>
        <v>1552382780979038</v>
      </c>
      <c r="C512" t="s">
        <v>40</v>
      </c>
      <c r="D512">
        <v>3.1690299999999998</v>
      </c>
      <c r="E512">
        <v>0.46334930000000002</v>
      </c>
      <c r="F512" t="s">
        <v>41</v>
      </c>
      <c r="G512">
        <v>-327.5745</v>
      </c>
      <c r="H512" s="1">
        <v>-1.3874259999999999E-6</v>
      </c>
      <c r="I512">
        <v>367.56110000000001</v>
      </c>
      <c r="J512">
        <v>-348.24259999999998</v>
      </c>
      <c r="K512">
        <v>1.111218</v>
      </c>
      <c r="L512">
        <v>365.89940000000001</v>
      </c>
      <c r="M512">
        <v>0.99990049999999997</v>
      </c>
      <c r="N512">
        <v>0</v>
      </c>
      <c r="O512">
        <v>4.0888729999999998E-3</v>
      </c>
      <c r="P512">
        <v>0.98957280000000003</v>
      </c>
      <c r="Q512">
        <v>0.14301340000000001</v>
      </c>
      <c r="R512">
        <v>-1.7110150000000001E-2</v>
      </c>
      <c r="S512">
        <v>3.0590519999999999</v>
      </c>
      <c r="T512">
        <v>-0.16211819999999999</v>
      </c>
      <c r="U512">
        <v>0.24279790000000001</v>
      </c>
      <c r="V512">
        <v>2.0686650000000001E-2</v>
      </c>
      <c r="W512">
        <v>0.15642310000000001</v>
      </c>
      <c r="X512">
        <v>0.9874735</v>
      </c>
      <c r="Y512">
        <v>-7.4945579999999998E-2</v>
      </c>
      <c r="Z512">
        <v>1.7652010000000001E-3</v>
      </c>
      <c r="AA512">
        <v>0.99718609999999996</v>
      </c>
      <c r="AB512">
        <v>29</v>
      </c>
      <c r="AC512">
        <v>20.6680999999999</v>
      </c>
      <c r="AD512">
        <v>-1.1112193874259999</v>
      </c>
      <c r="AE512">
        <v>1.66169999999999</v>
      </c>
      <c r="AF512">
        <v>-1.5726523456288399</v>
      </c>
      <c r="AG512">
        <v>-1.1112193874259999</v>
      </c>
      <c r="AH512">
        <v>20.6155123861998</v>
      </c>
      <c r="AI512">
        <v>93.076455651821206</v>
      </c>
      <c r="AJ512">
        <v>94.362353952685496</v>
      </c>
      <c r="AK512">
        <v>20.705250418016199</v>
      </c>
      <c r="AL512">
        <v>81.000659452575306</v>
      </c>
      <c r="AM512">
        <v>88.799882331899099</v>
      </c>
      <c r="AN512">
        <v>1.0000000184520399</v>
      </c>
    </row>
    <row r="513" spans="1:40" x14ac:dyDescent="0.25">
      <c r="A513" t="str">
        <f>"20190312172621009"</f>
        <v>20190312172621009</v>
      </c>
      <c r="B513" t="str">
        <f>"1552382780999534"</f>
        <v>1552382780999534</v>
      </c>
      <c r="C513" t="s">
        <v>40</v>
      </c>
      <c r="D513">
        <v>3.1399620000000001</v>
      </c>
      <c r="E513">
        <v>0.4633776</v>
      </c>
      <c r="F513" t="s">
        <v>41</v>
      </c>
      <c r="G513">
        <v>-326.88029999999998</v>
      </c>
      <c r="H513" s="1">
        <v>-1.6763839999999999E-6</v>
      </c>
      <c r="I513">
        <v>367.61090000000002</v>
      </c>
      <c r="J513">
        <v>-347.96620000000001</v>
      </c>
      <c r="K513">
        <v>1.1112229999999901</v>
      </c>
      <c r="L513">
        <v>365.90219999999999</v>
      </c>
      <c r="M513">
        <v>0.99989340000000004</v>
      </c>
      <c r="N513">
        <v>0</v>
      </c>
      <c r="O513">
        <v>5.5747959999999999E-3</v>
      </c>
      <c r="P513">
        <v>0.98956290000000002</v>
      </c>
      <c r="Q513">
        <v>0.1432282</v>
      </c>
      <c r="R513">
        <v>-1.585174E-2</v>
      </c>
      <c r="S513">
        <v>3.0588679999999999</v>
      </c>
      <c r="T513">
        <v>-0.15911500000000001</v>
      </c>
      <c r="U513">
        <v>0.24508669999999999</v>
      </c>
      <c r="V513">
        <v>2.0898549999999998E-2</v>
      </c>
      <c r="W513">
        <v>0.15663589999999999</v>
      </c>
      <c r="X513">
        <v>0.98743530000000002</v>
      </c>
      <c r="Y513">
        <v>-7.421643E-2</v>
      </c>
      <c r="Z513">
        <v>1.636558E-3</v>
      </c>
      <c r="AA513">
        <v>0.99724080000000004</v>
      </c>
      <c r="AB513">
        <v>29</v>
      </c>
      <c r="AC513">
        <v>21.085899999999999</v>
      </c>
      <c r="AD513">
        <v>-1.1112246763839999</v>
      </c>
      <c r="AE513">
        <v>1.7087000000000201</v>
      </c>
      <c r="AF513">
        <v>-1.58673509100254</v>
      </c>
      <c r="AG513">
        <v>-1.1112246763839999</v>
      </c>
      <c r="AH513">
        <v>21.037054200044299</v>
      </c>
      <c r="AI513">
        <v>93.015133669111904</v>
      </c>
      <c r="AJ513">
        <v>94.313408434756298</v>
      </c>
      <c r="AK513">
        <v>21.126054954629499</v>
      </c>
      <c r="AL513">
        <v>80.9883146927274</v>
      </c>
      <c r="AM513">
        <v>88.7875459026274</v>
      </c>
      <c r="AN513">
        <v>1.0000000131235001</v>
      </c>
    </row>
    <row r="514" spans="1:40" x14ac:dyDescent="0.25">
      <c r="A514" t="str">
        <f>"20190312172621030"</f>
        <v>20190312172621030</v>
      </c>
      <c r="B514" t="str">
        <f>"1552382781019058"</f>
        <v>1552382781019058</v>
      </c>
      <c r="C514" t="s">
        <v>40</v>
      </c>
      <c r="D514">
        <v>3.181867</v>
      </c>
      <c r="E514">
        <v>0.46342410000000001</v>
      </c>
      <c r="F514" t="s">
        <v>41</v>
      </c>
      <c r="G514">
        <v>-326.49639999999999</v>
      </c>
      <c r="H514" s="1">
        <v>-1.834664E-6</v>
      </c>
      <c r="I514">
        <v>367.64710000000002</v>
      </c>
      <c r="J514">
        <v>-347.6841</v>
      </c>
      <c r="K514">
        <v>1.1112229999999901</v>
      </c>
      <c r="L514">
        <v>365.90539999999999</v>
      </c>
      <c r="M514">
        <v>0.99988379999999999</v>
      </c>
      <c r="N514">
        <v>0</v>
      </c>
      <c r="O514">
        <v>7.0913549999999997E-3</v>
      </c>
      <c r="P514">
        <v>0.98951710000000004</v>
      </c>
      <c r="Q514">
        <v>0.14366119999999999</v>
      </c>
      <c r="R514">
        <v>-1.474059E-2</v>
      </c>
      <c r="S514">
        <v>3.0585330000000002</v>
      </c>
      <c r="T514">
        <v>-0.15830179999999999</v>
      </c>
      <c r="U514">
        <v>0.24859619999999999</v>
      </c>
      <c r="V514">
        <v>2.1287509999999999E-2</v>
      </c>
      <c r="W514">
        <v>0.15706729999999899</v>
      </c>
      <c r="X514">
        <v>0.98735850000000003</v>
      </c>
      <c r="Y514">
        <v>-7.3852899999999999E-2</v>
      </c>
      <c r="Z514">
        <v>1.5406160000000001E-3</v>
      </c>
      <c r="AA514">
        <v>0.99726800000000004</v>
      </c>
      <c r="AB514">
        <v>29</v>
      </c>
      <c r="AC514">
        <v>21.1877</v>
      </c>
      <c r="AD514">
        <v>-1.1112248346639999</v>
      </c>
      <c r="AE514">
        <v>1.74170000000003</v>
      </c>
      <c r="AF514">
        <v>-1.5870568682763799</v>
      </c>
      <c r="AG514">
        <v>-1.1112248346639999</v>
      </c>
      <c r="AH514">
        <v>21.141755933952599</v>
      </c>
      <c r="AI514">
        <v>93.000309686507904</v>
      </c>
      <c r="AJ514">
        <v>94.292994034148705</v>
      </c>
      <c r="AK514">
        <v>21.230341827373799</v>
      </c>
      <c r="AL514">
        <v>80.963287858355201</v>
      </c>
      <c r="AM514">
        <v>88.764890819786103</v>
      </c>
      <c r="AN514">
        <v>1.0000000511667599</v>
      </c>
    </row>
    <row r="515" spans="1:40" x14ac:dyDescent="0.25">
      <c r="A515" t="str">
        <f>"20190312172621052"</f>
        <v>20190312172621052</v>
      </c>
      <c r="B515" t="str">
        <f>"1552382781049311"</f>
        <v>1552382781049311</v>
      </c>
      <c r="C515" t="s">
        <v>40</v>
      </c>
      <c r="D515">
        <v>3.1692339999999999</v>
      </c>
      <c r="E515">
        <v>0.46364759999999999</v>
      </c>
      <c r="F515" t="s">
        <v>41</v>
      </c>
      <c r="G515">
        <v>-326.18020000000001</v>
      </c>
      <c r="H515" s="1">
        <v>-1.9655040000000002E-6</v>
      </c>
      <c r="I515">
        <v>367.67419999999998</v>
      </c>
      <c r="J515">
        <v>-347.39769999999999</v>
      </c>
      <c r="K515">
        <v>1.1112219999999999</v>
      </c>
      <c r="L515">
        <v>365.90910000000002</v>
      </c>
      <c r="M515">
        <v>0.99987159999999997</v>
      </c>
      <c r="N515">
        <v>0</v>
      </c>
      <c r="O515">
        <v>8.6306209999999998E-3</v>
      </c>
      <c r="P515">
        <v>0.98952649999999998</v>
      </c>
      <c r="Q515">
        <v>0.14374700000000001</v>
      </c>
      <c r="R515">
        <v>-1.320228E-2</v>
      </c>
      <c r="S515">
        <v>3.0584720000000001</v>
      </c>
      <c r="T515">
        <v>-0.15804779999999999</v>
      </c>
      <c r="U515">
        <v>0.2515869</v>
      </c>
      <c r="V515">
        <v>2.127273E-2</v>
      </c>
      <c r="W515">
        <v>0.15715109999999999</v>
      </c>
      <c r="X515">
        <v>0.98734549999999999</v>
      </c>
      <c r="Y515">
        <v>-7.3291049999999996E-2</v>
      </c>
      <c r="Z515">
        <v>1.4442859999999999E-3</v>
      </c>
      <c r="AA515">
        <v>0.99730960000000002</v>
      </c>
      <c r="AB515">
        <v>29</v>
      </c>
      <c r="AC515">
        <v>21.217499999999902</v>
      </c>
      <c r="AD515">
        <v>-1.1112239655039999</v>
      </c>
      <c r="AE515">
        <v>1.7650999999999599</v>
      </c>
      <c r="AF515">
        <v>-1.5775998486420699</v>
      </c>
      <c r="AG515">
        <v>-1.1112239655039999</v>
      </c>
      <c r="AH515">
        <v>21.174264574553199</v>
      </c>
      <c r="AI515">
        <v>92.995834355258907</v>
      </c>
      <c r="AJ515">
        <v>94.2609798375574</v>
      </c>
      <c r="AK515">
        <v>21.262011199722501</v>
      </c>
      <c r="AL515">
        <v>80.958426237927597</v>
      </c>
      <c r="AM515">
        <v>88.765731849580803</v>
      </c>
      <c r="AN515">
        <v>1.0000000668215501</v>
      </c>
    </row>
    <row r="516" spans="1:40" x14ac:dyDescent="0.25">
      <c r="A516" t="str">
        <f>"20190312172621076"</f>
        <v>20190312172621076</v>
      </c>
      <c r="B516" t="str">
        <f>"1552382781068831"</f>
        <v>1552382781068831</v>
      </c>
      <c r="C516" t="s">
        <v>40</v>
      </c>
      <c r="D516">
        <v>3.1762359999999998</v>
      </c>
      <c r="E516">
        <v>0.46377040000000003</v>
      </c>
      <c r="F516" t="s">
        <v>41</v>
      </c>
      <c r="G516">
        <v>-325.8759</v>
      </c>
      <c r="H516" s="1">
        <v>-2.0916859999999998E-6</v>
      </c>
      <c r="I516">
        <v>367.69900000000001</v>
      </c>
      <c r="J516">
        <v>-347.08730000000003</v>
      </c>
      <c r="K516">
        <v>1.111221</v>
      </c>
      <c r="L516">
        <v>365.91370000000001</v>
      </c>
      <c r="M516">
        <v>0.99985599999999997</v>
      </c>
      <c r="N516">
        <v>0</v>
      </c>
      <c r="O516">
        <v>1.0299819999999999E-2</v>
      </c>
      <c r="P516">
        <v>0.98950159999999998</v>
      </c>
      <c r="Q516">
        <v>0.14401529999999901</v>
      </c>
      <c r="R516">
        <v>-1.210868E-2</v>
      </c>
      <c r="S516">
        <v>3.0580750000000001</v>
      </c>
      <c r="T516">
        <v>-0.1578947</v>
      </c>
      <c r="U516">
        <v>0.25433349999999999</v>
      </c>
      <c r="V516">
        <v>2.1830550000000001E-2</v>
      </c>
      <c r="W516">
        <v>0.15741810000000001</v>
      </c>
      <c r="X516">
        <v>0.98729069999999997</v>
      </c>
      <c r="Y516">
        <v>-7.2529679999999999E-2</v>
      </c>
      <c r="Z516">
        <v>1.3374459999999999E-3</v>
      </c>
      <c r="AA516">
        <v>0.99736539999999996</v>
      </c>
      <c r="AB516">
        <v>29</v>
      </c>
      <c r="AC516">
        <v>21.211400000000001</v>
      </c>
      <c r="AD516">
        <v>-1.111223091686</v>
      </c>
      <c r="AE516">
        <v>1.7853000000000001</v>
      </c>
      <c r="AF516">
        <v>-1.56245381173993</v>
      </c>
      <c r="AG516">
        <v>-1.111223091686</v>
      </c>
      <c r="AH516">
        <v>21.1709694964823</v>
      </c>
      <c r="AI516">
        <v>92.996452673885599</v>
      </c>
      <c r="AJ516">
        <v>94.220874497634895</v>
      </c>
      <c r="AK516">
        <v>21.25761106273</v>
      </c>
      <c r="AL516">
        <v>80.942934652248496</v>
      </c>
      <c r="AM516">
        <v>88.733306622090794</v>
      </c>
      <c r="AN516">
        <v>0.99999997871370006</v>
      </c>
    </row>
    <row r="517" spans="1:40" x14ac:dyDescent="0.25">
      <c r="A517" t="str">
        <f>"20190312172621099"</f>
        <v>20190312172621099</v>
      </c>
      <c r="B517" t="str">
        <f>"1552382781089326"</f>
        <v>1552382781089326</v>
      </c>
      <c r="C517" t="s">
        <v>40</v>
      </c>
      <c r="D517">
        <v>3.1757599999999999</v>
      </c>
      <c r="E517">
        <v>0.46384300000000001</v>
      </c>
      <c r="F517" t="s">
        <v>41</v>
      </c>
      <c r="G517">
        <v>-325.46519999999998</v>
      </c>
      <c r="H517" s="1">
        <v>-2.2620320000000001E-6</v>
      </c>
      <c r="I517">
        <v>367.7319</v>
      </c>
      <c r="J517">
        <v>-346.7885</v>
      </c>
      <c r="K517">
        <v>1.111216</v>
      </c>
      <c r="L517">
        <v>365.91860000000003</v>
      </c>
      <c r="M517">
        <v>0.99983809999999995</v>
      </c>
      <c r="N517">
        <v>0</v>
      </c>
      <c r="O517">
        <v>1.1907279999999999E-2</v>
      </c>
      <c r="P517">
        <v>0.98962589999999995</v>
      </c>
      <c r="Q517">
        <v>0.14327000000000001</v>
      </c>
      <c r="R517">
        <v>-1.0697750000000001E-2</v>
      </c>
      <c r="S517">
        <v>3.0578609999999999</v>
      </c>
      <c r="T517">
        <v>-0.1571516</v>
      </c>
      <c r="U517">
        <v>0.25714110000000001</v>
      </c>
      <c r="V517">
        <v>2.2014720000000002E-2</v>
      </c>
      <c r="W517">
        <v>0.15667220000000001</v>
      </c>
      <c r="X517">
        <v>0.98740530000000004</v>
      </c>
      <c r="Y517">
        <v>-7.1845110000000004E-2</v>
      </c>
      <c r="Z517">
        <v>1.231258E-3</v>
      </c>
      <c r="AA517">
        <v>0.9974151</v>
      </c>
      <c r="AB517">
        <v>29</v>
      </c>
      <c r="AC517">
        <v>21.3233</v>
      </c>
      <c r="AD517">
        <v>-1.1112182620319999</v>
      </c>
      <c r="AE517">
        <v>1.8132999999999599</v>
      </c>
      <c r="AF517">
        <v>-1.5550529976726499</v>
      </c>
      <c r="AG517">
        <v>-1.1112182620319999</v>
      </c>
      <c r="AH517">
        <v>21.2859890576749</v>
      </c>
      <c r="AI517">
        <v>92.980439771610506</v>
      </c>
      <c r="AJ517">
        <v>94.178334010574105</v>
      </c>
      <c r="AK517">
        <v>21.3716243185888</v>
      </c>
      <c r="AL517">
        <v>80.986208976167006</v>
      </c>
      <c r="AM517">
        <v>88.722772093988198</v>
      </c>
      <c r="AN517">
        <v>1.0000000263088</v>
      </c>
    </row>
    <row r="518" spans="1:40" x14ac:dyDescent="0.25">
      <c r="A518" t="str">
        <f>"20190312172621121"</f>
        <v>20190312172621121</v>
      </c>
      <c r="B518" t="str">
        <f>"1552382781108847"</f>
        <v>1552382781108847</v>
      </c>
      <c r="C518" t="s">
        <v>40</v>
      </c>
      <c r="D518">
        <v>3.196053</v>
      </c>
      <c r="E518">
        <v>0.46631349999999999</v>
      </c>
      <c r="F518" t="s">
        <v>41</v>
      </c>
      <c r="G518">
        <v>-325.5145</v>
      </c>
      <c r="H518" s="1">
        <v>-2.2411539999999998E-6</v>
      </c>
      <c r="I518">
        <v>367.7303</v>
      </c>
      <c r="J518">
        <v>-346.49790000000002</v>
      </c>
      <c r="K518">
        <v>1.111208</v>
      </c>
      <c r="L518">
        <v>365.9237</v>
      </c>
      <c r="M518">
        <v>0.99981830000000005</v>
      </c>
      <c r="N518">
        <v>0</v>
      </c>
      <c r="O518">
        <v>1.347045E-2</v>
      </c>
      <c r="P518">
        <v>0.98968389999999995</v>
      </c>
      <c r="Q518">
        <v>0.14294129999999899</v>
      </c>
      <c r="R518">
        <v>-9.6788289999999999E-3</v>
      </c>
      <c r="S518">
        <v>3.0573730000000001</v>
      </c>
      <c r="T518">
        <v>-0.15969739999999999</v>
      </c>
      <c r="U518">
        <v>0.260376</v>
      </c>
      <c r="V518">
        <v>2.2545490000000001E-2</v>
      </c>
      <c r="W518">
        <v>0.15634389999999901</v>
      </c>
      <c r="X518">
        <v>0.98744540000000003</v>
      </c>
      <c r="Y518">
        <v>-7.1347049999999995E-2</v>
      </c>
      <c r="Z518">
        <v>1.1569180000000001E-3</v>
      </c>
      <c r="AA518">
        <v>0.99745090000000003</v>
      </c>
      <c r="AB518">
        <v>29</v>
      </c>
      <c r="AC518">
        <v>20.9834</v>
      </c>
      <c r="AD518">
        <v>-1.1112102411539999</v>
      </c>
      <c r="AE518">
        <v>1.8066</v>
      </c>
      <c r="AF518">
        <v>-1.5195244958579599</v>
      </c>
      <c r="AG518">
        <v>-1.1112102411539999</v>
      </c>
      <c r="AH518">
        <v>20.9475206643429</v>
      </c>
      <c r="AI518">
        <v>93.028599601686395</v>
      </c>
      <c r="AJ518">
        <v>94.148945122908202</v>
      </c>
      <c r="AK518">
        <v>21.031936783773201</v>
      </c>
      <c r="AL518">
        <v>81.0052542372445</v>
      </c>
      <c r="AM518">
        <v>88.692042085218603</v>
      </c>
      <c r="AN518">
        <v>1.0000000660838499</v>
      </c>
    </row>
    <row r="519" spans="1:40" x14ac:dyDescent="0.25">
      <c r="A519" t="str">
        <f>"20190312172621142"</f>
        <v>20190312172621142</v>
      </c>
      <c r="B519" t="str">
        <f>"1552382781129343"</f>
        <v>1552382781129343</v>
      </c>
      <c r="C519" t="s">
        <v>40</v>
      </c>
      <c r="D519">
        <v>3.221759</v>
      </c>
      <c r="E519">
        <v>0.46656110000000001</v>
      </c>
      <c r="F519" t="s">
        <v>41</v>
      </c>
      <c r="G519">
        <v>-327.38529999999997</v>
      </c>
      <c r="H519" s="1">
        <v>-1.4885969999999999E-6</v>
      </c>
      <c r="I519">
        <v>367.44830000000002</v>
      </c>
      <c r="J519">
        <v>-346.22840000000002</v>
      </c>
      <c r="K519">
        <v>1.1112070000000001</v>
      </c>
      <c r="L519">
        <v>365.92899999999997</v>
      </c>
      <c r="M519">
        <v>0.99979770000000001</v>
      </c>
      <c r="N519">
        <v>0</v>
      </c>
      <c r="O519">
        <v>1.492073E-2</v>
      </c>
      <c r="P519">
        <v>0.98975389999999996</v>
      </c>
      <c r="Q519">
        <v>0.14253660000000001</v>
      </c>
      <c r="R519">
        <v>-8.4175429999999996E-3</v>
      </c>
      <c r="S519">
        <v>3.0593569999999999</v>
      </c>
      <c r="T519">
        <v>-0.177871</v>
      </c>
      <c r="U519">
        <v>0.24404909999999999</v>
      </c>
      <c r="V519">
        <v>2.272221E-2</v>
      </c>
      <c r="W519">
        <v>0.1559384</v>
      </c>
      <c r="X519">
        <v>0.98750539999999998</v>
      </c>
      <c r="Y519">
        <v>-6.4551819999999996E-2</v>
      </c>
      <c r="Z519">
        <v>1.0066579999999999E-3</v>
      </c>
      <c r="AA519">
        <v>0.99791379999999996</v>
      </c>
      <c r="AB519">
        <v>29</v>
      </c>
      <c r="AC519">
        <v>18.8431</v>
      </c>
      <c r="AD519">
        <v>-1.1112084885969999</v>
      </c>
      <c r="AE519">
        <v>1.5192999999999801</v>
      </c>
      <c r="AF519">
        <v>-1.2336898191253201</v>
      </c>
      <c r="AG519">
        <v>-1.1112084885969999</v>
      </c>
      <c r="AH519">
        <v>18.798719942019702</v>
      </c>
      <c r="AI519">
        <v>93.375621984526504</v>
      </c>
      <c r="AJ519">
        <v>93.754724025600098</v>
      </c>
      <c r="AK519">
        <v>18.871900972965999</v>
      </c>
      <c r="AL519">
        <v>81.028775572098496</v>
      </c>
      <c r="AM519">
        <v>88.681873489171807</v>
      </c>
      <c r="AN519">
        <v>0.99999999922550198</v>
      </c>
    </row>
    <row r="520" spans="1:40" x14ac:dyDescent="0.25">
      <c r="A520" t="str">
        <f>"20190312172621166"</f>
        <v>20190312172621166</v>
      </c>
      <c r="B520" t="str">
        <f>"1552382781158623"</f>
        <v>1552382781158623</v>
      </c>
      <c r="C520" t="s">
        <v>40</v>
      </c>
      <c r="D520">
        <v>3.143888</v>
      </c>
      <c r="E520">
        <v>0.46639629999999999</v>
      </c>
      <c r="F520" t="s">
        <v>41</v>
      </c>
      <c r="G520">
        <v>-326.76749999999998</v>
      </c>
      <c r="H520" s="1">
        <v>-1.7454620000000001E-6</v>
      </c>
      <c r="I520">
        <v>367.49450000000002</v>
      </c>
      <c r="J520">
        <v>-345.92039999999997</v>
      </c>
      <c r="K520">
        <v>1.111199</v>
      </c>
      <c r="L520">
        <v>365.93529999999998</v>
      </c>
      <c r="M520">
        <v>0.99977179999999999</v>
      </c>
      <c r="N520">
        <v>0</v>
      </c>
      <c r="O520">
        <v>1.65782999999999E-2</v>
      </c>
      <c r="P520">
        <v>0.98981730000000001</v>
      </c>
      <c r="Q520">
        <v>0.14215169999999999</v>
      </c>
      <c r="R520">
        <v>-7.42954599999999E-3</v>
      </c>
      <c r="S520">
        <v>3.0582889999999998</v>
      </c>
      <c r="T520">
        <v>-0.17462639999999999</v>
      </c>
      <c r="U520">
        <v>0.24603269999999999</v>
      </c>
      <c r="V520">
        <v>2.3377889999999998E-2</v>
      </c>
      <c r="W520">
        <v>0.15555359999999999</v>
      </c>
      <c r="X520">
        <v>0.98755079999999995</v>
      </c>
      <c r="Y520">
        <v>-6.3575309999999996E-2</v>
      </c>
      <c r="Z520">
        <v>8.6644509999999903E-4</v>
      </c>
      <c r="AA520">
        <v>0.99797670000000005</v>
      </c>
      <c r="AB520">
        <v>29</v>
      </c>
      <c r="AC520">
        <v>19.152899999999899</v>
      </c>
      <c r="AD520">
        <v>-1.1112007454620001</v>
      </c>
      <c r="AE520">
        <v>1.5592000000000299</v>
      </c>
      <c r="AF520">
        <v>-1.2372969984556199</v>
      </c>
      <c r="AG520">
        <v>-1.1112007454620001</v>
      </c>
      <c r="AH520">
        <v>19.112210145359299</v>
      </c>
      <c r="AI520">
        <v>93.320545677459194</v>
      </c>
      <c r="AJ520">
        <v>93.704077439379603</v>
      </c>
      <c r="AK520">
        <v>19.184427215829999</v>
      </c>
      <c r="AL520">
        <v>81.0510954993685</v>
      </c>
      <c r="AM520">
        <v>88.643913499323304</v>
      </c>
      <c r="AN520">
        <v>1.0000000153972199</v>
      </c>
    </row>
    <row r="521" spans="1:40" x14ac:dyDescent="0.25">
      <c r="A521" t="str">
        <f>"20190312172621188"</f>
        <v>20190312172621188</v>
      </c>
      <c r="B521" t="str">
        <f>"1552382781179118"</f>
        <v>1552382781179118</v>
      </c>
      <c r="C521" t="s">
        <v>40</v>
      </c>
      <c r="D521">
        <v>2.7882549999999999</v>
      </c>
      <c r="E521">
        <v>0.46753109999999998</v>
      </c>
      <c r="F521" t="s">
        <v>41</v>
      </c>
      <c r="G521">
        <v>-327.03949999999998</v>
      </c>
      <c r="H521" s="1">
        <v>-1.631117E-6</v>
      </c>
      <c r="I521">
        <v>367.4812</v>
      </c>
      <c r="J521">
        <v>-345.62189999999998</v>
      </c>
      <c r="K521">
        <v>1.1111960000000001</v>
      </c>
      <c r="L521">
        <v>365.94200000000001</v>
      </c>
      <c r="M521">
        <v>0.99974379999999996</v>
      </c>
      <c r="N521">
        <v>0</v>
      </c>
      <c r="O521">
        <v>1.8185159999999999E-2</v>
      </c>
      <c r="P521">
        <v>0.98984629999999996</v>
      </c>
      <c r="Q521">
        <v>0.14200789999999999</v>
      </c>
      <c r="R521">
        <v>-6.1847079999999997E-3</v>
      </c>
      <c r="S521">
        <v>3.0585939999999998</v>
      </c>
      <c r="T521">
        <v>-0.1800071</v>
      </c>
      <c r="U521">
        <v>0.25042720000000002</v>
      </c>
      <c r="V521">
        <v>2.372558E-2</v>
      </c>
      <c r="W521">
        <v>0.15540899999999999</v>
      </c>
      <c r="X521">
        <v>0.98756529999999998</v>
      </c>
      <c r="Y521">
        <v>-6.3386209999999998E-2</v>
      </c>
      <c r="Z521">
        <v>7.9311649999999905E-4</v>
      </c>
      <c r="AA521">
        <v>0.99798880000000001</v>
      </c>
      <c r="AB521">
        <v>29</v>
      </c>
      <c r="AC521">
        <v>18.5824</v>
      </c>
      <c r="AD521">
        <v>-1.11119763111699</v>
      </c>
      <c r="AE521">
        <v>1.5392000000000501</v>
      </c>
      <c r="AF521">
        <v>-1.1967406137838901</v>
      </c>
      <c r="AG521">
        <v>-1.11119763111699</v>
      </c>
      <c r="AH521">
        <v>18.541470049958299</v>
      </c>
      <c r="AI521">
        <v>93.422551939894404</v>
      </c>
      <c r="AJ521">
        <v>93.692976163584007</v>
      </c>
      <c r="AK521">
        <v>18.613249578877401</v>
      </c>
      <c r="AL521">
        <v>81.059482695861604</v>
      </c>
      <c r="AM521">
        <v>88.623772866672695</v>
      </c>
      <c r="AN521">
        <v>1.0000000410957099</v>
      </c>
    </row>
    <row r="522" spans="1:40" x14ac:dyDescent="0.25">
      <c r="A522" t="str">
        <f>"20190312172621254"</f>
        <v>20190312172621254</v>
      </c>
      <c r="B522" t="str">
        <f>"1552382781249391"</f>
        <v>1552382781249391</v>
      </c>
      <c r="C522" t="s">
        <v>40</v>
      </c>
      <c r="D522">
        <v>2.9433829999999999</v>
      </c>
      <c r="E522">
        <v>0.46753109999999998</v>
      </c>
      <c r="F522" t="s">
        <v>41</v>
      </c>
      <c r="G522">
        <v>-329.11290000000002</v>
      </c>
      <c r="H522" s="1">
        <v>-9.1242239999999998E-7</v>
      </c>
      <c r="I522">
        <v>367.26929999999999</v>
      </c>
      <c r="J522">
        <v>-344.77589999999998</v>
      </c>
      <c r="K522">
        <v>1.1111879999999901</v>
      </c>
      <c r="L522">
        <v>365.96379999999999</v>
      </c>
      <c r="M522">
        <v>0.9996507</v>
      </c>
      <c r="N522">
        <v>0</v>
      </c>
      <c r="O522">
        <v>2.2740260000000002E-2</v>
      </c>
      <c r="P522">
        <v>0.98979269999999997</v>
      </c>
      <c r="Q522">
        <v>0.1424299</v>
      </c>
      <c r="R522">
        <v>-4.9507309999999999E-3</v>
      </c>
      <c r="S522">
        <v>3.06189</v>
      </c>
      <c r="T522">
        <v>-0.20609079999999999</v>
      </c>
      <c r="U522">
        <v>0.2461853</v>
      </c>
      <c r="V522">
        <v>2.7000429999999999E-2</v>
      </c>
      <c r="W522">
        <v>0.15583250000000001</v>
      </c>
      <c r="X522">
        <v>0.98741440000000003</v>
      </c>
      <c r="Y522">
        <v>-5.7376690000000001E-2</v>
      </c>
      <c r="Z522">
        <v>3.9956939999999998E-4</v>
      </c>
      <c r="AA522">
        <v>0.99835249999999998</v>
      </c>
      <c r="AB522">
        <v>29</v>
      </c>
      <c r="AC522">
        <v>15.662999999999901</v>
      </c>
      <c r="AD522">
        <v>-1.1111889124223999</v>
      </c>
      <c r="AE522">
        <v>1.3054999999999899</v>
      </c>
      <c r="AF522">
        <v>-0.94422983981437003</v>
      </c>
      <c r="AG522">
        <v>-1.1111889124223999</v>
      </c>
      <c r="AH522">
        <v>15.610613047638701</v>
      </c>
      <c r="AI522">
        <v>94.064136972769106</v>
      </c>
      <c r="AJ522">
        <v>93.461398452929799</v>
      </c>
      <c r="AK522">
        <v>15.678569785302299</v>
      </c>
      <c r="AL522">
        <v>81.0349182445091</v>
      </c>
      <c r="AM522">
        <v>88.433661412144502</v>
      </c>
      <c r="AN522">
        <v>0.99999999430189701</v>
      </c>
    </row>
    <row r="523" spans="1:40" x14ac:dyDescent="0.25">
      <c r="A523" t="str">
        <f>"20190312172621276"</f>
        <v>20190312172621276</v>
      </c>
      <c r="B523" t="str">
        <f>"1552382781268911"</f>
        <v>1552382781268911</v>
      </c>
      <c r="C523" t="s">
        <v>40</v>
      </c>
      <c r="D523">
        <v>3.224488</v>
      </c>
      <c r="E523">
        <v>0.46877350000000001</v>
      </c>
      <c r="F523" t="s">
        <v>41</v>
      </c>
      <c r="G523">
        <v>-328.13010000000003</v>
      </c>
      <c r="H523" s="1">
        <v>-1.231269E-6</v>
      </c>
      <c r="I523">
        <v>367.32810000000001</v>
      </c>
      <c r="J523">
        <v>-344.48590000000002</v>
      </c>
      <c r="K523">
        <v>1.111191</v>
      </c>
      <c r="L523">
        <v>365.97210000000001</v>
      </c>
      <c r="M523">
        <v>0.99961390000000006</v>
      </c>
      <c r="N523">
        <v>0</v>
      </c>
      <c r="O523">
        <v>2.430247E-2</v>
      </c>
      <c r="P523">
        <v>0.98987369999999997</v>
      </c>
      <c r="Q523">
        <v>0.1418719</v>
      </c>
      <c r="R523">
        <v>-4.7618870000000002E-3</v>
      </c>
      <c r="S523">
        <v>3.0616150000000002</v>
      </c>
      <c r="T523">
        <v>-0.20437659999999999</v>
      </c>
      <c r="U523">
        <v>0.250946</v>
      </c>
      <c r="V523">
        <v>2.8362129999999999E-2</v>
      </c>
      <c r="W523">
        <v>0.15527759999999999</v>
      </c>
      <c r="X523">
        <v>0.98746369999999895</v>
      </c>
      <c r="Y523">
        <v>-5.7370640000000001E-2</v>
      </c>
      <c r="Z523">
        <v>2.9213630000000002E-4</v>
      </c>
      <c r="AA523">
        <v>0.99835289999999999</v>
      </c>
      <c r="AB523">
        <v>29</v>
      </c>
      <c r="AC523">
        <v>16.355799999999899</v>
      </c>
      <c r="AD523">
        <v>-1.1111922312689999</v>
      </c>
      <c r="AE523">
        <v>1.3559999999999901</v>
      </c>
      <c r="AF523">
        <v>-0.95370509247212398</v>
      </c>
      <c r="AG523">
        <v>-1.1111922312689999</v>
      </c>
      <c r="AH523">
        <v>16.309161767027899</v>
      </c>
      <c r="AI523">
        <v>93.891083327712906</v>
      </c>
      <c r="AJ523">
        <v>93.346653886750204</v>
      </c>
      <c r="AK523">
        <v>16.374768979174199</v>
      </c>
      <c r="AL523">
        <v>81.067103968502906</v>
      </c>
      <c r="AM523">
        <v>88.354791468494298</v>
      </c>
      <c r="AN523">
        <v>1.0000000511487901</v>
      </c>
    </row>
    <row r="524" spans="1:40" x14ac:dyDescent="0.25">
      <c r="A524" t="str">
        <f>"20190312172621298"</f>
        <v>20190312172621298</v>
      </c>
      <c r="B524" t="str">
        <f>"1552382781289406"</f>
        <v>1552382781289406</v>
      </c>
      <c r="C524" t="s">
        <v>40</v>
      </c>
      <c r="D524">
        <v>3.3035800000000002</v>
      </c>
      <c r="E524">
        <v>0.47019539999999999</v>
      </c>
      <c r="F524" t="s">
        <v>41</v>
      </c>
      <c r="G524">
        <v>-326.2208</v>
      </c>
      <c r="H524" s="1">
        <v>-1.9939020000000001E-6</v>
      </c>
      <c r="I524">
        <v>367.416</v>
      </c>
      <c r="J524">
        <v>-344.2011</v>
      </c>
      <c r="K524">
        <v>1.1111899999999999</v>
      </c>
      <c r="L524">
        <v>365.98070000000001</v>
      </c>
      <c r="M524">
        <v>0.9995754</v>
      </c>
      <c r="N524">
        <v>0</v>
      </c>
      <c r="O524">
        <v>2.5836669999999999E-2</v>
      </c>
      <c r="P524">
        <v>0.98989579999999999</v>
      </c>
      <c r="Q524">
        <v>0.1417291</v>
      </c>
      <c r="R524">
        <v>-4.3719010000000001E-3</v>
      </c>
      <c r="S524">
        <v>3.0585629999999999</v>
      </c>
      <c r="T524">
        <v>-0.1860733</v>
      </c>
      <c r="U524">
        <v>0.2417908</v>
      </c>
      <c r="V524">
        <v>2.9492830000000001E-2</v>
      </c>
      <c r="W524">
        <v>0.1551362</v>
      </c>
      <c r="X524">
        <v>0.98745269999999996</v>
      </c>
      <c r="Y524">
        <v>-5.2973039999999999E-2</v>
      </c>
      <c r="Z524" s="1">
        <v>3.982463E-5</v>
      </c>
      <c r="AA524">
        <v>0.99859600000000004</v>
      </c>
      <c r="AB524">
        <v>29</v>
      </c>
      <c r="AC524">
        <v>17.9803</v>
      </c>
      <c r="AD524">
        <v>-1.1111919939020001</v>
      </c>
      <c r="AE524">
        <v>1.43529999999998</v>
      </c>
      <c r="AF524">
        <v>-0.96655932928214505</v>
      </c>
      <c r="AG524">
        <v>-1.1111919939020001</v>
      </c>
      <c r="AH524">
        <v>17.943286465991999</v>
      </c>
      <c r="AI524">
        <v>93.538570868785996</v>
      </c>
      <c r="AJ524">
        <v>93.083398248164499</v>
      </c>
      <c r="AK524">
        <v>18.003625017895299</v>
      </c>
      <c r="AL524">
        <v>81.075304071468096</v>
      </c>
      <c r="AM524">
        <v>88.289221879243399</v>
      </c>
      <c r="AN524">
        <v>0.99999995115456797</v>
      </c>
    </row>
    <row r="525" spans="1:40" x14ac:dyDescent="0.25">
      <c r="A525" t="str">
        <f>"20190312172621320"</f>
        <v>20190312172621320</v>
      </c>
      <c r="B525" t="str">
        <f>"1552382781308927"</f>
        <v>1552382781308927</v>
      </c>
      <c r="C525" t="s">
        <v>40</v>
      </c>
      <c r="D525">
        <v>3.2247560000000002</v>
      </c>
      <c r="E525">
        <v>0.47148370000000001</v>
      </c>
      <c r="F525" t="s">
        <v>41</v>
      </c>
      <c r="G525">
        <v>-326.13819999999998</v>
      </c>
      <c r="H525" s="1">
        <v>-2.041506E-6</v>
      </c>
      <c r="I525">
        <v>367.34750000000003</v>
      </c>
      <c r="J525">
        <v>-343.92230000000001</v>
      </c>
      <c r="K525">
        <v>1.1111899999999999</v>
      </c>
      <c r="L525">
        <v>365.9896</v>
      </c>
      <c r="M525">
        <v>0.99953539999999996</v>
      </c>
      <c r="N525">
        <v>0</v>
      </c>
      <c r="O525">
        <v>2.733851E-2</v>
      </c>
      <c r="P525">
        <v>0.98992100000000005</v>
      </c>
      <c r="Q525">
        <v>0.14156640000000001</v>
      </c>
      <c r="R525">
        <v>-3.9555969999999999E-3</v>
      </c>
      <c r="S525">
        <v>3.0585939999999998</v>
      </c>
      <c r="T525">
        <v>-0.1881573</v>
      </c>
      <c r="U525">
        <v>0.23144529999999999</v>
      </c>
      <c r="V525">
        <v>3.056501E-2</v>
      </c>
      <c r="W525">
        <v>0.15497420000000001</v>
      </c>
      <c r="X525">
        <v>0.98744560000000003</v>
      </c>
      <c r="Y525">
        <v>-4.8124460000000001E-2</v>
      </c>
      <c r="Z525">
        <v>-2.0063439999999999E-4</v>
      </c>
      <c r="AA525">
        <v>0.99884130000000004</v>
      </c>
      <c r="AB525">
        <v>29</v>
      </c>
      <c r="AC525">
        <v>17.784099999999999</v>
      </c>
      <c r="AD525">
        <v>-1.1111920415059999</v>
      </c>
      <c r="AE525">
        <v>1.3579000000000201</v>
      </c>
      <c r="AF525">
        <v>-0.86778917610602402</v>
      </c>
      <c r="AG525">
        <v>-1.1111920415059999</v>
      </c>
      <c r="AH525">
        <v>17.745699628620802</v>
      </c>
      <c r="AI525">
        <v>93.578777263700303</v>
      </c>
      <c r="AJ525">
        <v>92.799612414707696</v>
      </c>
      <c r="AK525">
        <v>17.801619620599201</v>
      </c>
      <c r="AL525">
        <v>81.084700218175698</v>
      </c>
      <c r="AM525">
        <v>88.227054644673601</v>
      </c>
      <c r="AN525">
        <v>1.0000000177306501</v>
      </c>
    </row>
    <row r="526" spans="1:40" x14ac:dyDescent="0.25">
      <c r="A526" t="str">
        <f>"20190312172621342"</f>
        <v>20190312172621342</v>
      </c>
      <c r="B526" t="str">
        <f>"1552382781339183"</f>
        <v>1552382781339183</v>
      </c>
      <c r="C526" t="s">
        <v>40</v>
      </c>
      <c r="D526">
        <v>3.1964090000000001</v>
      </c>
      <c r="E526">
        <v>0.47295169999999997</v>
      </c>
      <c r="F526" t="s">
        <v>41</v>
      </c>
      <c r="G526">
        <v>-325.14640000000003</v>
      </c>
      <c r="H526" s="1">
        <v>-2.4656479999999998E-6</v>
      </c>
      <c r="I526">
        <v>367.35489999999999</v>
      </c>
      <c r="J526">
        <v>-343.63409999999999</v>
      </c>
      <c r="K526">
        <v>1.1111850000000001</v>
      </c>
      <c r="L526">
        <v>365.99919999999997</v>
      </c>
      <c r="M526">
        <v>0.99949189999999999</v>
      </c>
      <c r="N526">
        <v>0</v>
      </c>
      <c r="O526">
        <v>2.8891719999999999E-2</v>
      </c>
      <c r="P526">
        <v>0.98989919999999998</v>
      </c>
      <c r="Q526">
        <v>0.141738</v>
      </c>
      <c r="R526">
        <v>-3.18557E-3</v>
      </c>
      <c r="S526">
        <v>3.057312</v>
      </c>
      <c r="T526">
        <v>-0.18093680000000001</v>
      </c>
      <c r="U526">
        <v>0.22232060000000001</v>
      </c>
      <c r="V526">
        <v>3.133263E-2</v>
      </c>
      <c r="W526">
        <v>0.15514520000000001</v>
      </c>
      <c r="X526">
        <v>0.98739469999999996</v>
      </c>
      <c r="Y526">
        <v>-4.365194E-2</v>
      </c>
      <c r="Z526">
        <v>-4.1677739999999998E-4</v>
      </c>
      <c r="AA526">
        <v>0.99904669999999896</v>
      </c>
      <c r="AB526">
        <v>29</v>
      </c>
      <c r="AC526">
        <v>18.487699999999901</v>
      </c>
      <c r="AD526">
        <v>-1.1111874656479901</v>
      </c>
      <c r="AE526">
        <v>1.3557000000000099</v>
      </c>
      <c r="AF526">
        <v>-0.81800485760150299</v>
      </c>
      <c r="AG526">
        <v>-1.1111874656479901</v>
      </c>
      <c r="AH526">
        <v>18.452848373987401</v>
      </c>
      <c r="AI526">
        <v>93.442684017422593</v>
      </c>
      <c r="AJ526">
        <v>92.5382293773268</v>
      </c>
      <c r="AK526">
        <v>18.5043638811023</v>
      </c>
      <c r="AL526">
        <v>81.0747828006117</v>
      </c>
      <c r="AM526">
        <v>88.182464165642401</v>
      </c>
      <c r="AN526">
        <v>1.0000000301869201</v>
      </c>
    </row>
    <row r="527" spans="1:40" x14ac:dyDescent="0.25">
      <c r="A527" t="str">
        <f>"20190312172621366"</f>
        <v>20190312172621366</v>
      </c>
      <c r="B527" t="str">
        <f>"1552382781358703"</f>
        <v>1552382781358703</v>
      </c>
      <c r="C527" t="s">
        <v>40</v>
      </c>
      <c r="D527">
        <v>3.199827</v>
      </c>
      <c r="E527">
        <v>0.47345660000000001</v>
      </c>
      <c r="F527" t="s">
        <v>41</v>
      </c>
      <c r="G527">
        <v>-324.17660000000001</v>
      </c>
      <c r="H527" s="1">
        <v>-2.8811860000000001E-6</v>
      </c>
      <c r="I527">
        <v>367.3578</v>
      </c>
      <c r="J527">
        <v>-343.3227</v>
      </c>
      <c r="K527">
        <v>1.1111789999999999</v>
      </c>
      <c r="L527">
        <v>366.01</v>
      </c>
      <c r="M527">
        <v>0.99944200000000005</v>
      </c>
      <c r="N527">
        <v>0</v>
      </c>
      <c r="O527">
        <v>3.056998E-2</v>
      </c>
      <c r="P527">
        <v>0.98995</v>
      </c>
      <c r="Q527">
        <v>0.14139930000000001</v>
      </c>
      <c r="R527">
        <v>-2.3352949999999998E-3</v>
      </c>
      <c r="S527">
        <v>3.056305</v>
      </c>
      <c r="T527">
        <v>-0.17454049999999999</v>
      </c>
      <c r="U527">
        <v>0.2134094</v>
      </c>
      <c r="V527">
        <v>3.2147389999999998E-2</v>
      </c>
      <c r="W527">
        <v>0.15480650000000001</v>
      </c>
      <c r="X527">
        <v>0.98742160000000001</v>
      </c>
      <c r="Y527">
        <v>-3.9111449999999999E-2</v>
      </c>
      <c r="Z527">
        <v>-6.2722190000000005E-4</v>
      </c>
      <c r="AA527">
        <v>0.99923470000000003</v>
      </c>
      <c r="AB527">
        <v>29</v>
      </c>
      <c r="AC527">
        <v>19.146099999999901</v>
      </c>
      <c r="AD527">
        <v>-1.1111818811859999</v>
      </c>
      <c r="AE527">
        <v>1.3478000000000001</v>
      </c>
      <c r="AF527">
        <v>-0.75927619191469098</v>
      </c>
      <c r="AG527">
        <v>-1.1111818811859999</v>
      </c>
      <c r="AH527">
        <v>19.1142909713076</v>
      </c>
      <c r="AI527">
        <v>93.324447434517893</v>
      </c>
      <c r="AJ527">
        <v>92.274761930401198</v>
      </c>
      <c r="AK527">
        <v>19.161611227777701</v>
      </c>
      <c r="AL527">
        <v>81.094425591743899</v>
      </c>
      <c r="AM527">
        <v>88.1352854704744</v>
      </c>
      <c r="AN527">
        <v>0.99999996163631</v>
      </c>
    </row>
    <row r="528" spans="1:40" x14ac:dyDescent="0.25">
      <c r="A528" t="str">
        <f>"20190312172621388"</f>
        <v>20190312172621388</v>
      </c>
      <c r="B528" t="str">
        <f>"1552382781379198"</f>
        <v>1552382781379198</v>
      </c>
      <c r="C528" t="s">
        <v>40</v>
      </c>
      <c r="D528">
        <v>3.2149779999999999</v>
      </c>
      <c r="E528">
        <v>0.4738887</v>
      </c>
      <c r="F528" t="s">
        <v>41</v>
      </c>
      <c r="G528">
        <v>-323.92140000000001</v>
      </c>
      <c r="H528" s="1">
        <v>-2.9901610000000002E-6</v>
      </c>
      <c r="I528">
        <v>367.3605</v>
      </c>
      <c r="J528">
        <v>-343.03530000000001</v>
      </c>
      <c r="K528">
        <v>1.1111770000000001</v>
      </c>
      <c r="L528">
        <v>366.02050000000003</v>
      </c>
      <c r="M528">
        <v>0.99939339999999999</v>
      </c>
      <c r="N528">
        <v>0</v>
      </c>
      <c r="O528">
        <v>3.2119269999999998E-2</v>
      </c>
      <c r="P528">
        <v>0.99002159999999995</v>
      </c>
      <c r="Q528">
        <v>0.1409058</v>
      </c>
      <c r="R528">
        <v>-1.769079E-3</v>
      </c>
      <c r="S528">
        <v>3.0559690000000002</v>
      </c>
      <c r="T528">
        <v>-0.17502619999999999</v>
      </c>
      <c r="U528">
        <v>0.21273800000000001</v>
      </c>
      <c r="V528">
        <v>3.3119610000000001E-2</v>
      </c>
      <c r="W528">
        <v>0.1543147</v>
      </c>
      <c r="X528">
        <v>0.98746650000000002</v>
      </c>
      <c r="Y528">
        <v>-3.7356859999999999E-2</v>
      </c>
      <c r="Z528">
        <v>-7.6766390000000001E-4</v>
      </c>
      <c r="AA528">
        <v>0.99930169999999996</v>
      </c>
      <c r="AB528">
        <v>29</v>
      </c>
      <c r="AC528">
        <v>19.113900000000001</v>
      </c>
      <c r="AD528">
        <v>-1.111179990161</v>
      </c>
      <c r="AE528">
        <v>1.3399999999999701</v>
      </c>
      <c r="AF528">
        <v>-0.72289717131037101</v>
      </c>
      <c r="AG528">
        <v>-1.111179990161</v>
      </c>
      <c r="AH528">
        <v>19.0829021069842</v>
      </c>
      <c r="AI528">
        <v>93.330134756217802</v>
      </c>
      <c r="AJ528">
        <v>92.169437390526198</v>
      </c>
      <c r="AK528">
        <v>19.128890561544999</v>
      </c>
      <c r="AL528">
        <v>81.122946832944095</v>
      </c>
      <c r="AM528">
        <v>88.079020614090098</v>
      </c>
      <c r="AN528">
        <v>1.0000000119124399</v>
      </c>
    </row>
    <row r="529" spans="1:40" x14ac:dyDescent="0.25">
      <c r="A529" t="str">
        <f>"20190312172621410"</f>
        <v>20190312172621410</v>
      </c>
      <c r="B529" t="str">
        <f>"1552382781398719"</f>
        <v>1552382781398719</v>
      </c>
      <c r="C529" t="s">
        <v>40</v>
      </c>
      <c r="D529">
        <v>3.2199559999999998</v>
      </c>
      <c r="E529">
        <v>0.474354</v>
      </c>
      <c r="F529" t="s">
        <v>41</v>
      </c>
      <c r="G529">
        <v>-323.64769999999999</v>
      </c>
      <c r="H529" s="1">
        <v>-3.1075880000000002E-6</v>
      </c>
      <c r="I529">
        <v>367.36040000000003</v>
      </c>
      <c r="J529">
        <v>-342.75959999999998</v>
      </c>
      <c r="K529">
        <v>1.111167</v>
      </c>
      <c r="L529">
        <v>366.03100000000001</v>
      </c>
      <c r="M529">
        <v>0.99934460000000003</v>
      </c>
      <c r="N529">
        <v>0</v>
      </c>
      <c r="O529">
        <v>3.360424E-2</v>
      </c>
      <c r="P529">
        <v>0.99006810000000001</v>
      </c>
      <c r="Q529">
        <v>0.14058319999999999</v>
      </c>
      <c r="R529">
        <v>-1.3173060000000001E-3</v>
      </c>
      <c r="S529">
        <v>3.0555110000000001</v>
      </c>
      <c r="T529">
        <v>-0.175123</v>
      </c>
      <c r="U529">
        <v>0.2111816</v>
      </c>
      <c r="V529">
        <v>3.4141440000000002E-2</v>
      </c>
      <c r="W529">
        <v>0.15399289999999999</v>
      </c>
      <c r="X529">
        <v>0.98748199999999997</v>
      </c>
      <c r="Y529">
        <v>-3.5381349999999999E-2</v>
      </c>
      <c r="Z529">
        <v>-9.0958170000000004E-4</v>
      </c>
      <c r="AA529">
        <v>0.99937350000000003</v>
      </c>
      <c r="AB529">
        <v>29</v>
      </c>
      <c r="AC529">
        <v>19.111899999999899</v>
      </c>
      <c r="AD529">
        <v>-1.1111701075880001</v>
      </c>
      <c r="AE529">
        <v>1.3294000000000199</v>
      </c>
      <c r="AF529">
        <v>-0.68404885090998502</v>
      </c>
      <c r="AG529">
        <v>-1.1111701075880001</v>
      </c>
      <c r="AH529">
        <v>19.081590868764099</v>
      </c>
      <c r="AI529">
        <v>93.330582271798505</v>
      </c>
      <c r="AJ529">
        <v>92.053095887201493</v>
      </c>
      <c r="AK529">
        <v>19.1261530873652</v>
      </c>
      <c r="AL529">
        <v>81.141608240220506</v>
      </c>
      <c r="AM529">
        <v>88.019830714254297</v>
      </c>
      <c r="AN529">
        <v>1.00000007574983</v>
      </c>
    </row>
    <row r="530" spans="1:40" x14ac:dyDescent="0.25">
      <c r="A530" t="str">
        <f>"20190312172621431"</f>
        <v>20190312172621431</v>
      </c>
      <c r="B530" t="str">
        <f>"1552382781428975"</f>
        <v>1552382781428975</v>
      </c>
      <c r="C530" t="s">
        <v>40</v>
      </c>
      <c r="D530">
        <v>3.1933419999999999</v>
      </c>
      <c r="E530">
        <v>0.47493190000000002</v>
      </c>
      <c r="F530" t="s">
        <v>41</v>
      </c>
      <c r="G530">
        <v>-323.40589999999997</v>
      </c>
      <c r="H530" s="1">
        <v>-3.2119749999999999E-6</v>
      </c>
      <c r="I530">
        <v>367.35669999999999</v>
      </c>
      <c r="J530">
        <v>-342.48230000000001</v>
      </c>
      <c r="K530">
        <v>1.111162</v>
      </c>
      <c r="L530">
        <v>366.04199999999997</v>
      </c>
      <c r="M530">
        <v>0.99929330000000005</v>
      </c>
      <c r="N530">
        <v>0</v>
      </c>
      <c r="O530">
        <v>3.5097070000000001E-2</v>
      </c>
      <c r="P530">
        <v>0.99014409999999997</v>
      </c>
      <c r="Q530">
        <v>0.14004800000000001</v>
      </c>
      <c r="R530">
        <v>-1.3034819999999999E-3</v>
      </c>
      <c r="S530">
        <v>3.055237</v>
      </c>
      <c r="T530">
        <v>-0.17541289999999901</v>
      </c>
      <c r="U530">
        <v>0.20928959999999999</v>
      </c>
      <c r="V530">
        <v>3.5610900000000001E-2</v>
      </c>
      <c r="W530">
        <v>0.15346000000000001</v>
      </c>
      <c r="X530">
        <v>0.98751299999999997</v>
      </c>
      <c r="Y530">
        <v>-3.3284420000000002E-2</v>
      </c>
      <c r="Z530">
        <v>-1.056726E-3</v>
      </c>
      <c r="AA530">
        <v>0.99944540000000004</v>
      </c>
      <c r="AB530">
        <v>29</v>
      </c>
      <c r="AC530">
        <v>19.0764</v>
      </c>
      <c r="AD530">
        <v>-1.111165211975</v>
      </c>
      <c r="AE530">
        <v>1.31470000000001</v>
      </c>
      <c r="AF530">
        <v>-0.64213513040666603</v>
      </c>
      <c r="AG530">
        <v>-1.111165211975</v>
      </c>
      <c r="AH530">
        <v>19.046475031059899</v>
      </c>
      <c r="AI530">
        <v>93.336941181466997</v>
      </c>
      <c r="AJ530">
        <v>91.930945366633196</v>
      </c>
      <c r="AK530">
        <v>19.089663086675799</v>
      </c>
      <c r="AL530">
        <v>81.172507928945507</v>
      </c>
      <c r="AM530">
        <v>87.934740573725094</v>
      </c>
      <c r="AN530">
        <v>1.0000000164839</v>
      </c>
    </row>
    <row r="531" spans="1:40" x14ac:dyDescent="0.25">
      <c r="A531" t="str">
        <f>"20190312172621455"</f>
        <v>20190312172621455</v>
      </c>
      <c r="B531" t="str">
        <f>"1552382781449472"</f>
        <v>1552382781449472</v>
      </c>
      <c r="C531" t="s">
        <v>40</v>
      </c>
      <c r="D531">
        <v>3.3312119999999998</v>
      </c>
      <c r="E531">
        <v>0.47519080000000002</v>
      </c>
      <c r="F531" t="s">
        <v>41</v>
      </c>
      <c r="G531">
        <v>-323.2</v>
      </c>
      <c r="H531" s="1">
        <v>-3.3040660000000002E-6</v>
      </c>
      <c r="I531">
        <v>367.33550000000002</v>
      </c>
      <c r="J531">
        <v>-342.18849999999998</v>
      </c>
      <c r="K531">
        <v>1.111156</v>
      </c>
      <c r="L531">
        <v>366.05410000000001</v>
      </c>
      <c r="M531">
        <v>0.99923669999999998</v>
      </c>
      <c r="N531">
        <v>0</v>
      </c>
      <c r="O531">
        <v>3.667434E-2</v>
      </c>
      <c r="P531">
        <v>0.99017840000000001</v>
      </c>
      <c r="Q531">
        <v>0.1398076</v>
      </c>
      <c r="R531">
        <v>-6.1062159999999998E-4</v>
      </c>
      <c r="S531">
        <v>3.0550540000000002</v>
      </c>
      <c r="T531">
        <v>-0.17605109999999999</v>
      </c>
      <c r="U531">
        <v>0.2049561</v>
      </c>
      <c r="V531">
        <v>3.6483889999999998E-2</v>
      </c>
      <c r="W531">
        <v>0.1532192</v>
      </c>
      <c r="X531">
        <v>0.98751849999999997</v>
      </c>
      <c r="Y531">
        <v>-3.030714E-2</v>
      </c>
      <c r="Z531">
        <v>-1.236933E-3</v>
      </c>
      <c r="AA531">
        <v>0.99953990000000004</v>
      </c>
      <c r="AB531">
        <v>29</v>
      </c>
      <c r="AC531">
        <v>18.988499999999899</v>
      </c>
      <c r="AD531">
        <v>-1.1111593040659999</v>
      </c>
      <c r="AE531">
        <v>1.2814000000000101</v>
      </c>
      <c r="AF531">
        <v>-0.58209982114925696</v>
      </c>
      <c r="AG531">
        <v>-1.1111593040659999</v>
      </c>
      <c r="AH531">
        <v>18.9580984554742</v>
      </c>
      <c r="AI531">
        <v>93.352767660378106</v>
      </c>
      <c r="AJ531">
        <v>91.758688402946902</v>
      </c>
      <c r="AK531">
        <v>18.999552948641899</v>
      </c>
      <c r="AL531">
        <v>81.186469661027402</v>
      </c>
      <c r="AM531">
        <v>87.884168629395901</v>
      </c>
      <c r="AN531">
        <v>0.99999999266021</v>
      </c>
    </row>
    <row r="532" spans="1:40" x14ac:dyDescent="0.25">
      <c r="A532" t="str">
        <f>"20190312172621477"</f>
        <v>20190312172621477</v>
      </c>
      <c r="B532" t="str">
        <f>"1552382781468991"</f>
        <v>1552382781468991</v>
      </c>
      <c r="C532" t="s">
        <v>40</v>
      </c>
      <c r="D532">
        <v>3.326079</v>
      </c>
      <c r="E532">
        <v>0.47541139999999998</v>
      </c>
      <c r="F532" t="s">
        <v>41</v>
      </c>
      <c r="G532">
        <v>-322.87119999999999</v>
      </c>
      <c r="H532" s="1">
        <v>-3.4427140000000001E-6</v>
      </c>
      <c r="I532">
        <v>367.34930000000003</v>
      </c>
      <c r="J532">
        <v>-341.89839999999998</v>
      </c>
      <c r="K532">
        <v>1.111145</v>
      </c>
      <c r="L532">
        <v>366.06639999999999</v>
      </c>
      <c r="M532">
        <v>0.99917860000000003</v>
      </c>
      <c r="N532">
        <v>0</v>
      </c>
      <c r="O532">
        <v>3.8222819999999998E-2</v>
      </c>
      <c r="P532">
        <v>0.99024599999999996</v>
      </c>
      <c r="Q532">
        <v>0.13932839999999999</v>
      </c>
      <c r="R532">
        <v>-7.5092210000000004E-4</v>
      </c>
      <c r="S532">
        <v>3.0547179999999998</v>
      </c>
      <c r="T532">
        <v>-0.17571020000000001</v>
      </c>
      <c r="U532">
        <v>0.20483399999999999</v>
      </c>
      <c r="V532">
        <v>3.8164410000000003E-2</v>
      </c>
      <c r="W532">
        <v>0.152742299999999</v>
      </c>
      <c r="X532">
        <v>0.98752890000000004</v>
      </c>
      <c r="Y532">
        <v>-2.8730769999999999E-2</v>
      </c>
      <c r="Z532">
        <v>-1.368731E-3</v>
      </c>
      <c r="AA532">
        <v>0.99958619999999998</v>
      </c>
      <c r="AB532">
        <v>29</v>
      </c>
      <c r="AC532">
        <v>19.027200000000001</v>
      </c>
      <c r="AD532">
        <v>-1.1111484427139999</v>
      </c>
      <c r="AE532">
        <v>1.2829000000000399</v>
      </c>
      <c r="AF532">
        <v>-0.552746710867839</v>
      </c>
      <c r="AG532">
        <v>-1.1111484427139999</v>
      </c>
      <c r="AH532">
        <v>18.997838282289301</v>
      </c>
      <c r="AI532">
        <v>93.345898118836004</v>
      </c>
      <c r="AJ532">
        <v>91.666564435125807</v>
      </c>
      <c r="AK532">
        <v>19.038330787864201</v>
      </c>
      <c r="AL532">
        <v>81.214119814032799</v>
      </c>
      <c r="AM532">
        <v>87.786827329960005</v>
      </c>
      <c r="AN532">
        <v>1.00000003036757</v>
      </c>
    </row>
    <row r="533" spans="1:40" x14ac:dyDescent="0.25">
      <c r="A533" t="str">
        <f>"20190312172621499"</f>
        <v>20190312172621499</v>
      </c>
      <c r="B533" t="str">
        <f>"1552382781489487"</f>
        <v>1552382781489487</v>
      </c>
      <c r="C533" t="s">
        <v>40</v>
      </c>
      <c r="D533">
        <v>3.3090980000000001</v>
      </c>
      <c r="E533">
        <v>0.51788380000000001</v>
      </c>
      <c r="F533" t="s">
        <v>41</v>
      </c>
      <c r="G533">
        <v>-322.67189999999999</v>
      </c>
      <c r="H533" s="1">
        <v>-3.5298949999999999E-6</v>
      </c>
      <c r="I533">
        <v>367.33980000000003</v>
      </c>
      <c r="J533">
        <v>-341.61720000000003</v>
      </c>
      <c r="K533">
        <v>1.111132</v>
      </c>
      <c r="L533">
        <v>366.07889999999998</v>
      </c>
      <c r="M533">
        <v>0.99912100000000004</v>
      </c>
      <c r="N533">
        <v>0</v>
      </c>
      <c r="O533">
        <v>3.9705200000000003E-2</v>
      </c>
      <c r="P533">
        <v>0.99023939999999999</v>
      </c>
      <c r="Q533">
        <v>0.1393712</v>
      </c>
      <c r="R533">
        <v>-1.3977620000000001E-3</v>
      </c>
      <c r="S533">
        <v>3.054535</v>
      </c>
      <c r="T533">
        <v>-0.17652860000000001</v>
      </c>
      <c r="U533">
        <v>0.20230100000000001</v>
      </c>
      <c r="V533">
        <v>4.0283390000000002E-2</v>
      </c>
      <c r="W533">
        <v>0.15278610000000001</v>
      </c>
      <c r="X533">
        <v>0.98743789999999998</v>
      </c>
      <c r="Y533">
        <v>-2.6432859999999999E-2</v>
      </c>
      <c r="Z533">
        <v>-1.5269050000000001E-3</v>
      </c>
      <c r="AA533">
        <v>0.99964940000000002</v>
      </c>
      <c r="AB533">
        <v>29</v>
      </c>
      <c r="AC533">
        <v>18.9453</v>
      </c>
      <c r="AD533">
        <v>-1.1111355298950001</v>
      </c>
      <c r="AE533">
        <v>1.2609000000000401</v>
      </c>
      <c r="AF533">
        <v>-0.50587817677824198</v>
      </c>
      <c r="AG533">
        <v>-1.1111355298950001</v>
      </c>
      <c r="AH533">
        <v>18.915647767918301</v>
      </c>
      <c r="AI533">
        <v>93.360584130031995</v>
      </c>
      <c r="AJ533">
        <v>91.531947385503599</v>
      </c>
      <c r="AK533">
        <v>18.955006340687099</v>
      </c>
      <c r="AL533">
        <v>81.211579964176096</v>
      </c>
      <c r="AM533">
        <v>87.663864161139799</v>
      </c>
      <c r="AN533">
        <v>0.99999997510975502</v>
      </c>
    </row>
    <row r="534" spans="1:40" x14ac:dyDescent="0.25">
      <c r="A534" t="str">
        <f>"20190312172621521"</f>
        <v>20190312172621521</v>
      </c>
      <c r="B534" t="str">
        <f>"1552382781518768"</f>
        <v>1552382781518768</v>
      </c>
      <c r="C534" t="s">
        <v>40</v>
      </c>
      <c r="D534">
        <v>3.3058489999999998</v>
      </c>
      <c r="E534">
        <v>0.52808149999999998</v>
      </c>
      <c r="F534" t="s">
        <v>43</v>
      </c>
      <c r="G534">
        <v>-314.03449999999998</v>
      </c>
      <c r="H534">
        <v>-0.05</v>
      </c>
      <c r="I534">
        <v>364.82069999999999</v>
      </c>
      <c r="J534">
        <v>-341.32979999999998</v>
      </c>
      <c r="K534">
        <v>1.1111120000000001</v>
      </c>
      <c r="L534">
        <v>366.09190000000001</v>
      </c>
      <c r="M534">
        <v>0.99906090000000003</v>
      </c>
      <c r="N534">
        <v>0</v>
      </c>
      <c r="O534">
        <v>4.118931E-2</v>
      </c>
      <c r="P534">
        <v>0.99024310000000004</v>
      </c>
      <c r="Q534">
        <v>0.13933129999999999</v>
      </c>
      <c r="R534">
        <v>-2.3673129999999998E-3</v>
      </c>
      <c r="S534">
        <v>3.0474549999999998</v>
      </c>
      <c r="T534">
        <v>-0.1282866</v>
      </c>
      <c r="U534">
        <v>-0.13900760000000001</v>
      </c>
      <c r="V534">
        <v>4.2730339999999999E-2</v>
      </c>
      <c r="W534">
        <v>0.15274699999999999</v>
      </c>
      <c r="X534">
        <v>0.98734109999999997</v>
      </c>
      <c r="Y534">
        <v>8.6565550000000005E-2</v>
      </c>
      <c r="Z534">
        <v>-3.55274E-3</v>
      </c>
      <c r="AA534">
        <v>0.99623980000000001</v>
      </c>
      <c r="AB534">
        <v>29</v>
      </c>
      <c r="AC534">
        <v>27.295300000000001</v>
      </c>
      <c r="AD534">
        <v>-1.1611119999999999</v>
      </c>
      <c r="AE534">
        <v>-1.2712000000000201</v>
      </c>
      <c r="AF534">
        <v>2.3901814015643801</v>
      </c>
      <c r="AG534">
        <v>-1.1611119999999999</v>
      </c>
      <c r="AH534">
        <v>27.170706794215398</v>
      </c>
      <c r="AI534">
        <v>92.437584840820094</v>
      </c>
      <c r="AJ534">
        <v>84.972685813623698</v>
      </c>
      <c r="AK534">
        <v>27.300338018166599</v>
      </c>
      <c r="AL534">
        <v>81.213846949966396</v>
      </c>
      <c r="AM534">
        <v>87.521888517037993</v>
      </c>
      <c r="AN534">
        <v>0.99999998785736199</v>
      </c>
    </row>
    <row r="535" spans="1:40" x14ac:dyDescent="0.25">
      <c r="A535" t="str">
        <f>"20190312172621544"</f>
        <v>20190312172621544</v>
      </c>
      <c r="B535" t="str">
        <f>"1552382781539263"</f>
        <v>1552382781539263</v>
      </c>
      <c r="C535" t="s">
        <v>40</v>
      </c>
      <c r="D535">
        <v>3.3116560000000002</v>
      </c>
      <c r="E535">
        <v>0.53106109999999995</v>
      </c>
      <c r="F535" t="s">
        <v>43</v>
      </c>
      <c r="G535">
        <v>-312.12</v>
      </c>
      <c r="H535">
        <v>-0.05</v>
      </c>
      <c r="I535">
        <v>363.95089999999999</v>
      </c>
      <c r="J535">
        <v>-341.04250000000002</v>
      </c>
      <c r="K535">
        <v>1.111081</v>
      </c>
      <c r="L535">
        <v>366.10539999999997</v>
      </c>
      <c r="M535">
        <v>0.99900049999999996</v>
      </c>
      <c r="N535">
        <v>0</v>
      </c>
      <c r="O535">
        <v>4.262755E-2</v>
      </c>
      <c r="P535">
        <v>0.99024670000000004</v>
      </c>
      <c r="Q535">
        <v>0.13929420000000001</v>
      </c>
      <c r="R535">
        <v>-2.9907810000000001E-3</v>
      </c>
      <c r="S535">
        <v>3.0460509999999998</v>
      </c>
      <c r="T535">
        <v>-0.1210828</v>
      </c>
      <c r="U535">
        <v>-0.22326660000000001</v>
      </c>
      <c r="V535">
        <v>4.4790240000000002E-2</v>
      </c>
      <c r="W535">
        <v>0.15270839999999999</v>
      </c>
      <c r="X535">
        <v>0.98725580000000002</v>
      </c>
      <c r="Y535">
        <v>0.11542760000000001</v>
      </c>
      <c r="Z535">
        <v>-3.9821630000000004E-3</v>
      </c>
      <c r="AA535">
        <v>0.99330790000000002</v>
      </c>
      <c r="AB535">
        <v>29</v>
      </c>
      <c r="AC535">
        <v>28.922499999999999</v>
      </c>
      <c r="AD535">
        <v>-1.161081</v>
      </c>
      <c r="AE535">
        <v>-2.1544999999999801</v>
      </c>
      <c r="AF535">
        <v>3.38013080790211</v>
      </c>
      <c r="AG535">
        <v>-1.161081</v>
      </c>
      <c r="AH535">
        <v>28.758265629769099</v>
      </c>
      <c r="AI535">
        <v>92.296204538152693</v>
      </c>
      <c r="AJ535">
        <v>83.296440983219696</v>
      </c>
      <c r="AK535">
        <v>28.979496810666799</v>
      </c>
      <c r="AL535">
        <v>81.216085086471494</v>
      </c>
      <c r="AM535">
        <v>87.402362022996002</v>
      </c>
      <c r="AN535">
        <v>1.0000000178317201</v>
      </c>
    </row>
    <row r="536" spans="1:40" x14ac:dyDescent="0.25">
      <c r="A536" t="str">
        <f>"20190312172621568"</f>
        <v>20190312172621568</v>
      </c>
      <c r="B536" t="str">
        <f>"1552382781558783"</f>
        <v>1552382781558783</v>
      </c>
      <c r="C536" t="s">
        <v>40</v>
      </c>
      <c r="D536">
        <v>3.3063020000000001</v>
      </c>
      <c r="E536">
        <v>0.53289200000000003</v>
      </c>
      <c r="F536" t="s">
        <v>43</v>
      </c>
      <c r="G536">
        <v>-311.79230000000001</v>
      </c>
      <c r="H536">
        <v>-0.05</v>
      </c>
      <c r="I536">
        <v>363.71179999999998</v>
      </c>
      <c r="J536">
        <v>-340.74130000000002</v>
      </c>
      <c r="K536">
        <v>1.1110359999999999</v>
      </c>
      <c r="L536">
        <v>366.1198</v>
      </c>
      <c r="M536">
        <v>0.99893799999999999</v>
      </c>
      <c r="N536">
        <v>0</v>
      </c>
      <c r="O536">
        <v>4.4071989999999998E-2</v>
      </c>
      <c r="P536">
        <v>0.99023490000000003</v>
      </c>
      <c r="Q536">
        <v>0.1393604</v>
      </c>
      <c r="R536">
        <v>-3.7111150000000001E-3</v>
      </c>
      <c r="S536">
        <v>3.045776</v>
      </c>
      <c r="T536">
        <v>-0.1209011</v>
      </c>
      <c r="U536">
        <v>-0.24923709999999999</v>
      </c>
      <c r="V536">
        <v>4.6957270000000002E-2</v>
      </c>
      <c r="W536">
        <v>0.15277060000000001</v>
      </c>
      <c r="X536">
        <v>0.98714550000000001</v>
      </c>
      <c r="Y536">
        <v>0.1252751</v>
      </c>
      <c r="Z536">
        <v>-4.2275960000000001E-3</v>
      </c>
      <c r="AA536">
        <v>0.99211309999999997</v>
      </c>
      <c r="AB536">
        <v>29</v>
      </c>
      <c r="AC536">
        <v>28.949000000000002</v>
      </c>
      <c r="AD536">
        <v>-1.161036</v>
      </c>
      <c r="AE536">
        <v>-2.4080000000000101</v>
      </c>
      <c r="AF536">
        <v>3.67574323325714</v>
      </c>
      <c r="AG536">
        <v>-1.161036</v>
      </c>
      <c r="AH536">
        <v>28.768774981044</v>
      </c>
      <c r="AI536">
        <v>92.292444632651197</v>
      </c>
      <c r="AJ536">
        <v>82.718854216966207</v>
      </c>
      <c r="AK536">
        <v>29.025876503907199</v>
      </c>
      <c r="AL536">
        <v>81.212479171283505</v>
      </c>
      <c r="AM536">
        <v>87.276564768762796</v>
      </c>
      <c r="AN536">
        <v>1.00000003980023</v>
      </c>
    </row>
    <row r="537" spans="1:40" x14ac:dyDescent="0.25">
      <c r="A537" t="str">
        <f>"20190312172621590"</f>
        <v>20190312172621590</v>
      </c>
      <c r="B537" t="str">
        <f>"1552382781579279"</f>
        <v>1552382781579279</v>
      </c>
      <c r="C537" t="s">
        <v>40</v>
      </c>
      <c r="D537">
        <v>3.3311199999999999</v>
      </c>
      <c r="E537">
        <v>0.53402399999999905</v>
      </c>
      <c r="F537" t="s">
        <v>43</v>
      </c>
      <c r="G537">
        <v>-311.05599999999998</v>
      </c>
      <c r="H537">
        <v>-0.05</v>
      </c>
      <c r="I537">
        <v>363.52640000000002</v>
      </c>
      <c r="J537">
        <v>-340.46210000000002</v>
      </c>
      <c r="K537">
        <v>1.110981</v>
      </c>
      <c r="L537">
        <v>366.1336</v>
      </c>
      <c r="M537">
        <v>0.99888160000000004</v>
      </c>
      <c r="N537">
        <v>0</v>
      </c>
      <c r="O537">
        <v>4.533119E-2</v>
      </c>
      <c r="P537">
        <v>0.99025430000000003</v>
      </c>
      <c r="Q537">
        <v>0.1391993</v>
      </c>
      <c r="R537">
        <v>-4.508934E-3</v>
      </c>
      <c r="S537">
        <v>3.0453190000000001</v>
      </c>
      <c r="T537">
        <v>-0.11910709999999999</v>
      </c>
      <c r="U537">
        <v>-0.26605220000000002</v>
      </c>
      <c r="V537">
        <v>4.9022900000000001E-2</v>
      </c>
      <c r="W537">
        <v>0.1526042</v>
      </c>
      <c r="X537">
        <v>0.98707069999999997</v>
      </c>
      <c r="Y537">
        <v>0.13197200000000001</v>
      </c>
      <c r="Z537">
        <v>-4.3444390000000003E-3</v>
      </c>
      <c r="AA537">
        <v>0.99124389999999996</v>
      </c>
      <c r="AB537">
        <v>29</v>
      </c>
      <c r="AC537">
        <v>29.406099999999999</v>
      </c>
      <c r="AD537">
        <v>-1.160981</v>
      </c>
      <c r="AE537">
        <v>-2.60719999999997</v>
      </c>
      <c r="AF537">
        <v>3.93157273881378</v>
      </c>
      <c r="AG537">
        <v>-1.160981</v>
      </c>
      <c r="AH537">
        <v>29.212487604546801</v>
      </c>
      <c r="AI537">
        <v>92.255572195920706</v>
      </c>
      <c r="AJ537">
        <v>82.334886222556193</v>
      </c>
      <c r="AK537">
        <v>29.498721550751</v>
      </c>
      <c r="AL537">
        <v>81.222125305042397</v>
      </c>
      <c r="AM537">
        <v>87.1567393632169</v>
      </c>
      <c r="AN537">
        <v>0.99999992669026705</v>
      </c>
    </row>
    <row r="538" spans="1:40" x14ac:dyDescent="0.25">
      <c r="A538" t="str">
        <f>"20190312172621611"</f>
        <v>20190312172621611</v>
      </c>
      <c r="B538" t="str">
        <f>"1552382781598817"</f>
        <v>1552382781598817</v>
      </c>
      <c r="C538" t="s">
        <v>40</v>
      </c>
      <c r="D538">
        <v>3.3719990000000002</v>
      </c>
      <c r="E538">
        <v>0.53474350000000004</v>
      </c>
      <c r="F538" t="s">
        <v>43</v>
      </c>
      <c r="G538">
        <v>-310.8272</v>
      </c>
      <c r="H538">
        <v>-0.05</v>
      </c>
      <c r="I538">
        <v>363.4359</v>
      </c>
      <c r="J538">
        <v>-340.18799999999999</v>
      </c>
      <c r="K538">
        <v>1.1109150000000001</v>
      </c>
      <c r="L538">
        <v>366.1474</v>
      </c>
      <c r="M538">
        <v>0.99882850000000001</v>
      </c>
      <c r="N538">
        <v>0</v>
      </c>
      <c r="O538">
        <v>4.6487960000000002E-2</v>
      </c>
      <c r="P538">
        <v>0.99036990000000003</v>
      </c>
      <c r="Q538">
        <v>0.13833989999999999</v>
      </c>
      <c r="R538">
        <v>-5.4506440000000001E-3</v>
      </c>
      <c r="S538">
        <v>3.045013</v>
      </c>
      <c r="T538">
        <v>-0.1192917</v>
      </c>
      <c r="U538">
        <v>-0.27719120000000003</v>
      </c>
      <c r="V538">
        <v>5.1139320000000002E-2</v>
      </c>
      <c r="W538">
        <v>0.15173889999999901</v>
      </c>
      <c r="X538">
        <v>0.9870968</v>
      </c>
      <c r="Y538">
        <v>0.13671949999999999</v>
      </c>
      <c r="Z538">
        <v>-4.4889209999999999E-3</v>
      </c>
      <c r="AA538">
        <v>0.99059960000000002</v>
      </c>
      <c r="AB538">
        <v>29</v>
      </c>
      <c r="AC538">
        <v>29.360800000000001</v>
      </c>
      <c r="AD538">
        <v>-1.1609149999999999</v>
      </c>
      <c r="AE538">
        <v>-2.7115</v>
      </c>
      <c r="AF538">
        <v>4.0673098431341899</v>
      </c>
      <c r="AG538">
        <v>-1.1609149999999999</v>
      </c>
      <c r="AH538">
        <v>29.157788100130901</v>
      </c>
      <c r="AI538">
        <v>92.258181205838099</v>
      </c>
      <c r="AJ538">
        <v>82.058877298768493</v>
      </c>
      <c r="AK538">
        <v>29.462982535538</v>
      </c>
      <c r="AL538">
        <v>81.272288249873895</v>
      </c>
      <c r="AM538">
        <v>87.034282822445604</v>
      </c>
      <c r="AN538">
        <v>1.0000000081967499</v>
      </c>
    </row>
    <row r="539" spans="1:40" x14ac:dyDescent="0.25">
      <c r="A539" t="str">
        <f>"20190312172621632"</f>
        <v>20190312172621632</v>
      </c>
      <c r="B539" t="str">
        <f>"1552382781629055"</f>
        <v>1552382781629055</v>
      </c>
      <c r="C539" t="s">
        <v>40</v>
      </c>
      <c r="D539">
        <v>3.3808729999999998</v>
      </c>
      <c r="E539">
        <v>0.53554799999999902</v>
      </c>
      <c r="F539" t="s">
        <v>43</v>
      </c>
      <c r="G539">
        <v>-311.16410000000002</v>
      </c>
      <c r="H539">
        <v>-0.05</v>
      </c>
      <c r="I539">
        <v>363.42380000000003</v>
      </c>
      <c r="J539">
        <v>-339.90719999999999</v>
      </c>
      <c r="K539">
        <v>1.110852</v>
      </c>
      <c r="L539">
        <v>366.1617</v>
      </c>
      <c r="M539">
        <v>0.99877609999999994</v>
      </c>
      <c r="N539">
        <v>0</v>
      </c>
      <c r="O539">
        <v>4.7600749999999997E-2</v>
      </c>
      <c r="P539">
        <v>0.99047929999999995</v>
      </c>
      <c r="Q539">
        <v>0.13750809999999999</v>
      </c>
      <c r="R539">
        <v>-6.5088330000000003E-3</v>
      </c>
      <c r="S539">
        <v>3.0446170000000001</v>
      </c>
      <c r="T539">
        <v>-0.121780399999999</v>
      </c>
      <c r="U539">
        <v>-0.285705599999999</v>
      </c>
      <c r="V539">
        <v>5.3327600000000003E-2</v>
      </c>
      <c r="W539">
        <v>0.15090139999999999</v>
      </c>
      <c r="X539">
        <v>0.98710940000000003</v>
      </c>
      <c r="Y539">
        <v>0.14057069999999999</v>
      </c>
      <c r="Z539">
        <v>-4.7037679999999997E-3</v>
      </c>
      <c r="AA539">
        <v>0.99005949999999998</v>
      </c>
      <c r="AB539">
        <v>29</v>
      </c>
      <c r="AC539">
        <v>28.743099999999899</v>
      </c>
      <c r="AD539">
        <v>-1.160852</v>
      </c>
      <c r="AE539">
        <v>-2.7378999999999598</v>
      </c>
      <c r="AF539">
        <v>4.0964906690127298</v>
      </c>
      <c r="AG539">
        <v>-1.160852</v>
      </c>
      <c r="AH539">
        <v>28.5340502615276</v>
      </c>
      <c r="AI539">
        <v>92.306064040585696</v>
      </c>
      <c r="AJ539">
        <v>81.830156013619003</v>
      </c>
      <c r="AK539">
        <v>28.849971187066998</v>
      </c>
      <c r="AL539">
        <v>81.320832535035905</v>
      </c>
      <c r="AM539">
        <v>86.907658794958905</v>
      </c>
      <c r="AN539">
        <v>1.0000000165060301</v>
      </c>
    </row>
    <row r="540" spans="1:40" x14ac:dyDescent="0.25">
      <c r="A540" t="str">
        <f>"20190312172621656"</f>
        <v>20190312172621656</v>
      </c>
      <c r="B540" t="str">
        <f>"1552382781649551"</f>
        <v>1552382781649551</v>
      </c>
      <c r="C540" t="s">
        <v>40</v>
      </c>
      <c r="D540">
        <v>3.3586520000000002</v>
      </c>
      <c r="E540">
        <v>0.53591929999999999</v>
      </c>
      <c r="F540" t="s">
        <v>43</v>
      </c>
      <c r="G540">
        <v>-311.39389999999997</v>
      </c>
      <c r="H540">
        <v>-0.05</v>
      </c>
      <c r="I540">
        <v>363.39589999999998</v>
      </c>
      <c r="J540">
        <v>-339.61610000000002</v>
      </c>
      <c r="K540">
        <v>1.1107860000000001</v>
      </c>
      <c r="L540">
        <v>366.17680000000001</v>
      </c>
      <c r="M540">
        <v>0.99872459999999996</v>
      </c>
      <c r="N540">
        <v>0</v>
      </c>
      <c r="O540">
        <v>4.8672300000000002E-2</v>
      </c>
      <c r="P540">
        <v>0.99050649999999996</v>
      </c>
      <c r="Q540">
        <v>0.137273799999999</v>
      </c>
      <c r="R540">
        <v>-7.27620099999999E-3</v>
      </c>
      <c r="S540">
        <v>3.044098</v>
      </c>
      <c r="T540">
        <v>-0.1239334</v>
      </c>
      <c r="U540">
        <v>-0.2952881</v>
      </c>
      <c r="V540">
        <v>5.517884E-2</v>
      </c>
      <c r="W540">
        <v>0.1506586</v>
      </c>
      <c r="X540">
        <v>0.9870447</v>
      </c>
      <c r="Y540">
        <v>0.1447262</v>
      </c>
      <c r="Z540">
        <v>-4.9148760000000003E-3</v>
      </c>
      <c r="AA540">
        <v>0.98945950000000005</v>
      </c>
      <c r="AB540">
        <v>29</v>
      </c>
      <c r="AC540">
        <v>28.222200000000001</v>
      </c>
      <c r="AD540">
        <v>-1.1607860000000001</v>
      </c>
      <c r="AE540">
        <v>-2.7809000000000301</v>
      </c>
      <c r="AF540">
        <v>4.1444229502924799</v>
      </c>
      <c r="AG540">
        <v>-1.1607860000000001</v>
      </c>
      <c r="AH540">
        <v>28.006457205962299</v>
      </c>
      <c r="AI540">
        <v>92.347845888833405</v>
      </c>
      <c r="AJ540">
        <v>81.5824035990954</v>
      </c>
      <c r="AK540">
        <v>28.335230914148202</v>
      </c>
      <c r="AL540">
        <v>81.334904506095896</v>
      </c>
      <c r="AM540">
        <v>86.800319777930298</v>
      </c>
      <c r="AN540">
        <v>0.99999997896789705</v>
      </c>
    </row>
    <row r="541" spans="1:40" x14ac:dyDescent="0.25">
      <c r="A541" t="str">
        <f>"20190312172621678"</f>
        <v>20190312172621678</v>
      </c>
      <c r="B541" t="str">
        <f>"1552382781669075"</f>
        <v>1552382781669075</v>
      </c>
      <c r="C541" t="s">
        <v>40</v>
      </c>
      <c r="D541">
        <v>3.3512379999999999</v>
      </c>
      <c r="E541">
        <v>0.53621790000000003</v>
      </c>
      <c r="F541" t="s">
        <v>43</v>
      </c>
      <c r="G541">
        <v>-311.22859999999997</v>
      </c>
      <c r="H541">
        <v>-0.05</v>
      </c>
      <c r="I541">
        <v>363.37020000000001</v>
      </c>
      <c r="J541">
        <v>-339.33139999999997</v>
      </c>
      <c r="K541">
        <v>1.1107199999999999</v>
      </c>
      <c r="L541">
        <v>366.1918</v>
      </c>
      <c r="M541">
        <v>0.99867729999999999</v>
      </c>
      <c r="N541">
        <v>0</v>
      </c>
      <c r="O541">
        <v>4.9633440000000001E-2</v>
      </c>
      <c r="P541">
        <v>0.99059160000000002</v>
      </c>
      <c r="Q541">
        <v>0.1366079</v>
      </c>
      <c r="R541">
        <v>-8.177152E-3</v>
      </c>
      <c r="S541">
        <v>3.043793</v>
      </c>
      <c r="T541">
        <v>-0.124463</v>
      </c>
      <c r="U541">
        <v>-0.30093379999999997</v>
      </c>
      <c r="V541">
        <v>5.7057900000000002E-2</v>
      </c>
      <c r="W541">
        <v>0.14998449999999999</v>
      </c>
      <c r="X541">
        <v>0.98704060000000005</v>
      </c>
      <c r="Y541">
        <v>0.14750079999999999</v>
      </c>
      <c r="Z541">
        <v>-5.0317000000000001E-3</v>
      </c>
      <c r="AA541">
        <v>0.98904910000000001</v>
      </c>
      <c r="AB541">
        <v>29</v>
      </c>
      <c r="AC541">
        <v>28.102799999999998</v>
      </c>
      <c r="AD541">
        <v>-1.16072</v>
      </c>
      <c r="AE541">
        <v>-2.8215999999999801</v>
      </c>
      <c r="AF541">
        <v>4.20598265040974</v>
      </c>
      <c r="AG541">
        <v>-1.16072</v>
      </c>
      <c r="AH541">
        <v>27.881010980936001</v>
      </c>
      <c r="AI541">
        <v>92.357274631724295</v>
      </c>
      <c r="AJ541">
        <v>81.421345081037202</v>
      </c>
      <c r="AK541">
        <v>28.220353192209</v>
      </c>
      <c r="AL541">
        <v>81.373972123246403</v>
      </c>
      <c r="AM541">
        <v>86.691582235591</v>
      </c>
      <c r="AN541">
        <v>1.0000000501205</v>
      </c>
    </row>
    <row r="542" spans="1:40" x14ac:dyDescent="0.25">
      <c r="A542" t="str">
        <f>"20190312172621699"</f>
        <v>20190312172621699</v>
      </c>
      <c r="B542" t="str">
        <f>"1552382781689571"</f>
        <v>1552382781689571</v>
      </c>
      <c r="C542" t="s">
        <v>40</v>
      </c>
      <c r="D542">
        <v>3.3451939999999998</v>
      </c>
      <c r="E542">
        <v>0.53661939999999997</v>
      </c>
      <c r="F542" t="s">
        <v>43</v>
      </c>
      <c r="G542">
        <v>-311.40859999999998</v>
      </c>
      <c r="H542">
        <v>-0.05</v>
      </c>
      <c r="I542">
        <v>363.38760000000002</v>
      </c>
      <c r="J542">
        <v>-339.05369999999999</v>
      </c>
      <c r="K542">
        <v>1.1106549999999999</v>
      </c>
      <c r="L542">
        <v>366.20659999999998</v>
      </c>
      <c r="M542">
        <v>0.99863449999999998</v>
      </c>
      <c r="N542">
        <v>0</v>
      </c>
      <c r="O542">
        <v>5.048445E-2</v>
      </c>
      <c r="P542">
        <v>0.99063420000000002</v>
      </c>
      <c r="Q542">
        <v>0.13622010000000001</v>
      </c>
      <c r="R542">
        <v>-9.3842990000000005E-3</v>
      </c>
      <c r="S542">
        <v>3.043396</v>
      </c>
      <c r="T542">
        <v>-0.1265107</v>
      </c>
      <c r="U542">
        <v>-0.3056335</v>
      </c>
      <c r="V542">
        <v>5.9132369999999997E-2</v>
      </c>
      <c r="W542">
        <v>0.14958750000000001</v>
      </c>
      <c r="X542">
        <v>0.98697869999999999</v>
      </c>
      <c r="Y542">
        <v>0.14985999999999999</v>
      </c>
      <c r="Z542">
        <v>-5.198884E-3</v>
      </c>
      <c r="AA542">
        <v>0.9886935</v>
      </c>
      <c r="AB542">
        <v>29</v>
      </c>
      <c r="AC542">
        <v>27.645099999999999</v>
      </c>
      <c r="AD542">
        <v>-1.160655</v>
      </c>
      <c r="AE542">
        <v>-2.81899999999996</v>
      </c>
      <c r="AF542">
        <v>4.2038445907992097</v>
      </c>
      <c r="AG542">
        <v>-1.160655</v>
      </c>
      <c r="AH542">
        <v>27.419679055426599</v>
      </c>
      <c r="AI542">
        <v>92.395880188049702</v>
      </c>
      <c r="AJ542">
        <v>81.283576484453803</v>
      </c>
      <c r="AK542">
        <v>27.764333755291499</v>
      </c>
      <c r="AL542">
        <v>81.396977705678694</v>
      </c>
      <c r="AM542">
        <v>86.571364561390098</v>
      </c>
      <c r="AN542">
        <v>1.00000000579587</v>
      </c>
    </row>
    <row r="543" spans="1:40" x14ac:dyDescent="0.25">
      <c r="A543" t="str">
        <f>"20190312172621722"</f>
        <v>20190312172621722</v>
      </c>
      <c r="B543" t="str">
        <f>"1552382781719437"</f>
        <v>1552382781719437</v>
      </c>
      <c r="C543" t="s">
        <v>40</v>
      </c>
      <c r="D543">
        <v>3.2952080000000001</v>
      </c>
      <c r="E543">
        <v>0.53739569999999903</v>
      </c>
      <c r="F543" t="s">
        <v>43</v>
      </c>
      <c r="G543">
        <v>-311.53820000000002</v>
      </c>
      <c r="H543">
        <v>-0.05</v>
      </c>
      <c r="I543">
        <v>363.38040000000001</v>
      </c>
      <c r="J543">
        <v>-338.77249999999998</v>
      </c>
      <c r="K543">
        <v>1.1105830000000001</v>
      </c>
      <c r="L543">
        <v>366.22179999999997</v>
      </c>
      <c r="M543">
        <v>0.99859529999999996</v>
      </c>
      <c r="N543">
        <v>0</v>
      </c>
      <c r="O543">
        <v>5.1258280000000003E-2</v>
      </c>
      <c r="P543">
        <v>0.99060079999999995</v>
      </c>
      <c r="Q543">
        <v>0.13639009999999999</v>
      </c>
      <c r="R543">
        <v>-1.0389529999999999E-2</v>
      </c>
      <c r="S543">
        <v>3.0430600000000001</v>
      </c>
      <c r="T543">
        <v>-0.1283619</v>
      </c>
      <c r="U543">
        <v>-0.31256099999999998</v>
      </c>
      <c r="V543">
        <v>6.0926300000000003E-2</v>
      </c>
      <c r="W543">
        <v>0.14974499999999999</v>
      </c>
      <c r="X543">
        <v>0.98684570000000005</v>
      </c>
      <c r="Y543">
        <v>0.15285560000000001</v>
      </c>
      <c r="Z543">
        <v>-5.3704379999999999E-3</v>
      </c>
      <c r="AA543">
        <v>0.9882339</v>
      </c>
      <c r="AB543">
        <v>29</v>
      </c>
      <c r="AC543">
        <v>27.234299999999902</v>
      </c>
      <c r="AD543">
        <v>-1.1605829999999999</v>
      </c>
      <c r="AE543">
        <v>-2.8413999999999602</v>
      </c>
      <c r="AF543">
        <v>4.2261809739965797</v>
      </c>
      <c r="AG543">
        <v>-1.1605829999999999</v>
      </c>
      <c r="AH543">
        <v>27.004321523189301</v>
      </c>
      <c r="AI543">
        <v>92.431366455926195</v>
      </c>
      <c r="AJ543">
        <v>81.1053491676617</v>
      </c>
      <c r="AK543">
        <v>27.357648646267901</v>
      </c>
      <c r="AL543">
        <v>81.387850833791305</v>
      </c>
      <c r="AM543">
        <v>86.467132880562104</v>
      </c>
      <c r="AN543">
        <v>1.0000000073325901</v>
      </c>
    </row>
    <row r="544" spans="1:40" x14ac:dyDescent="0.25">
      <c r="A544" t="str">
        <f>"20190312172621744"</f>
        <v>20190312172621744</v>
      </c>
      <c r="B544" t="str">
        <f>"1552382781738957"</f>
        <v>1552382781738957</v>
      </c>
      <c r="C544" t="s">
        <v>40</v>
      </c>
      <c r="D544">
        <v>3.3054730000000001</v>
      </c>
      <c r="E544">
        <v>0.5378115</v>
      </c>
      <c r="F544" t="s">
        <v>43</v>
      </c>
      <c r="G544">
        <v>-311.08359999999999</v>
      </c>
      <c r="H544">
        <v>-0.05</v>
      </c>
      <c r="I544">
        <v>363.298</v>
      </c>
      <c r="J544">
        <v>-338.48649999999998</v>
      </c>
      <c r="K544">
        <v>1.1105119999999999</v>
      </c>
      <c r="L544">
        <v>366.2373</v>
      </c>
      <c r="M544">
        <v>0.99855919999999998</v>
      </c>
      <c r="N544">
        <v>0</v>
      </c>
      <c r="O544">
        <v>5.1954779999999999E-2</v>
      </c>
      <c r="P544">
        <v>0.99051509999999998</v>
      </c>
      <c r="Q544">
        <v>0.13693039999999901</v>
      </c>
      <c r="R544">
        <v>-1.1405210000000001E-2</v>
      </c>
      <c r="S544">
        <v>3.0426639999999998</v>
      </c>
      <c r="T544">
        <v>-0.1275336</v>
      </c>
      <c r="U544">
        <v>-0.32128909999999899</v>
      </c>
      <c r="V544">
        <v>6.2652440000000004E-2</v>
      </c>
      <c r="W544">
        <v>0.15027109999999999</v>
      </c>
      <c r="X544">
        <v>0.98665760000000002</v>
      </c>
      <c r="Y544">
        <v>0.1563601</v>
      </c>
      <c r="Z544">
        <v>-5.4380729999999999E-3</v>
      </c>
      <c r="AA544">
        <v>0.98768509999999998</v>
      </c>
      <c r="AB544">
        <v>29</v>
      </c>
      <c r="AC544">
        <v>27.402899999999899</v>
      </c>
      <c r="AD544">
        <v>-1.160512</v>
      </c>
      <c r="AE544">
        <v>-2.9392999999999998</v>
      </c>
      <c r="AF544">
        <v>4.3514538813646801</v>
      </c>
      <c r="AG544">
        <v>-1.160512</v>
      </c>
      <c r="AH544">
        <v>27.164992784183401</v>
      </c>
      <c r="AI544">
        <v>92.415481162825003</v>
      </c>
      <c r="AJ544">
        <v>80.899327548661702</v>
      </c>
      <c r="AK544">
        <v>27.535772586737501</v>
      </c>
      <c r="AL544">
        <v>81.357362266557104</v>
      </c>
      <c r="AM544">
        <v>86.366614727238201</v>
      </c>
      <c r="AN544">
        <v>0.99999997568546095</v>
      </c>
    </row>
    <row r="545" spans="1:40" x14ac:dyDescent="0.25">
      <c r="A545" t="str">
        <f>"20190312172621769"</f>
        <v>20190312172621769</v>
      </c>
      <c r="B545" t="str">
        <f>"1552382781759453"</f>
        <v>1552382781759453</v>
      </c>
      <c r="C545" t="s">
        <v>40</v>
      </c>
      <c r="D545">
        <v>3.285005</v>
      </c>
      <c r="E545">
        <v>0.53813759999999999</v>
      </c>
      <c r="F545" t="s">
        <v>43</v>
      </c>
      <c r="G545">
        <v>-310.43430000000001</v>
      </c>
      <c r="H545">
        <v>-0.05</v>
      </c>
      <c r="I545">
        <v>363.21660000000003</v>
      </c>
      <c r="J545">
        <v>-338.1848</v>
      </c>
      <c r="K545">
        <v>1.1104350000000001</v>
      </c>
      <c r="L545">
        <v>366.25380000000001</v>
      </c>
      <c r="M545">
        <v>0.99852609999999997</v>
      </c>
      <c r="N545">
        <v>0</v>
      </c>
      <c r="O545">
        <v>5.2589039999999997E-2</v>
      </c>
      <c r="P545">
        <v>0.99050660000000001</v>
      </c>
      <c r="Q545">
        <v>0.13690729999999901</v>
      </c>
      <c r="R545">
        <v>-1.237885E-2</v>
      </c>
      <c r="S545">
        <v>3.042389</v>
      </c>
      <c r="T545">
        <v>-0.1258628</v>
      </c>
      <c r="U545">
        <v>-0.32760620000000001</v>
      </c>
      <c r="V545">
        <v>6.42813E-2</v>
      </c>
      <c r="W545">
        <v>0.1502329</v>
      </c>
      <c r="X545">
        <v>0.98655870000000001</v>
      </c>
      <c r="Y545">
        <v>0.15902579999999999</v>
      </c>
      <c r="Z545">
        <v>-5.4479410000000004E-3</v>
      </c>
      <c r="AA545">
        <v>0.98725940000000001</v>
      </c>
      <c r="AB545">
        <v>28</v>
      </c>
      <c r="AC545">
        <v>27.750499999999899</v>
      </c>
      <c r="AD545">
        <v>-1.1604350000000001</v>
      </c>
      <c r="AE545">
        <v>-3.0371999999999799</v>
      </c>
      <c r="AF545">
        <v>4.4847506339976704</v>
      </c>
      <c r="AG545">
        <v>-1.1604350000000001</v>
      </c>
      <c r="AH545">
        <v>27.504828514201801</v>
      </c>
      <c r="AI545">
        <v>92.384437511887498</v>
      </c>
      <c r="AJ545">
        <v>80.739235210614893</v>
      </c>
      <c r="AK545">
        <v>27.892206603888699</v>
      </c>
      <c r="AL545">
        <v>81.359576650024707</v>
      </c>
      <c r="AM545">
        <v>86.272043044934094</v>
      </c>
      <c r="AN545">
        <v>1.0000000391588899</v>
      </c>
    </row>
    <row r="546" spans="1:40" x14ac:dyDescent="0.25">
      <c r="A546" t="str">
        <f>"20190312172621791"</f>
        <v>20190312172621791</v>
      </c>
      <c r="B546" t="str">
        <f>"1552382781778973"</f>
        <v>1552382781778973</v>
      </c>
      <c r="C546" t="s">
        <v>40</v>
      </c>
      <c r="D546">
        <v>3.2747730000000002</v>
      </c>
      <c r="E546">
        <v>0.53847659999999997</v>
      </c>
      <c r="F546" t="s">
        <v>43</v>
      </c>
      <c r="G546">
        <v>-310.13940000000002</v>
      </c>
      <c r="H546">
        <v>-0.05</v>
      </c>
      <c r="I546">
        <v>363.18560000000002</v>
      </c>
      <c r="J546">
        <v>-337.90010000000001</v>
      </c>
      <c r="K546">
        <v>1.110363</v>
      </c>
      <c r="L546">
        <v>366.26940000000002</v>
      </c>
      <c r="M546">
        <v>0.99849960000000004</v>
      </c>
      <c r="N546">
        <v>0</v>
      </c>
      <c r="O546">
        <v>5.3091329999999999E-2</v>
      </c>
      <c r="P546">
        <v>0.99047649999999998</v>
      </c>
      <c r="Q546">
        <v>0.1370489</v>
      </c>
      <c r="R546">
        <v>-1.3199290000000001E-2</v>
      </c>
      <c r="S546">
        <v>3.0419619999999998</v>
      </c>
      <c r="T546">
        <v>-0.12586710000000001</v>
      </c>
      <c r="U546">
        <v>-0.33279419999999998</v>
      </c>
      <c r="V546">
        <v>6.5621949999999998E-2</v>
      </c>
      <c r="W546">
        <v>0.1503602</v>
      </c>
      <c r="X546">
        <v>0.98645099999999997</v>
      </c>
      <c r="Y546">
        <v>0.1611987</v>
      </c>
      <c r="Z546">
        <v>-5.5139330000000004E-3</v>
      </c>
      <c r="AA546">
        <v>0.98690659999999997</v>
      </c>
      <c r="AB546">
        <v>28</v>
      </c>
      <c r="AC546">
        <v>27.7606999999999</v>
      </c>
      <c r="AD546">
        <v>-1.16036299999999</v>
      </c>
      <c r="AE546">
        <v>-3.0837999999999899</v>
      </c>
      <c r="AF546">
        <v>4.5455900970159604</v>
      </c>
      <c r="AG546">
        <v>-1.16036299999999</v>
      </c>
      <c r="AH546">
        <v>27.510324757110901</v>
      </c>
      <c r="AI546">
        <v>92.382984818792806</v>
      </c>
      <c r="AJ546">
        <v>80.617666719228197</v>
      </c>
      <c r="AK546">
        <v>27.907468531982001</v>
      </c>
      <c r="AL546">
        <v>81.352198778227205</v>
      </c>
      <c r="AM546">
        <v>86.194104694325404</v>
      </c>
      <c r="AN546">
        <v>1.0000000027334199</v>
      </c>
    </row>
    <row r="547" spans="1:40" x14ac:dyDescent="0.25">
      <c r="A547" t="str">
        <f>"20190312172621811"</f>
        <v>20190312172621811</v>
      </c>
      <c r="B547" t="str">
        <f>"1552382781799263"</f>
        <v>1552382781799263</v>
      </c>
      <c r="C547" t="s">
        <v>40</v>
      </c>
      <c r="D547">
        <v>3.2811360000000001</v>
      </c>
      <c r="E547">
        <v>0.53878059999999905</v>
      </c>
      <c r="F547" t="s">
        <v>43</v>
      </c>
      <c r="G547">
        <v>-309.80880000000002</v>
      </c>
      <c r="H547">
        <v>-0.05</v>
      </c>
      <c r="I547">
        <v>363.15089999999998</v>
      </c>
      <c r="J547">
        <v>-337.64030000000002</v>
      </c>
      <c r="K547">
        <v>1.110301</v>
      </c>
      <c r="L547">
        <v>366.28370000000001</v>
      </c>
      <c r="M547">
        <v>0.99847819999999998</v>
      </c>
      <c r="N547">
        <v>0</v>
      </c>
      <c r="O547">
        <v>5.3491110000000001E-2</v>
      </c>
      <c r="P547">
        <v>0.99048579999999997</v>
      </c>
      <c r="Q547">
        <v>0.13688410000000001</v>
      </c>
      <c r="R547">
        <v>-1.4160580000000001E-2</v>
      </c>
      <c r="S547">
        <v>3.0417179999999999</v>
      </c>
      <c r="T547">
        <v>-0.12564349999999999</v>
      </c>
      <c r="U547">
        <v>-0.337677</v>
      </c>
      <c r="V547">
        <v>6.6997890000000004E-2</v>
      </c>
      <c r="W547">
        <v>0.1501844</v>
      </c>
      <c r="X547">
        <v>0.98638530000000002</v>
      </c>
      <c r="Y547">
        <v>0.163165899999999</v>
      </c>
      <c r="Z547">
        <v>-5.5610779999999997E-3</v>
      </c>
      <c r="AA547">
        <v>0.98658299999999999</v>
      </c>
      <c r="AB547">
        <v>28</v>
      </c>
      <c r="AC547">
        <v>27.831499999999998</v>
      </c>
      <c r="AD547">
        <v>-1.160301</v>
      </c>
      <c r="AE547">
        <v>-3.1328000000000298</v>
      </c>
      <c r="AF547">
        <v>4.6092748427146297</v>
      </c>
      <c r="AG547">
        <v>-1.160301</v>
      </c>
      <c r="AH547">
        <v>27.576724477852</v>
      </c>
      <c r="AI547">
        <v>92.376392850010205</v>
      </c>
      <c r="AJ547">
        <v>80.511088417139902</v>
      </c>
      <c r="AK547">
        <v>27.9833422934725</v>
      </c>
      <c r="AL547">
        <v>81.362387180413904</v>
      </c>
      <c r="AM547">
        <v>86.114287829515803</v>
      </c>
      <c r="AN547">
        <v>1.00000001566195</v>
      </c>
    </row>
    <row r="548" spans="1:40" x14ac:dyDescent="0.25">
      <c r="A548" t="str">
        <f>"20190312172621835"</f>
        <v>20190312172621835</v>
      </c>
      <c r="B548" t="str">
        <f>"1552382781829508"</f>
        <v>1552382781829508</v>
      </c>
      <c r="C548" t="s">
        <v>40</v>
      </c>
      <c r="D548">
        <v>3.2855089999999998</v>
      </c>
      <c r="E548">
        <v>0.53915590000000002</v>
      </c>
      <c r="F548" t="s">
        <v>43</v>
      </c>
      <c r="G548">
        <v>-309.8639</v>
      </c>
      <c r="H548">
        <v>-0.05</v>
      </c>
      <c r="I548">
        <v>363.15800000000002</v>
      </c>
      <c r="J548">
        <v>-337.34589999999997</v>
      </c>
      <c r="K548">
        <v>1.1102540000000001</v>
      </c>
      <c r="L548">
        <v>366.3</v>
      </c>
      <c r="M548">
        <v>0.9984577</v>
      </c>
      <c r="N548">
        <v>0</v>
      </c>
      <c r="O548">
        <v>5.3876319999999998E-2</v>
      </c>
      <c r="P548">
        <v>0.99047609999999997</v>
      </c>
      <c r="Q548">
        <v>0.13689870000000001</v>
      </c>
      <c r="R548">
        <v>-1.4706739999999999E-2</v>
      </c>
      <c r="S548">
        <v>3.0414430000000001</v>
      </c>
      <c r="T548">
        <v>-0.12705</v>
      </c>
      <c r="U548">
        <v>-0.34225460000000002</v>
      </c>
      <c r="V548">
        <v>6.7942630000000004E-2</v>
      </c>
      <c r="W548">
        <v>0.15018770000000001</v>
      </c>
      <c r="X548">
        <v>0.98632010000000003</v>
      </c>
      <c r="Y548">
        <v>0.16501660000000001</v>
      </c>
      <c r="Z548">
        <v>-5.6778970000000003E-3</v>
      </c>
      <c r="AA548">
        <v>0.9862744</v>
      </c>
      <c r="AB548">
        <v>28</v>
      </c>
      <c r="AC548">
        <v>27.4819999999999</v>
      </c>
      <c r="AD548">
        <v>-1.1602539999999999</v>
      </c>
      <c r="AE548">
        <v>-3.1419999999999901</v>
      </c>
      <c r="AF548">
        <v>4.6100866896489903</v>
      </c>
      <c r="AG548">
        <v>-1.1602539999999999</v>
      </c>
      <c r="AH548">
        <v>27.224883818479402</v>
      </c>
      <c r="AI548">
        <v>92.406109658856593</v>
      </c>
      <c r="AJ548">
        <v>80.389070044628994</v>
      </c>
      <c r="AK548">
        <v>27.636812181586599</v>
      </c>
      <c r="AL548">
        <v>81.362195302174896</v>
      </c>
      <c r="AM548">
        <v>86.059406995939398</v>
      </c>
      <c r="AN548">
        <v>0.99999994293330596</v>
      </c>
    </row>
    <row r="549" spans="1:40" x14ac:dyDescent="0.25">
      <c r="A549" t="str">
        <f>"20190312172621849"</f>
        <v>20190312172621849</v>
      </c>
      <c r="B549" t="str">
        <f>"1552382781839269"</f>
        <v>1552382781839269</v>
      </c>
      <c r="C549" t="s">
        <v>40</v>
      </c>
      <c r="D549">
        <v>3.2910810000000001</v>
      </c>
      <c r="E549">
        <v>0.53926669999999999</v>
      </c>
      <c r="F549" t="s">
        <v>43</v>
      </c>
      <c r="G549">
        <v>-309.80529999999999</v>
      </c>
      <c r="H549">
        <v>-0.05</v>
      </c>
      <c r="I549">
        <v>363.15969999999999</v>
      </c>
      <c r="J549">
        <v>-337.1703</v>
      </c>
      <c r="K549">
        <v>1.110225</v>
      </c>
      <c r="L549">
        <v>366.30970000000002</v>
      </c>
      <c r="M549">
        <v>0.99844659999999996</v>
      </c>
      <c r="N549">
        <v>0</v>
      </c>
      <c r="O549">
        <v>5.4079729999999999E-2</v>
      </c>
      <c r="P549">
        <v>0.99047180000000001</v>
      </c>
      <c r="Q549">
        <v>0.13689379999999901</v>
      </c>
      <c r="R549">
        <v>-1.501711E-2</v>
      </c>
      <c r="S549">
        <v>3.0414430000000001</v>
      </c>
      <c r="T549">
        <v>-0.1281323</v>
      </c>
      <c r="U549">
        <v>-0.34680179999999999</v>
      </c>
      <c r="V549">
        <v>6.8464449999999996E-2</v>
      </c>
      <c r="W549">
        <v>0.1501759</v>
      </c>
      <c r="X549">
        <v>0.98628590000000005</v>
      </c>
      <c r="Y549">
        <v>0.16666829999999999</v>
      </c>
      <c r="Z549">
        <v>-5.7689719999999998E-3</v>
      </c>
      <c r="AA549">
        <v>0.98599610000000004</v>
      </c>
      <c r="AB549">
        <v>28</v>
      </c>
      <c r="AC549">
        <v>27.364999999999998</v>
      </c>
      <c r="AD549">
        <v>-1.1602250000000001</v>
      </c>
      <c r="AE549">
        <v>-3.1500000000000301</v>
      </c>
      <c r="AF549">
        <v>4.6172229853272198</v>
      </c>
      <c r="AG549">
        <v>-1.1602250000000001</v>
      </c>
      <c r="AH549">
        <v>27.106491479638901</v>
      </c>
      <c r="AI549">
        <v>92.416146458205006</v>
      </c>
      <c r="AJ549">
        <v>80.333221142888206</v>
      </c>
      <c r="AK549">
        <v>27.521387146773598</v>
      </c>
      <c r="AL549">
        <v>81.362879899086806</v>
      </c>
      <c r="AM549">
        <v>86.029101244919005</v>
      </c>
      <c r="AN549">
        <v>1.0000000291967099</v>
      </c>
    </row>
    <row r="550" spans="1:40" x14ac:dyDescent="0.25">
      <c r="A550" t="str">
        <f>"20190312172621868"</f>
        <v>20190312172621868</v>
      </c>
      <c r="B550" t="str">
        <f>"1552382781858788"</f>
        <v>1552382781858788</v>
      </c>
      <c r="C550" t="s">
        <v>40</v>
      </c>
      <c r="D550">
        <v>3.273253</v>
      </c>
      <c r="E550">
        <v>0.53947000000000001</v>
      </c>
      <c r="F550" t="s">
        <v>43</v>
      </c>
      <c r="G550">
        <v>-309.68360000000001</v>
      </c>
      <c r="H550">
        <v>-0.05</v>
      </c>
      <c r="I550">
        <v>363.16019999999997</v>
      </c>
      <c r="J550">
        <v>-336.91910000000001</v>
      </c>
      <c r="K550">
        <v>1.110179</v>
      </c>
      <c r="L550">
        <v>366.3236</v>
      </c>
      <c r="M550">
        <v>0.99843349999999997</v>
      </c>
      <c r="N550">
        <v>0</v>
      </c>
      <c r="O550">
        <v>5.4324369999999997E-2</v>
      </c>
      <c r="P550">
        <v>0.99052859999999998</v>
      </c>
      <c r="Q550">
        <v>0.13641300000000001</v>
      </c>
      <c r="R550">
        <v>-1.5646380000000001E-2</v>
      </c>
      <c r="S550">
        <v>3.0413510000000001</v>
      </c>
      <c r="T550">
        <v>-0.1283764</v>
      </c>
      <c r="U550">
        <v>-0.34848020000000002</v>
      </c>
      <c r="V550">
        <v>6.9353159999999997E-2</v>
      </c>
      <c r="W550">
        <v>0.1496865</v>
      </c>
      <c r="X550">
        <v>0.98629809999999996</v>
      </c>
      <c r="Y550">
        <v>0.16744870000000001</v>
      </c>
      <c r="Z550">
        <v>-5.8066530000000002E-3</v>
      </c>
      <c r="AA550">
        <v>0.98586370000000001</v>
      </c>
      <c r="AB550">
        <v>28</v>
      </c>
      <c r="AC550">
        <v>27.235499999999998</v>
      </c>
      <c r="AD550">
        <v>-1.1601790000000001</v>
      </c>
      <c r="AE550">
        <v>-3.1634000000000202</v>
      </c>
      <c r="AF550">
        <v>4.6301220675860799</v>
      </c>
      <c r="AG550">
        <v>-1.1601790000000001</v>
      </c>
      <c r="AH550">
        <v>26.975112816787401</v>
      </c>
      <c r="AI550">
        <v>92.427276990934899</v>
      </c>
      <c r="AJ550">
        <v>80.260419139209006</v>
      </c>
      <c r="AK550">
        <v>27.3941737811381</v>
      </c>
      <c r="AL550">
        <v>81.391240136231502</v>
      </c>
      <c r="AM550">
        <v>85.977774272781105</v>
      </c>
      <c r="AN550">
        <v>0.99999992557392003</v>
      </c>
    </row>
    <row r="551" spans="1:40" x14ac:dyDescent="0.25">
      <c r="A551" t="str">
        <f>"20190312172621890"</f>
        <v>20190312172621890</v>
      </c>
      <c r="B551" t="str">
        <f>"1552382781879285"</f>
        <v>1552382781879285</v>
      </c>
      <c r="C551" t="s">
        <v>40</v>
      </c>
      <c r="D551">
        <v>3.3025869999999999</v>
      </c>
      <c r="E551">
        <v>0.53964409999999996</v>
      </c>
      <c r="F551" t="s">
        <v>43</v>
      </c>
      <c r="G551">
        <v>-309.83359999999999</v>
      </c>
      <c r="H551">
        <v>-0.05</v>
      </c>
      <c r="I551">
        <v>363.19170000000003</v>
      </c>
      <c r="J551">
        <v>-336.63889999999998</v>
      </c>
      <c r="K551">
        <v>1.110131</v>
      </c>
      <c r="L551">
        <v>366.33920000000001</v>
      </c>
      <c r="M551">
        <v>0.99842149999999996</v>
      </c>
      <c r="N551">
        <v>0</v>
      </c>
      <c r="O551">
        <v>5.4542800000000002E-2</v>
      </c>
      <c r="P551">
        <v>0.99058100000000004</v>
      </c>
      <c r="Q551">
        <v>0.1359842</v>
      </c>
      <c r="R551">
        <v>-1.60625E-2</v>
      </c>
      <c r="S551">
        <v>3.0411069999999998</v>
      </c>
      <c r="T551">
        <v>-0.1302625</v>
      </c>
      <c r="U551">
        <v>-0.35165410000000002</v>
      </c>
      <c r="V551">
        <v>7.0005200000000004E-2</v>
      </c>
      <c r="W551">
        <v>0.14924799999999999</v>
      </c>
      <c r="X551">
        <v>0.98631860000000005</v>
      </c>
      <c r="Y551">
        <v>0.16868150000000001</v>
      </c>
      <c r="Z551">
        <v>-5.9276509999999999E-3</v>
      </c>
      <c r="AA551">
        <v>0.9856528</v>
      </c>
      <c r="AB551">
        <v>28</v>
      </c>
      <c r="AC551">
        <v>26.8052999999999</v>
      </c>
      <c r="AD551">
        <v>-1.160131</v>
      </c>
      <c r="AE551">
        <v>-3.1474999999999702</v>
      </c>
      <c r="AF551">
        <v>4.5964884943066702</v>
      </c>
      <c r="AG551">
        <v>-1.160131</v>
      </c>
      <c r="AH551">
        <v>26.544656562709399</v>
      </c>
      <c r="AI551">
        <v>92.465862961422204</v>
      </c>
      <c r="AJ551">
        <v>80.176044873769797</v>
      </c>
      <c r="AK551">
        <v>26.964650979525899</v>
      </c>
      <c r="AL551">
        <v>81.416650736988402</v>
      </c>
      <c r="AM551">
        <v>85.940168343960096</v>
      </c>
      <c r="AN551">
        <v>1.0000000371184901</v>
      </c>
    </row>
    <row r="552" spans="1:40" x14ac:dyDescent="0.25">
      <c r="A552" t="str">
        <f>"20190312172621912"</f>
        <v>20190312172621912</v>
      </c>
      <c r="B552" t="str">
        <f>"1552382781909089"</f>
        <v>1552382781909089</v>
      </c>
      <c r="C552" t="s">
        <v>40</v>
      </c>
      <c r="D552">
        <v>3.2916020000000001</v>
      </c>
      <c r="E552">
        <v>0.53993829999999998</v>
      </c>
      <c r="F552" t="s">
        <v>43</v>
      </c>
      <c r="G552">
        <v>-309.9579</v>
      </c>
      <c r="H552">
        <v>-0.05</v>
      </c>
      <c r="I552">
        <v>363.23340000000002</v>
      </c>
      <c r="J552">
        <v>-336.36849999999998</v>
      </c>
      <c r="K552">
        <v>1.1100890000000001</v>
      </c>
      <c r="L552">
        <v>366.35419999999999</v>
      </c>
      <c r="M552">
        <v>0.99841259999999998</v>
      </c>
      <c r="N552">
        <v>0</v>
      </c>
      <c r="O552">
        <v>5.4707980000000003E-2</v>
      </c>
      <c r="P552">
        <v>0.99060349999999997</v>
      </c>
      <c r="Q552">
        <v>0.1357592</v>
      </c>
      <c r="R552">
        <v>-1.6575980000000001E-2</v>
      </c>
      <c r="S552">
        <v>3.0408940000000002</v>
      </c>
      <c r="T552">
        <v>-0.13222249999999999</v>
      </c>
      <c r="U552">
        <v>-0.35397339999999999</v>
      </c>
      <c r="V552">
        <v>7.0698910000000004E-2</v>
      </c>
      <c r="W552">
        <v>0.14901229999999999</v>
      </c>
      <c r="X552">
        <v>0.98630469999999903</v>
      </c>
      <c r="Y552">
        <v>0.16958699999999999</v>
      </c>
      <c r="Z552">
        <v>-6.0437009999999899E-3</v>
      </c>
      <c r="AA552">
        <v>0.9854967</v>
      </c>
      <c r="AB552">
        <v>28</v>
      </c>
      <c r="AC552">
        <v>26.410599999999899</v>
      </c>
      <c r="AD552">
        <v>-1.1600889999999999</v>
      </c>
      <c r="AE552">
        <v>-3.1207999999999698</v>
      </c>
      <c r="AF552">
        <v>4.5524629374100201</v>
      </c>
      <c r="AG552">
        <v>-1.1600889999999999</v>
      </c>
      <c r="AH552">
        <v>26.150531856472298</v>
      </c>
      <c r="AI552">
        <v>92.5024993188878</v>
      </c>
      <c r="AJ552">
        <v>80.124528973803194</v>
      </c>
      <c r="AK552">
        <v>26.5691746514788</v>
      </c>
      <c r="AL552">
        <v>81.430307592223897</v>
      </c>
      <c r="AM552">
        <v>85.900016759375902</v>
      </c>
      <c r="AN552">
        <v>0.99999998133428303</v>
      </c>
    </row>
    <row r="553" spans="1:40" x14ac:dyDescent="0.25">
      <c r="A553" t="str">
        <f>"20190312172621935"</f>
        <v>20190312172621935</v>
      </c>
      <c r="B553" t="str">
        <f>"1552382781929585"</f>
        <v>1552382781929585</v>
      </c>
      <c r="C553" t="s">
        <v>40</v>
      </c>
      <c r="D553">
        <v>3.2684760000000002</v>
      </c>
      <c r="E553">
        <v>0.540126</v>
      </c>
      <c r="F553" t="s">
        <v>43</v>
      </c>
      <c r="G553">
        <v>-309.84350000000001</v>
      </c>
      <c r="H553">
        <v>-0.05</v>
      </c>
      <c r="I553">
        <v>363.22859999999997</v>
      </c>
      <c r="J553">
        <v>-336.08190000000002</v>
      </c>
      <c r="K553">
        <v>1.1100460000000001</v>
      </c>
      <c r="L553">
        <v>366.37009999999998</v>
      </c>
      <c r="M553">
        <v>0.9984056</v>
      </c>
      <c r="N553">
        <v>0</v>
      </c>
      <c r="O553">
        <v>5.4832970000000002E-2</v>
      </c>
      <c r="P553">
        <v>0.99060049999999999</v>
      </c>
      <c r="Q553">
        <v>0.1357507</v>
      </c>
      <c r="R553">
        <v>-1.6802040000000001E-2</v>
      </c>
      <c r="S553">
        <v>3.04068</v>
      </c>
      <c r="T553">
        <v>-0.1329862</v>
      </c>
      <c r="U553">
        <v>-0.35830689999999998</v>
      </c>
      <c r="V553">
        <v>7.1064989999999995E-2</v>
      </c>
      <c r="W553">
        <v>0.1489934</v>
      </c>
      <c r="X553">
        <v>0.98628130000000003</v>
      </c>
      <c r="Y553">
        <v>0.17109969999999999</v>
      </c>
      <c r="Z553">
        <v>-6.116916E-3</v>
      </c>
      <c r="AA553">
        <v>0.98523470000000002</v>
      </c>
      <c r="AB553">
        <v>28</v>
      </c>
      <c r="AC553">
        <v>26.238399999999999</v>
      </c>
      <c r="AD553">
        <v>-1.1600459999999999</v>
      </c>
      <c r="AE553">
        <v>-3.1415000000000002</v>
      </c>
      <c r="AF553">
        <v>4.5668309720486198</v>
      </c>
      <c r="AG553">
        <v>-1.1600459999999999</v>
      </c>
      <c r="AH553">
        <v>25.9765867283018</v>
      </c>
      <c r="AI553">
        <v>92.518407880353493</v>
      </c>
      <c r="AJ553">
        <v>80.028971386661993</v>
      </c>
      <c r="AK553">
        <v>26.400467986427198</v>
      </c>
      <c r="AL553">
        <v>81.431403165524799</v>
      </c>
      <c r="AM553">
        <v>85.878762505712004</v>
      </c>
      <c r="AN553">
        <v>1.0000000343884701</v>
      </c>
    </row>
    <row r="554" spans="1:40" x14ac:dyDescent="0.25">
      <c r="A554" t="str">
        <f>"20190312172621957"</f>
        <v>20190312172621957</v>
      </c>
      <c r="B554" t="str">
        <f>"1552382781949107"</f>
        <v>1552382781949107</v>
      </c>
      <c r="C554" t="s">
        <v>40</v>
      </c>
      <c r="D554">
        <v>3.2695090000000002</v>
      </c>
      <c r="E554">
        <v>0.54032019999999903</v>
      </c>
      <c r="F554" t="s">
        <v>43</v>
      </c>
      <c r="G554">
        <v>-309.56729999999999</v>
      </c>
      <c r="H554">
        <v>-0.05</v>
      </c>
      <c r="I554">
        <v>363.22820000000002</v>
      </c>
      <c r="J554">
        <v>-335.79820000000001</v>
      </c>
      <c r="K554">
        <v>1.1100049999999999</v>
      </c>
      <c r="L554">
        <v>366.38580000000002</v>
      </c>
      <c r="M554">
        <v>0.99840180000000001</v>
      </c>
      <c r="N554">
        <v>0</v>
      </c>
      <c r="O554">
        <v>5.4905269999999999E-2</v>
      </c>
      <c r="P554">
        <v>0.99058919999999995</v>
      </c>
      <c r="Q554">
        <v>0.13576299999999999</v>
      </c>
      <c r="R554">
        <v>-1.736946E-2</v>
      </c>
      <c r="S554">
        <v>3.0405579999999999</v>
      </c>
      <c r="T554">
        <v>-0.1330279</v>
      </c>
      <c r="U554">
        <v>-0.36029050000000001</v>
      </c>
      <c r="V554">
        <v>7.1717429999999999E-2</v>
      </c>
      <c r="W554">
        <v>0.14899579999999901</v>
      </c>
      <c r="X554">
        <v>0.98623369999999999</v>
      </c>
      <c r="Y554">
        <v>0.17180860000000001</v>
      </c>
      <c r="Z554">
        <v>-6.137455E-3</v>
      </c>
      <c r="AA554">
        <v>0.98511119999999996</v>
      </c>
      <c r="AB554">
        <v>28</v>
      </c>
      <c r="AC554">
        <v>26.230899999999998</v>
      </c>
      <c r="AD554">
        <v>-1.160005</v>
      </c>
      <c r="AE554">
        <v>-3.1576</v>
      </c>
      <c r="AF554">
        <v>4.5843425130262698</v>
      </c>
      <c r="AG554">
        <v>-1.160005</v>
      </c>
      <c r="AH554">
        <v>25.967881990077299</v>
      </c>
      <c r="AI554">
        <v>92.518846854114301</v>
      </c>
      <c r="AJ554">
        <v>79.9882219256843</v>
      </c>
      <c r="AK554">
        <v>26.394937069963699</v>
      </c>
      <c r="AL554">
        <v>81.431264018939601</v>
      </c>
      <c r="AM554">
        <v>85.840858009311106</v>
      </c>
      <c r="AN554">
        <v>1.0000000245995599</v>
      </c>
    </row>
    <row r="555" spans="1:40" x14ac:dyDescent="0.25">
      <c r="A555" t="str">
        <f>"20190312172621994"</f>
        <v>20190312172621994</v>
      </c>
      <c r="B555" t="str">
        <f>"1552382781989121"</f>
        <v>1552382781989121</v>
      </c>
      <c r="C555" t="s">
        <v>40</v>
      </c>
      <c r="D555">
        <v>3.2285529999999998</v>
      </c>
      <c r="E555">
        <v>0.54555129999999996</v>
      </c>
      <c r="F555" t="s">
        <v>43</v>
      </c>
      <c r="G555">
        <v>-309.3254</v>
      </c>
      <c r="H555">
        <v>-0.05</v>
      </c>
      <c r="I555">
        <v>363.22250000000003</v>
      </c>
      <c r="J555">
        <v>-335.33679999999998</v>
      </c>
      <c r="K555">
        <v>1.1099490000000001</v>
      </c>
      <c r="L555">
        <v>366.41129999999998</v>
      </c>
      <c r="M555">
        <v>0.99839979999999995</v>
      </c>
      <c r="N555">
        <v>0</v>
      </c>
      <c r="O555">
        <v>5.4941169999999998E-2</v>
      </c>
      <c r="P555">
        <v>0.99053230000000003</v>
      </c>
      <c r="Q555">
        <v>0.13614670000000001</v>
      </c>
      <c r="R555">
        <v>-1.7593029999999999E-2</v>
      </c>
      <c r="S555">
        <v>3.0404360000000001</v>
      </c>
      <c r="T555">
        <v>-0.1332284</v>
      </c>
      <c r="U555">
        <v>-0.36331180000000002</v>
      </c>
      <c r="V555">
        <v>7.1992E-2</v>
      </c>
      <c r="W555">
        <v>0.14936540000000001</v>
      </c>
      <c r="X555">
        <v>0.98615779999999997</v>
      </c>
      <c r="Y555">
        <v>0.1728122</v>
      </c>
      <c r="Z555">
        <v>-6.1700660000000001E-3</v>
      </c>
      <c r="AA555">
        <v>0.98493549999999996</v>
      </c>
      <c r="AB555">
        <v>28</v>
      </c>
      <c r="AC555">
        <v>26.011399999999899</v>
      </c>
      <c r="AD555">
        <v>-1.1599489999999999</v>
      </c>
      <c r="AE555">
        <v>-3.1887999999999499</v>
      </c>
      <c r="AF555">
        <v>4.6041872592678796</v>
      </c>
      <c r="AG555">
        <v>-1.1599489999999999</v>
      </c>
      <c r="AH555">
        <v>25.746451390195201</v>
      </c>
      <c r="AI555">
        <v>92.539359165101004</v>
      </c>
      <c r="AJ555">
        <v>79.861080963049105</v>
      </c>
      <c r="AK555">
        <v>26.180599328294502</v>
      </c>
      <c r="AL555">
        <v>81.4098479731189</v>
      </c>
      <c r="AM555">
        <v>85.824670748462395</v>
      </c>
      <c r="AN555">
        <v>1.00000003864099</v>
      </c>
    </row>
    <row r="556" spans="1:40" x14ac:dyDescent="0.25">
      <c r="A556" t="str">
        <f>"20190312172622013"</f>
        <v>20190312172622013</v>
      </c>
      <c r="B556" t="str">
        <f>"1552382782009159"</f>
        <v>1552382782009159</v>
      </c>
      <c r="C556" t="s">
        <v>40</v>
      </c>
      <c r="D556">
        <v>3.2167240000000001</v>
      </c>
      <c r="E556">
        <v>0.54519830000000002</v>
      </c>
      <c r="F556" t="s">
        <v>43</v>
      </c>
      <c r="G556">
        <v>-307.88729999999998</v>
      </c>
      <c r="H556">
        <v>-0.05</v>
      </c>
      <c r="I556">
        <v>362.7448</v>
      </c>
      <c r="J556">
        <v>-335.10219999999998</v>
      </c>
      <c r="K556">
        <v>1.1099330000000001</v>
      </c>
      <c r="L556">
        <v>366.42419999999998</v>
      </c>
      <c r="M556">
        <v>0.99840050000000002</v>
      </c>
      <c r="N556">
        <v>0</v>
      </c>
      <c r="O556">
        <v>5.4931059999999997E-2</v>
      </c>
      <c r="P556">
        <v>0.99060539999999997</v>
      </c>
      <c r="Q556">
        <v>0.13559109999999999</v>
      </c>
      <c r="R556">
        <v>-1.779215E-2</v>
      </c>
      <c r="S556">
        <v>3.0391240000000002</v>
      </c>
      <c r="T556">
        <v>-0.12842609999999999</v>
      </c>
      <c r="U556">
        <v>-0.40594479999999999</v>
      </c>
      <c r="V556">
        <v>7.2191119999999998E-2</v>
      </c>
      <c r="W556">
        <v>0.1488053</v>
      </c>
      <c r="X556">
        <v>0.98622790000000005</v>
      </c>
      <c r="Y556">
        <v>0.18643760000000001</v>
      </c>
      <c r="Z556">
        <v>-6.2314819999999896E-3</v>
      </c>
      <c r="AA556">
        <v>0.98244699999999996</v>
      </c>
      <c r="AB556">
        <v>28</v>
      </c>
      <c r="AC556">
        <v>27.2149</v>
      </c>
      <c r="AD556">
        <v>-1.1599330000000001</v>
      </c>
      <c r="AE556">
        <v>-3.6793999999999798</v>
      </c>
      <c r="AF556">
        <v>5.15971605539041</v>
      </c>
      <c r="AG556">
        <v>-1.1599330000000001</v>
      </c>
      <c r="AH556">
        <v>26.923640003678202</v>
      </c>
      <c r="AI556">
        <v>92.422872749816506</v>
      </c>
      <c r="AJ556">
        <v>79.151226082843294</v>
      </c>
      <c r="AK556">
        <v>27.438121389490298</v>
      </c>
      <c r="AL556">
        <v>81.442301898757904</v>
      </c>
      <c r="AM556">
        <v>85.813459908596499</v>
      </c>
      <c r="AN556">
        <v>1.0000000229266699</v>
      </c>
    </row>
    <row r="557" spans="1:40" x14ac:dyDescent="0.25">
      <c r="A557" t="str">
        <f>"20190312172622036"</f>
        <v>20190312172622036</v>
      </c>
      <c r="B557" t="str">
        <f>"1552382782028683"</f>
        <v>1552382782028683</v>
      </c>
      <c r="C557" t="s">
        <v>40</v>
      </c>
      <c r="D557">
        <v>3.1740200000000001</v>
      </c>
      <c r="E557">
        <v>0.54040440000000001</v>
      </c>
      <c r="F557" t="s">
        <v>43</v>
      </c>
      <c r="G557">
        <v>-307.01429999999999</v>
      </c>
      <c r="H557">
        <v>-0.05</v>
      </c>
      <c r="I557">
        <v>362.69299999999998</v>
      </c>
      <c r="J557">
        <v>-334.80869999999999</v>
      </c>
      <c r="K557">
        <v>1.1099159999999999</v>
      </c>
      <c r="L557">
        <v>366.44029999999998</v>
      </c>
      <c r="M557">
        <v>0.99840240000000002</v>
      </c>
      <c r="N557">
        <v>0</v>
      </c>
      <c r="O557">
        <v>5.4896710000000001E-2</v>
      </c>
      <c r="P557">
        <v>0.99059370000000002</v>
      </c>
      <c r="Q557">
        <v>0.13563889999999901</v>
      </c>
      <c r="R557">
        <v>-1.8061359999999999E-2</v>
      </c>
      <c r="S557">
        <v>3.0384220000000002</v>
      </c>
      <c r="T557">
        <v>-0.12547610000000001</v>
      </c>
      <c r="U557">
        <v>-0.40362550000000003</v>
      </c>
      <c r="V557">
        <v>7.2431560000000006E-2</v>
      </c>
      <c r="W557">
        <v>0.1488477</v>
      </c>
      <c r="X557">
        <v>0.98620379999999996</v>
      </c>
      <c r="Y557">
        <v>0.18570680000000001</v>
      </c>
      <c r="Z557">
        <v>-6.073724E-3</v>
      </c>
      <c r="AA557">
        <v>0.98258639999999997</v>
      </c>
      <c r="AB557">
        <v>28</v>
      </c>
      <c r="AC557">
        <v>27.7944</v>
      </c>
      <c r="AD557">
        <v>-1.1599159999999999</v>
      </c>
      <c r="AE557">
        <v>-3.7472999999999299</v>
      </c>
      <c r="AF557">
        <v>5.2586112078531198</v>
      </c>
      <c r="AG557">
        <v>-1.1599159999999999</v>
      </c>
      <c r="AH557">
        <v>27.499709356101501</v>
      </c>
      <c r="AI557">
        <v>92.372324859136796</v>
      </c>
      <c r="AJ557">
        <v>79.174347942931007</v>
      </c>
      <c r="AK557">
        <v>28.0219987087373</v>
      </c>
      <c r="AL557">
        <v>81.439844585780705</v>
      </c>
      <c r="AM557">
        <v>85.7994637489833</v>
      </c>
      <c r="AN557">
        <v>0.99999995190687996</v>
      </c>
    </row>
    <row r="558" spans="1:40" x14ac:dyDescent="0.25">
      <c r="A558" t="str">
        <f>"20190312172622058"</f>
        <v>20190312172622058</v>
      </c>
      <c r="B558" t="str">
        <f>"1552382782049175"</f>
        <v>1552382782049175</v>
      </c>
      <c r="C558" t="s">
        <v>40</v>
      </c>
      <c r="D558">
        <v>3.2094230000000001</v>
      </c>
      <c r="E558">
        <v>0.53602530000000004</v>
      </c>
      <c r="F558" t="s">
        <v>43</v>
      </c>
      <c r="G558">
        <v>-305.47199999999998</v>
      </c>
      <c r="H558">
        <v>-0.05</v>
      </c>
      <c r="I558">
        <v>362.90370000000001</v>
      </c>
      <c r="J558">
        <v>-334.52659999999997</v>
      </c>
      <c r="K558">
        <v>1.109896</v>
      </c>
      <c r="L558">
        <v>366.45580000000001</v>
      </c>
      <c r="M558">
        <v>0.99840569999999895</v>
      </c>
      <c r="N558">
        <v>0</v>
      </c>
      <c r="O558">
        <v>5.483594E-2</v>
      </c>
      <c r="P558">
        <v>0.9905661</v>
      </c>
      <c r="Q558">
        <v>0.13582369999999999</v>
      </c>
      <c r="R558">
        <v>-1.8184820000000001E-2</v>
      </c>
      <c r="S558">
        <v>3.0382690000000001</v>
      </c>
      <c r="T558">
        <v>-0.12012680000000001</v>
      </c>
      <c r="U558">
        <v>-0.36627199999999999</v>
      </c>
      <c r="V558">
        <v>7.2499610000000006E-2</v>
      </c>
      <c r="W558">
        <v>0.14902689999999999</v>
      </c>
      <c r="X558">
        <v>0.98617180000000004</v>
      </c>
      <c r="Y558">
        <v>0.1737765</v>
      </c>
      <c r="Z558">
        <v>-5.5822709999999998E-3</v>
      </c>
      <c r="AA558">
        <v>0.98476929999999996</v>
      </c>
      <c r="AB558">
        <v>28</v>
      </c>
      <c r="AC558">
        <v>29.054599999999901</v>
      </c>
      <c r="AD558">
        <v>-1.15989599999999</v>
      </c>
      <c r="AE558">
        <v>-3.55209999999999</v>
      </c>
      <c r="AF558">
        <v>5.1320748795156899</v>
      </c>
      <c r="AG558">
        <v>-1.15989599999999</v>
      </c>
      <c r="AH558">
        <v>28.770898663264202</v>
      </c>
      <c r="AI558">
        <v>92.272786995279404</v>
      </c>
      <c r="AJ558">
        <v>79.886108396651494</v>
      </c>
      <c r="AK558">
        <v>29.248045425149201</v>
      </c>
      <c r="AL558">
        <v>81.429461916494006</v>
      </c>
      <c r="AM558">
        <v>85.795395518579696</v>
      </c>
      <c r="AN558">
        <v>1.0000000147445001</v>
      </c>
    </row>
    <row r="559" spans="1:40" x14ac:dyDescent="0.25">
      <c r="A559" t="str">
        <f>"20190312172622081"</f>
        <v>20190312172622081</v>
      </c>
      <c r="B559" t="str">
        <f>"1552382782068695"</f>
        <v>1552382782068695</v>
      </c>
      <c r="C559" t="s">
        <v>40</v>
      </c>
      <c r="D559">
        <v>3.1637379999999999</v>
      </c>
      <c r="E559">
        <v>0.53310259999999998</v>
      </c>
      <c r="F559" t="s">
        <v>43</v>
      </c>
      <c r="G559">
        <v>-303.75369999999998</v>
      </c>
      <c r="H559">
        <v>-0.05</v>
      </c>
      <c r="I559">
        <v>363.09390000000002</v>
      </c>
      <c r="J559">
        <v>-334.24889999999999</v>
      </c>
      <c r="K559">
        <v>1.109874</v>
      </c>
      <c r="L559">
        <v>366.471</v>
      </c>
      <c r="M559">
        <v>0.99841069999999998</v>
      </c>
      <c r="N559">
        <v>0</v>
      </c>
      <c r="O559">
        <v>5.4746219999999998E-2</v>
      </c>
      <c r="P559">
        <v>0.99056010000000005</v>
      </c>
      <c r="Q559">
        <v>0.13585079999999999</v>
      </c>
      <c r="R559">
        <v>-1.831524E-2</v>
      </c>
      <c r="S559">
        <v>3.0381770000000001</v>
      </c>
      <c r="T559">
        <v>-0.1145152</v>
      </c>
      <c r="U559">
        <v>-0.33190920000000002</v>
      </c>
      <c r="V559">
        <v>7.2549210000000003E-2</v>
      </c>
      <c r="W559">
        <v>0.14904719999999999</v>
      </c>
      <c r="X559">
        <v>0.98616499999999996</v>
      </c>
      <c r="Y559">
        <v>0.16271160000000001</v>
      </c>
      <c r="Z559">
        <v>-5.1138989999999999E-3</v>
      </c>
      <c r="AA559">
        <v>0.98666039999999999</v>
      </c>
      <c r="AB559">
        <v>28</v>
      </c>
      <c r="AC559">
        <v>30.495200000000001</v>
      </c>
      <c r="AD559">
        <v>-1.1598740000000001</v>
      </c>
      <c r="AE559">
        <v>-3.37709999999998</v>
      </c>
      <c r="AF559">
        <v>5.0344859434828804</v>
      </c>
      <c r="AG559">
        <v>-1.1598740000000001</v>
      </c>
      <c r="AH559">
        <v>30.221368601388999</v>
      </c>
      <c r="AI559">
        <v>92.168043395524293</v>
      </c>
      <c r="AJ559">
        <v>80.542121237475797</v>
      </c>
      <c r="AK559">
        <v>30.659785983467302</v>
      </c>
      <c r="AL559">
        <v>81.428284956225994</v>
      </c>
      <c r="AM559">
        <v>85.792500392381697</v>
      </c>
      <c r="AN559">
        <v>0.99999993146222899</v>
      </c>
    </row>
    <row r="560" spans="1:40" x14ac:dyDescent="0.25">
      <c r="A560" t="str">
        <f>"20190312172622103"</f>
        <v>20190312172622103</v>
      </c>
      <c r="B560" t="str">
        <f>"1552382782098951"</f>
        <v>1552382782098951</v>
      </c>
      <c r="C560" t="s">
        <v>40</v>
      </c>
      <c r="D560">
        <v>3.3269060000000001</v>
      </c>
      <c r="E560">
        <v>0.53072059999999999</v>
      </c>
      <c r="F560" t="s">
        <v>43</v>
      </c>
      <c r="G560">
        <v>-302.82709999999997</v>
      </c>
      <c r="H560">
        <v>-0.05</v>
      </c>
      <c r="I560">
        <v>363.27690000000001</v>
      </c>
      <c r="J560">
        <v>-333.9699</v>
      </c>
      <c r="K560">
        <v>1.109847</v>
      </c>
      <c r="L560">
        <v>366.48610000000002</v>
      </c>
      <c r="M560">
        <v>0.99841740000000001</v>
      </c>
      <c r="N560">
        <v>0</v>
      </c>
      <c r="O560">
        <v>5.4623159999999997E-2</v>
      </c>
      <c r="P560">
        <v>0.99060369999999998</v>
      </c>
      <c r="Q560">
        <v>0.1355894</v>
      </c>
      <c r="R560">
        <v>-1.7887599999999899E-2</v>
      </c>
      <c r="S560">
        <v>3.0382389999999999</v>
      </c>
      <c r="T560">
        <v>-0.1121504</v>
      </c>
      <c r="U560">
        <v>-0.3088379</v>
      </c>
      <c r="V560">
        <v>7.2013240000000006E-2</v>
      </c>
      <c r="W560">
        <v>0.14877989999999999</v>
      </c>
      <c r="X560">
        <v>0.98624469999999997</v>
      </c>
      <c r="Y560">
        <v>0.1551845</v>
      </c>
      <c r="Z560">
        <v>-4.8671000000000001E-3</v>
      </c>
      <c r="AA560">
        <v>0.98787349999999996</v>
      </c>
      <c r="AB560">
        <v>28</v>
      </c>
      <c r="AC560">
        <v>31.142800000000001</v>
      </c>
      <c r="AD560">
        <v>-1.1598469999999901</v>
      </c>
      <c r="AE560">
        <v>-3.2092000000000001</v>
      </c>
      <c r="AF560">
        <v>4.8989547554545902</v>
      </c>
      <c r="AG560">
        <v>-1.1598469999999901</v>
      </c>
      <c r="AH560">
        <v>30.8786048488437</v>
      </c>
      <c r="AI560">
        <v>92.1245575963421</v>
      </c>
      <c r="AJ560">
        <v>80.985041497714704</v>
      </c>
      <c r="AK560">
        <v>31.286310747201199</v>
      </c>
      <c r="AL560">
        <v>81.443773282628001</v>
      </c>
      <c r="AM560">
        <v>85.823809950675695</v>
      </c>
      <c r="AN560">
        <v>0.99999998682869795</v>
      </c>
    </row>
    <row r="561" spans="1:40" x14ac:dyDescent="0.25">
      <c r="A561" t="str">
        <f>"20190312172622126"</f>
        <v>20190312172622126</v>
      </c>
      <c r="B561" t="str">
        <f>"1552382782119448"</f>
        <v>1552382782119448</v>
      </c>
      <c r="C561" t="s">
        <v>40</v>
      </c>
      <c r="D561">
        <v>3.1785839999999999</v>
      </c>
      <c r="E561">
        <v>0.52961859999999905</v>
      </c>
      <c r="F561" t="s">
        <v>43</v>
      </c>
      <c r="G561">
        <v>-301.8141</v>
      </c>
      <c r="H561">
        <v>-0.05</v>
      </c>
      <c r="I561">
        <v>363.4239</v>
      </c>
      <c r="J561">
        <v>-333.68689999999998</v>
      </c>
      <c r="K561">
        <v>1.1098159999999999</v>
      </c>
      <c r="L561">
        <v>366.50150000000002</v>
      </c>
      <c r="M561">
        <v>0.99842640000000005</v>
      </c>
      <c r="N561">
        <v>0</v>
      </c>
      <c r="O561">
        <v>5.4460410000000001E-2</v>
      </c>
      <c r="P561">
        <v>0.99058999999999997</v>
      </c>
      <c r="Q561">
        <v>0.13571520000000001</v>
      </c>
      <c r="R561">
        <v>-1.7690689999999998E-2</v>
      </c>
      <c r="S561">
        <v>3.0382389999999999</v>
      </c>
      <c r="T561">
        <v>-0.1095879</v>
      </c>
      <c r="U561">
        <v>-0.28933720000000002</v>
      </c>
      <c r="V561">
        <v>7.1666480000000005E-2</v>
      </c>
      <c r="W561">
        <v>0.14889820000000001</v>
      </c>
      <c r="X561">
        <v>0.98625209999999996</v>
      </c>
      <c r="Y561">
        <v>0.1487511</v>
      </c>
      <c r="Z561">
        <v>-4.6357849999999999E-3</v>
      </c>
      <c r="AA561">
        <v>0.98886379999999996</v>
      </c>
      <c r="AB561">
        <v>28</v>
      </c>
      <c r="AC561">
        <v>31.872799999999899</v>
      </c>
      <c r="AD561">
        <v>-1.159816</v>
      </c>
      <c r="AE561">
        <v>-3.0776000000000101</v>
      </c>
      <c r="AF561">
        <v>4.8026920103561999</v>
      </c>
      <c r="AG561">
        <v>-1.159816</v>
      </c>
      <c r="AH561">
        <v>31.6163895753227</v>
      </c>
      <c r="AI561">
        <v>92.077090270006295</v>
      </c>
      <c r="AJ561">
        <v>81.362509967908196</v>
      </c>
      <c r="AK561">
        <v>32.000111147912797</v>
      </c>
      <c r="AL561">
        <v>81.436918797538397</v>
      </c>
      <c r="AM561">
        <v>85.843879686500699</v>
      </c>
      <c r="AN561">
        <v>0.99999998153661995</v>
      </c>
    </row>
    <row r="562" spans="1:40" x14ac:dyDescent="0.25">
      <c r="A562" t="str">
        <f>"20190312172622147"</f>
        <v>20190312172622147</v>
      </c>
      <c r="B562" t="str">
        <f>"1552382782138971"</f>
        <v>1552382782138971</v>
      </c>
      <c r="C562" t="s">
        <v>40</v>
      </c>
      <c r="D562">
        <v>3.1751079999999998</v>
      </c>
      <c r="E562">
        <v>0.52891779999999999</v>
      </c>
      <c r="F562" t="s">
        <v>43</v>
      </c>
      <c r="G562">
        <v>-300.3537</v>
      </c>
      <c r="H562">
        <v>-0.05</v>
      </c>
      <c r="I562">
        <v>363.43329999999997</v>
      </c>
      <c r="J562">
        <v>-333.41129999999998</v>
      </c>
      <c r="K562">
        <v>1.10978</v>
      </c>
      <c r="L562">
        <v>366.5163</v>
      </c>
      <c r="M562">
        <v>0.99843729999999997</v>
      </c>
      <c r="N562">
        <v>0</v>
      </c>
      <c r="O562">
        <v>5.4259870000000002E-2</v>
      </c>
      <c r="P562">
        <v>0.99058520000000005</v>
      </c>
      <c r="Q562">
        <v>0.13580229999999999</v>
      </c>
      <c r="R562">
        <v>-1.72958E-2</v>
      </c>
      <c r="S562">
        <v>3.0380250000000002</v>
      </c>
      <c r="T562">
        <v>-0.1057068</v>
      </c>
      <c r="U562">
        <v>-0.27963259999999901</v>
      </c>
      <c r="V562">
        <v>7.108486E-2</v>
      </c>
      <c r="W562">
        <v>0.14897829999999901</v>
      </c>
      <c r="X562">
        <v>0.98628210000000005</v>
      </c>
      <c r="Y562">
        <v>0.14543800000000001</v>
      </c>
      <c r="Z562">
        <v>-4.4081820000000001E-3</v>
      </c>
      <c r="AA562">
        <v>0.9893575</v>
      </c>
      <c r="AB562">
        <v>28</v>
      </c>
      <c r="AC562">
        <v>33.057599999999901</v>
      </c>
      <c r="AD562">
        <v>-1.15978</v>
      </c>
      <c r="AE562">
        <v>-3.0830000000000202</v>
      </c>
      <c r="AF562">
        <v>4.8663807549026696</v>
      </c>
      <c r="AG562">
        <v>-1.15978</v>
      </c>
      <c r="AH562">
        <v>32.801568283163299</v>
      </c>
      <c r="AI562">
        <v>92.003083478724307</v>
      </c>
      <c r="AJ562">
        <v>81.561256215963198</v>
      </c>
      <c r="AK562">
        <v>33.1808624531538</v>
      </c>
      <c r="AL562">
        <v>81.432277678768003</v>
      </c>
      <c r="AM562">
        <v>85.877617498793896</v>
      </c>
      <c r="AN562">
        <v>0.99999998598625905</v>
      </c>
    </row>
    <row r="563" spans="1:40" x14ac:dyDescent="0.25">
      <c r="A563" t="str">
        <f>"20190312172622170"</f>
        <v>20190312172622170</v>
      </c>
      <c r="B563" t="str">
        <f>"1552382782159463"</f>
        <v>1552382782159463</v>
      </c>
      <c r="C563" t="s">
        <v>40</v>
      </c>
      <c r="D563">
        <v>3.1603870000000001</v>
      </c>
      <c r="E563">
        <v>0.52842129999999998</v>
      </c>
      <c r="F563" t="s">
        <v>43</v>
      </c>
      <c r="G563">
        <v>-299.428</v>
      </c>
      <c r="H563">
        <v>-0.05</v>
      </c>
      <c r="I563">
        <v>363.46550000000002</v>
      </c>
      <c r="J563">
        <v>-333.13080000000002</v>
      </c>
      <c r="K563">
        <v>1.1097440000000001</v>
      </c>
      <c r="L563">
        <v>366.53129999999999</v>
      </c>
      <c r="M563">
        <v>0.99845099999999998</v>
      </c>
      <c r="N563">
        <v>0</v>
      </c>
      <c r="O563">
        <v>5.4009229999999998E-2</v>
      </c>
      <c r="P563">
        <v>0.99062059999999996</v>
      </c>
      <c r="Q563">
        <v>0.13558979999999901</v>
      </c>
      <c r="R563">
        <v>-1.6936590000000001E-2</v>
      </c>
      <c r="S563">
        <v>3.0379640000000001</v>
      </c>
      <c r="T563">
        <v>-0.10367949999999999</v>
      </c>
      <c r="U563">
        <v>-0.27273560000000002</v>
      </c>
      <c r="V563">
        <v>7.049076E-2</v>
      </c>
      <c r="W563">
        <v>0.14875959999999999</v>
      </c>
      <c r="X563">
        <v>0.9863577</v>
      </c>
      <c r="Y563">
        <v>0.1429695</v>
      </c>
      <c r="Z563">
        <v>-4.2736290000000001E-3</v>
      </c>
      <c r="AA563">
        <v>0.98971790000000004</v>
      </c>
      <c r="AB563">
        <v>28</v>
      </c>
      <c r="AC563">
        <v>33.702800000000003</v>
      </c>
      <c r="AD563">
        <v>-1.1597440000000001</v>
      </c>
      <c r="AE563">
        <v>-3.0657999999999599</v>
      </c>
      <c r="AF563">
        <v>4.8760229547199296</v>
      </c>
      <c r="AG563">
        <v>-1.1597440000000001</v>
      </c>
      <c r="AH563">
        <v>33.448721599212</v>
      </c>
      <c r="AI563">
        <v>91.965028005244605</v>
      </c>
      <c r="AJ563">
        <v>81.706068059701593</v>
      </c>
      <c r="AK563">
        <v>33.822146333757203</v>
      </c>
      <c r="AL563">
        <v>81.444949064366597</v>
      </c>
      <c r="AM563">
        <v>85.912265759008505</v>
      </c>
      <c r="AN563">
        <v>0.999999939093412</v>
      </c>
    </row>
    <row r="564" spans="1:40" x14ac:dyDescent="0.25">
      <c r="A564" t="str">
        <f>"20190312172622192"</f>
        <v>20190312172622192</v>
      </c>
      <c r="B564" t="str">
        <f>"1552382782188743"</f>
        <v>1552382782188743</v>
      </c>
      <c r="C564" t="s">
        <v>40</v>
      </c>
      <c r="D564">
        <v>3.1409500000000001</v>
      </c>
      <c r="E564">
        <v>0.52787659999999903</v>
      </c>
      <c r="F564" t="s">
        <v>43</v>
      </c>
      <c r="G564">
        <v>-299.10899999999998</v>
      </c>
      <c r="H564">
        <v>-0.05</v>
      </c>
      <c r="I564">
        <v>363.53440000000001</v>
      </c>
      <c r="J564">
        <v>-332.85210000000001</v>
      </c>
      <c r="K564">
        <v>1.1097109999999999</v>
      </c>
      <c r="L564">
        <v>366.54610000000002</v>
      </c>
      <c r="M564">
        <v>0.99846650000000003</v>
      </c>
      <c r="N564">
        <v>0</v>
      </c>
      <c r="O564">
        <v>5.3720650000000002E-2</v>
      </c>
      <c r="P564">
        <v>0.99066969999999999</v>
      </c>
      <c r="Q564">
        <v>0.13529369999999999</v>
      </c>
      <c r="R564">
        <v>-1.6423460000000001E-2</v>
      </c>
      <c r="S564">
        <v>3.0379640000000001</v>
      </c>
      <c r="T564">
        <v>-0.1035589</v>
      </c>
      <c r="U564">
        <v>-0.26760859999999997</v>
      </c>
      <c r="V564">
        <v>6.9705439999999994E-2</v>
      </c>
      <c r="W564">
        <v>0.14845920000000001</v>
      </c>
      <c r="X564">
        <v>0.98645879999999997</v>
      </c>
      <c r="Y564">
        <v>0.1410275</v>
      </c>
      <c r="Z564">
        <v>-4.2261140000000004E-3</v>
      </c>
      <c r="AA564">
        <v>0.98999669999999895</v>
      </c>
      <c r="AB564">
        <v>28</v>
      </c>
      <c r="AC564">
        <v>33.743099999999899</v>
      </c>
      <c r="AD564">
        <v>-1.1597109999999999</v>
      </c>
      <c r="AE564">
        <v>-3.01170000000001</v>
      </c>
      <c r="AF564">
        <v>4.81457151902777</v>
      </c>
      <c r="AG564">
        <v>-1.1597109999999999</v>
      </c>
      <c r="AH564">
        <v>33.493311232204398</v>
      </c>
      <c r="AI564">
        <v>91.962922356786606</v>
      </c>
      <c r="AJ564">
        <v>81.819924263026707</v>
      </c>
      <c r="AK564">
        <v>33.857450078419397</v>
      </c>
      <c r="AL564">
        <v>81.462354276260498</v>
      </c>
      <c r="AM564">
        <v>85.958067288548094</v>
      </c>
      <c r="AN564">
        <v>0.99999997326383605</v>
      </c>
    </row>
    <row r="565" spans="1:40" x14ac:dyDescent="0.25">
      <c r="A565" t="str">
        <f>"20190312172622215"</f>
        <v>20190312172622215</v>
      </c>
      <c r="B565" t="str">
        <f>"1552382782209240"</f>
        <v>1552382782209240</v>
      </c>
      <c r="C565" t="s">
        <v>40</v>
      </c>
      <c r="D565">
        <v>3.1562929999999998</v>
      </c>
      <c r="E565">
        <v>0.52753289999999997</v>
      </c>
      <c r="F565" t="s">
        <v>43</v>
      </c>
      <c r="G565">
        <v>-299.27409999999998</v>
      </c>
      <c r="H565">
        <v>-0.05</v>
      </c>
      <c r="I565">
        <v>363.64949999999999</v>
      </c>
      <c r="J565">
        <v>-332.57400000000001</v>
      </c>
      <c r="K565">
        <v>1.109686</v>
      </c>
      <c r="L565">
        <v>366.5607</v>
      </c>
      <c r="M565">
        <v>0.99848369999999997</v>
      </c>
      <c r="N565">
        <v>0</v>
      </c>
      <c r="O565">
        <v>5.3402100000000001E-2</v>
      </c>
      <c r="P565">
        <v>0.99065749999999997</v>
      </c>
      <c r="Q565">
        <v>0.13539379999999901</v>
      </c>
      <c r="R565">
        <v>-1.6323089999999998E-2</v>
      </c>
      <c r="S565">
        <v>3.0382389999999999</v>
      </c>
      <c r="T565">
        <v>-0.10493420000000001</v>
      </c>
      <c r="U565">
        <v>-0.26208500000000001</v>
      </c>
      <c r="V565">
        <v>6.9298189999999996E-2</v>
      </c>
      <c r="W565">
        <v>0.14855299999999999</v>
      </c>
      <c r="X565">
        <v>0.98647339999999994</v>
      </c>
      <c r="Y565">
        <v>0.1389157</v>
      </c>
      <c r="Z565">
        <v>-4.2347649999999997E-3</v>
      </c>
      <c r="AA565">
        <v>0.99029520000000004</v>
      </c>
      <c r="AB565">
        <v>28</v>
      </c>
      <c r="AC565">
        <v>33.299900000000001</v>
      </c>
      <c r="AD565">
        <v>-1.159686</v>
      </c>
      <c r="AE565">
        <v>-2.9112</v>
      </c>
      <c r="AF565">
        <v>4.6798558204060896</v>
      </c>
      <c r="AG565">
        <v>-1.159686</v>
      </c>
      <c r="AH565">
        <v>33.057109372457397</v>
      </c>
      <c r="AI565">
        <v>91.989365731934001</v>
      </c>
      <c r="AJ565">
        <v>81.942250058511306</v>
      </c>
      <c r="AK565">
        <v>33.406861603284298</v>
      </c>
      <c r="AL565">
        <v>81.456919908414605</v>
      </c>
      <c r="AM565">
        <v>85.981663737102807</v>
      </c>
      <c r="AN565">
        <v>1.0000000009269101</v>
      </c>
    </row>
    <row r="566" spans="1:40" x14ac:dyDescent="0.25">
      <c r="A566" t="str">
        <f>"20190312172622236"</f>
        <v>20190312172622236</v>
      </c>
      <c r="B566" t="str">
        <f>"1552382782228759"</f>
        <v>1552382782228759</v>
      </c>
      <c r="C566" t="s">
        <v>40</v>
      </c>
      <c r="D566">
        <v>3.1680009999999998</v>
      </c>
      <c r="E566">
        <v>0.52725649999999902</v>
      </c>
      <c r="F566" t="s">
        <v>43</v>
      </c>
      <c r="G566">
        <v>-298.60629999999998</v>
      </c>
      <c r="H566">
        <v>-0.05</v>
      </c>
      <c r="I566">
        <v>363.6592</v>
      </c>
      <c r="J566">
        <v>-332.29849999999999</v>
      </c>
      <c r="K566">
        <v>1.109669</v>
      </c>
      <c r="L566">
        <v>366.57510000000002</v>
      </c>
      <c r="M566">
        <v>0.998502</v>
      </c>
      <c r="N566">
        <v>0</v>
      </c>
      <c r="O566">
        <v>5.3058090000000002E-2</v>
      </c>
      <c r="P566">
        <v>0.99063380000000001</v>
      </c>
      <c r="Q566">
        <v>0.13557049999999901</v>
      </c>
      <c r="R566">
        <v>-1.6299669999999999E-2</v>
      </c>
      <c r="S566">
        <v>3.0381770000000001</v>
      </c>
      <c r="T566">
        <v>-0.1037257</v>
      </c>
      <c r="U566">
        <v>-0.25952150000000002</v>
      </c>
      <c r="V566">
        <v>6.8940680000000004E-2</v>
      </c>
      <c r="W566">
        <v>0.1487251</v>
      </c>
      <c r="X566">
        <v>0.98647249999999997</v>
      </c>
      <c r="Y566">
        <v>0.13775009999999999</v>
      </c>
      <c r="Z566">
        <v>-4.1546659999999996E-3</v>
      </c>
      <c r="AA566">
        <v>0.99045830000000001</v>
      </c>
      <c r="AB566">
        <v>28</v>
      </c>
      <c r="AC566">
        <v>33.6922</v>
      </c>
      <c r="AD566">
        <v>-1.1596690000000001</v>
      </c>
      <c r="AE566">
        <v>-2.9159000000000201</v>
      </c>
      <c r="AF566">
        <v>4.6940757021874404</v>
      </c>
      <c r="AG566">
        <v>-1.1596690000000001</v>
      </c>
      <c r="AH566">
        <v>33.450673226266701</v>
      </c>
      <c r="AI566">
        <v>91.966286346990501</v>
      </c>
      <c r="AJ566">
        <v>82.011942507449305</v>
      </c>
      <c r="AK566">
        <v>33.798324191857503</v>
      </c>
      <c r="AL566">
        <v>81.446948383416299</v>
      </c>
      <c r="AM566">
        <v>86.0023233468375</v>
      </c>
      <c r="AN566">
        <v>0.99999998299256099</v>
      </c>
    </row>
    <row r="567" spans="1:40" x14ac:dyDescent="0.25">
      <c r="A567" t="str">
        <f>"20190312172622259"</f>
        <v>20190312172622259</v>
      </c>
      <c r="B567" t="str">
        <f>"1552382782249255"</f>
        <v>1552382782249255</v>
      </c>
      <c r="C567" t="s">
        <v>40</v>
      </c>
      <c r="D567">
        <v>3.1949320000000001</v>
      </c>
      <c r="E567">
        <v>0.52696869999999996</v>
      </c>
      <c r="F567" t="s">
        <v>43</v>
      </c>
      <c r="G567">
        <v>-297.96940000000001</v>
      </c>
      <c r="H567">
        <v>-0.05</v>
      </c>
      <c r="I567">
        <v>363.66640000000001</v>
      </c>
      <c r="J567">
        <v>-332.01229999999998</v>
      </c>
      <c r="K567">
        <v>1.10965</v>
      </c>
      <c r="L567">
        <v>366.58980000000003</v>
      </c>
      <c r="M567">
        <v>0.99852269999999999</v>
      </c>
      <c r="N567">
        <v>0</v>
      </c>
      <c r="O567">
        <v>5.266792E-2</v>
      </c>
      <c r="P567">
        <v>0.99062209999999995</v>
      </c>
      <c r="Q567">
        <v>0.135684</v>
      </c>
      <c r="R567">
        <v>-1.607014E-2</v>
      </c>
      <c r="S567">
        <v>3.0381469999999999</v>
      </c>
      <c r="T567">
        <v>-0.10263129999999999</v>
      </c>
      <c r="U567">
        <v>-0.25741579999999997</v>
      </c>
      <c r="V567">
        <v>6.8332870000000004E-2</v>
      </c>
      <c r="W567">
        <v>0.14883360000000001</v>
      </c>
      <c r="X567">
        <v>0.9864984</v>
      </c>
      <c r="Y567">
        <v>0.13668540000000001</v>
      </c>
      <c r="Z567">
        <v>-4.0799110000000003E-3</v>
      </c>
      <c r="AA567">
        <v>0.99060610000000004</v>
      </c>
      <c r="AB567">
        <v>28</v>
      </c>
      <c r="AC567">
        <v>34.042899999999896</v>
      </c>
      <c r="AD567">
        <v>-1.1596500000000001</v>
      </c>
      <c r="AE567">
        <v>-2.9234000000000102</v>
      </c>
      <c r="AF567">
        <v>4.7070486318992799</v>
      </c>
      <c r="AG567">
        <v>-1.1596500000000001</v>
      </c>
      <c r="AH567">
        <v>33.802722743986202</v>
      </c>
      <c r="AI567">
        <v>91.946079103921704</v>
      </c>
      <c r="AJ567">
        <v>82.072507309244003</v>
      </c>
      <c r="AK567">
        <v>34.148574785082502</v>
      </c>
      <c r="AL567">
        <v>81.440661603819294</v>
      </c>
      <c r="AM567">
        <v>86.037559471761497</v>
      </c>
      <c r="AN567">
        <v>0.999999957406977</v>
      </c>
    </row>
    <row r="568" spans="1:40" x14ac:dyDescent="0.25">
      <c r="A568" t="str">
        <f>"20190312172622280"</f>
        <v>20190312172622280</v>
      </c>
      <c r="B568" t="str">
        <f>"1552382782268775"</f>
        <v>1552382782268775</v>
      </c>
      <c r="C568" t="s">
        <v>40</v>
      </c>
      <c r="D568">
        <v>3.1591140000000002</v>
      </c>
      <c r="E568">
        <v>0.49996780000000002</v>
      </c>
      <c r="F568" t="s">
        <v>43</v>
      </c>
      <c r="G568">
        <v>-297.3519</v>
      </c>
      <c r="H568">
        <v>-0.05</v>
      </c>
      <c r="I568">
        <v>363.68279999999999</v>
      </c>
      <c r="J568">
        <v>-331.75259999999997</v>
      </c>
      <c r="K568">
        <v>1.1096280000000001</v>
      </c>
      <c r="L568">
        <v>366.60309999999998</v>
      </c>
      <c r="M568">
        <v>0.99854310000000002</v>
      </c>
      <c r="N568">
        <v>0</v>
      </c>
      <c r="O568">
        <v>5.2279800000000001E-2</v>
      </c>
      <c r="P568">
        <v>0.99046599999999996</v>
      </c>
      <c r="Q568">
        <v>0.1367033</v>
      </c>
      <c r="R568">
        <v>-1.7009070000000001E-2</v>
      </c>
      <c r="S568">
        <v>3.038208</v>
      </c>
      <c r="T568">
        <v>-0.1016507</v>
      </c>
      <c r="U568">
        <v>-0.25482179999999999</v>
      </c>
      <c r="V568">
        <v>6.8888279999999996E-2</v>
      </c>
      <c r="W568">
        <v>0.14984349999999999</v>
      </c>
      <c r="X568">
        <v>0.98630689999999999</v>
      </c>
      <c r="Y568">
        <v>0.13546169999999999</v>
      </c>
      <c r="Z568">
        <v>-4.007615E-3</v>
      </c>
      <c r="AA568">
        <v>0.9907745</v>
      </c>
      <c r="AB568">
        <v>28</v>
      </c>
      <c r="AC568">
        <v>34.400699999999901</v>
      </c>
      <c r="AD568">
        <v>-1.1596280000000001</v>
      </c>
      <c r="AE568">
        <v>-2.9202999999999899</v>
      </c>
      <c r="AF568">
        <v>4.7096145911331</v>
      </c>
      <c r="AG568">
        <v>-1.1596280000000001</v>
      </c>
      <c r="AH568">
        <v>34.162419605878803</v>
      </c>
      <c r="AI568">
        <v>91.925931699467498</v>
      </c>
      <c r="AJ568">
        <v>82.150708008558695</v>
      </c>
      <c r="AK568">
        <v>34.505015867602999</v>
      </c>
      <c r="AL568">
        <v>81.382142605542001</v>
      </c>
      <c r="AM568">
        <v>86.004683509393303</v>
      </c>
      <c r="AN568">
        <v>0.99999998530060896</v>
      </c>
    </row>
    <row r="569" spans="1:40" x14ac:dyDescent="0.25">
      <c r="A569" t="str">
        <f>"20190312172622302"</f>
        <v>20190312172622302</v>
      </c>
      <c r="B569" t="str">
        <f>"1552382782299031"</f>
        <v>1552382782299031</v>
      </c>
      <c r="C569" t="s">
        <v>40</v>
      </c>
      <c r="D569">
        <v>3.1532260000000001</v>
      </c>
      <c r="E569">
        <v>0.48716730000000003</v>
      </c>
      <c r="F569" t="s">
        <v>43</v>
      </c>
      <c r="G569">
        <v>-296.27769999999998</v>
      </c>
      <c r="H569">
        <v>-0.05</v>
      </c>
      <c r="I569">
        <v>366.1046</v>
      </c>
      <c r="J569">
        <v>-331.47300000000001</v>
      </c>
      <c r="K569">
        <v>1.1096060000000001</v>
      </c>
      <c r="L569">
        <v>366.6173</v>
      </c>
      <c r="M569">
        <v>0.99856719999999999</v>
      </c>
      <c r="N569">
        <v>0</v>
      </c>
      <c r="O569">
        <v>5.1818999999999997E-2</v>
      </c>
      <c r="P569">
        <v>0.99038619999999999</v>
      </c>
      <c r="Q569">
        <v>0.13726369999999999</v>
      </c>
      <c r="R569">
        <v>-1.7156580000000001E-2</v>
      </c>
      <c r="S569">
        <v>3.0418699999999999</v>
      </c>
      <c r="T569">
        <v>-9.9434729999999999E-2</v>
      </c>
      <c r="U569">
        <v>-4.2755130000000002E-2</v>
      </c>
      <c r="V569">
        <v>6.8587709999999996E-2</v>
      </c>
      <c r="W569">
        <v>0.150396</v>
      </c>
      <c r="X569">
        <v>0.9862438</v>
      </c>
      <c r="Y569">
        <v>6.5790959999999996E-2</v>
      </c>
      <c r="Z569">
        <v>-2.7680650000000001E-3</v>
      </c>
      <c r="AA569">
        <v>0.99782959999999998</v>
      </c>
      <c r="AB569">
        <v>28</v>
      </c>
      <c r="AC569">
        <v>35.195300000000003</v>
      </c>
      <c r="AD569">
        <v>-1.1596059999999999</v>
      </c>
      <c r="AE569">
        <v>-0.51269999999999505</v>
      </c>
      <c r="AF569">
        <v>2.3334264351707099</v>
      </c>
      <c r="AG569">
        <v>-1.1596059999999999</v>
      </c>
      <c r="AH569">
        <v>35.0833596486179</v>
      </c>
      <c r="AI569">
        <v>91.888930811019193</v>
      </c>
      <c r="AJ569">
        <v>86.194809548255293</v>
      </c>
      <c r="AK569">
        <v>35.179989898205797</v>
      </c>
      <c r="AL569">
        <v>81.350124250360395</v>
      </c>
      <c r="AM569">
        <v>86.021805901927394</v>
      </c>
      <c r="AN569">
        <v>1.0000000319087401</v>
      </c>
    </row>
    <row r="570" spans="1:40" x14ac:dyDescent="0.25">
      <c r="A570" t="str">
        <f>"20190312172622326"</f>
        <v>20190312172622326</v>
      </c>
      <c r="B570" t="str">
        <f>"1552382782319527"</f>
        <v>1552382782319527</v>
      </c>
      <c r="C570" t="s">
        <v>40</v>
      </c>
      <c r="D570">
        <v>3.1134780000000002</v>
      </c>
      <c r="E570">
        <v>0.48407040000000001</v>
      </c>
      <c r="F570" t="s">
        <v>43</v>
      </c>
      <c r="G570">
        <v>-294.13470000000001</v>
      </c>
      <c r="H570">
        <v>-0.05</v>
      </c>
      <c r="I570">
        <v>367.33580000000001</v>
      </c>
      <c r="J570">
        <v>-331.18369999999999</v>
      </c>
      <c r="K570">
        <v>1.1095680000000001</v>
      </c>
      <c r="L570">
        <v>366.63170000000002</v>
      </c>
      <c r="M570">
        <v>0.99859450000000005</v>
      </c>
      <c r="N570">
        <v>0</v>
      </c>
      <c r="O570">
        <v>5.1288840000000002E-2</v>
      </c>
      <c r="P570">
        <v>0.99027410000000005</v>
      </c>
      <c r="Q570">
        <v>0.13803019999999999</v>
      </c>
      <c r="R570">
        <v>-1.7460799999999999E-2</v>
      </c>
      <c r="S570">
        <v>3.0432429999999999</v>
      </c>
      <c r="T570">
        <v>-9.4513180000000002E-2</v>
      </c>
      <c r="U570">
        <v>5.8563230000000001E-2</v>
      </c>
      <c r="V570">
        <v>6.8377289999999993E-2</v>
      </c>
      <c r="W570">
        <v>0.15115309999999901</v>
      </c>
      <c r="X570">
        <v>0.98614259999999998</v>
      </c>
      <c r="Y570">
        <v>3.2029000000000002E-2</v>
      </c>
      <c r="Z570">
        <v>-2.0889459999999999E-3</v>
      </c>
      <c r="AA570">
        <v>0.99948479999999995</v>
      </c>
      <c r="AB570">
        <v>28</v>
      </c>
      <c r="AC570">
        <v>37.0489999999999</v>
      </c>
      <c r="AD570">
        <v>-1.1595679999999999</v>
      </c>
      <c r="AE570">
        <v>0.70409999999998196</v>
      </c>
      <c r="AF570">
        <v>1.19602550952183</v>
      </c>
      <c r="AG570">
        <v>-1.1595679999999999</v>
      </c>
      <c r="AH570">
        <v>37.000113915222698</v>
      </c>
      <c r="AI570">
        <v>91.794101625114294</v>
      </c>
      <c r="AJ570">
        <v>88.148563516189199</v>
      </c>
      <c r="AK570">
        <v>37.037595827827502</v>
      </c>
      <c r="AL570">
        <v>81.306243446243798</v>
      </c>
      <c r="AM570">
        <v>86.033565879251597</v>
      </c>
      <c r="AN570">
        <v>0.99999997048105604</v>
      </c>
    </row>
    <row r="571" spans="1:40" x14ac:dyDescent="0.25">
      <c r="A571" t="str">
        <f>"20190312172622349"</f>
        <v>20190312172622349</v>
      </c>
      <c r="B571" t="str">
        <f>"1552382782339048"</f>
        <v>1552382782339048</v>
      </c>
      <c r="C571" t="s">
        <v>40</v>
      </c>
      <c r="D571">
        <v>3.1476600000000001</v>
      </c>
      <c r="E571">
        <v>0.48246030000000001</v>
      </c>
      <c r="F571" t="s">
        <v>43</v>
      </c>
      <c r="G571">
        <v>-292.37689999999998</v>
      </c>
      <c r="H571">
        <v>-0.05</v>
      </c>
      <c r="I571">
        <v>367.68029999999999</v>
      </c>
      <c r="J571">
        <v>-330.90339999999998</v>
      </c>
      <c r="K571">
        <v>1.1095219999999999</v>
      </c>
      <c r="L571">
        <v>366.64550000000003</v>
      </c>
      <c r="M571">
        <v>0.99862419999999996</v>
      </c>
      <c r="N571">
        <v>0</v>
      </c>
      <c r="O571">
        <v>5.0708830000000003E-2</v>
      </c>
      <c r="P571">
        <v>0.99029449999999997</v>
      </c>
      <c r="Q571">
        <v>0.13784959999999999</v>
      </c>
      <c r="R571">
        <v>-1.773804E-2</v>
      </c>
      <c r="S571">
        <v>3.0435789999999998</v>
      </c>
      <c r="T571">
        <v>-9.0943930000000006E-2</v>
      </c>
      <c r="U571">
        <v>8.2244869999999998E-2</v>
      </c>
      <c r="V571">
        <v>6.8098130000000007E-2</v>
      </c>
      <c r="W571">
        <v>0.15096409999999999</v>
      </c>
      <c r="X571">
        <v>0.98619089999999998</v>
      </c>
      <c r="Y571">
        <v>2.3683889999999999E-2</v>
      </c>
      <c r="Z571">
        <v>-1.8676840000000001E-3</v>
      </c>
      <c r="AA571">
        <v>0.99971779999999999</v>
      </c>
      <c r="AB571">
        <v>28</v>
      </c>
      <c r="AC571">
        <v>38.526499999999999</v>
      </c>
      <c r="AD571">
        <v>-1.1595219999999999</v>
      </c>
      <c r="AE571">
        <v>1.03479999999996</v>
      </c>
      <c r="AF571">
        <v>0.91950717703128804</v>
      </c>
      <c r="AG571">
        <v>-1.1595219999999999</v>
      </c>
      <c r="AH571">
        <v>38.494560444885998</v>
      </c>
      <c r="AI571">
        <v>91.724833490871504</v>
      </c>
      <c r="AJ571">
        <v>88.631654361312897</v>
      </c>
      <c r="AK571">
        <v>38.522995321782503</v>
      </c>
      <c r="AL571">
        <v>81.317198339855395</v>
      </c>
      <c r="AM571">
        <v>86.049900895253103</v>
      </c>
      <c r="AN571">
        <v>1.00000000302055</v>
      </c>
    </row>
    <row r="572" spans="1:40" x14ac:dyDescent="0.25">
      <c r="A572" t="str">
        <f>"20190312172622371"</f>
        <v>20190312172622371</v>
      </c>
      <c r="B572" t="str">
        <f>"1552382782359543"</f>
        <v>1552382782359543</v>
      </c>
      <c r="C572" t="s">
        <v>40</v>
      </c>
      <c r="D572">
        <v>3.1701480000000002</v>
      </c>
      <c r="E572">
        <v>0.48176219999999997</v>
      </c>
      <c r="F572" t="s">
        <v>43</v>
      </c>
      <c r="G572">
        <v>-292.3485</v>
      </c>
      <c r="H572">
        <v>-0.05</v>
      </c>
      <c r="I572">
        <v>367.83339999999998</v>
      </c>
      <c r="J572">
        <v>-330.63040000000001</v>
      </c>
      <c r="K572">
        <v>1.10948</v>
      </c>
      <c r="L572">
        <v>366.65870000000001</v>
      </c>
      <c r="M572">
        <v>0.99865619999999999</v>
      </c>
      <c r="N572">
        <v>0</v>
      </c>
      <c r="O572">
        <v>5.007441E-2</v>
      </c>
      <c r="P572">
        <v>0.99024559999999995</v>
      </c>
      <c r="Q572">
        <v>0.1381336</v>
      </c>
      <c r="R572">
        <v>-1.824899E-2</v>
      </c>
      <c r="S572">
        <v>3.0438230000000002</v>
      </c>
      <c r="T572">
        <v>-9.1541650000000002E-2</v>
      </c>
      <c r="U572">
        <v>9.3780520000000006E-2</v>
      </c>
      <c r="V572">
        <v>6.7996619999999994E-2</v>
      </c>
      <c r="W572">
        <v>0.15123789999999901</v>
      </c>
      <c r="X572">
        <v>0.98615589999999997</v>
      </c>
      <c r="Y572">
        <v>1.926698E-2</v>
      </c>
      <c r="Z572">
        <v>-1.794229E-3</v>
      </c>
      <c r="AA572">
        <v>0.99981279999999995</v>
      </c>
      <c r="AB572">
        <v>28</v>
      </c>
      <c r="AC572">
        <v>38.2819</v>
      </c>
      <c r="AD572">
        <v>-1.1594799999999901</v>
      </c>
      <c r="AE572">
        <v>1.1746999999999701</v>
      </c>
      <c r="AF572">
        <v>0.74320730947695102</v>
      </c>
      <c r="AG572">
        <v>-1.1594799999999901</v>
      </c>
      <c r="AH572">
        <v>38.257631065440997</v>
      </c>
      <c r="AI572">
        <v>91.735613502312106</v>
      </c>
      <c r="AJ572">
        <v>88.887090353217602</v>
      </c>
      <c r="AK572">
        <v>38.282412224344696</v>
      </c>
      <c r="AL572">
        <v>81.301328086896604</v>
      </c>
      <c r="AM572">
        <v>86.055630940032302</v>
      </c>
      <c r="AN572">
        <v>0.99999995091632099</v>
      </c>
    </row>
    <row r="573" spans="1:40" x14ac:dyDescent="0.25">
      <c r="A573" t="str">
        <f>"20190312172622394"</f>
        <v>20190312172622394</v>
      </c>
      <c r="B573" t="str">
        <f>"1552382782379064"</f>
        <v>1552382782379064</v>
      </c>
      <c r="C573" t="s">
        <v>40</v>
      </c>
      <c r="D573">
        <v>3.203767</v>
      </c>
      <c r="E573">
        <v>0.4812438</v>
      </c>
      <c r="F573" t="s">
        <v>43</v>
      </c>
      <c r="G573">
        <v>-292.80200000000002</v>
      </c>
      <c r="H573">
        <v>-0.05</v>
      </c>
      <c r="I573">
        <v>367.87779999999998</v>
      </c>
      <c r="J573">
        <v>-330.34710000000001</v>
      </c>
      <c r="K573">
        <v>1.1094329999999999</v>
      </c>
      <c r="L573">
        <v>366.6721</v>
      </c>
      <c r="M573">
        <v>0.99869200000000002</v>
      </c>
      <c r="N573">
        <v>0</v>
      </c>
      <c r="O573">
        <v>4.9356589999999999E-2</v>
      </c>
      <c r="P573">
        <v>0.99021459999999994</v>
      </c>
      <c r="Q573">
        <v>0.138326799999999</v>
      </c>
      <c r="R573">
        <v>-1.84637E-2</v>
      </c>
      <c r="S573">
        <v>3.0443730000000002</v>
      </c>
      <c r="T573">
        <v>-9.3313099999999996E-2</v>
      </c>
      <c r="U573">
        <v>9.8114010000000001E-2</v>
      </c>
      <c r="V573">
        <v>6.7516569999999998E-2</v>
      </c>
      <c r="W573">
        <v>0.15142269999999999</v>
      </c>
      <c r="X573">
        <v>0.98616060000000005</v>
      </c>
      <c r="Y573">
        <v>1.7132209999999998E-2</v>
      </c>
      <c r="Z573">
        <v>-1.7738859999999999E-3</v>
      </c>
      <c r="AA573">
        <v>0.99985159999999995</v>
      </c>
      <c r="AB573">
        <v>28</v>
      </c>
      <c r="AC573">
        <v>37.545099999999898</v>
      </c>
      <c r="AD573">
        <v>-1.1594329999999999</v>
      </c>
      <c r="AE573">
        <v>1.20569999999997</v>
      </c>
      <c r="AF573">
        <v>0.64841528129304105</v>
      </c>
      <c r="AG573">
        <v>-1.1594329999999999</v>
      </c>
      <c r="AH573">
        <v>37.523100503796996</v>
      </c>
      <c r="AI573">
        <v>91.769565418042205</v>
      </c>
      <c r="AJ573">
        <v>89.010002873400296</v>
      </c>
      <c r="AK573">
        <v>37.546608351175401</v>
      </c>
      <c r="AL573">
        <v>81.290617114749594</v>
      </c>
      <c r="AM573">
        <v>86.083409464127001</v>
      </c>
      <c r="AN573">
        <v>1.0000000251461001</v>
      </c>
    </row>
    <row r="574" spans="1:40" x14ac:dyDescent="0.25">
      <c r="A574" t="str">
        <f>"20190312172622416"</f>
        <v>20190312172622416</v>
      </c>
      <c r="B574" t="str">
        <f>"1552382782409319"</f>
        <v>1552382782409319</v>
      </c>
      <c r="C574" t="s">
        <v>40</v>
      </c>
      <c r="D574">
        <v>3.2023220000000001</v>
      </c>
      <c r="E574">
        <v>0.4807131</v>
      </c>
      <c r="F574" t="s">
        <v>43</v>
      </c>
      <c r="G574">
        <v>-293.19099999999997</v>
      </c>
      <c r="H574">
        <v>-0.05</v>
      </c>
      <c r="I574">
        <v>367.91030000000001</v>
      </c>
      <c r="J574">
        <v>-330.07199999999898</v>
      </c>
      <c r="K574">
        <v>1.1093980000000001</v>
      </c>
      <c r="L574">
        <v>366.6848</v>
      </c>
      <c r="M574">
        <v>0.99872910000000004</v>
      </c>
      <c r="N574">
        <v>0</v>
      </c>
      <c r="O574">
        <v>4.8601150000000003E-2</v>
      </c>
      <c r="P574">
        <v>0.99020830000000004</v>
      </c>
      <c r="Q574">
        <v>0.13830020000000001</v>
      </c>
      <c r="R574">
        <v>-1.8995580000000001E-2</v>
      </c>
      <c r="S574">
        <v>3.0448</v>
      </c>
      <c r="T574">
        <v>-9.5011120000000004E-2</v>
      </c>
      <c r="U574">
        <v>0.1014709</v>
      </c>
      <c r="V574">
        <v>6.7314970000000002E-2</v>
      </c>
      <c r="W574">
        <v>0.151388299999999</v>
      </c>
      <c r="X574">
        <v>0.98617960000000005</v>
      </c>
      <c r="Y574">
        <v>1.5279350000000001E-2</v>
      </c>
      <c r="Z574">
        <v>-1.7534269999999999E-3</v>
      </c>
      <c r="AA574">
        <v>0.99988169999999998</v>
      </c>
      <c r="AB574">
        <v>28</v>
      </c>
      <c r="AC574">
        <v>36.880999999999901</v>
      </c>
      <c r="AD574">
        <v>-1.1593979999999999</v>
      </c>
      <c r="AE574">
        <v>1.22550000000001</v>
      </c>
      <c r="AF574">
        <v>0.56800643388053296</v>
      </c>
      <c r="AG574">
        <v>-1.1593979999999999</v>
      </c>
      <c r="AH574">
        <v>36.860588004408598</v>
      </c>
      <c r="AI574">
        <v>91.801350560884302</v>
      </c>
      <c r="AJ574">
        <v>89.117165580336106</v>
      </c>
      <c r="AK574">
        <v>36.883191063980398</v>
      </c>
      <c r="AL574">
        <v>81.292610531178099</v>
      </c>
      <c r="AM574">
        <v>86.095142909947299</v>
      </c>
      <c r="AN574">
        <v>0.99999996300957394</v>
      </c>
    </row>
    <row r="575" spans="1:40" x14ac:dyDescent="0.25">
      <c r="A575" t="str">
        <f>"20190312172622437"</f>
        <v>20190312172622437</v>
      </c>
      <c r="B575" t="str">
        <f>"1552382782428839"</f>
        <v>1552382782428839</v>
      </c>
      <c r="C575" t="s">
        <v>40</v>
      </c>
      <c r="D575">
        <v>3.3048220000000001</v>
      </c>
      <c r="E575">
        <v>0.48046280000000002</v>
      </c>
      <c r="F575" t="s">
        <v>43</v>
      </c>
      <c r="G575">
        <v>-294.84210000000002</v>
      </c>
      <c r="H575">
        <v>-0.05</v>
      </c>
      <c r="I575">
        <v>367.89139999999998</v>
      </c>
      <c r="J575">
        <v>-329.80290000000002</v>
      </c>
      <c r="K575">
        <v>1.109361</v>
      </c>
      <c r="L575">
        <v>366.69709999999998</v>
      </c>
      <c r="M575">
        <v>0.99876730000000002</v>
      </c>
      <c r="N575">
        <v>0</v>
      </c>
      <c r="O575">
        <v>4.7810140000000001E-2</v>
      </c>
      <c r="P575">
        <v>0.99023039999999996</v>
      </c>
      <c r="Q575">
        <v>0.13800319999999999</v>
      </c>
      <c r="R575">
        <v>-1.9977269999999998E-2</v>
      </c>
      <c r="S575">
        <v>3.0456240000000001</v>
      </c>
      <c r="T575">
        <v>-0.1002301</v>
      </c>
      <c r="U575">
        <v>0.1043091</v>
      </c>
      <c r="V575">
        <v>6.7526559999999999E-2</v>
      </c>
      <c r="W575">
        <v>0.15108469999999999</v>
      </c>
      <c r="X575">
        <v>0.98621170000000002</v>
      </c>
      <c r="Y575">
        <v>1.356359E-2</v>
      </c>
      <c r="Z575">
        <v>-1.794952E-3</v>
      </c>
      <c r="AA575">
        <v>0.99990639999999997</v>
      </c>
      <c r="AB575">
        <v>28</v>
      </c>
      <c r="AC575">
        <v>34.960799999999999</v>
      </c>
      <c r="AD575">
        <v>-1.1593610000000001</v>
      </c>
      <c r="AE575">
        <v>1.1942999999999899</v>
      </c>
      <c r="AF575">
        <v>0.47817034740122499</v>
      </c>
      <c r="AG575">
        <v>-1.1593610000000001</v>
      </c>
      <c r="AH575">
        <v>34.939539623888201</v>
      </c>
      <c r="AI575">
        <v>91.900308836547197</v>
      </c>
      <c r="AJ575">
        <v>89.215918904097506</v>
      </c>
      <c r="AK575">
        <v>34.962039327515001</v>
      </c>
      <c r="AL575">
        <v>81.3102080045349</v>
      </c>
      <c r="AM575">
        <v>86.083034089008194</v>
      </c>
      <c r="AN575">
        <v>0.99999997004820596</v>
      </c>
    </row>
    <row r="576" spans="1:40" x14ac:dyDescent="0.25">
      <c r="A576" t="str">
        <f>"20190312172622460"</f>
        <v>20190312172622460</v>
      </c>
      <c r="B576" t="str">
        <f>"1552382782449335"</f>
        <v>1552382782449335</v>
      </c>
      <c r="C576" t="s">
        <v>40</v>
      </c>
      <c r="D576">
        <v>3.2226119999999998</v>
      </c>
      <c r="E576">
        <v>0.48022290000000001</v>
      </c>
      <c r="F576" t="s">
        <v>43</v>
      </c>
      <c r="G576">
        <v>-295.9006</v>
      </c>
      <c r="H576">
        <v>-0.05</v>
      </c>
      <c r="I576">
        <v>367.84980000000002</v>
      </c>
      <c r="J576">
        <v>-329.52449999999999</v>
      </c>
      <c r="K576">
        <v>1.109326</v>
      </c>
      <c r="L576">
        <v>366.70949999999999</v>
      </c>
      <c r="M576">
        <v>0.99880809999999998</v>
      </c>
      <c r="N576">
        <v>0</v>
      </c>
      <c r="O576">
        <v>4.6949879999999999E-2</v>
      </c>
      <c r="P576">
        <v>0.99025070000000004</v>
      </c>
      <c r="Q576">
        <v>0.13768849999999999</v>
      </c>
      <c r="R576">
        <v>-2.1114359999999999E-2</v>
      </c>
      <c r="S576">
        <v>3.046173</v>
      </c>
      <c r="T576">
        <v>-0.10417029999999999</v>
      </c>
      <c r="U576">
        <v>0.10357669999999999</v>
      </c>
      <c r="V576">
        <v>6.7823190000000005E-2</v>
      </c>
      <c r="W576">
        <v>0.1507628</v>
      </c>
      <c r="X576">
        <v>0.98624060000000002</v>
      </c>
      <c r="Y576">
        <v>1.2946890000000001E-2</v>
      </c>
      <c r="Z576">
        <v>-1.825243E-3</v>
      </c>
      <c r="AA576">
        <v>0.99991450000000004</v>
      </c>
      <c r="AB576">
        <v>28</v>
      </c>
      <c r="AC576">
        <v>33.6238999999999</v>
      </c>
      <c r="AD576">
        <v>-1.1593260000000001</v>
      </c>
      <c r="AE576">
        <v>1.1403000000000201</v>
      </c>
      <c r="AF576">
        <v>0.43921480520370598</v>
      </c>
      <c r="AG576">
        <v>-1.1593260000000001</v>
      </c>
      <c r="AH576">
        <v>33.600457325329799</v>
      </c>
      <c r="AI576">
        <v>91.975939751316403</v>
      </c>
      <c r="AJ576">
        <v>89.251089911508203</v>
      </c>
      <c r="AK576">
        <v>33.623320462005204</v>
      </c>
      <c r="AL576">
        <v>81.328865174895299</v>
      </c>
      <c r="AM576">
        <v>86.065996513374202</v>
      </c>
      <c r="AN576">
        <v>0.99999996402698699</v>
      </c>
    </row>
    <row r="577" spans="1:40" x14ac:dyDescent="0.25">
      <c r="A577" t="str">
        <f>"20190312172622483"</f>
        <v>20190312172622483</v>
      </c>
      <c r="B577" t="str">
        <f>"1552382782479592"</f>
        <v>1552382782479592</v>
      </c>
      <c r="C577" t="s">
        <v>40</v>
      </c>
      <c r="D577">
        <v>3.212682</v>
      </c>
      <c r="E577">
        <v>0.47988150000000002</v>
      </c>
      <c r="F577" t="s">
        <v>43</v>
      </c>
      <c r="G577">
        <v>-296.62700000000001</v>
      </c>
      <c r="H577">
        <v>-0.05</v>
      </c>
      <c r="I577">
        <v>367.81599999999997</v>
      </c>
      <c r="J577">
        <v>-329.25810000000001</v>
      </c>
      <c r="K577">
        <v>1.109291</v>
      </c>
      <c r="L577">
        <v>366.721</v>
      </c>
      <c r="M577">
        <v>0.99884759999999995</v>
      </c>
      <c r="N577">
        <v>0</v>
      </c>
      <c r="O577">
        <v>4.6101589999999998E-2</v>
      </c>
      <c r="P577">
        <v>0.99033709999999997</v>
      </c>
      <c r="Q577">
        <v>0.13682059999999999</v>
      </c>
      <c r="R577">
        <v>-2.2644850000000001E-2</v>
      </c>
      <c r="S577">
        <v>3.0466920000000002</v>
      </c>
      <c r="T577">
        <v>-0.1073669</v>
      </c>
      <c r="U577">
        <v>0.102478</v>
      </c>
      <c r="V577">
        <v>6.8523849999999997E-2</v>
      </c>
      <c r="W577">
        <v>0.14988969999999999</v>
      </c>
      <c r="X577">
        <v>0.98632529999999996</v>
      </c>
      <c r="Y577">
        <v>1.2462279999999999E-2</v>
      </c>
      <c r="Z577">
        <v>-1.8425360000000001E-3</v>
      </c>
      <c r="AA577">
        <v>0.9999207</v>
      </c>
      <c r="AB577">
        <v>28</v>
      </c>
      <c r="AC577">
        <v>32.631100000000004</v>
      </c>
      <c r="AD577">
        <v>-1.1592910000000001</v>
      </c>
      <c r="AE577">
        <v>1.09499999999997</v>
      </c>
      <c r="AF577">
        <v>0.41012697203777498</v>
      </c>
      <c r="AG577">
        <v>-1.1592910000000001</v>
      </c>
      <c r="AH577">
        <v>32.605776658745697</v>
      </c>
      <c r="AI577">
        <v>92.036119765703006</v>
      </c>
      <c r="AJ577">
        <v>89.279351458117901</v>
      </c>
      <c r="AK577">
        <v>32.628956944344402</v>
      </c>
      <c r="AL577">
        <v>81.379465594650497</v>
      </c>
      <c r="AM577">
        <v>86.025825365653404</v>
      </c>
      <c r="AN577">
        <v>1.0000000188025</v>
      </c>
    </row>
    <row r="578" spans="1:40" x14ac:dyDescent="0.25">
      <c r="A578" t="str">
        <f>"20190312172622504"</f>
        <v>20190312172622504</v>
      </c>
      <c r="B578" t="str">
        <f>"1552382782499112"</f>
        <v>1552382782499112</v>
      </c>
      <c r="C578" t="s">
        <v>40</v>
      </c>
      <c r="D578">
        <v>3.2257259999999999</v>
      </c>
      <c r="E578">
        <v>0.47974319999999998</v>
      </c>
      <c r="F578" t="s">
        <v>43</v>
      </c>
      <c r="G578">
        <v>-298.08679999999998</v>
      </c>
      <c r="H578">
        <v>-0.05</v>
      </c>
      <c r="I578">
        <v>367.75209999999998</v>
      </c>
      <c r="J578">
        <v>-328.9751</v>
      </c>
      <c r="K578">
        <v>1.109275</v>
      </c>
      <c r="L578">
        <v>366.73309999999998</v>
      </c>
      <c r="M578">
        <v>0.99888940000000004</v>
      </c>
      <c r="N578">
        <v>0</v>
      </c>
      <c r="O578">
        <v>4.5184879999999997E-2</v>
      </c>
      <c r="P578">
        <v>0.99038820000000005</v>
      </c>
      <c r="Q578">
        <v>0.1362651</v>
      </c>
      <c r="R578">
        <v>-2.3728490000000001E-2</v>
      </c>
      <c r="S578">
        <v>3.0472410000000001</v>
      </c>
      <c r="T578">
        <v>-0.1133296</v>
      </c>
      <c r="U578">
        <v>0.1007996</v>
      </c>
      <c r="V578">
        <v>6.8706320000000001E-2</v>
      </c>
      <c r="W578">
        <v>0.14933099999999999</v>
      </c>
      <c r="X578">
        <v>0.98639730000000003</v>
      </c>
      <c r="Y578">
        <v>1.209758E-2</v>
      </c>
      <c r="Z578">
        <v>-1.903655E-3</v>
      </c>
      <c r="AA578">
        <v>0.99992499999999995</v>
      </c>
      <c r="AB578">
        <v>28</v>
      </c>
      <c r="AC578">
        <v>30.888300000000001</v>
      </c>
      <c r="AD578">
        <v>-1.1592750000000001</v>
      </c>
      <c r="AE578">
        <v>1.0189999999999999</v>
      </c>
      <c r="AF578">
        <v>0.37731860599283301</v>
      </c>
      <c r="AG578">
        <v>-1.1592750000000001</v>
      </c>
      <c r="AH578">
        <v>30.859372867979801</v>
      </c>
      <c r="AI578">
        <v>92.151222858637098</v>
      </c>
      <c r="AJ578">
        <v>89.299477455145293</v>
      </c>
      <c r="AK578">
        <v>30.883445106740599</v>
      </c>
      <c r="AL578">
        <v>81.411840707245005</v>
      </c>
      <c r="AM578">
        <v>86.015566626658895</v>
      </c>
      <c r="AN578">
        <v>0.999999969708115</v>
      </c>
    </row>
    <row r="579" spans="1:40" x14ac:dyDescent="0.25">
      <c r="A579" t="str">
        <f>"20190312172622528"</f>
        <v>20190312172622528</v>
      </c>
      <c r="B579" t="str">
        <f>"1552382782519607"</f>
        <v>1552382782519607</v>
      </c>
      <c r="C579" t="s">
        <v>40</v>
      </c>
      <c r="D579">
        <v>3.304948</v>
      </c>
      <c r="E579">
        <v>0.47955120000000001</v>
      </c>
      <c r="F579" t="s">
        <v>43</v>
      </c>
      <c r="G579">
        <v>-298.87560000000002</v>
      </c>
      <c r="H579">
        <v>-0.05</v>
      </c>
      <c r="I579">
        <v>367.70030000000003</v>
      </c>
      <c r="J579">
        <v>-328.68419999999998</v>
      </c>
      <c r="K579">
        <v>1.109273</v>
      </c>
      <c r="L579">
        <v>366.74520000000001</v>
      </c>
      <c r="M579">
        <v>0.99893209999999999</v>
      </c>
      <c r="N579">
        <v>0</v>
      </c>
      <c r="O579">
        <v>4.4234240000000001E-2</v>
      </c>
      <c r="P579">
        <v>0.99031630000000004</v>
      </c>
      <c r="Q579">
        <v>0.13658580000000001</v>
      </c>
      <c r="R579">
        <v>-2.4856929999999999E-2</v>
      </c>
      <c r="S579">
        <v>3.0476070000000002</v>
      </c>
      <c r="T579">
        <v>-0.117378</v>
      </c>
      <c r="U579">
        <v>9.7930909999999996E-2</v>
      </c>
      <c r="V579">
        <v>6.8892910000000002E-2</v>
      </c>
      <c r="W579">
        <v>0.14964839999999999</v>
      </c>
      <c r="X579">
        <v>0.9863362</v>
      </c>
      <c r="Y579">
        <v>1.208799E-2</v>
      </c>
      <c r="Z579">
        <v>-1.9346719999999999E-3</v>
      </c>
      <c r="AA579">
        <v>0.99992510000000001</v>
      </c>
      <c r="AB579">
        <v>28</v>
      </c>
      <c r="AC579">
        <v>29.808599999999899</v>
      </c>
      <c r="AD579">
        <v>-1.159273</v>
      </c>
      <c r="AE579">
        <v>0.95510000000001505</v>
      </c>
      <c r="AF579">
        <v>0.36396323850516399</v>
      </c>
      <c r="AG579">
        <v>-1.159273</v>
      </c>
      <c r="AH579">
        <v>29.776679337373199</v>
      </c>
      <c r="AI579">
        <v>92.2293610182263</v>
      </c>
      <c r="AJ579">
        <v>89.299703006321494</v>
      </c>
      <c r="AK579">
        <v>29.801459955650799</v>
      </c>
      <c r="AL579">
        <v>81.393448515602799</v>
      </c>
      <c r="AM579">
        <v>86.004534160781702</v>
      </c>
      <c r="AN579">
        <v>0.99999998805063395</v>
      </c>
    </row>
    <row r="580" spans="1:40" x14ac:dyDescent="0.25">
      <c r="A580" t="str">
        <f>"20190312172622549"</f>
        <v>20190312172622549</v>
      </c>
      <c r="B580" t="str">
        <f>"1552382782539128"</f>
        <v>1552382782539128</v>
      </c>
      <c r="C580" t="s">
        <v>40</v>
      </c>
      <c r="D580">
        <v>3.233889</v>
      </c>
      <c r="E580">
        <v>0.4794042</v>
      </c>
      <c r="F580" t="s">
        <v>43</v>
      </c>
      <c r="G580">
        <v>-298.65210000000002</v>
      </c>
      <c r="H580">
        <v>-0.05</v>
      </c>
      <c r="I580">
        <v>367.69119999999998</v>
      </c>
      <c r="J580">
        <v>-328.4135</v>
      </c>
      <c r="K580">
        <v>1.1092789999999999</v>
      </c>
      <c r="L580">
        <v>366.75619999999998</v>
      </c>
      <c r="M580">
        <v>0.99897100000000005</v>
      </c>
      <c r="N580">
        <v>0</v>
      </c>
      <c r="O580">
        <v>4.3348070000000002E-2</v>
      </c>
      <c r="P580">
        <v>0.99019740000000001</v>
      </c>
      <c r="Q580">
        <v>0.1373134</v>
      </c>
      <c r="R580">
        <v>-2.5577780000000001E-2</v>
      </c>
      <c r="S580">
        <v>3.0479430000000001</v>
      </c>
      <c r="T580">
        <v>-0.1176541</v>
      </c>
      <c r="U580">
        <v>9.6008300000000005E-2</v>
      </c>
      <c r="V580">
        <v>6.8732719999999997E-2</v>
      </c>
      <c r="W580">
        <v>0.1503729</v>
      </c>
      <c r="X580">
        <v>0.98623720000000004</v>
      </c>
      <c r="Y580">
        <v>1.183525E-2</v>
      </c>
      <c r="Z580">
        <v>-1.9000040000000001E-3</v>
      </c>
      <c r="AA580">
        <v>0.99992820000000004</v>
      </c>
      <c r="AB580">
        <v>28</v>
      </c>
      <c r="AC580">
        <v>29.761399999999899</v>
      </c>
      <c r="AD580">
        <v>-1.1592789999999999</v>
      </c>
      <c r="AE580">
        <v>0.93500000000000205</v>
      </c>
      <c r="AF580">
        <v>0.35555409137997701</v>
      </c>
      <c r="AG580">
        <v>-1.1592789999999999</v>
      </c>
      <c r="AH580">
        <v>29.7288913295118</v>
      </c>
      <c r="AI580">
        <v>92.232959646312906</v>
      </c>
      <c r="AJ580">
        <v>89.314781793735804</v>
      </c>
      <c r="AK580">
        <v>29.753610305199199</v>
      </c>
      <c r="AL580">
        <v>81.351462775464995</v>
      </c>
      <c r="AM580">
        <v>86.013395594316407</v>
      </c>
      <c r="AN580">
        <v>1.0000000052584199</v>
      </c>
    </row>
    <row r="581" spans="1:40" x14ac:dyDescent="0.25">
      <c r="A581" t="str">
        <f>"20190312172622571"</f>
        <v>20190312172622571</v>
      </c>
      <c r="B581" t="str">
        <f>"1552382782559623"</f>
        <v>1552382782559623</v>
      </c>
      <c r="C581" t="s">
        <v>40</v>
      </c>
      <c r="D581">
        <v>3.2205249999999999</v>
      </c>
      <c r="E581">
        <v>0.47924349999999999</v>
      </c>
      <c r="F581" t="s">
        <v>43</v>
      </c>
      <c r="G581">
        <v>-298.1146</v>
      </c>
      <c r="H581">
        <v>-0.05</v>
      </c>
      <c r="I581">
        <v>367.69920000000002</v>
      </c>
      <c r="J581">
        <v>-328.15620000000001</v>
      </c>
      <c r="K581">
        <v>1.109294</v>
      </c>
      <c r="L581">
        <v>366.76639999999998</v>
      </c>
      <c r="M581">
        <v>0.99900719999999998</v>
      </c>
      <c r="N581">
        <v>0</v>
      </c>
      <c r="O581">
        <v>4.2508320000000002E-2</v>
      </c>
      <c r="P581">
        <v>0.99004919999999996</v>
      </c>
      <c r="Q581">
        <v>0.13831489999999999</v>
      </c>
      <c r="R581">
        <v>-2.5921630000000001E-2</v>
      </c>
      <c r="S581">
        <v>3.0483090000000002</v>
      </c>
      <c r="T581">
        <v>-0.1166325</v>
      </c>
      <c r="U581">
        <v>9.4879149999999995E-2</v>
      </c>
      <c r="V581">
        <v>6.8240369999999995E-2</v>
      </c>
      <c r="W581">
        <v>0.1513727</v>
      </c>
      <c r="X581">
        <v>0.98611839999999995</v>
      </c>
      <c r="Y581">
        <v>1.1370180000000001E-2</v>
      </c>
      <c r="Z581">
        <v>-1.8423339999999999E-3</v>
      </c>
      <c r="AA581">
        <v>0.99993370000000004</v>
      </c>
      <c r="AB581">
        <v>28</v>
      </c>
      <c r="AC581">
        <v>30.041599999999999</v>
      </c>
      <c r="AD581">
        <v>-1.159294</v>
      </c>
      <c r="AE581">
        <v>0.93280000000004204</v>
      </c>
      <c r="AF581">
        <v>0.34466193064078898</v>
      </c>
      <c r="AG581">
        <v>-1.159294</v>
      </c>
      <c r="AH581">
        <v>30.009450442467202</v>
      </c>
      <c r="AI581">
        <v>92.212145378795597</v>
      </c>
      <c r="AJ581">
        <v>89.341980427124597</v>
      </c>
      <c r="AK581">
        <v>30.033812117075001</v>
      </c>
      <c r="AL581">
        <v>81.293514832862996</v>
      </c>
      <c r="AM581">
        <v>86.041386231751801</v>
      </c>
      <c r="AN581">
        <v>0.99999997061079304</v>
      </c>
    </row>
    <row r="582" spans="1:40" x14ac:dyDescent="0.25">
      <c r="A582" t="str">
        <f>"20190312172622594"</f>
        <v>20190312172622594</v>
      </c>
      <c r="B582" t="str">
        <f>"1552382782588904"</f>
        <v>1552382782588904</v>
      </c>
      <c r="C582" t="s">
        <v>40</v>
      </c>
      <c r="D582">
        <v>3.2562760000000002</v>
      </c>
      <c r="E582">
        <v>0.47915039999999998</v>
      </c>
      <c r="F582" t="s">
        <v>43</v>
      </c>
      <c r="G582">
        <v>-297.38600000000002</v>
      </c>
      <c r="H582">
        <v>-0.05</v>
      </c>
      <c r="I582">
        <v>367.72770000000003</v>
      </c>
      <c r="J582">
        <v>-327.8707</v>
      </c>
      <c r="K582">
        <v>1.1093</v>
      </c>
      <c r="L582">
        <v>366.77749999999997</v>
      </c>
      <c r="M582">
        <v>0.99904610000000005</v>
      </c>
      <c r="N582">
        <v>0</v>
      </c>
      <c r="O582">
        <v>4.1583299999999997E-2</v>
      </c>
      <c r="P582">
        <v>0.98989709999999997</v>
      </c>
      <c r="Q582">
        <v>0.13927220000000001</v>
      </c>
      <c r="R582">
        <v>-2.6592370000000001E-2</v>
      </c>
      <c r="S582">
        <v>3.0487060000000001</v>
      </c>
      <c r="T582">
        <v>-0.1148628</v>
      </c>
      <c r="U582">
        <v>9.5245360000000001E-2</v>
      </c>
      <c r="V582">
        <v>6.798999E-2</v>
      </c>
      <c r="W582">
        <v>0.15232709999999999</v>
      </c>
      <c r="X582">
        <v>0.98598869999999905</v>
      </c>
      <c r="Y582">
        <v>1.033095E-2</v>
      </c>
      <c r="Z582">
        <v>-1.759795E-3</v>
      </c>
      <c r="AA582">
        <v>0.99994510000000003</v>
      </c>
      <c r="AB582">
        <v>28</v>
      </c>
      <c r="AC582">
        <v>30.4847</v>
      </c>
      <c r="AD582">
        <v>-1.1593</v>
      </c>
      <c r="AE582">
        <v>0.950200000000052</v>
      </c>
      <c r="AF582">
        <v>0.31792977129078098</v>
      </c>
      <c r="AG582">
        <v>-1.1593</v>
      </c>
      <c r="AH582">
        <v>30.453843696954401</v>
      </c>
      <c r="AI582">
        <v>92.179932569695296</v>
      </c>
      <c r="AJ582">
        <v>89.401869513567206</v>
      </c>
      <c r="AK582">
        <v>30.4775598063231</v>
      </c>
      <c r="AL582">
        <v>81.238189989028498</v>
      </c>
      <c r="AM582">
        <v>86.055347627309402</v>
      </c>
      <c r="AN582">
        <v>0.99999995033114797</v>
      </c>
    </row>
    <row r="583" spans="1:40" x14ac:dyDescent="0.25">
      <c r="A583" t="str">
        <f>"20190312172622617"</f>
        <v>20190312172622617</v>
      </c>
      <c r="B583" t="str">
        <f>"1552382782609399"</f>
        <v>1552382782609399</v>
      </c>
      <c r="C583" t="s">
        <v>40</v>
      </c>
      <c r="D583">
        <v>3.3534589999999902</v>
      </c>
      <c r="E583">
        <v>0.47903030000000002</v>
      </c>
      <c r="F583" t="s">
        <v>43</v>
      </c>
      <c r="G583">
        <v>-296.52890000000002</v>
      </c>
      <c r="H583">
        <v>-0.05</v>
      </c>
      <c r="I583">
        <v>367.74650000000003</v>
      </c>
      <c r="J583">
        <v>-327.5899</v>
      </c>
      <c r="K583">
        <v>1.109307</v>
      </c>
      <c r="L583">
        <v>366.78809999999999</v>
      </c>
      <c r="M583">
        <v>0.99908339999999995</v>
      </c>
      <c r="N583">
        <v>0</v>
      </c>
      <c r="O583">
        <v>4.0678430000000002E-2</v>
      </c>
      <c r="P583">
        <v>0.98987029999999998</v>
      </c>
      <c r="Q583">
        <v>0.13944579999999901</v>
      </c>
      <c r="R583">
        <v>-2.6685859999999999E-2</v>
      </c>
      <c r="S583">
        <v>3.0490110000000001</v>
      </c>
      <c r="T583">
        <v>-0.11277959999999999</v>
      </c>
      <c r="U583">
        <v>9.42688E-2</v>
      </c>
      <c r="V583">
        <v>6.7186709999999997E-2</v>
      </c>
      <c r="W583">
        <v>0.1524992</v>
      </c>
      <c r="X583">
        <v>0.98601719999999904</v>
      </c>
      <c r="Y583">
        <v>9.7507059999999996E-3</v>
      </c>
      <c r="Z583">
        <v>-1.6835929999999999E-3</v>
      </c>
      <c r="AA583">
        <v>0.99995109999999998</v>
      </c>
      <c r="AB583">
        <v>28</v>
      </c>
      <c r="AC583">
        <v>31.0609999999999</v>
      </c>
      <c r="AD583">
        <v>-1.1593069999999901</v>
      </c>
      <c r="AE583">
        <v>0.95840000000004</v>
      </c>
      <c r="AF583">
        <v>0.30559306229746303</v>
      </c>
      <c r="AG583">
        <v>-1.1593069999999901</v>
      </c>
      <c r="AH583">
        <v>31.0310889270988</v>
      </c>
      <c r="AI583">
        <v>92.139444893294396</v>
      </c>
      <c r="AJ583">
        <v>89.435771436693102</v>
      </c>
      <c r="AK583">
        <v>31.054240609641099</v>
      </c>
      <c r="AL583">
        <v>81.228213165232305</v>
      </c>
      <c r="AM583">
        <v>86.101920218810804</v>
      </c>
      <c r="AN583">
        <v>0.99999998934855105</v>
      </c>
    </row>
    <row r="584" spans="1:40" x14ac:dyDescent="0.25">
      <c r="A584" t="str">
        <f>"20190312172622638"</f>
        <v>20190312172622638</v>
      </c>
      <c r="B584" t="str">
        <f>"1552382782628920"</f>
        <v>1552382782628920</v>
      </c>
      <c r="C584" t="s">
        <v>40</v>
      </c>
      <c r="D584">
        <v>3.2092350000000001</v>
      </c>
      <c r="E584">
        <v>0.47889320000000002</v>
      </c>
      <c r="F584" t="s">
        <v>43</v>
      </c>
      <c r="G584">
        <v>-296.38889999999998</v>
      </c>
      <c r="H584">
        <v>-0.05</v>
      </c>
      <c r="I584">
        <v>367.7534</v>
      </c>
      <c r="J584">
        <v>-327.32</v>
      </c>
      <c r="K584">
        <v>1.1093059999999999</v>
      </c>
      <c r="L584">
        <v>366.79820000000001</v>
      </c>
      <c r="M584">
        <v>0.99911830000000001</v>
      </c>
      <c r="N584">
        <v>0</v>
      </c>
      <c r="O584">
        <v>3.9811510000000001E-2</v>
      </c>
      <c r="P584">
        <v>0.98974519999999999</v>
      </c>
      <c r="Q584">
        <v>0.1401906</v>
      </c>
      <c r="R584">
        <v>-2.740248E-2</v>
      </c>
      <c r="S584">
        <v>3.049194</v>
      </c>
      <c r="T584">
        <v>-0.11329599999999999</v>
      </c>
      <c r="U584">
        <v>9.4329830000000003E-2</v>
      </c>
      <c r="V584">
        <v>6.7041080000000003E-2</v>
      </c>
      <c r="W584">
        <v>0.1532348</v>
      </c>
      <c r="X584">
        <v>0.98591309999999999</v>
      </c>
      <c r="Y584">
        <v>8.8657939999999998E-3</v>
      </c>
      <c r="Z584">
        <v>-1.642599E-3</v>
      </c>
      <c r="AA584">
        <v>0.9999593</v>
      </c>
      <c r="AB584">
        <v>28</v>
      </c>
      <c r="AC584">
        <v>30.931100000000001</v>
      </c>
      <c r="AD584">
        <v>-1.1593059999999999</v>
      </c>
      <c r="AE584">
        <v>0.95519999999998995</v>
      </c>
      <c r="AF584">
        <v>0.27669229293952802</v>
      </c>
      <c r="AG584">
        <v>-1.1593059999999999</v>
      </c>
      <c r="AH584">
        <v>30.901237238179</v>
      </c>
      <c r="AI584">
        <v>92.1484429424778</v>
      </c>
      <c r="AJ584">
        <v>89.486982452364998</v>
      </c>
      <c r="AK584">
        <v>30.924214005804998</v>
      </c>
      <c r="AL584">
        <v>81.185565457860704</v>
      </c>
      <c r="AM584">
        <v>86.109934067636601</v>
      </c>
      <c r="AN584">
        <v>1.0000000255451</v>
      </c>
    </row>
    <row r="585" spans="1:40" x14ac:dyDescent="0.25">
      <c r="A585" t="str">
        <f>"20190312172622661"</f>
        <v>20190312172622661</v>
      </c>
      <c r="B585" t="str">
        <f>"1552382782649416"</f>
        <v>1552382782649416</v>
      </c>
      <c r="C585" t="s">
        <v>40</v>
      </c>
      <c r="D585">
        <v>3.2314340000000001</v>
      </c>
      <c r="E585">
        <v>0.47875699999999999</v>
      </c>
      <c r="F585" t="s">
        <v>43</v>
      </c>
      <c r="G585">
        <v>-295.66640000000001</v>
      </c>
      <c r="H585">
        <v>-0.05</v>
      </c>
      <c r="I585">
        <v>367.76400000000001</v>
      </c>
      <c r="J585">
        <v>-327.05360000000002</v>
      </c>
      <c r="K585">
        <v>1.109308</v>
      </c>
      <c r="L585">
        <v>366.80779999999999</v>
      </c>
      <c r="M585">
        <v>0.99915220000000005</v>
      </c>
      <c r="N585">
        <v>0</v>
      </c>
      <c r="O585">
        <v>3.895825E-2</v>
      </c>
      <c r="P585">
        <v>0.98974649999999997</v>
      </c>
      <c r="Q585">
        <v>0.1400884</v>
      </c>
      <c r="R585">
        <v>-2.7880539999999999E-2</v>
      </c>
      <c r="S585">
        <v>3.0494690000000002</v>
      </c>
      <c r="T585">
        <v>-0.11168599999999999</v>
      </c>
      <c r="U585">
        <v>9.3048099999999995E-2</v>
      </c>
      <c r="V585">
        <v>6.6674430000000007E-2</v>
      </c>
      <c r="W585">
        <v>0.15312210000000001</v>
      </c>
      <c r="X585">
        <v>0.98595540000000004</v>
      </c>
      <c r="Y585">
        <v>8.436308E-3</v>
      </c>
      <c r="Z585">
        <v>-1.58007E-3</v>
      </c>
      <c r="AA585">
        <v>0.99996320000000005</v>
      </c>
      <c r="AB585">
        <v>28</v>
      </c>
      <c r="AC585">
        <v>31.3872</v>
      </c>
      <c r="AD585">
        <v>-1.159308</v>
      </c>
      <c r="AE585">
        <v>0.95620000000002403</v>
      </c>
      <c r="AF585">
        <v>0.26706073850802797</v>
      </c>
      <c r="AG585">
        <v>-1.159308</v>
      </c>
      <c r="AH585">
        <v>31.357882841658402</v>
      </c>
      <c r="AI585">
        <v>92.117196901788006</v>
      </c>
      <c r="AJ585">
        <v>89.512049861983201</v>
      </c>
      <c r="AK585">
        <v>31.380441883250999</v>
      </c>
      <c r="AL585">
        <v>81.192099171320805</v>
      </c>
      <c r="AM585">
        <v>86.131309666506098</v>
      </c>
      <c r="AN585">
        <v>0.99999995395669605</v>
      </c>
    </row>
    <row r="586" spans="1:40" x14ac:dyDescent="0.25">
      <c r="A586" t="str">
        <f>"20190312172622683"</f>
        <v>20190312172622683</v>
      </c>
      <c r="B586" t="str">
        <f>"1552382782679672"</f>
        <v>1552382782679672</v>
      </c>
      <c r="C586" t="s">
        <v>40</v>
      </c>
      <c r="D586">
        <v>3.2436289999999999</v>
      </c>
      <c r="E586">
        <v>0.47859790000000002</v>
      </c>
      <c r="F586" t="s">
        <v>43</v>
      </c>
      <c r="G586">
        <v>-295.7946</v>
      </c>
      <c r="H586">
        <v>-0.05</v>
      </c>
      <c r="I586">
        <v>367.75869999999998</v>
      </c>
      <c r="J586">
        <v>-326.76620000000003</v>
      </c>
      <c r="K586">
        <v>1.1093109999999999</v>
      </c>
      <c r="L586">
        <v>366.81799999999998</v>
      </c>
      <c r="M586">
        <v>0.99918779999999996</v>
      </c>
      <c r="N586">
        <v>0</v>
      </c>
      <c r="O586">
        <v>3.8039190000000001E-2</v>
      </c>
      <c r="P586">
        <v>0.98980029999999997</v>
      </c>
      <c r="Q586">
        <v>0.13960110000000001</v>
      </c>
      <c r="R586">
        <v>-2.8414390000000001E-2</v>
      </c>
      <c r="S586">
        <v>3.0497130000000001</v>
      </c>
      <c r="T586">
        <v>-0.1131051</v>
      </c>
      <c r="U586">
        <v>9.2773439999999999E-2</v>
      </c>
      <c r="V586">
        <v>6.6299650000000002E-2</v>
      </c>
      <c r="W586">
        <v>0.15262539999999999</v>
      </c>
      <c r="X586">
        <v>0.98605770000000004</v>
      </c>
      <c r="Y586">
        <v>7.6093180000000003E-3</v>
      </c>
      <c r="Z586">
        <v>-1.550641E-3</v>
      </c>
      <c r="AA586">
        <v>0.99996980000000002</v>
      </c>
      <c r="AB586">
        <v>27</v>
      </c>
      <c r="AC586">
        <v>30.971599999999999</v>
      </c>
      <c r="AD586">
        <v>-1.159311</v>
      </c>
      <c r="AE586">
        <v>0.94069999999993503</v>
      </c>
      <c r="AF586">
        <v>0.23788666987151</v>
      </c>
      <c r="AG586">
        <v>-1.159311</v>
      </c>
      <c r="AH586">
        <v>30.941654166500101</v>
      </c>
      <c r="AI586">
        <v>92.145671029388893</v>
      </c>
      <c r="AJ586">
        <v>89.559505333084005</v>
      </c>
      <c r="AK586">
        <v>30.964278687250498</v>
      </c>
      <c r="AL586">
        <v>81.220896637931006</v>
      </c>
      <c r="AM586">
        <v>86.153388184414993</v>
      </c>
      <c r="AN586">
        <v>0.99999997202228497</v>
      </c>
    </row>
    <row r="587" spans="1:40" x14ac:dyDescent="0.25">
      <c r="A587" t="str">
        <f>"20190312172622705"</f>
        <v>20190312172622705</v>
      </c>
      <c r="B587" t="str">
        <f>"1552382782699191"</f>
        <v>1552382782699191</v>
      </c>
      <c r="C587" t="s">
        <v>40</v>
      </c>
      <c r="D587">
        <v>3.2307980000000001</v>
      </c>
      <c r="E587">
        <v>0.47848940000000001</v>
      </c>
      <c r="F587" t="s">
        <v>43</v>
      </c>
      <c r="G587">
        <v>-296.27760000000001</v>
      </c>
      <c r="H587">
        <v>-0.05</v>
      </c>
      <c r="I587">
        <v>367.73469999999998</v>
      </c>
      <c r="J587">
        <v>-326.50259999999997</v>
      </c>
      <c r="K587">
        <v>1.1093109999999999</v>
      </c>
      <c r="L587">
        <v>366.827</v>
      </c>
      <c r="M587">
        <v>0.99921959999999999</v>
      </c>
      <c r="N587">
        <v>0</v>
      </c>
      <c r="O587">
        <v>3.7195699999999998E-2</v>
      </c>
      <c r="P587">
        <v>0.98982049999999999</v>
      </c>
      <c r="Q587">
        <v>0.13943410000000001</v>
      </c>
      <c r="R587">
        <v>-2.852613E-2</v>
      </c>
      <c r="S587">
        <v>3.0499269999999998</v>
      </c>
      <c r="T587">
        <v>-0.115971699999999</v>
      </c>
      <c r="U587">
        <v>9.1705320000000007E-2</v>
      </c>
      <c r="V587">
        <v>6.5576839999999997E-2</v>
      </c>
      <c r="W587">
        <v>0.15245110000000001</v>
      </c>
      <c r="X587">
        <v>0.98613300000000004</v>
      </c>
      <c r="Y587">
        <v>7.1165509999999996E-3</v>
      </c>
      <c r="Z587">
        <v>-1.5484190000000001E-3</v>
      </c>
      <c r="AA587">
        <v>0.99997349999999996</v>
      </c>
      <c r="AB587">
        <v>27</v>
      </c>
      <c r="AC587">
        <v>30.224999999999898</v>
      </c>
      <c r="AD587">
        <v>-1.159311</v>
      </c>
      <c r="AE587">
        <v>0.90769999999997697</v>
      </c>
      <c r="AF587">
        <v>0.216948710760026</v>
      </c>
      <c r="AG587">
        <v>-1.159311</v>
      </c>
      <c r="AH587">
        <v>30.193465989279101</v>
      </c>
      <c r="AI587">
        <v>92.198796995959498</v>
      </c>
      <c r="AJ587">
        <v>89.588320479976502</v>
      </c>
      <c r="AK587">
        <v>30.216493131791001</v>
      </c>
      <c r="AL587">
        <v>81.231001586479096</v>
      </c>
      <c r="AM587">
        <v>86.195490419824793</v>
      </c>
      <c r="AN587">
        <v>0.99999997676229702</v>
      </c>
    </row>
    <row r="588" spans="1:40" x14ac:dyDescent="0.25">
      <c r="A588" t="str">
        <f>"20190312172622728"</f>
        <v>20190312172622728</v>
      </c>
      <c r="B588" t="str">
        <f>"1552382782719691"</f>
        <v>1552382782719691</v>
      </c>
      <c r="C588" t="s">
        <v>40</v>
      </c>
      <c r="D588">
        <v>3.2280929999999999</v>
      </c>
      <c r="E588">
        <v>0.47840070000000001</v>
      </c>
      <c r="F588" t="s">
        <v>43</v>
      </c>
      <c r="G588">
        <v>-296.29969999999997</v>
      </c>
      <c r="H588">
        <v>-0.05</v>
      </c>
      <c r="I588">
        <v>367.73970000000003</v>
      </c>
      <c r="J588">
        <v>-326.2242</v>
      </c>
      <c r="K588">
        <v>1.10931</v>
      </c>
      <c r="L588">
        <v>366.83629999999999</v>
      </c>
      <c r="M588">
        <v>0.99925249999999999</v>
      </c>
      <c r="N588">
        <v>0</v>
      </c>
      <c r="O588">
        <v>3.6303879999999997E-2</v>
      </c>
      <c r="P588">
        <v>0.98982190000000003</v>
      </c>
      <c r="Q588">
        <v>0.13936579999999901</v>
      </c>
      <c r="R588">
        <v>-2.880839E-2</v>
      </c>
      <c r="S588">
        <v>3.049957</v>
      </c>
      <c r="T588">
        <v>-0.1170701</v>
      </c>
      <c r="U588">
        <v>9.2163090000000003E-2</v>
      </c>
      <c r="V588">
        <v>6.4976199999999998E-2</v>
      </c>
      <c r="W588">
        <v>0.1523747</v>
      </c>
      <c r="X588">
        <v>0.98618459999999997</v>
      </c>
      <c r="Y588">
        <v>6.0752289999999997E-3</v>
      </c>
      <c r="Z588">
        <v>-1.5088930000000001E-3</v>
      </c>
      <c r="AA588">
        <v>0.99998039999999999</v>
      </c>
      <c r="AB588">
        <v>27</v>
      </c>
      <c r="AC588">
        <v>29.924499999999998</v>
      </c>
      <c r="AD588">
        <v>-1.1593100000000001</v>
      </c>
      <c r="AE588">
        <v>0.90340000000003295</v>
      </c>
      <c r="AF588">
        <v>0.18339195678606801</v>
      </c>
      <c r="AG588">
        <v>-1.1593100000000001</v>
      </c>
      <c r="AH588">
        <v>29.892745504726498</v>
      </c>
      <c r="AI588">
        <v>92.2209084199405</v>
      </c>
      <c r="AJ588">
        <v>89.648494873349605</v>
      </c>
      <c r="AK588">
        <v>29.915779550201599</v>
      </c>
      <c r="AL588">
        <v>81.235431028456901</v>
      </c>
      <c r="AM588">
        <v>86.230432917519494</v>
      </c>
      <c r="AN588">
        <v>1.0000000105218401</v>
      </c>
    </row>
    <row r="589" spans="1:40" x14ac:dyDescent="0.25">
      <c r="A589" t="str">
        <f>"20190312172622750"</f>
        <v>20190312172622750</v>
      </c>
      <c r="B589" t="str">
        <f>"1552382782739208"</f>
        <v>1552382782739208</v>
      </c>
      <c r="C589" t="s">
        <v>40</v>
      </c>
      <c r="D589">
        <v>3.2392289999999999</v>
      </c>
      <c r="E589">
        <v>0.47833599999999998</v>
      </c>
      <c r="F589" t="s">
        <v>43</v>
      </c>
      <c r="G589">
        <v>-296.17039999999997</v>
      </c>
      <c r="H589">
        <v>-0.05</v>
      </c>
      <c r="I589">
        <v>367.74599999999998</v>
      </c>
      <c r="J589">
        <v>-325.94839999999999</v>
      </c>
      <c r="K589">
        <v>1.10931</v>
      </c>
      <c r="L589">
        <v>366.84530000000001</v>
      </c>
      <c r="M589">
        <v>0.99928439999999996</v>
      </c>
      <c r="N589">
        <v>0</v>
      </c>
      <c r="O589">
        <v>3.5419270000000003E-2</v>
      </c>
      <c r="P589">
        <v>0.98977579999999998</v>
      </c>
      <c r="Q589">
        <v>0.13962430000000001</v>
      </c>
      <c r="R589">
        <v>-2.9139620000000001E-2</v>
      </c>
      <c r="S589">
        <v>3.0501399999999999</v>
      </c>
      <c r="T589">
        <v>-0.117657399999999</v>
      </c>
      <c r="U589">
        <v>9.2315670000000002E-2</v>
      </c>
      <c r="V589">
        <v>6.4430249999999994E-2</v>
      </c>
      <c r="W589">
        <v>0.15262400000000001</v>
      </c>
      <c r="X589">
        <v>0.98618189999999994</v>
      </c>
      <c r="Y589">
        <v>5.1428419999999999E-3</v>
      </c>
      <c r="Z589">
        <v>-1.4643130000000001E-3</v>
      </c>
      <c r="AA589">
        <v>0.99998569999999998</v>
      </c>
      <c r="AB589">
        <v>27</v>
      </c>
      <c r="AC589">
        <v>29.777999999999999</v>
      </c>
      <c r="AD589">
        <v>-1.1593100000000001</v>
      </c>
      <c r="AE589">
        <v>0.90069999999997197</v>
      </c>
      <c r="AF589">
        <v>0.154439320498028</v>
      </c>
      <c r="AG589">
        <v>-1.1593100000000001</v>
      </c>
      <c r="AH589">
        <v>29.746172644095498</v>
      </c>
      <c r="AI589">
        <v>92.231852710055804</v>
      </c>
      <c r="AJ589">
        <v>89.702528394015701</v>
      </c>
      <c r="AK589">
        <v>29.769155818601099</v>
      </c>
      <c r="AL589">
        <v>81.220978414951901</v>
      </c>
      <c r="AM589">
        <v>86.262005598535595</v>
      </c>
      <c r="AN589">
        <v>1.0000000411893299</v>
      </c>
    </row>
    <row r="590" spans="1:40" x14ac:dyDescent="0.25">
      <c r="A590" t="str">
        <f>"20190312172622771"</f>
        <v>20190312172622771</v>
      </c>
      <c r="B590" t="str">
        <f>"1552382782759707"</f>
        <v>1552382782759707</v>
      </c>
      <c r="C590" t="s">
        <v>40</v>
      </c>
      <c r="D590">
        <v>3.200647</v>
      </c>
      <c r="E590">
        <v>0.47826400000000002</v>
      </c>
      <c r="F590" t="s">
        <v>43</v>
      </c>
      <c r="G590">
        <v>-295.65539999999999</v>
      </c>
      <c r="H590">
        <v>-0.05</v>
      </c>
      <c r="I590">
        <v>367.76179999999999</v>
      </c>
      <c r="J590">
        <v>-325.69479999999999</v>
      </c>
      <c r="K590">
        <v>1.109318</v>
      </c>
      <c r="L590">
        <v>366.8535</v>
      </c>
      <c r="M590">
        <v>0.99931309999999995</v>
      </c>
      <c r="N590">
        <v>0</v>
      </c>
      <c r="O590">
        <v>3.4605610000000002E-2</v>
      </c>
      <c r="P590">
        <v>0.98974280000000003</v>
      </c>
      <c r="Q590">
        <v>0.13983039999999999</v>
      </c>
      <c r="R590">
        <v>-2.927215E-2</v>
      </c>
      <c r="S590">
        <v>3.0502009999999999</v>
      </c>
      <c r="T590">
        <v>-0.11673070000000001</v>
      </c>
      <c r="U590">
        <v>9.2285160000000005E-2</v>
      </c>
      <c r="V590">
        <v>6.3756640000000003E-2</v>
      </c>
      <c r="W590">
        <v>0.1528234</v>
      </c>
      <c r="X590">
        <v>0.98619480000000004</v>
      </c>
      <c r="Y590">
        <v>4.3408819999999999E-3</v>
      </c>
      <c r="Z590">
        <v>-1.406322E-3</v>
      </c>
      <c r="AA590">
        <v>0.99998960000000003</v>
      </c>
      <c r="AB590">
        <v>27</v>
      </c>
      <c r="AC590">
        <v>30.039400000000001</v>
      </c>
      <c r="AD590">
        <v>-1.1593180000000001</v>
      </c>
      <c r="AE590">
        <v>0.908299999999997</v>
      </c>
      <c r="AF590">
        <v>0.13167132538734699</v>
      </c>
      <c r="AG590">
        <v>-1.1593180000000001</v>
      </c>
      <c r="AH590">
        <v>30.008185143259102</v>
      </c>
      <c r="AI590">
        <v>92.212408796650394</v>
      </c>
      <c r="AJ590">
        <v>89.748596498742103</v>
      </c>
      <c r="AK590">
        <v>30.030859647288999</v>
      </c>
      <c r="AL590">
        <v>81.209418029568198</v>
      </c>
      <c r="AM590">
        <v>86.301025030213793</v>
      </c>
      <c r="AN590">
        <v>1.00000004213934</v>
      </c>
    </row>
    <row r="591" spans="1:40" x14ac:dyDescent="0.25">
      <c r="A591" t="str">
        <f>"20190312172622795"</f>
        <v>20190312172622795</v>
      </c>
      <c r="B591" t="str">
        <f>"1552382782788984"</f>
        <v>1552382782788984</v>
      </c>
      <c r="C591" t="s">
        <v>40</v>
      </c>
      <c r="D591">
        <v>3.2245339999999998</v>
      </c>
      <c r="E591">
        <v>0.4781165</v>
      </c>
      <c r="F591" t="s">
        <v>43</v>
      </c>
      <c r="G591">
        <v>-295.26499999999999</v>
      </c>
      <c r="H591">
        <v>-0.05</v>
      </c>
      <c r="I591">
        <v>367.7756</v>
      </c>
      <c r="J591">
        <v>-325.39929999999998</v>
      </c>
      <c r="K591">
        <v>1.1093200000000001</v>
      </c>
      <c r="L591">
        <v>366.86259999999999</v>
      </c>
      <c r="M591">
        <v>0.99934559999999995</v>
      </c>
      <c r="N591">
        <v>0</v>
      </c>
      <c r="O591">
        <v>3.3657739999999998E-2</v>
      </c>
      <c r="P591">
        <v>0.98976180000000002</v>
      </c>
      <c r="Q591">
        <v>0.13956939999999901</v>
      </c>
      <c r="R591">
        <v>-2.9865099999999999E-2</v>
      </c>
      <c r="S591">
        <v>3.0502319999999998</v>
      </c>
      <c r="T591">
        <v>-0.11620809999999999</v>
      </c>
      <c r="U591">
        <v>9.2437740000000004E-2</v>
      </c>
      <c r="V591">
        <v>6.3411839999999997E-2</v>
      </c>
      <c r="W591">
        <v>0.1525533</v>
      </c>
      <c r="X591">
        <v>0.98625879999999999</v>
      </c>
      <c r="Y591">
        <v>3.3443639999999998E-3</v>
      </c>
      <c r="Z591">
        <v>-1.344975E-3</v>
      </c>
      <c r="AA591">
        <v>0.99999349999999998</v>
      </c>
      <c r="AB591">
        <v>27</v>
      </c>
      <c r="AC591">
        <v>30.1343</v>
      </c>
      <c r="AD591">
        <v>-1.1593199999999999</v>
      </c>
      <c r="AE591">
        <v>0.91300000000001003</v>
      </c>
      <c r="AF591">
        <v>0.10170844331394401</v>
      </c>
      <c r="AG591">
        <v>-1.1593199999999999</v>
      </c>
      <c r="AH591">
        <v>30.103441094411501</v>
      </c>
      <c r="AI591">
        <v>92.205427457662694</v>
      </c>
      <c r="AJ591">
        <v>89.806419394021702</v>
      </c>
      <c r="AK591">
        <v>30.125927922547699</v>
      </c>
      <c r="AL591">
        <v>81.225076821876499</v>
      </c>
      <c r="AM591">
        <v>86.321212317356597</v>
      </c>
      <c r="AN591">
        <v>0.99999999568525699</v>
      </c>
    </row>
    <row r="592" spans="1:40" x14ac:dyDescent="0.25">
      <c r="A592" t="str">
        <f>"20190312172622818"</f>
        <v>20190312172622818</v>
      </c>
      <c r="B592" t="str">
        <f>"1552382782809480"</f>
        <v>1552382782809480</v>
      </c>
      <c r="C592" t="s">
        <v>40</v>
      </c>
      <c r="D592">
        <v>3.216329</v>
      </c>
      <c r="E592">
        <v>0.4712326</v>
      </c>
      <c r="F592" t="s">
        <v>43</v>
      </c>
      <c r="G592">
        <v>-295.27289999999999</v>
      </c>
      <c r="H592">
        <v>-0.05</v>
      </c>
      <c r="I592">
        <v>367.76530000000002</v>
      </c>
      <c r="J592">
        <v>-325.1198</v>
      </c>
      <c r="K592">
        <v>1.1093200000000001</v>
      </c>
      <c r="L592">
        <v>366.87090000000001</v>
      </c>
      <c r="M592">
        <v>0.99937549999999997</v>
      </c>
      <c r="N592">
        <v>0</v>
      </c>
      <c r="O592">
        <v>3.276068E-2</v>
      </c>
      <c r="P592">
        <v>0.98970480000000005</v>
      </c>
      <c r="Q592">
        <v>0.13987439999999901</v>
      </c>
      <c r="R592">
        <v>-3.032781E-2</v>
      </c>
      <c r="S592">
        <v>3.050354</v>
      </c>
      <c r="T592">
        <v>-0.1173835</v>
      </c>
      <c r="U592">
        <v>9.1400149999999999E-2</v>
      </c>
      <c r="V592">
        <v>6.2985559999999996E-2</v>
      </c>
      <c r="W592">
        <v>0.1528446</v>
      </c>
      <c r="X592">
        <v>0.98624100000000003</v>
      </c>
      <c r="Y592">
        <v>2.7883130000000002E-3</v>
      </c>
      <c r="Z592">
        <v>-1.31335E-3</v>
      </c>
      <c r="AA592">
        <v>0.99999519999999997</v>
      </c>
      <c r="AB592">
        <v>27</v>
      </c>
      <c r="AC592">
        <v>29.846900000000002</v>
      </c>
      <c r="AD592">
        <v>-1.1593199999999999</v>
      </c>
      <c r="AE592">
        <v>0.89440000000001796</v>
      </c>
      <c r="AF592">
        <v>8.3844271144245697E-2</v>
      </c>
      <c r="AG592">
        <v>-1.1593199999999999</v>
      </c>
      <c r="AH592">
        <v>29.8152373961629</v>
      </c>
      <c r="AI592">
        <v>92.226728374351893</v>
      </c>
      <c r="AJ592">
        <v>89.838877344966207</v>
      </c>
      <c r="AK592">
        <v>29.837885878757501</v>
      </c>
      <c r="AL592">
        <v>81.208188380222495</v>
      </c>
      <c r="AM592">
        <v>86.345809611251696</v>
      </c>
      <c r="AN592">
        <v>0.99999998129933598</v>
      </c>
    </row>
    <row r="593" spans="1:40" x14ac:dyDescent="0.25">
      <c r="A593" t="str">
        <f>"20190312172622839"</f>
        <v>20190312172622839</v>
      </c>
      <c r="B593" t="str">
        <f>"1552382782829000"</f>
        <v>1552382782829000</v>
      </c>
      <c r="C593" t="s">
        <v>40</v>
      </c>
      <c r="D593">
        <v>3.1824330000000001</v>
      </c>
      <c r="E593">
        <v>0.47115610000000002</v>
      </c>
      <c r="F593" t="s">
        <v>43</v>
      </c>
      <c r="G593">
        <v>-304.84109999999998</v>
      </c>
      <c r="H593">
        <v>-0.05</v>
      </c>
      <c r="I593">
        <v>367.83390000000003</v>
      </c>
      <c r="J593">
        <v>-324.858</v>
      </c>
      <c r="K593">
        <v>1.1093170000000001</v>
      </c>
      <c r="L593">
        <v>366.87860000000001</v>
      </c>
      <c r="M593">
        <v>0.99940289999999998</v>
      </c>
      <c r="N593">
        <v>0</v>
      </c>
      <c r="O593">
        <v>3.192072E-2</v>
      </c>
      <c r="P593">
        <v>0.98954019999999998</v>
      </c>
      <c r="Q593">
        <v>0.140875</v>
      </c>
      <c r="R593">
        <v>-3.105407E-2</v>
      </c>
      <c r="S593">
        <v>3.0603940000000001</v>
      </c>
      <c r="T593">
        <v>-0.17496030000000001</v>
      </c>
      <c r="U593">
        <v>0.1453247</v>
      </c>
      <c r="V593">
        <v>6.2877269999999999E-2</v>
      </c>
      <c r="W593">
        <v>0.15382750000000001</v>
      </c>
      <c r="X593">
        <v>0.9860951</v>
      </c>
      <c r="Y593">
        <v>-1.554707E-2</v>
      </c>
      <c r="Z593">
        <v>-1.378156E-3</v>
      </c>
      <c r="AA593">
        <v>0.99987820000000005</v>
      </c>
      <c r="AB593">
        <v>27</v>
      </c>
      <c r="AC593">
        <v>20.0169</v>
      </c>
      <c r="AD593">
        <v>-1.1593169999999999</v>
      </c>
      <c r="AE593">
        <v>0.95530000000002202</v>
      </c>
      <c r="AF593">
        <v>-0.31474996205557898</v>
      </c>
      <c r="AG593">
        <v>-1.1593169999999999</v>
      </c>
      <c r="AH593">
        <v>19.970358500095301</v>
      </c>
      <c r="AI593">
        <v>93.321987645780098</v>
      </c>
      <c r="AJ593">
        <v>90.902955819250295</v>
      </c>
      <c r="AK593">
        <v>20.006456509522899</v>
      </c>
      <c r="AL593">
        <v>81.151198551039798</v>
      </c>
      <c r="AM593">
        <v>86.351536939976796</v>
      </c>
      <c r="AN593">
        <v>0.99999999854145605</v>
      </c>
    </row>
    <row r="594" spans="1:40" x14ac:dyDescent="0.25">
      <c r="A594" t="str">
        <f>"20190312172622861"</f>
        <v>20190312172622861</v>
      </c>
      <c r="B594" t="str">
        <f>"1552382782849496"</f>
        <v>1552382782849496</v>
      </c>
      <c r="C594" t="s">
        <v>40</v>
      </c>
      <c r="D594">
        <v>3.2237480000000001</v>
      </c>
      <c r="E594">
        <v>0.47152129999999998</v>
      </c>
      <c r="F594" t="s">
        <v>43</v>
      </c>
      <c r="G594">
        <v>-305.56380000000001</v>
      </c>
      <c r="H594">
        <v>-0.05</v>
      </c>
      <c r="I594">
        <v>367.78410000000002</v>
      </c>
      <c r="J594">
        <v>-324.59280000000001</v>
      </c>
      <c r="K594">
        <v>1.1093230000000001</v>
      </c>
      <c r="L594">
        <v>366.8861</v>
      </c>
      <c r="M594">
        <v>0.99942989999999998</v>
      </c>
      <c r="N594">
        <v>0</v>
      </c>
      <c r="O594">
        <v>3.1069780000000002E-2</v>
      </c>
      <c r="P594">
        <v>0.98937580000000003</v>
      </c>
      <c r="Q594">
        <v>0.1417503</v>
      </c>
      <c r="R594">
        <v>-3.2286870000000002E-2</v>
      </c>
      <c r="S594">
        <v>3.0624389999999999</v>
      </c>
      <c r="T594">
        <v>-0.1840107</v>
      </c>
      <c r="U594">
        <v>0.1437378</v>
      </c>
      <c r="V594">
        <v>6.3264299999999996E-2</v>
      </c>
      <c r="W594">
        <v>0.1546845</v>
      </c>
      <c r="X594">
        <v>0.98593629999999999</v>
      </c>
      <c r="Y594">
        <v>-1.585052E-2</v>
      </c>
      <c r="Z594">
        <v>-1.3882530000000001E-3</v>
      </c>
      <c r="AA594">
        <v>0.99987340000000002</v>
      </c>
      <c r="AB594">
        <v>27</v>
      </c>
      <c r="AC594">
        <v>19.029</v>
      </c>
      <c r="AD594">
        <v>-1.1593229999999899</v>
      </c>
      <c r="AE594">
        <v>0.898000000000024</v>
      </c>
      <c r="AF594">
        <v>-0.30515779003799898</v>
      </c>
      <c r="AG594">
        <v>-1.1593229999999899</v>
      </c>
      <c r="AH594">
        <v>18.9774319516895</v>
      </c>
      <c r="AI594">
        <v>93.495378894834502</v>
      </c>
      <c r="AJ594">
        <v>90.921238805091505</v>
      </c>
      <c r="AK594">
        <v>19.015258993139</v>
      </c>
      <c r="AL594">
        <v>81.101501489438306</v>
      </c>
      <c r="AM594">
        <v>86.328551053311898</v>
      </c>
      <c r="AN594">
        <v>1.0000000269262099</v>
      </c>
    </row>
    <row r="595" spans="1:40" x14ac:dyDescent="0.25">
      <c r="A595" t="str">
        <f>"20190312172622873"</f>
        <v>20190312172622873</v>
      </c>
      <c r="B595" t="str">
        <f>"1552382782869016"</f>
        <v>1552382782869016</v>
      </c>
      <c r="C595" t="s">
        <v>40</v>
      </c>
      <c r="D595">
        <v>3.1976209999999998</v>
      </c>
      <c r="E595">
        <v>0.4716728</v>
      </c>
      <c r="F595" t="s">
        <v>43</v>
      </c>
      <c r="G595">
        <v>-305.13619999999997</v>
      </c>
      <c r="H595">
        <v>-0.05</v>
      </c>
      <c r="I595">
        <v>367.75689999999997</v>
      </c>
      <c r="J595">
        <v>-324.44439999999997</v>
      </c>
      <c r="K595">
        <v>1.109324</v>
      </c>
      <c r="L595">
        <v>366.89010000000002</v>
      </c>
      <c r="M595">
        <v>0.99944480000000002</v>
      </c>
      <c r="N595">
        <v>0</v>
      </c>
      <c r="O595">
        <v>3.059369E-2</v>
      </c>
      <c r="P595">
        <v>0.98931029999999998</v>
      </c>
      <c r="Q595">
        <v>0.14210339999999999</v>
      </c>
      <c r="R595">
        <v>-3.2744820000000001E-2</v>
      </c>
      <c r="S595">
        <v>3.062805</v>
      </c>
      <c r="T595">
        <v>-0.1824974</v>
      </c>
      <c r="U595">
        <v>0.13708499999999901</v>
      </c>
      <c r="V595">
        <v>6.3249509999999995E-2</v>
      </c>
      <c r="W595">
        <v>0.15502929999999901</v>
      </c>
      <c r="X595">
        <v>0.98588310000000001</v>
      </c>
      <c r="Y595">
        <v>-1.4155600000000001E-2</v>
      </c>
      <c r="Z595">
        <v>-1.3988900000000001E-3</v>
      </c>
      <c r="AA595">
        <v>0.99989890000000003</v>
      </c>
      <c r="AB595">
        <v>27</v>
      </c>
      <c r="AC595">
        <v>19.308199999999999</v>
      </c>
      <c r="AD595">
        <v>-1.159324</v>
      </c>
      <c r="AE595">
        <v>0.86679999999995505</v>
      </c>
      <c r="AF595">
        <v>-0.274645511787457</v>
      </c>
      <c r="AG595">
        <v>-1.159324</v>
      </c>
      <c r="AH595">
        <v>19.256398233653499</v>
      </c>
      <c r="AI595">
        <v>93.444962091145499</v>
      </c>
      <c r="AJ595">
        <v>90.817129019467103</v>
      </c>
      <c r="AK595">
        <v>19.293219928958798</v>
      </c>
      <c r="AL595">
        <v>81.081504759998694</v>
      </c>
      <c r="AM595">
        <v>86.329209491860198</v>
      </c>
      <c r="AN595">
        <v>1.0000000356196601</v>
      </c>
    </row>
    <row r="596" spans="1:40" x14ac:dyDescent="0.25">
      <c r="A596" t="str">
        <f>"20190312172622894"</f>
        <v>20190312172622894</v>
      </c>
      <c r="B596" t="str">
        <f>"1552382782889512"</f>
        <v>1552382782889512</v>
      </c>
      <c r="C596" t="s">
        <v>40</v>
      </c>
      <c r="D596">
        <v>3.1961740000000001</v>
      </c>
      <c r="E596">
        <v>0.47186539999999999</v>
      </c>
      <c r="F596" t="s">
        <v>43</v>
      </c>
      <c r="G596">
        <v>-305.13639999999998</v>
      </c>
      <c r="H596">
        <v>-0.05</v>
      </c>
      <c r="I596">
        <v>367.7398</v>
      </c>
      <c r="J596">
        <v>-324.1841</v>
      </c>
      <c r="K596">
        <v>1.109324</v>
      </c>
      <c r="L596">
        <v>366.8972</v>
      </c>
      <c r="M596">
        <v>0.99947019999999998</v>
      </c>
      <c r="N596">
        <v>0</v>
      </c>
      <c r="O596">
        <v>2.9760120000000001E-2</v>
      </c>
      <c r="P596">
        <v>0.9893132</v>
      </c>
      <c r="Q596">
        <v>0.1419608</v>
      </c>
      <c r="R596">
        <v>-3.3269390000000003E-2</v>
      </c>
      <c r="S596">
        <v>3.0632630000000001</v>
      </c>
      <c r="T596">
        <v>-0.18392919999999999</v>
      </c>
      <c r="U596">
        <v>0.1347961</v>
      </c>
      <c r="V596">
        <v>6.2949389999999994E-2</v>
      </c>
      <c r="W596">
        <v>0.15487429999999999</v>
      </c>
      <c r="X596">
        <v>0.98592659999999999</v>
      </c>
      <c r="Y596">
        <v>-1.423605E-2</v>
      </c>
      <c r="Z596">
        <v>-1.357299E-3</v>
      </c>
      <c r="AA596">
        <v>0.9998977</v>
      </c>
      <c r="AB596">
        <v>27</v>
      </c>
      <c r="AC596">
        <v>19.047699999999999</v>
      </c>
      <c r="AD596">
        <v>-1.159324</v>
      </c>
      <c r="AE596">
        <v>0.84260000000000401</v>
      </c>
      <c r="AF596">
        <v>-0.27430150513740997</v>
      </c>
      <c r="AG596">
        <v>-1.159324</v>
      </c>
      <c r="AH596">
        <v>18.994114321704799</v>
      </c>
      <c r="AI596">
        <v>93.492406635840197</v>
      </c>
      <c r="AJ596">
        <v>90.827373462249895</v>
      </c>
      <c r="AK596">
        <v>19.031438524680301</v>
      </c>
      <c r="AL596">
        <v>81.090493567986002</v>
      </c>
      <c r="AM596">
        <v>86.346740924542402</v>
      </c>
      <c r="AN596">
        <v>0.99999996754470999</v>
      </c>
    </row>
    <row r="597" spans="1:40" x14ac:dyDescent="0.25">
      <c r="A597" t="str">
        <f>"20190312172622917"</f>
        <v>20190312172622917</v>
      </c>
      <c r="B597" t="str">
        <f>"1552382782909032"</f>
        <v>1552382782909032</v>
      </c>
      <c r="C597" t="s">
        <v>40</v>
      </c>
      <c r="D597">
        <v>3.2010550000000002</v>
      </c>
      <c r="E597">
        <v>0.4719756</v>
      </c>
      <c r="F597" t="s">
        <v>43</v>
      </c>
      <c r="G597">
        <v>-305.03449999999998</v>
      </c>
      <c r="H597">
        <v>-0.05</v>
      </c>
      <c r="I597">
        <v>367.7158</v>
      </c>
      <c r="J597">
        <v>-323.90219999999999</v>
      </c>
      <c r="K597">
        <v>1.109327</v>
      </c>
      <c r="L597">
        <v>366.90449999999998</v>
      </c>
      <c r="M597">
        <v>0.99949659999999996</v>
      </c>
      <c r="N597">
        <v>0</v>
      </c>
      <c r="O597">
        <v>2.8861979999999999E-2</v>
      </c>
      <c r="P597">
        <v>0.98932419999999999</v>
      </c>
      <c r="Q597">
        <v>0.14171879999999901</v>
      </c>
      <c r="R597">
        <v>-3.3962899999999997E-2</v>
      </c>
      <c r="S597">
        <v>3.0634160000000001</v>
      </c>
      <c r="T597">
        <v>-0.1854596</v>
      </c>
      <c r="U597">
        <v>0.13095090000000001</v>
      </c>
      <c r="V597">
        <v>6.2752890000000006E-2</v>
      </c>
      <c r="W597">
        <v>0.15462039999999999</v>
      </c>
      <c r="X597">
        <v>0.98597900000000005</v>
      </c>
      <c r="Y597">
        <v>-1.387913E-2</v>
      </c>
      <c r="Z597">
        <v>-1.32507E-3</v>
      </c>
      <c r="AA597">
        <v>0.99990279999999998</v>
      </c>
      <c r="AB597">
        <v>27</v>
      </c>
      <c r="AC597">
        <v>18.867699999999999</v>
      </c>
      <c r="AD597">
        <v>-1.159327</v>
      </c>
      <c r="AE597">
        <v>0.81130000000001701</v>
      </c>
      <c r="AF597">
        <v>-0.26535552355221298</v>
      </c>
      <c r="AG597">
        <v>-1.159327</v>
      </c>
      <c r="AH597">
        <v>18.812361318916398</v>
      </c>
      <c r="AI597">
        <v>93.526089278253394</v>
      </c>
      <c r="AJ597">
        <v>90.808125206127301</v>
      </c>
      <c r="AK597">
        <v>18.849917534044199</v>
      </c>
      <c r="AL597">
        <v>81.105218549568903</v>
      </c>
      <c r="AM597">
        <v>86.358307063119</v>
      </c>
      <c r="AN597">
        <v>0.99999999087025604</v>
      </c>
    </row>
    <row r="598" spans="1:40" x14ac:dyDescent="0.25">
      <c r="A598" t="str">
        <f>"20190312172622940"</f>
        <v>20190312172622940</v>
      </c>
      <c r="B598" t="str">
        <f>"1552382782929528"</f>
        <v>1552382782929528</v>
      </c>
      <c r="C598" t="s">
        <v>40</v>
      </c>
      <c r="D598">
        <v>3.1806800000000002</v>
      </c>
      <c r="E598">
        <v>0.47213309999999997</v>
      </c>
      <c r="F598" t="s">
        <v>43</v>
      </c>
      <c r="G598">
        <v>-305.1103</v>
      </c>
      <c r="H598">
        <v>-0.05</v>
      </c>
      <c r="I598">
        <v>367.68880000000001</v>
      </c>
      <c r="J598">
        <v>-323.6309</v>
      </c>
      <c r="K598">
        <v>1.109335</v>
      </c>
      <c r="L598">
        <v>366.91129999999998</v>
      </c>
      <c r="M598">
        <v>0.99952110000000005</v>
      </c>
      <c r="N598">
        <v>0</v>
      </c>
      <c r="O598">
        <v>2.80053E-2</v>
      </c>
      <c r="P598">
        <v>0.98927200000000004</v>
      </c>
      <c r="Q598">
        <v>0.14186170000000001</v>
      </c>
      <c r="R598">
        <v>-3.4872599999999997E-2</v>
      </c>
      <c r="S598">
        <v>3.063812</v>
      </c>
      <c r="T598">
        <v>-0.18901560000000001</v>
      </c>
      <c r="U598">
        <v>0.1278687</v>
      </c>
      <c r="V598">
        <v>6.2811619999999999E-2</v>
      </c>
      <c r="W598">
        <v>0.1547519</v>
      </c>
      <c r="X598">
        <v>0.98595460000000001</v>
      </c>
      <c r="Y598">
        <v>-1.3726210000000001E-2</v>
      </c>
      <c r="Z598">
        <v>-1.3022489999999999E-3</v>
      </c>
      <c r="AA598">
        <v>0.99990489999999999</v>
      </c>
      <c r="AB598">
        <v>27</v>
      </c>
      <c r="AC598">
        <v>18.520600000000002</v>
      </c>
      <c r="AD598">
        <v>-1.159335</v>
      </c>
      <c r="AE598">
        <v>0.77750000000003106</v>
      </c>
      <c r="AF598">
        <v>-0.25746800499522099</v>
      </c>
      <c r="AG598">
        <v>-1.159335</v>
      </c>
      <c r="AH598">
        <v>18.462892935083399</v>
      </c>
      <c r="AI598">
        <v>93.592691208949006</v>
      </c>
      <c r="AJ598">
        <v>90.798947053356997</v>
      </c>
      <c r="AK598">
        <v>18.501047617585701</v>
      </c>
      <c r="AL598">
        <v>81.097592101421498</v>
      </c>
      <c r="AM598">
        <v>86.354818048126603</v>
      </c>
      <c r="AN598">
        <v>0.999999961710896</v>
      </c>
    </row>
    <row r="599" spans="1:40" x14ac:dyDescent="0.25">
      <c r="A599" t="str">
        <f>"20190312172622961"</f>
        <v>20190312172622961</v>
      </c>
      <c r="B599" t="str">
        <f>"1552382782958808"</f>
        <v>1552382782958808</v>
      </c>
      <c r="C599" t="s">
        <v>40</v>
      </c>
      <c r="D599">
        <v>3.1734490000000002</v>
      </c>
      <c r="E599">
        <v>0.47236280000000003</v>
      </c>
      <c r="F599" t="s">
        <v>43</v>
      </c>
      <c r="G599">
        <v>-304.95609999999999</v>
      </c>
      <c r="H599">
        <v>-0.05</v>
      </c>
      <c r="I599">
        <v>367.6687</v>
      </c>
      <c r="J599">
        <v>-323.36799999999999</v>
      </c>
      <c r="K599">
        <v>1.1093489999999999</v>
      </c>
      <c r="L599">
        <v>366.91770000000002</v>
      </c>
      <c r="M599">
        <v>0.99954399999999999</v>
      </c>
      <c r="N599">
        <v>0</v>
      </c>
      <c r="O599">
        <v>2.718769E-2</v>
      </c>
      <c r="P599">
        <v>0.98926959999999997</v>
      </c>
      <c r="Q599">
        <v>0.14169760000000001</v>
      </c>
      <c r="R599">
        <v>-3.5604610000000002E-2</v>
      </c>
      <c r="S599">
        <v>3.064209</v>
      </c>
      <c r="T599">
        <v>-0.1902267</v>
      </c>
      <c r="U599">
        <v>0.12426760000000001</v>
      </c>
      <c r="V599">
        <v>6.2731250000000002E-2</v>
      </c>
      <c r="W599">
        <v>0.15457939999999901</v>
      </c>
      <c r="X599">
        <v>0.98598680000000005</v>
      </c>
      <c r="Y599">
        <v>-1.336509E-2</v>
      </c>
      <c r="Z599">
        <v>-1.2709760000000001E-3</v>
      </c>
      <c r="AA599">
        <v>0.99990990000000002</v>
      </c>
      <c r="AB599">
        <v>27</v>
      </c>
      <c r="AC599">
        <v>18.411899999999999</v>
      </c>
      <c r="AD599">
        <v>-1.159349</v>
      </c>
      <c r="AE599">
        <v>0.75099999999997602</v>
      </c>
      <c r="AF599">
        <v>-0.24911602480172099</v>
      </c>
      <c r="AG599">
        <v>-1.159349</v>
      </c>
      <c r="AH599">
        <v>18.352866281322999</v>
      </c>
      <c r="AI599">
        <v>93.614234661974294</v>
      </c>
      <c r="AJ599">
        <v>90.777667101921395</v>
      </c>
      <c r="AK599">
        <v>18.391135082907098</v>
      </c>
      <c r="AL599">
        <v>81.107596212613799</v>
      </c>
      <c r="AM599">
        <v>86.359588225387796</v>
      </c>
      <c r="AN599">
        <v>0.99999998520258104</v>
      </c>
    </row>
    <row r="600" spans="1:40" x14ac:dyDescent="0.25">
      <c r="A600" t="str">
        <f>"20190312172622985"</f>
        <v>20190312172622985</v>
      </c>
      <c r="B600" t="str">
        <f>"1552382782979304"</f>
        <v>1552382782979304</v>
      </c>
      <c r="C600" t="s">
        <v>40</v>
      </c>
      <c r="D600">
        <v>3.2321409999999999</v>
      </c>
      <c r="E600">
        <v>0.4724527</v>
      </c>
      <c r="F600" t="s">
        <v>43</v>
      </c>
      <c r="G600">
        <v>-304.97070000000002</v>
      </c>
      <c r="H600">
        <v>-0.05</v>
      </c>
      <c r="I600">
        <v>367.64299999999997</v>
      </c>
      <c r="J600">
        <v>-323.08179999999999</v>
      </c>
      <c r="K600">
        <v>1.1093630000000001</v>
      </c>
      <c r="L600">
        <v>366.92450000000002</v>
      </c>
      <c r="M600">
        <v>0.99956739999999999</v>
      </c>
      <c r="N600">
        <v>0</v>
      </c>
      <c r="O600">
        <v>2.6318729999999999E-2</v>
      </c>
      <c r="P600">
        <v>0.98930929999999995</v>
      </c>
      <c r="Q600">
        <v>0.14124129999999999</v>
      </c>
      <c r="R600">
        <v>-3.6313089999999999E-2</v>
      </c>
      <c r="S600">
        <v>3.0645449999999999</v>
      </c>
      <c r="T600">
        <v>-0.19311900000000001</v>
      </c>
      <c r="U600">
        <v>0.1208191</v>
      </c>
      <c r="V600">
        <v>6.2575179999999994E-2</v>
      </c>
      <c r="W600">
        <v>0.15411629999999901</v>
      </c>
      <c r="X600">
        <v>0.98606919999999998</v>
      </c>
      <c r="Y600">
        <v>-1.310614E-2</v>
      </c>
      <c r="Z600">
        <v>-1.2436459999999999E-3</v>
      </c>
      <c r="AA600">
        <v>0.9999133</v>
      </c>
      <c r="AB600">
        <v>27</v>
      </c>
      <c r="AC600">
        <v>18.111099999999901</v>
      </c>
      <c r="AD600">
        <v>-1.1593629999999999</v>
      </c>
      <c r="AE600">
        <v>0.71850000000000502</v>
      </c>
      <c r="AF600">
        <v>-0.240564607722176</v>
      </c>
      <c r="AG600">
        <v>-1.1593629999999999</v>
      </c>
      <c r="AH600">
        <v>18.049888566715101</v>
      </c>
      <c r="AI600">
        <v>93.674793169463697</v>
      </c>
      <c r="AJ600">
        <v>90.763579268144895</v>
      </c>
      <c r="AK600">
        <v>18.088683511165002</v>
      </c>
      <c r="AL600">
        <v>81.134451637642101</v>
      </c>
      <c r="AM600">
        <v>86.368923635368006</v>
      </c>
      <c r="AN600">
        <v>0.99999997713318001</v>
      </c>
    </row>
    <row r="601" spans="1:40" x14ac:dyDescent="0.25">
      <c r="A601" t="str">
        <f>"20190312172623020"</f>
        <v>20190312172623020</v>
      </c>
      <c r="B601" t="str">
        <f>"1552382783009559"</f>
        <v>1552382783009559</v>
      </c>
      <c r="C601" t="s">
        <v>40</v>
      </c>
      <c r="D601">
        <v>3.2259449999999998</v>
      </c>
      <c r="E601">
        <v>0.47242770000000001</v>
      </c>
      <c r="F601" t="s">
        <v>43</v>
      </c>
      <c r="G601">
        <v>-304.95389999999998</v>
      </c>
      <c r="H601">
        <v>-0.05</v>
      </c>
      <c r="I601">
        <v>367.62270000000001</v>
      </c>
      <c r="J601">
        <v>-322.66399999999999</v>
      </c>
      <c r="K601">
        <v>1.109394</v>
      </c>
      <c r="L601">
        <v>366.93400000000003</v>
      </c>
      <c r="M601">
        <v>0.99959849999999995</v>
      </c>
      <c r="N601">
        <v>0</v>
      </c>
      <c r="O601">
        <v>2.5109550000000001E-2</v>
      </c>
      <c r="P601">
        <v>0.9893383</v>
      </c>
      <c r="Q601">
        <v>0.14086270000000001</v>
      </c>
      <c r="R601">
        <v>-3.6977169999999997E-2</v>
      </c>
      <c r="S601">
        <v>3.0647280000000001</v>
      </c>
      <c r="T601">
        <v>-0.1960027</v>
      </c>
      <c r="U601">
        <v>0.11804199999999999</v>
      </c>
      <c r="V601">
        <v>6.2031830000000003E-2</v>
      </c>
      <c r="W601">
        <v>0.1537309</v>
      </c>
      <c r="X601">
        <v>0.98616369999999998</v>
      </c>
      <c r="Y601">
        <v>-1.3406390000000001E-2</v>
      </c>
      <c r="Z601">
        <v>-1.175349E-3</v>
      </c>
      <c r="AA601">
        <v>0.99990950000000001</v>
      </c>
      <c r="AB601">
        <v>27</v>
      </c>
      <c r="AC601">
        <v>17.710100000000001</v>
      </c>
      <c r="AD601">
        <v>-1.159394</v>
      </c>
      <c r="AE601">
        <v>0.68869999999998199</v>
      </c>
      <c r="AF601">
        <v>-0.24271323023914501</v>
      </c>
      <c r="AG601">
        <v>-1.159394</v>
      </c>
      <c r="AH601">
        <v>17.6462973294419</v>
      </c>
      <c r="AI601">
        <v>93.758680274832699</v>
      </c>
      <c r="AJ601">
        <v>90.788016126850593</v>
      </c>
      <c r="AK601">
        <v>17.6860089788069</v>
      </c>
      <c r="AL601">
        <v>81.156799877861502</v>
      </c>
      <c r="AM601">
        <v>86.400713605390095</v>
      </c>
      <c r="AN601">
        <v>0.99999999037282405</v>
      </c>
    </row>
    <row r="602" spans="1:40" x14ac:dyDescent="0.25">
      <c r="A602" t="str">
        <f>"20190312172623062"</f>
        <v>20190312172623062</v>
      </c>
      <c r="B602" t="str">
        <f>"1552382783059336"</f>
        <v>1552382783059336</v>
      </c>
      <c r="C602" t="s">
        <v>40</v>
      </c>
      <c r="D602">
        <v>3.2178490000000002</v>
      </c>
      <c r="E602">
        <v>0.4723367</v>
      </c>
      <c r="F602" t="s">
        <v>43</v>
      </c>
      <c r="G602">
        <v>-304.78750000000002</v>
      </c>
      <c r="H602">
        <v>-0.05</v>
      </c>
      <c r="I602">
        <v>367.60829999999999</v>
      </c>
      <c r="J602">
        <v>-322.14769999999999</v>
      </c>
      <c r="K602">
        <v>1.1094360000000001</v>
      </c>
      <c r="L602">
        <v>366.9452</v>
      </c>
      <c r="M602">
        <v>0.99963290000000005</v>
      </c>
      <c r="N602">
        <v>0</v>
      </c>
      <c r="O602">
        <v>2.3707800000000001E-2</v>
      </c>
      <c r="P602">
        <v>0.98908019999999996</v>
      </c>
      <c r="Q602">
        <v>0.14227509999999999</v>
      </c>
      <c r="R602">
        <v>-3.844678E-2</v>
      </c>
      <c r="S602">
        <v>3.0649410000000001</v>
      </c>
      <c r="T602">
        <v>-0.19877890000000001</v>
      </c>
      <c r="U602">
        <v>0.1156006</v>
      </c>
      <c r="V602">
        <v>6.2095049999999999E-2</v>
      </c>
      <c r="W602">
        <v>0.15513289999999999</v>
      </c>
      <c r="X602">
        <v>0.98594020000000004</v>
      </c>
      <c r="Y602">
        <v>-1.400702E-2</v>
      </c>
      <c r="Z602">
        <v>-1.0816999999999999E-3</v>
      </c>
      <c r="AA602">
        <v>0.99990129999999999</v>
      </c>
      <c r="AB602">
        <v>27</v>
      </c>
      <c r="AC602">
        <v>17.360199999999899</v>
      </c>
      <c r="AD602">
        <v>-1.1594359999999999</v>
      </c>
      <c r="AE602">
        <v>0.66309999999998503</v>
      </c>
      <c r="AF602">
        <v>-0.25019168471089098</v>
      </c>
      <c r="AG602">
        <v>-1.1594359999999999</v>
      </c>
      <c r="AH602">
        <v>17.294014064705401</v>
      </c>
      <c r="AI602">
        <v>93.835119369273798</v>
      </c>
      <c r="AJ602">
        <v>90.828837516252406</v>
      </c>
      <c r="AK602">
        <v>17.334641911139101</v>
      </c>
      <c r="AL602">
        <v>81.075496308472594</v>
      </c>
      <c r="AM602">
        <v>86.3962404458983</v>
      </c>
      <c r="AN602">
        <v>1.0000000449364701</v>
      </c>
    </row>
    <row r="603" spans="1:40" x14ac:dyDescent="0.25">
      <c r="A603" t="str">
        <f>"20190312172623086"</f>
        <v>20190312172623086</v>
      </c>
      <c r="B603" t="str">
        <f>"1552382783078856"</f>
        <v>1552382783078856</v>
      </c>
      <c r="C603" t="s">
        <v>40</v>
      </c>
      <c r="D603">
        <v>3.2347260000000002</v>
      </c>
      <c r="E603">
        <v>0.47223179999999998</v>
      </c>
      <c r="F603" t="s">
        <v>43</v>
      </c>
      <c r="G603">
        <v>-304.0342</v>
      </c>
      <c r="H603">
        <v>-0.05</v>
      </c>
      <c r="I603">
        <v>367.60829999999999</v>
      </c>
      <c r="J603">
        <v>-321.8571</v>
      </c>
      <c r="K603">
        <v>1.109461</v>
      </c>
      <c r="L603">
        <v>366.95119999999997</v>
      </c>
      <c r="M603">
        <v>0.9996507</v>
      </c>
      <c r="N603">
        <v>0</v>
      </c>
      <c r="O603">
        <v>2.2953290000000001E-2</v>
      </c>
      <c r="P603">
        <v>0.98892899999999995</v>
      </c>
      <c r="Q603">
        <v>0.14308940000000001</v>
      </c>
      <c r="R603">
        <v>-3.930778E-2</v>
      </c>
      <c r="S603">
        <v>3.0657040000000002</v>
      </c>
      <c r="T603">
        <v>-0.19623479999999999</v>
      </c>
      <c r="U603">
        <v>0.1122437</v>
      </c>
      <c r="V603">
        <v>6.220113E-2</v>
      </c>
      <c r="W603">
        <v>0.1559412</v>
      </c>
      <c r="X603">
        <v>0.98580590000000001</v>
      </c>
      <c r="Y603">
        <v>-1.3657620000000001E-2</v>
      </c>
      <c r="Z603">
        <v>-1.0305990000000001E-3</v>
      </c>
      <c r="AA603">
        <v>0.99990619999999997</v>
      </c>
      <c r="AB603">
        <v>27</v>
      </c>
      <c r="AC603">
        <v>17.822900000000001</v>
      </c>
      <c r="AD603">
        <v>-1.1594610000000001</v>
      </c>
      <c r="AE603">
        <v>0.65710000000001401</v>
      </c>
      <c r="AF603">
        <v>-0.24675467557954101</v>
      </c>
      <c r="AG603">
        <v>-1.1594610000000001</v>
      </c>
      <c r="AH603">
        <v>17.758234902927299</v>
      </c>
      <c r="AI603">
        <v>93.735263000421199</v>
      </c>
      <c r="AJ603">
        <v>90.796086534473105</v>
      </c>
      <c r="AK603">
        <v>17.797756727969599</v>
      </c>
      <c r="AL603">
        <v>81.028612761077397</v>
      </c>
      <c r="AM603">
        <v>86.3896097441595</v>
      </c>
      <c r="AN603">
        <v>0.99999995545276199</v>
      </c>
    </row>
    <row r="604" spans="1:40" x14ac:dyDescent="0.25">
      <c r="A604" t="str">
        <f>"20190312172623108"</f>
        <v>20190312172623108</v>
      </c>
      <c r="B604" t="str">
        <f>"1552382783099352"</f>
        <v>1552382783099352</v>
      </c>
      <c r="C604" t="s">
        <v>40</v>
      </c>
      <c r="D604">
        <v>3.3307039999999999</v>
      </c>
      <c r="E604">
        <v>0.47219990000000001</v>
      </c>
      <c r="F604" t="s">
        <v>43</v>
      </c>
      <c r="G604">
        <v>-303.55070000000001</v>
      </c>
      <c r="H604">
        <v>-0.05</v>
      </c>
      <c r="I604">
        <v>367.61219999999997</v>
      </c>
      <c r="J604">
        <v>-321.59089999999998</v>
      </c>
      <c r="K604">
        <v>1.109472</v>
      </c>
      <c r="L604">
        <v>366.95650000000001</v>
      </c>
      <c r="M604">
        <v>0.99966619999999995</v>
      </c>
      <c r="N604">
        <v>0</v>
      </c>
      <c r="O604">
        <v>2.2276219999999999E-2</v>
      </c>
      <c r="P604">
        <v>0.98885699999999999</v>
      </c>
      <c r="Q604">
        <v>0.14340639999999999</v>
      </c>
      <c r="R604">
        <v>-3.9960669999999997E-2</v>
      </c>
      <c r="S604">
        <v>3.0660400000000001</v>
      </c>
      <c r="T604">
        <v>-0.19419169999999999</v>
      </c>
      <c r="U604">
        <v>0.11071780000000001</v>
      </c>
      <c r="V604">
        <v>6.2179959999999999E-2</v>
      </c>
      <c r="W604">
        <v>0.15624879999999999</v>
      </c>
      <c r="X604">
        <v>0.98575860000000004</v>
      </c>
      <c r="Y604">
        <v>-1.3831799999999899E-2</v>
      </c>
      <c r="Z604">
        <v>-9.7146869999999998E-4</v>
      </c>
      <c r="AA604">
        <v>0.99990389999999996</v>
      </c>
      <c r="AB604">
        <v>27</v>
      </c>
      <c r="AC604">
        <v>18.040199999999899</v>
      </c>
      <c r="AD604">
        <v>-1.1594719999999901</v>
      </c>
      <c r="AE604">
        <v>0.65569999999996698</v>
      </c>
      <c r="AF604">
        <v>-0.252593338096333</v>
      </c>
      <c r="AG604">
        <v>-1.1594719999999901</v>
      </c>
      <c r="AH604">
        <v>17.976171773934499</v>
      </c>
      <c r="AI604">
        <v>93.690130728548397</v>
      </c>
      <c r="AJ604">
        <v>90.805042362972401</v>
      </c>
      <c r="AK604">
        <v>18.015297121036699</v>
      </c>
      <c r="AL604">
        <v>81.010770502220893</v>
      </c>
      <c r="AM604">
        <v>86.390662560981994</v>
      </c>
      <c r="AN604">
        <v>1.0000000262005</v>
      </c>
    </row>
    <row r="605" spans="1:40" x14ac:dyDescent="0.25">
      <c r="A605" t="str">
        <f>"20190312172623129"</f>
        <v>20190312172623129</v>
      </c>
      <c r="B605" t="str">
        <f>"1552382783118873"</f>
        <v>1552382783118873</v>
      </c>
      <c r="C605" t="s">
        <v>40</v>
      </c>
      <c r="D605">
        <v>3.222826</v>
      </c>
      <c r="E605">
        <v>0.47214739999999999</v>
      </c>
      <c r="F605" t="s">
        <v>43</v>
      </c>
      <c r="G605">
        <v>-303.2337</v>
      </c>
      <c r="H605">
        <v>-0.05</v>
      </c>
      <c r="I605">
        <v>367.608</v>
      </c>
      <c r="J605">
        <v>-321.32909999999998</v>
      </c>
      <c r="K605">
        <v>1.1094569999999999</v>
      </c>
      <c r="L605">
        <v>366.96159999999998</v>
      </c>
      <c r="M605">
        <v>0.99968159999999895</v>
      </c>
      <c r="N605">
        <v>0</v>
      </c>
      <c r="O605">
        <v>2.1616170000000001E-2</v>
      </c>
      <c r="P605">
        <v>0.98888900000000002</v>
      </c>
      <c r="Q605">
        <v>0.14306079999999999</v>
      </c>
      <c r="R605">
        <v>-4.0403590000000003E-2</v>
      </c>
      <c r="S605">
        <v>3.066284</v>
      </c>
      <c r="T605">
        <v>-0.19367219999999999</v>
      </c>
      <c r="U605">
        <v>0.1088257</v>
      </c>
      <c r="V605">
        <v>6.1969120000000003E-2</v>
      </c>
      <c r="W605">
        <v>0.15582869999999999</v>
      </c>
      <c r="X605">
        <v>0.9858384</v>
      </c>
      <c r="Y605">
        <v>-1.387145E-2</v>
      </c>
      <c r="Z605">
        <v>-9.259359E-4</v>
      </c>
      <c r="AA605">
        <v>0.9999034</v>
      </c>
      <c r="AB605">
        <v>27</v>
      </c>
      <c r="AC605">
        <v>18.095399999999898</v>
      </c>
      <c r="AD605">
        <v>-1.159457</v>
      </c>
      <c r="AE605">
        <v>0.64640000000002795</v>
      </c>
      <c r="AF605">
        <v>-0.25402098288215602</v>
      </c>
      <c r="AG605">
        <v>-1.159457</v>
      </c>
      <c r="AH605">
        <v>18.031211084498</v>
      </c>
      <c r="AI605">
        <v>93.678848446493404</v>
      </c>
      <c r="AJ605">
        <v>90.807120909379293</v>
      </c>
      <c r="AK605">
        <v>18.070236311911302</v>
      </c>
      <c r="AL605">
        <v>81.035139193907099</v>
      </c>
      <c r="AM605">
        <v>86.403159335273003</v>
      </c>
      <c r="AN605">
        <v>1.0000000532459099</v>
      </c>
    </row>
    <row r="606" spans="1:40" x14ac:dyDescent="0.25">
      <c r="A606" t="str">
        <f>"20190312172623152"</f>
        <v>20190312172623152</v>
      </c>
      <c r="B606" t="str">
        <f>"1552382783139368"</f>
        <v>1552382783139368</v>
      </c>
      <c r="C606" t="s">
        <v>40</v>
      </c>
      <c r="D606">
        <v>3.2827389999999999</v>
      </c>
      <c r="E606">
        <v>0.4725586</v>
      </c>
      <c r="F606" t="s">
        <v>43</v>
      </c>
      <c r="G606">
        <v>-303.0949</v>
      </c>
      <c r="H606">
        <v>-0.05</v>
      </c>
      <c r="I606">
        <v>367.60329999999999</v>
      </c>
      <c r="J606">
        <v>-321.06099999999998</v>
      </c>
      <c r="K606">
        <v>1.1092420000000001</v>
      </c>
      <c r="L606">
        <v>366.96660000000003</v>
      </c>
      <c r="M606">
        <v>0.99970619999999999</v>
      </c>
      <c r="N606">
        <v>0</v>
      </c>
      <c r="O606">
        <v>2.0913310000000001E-2</v>
      </c>
      <c r="P606">
        <v>0.98878980000000005</v>
      </c>
      <c r="Q606">
        <v>0.143664299999999</v>
      </c>
      <c r="R606">
        <v>-4.0691619999999998E-2</v>
      </c>
      <c r="S606">
        <v>3.0663149999999999</v>
      </c>
      <c r="T606">
        <v>-0.19497800000000001</v>
      </c>
      <c r="U606">
        <v>0.107910199999999</v>
      </c>
      <c r="V606">
        <v>6.1557769999999998E-2</v>
      </c>
      <c r="W606">
        <v>0.15569630000000001</v>
      </c>
      <c r="X606">
        <v>0.98588500000000001</v>
      </c>
      <c r="Y606">
        <v>-1.427412E-2</v>
      </c>
      <c r="Z606">
        <v>-8.7474269999999999E-4</v>
      </c>
      <c r="AA606">
        <v>0.9998977</v>
      </c>
      <c r="AB606">
        <v>27</v>
      </c>
      <c r="AC606">
        <v>17.966099999999901</v>
      </c>
      <c r="AD606">
        <v>-1.1592420000000001</v>
      </c>
      <c r="AE606">
        <v>0.63669999999996196</v>
      </c>
      <c r="AF606">
        <v>-0.25972194758419398</v>
      </c>
      <c r="AG606">
        <v>-1.1592420000000001</v>
      </c>
      <c r="AH606">
        <v>17.9010521375811</v>
      </c>
      <c r="AI606">
        <v>93.7048157399811</v>
      </c>
      <c r="AJ606">
        <v>90.831232002084903</v>
      </c>
      <c r="AK606">
        <v>17.940428231706601</v>
      </c>
      <c r="AL606">
        <v>81.042818092496304</v>
      </c>
      <c r="AM606">
        <v>86.427141495827996</v>
      </c>
      <c r="AN606">
        <v>0.99999996505303002</v>
      </c>
    </row>
    <row r="607" spans="1:40" x14ac:dyDescent="0.25">
      <c r="A607" t="str">
        <f>"20190312172623174"</f>
        <v>20190312172623174</v>
      </c>
      <c r="B607" t="str">
        <f>"1552382783169625"</f>
        <v>1552382783169625</v>
      </c>
      <c r="C607" t="s">
        <v>40</v>
      </c>
      <c r="D607">
        <v>3.2926660000000001</v>
      </c>
      <c r="E607">
        <v>0.47335349999999998</v>
      </c>
      <c r="F607" t="s">
        <v>43</v>
      </c>
      <c r="G607">
        <v>-302.48140000000001</v>
      </c>
      <c r="H607">
        <v>-0.05</v>
      </c>
      <c r="I607">
        <v>367.59519999999998</v>
      </c>
      <c r="J607">
        <v>-320.77780000000001</v>
      </c>
      <c r="K607">
        <v>1.108989</v>
      </c>
      <c r="L607">
        <v>366.97179999999997</v>
      </c>
      <c r="M607">
        <v>0.99972589999999995</v>
      </c>
      <c r="N607">
        <v>0</v>
      </c>
      <c r="O607">
        <v>2.0163940000000002E-2</v>
      </c>
      <c r="P607">
        <v>0.98873370000000005</v>
      </c>
      <c r="Q607">
        <v>0.14400009999999999</v>
      </c>
      <c r="R607">
        <v>-4.0860849999999997E-2</v>
      </c>
      <c r="S607">
        <v>3.066071</v>
      </c>
      <c r="T607">
        <v>-0.19130230000000001</v>
      </c>
      <c r="U607">
        <v>0.10372919999999999</v>
      </c>
      <c r="V607">
        <v>6.0983549999999997E-2</v>
      </c>
      <c r="W607">
        <v>0.15567230000000001</v>
      </c>
      <c r="X607">
        <v>0.98592449999999998</v>
      </c>
      <c r="Y607">
        <v>-1.36639E-2</v>
      </c>
      <c r="Z607">
        <v>-8.3069999999999997E-4</v>
      </c>
      <c r="AA607">
        <v>0.99990630000000003</v>
      </c>
      <c r="AB607">
        <v>27</v>
      </c>
      <c r="AC607">
        <v>18.296399999999998</v>
      </c>
      <c r="AD607">
        <v>-1.158989</v>
      </c>
      <c r="AE607">
        <v>0.62340000000000295</v>
      </c>
      <c r="AF607">
        <v>-0.25330437915105602</v>
      </c>
      <c r="AG607">
        <v>-1.158989</v>
      </c>
      <c r="AH607">
        <v>18.2321768220976</v>
      </c>
      <c r="AI607">
        <v>93.636952771873297</v>
      </c>
      <c r="AJ607">
        <v>90.795973970106999</v>
      </c>
      <c r="AK607">
        <v>18.2707331621599</v>
      </c>
      <c r="AL607">
        <v>81.044210381474798</v>
      </c>
      <c r="AM607">
        <v>86.460525968884994</v>
      </c>
      <c r="AN607">
        <v>0.99999998902907095</v>
      </c>
    </row>
    <row r="608" spans="1:40" x14ac:dyDescent="0.25">
      <c r="A608" t="str">
        <f>"20190312172623197"</f>
        <v>20190312172623197</v>
      </c>
      <c r="B608" t="str">
        <f>"1552382783189144"</f>
        <v>1552382783189144</v>
      </c>
      <c r="C608" t="s">
        <v>40</v>
      </c>
      <c r="D608">
        <v>3.2154319999999998</v>
      </c>
      <c r="E608">
        <v>0.47376829999999998</v>
      </c>
      <c r="F608" t="s">
        <v>43</v>
      </c>
      <c r="G608">
        <v>-301.50259999999997</v>
      </c>
      <c r="H608">
        <v>-0.05</v>
      </c>
      <c r="I608">
        <v>367.5822</v>
      </c>
      <c r="J608">
        <v>-320.50009999999997</v>
      </c>
      <c r="K608">
        <v>1.108668</v>
      </c>
      <c r="L608">
        <v>366.97669999999999</v>
      </c>
      <c r="M608">
        <v>0.99973619999999996</v>
      </c>
      <c r="N608">
        <v>0</v>
      </c>
      <c r="O608">
        <v>1.9433240000000001E-2</v>
      </c>
      <c r="P608">
        <v>0.98884970000000005</v>
      </c>
      <c r="Q608">
        <v>0.1431318</v>
      </c>
      <c r="R608">
        <v>-4.1108480000000003E-2</v>
      </c>
      <c r="S608">
        <v>3.0650330000000001</v>
      </c>
      <c r="T608">
        <v>-0.1842964</v>
      </c>
      <c r="U608">
        <v>9.7076419999999997E-2</v>
      </c>
      <c r="V608">
        <v>6.0510729999999999E-2</v>
      </c>
      <c r="W608">
        <v>0.15514800000000001</v>
      </c>
      <c r="X608">
        <v>0.98603629999999998</v>
      </c>
      <c r="Y608">
        <v>-1.223839E-2</v>
      </c>
      <c r="Z608">
        <v>-7.9957629999999997E-4</v>
      </c>
      <c r="AA608">
        <v>0.99992479999999995</v>
      </c>
      <c r="AB608">
        <v>27</v>
      </c>
      <c r="AC608">
        <v>18.997499999999999</v>
      </c>
      <c r="AD608">
        <v>-1.158668</v>
      </c>
      <c r="AE608">
        <v>0.60550000000000603</v>
      </c>
      <c r="AF608">
        <v>-0.235300597727126</v>
      </c>
      <c r="AG608">
        <v>-1.158668</v>
      </c>
      <c r="AH608">
        <v>18.9353146226067</v>
      </c>
      <c r="AI608">
        <v>93.501341776067704</v>
      </c>
      <c r="AJ608">
        <v>90.711952114557207</v>
      </c>
      <c r="AK608">
        <v>18.972190642164101</v>
      </c>
      <c r="AL608">
        <v>81.074620293112801</v>
      </c>
      <c r="AM608">
        <v>86.488296614381198</v>
      </c>
      <c r="AN608">
        <v>1.0000000176334101</v>
      </c>
    </row>
    <row r="609" spans="1:40" x14ac:dyDescent="0.25">
      <c r="A609" t="str">
        <f>"20190312172623220"</f>
        <v>20190312172623220</v>
      </c>
      <c r="B609" t="str">
        <f>"1552382783209640"</f>
        <v>1552382783209640</v>
      </c>
      <c r="C609" t="s">
        <v>40</v>
      </c>
      <c r="D609">
        <v>3.2013630000000002</v>
      </c>
      <c r="E609">
        <v>0.47419539999999999</v>
      </c>
      <c r="F609" t="s">
        <v>43</v>
      </c>
      <c r="G609">
        <v>-301.14170000000001</v>
      </c>
      <c r="H609">
        <v>-0.05</v>
      </c>
      <c r="I609">
        <v>367.56139999999999</v>
      </c>
      <c r="J609">
        <v>-320.22219999999999</v>
      </c>
      <c r="K609">
        <v>1.108114</v>
      </c>
      <c r="L609">
        <v>366.98129999999998</v>
      </c>
      <c r="M609">
        <v>0.99974110000000005</v>
      </c>
      <c r="N609">
        <v>0</v>
      </c>
      <c r="O609">
        <v>1.870227E-2</v>
      </c>
      <c r="P609">
        <v>0.9890523</v>
      </c>
      <c r="Q609">
        <v>0.14173350000000001</v>
      </c>
      <c r="R609">
        <v>-4.1078959999999998E-2</v>
      </c>
      <c r="S609">
        <v>3.0642399999999999</v>
      </c>
      <c r="T609">
        <v>-0.1834054</v>
      </c>
      <c r="U609">
        <v>9.2559810000000006E-2</v>
      </c>
      <c r="V609">
        <v>5.9767099999999997E-2</v>
      </c>
      <c r="W609">
        <v>0.1544645</v>
      </c>
      <c r="X609">
        <v>0.98618890000000003</v>
      </c>
      <c r="Y609">
        <v>-1.150495E-2</v>
      </c>
      <c r="Z609">
        <v>-7.7418739999999999E-4</v>
      </c>
      <c r="AA609">
        <v>0.99993350000000003</v>
      </c>
      <c r="AB609">
        <v>27</v>
      </c>
      <c r="AC609">
        <v>19.080499999999901</v>
      </c>
      <c r="AD609">
        <v>-1.1581139999999901</v>
      </c>
      <c r="AE609">
        <v>0.58010000000001505</v>
      </c>
      <c r="AF609">
        <v>-0.22230167786819099</v>
      </c>
      <c r="AG609">
        <v>-1.1581139999999901</v>
      </c>
      <c r="AH609">
        <v>19.018014078422201</v>
      </c>
      <c r="AI609">
        <v>93.484522054623</v>
      </c>
      <c r="AJ609">
        <v>90.669700202153393</v>
      </c>
      <c r="AK609">
        <v>19.054540287292301</v>
      </c>
      <c r="AL609">
        <v>81.114259367624001</v>
      </c>
      <c r="AM609">
        <v>86.531882126946499</v>
      </c>
      <c r="AN609">
        <v>0.99999996724293405</v>
      </c>
    </row>
    <row r="610" spans="1:40" x14ac:dyDescent="0.25">
      <c r="A610" t="str">
        <f>"20190312172623240"</f>
        <v>20190312172623240</v>
      </c>
      <c r="B610" t="str">
        <f>"1552382783229160"</f>
        <v>1552382783229160</v>
      </c>
      <c r="C610" t="s">
        <v>40</v>
      </c>
      <c r="D610">
        <v>3.1759360000000001</v>
      </c>
      <c r="E610">
        <v>0.47460940000000001</v>
      </c>
      <c r="F610" t="s">
        <v>43</v>
      </c>
      <c r="G610">
        <v>-300.99590000000001</v>
      </c>
      <c r="H610">
        <v>-0.05</v>
      </c>
      <c r="I610">
        <v>367.53890000000001</v>
      </c>
      <c r="J610">
        <v>-319.96710000000002</v>
      </c>
      <c r="K610">
        <v>1.107342</v>
      </c>
      <c r="L610">
        <v>366.9855</v>
      </c>
      <c r="M610">
        <v>0.99973999999999996</v>
      </c>
      <c r="N610">
        <v>0</v>
      </c>
      <c r="O610">
        <v>1.8075709999999998E-2</v>
      </c>
      <c r="P610">
        <v>0.98909320000000001</v>
      </c>
      <c r="Q610">
        <v>0.14142739999999901</v>
      </c>
      <c r="R610">
        <v>-4.114404E-2</v>
      </c>
      <c r="S610">
        <v>3.0633240000000002</v>
      </c>
      <c r="T610">
        <v>-0.18452260000000001</v>
      </c>
      <c r="U610">
        <v>8.8836670000000006E-2</v>
      </c>
      <c r="V610">
        <v>5.9224069999999997E-2</v>
      </c>
      <c r="W610">
        <v>0.15507409999999999</v>
      </c>
      <c r="X610">
        <v>0.98612599999999995</v>
      </c>
      <c r="Y610">
        <v>-1.092625E-2</v>
      </c>
      <c r="Z610">
        <v>-7.5887489999999997E-4</v>
      </c>
      <c r="AA610">
        <v>0.99994000000000005</v>
      </c>
      <c r="AB610">
        <v>27</v>
      </c>
      <c r="AC610">
        <v>18.9712</v>
      </c>
      <c r="AD610">
        <v>-1.1573420000000001</v>
      </c>
      <c r="AE610">
        <v>0.55340000000001</v>
      </c>
      <c r="AF610">
        <v>-0.209579213894554</v>
      </c>
      <c r="AG610">
        <v>-1.1573420000000001</v>
      </c>
      <c r="AH610">
        <v>18.907795874113798</v>
      </c>
      <c r="AI610">
        <v>93.502477287565995</v>
      </c>
      <c r="AJ610">
        <v>90.635056183892502</v>
      </c>
      <c r="AK610">
        <v>18.944342394736701</v>
      </c>
      <c r="AL610">
        <v>81.078905963111197</v>
      </c>
      <c r="AM610">
        <v>86.563098088851802</v>
      </c>
      <c r="AN610">
        <v>0.99999997741708702</v>
      </c>
    </row>
    <row r="611" spans="1:40" x14ac:dyDescent="0.25">
      <c r="A611" t="str">
        <f>"20190312172623264"</f>
        <v>20190312172623264</v>
      </c>
      <c r="B611" t="str">
        <f>"1552382783259416"</f>
        <v>1552382783259416</v>
      </c>
      <c r="C611" t="s">
        <v>40</v>
      </c>
      <c r="D611">
        <v>3.1936900000000001</v>
      </c>
      <c r="E611">
        <v>0.47505629999999999</v>
      </c>
      <c r="F611" t="s">
        <v>43</v>
      </c>
      <c r="G611">
        <v>-300.55489999999998</v>
      </c>
      <c r="H611">
        <v>-0.05</v>
      </c>
      <c r="I611">
        <v>367.52199999999999</v>
      </c>
      <c r="J611">
        <v>-319.68700000000001</v>
      </c>
      <c r="K611">
        <v>1.106284</v>
      </c>
      <c r="L611">
        <v>366.9898</v>
      </c>
      <c r="M611">
        <v>0.99972930000000004</v>
      </c>
      <c r="N611">
        <v>0</v>
      </c>
      <c r="O611">
        <v>1.744453E-2</v>
      </c>
      <c r="P611">
        <v>0.98916850000000001</v>
      </c>
      <c r="Q611">
        <v>0.14075409999999999</v>
      </c>
      <c r="R611">
        <v>-4.16452E-2</v>
      </c>
      <c r="S611">
        <v>3.0627140000000002</v>
      </c>
      <c r="T611">
        <v>-0.18259700000000001</v>
      </c>
      <c r="U611">
        <v>8.4655759999999997E-2</v>
      </c>
      <c r="V611">
        <v>5.9113880000000001E-2</v>
      </c>
      <c r="W611">
        <v>0.15587529999999999</v>
      </c>
      <c r="X611">
        <v>0.9860063</v>
      </c>
      <c r="Y611">
        <v>-1.019893E-2</v>
      </c>
      <c r="Z611">
        <v>-7.3523289999999895E-4</v>
      </c>
      <c r="AA611">
        <v>0.99994769999999999</v>
      </c>
      <c r="AB611">
        <v>27</v>
      </c>
      <c r="AC611">
        <v>19.132100000000001</v>
      </c>
      <c r="AD611">
        <v>-1.1562840000000001</v>
      </c>
      <c r="AE611">
        <v>0.53219999999998802</v>
      </c>
      <c r="AF611">
        <v>-0.19760771932650101</v>
      </c>
      <c r="AG611">
        <v>-1.1562840000000001</v>
      </c>
      <c r="AH611">
        <v>19.068875723840598</v>
      </c>
      <c r="AI611">
        <v>93.4698233347561</v>
      </c>
      <c r="AJ611">
        <v>90.593725776991803</v>
      </c>
      <c r="AK611">
        <v>19.104922477483999</v>
      </c>
      <c r="AL611">
        <v>81.032435625468594</v>
      </c>
      <c r="AM611">
        <v>86.569061902436999</v>
      </c>
      <c r="AN611">
        <v>0.99999999179921695</v>
      </c>
    </row>
    <row r="612" spans="1:40" x14ac:dyDescent="0.25">
      <c r="A612" t="str">
        <f>"20190312172623286"</f>
        <v>20190312172623286</v>
      </c>
      <c r="B612" t="str">
        <f>"1552382783278936"</f>
        <v>1552382783278936</v>
      </c>
      <c r="C612" t="s">
        <v>40</v>
      </c>
      <c r="D612">
        <v>3.193924</v>
      </c>
      <c r="E612">
        <v>0.47531230000000002</v>
      </c>
      <c r="F612" t="s">
        <v>43</v>
      </c>
      <c r="G612">
        <v>-300.16109999999998</v>
      </c>
      <c r="H612">
        <v>-0.05</v>
      </c>
      <c r="I612">
        <v>367.49599999999998</v>
      </c>
      <c r="J612">
        <v>-319.41660000000002</v>
      </c>
      <c r="K612">
        <v>1.1050770000000001</v>
      </c>
      <c r="L612">
        <v>366.9939</v>
      </c>
      <c r="M612">
        <v>0.99971010000000005</v>
      </c>
      <c r="N612">
        <v>0</v>
      </c>
      <c r="O612">
        <v>1.682293E-2</v>
      </c>
      <c r="P612">
        <v>0.98924590000000001</v>
      </c>
      <c r="Q612">
        <v>0.14007559999999999</v>
      </c>
      <c r="R612">
        <v>-4.2090740000000001E-2</v>
      </c>
      <c r="S612">
        <v>3.0620419999999999</v>
      </c>
      <c r="T612">
        <v>-0.1813275</v>
      </c>
      <c r="U612">
        <v>7.9376219999999997E-2</v>
      </c>
      <c r="V612">
        <v>5.8951959999999998E-2</v>
      </c>
      <c r="W612">
        <v>0.156999</v>
      </c>
      <c r="X612">
        <v>0.98583770000000004</v>
      </c>
      <c r="Y612">
        <v>-9.1040059999999996E-3</v>
      </c>
      <c r="Z612">
        <v>-7.2595839999999999E-4</v>
      </c>
      <c r="AA612">
        <v>0.99995829999999997</v>
      </c>
      <c r="AB612">
        <v>27</v>
      </c>
      <c r="AC612">
        <v>19.255500000000001</v>
      </c>
      <c r="AD612">
        <v>-1.1550769999999999</v>
      </c>
      <c r="AE612">
        <v>0.502099999999984</v>
      </c>
      <c r="AF612">
        <v>-0.177408969432822</v>
      </c>
      <c r="AG612">
        <v>-1.1550769999999999</v>
      </c>
      <c r="AH612">
        <v>19.1922075217581</v>
      </c>
      <c r="AI612">
        <v>93.444027281143505</v>
      </c>
      <c r="AJ612">
        <v>90.529615766180498</v>
      </c>
      <c r="AK612">
        <v>19.227753544722599</v>
      </c>
      <c r="AL612">
        <v>80.967249810765097</v>
      </c>
      <c r="AM612">
        <v>86.577853523448596</v>
      </c>
      <c r="AN612">
        <v>0.99999999516506499</v>
      </c>
    </row>
    <row r="613" spans="1:40" x14ac:dyDescent="0.25">
      <c r="A613" t="str">
        <f>"20190312172623308"</f>
        <v>20190312172623308</v>
      </c>
      <c r="B613" t="str">
        <f>"1552382783299432"</f>
        <v>1552382783299432</v>
      </c>
      <c r="C613" t="s">
        <v>40</v>
      </c>
      <c r="D613">
        <v>3.154204</v>
      </c>
      <c r="E613">
        <v>0.47561730000000002</v>
      </c>
      <c r="F613" t="s">
        <v>43</v>
      </c>
      <c r="G613">
        <v>-299.88220000000001</v>
      </c>
      <c r="H613">
        <v>-0.05</v>
      </c>
      <c r="I613">
        <v>367.47739999999999</v>
      </c>
      <c r="J613">
        <v>-319.15140000000002</v>
      </c>
      <c r="K613">
        <v>1.1037049999999999</v>
      </c>
      <c r="L613">
        <v>366.99759999999998</v>
      </c>
      <c r="M613">
        <v>0.99968840000000003</v>
      </c>
      <c r="N613">
        <v>0</v>
      </c>
      <c r="O613">
        <v>1.6154180000000001E-2</v>
      </c>
      <c r="P613">
        <v>0.98938519999999996</v>
      </c>
      <c r="Q613">
        <v>0.13900870000000001</v>
      </c>
      <c r="R613">
        <v>-4.2353059999999998E-2</v>
      </c>
      <c r="S613">
        <v>3.0614319999999999</v>
      </c>
      <c r="T613">
        <v>-0.18102399999999999</v>
      </c>
      <c r="U613">
        <v>7.5775149999999999E-2</v>
      </c>
      <c r="V613">
        <v>5.8557430000000001E-2</v>
      </c>
      <c r="W613">
        <v>0.157719</v>
      </c>
      <c r="X613">
        <v>0.98574629999999996</v>
      </c>
      <c r="Y613">
        <v>-8.6017619999999902E-3</v>
      </c>
      <c r="Z613">
        <v>-7.0026660000000005E-4</v>
      </c>
      <c r="AA613">
        <v>0.99996269999999998</v>
      </c>
      <c r="AB613">
        <v>27</v>
      </c>
      <c r="AC613">
        <v>19.269200000000001</v>
      </c>
      <c r="AD613">
        <v>-1.153705</v>
      </c>
      <c r="AE613">
        <v>0.479800000000011</v>
      </c>
      <c r="AF613">
        <v>-0.16780170595794799</v>
      </c>
      <c r="AG613">
        <v>-1.153705</v>
      </c>
      <c r="AH613">
        <v>19.205631630057901</v>
      </c>
      <c r="AI613">
        <v>93.437563274617304</v>
      </c>
      <c r="AJ613">
        <v>90.500586760153993</v>
      </c>
      <c r="AK613">
        <v>19.2409843549915</v>
      </c>
      <c r="AL613">
        <v>80.925476564912202</v>
      </c>
      <c r="AM613">
        <v>86.600387556194207</v>
      </c>
      <c r="AN613">
        <v>1.00000001176644</v>
      </c>
    </row>
    <row r="614" spans="1:40" x14ac:dyDescent="0.25">
      <c r="A614" t="str">
        <f>"20190312172623330"</f>
        <v>20190312172623330</v>
      </c>
      <c r="B614" t="str">
        <f>"1552382783318953"</f>
        <v>1552382783318953</v>
      </c>
      <c r="C614" t="s">
        <v>40</v>
      </c>
      <c r="D614">
        <v>3.108511</v>
      </c>
      <c r="E614">
        <v>0.47589989999999999</v>
      </c>
      <c r="F614" t="s">
        <v>43</v>
      </c>
      <c r="G614">
        <v>-299.80020000000002</v>
      </c>
      <c r="H614">
        <v>-0.05</v>
      </c>
      <c r="I614">
        <v>367.45330000000001</v>
      </c>
      <c r="J614">
        <v>-318.88</v>
      </c>
      <c r="K614">
        <v>1.1021219999999901</v>
      </c>
      <c r="L614">
        <v>367.00119999999998</v>
      </c>
      <c r="M614">
        <v>0.99966679999999997</v>
      </c>
      <c r="N614">
        <v>0</v>
      </c>
      <c r="O614">
        <v>1.5435529999999999E-2</v>
      </c>
      <c r="P614">
        <v>0.98950110000000002</v>
      </c>
      <c r="Q614">
        <v>0.1381135</v>
      </c>
      <c r="R614">
        <v>-4.2573130000000001E-2</v>
      </c>
      <c r="S614">
        <v>3.0609130000000002</v>
      </c>
      <c r="T614">
        <v>-0.18248919999999999</v>
      </c>
      <c r="U614">
        <v>7.2082519999999997E-2</v>
      </c>
      <c r="V614">
        <v>5.8073310000000003E-2</v>
      </c>
      <c r="W614">
        <v>0.15845970000000001</v>
      </c>
      <c r="X614">
        <v>0.98565610000000003</v>
      </c>
      <c r="Y614">
        <v>-8.1184559999999996E-3</v>
      </c>
      <c r="Z614">
        <v>-6.7767830000000002E-4</v>
      </c>
      <c r="AA614">
        <v>0.99996680000000004</v>
      </c>
      <c r="AB614">
        <v>27</v>
      </c>
      <c r="AC614">
        <v>19.079799999999899</v>
      </c>
      <c r="AD614">
        <v>-1.1521220000000001</v>
      </c>
      <c r="AE614">
        <v>0.45210000000002898</v>
      </c>
      <c r="AF614">
        <v>-0.15690444557642699</v>
      </c>
      <c r="AG614">
        <v>-1.1521220000000001</v>
      </c>
      <c r="AH614">
        <v>19.0152100942312</v>
      </c>
      <c r="AI614">
        <v>93.467165915844006</v>
      </c>
      <c r="AJ614">
        <v>90.472766719224396</v>
      </c>
      <c r="AK614">
        <v>19.050727519852899</v>
      </c>
      <c r="AL614">
        <v>80.882496690905896</v>
      </c>
      <c r="AM614">
        <v>86.628120709274199</v>
      </c>
      <c r="AN614">
        <v>0.99999996666282698</v>
      </c>
    </row>
    <row r="615" spans="1:40" x14ac:dyDescent="0.25">
      <c r="A615" t="str">
        <f>"20190312172623353"</f>
        <v>20190312172623353</v>
      </c>
      <c r="B615" t="str">
        <f>"1552382783349208"</f>
        <v>1552382783349208</v>
      </c>
      <c r="C615" t="s">
        <v>40</v>
      </c>
      <c r="D615">
        <v>3.0347029999999999</v>
      </c>
      <c r="E615">
        <v>0.47618860000000002</v>
      </c>
      <c r="F615" t="s">
        <v>43</v>
      </c>
      <c r="G615">
        <v>-299.65289999999999</v>
      </c>
      <c r="H615">
        <v>-0.05</v>
      </c>
      <c r="I615">
        <v>367.42970000000003</v>
      </c>
      <c r="J615">
        <v>-318.61130000000003</v>
      </c>
      <c r="K615">
        <v>1.1004940000000001</v>
      </c>
      <c r="L615">
        <v>367.00459999999998</v>
      </c>
      <c r="M615">
        <v>0.99964750000000002</v>
      </c>
      <c r="N615">
        <v>0</v>
      </c>
      <c r="O615">
        <v>1.472388E-2</v>
      </c>
      <c r="P615">
        <v>0.98959810000000004</v>
      </c>
      <c r="Q615">
        <v>0.137351</v>
      </c>
      <c r="R615">
        <v>-4.2786329999999997E-2</v>
      </c>
      <c r="S615">
        <v>3.0603639999999999</v>
      </c>
      <c r="T615">
        <v>-0.18338189999999999</v>
      </c>
      <c r="U615">
        <v>6.8206790000000003E-2</v>
      </c>
      <c r="V615">
        <v>5.7590250000000003E-2</v>
      </c>
      <c r="W615">
        <v>0.15908349999999999</v>
      </c>
      <c r="X615">
        <v>0.98558400000000002</v>
      </c>
      <c r="Y615">
        <v>-7.5682149999999997E-3</v>
      </c>
      <c r="Z615">
        <v>-6.550153E-4</v>
      </c>
      <c r="AA615">
        <v>0.99997119999999995</v>
      </c>
      <c r="AB615">
        <v>27</v>
      </c>
      <c r="AC615">
        <v>18.958400000000001</v>
      </c>
      <c r="AD615">
        <v>-1.1504939999999999</v>
      </c>
      <c r="AE615">
        <v>0.425100000000043</v>
      </c>
      <c r="AF615">
        <v>-0.145309680308705</v>
      </c>
      <c r="AG615">
        <v>-1.1504939999999999</v>
      </c>
      <c r="AH615">
        <v>18.893062156764799</v>
      </c>
      <c r="AI615">
        <v>93.484623544526698</v>
      </c>
      <c r="AJ615">
        <v>90.440662671615996</v>
      </c>
      <c r="AK615">
        <v>18.928617197423801</v>
      </c>
      <c r="AL615">
        <v>80.846296783805897</v>
      </c>
      <c r="AM615">
        <v>86.655860383738698</v>
      </c>
      <c r="AN615">
        <v>1.0000000089616501</v>
      </c>
    </row>
    <row r="616" spans="1:40" x14ac:dyDescent="0.25">
      <c r="A616" t="str">
        <f>"20190312172623441"</f>
        <v>20190312172623441</v>
      </c>
      <c r="B616" t="str">
        <f>"1552382783439001"</f>
        <v>1552382783439001</v>
      </c>
      <c r="C616" t="s">
        <v>40</v>
      </c>
      <c r="D616">
        <v>2.6920989999999998</v>
      </c>
      <c r="E616">
        <v>0.504969</v>
      </c>
      <c r="F616" t="s">
        <v>43</v>
      </c>
      <c r="G616">
        <v>-299.61840000000001</v>
      </c>
      <c r="H616">
        <v>-0.05</v>
      </c>
      <c r="I616">
        <v>367.40449999999998</v>
      </c>
      <c r="J616">
        <v>-317.52960000000002</v>
      </c>
      <c r="K616">
        <v>1.093062</v>
      </c>
      <c r="L616">
        <v>367.0163</v>
      </c>
      <c r="M616">
        <v>0.99962580000000001</v>
      </c>
      <c r="N616">
        <v>0</v>
      </c>
      <c r="O616">
        <v>1.186925E-2</v>
      </c>
      <c r="P616">
        <v>0.99003110000000005</v>
      </c>
      <c r="Q616">
        <v>0.13418669999999999</v>
      </c>
      <c r="R616">
        <v>-4.2811929999999998E-2</v>
      </c>
      <c r="S616">
        <v>3.0600589999999999</v>
      </c>
      <c r="T616">
        <v>-0.18536340000000001</v>
      </c>
      <c r="U616">
        <v>6.4422610000000005E-2</v>
      </c>
      <c r="V616">
        <v>5.4807259999999997E-2</v>
      </c>
      <c r="W616">
        <v>0.1584507</v>
      </c>
      <c r="X616">
        <v>0.98584459999999996</v>
      </c>
      <c r="Y616">
        <v>-9.1812890000000005E-3</v>
      </c>
      <c r="Z616">
        <v>-4.4063339999999998E-4</v>
      </c>
      <c r="AA616">
        <v>0.99995769999999995</v>
      </c>
      <c r="AB616">
        <v>27</v>
      </c>
      <c r="AC616">
        <v>17.911200000000001</v>
      </c>
      <c r="AD616">
        <v>-1.143062</v>
      </c>
      <c r="AE616">
        <v>0.388199999999983</v>
      </c>
      <c r="AF616">
        <v>-0.17480393297418201</v>
      </c>
      <c r="AG616">
        <v>-1.143062</v>
      </c>
      <c r="AH616">
        <v>17.8419146245012</v>
      </c>
      <c r="AI616">
        <v>93.665532283553304</v>
      </c>
      <c r="AJ616">
        <v>90.561330292866202</v>
      </c>
      <c r="AK616">
        <v>17.8793474326894</v>
      </c>
      <c r="AL616">
        <v>80.883019420489106</v>
      </c>
      <c r="AM616">
        <v>86.817961483159706</v>
      </c>
      <c r="AN616">
        <v>1.0000000177141699</v>
      </c>
    </row>
    <row r="617" spans="1:40" x14ac:dyDescent="0.25">
      <c r="A617" t="str">
        <f>"20190312172623465"</f>
        <v>20190312172623465</v>
      </c>
      <c r="B617" t="str">
        <f>"1552382783459498"</f>
        <v>1552382783459498</v>
      </c>
      <c r="C617" t="s">
        <v>40</v>
      </c>
      <c r="D617">
        <v>3.0599150000000002</v>
      </c>
      <c r="E617">
        <v>0.50968579999999997</v>
      </c>
      <c r="F617" t="s">
        <v>44</v>
      </c>
      <c r="G617">
        <v>-316.74579999999997</v>
      </c>
      <c r="H617">
        <v>0.97739640000000005</v>
      </c>
      <c r="I617">
        <v>366.97379999999998</v>
      </c>
      <c r="J617">
        <v>-317.2509</v>
      </c>
      <c r="K617">
        <v>1.0907880000000001</v>
      </c>
      <c r="L617">
        <v>367.0188</v>
      </c>
      <c r="M617">
        <v>0.99963270000000004</v>
      </c>
      <c r="N617">
        <v>0</v>
      </c>
      <c r="O617">
        <v>1.116114E-2</v>
      </c>
      <c r="P617">
        <v>0.98997440000000003</v>
      </c>
      <c r="Q617">
        <v>0.13456419999999999</v>
      </c>
      <c r="R617">
        <v>-4.2936160000000001E-2</v>
      </c>
      <c r="S617">
        <v>3.084686</v>
      </c>
      <c r="T617">
        <v>-0.45520310000000003</v>
      </c>
      <c r="U617">
        <v>-0.1670227</v>
      </c>
      <c r="V617">
        <v>5.423915E-2</v>
      </c>
      <c r="W617">
        <v>0.1588791</v>
      </c>
      <c r="X617">
        <v>0.98580710000000005</v>
      </c>
      <c r="Y617">
        <v>6.4395400000000005E-2</v>
      </c>
      <c r="Z617">
        <v>-6.3599619999999898E-3</v>
      </c>
      <c r="AA617">
        <v>0.99790420000000002</v>
      </c>
      <c r="AB617">
        <v>27</v>
      </c>
      <c r="AC617">
        <v>0.50510000000002697</v>
      </c>
      <c r="AD617">
        <v>-0.113391599999999</v>
      </c>
      <c r="AE617">
        <v>-4.5000000000015902E-2</v>
      </c>
      <c r="AF617">
        <v>4.82251309547055E-2</v>
      </c>
      <c r="AG617">
        <v>-0.113391599999999</v>
      </c>
      <c r="AH617">
        <v>0.48053897112841298</v>
      </c>
      <c r="AI617">
        <v>103.213049529138</v>
      </c>
      <c r="AJ617">
        <v>84.269193111800107</v>
      </c>
      <c r="AK617">
        <v>0.49608569922878398</v>
      </c>
      <c r="AL617">
        <v>80.858159250882494</v>
      </c>
      <c r="AM617">
        <v>86.850758929649501</v>
      </c>
      <c r="AN617">
        <v>1.0000000461099701</v>
      </c>
    </row>
    <row r="618" spans="1:40" x14ac:dyDescent="0.25">
      <c r="A618" t="str">
        <f>"20190312172623487"</f>
        <v>20190312172623487</v>
      </c>
      <c r="B618" t="str">
        <f>"1552382783479016"</f>
        <v>1552382783479016</v>
      </c>
      <c r="C618" t="s">
        <v>40</v>
      </c>
      <c r="D618">
        <v>3.0686149999999999</v>
      </c>
      <c r="E618">
        <v>0.5115402</v>
      </c>
      <c r="F618" t="s">
        <v>44</v>
      </c>
      <c r="G618">
        <v>-316.4941</v>
      </c>
      <c r="H618">
        <v>0.99330949999999996</v>
      </c>
      <c r="I618">
        <v>366.96809999999999</v>
      </c>
      <c r="J618">
        <v>-316.97890000000001</v>
      </c>
      <c r="K618">
        <v>1.0884</v>
      </c>
      <c r="L618">
        <v>367.02100000000002</v>
      </c>
      <c r="M618">
        <v>0.99964620000000004</v>
      </c>
      <c r="N618">
        <v>0</v>
      </c>
      <c r="O618">
        <v>1.04695E-2</v>
      </c>
      <c r="P618">
        <v>0.98984680000000003</v>
      </c>
      <c r="Q618">
        <v>0.135258399999999</v>
      </c>
      <c r="R618">
        <v>-4.3688999999999999E-2</v>
      </c>
      <c r="S618">
        <v>3.075348</v>
      </c>
      <c r="T618">
        <v>-0.39623249999999999</v>
      </c>
      <c r="U618">
        <v>-0.2048645</v>
      </c>
      <c r="V618">
        <v>5.4314599999999998E-2</v>
      </c>
      <c r="W618">
        <v>0.1593183</v>
      </c>
      <c r="X618">
        <v>0.98573200000000005</v>
      </c>
      <c r="Y618">
        <v>7.6200169999999998E-2</v>
      </c>
      <c r="Z618">
        <v>-6.2257069999999996E-3</v>
      </c>
      <c r="AA618">
        <v>0.99707310000000005</v>
      </c>
      <c r="AB618">
        <v>27</v>
      </c>
      <c r="AC618">
        <v>0.484800000000007</v>
      </c>
      <c r="AD618">
        <v>-9.5090499999999994E-2</v>
      </c>
      <c r="AE618">
        <v>-5.2899999999965502E-2</v>
      </c>
      <c r="AF618">
        <v>5.5850800139172901E-2</v>
      </c>
      <c r="AG618">
        <v>-9.5090499999999994E-2</v>
      </c>
      <c r="AH618">
        <v>0.46648383829309198</v>
      </c>
      <c r="AI618">
        <v>101.442076903483</v>
      </c>
      <c r="AJ618">
        <v>83.172635935625394</v>
      </c>
      <c r="AK618">
        <v>0.47934193062477998</v>
      </c>
      <c r="AL618">
        <v>80.832669730064694</v>
      </c>
      <c r="AM618">
        <v>86.846147198104802</v>
      </c>
      <c r="AN618">
        <v>0.99999998615602403</v>
      </c>
    </row>
    <row r="619" spans="1:40" x14ac:dyDescent="0.25">
      <c r="A619" t="str">
        <f>"20190312172623509"</f>
        <v>20190312172623509</v>
      </c>
      <c r="B619" t="str">
        <f>"1552382783499512"</f>
        <v>1552382783499512</v>
      </c>
      <c r="C619" t="s">
        <v>40</v>
      </c>
      <c r="D619">
        <v>3.0459559999999999</v>
      </c>
      <c r="E619">
        <v>0.5126598</v>
      </c>
      <c r="F619" t="s">
        <v>44</v>
      </c>
      <c r="G619">
        <v>-316.24110000000002</v>
      </c>
      <c r="H619">
        <v>1.012454</v>
      </c>
      <c r="I619">
        <v>366.96749999999997</v>
      </c>
      <c r="J619">
        <v>-316.71300000000002</v>
      </c>
      <c r="K619">
        <v>1.0859570000000001</v>
      </c>
      <c r="L619">
        <v>367.02300000000002</v>
      </c>
      <c r="M619">
        <v>0.9996621</v>
      </c>
      <c r="N619">
        <v>0</v>
      </c>
      <c r="O619">
        <v>9.8470390000000001E-3</v>
      </c>
      <c r="P619">
        <v>0.9897397</v>
      </c>
      <c r="Q619">
        <v>0.13589909999999999</v>
      </c>
      <c r="R619">
        <v>-4.4122990000000001E-2</v>
      </c>
      <c r="S619">
        <v>3.0640869999999998</v>
      </c>
      <c r="T619">
        <v>-0.31534469999999998</v>
      </c>
      <c r="U619">
        <v>-0.22167970000000001</v>
      </c>
      <c r="V619">
        <v>5.413726E-2</v>
      </c>
      <c r="W619">
        <v>0.1595712</v>
      </c>
      <c r="X619">
        <v>0.98570080000000004</v>
      </c>
      <c r="Y619">
        <v>8.1499760000000004E-2</v>
      </c>
      <c r="Z619">
        <v>-5.1871790000000001E-3</v>
      </c>
      <c r="AA619">
        <v>0.99665990000000004</v>
      </c>
      <c r="AB619">
        <v>27</v>
      </c>
      <c r="AC619">
        <v>0.47189999999994803</v>
      </c>
      <c r="AD619">
        <v>-7.3502999999999805E-2</v>
      </c>
      <c r="AE619">
        <v>-5.55000000000518E-2</v>
      </c>
      <c r="AF619">
        <v>5.8739821828762702E-2</v>
      </c>
      <c r="AG619">
        <v>-7.3502999999999805E-2</v>
      </c>
      <c r="AH619">
        <v>0.46031506196612298</v>
      </c>
      <c r="AI619">
        <v>99.000608906588397</v>
      </c>
      <c r="AJ619">
        <v>82.727910341859797</v>
      </c>
      <c r="AK619">
        <v>0.46983296388221901</v>
      </c>
      <c r="AL619">
        <v>80.817991413772603</v>
      </c>
      <c r="AM619">
        <v>86.856324702449101</v>
      </c>
      <c r="AN619">
        <v>0.99999993895519201</v>
      </c>
    </row>
    <row r="620" spans="1:40" x14ac:dyDescent="0.25">
      <c r="A620" t="str">
        <f>"20190312172623531"</f>
        <v>20190312172623531</v>
      </c>
      <c r="B620" t="str">
        <f>"1552382783519033"</f>
        <v>1552382783519033</v>
      </c>
      <c r="C620" t="s">
        <v>40</v>
      </c>
      <c r="D620">
        <v>3.076816</v>
      </c>
      <c r="E620">
        <v>0.51266060000000002</v>
      </c>
      <c r="F620" t="s">
        <v>44</v>
      </c>
      <c r="G620">
        <v>-315.76069999999999</v>
      </c>
      <c r="H620">
        <v>1.003781</v>
      </c>
      <c r="I620">
        <v>366.95060000000001</v>
      </c>
      <c r="J620">
        <v>-316.44799999999998</v>
      </c>
      <c r="K620">
        <v>1.083485</v>
      </c>
      <c r="L620">
        <v>367.02480000000003</v>
      </c>
      <c r="M620">
        <v>0.99967930000000005</v>
      </c>
      <c r="N620">
        <v>0</v>
      </c>
      <c r="O620">
        <v>9.2085480000000004E-3</v>
      </c>
      <c r="P620">
        <v>0.9896007</v>
      </c>
      <c r="Q620">
        <v>0.13676450000000001</v>
      </c>
      <c r="R620">
        <v>-4.4571569999999998E-2</v>
      </c>
      <c r="S620">
        <v>3.0569760000000001</v>
      </c>
      <c r="T620">
        <v>-0.26388139999999999</v>
      </c>
      <c r="U620">
        <v>-0.23208619999999999</v>
      </c>
      <c r="V620">
        <v>5.3950249999999998E-2</v>
      </c>
      <c r="W620">
        <v>0.15997929999999999</v>
      </c>
      <c r="X620">
        <v>0.98564499999999999</v>
      </c>
      <c r="Y620">
        <v>8.4537089999999995E-2</v>
      </c>
      <c r="Z620">
        <v>-4.4292539999999997E-3</v>
      </c>
      <c r="AA620">
        <v>0.99641049999999998</v>
      </c>
      <c r="AB620">
        <v>27</v>
      </c>
      <c r="AC620">
        <v>0.68729999999999303</v>
      </c>
      <c r="AD620">
        <v>-7.9703999999999997E-2</v>
      </c>
      <c r="AE620">
        <v>-7.4200000000018904E-2</v>
      </c>
      <c r="AF620">
        <v>7.9471208871898194E-2</v>
      </c>
      <c r="AG620">
        <v>-7.9703999999999997E-2</v>
      </c>
      <c r="AH620">
        <v>0.67758005592487103</v>
      </c>
      <c r="AI620">
        <v>96.663632656407998</v>
      </c>
      <c r="AJ620">
        <v>83.310522528343995</v>
      </c>
      <c r="AK620">
        <v>0.68686471218334699</v>
      </c>
      <c r="AL620">
        <v>80.794305612130302</v>
      </c>
      <c r="AM620">
        <v>86.866985438898894</v>
      </c>
      <c r="AN620">
        <v>1.00000003596427</v>
      </c>
    </row>
    <row r="621" spans="1:40" x14ac:dyDescent="0.25">
      <c r="A621" t="str">
        <f>"20190312172623543"</f>
        <v>20190312172623543</v>
      </c>
      <c r="B621" t="str">
        <f>"1552382783539529"</f>
        <v>1552382783539529</v>
      </c>
      <c r="C621" t="s">
        <v>40</v>
      </c>
      <c r="D621">
        <v>3.1187040000000001</v>
      </c>
      <c r="E621">
        <v>0.51282499999999998</v>
      </c>
      <c r="F621" t="s">
        <v>44</v>
      </c>
      <c r="G621">
        <v>-315.51499999999999</v>
      </c>
      <c r="H621">
        <v>1.011172</v>
      </c>
      <c r="I621">
        <v>366.95330000000001</v>
      </c>
      <c r="J621">
        <v>-316.29500000000002</v>
      </c>
      <c r="K621">
        <v>1.0820609999999999</v>
      </c>
      <c r="L621">
        <v>367.0258</v>
      </c>
      <c r="M621">
        <v>0.99969010000000003</v>
      </c>
      <c r="N621">
        <v>0</v>
      </c>
      <c r="O621">
        <v>8.8138109999999995E-3</v>
      </c>
      <c r="P621">
        <v>0.98951560000000005</v>
      </c>
      <c r="Q621">
        <v>0.13720950000000001</v>
      </c>
      <c r="R621">
        <v>-4.508318E-2</v>
      </c>
      <c r="S621">
        <v>3.053741</v>
      </c>
      <c r="T621">
        <v>-0.23670830000000001</v>
      </c>
      <c r="U621">
        <v>-0.23345949999999999</v>
      </c>
      <c r="V621">
        <v>5.4064899999999999E-2</v>
      </c>
      <c r="W621">
        <v>0.16011339999999999</v>
      </c>
      <c r="X621">
        <v>0.98561690000000002</v>
      </c>
      <c r="Y621">
        <v>8.4736399999999906E-2</v>
      </c>
      <c r="Z621">
        <v>-3.9558800000000002E-3</v>
      </c>
      <c r="AA621">
        <v>0.99639549999999999</v>
      </c>
      <c r="AB621">
        <v>27</v>
      </c>
      <c r="AC621">
        <v>0.780000000000029</v>
      </c>
      <c r="AD621">
        <v>-7.0889000000000202E-2</v>
      </c>
      <c r="AE621">
        <v>-7.2499999999990905E-2</v>
      </c>
      <c r="AF621">
        <v>7.8729103766465802E-2</v>
      </c>
      <c r="AG621">
        <v>-7.0889000000000202E-2</v>
      </c>
      <c r="AH621">
        <v>0.77300038749201005</v>
      </c>
      <c r="AI621">
        <v>95.212909854212697</v>
      </c>
      <c r="AJ621">
        <v>84.184550795642593</v>
      </c>
      <c r="AK621">
        <v>0.780226326884493</v>
      </c>
      <c r="AL621">
        <v>80.786521521838395</v>
      </c>
      <c r="AM621">
        <v>86.860251424180902</v>
      </c>
      <c r="AN621">
        <v>0.99999999391858996</v>
      </c>
    </row>
    <row r="622" spans="1:40" x14ac:dyDescent="0.25">
      <c r="A622" t="str">
        <f>"20190312172623565"</f>
        <v>20190312172623565</v>
      </c>
      <c r="B622" t="str">
        <f>"1552382783559048"</f>
        <v>1552382783559048</v>
      </c>
      <c r="C622" t="s">
        <v>40</v>
      </c>
      <c r="D622">
        <v>3.106824</v>
      </c>
      <c r="E622">
        <v>0.51302409999999998</v>
      </c>
      <c r="F622" t="s">
        <v>43</v>
      </c>
      <c r="G622">
        <v>-300.37779999999998</v>
      </c>
      <c r="H622">
        <v>-0.05</v>
      </c>
      <c r="I622">
        <v>365.79349999999999</v>
      </c>
      <c r="J622">
        <v>-316.0317</v>
      </c>
      <c r="K622">
        <v>1.0796460000000001</v>
      </c>
      <c r="L622">
        <v>367.02730000000003</v>
      </c>
      <c r="M622">
        <v>0.99971080000000001</v>
      </c>
      <c r="N622">
        <v>0</v>
      </c>
      <c r="O622">
        <v>8.0958330000000002E-3</v>
      </c>
      <c r="P622">
        <v>0.98936009999999996</v>
      </c>
      <c r="Q622">
        <v>0.13807800000000001</v>
      </c>
      <c r="R622">
        <v>-4.5841220000000002E-2</v>
      </c>
      <c r="S622">
        <v>3.0511170000000001</v>
      </c>
      <c r="T622">
        <v>-0.21700169999999999</v>
      </c>
      <c r="U622">
        <v>-0.2362061</v>
      </c>
      <c r="V622">
        <v>5.410032E-2</v>
      </c>
      <c r="W622">
        <v>0.16035389999999999</v>
      </c>
      <c r="X622">
        <v>0.98557589999999995</v>
      </c>
      <c r="Y622">
        <v>8.5022669999999995E-2</v>
      </c>
      <c r="Z622">
        <v>-3.5895829999999999E-3</v>
      </c>
      <c r="AA622">
        <v>0.99637260000000005</v>
      </c>
      <c r="AB622">
        <v>27</v>
      </c>
      <c r="AC622">
        <v>15.6539</v>
      </c>
      <c r="AD622">
        <v>-1.1296459999999999</v>
      </c>
      <c r="AE622">
        <v>-1.23380000000003</v>
      </c>
      <c r="AF622">
        <v>1.35351831277434</v>
      </c>
      <c r="AG622">
        <v>-1.1296459999999999</v>
      </c>
      <c r="AH622">
        <v>15.5628504161783</v>
      </c>
      <c r="AI622">
        <v>94.136035436322899</v>
      </c>
      <c r="AJ622">
        <v>85.029429928965399</v>
      </c>
      <c r="AK622">
        <v>15.6623888658363</v>
      </c>
      <c r="AL622">
        <v>80.772561905198501</v>
      </c>
      <c r="AM622">
        <v>86.858068136156504</v>
      </c>
      <c r="AN622">
        <v>1.0000000362650601</v>
      </c>
    </row>
    <row r="623" spans="1:40" x14ac:dyDescent="0.25">
      <c r="A623" t="str">
        <f>"20190312172623588"</f>
        <v>20190312172623588</v>
      </c>
      <c r="B623" t="str">
        <f>"1552382783579544"</f>
        <v>1552382783579544</v>
      </c>
      <c r="C623" t="s">
        <v>40</v>
      </c>
      <c r="D623">
        <v>3.114789</v>
      </c>
      <c r="E623">
        <v>0.51337449999999996</v>
      </c>
      <c r="F623" t="s">
        <v>43</v>
      </c>
      <c r="G623">
        <v>-298.90879999999999</v>
      </c>
      <c r="H623">
        <v>-0.05</v>
      </c>
      <c r="I623">
        <v>365.67910000000001</v>
      </c>
      <c r="J623">
        <v>-315.76639999999998</v>
      </c>
      <c r="K623">
        <v>1.0772839999999999</v>
      </c>
      <c r="L623">
        <v>367.02859999999998</v>
      </c>
      <c r="M623">
        <v>0.99973339999999999</v>
      </c>
      <c r="N623">
        <v>0</v>
      </c>
      <c r="O623">
        <v>7.35330599999999E-3</v>
      </c>
      <c r="P623">
        <v>0.98918229999999996</v>
      </c>
      <c r="Q623">
        <v>0.1390197</v>
      </c>
      <c r="R623">
        <v>-4.6822379999999997E-2</v>
      </c>
      <c r="S623">
        <v>3.0492249999999999</v>
      </c>
      <c r="T623">
        <v>-0.20116619999999999</v>
      </c>
      <c r="U623">
        <v>-0.24008180000000001</v>
      </c>
      <c r="V623">
        <v>5.4338450000000003E-2</v>
      </c>
      <c r="W623">
        <v>0.16055539999999999</v>
      </c>
      <c r="X623">
        <v>0.98553000000000002</v>
      </c>
      <c r="Y623">
        <v>8.5621779999999995E-2</v>
      </c>
      <c r="Z623">
        <v>-3.30094E-3</v>
      </c>
      <c r="AA623">
        <v>0.99632220000000005</v>
      </c>
      <c r="AB623">
        <v>27</v>
      </c>
      <c r="AC623">
        <v>16.857599999999898</v>
      </c>
      <c r="AD623">
        <v>-1.127284</v>
      </c>
      <c r="AE623">
        <v>-1.3494999999999699</v>
      </c>
      <c r="AF623">
        <v>1.4669343327820099</v>
      </c>
      <c r="AG623">
        <v>-1.127284</v>
      </c>
      <c r="AH623">
        <v>16.772693059977101</v>
      </c>
      <c r="AI623">
        <v>93.830458809533496</v>
      </c>
      <c r="AJ623">
        <v>85.001648142070096</v>
      </c>
      <c r="AK623">
        <v>16.874415487285901</v>
      </c>
      <c r="AL623">
        <v>80.760865310897501</v>
      </c>
      <c r="AM623">
        <v>86.844119703937096</v>
      </c>
      <c r="AN623">
        <v>1.00000004225878</v>
      </c>
    </row>
    <row r="624" spans="1:40" x14ac:dyDescent="0.25">
      <c r="A624" t="str">
        <f>"20190312172623601"</f>
        <v>20190312172623601</v>
      </c>
      <c r="B624" t="str">
        <f>"1552382783599065"</f>
        <v>1552382783599065</v>
      </c>
      <c r="C624" t="s">
        <v>40</v>
      </c>
      <c r="D624">
        <v>3.1248770000000001</v>
      </c>
      <c r="E624">
        <v>0.51339559999999995</v>
      </c>
      <c r="F624" t="s">
        <v>43</v>
      </c>
      <c r="G624">
        <v>-297.56490000000002</v>
      </c>
      <c r="H624">
        <v>-0.05</v>
      </c>
      <c r="I624">
        <v>365.56110000000001</v>
      </c>
      <c r="J624">
        <v>-315.59280000000001</v>
      </c>
      <c r="K624">
        <v>1.0758179999999999</v>
      </c>
      <c r="L624">
        <v>367.02940000000001</v>
      </c>
      <c r="M624">
        <v>0.99974819999999998</v>
      </c>
      <c r="N624">
        <v>0</v>
      </c>
      <c r="O624">
        <v>6.879034E-3</v>
      </c>
      <c r="P624">
        <v>0.98911389999999999</v>
      </c>
      <c r="Q624">
        <v>0.13928850000000001</v>
      </c>
      <c r="R624">
        <v>-4.7462209999999998E-2</v>
      </c>
      <c r="S624">
        <v>3.0477289999999999</v>
      </c>
      <c r="T624">
        <v>-0.18875729999999999</v>
      </c>
      <c r="U624">
        <v>-0.24572749999999999</v>
      </c>
      <c r="V624">
        <v>5.4507319999999998E-2</v>
      </c>
      <c r="W624">
        <v>0.16029930000000001</v>
      </c>
      <c r="X624">
        <v>0.9855623</v>
      </c>
      <c r="Y624">
        <v>8.7043259999999997E-2</v>
      </c>
      <c r="Z624">
        <v>-3.1136010000000001E-3</v>
      </c>
      <c r="AA624">
        <v>0.99619970000000002</v>
      </c>
      <c r="AB624">
        <v>27</v>
      </c>
      <c r="AC624">
        <v>18.027899999999899</v>
      </c>
      <c r="AD624">
        <v>-1.125818</v>
      </c>
      <c r="AE624">
        <v>-1.4682999999999899</v>
      </c>
      <c r="AF624">
        <v>1.5861630686543799</v>
      </c>
      <c r="AG624">
        <v>-1.125818</v>
      </c>
      <c r="AH624">
        <v>17.947838113815202</v>
      </c>
      <c r="AI624">
        <v>93.575403227424204</v>
      </c>
      <c r="AJ624">
        <v>84.949533848206499</v>
      </c>
      <c r="AK624">
        <v>18.052929745866901</v>
      </c>
      <c r="AL624">
        <v>80.775730732964306</v>
      </c>
      <c r="AM624">
        <v>86.834435490377601</v>
      </c>
      <c r="AN624">
        <v>0.99999998034768001</v>
      </c>
    </row>
    <row r="625" spans="1:40" x14ac:dyDescent="0.25">
      <c r="A625" t="str">
        <f>"20190312172623622"</f>
        <v>20190312172623622</v>
      </c>
      <c r="B625" t="str">
        <f>"1552382783609382"</f>
        <v>1552382783609382</v>
      </c>
      <c r="C625" t="s">
        <v>40</v>
      </c>
      <c r="D625">
        <v>3.1037620000000001</v>
      </c>
      <c r="E625">
        <v>0.51353040000000005</v>
      </c>
      <c r="F625" t="s">
        <v>43</v>
      </c>
      <c r="G625">
        <v>-296.56760000000003</v>
      </c>
      <c r="H625">
        <v>-0.05</v>
      </c>
      <c r="I625">
        <v>365.48079999999999</v>
      </c>
      <c r="J625">
        <v>-315.36279999999999</v>
      </c>
      <c r="K625">
        <v>1.0739669999999999</v>
      </c>
      <c r="L625">
        <v>367.03030000000001</v>
      </c>
      <c r="M625">
        <v>0.99976719999999997</v>
      </c>
      <c r="N625">
        <v>0</v>
      </c>
      <c r="O625">
        <v>6.2665050000000003E-3</v>
      </c>
      <c r="P625">
        <v>0.98893620000000004</v>
      </c>
      <c r="Q625">
        <v>0.14025789999999999</v>
      </c>
      <c r="R625">
        <v>-4.8303459999999999E-2</v>
      </c>
      <c r="S625">
        <v>3.0465390000000001</v>
      </c>
      <c r="T625">
        <v>-0.18027869999999999</v>
      </c>
      <c r="U625">
        <v>-0.24798580000000001</v>
      </c>
      <c r="V625">
        <v>5.4741919999999999E-2</v>
      </c>
      <c r="W625">
        <v>0.16056289999999901</v>
      </c>
      <c r="X625">
        <v>0.9855064</v>
      </c>
      <c r="Y625">
        <v>8.7213959999999993E-2</v>
      </c>
      <c r="Z625">
        <v>-2.9439240000000001E-3</v>
      </c>
      <c r="AA625">
        <v>0.99618519999999999</v>
      </c>
      <c r="AB625">
        <v>27</v>
      </c>
      <c r="AC625">
        <v>18.795199999999902</v>
      </c>
      <c r="AD625">
        <v>-1.1239669999999999</v>
      </c>
      <c r="AE625">
        <v>-1.5495000000000201</v>
      </c>
      <c r="AF625">
        <v>1.6613737097489201</v>
      </c>
      <c r="AG625">
        <v>-1.1239669999999999</v>
      </c>
      <c r="AH625">
        <v>18.718630432771299</v>
      </c>
      <c r="AI625">
        <v>93.422797403569305</v>
      </c>
      <c r="AJ625">
        <v>84.927998302090401</v>
      </c>
      <c r="AK625">
        <v>18.825795858321801</v>
      </c>
      <c r="AL625">
        <v>80.760429490240298</v>
      </c>
      <c r="AM625">
        <v>86.820658801177601</v>
      </c>
      <c r="AN625">
        <v>0.99999999355132796</v>
      </c>
    </row>
    <row r="626" spans="1:40" x14ac:dyDescent="0.25">
      <c r="A626" t="str">
        <f>"20190312172623643"</f>
        <v>20190312172623643</v>
      </c>
      <c r="B626" t="str">
        <f>"1552382783639627"</f>
        <v>1552382783639627</v>
      </c>
      <c r="C626" t="s">
        <v>40</v>
      </c>
      <c r="D626">
        <v>3.1355780000000002</v>
      </c>
      <c r="E626">
        <v>0.5134957</v>
      </c>
      <c r="F626" t="s">
        <v>43</v>
      </c>
      <c r="G626">
        <v>-295.77850000000001</v>
      </c>
      <c r="H626">
        <v>-0.05</v>
      </c>
      <c r="I626">
        <v>365.41079999999999</v>
      </c>
      <c r="J626">
        <v>-315.10140000000001</v>
      </c>
      <c r="K626">
        <v>1.0720339999999999</v>
      </c>
      <c r="L626">
        <v>367.03109999999998</v>
      </c>
      <c r="M626">
        <v>0.9997876</v>
      </c>
      <c r="N626">
        <v>0</v>
      </c>
      <c r="O626">
        <v>5.5863110000000001E-3</v>
      </c>
      <c r="P626">
        <v>0.98871730000000002</v>
      </c>
      <c r="Q626">
        <v>0.1414464</v>
      </c>
      <c r="R626">
        <v>-4.9312700000000001E-2</v>
      </c>
      <c r="S626">
        <v>3.0460509999999998</v>
      </c>
      <c r="T626">
        <v>-0.17481650000000001</v>
      </c>
      <c r="U626">
        <v>-0.25189210000000001</v>
      </c>
      <c r="V626">
        <v>5.507737E-2</v>
      </c>
      <c r="W626">
        <v>0.1609535</v>
      </c>
      <c r="X626">
        <v>0.98542399999999997</v>
      </c>
      <c r="Y626">
        <v>8.7827760000000005E-2</v>
      </c>
      <c r="Z626">
        <v>-2.8337950000000001E-3</v>
      </c>
      <c r="AA626">
        <v>0.99613169999999995</v>
      </c>
      <c r="AB626">
        <v>27</v>
      </c>
      <c r="AC626">
        <v>19.322900000000001</v>
      </c>
      <c r="AD626">
        <v>-1.122034</v>
      </c>
      <c r="AE626">
        <v>-1.6202999999999801</v>
      </c>
      <c r="AF626">
        <v>1.72247232891292</v>
      </c>
      <c r="AG626">
        <v>-1.122034</v>
      </c>
      <c r="AH626">
        <v>19.249093352428702</v>
      </c>
      <c r="AI626">
        <v>93.322762378369404</v>
      </c>
      <c r="AJ626">
        <v>84.886603847697202</v>
      </c>
      <c r="AK626">
        <v>19.358550206860599</v>
      </c>
      <c r="AL626">
        <v>80.7377549345142</v>
      </c>
      <c r="AM626">
        <v>86.800949703634799</v>
      </c>
      <c r="AN626">
        <v>1.00000000281218</v>
      </c>
    </row>
    <row r="627" spans="1:40" x14ac:dyDescent="0.25">
      <c r="A627" t="str">
        <f>"20190312172623665"</f>
        <v>20190312172623665</v>
      </c>
      <c r="B627" t="str">
        <f>"1552382783659147"</f>
        <v>1552382783659147</v>
      </c>
      <c r="C627" t="s">
        <v>40</v>
      </c>
      <c r="D627">
        <v>3.1357189999999999</v>
      </c>
      <c r="E627">
        <v>0.51358499999999996</v>
      </c>
      <c r="F627" t="s">
        <v>43</v>
      </c>
      <c r="G627">
        <v>-294.16149999999999</v>
      </c>
      <c r="H627">
        <v>-0.05</v>
      </c>
      <c r="I627">
        <v>365.27870000000001</v>
      </c>
      <c r="J627">
        <v>-314.83049999999997</v>
      </c>
      <c r="K627">
        <v>1.0702389999999999</v>
      </c>
      <c r="L627">
        <v>367.03179999999998</v>
      </c>
      <c r="M627">
        <v>0.99980670000000005</v>
      </c>
      <c r="N627">
        <v>0</v>
      </c>
      <c r="O627">
        <v>4.8839460000000001E-3</v>
      </c>
      <c r="P627">
        <v>0.98856599999999994</v>
      </c>
      <c r="Q627">
        <v>0.14216570000000001</v>
      </c>
      <c r="R627">
        <v>-5.0262510000000003E-2</v>
      </c>
      <c r="S627">
        <v>3.0448300000000001</v>
      </c>
      <c r="T627">
        <v>-0.16315289999999999</v>
      </c>
      <c r="U627">
        <v>-0.25482179999999999</v>
      </c>
      <c r="V627">
        <v>5.5328820000000001E-2</v>
      </c>
      <c r="W627">
        <v>0.16087870000000001</v>
      </c>
      <c r="X627">
        <v>0.98542209999999997</v>
      </c>
      <c r="Y627">
        <v>8.8132730000000006E-2</v>
      </c>
      <c r="Z627">
        <v>-2.6165490000000001E-3</v>
      </c>
      <c r="AA627">
        <v>0.99610529999999997</v>
      </c>
      <c r="AB627">
        <v>27</v>
      </c>
      <c r="AC627">
        <v>20.668999999999901</v>
      </c>
      <c r="AD627">
        <v>-1.120239</v>
      </c>
      <c r="AE627">
        <v>-1.7530999999999599</v>
      </c>
      <c r="AF627">
        <v>1.8486519917179001</v>
      </c>
      <c r="AG627">
        <v>-1.120239</v>
      </c>
      <c r="AH627">
        <v>20.600108574649099</v>
      </c>
      <c r="AI627">
        <v>93.100258681903</v>
      </c>
      <c r="AJ627">
        <v>84.872017825434796</v>
      </c>
      <c r="AK627">
        <v>20.713206485016698</v>
      </c>
      <c r="AL627">
        <v>80.742096985853095</v>
      </c>
      <c r="AM627">
        <v>86.786369131104394</v>
      </c>
      <c r="AN627">
        <v>0.99999997480234504</v>
      </c>
    </row>
    <row r="628" spans="1:40" x14ac:dyDescent="0.25">
      <c r="A628" t="str">
        <f>"20190312172623689"</f>
        <v>20190312172623689</v>
      </c>
      <c r="B628" t="str">
        <f>"1552382783679643"</f>
        <v>1552382783679643</v>
      </c>
      <c r="C628" t="s">
        <v>40</v>
      </c>
      <c r="D628">
        <v>3.12276</v>
      </c>
      <c r="E628">
        <v>0.51367259999999904</v>
      </c>
      <c r="F628" t="s">
        <v>43</v>
      </c>
      <c r="G628">
        <v>-293.13940000000002</v>
      </c>
      <c r="H628">
        <v>-0.05</v>
      </c>
      <c r="I628">
        <v>365.18889999999999</v>
      </c>
      <c r="J628">
        <v>-314.5616</v>
      </c>
      <c r="K628">
        <v>1.0686709999999999</v>
      </c>
      <c r="L628">
        <v>367.03230000000002</v>
      </c>
      <c r="M628">
        <v>0.99982389999999999</v>
      </c>
      <c r="N628">
        <v>0</v>
      </c>
      <c r="O628">
        <v>4.1780849999999998E-3</v>
      </c>
      <c r="P628">
        <v>0.98841230000000002</v>
      </c>
      <c r="Q628">
        <v>0.14284240000000001</v>
      </c>
      <c r="R628">
        <v>-5.1351960000000002E-2</v>
      </c>
      <c r="S628">
        <v>3.0441889999999998</v>
      </c>
      <c r="T628">
        <v>-0.157217</v>
      </c>
      <c r="U628">
        <v>-0.25863649999999999</v>
      </c>
      <c r="V628">
        <v>5.5714260000000002E-2</v>
      </c>
      <c r="W628">
        <v>0.1608184</v>
      </c>
      <c r="X628">
        <v>0.98541029999999996</v>
      </c>
      <c r="Y628">
        <v>8.8695880000000005E-2</v>
      </c>
      <c r="Z628">
        <v>-2.5000059999999999E-3</v>
      </c>
      <c r="AA628">
        <v>0.99605560000000004</v>
      </c>
      <c r="AB628">
        <v>27</v>
      </c>
      <c r="AC628">
        <v>21.422199999999901</v>
      </c>
      <c r="AD628">
        <v>-1.118671</v>
      </c>
      <c r="AE628">
        <v>-1.8434000000000299</v>
      </c>
      <c r="AF628">
        <v>1.92768460587485</v>
      </c>
      <c r="AG628">
        <v>-1.118671</v>
      </c>
      <c r="AH628">
        <v>21.356499824365599</v>
      </c>
      <c r="AI628">
        <v>92.986341179731198</v>
      </c>
      <c r="AJ628">
        <v>84.842333685980705</v>
      </c>
      <c r="AK628">
        <v>21.472481866195501</v>
      </c>
      <c r="AL628">
        <v>80.745598184158496</v>
      </c>
      <c r="AM628">
        <v>86.763990594876802</v>
      </c>
      <c r="AN628">
        <v>1.0000000479459901</v>
      </c>
    </row>
    <row r="629" spans="1:40" x14ac:dyDescent="0.25">
      <c r="A629" t="str">
        <f>"20190312172623710"</f>
        <v>20190312172623710</v>
      </c>
      <c r="B629" t="str">
        <f>"1552382783699164"</f>
        <v>1552382783699164</v>
      </c>
      <c r="C629" t="s">
        <v>40</v>
      </c>
      <c r="D629">
        <v>3.1706409999999998</v>
      </c>
      <c r="E629">
        <v>0.51366270000000003</v>
      </c>
      <c r="F629" t="s">
        <v>43</v>
      </c>
      <c r="G629">
        <v>-292.14879999999999</v>
      </c>
      <c r="H629">
        <v>-0.05</v>
      </c>
      <c r="I629">
        <v>365.09820000000002</v>
      </c>
      <c r="J629">
        <v>-314.30329999999998</v>
      </c>
      <c r="K629">
        <v>1.0673549999999901</v>
      </c>
      <c r="L629">
        <v>367.0326</v>
      </c>
      <c r="M629">
        <v>0.99983849999999996</v>
      </c>
      <c r="N629">
        <v>0</v>
      </c>
      <c r="O629">
        <v>3.4973169999999998E-3</v>
      </c>
      <c r="P629">
        <v>0.98833380000000004</v>
      </c>
      <c r="Q629">
        <v>0.14311789999999999</v>
      </c>
      <c r="R629">
        <v>-5.2095219999999998E-2</v>
      </c>
      <c r="S629">
        <v>3.0434570000000001</v>
      </c>
      <c r="T629">
        <v>-0.1519055</v>
      </c>
      <c r="U629">
        <v>-0.26263429999999999</v>
      </c>
      <c r="V629">
        <v>5.5777439999999998E-2</v>
      </c>
      <c r="W629">
        <v>0.16044149999999999</v>
      </c>
      <c r="X629">
        <v>0.98546809999999996</v>
      </c>
      <c r="Y629">
        <v>8.9344850000000003E-2</v>
      </c>
      <c r="Z629">
        <v>-2.398346E-3</v>
      </c>
      <c r="AA629">
        <v>0.99599780000000004</v>
      </c>
      <c r="AB629">
        <v>27</v>
      </c>
      <c r="AC629">
        <v>22.154499999999899</v>
      </c>
      <c r="AD629">
        <v>-1.1173550000000001</v>
      </c>
      <c r="AE629">
        <v>-1.9343999999999799</v>
      </c>
      <c r="AF629">
        <v>2.0068154899440498</v>
      </c>
      <c r="AG629">
        <v>-1.1173550000000001</v>
      </c>
      <c r="AH629">
        <v>22.0918293522545</v>
      </c>
      <c r="AI629">
        <v>92.883571500369996</v>
      </c>
      <c r="AJ629">
        <v>84.809513462226803</v>
      </c>
      <c r="AK629">
        <v>22.210914315620499</v>
      </c>
      <c r="AL629">
        <v>80.767476498080399</v>
      </c>
      <c r="AM629">
        <v>86.760518380139203</v>
      </c>
      <c r="AN629">
        <v>0.99999998692640601</v>
      </c>
    </row>
    <row r="630" spans="1:40" x14ac:dyDescent="0.25">
      <c r="A630" t="str">
        <f>"20190312172623732"</f>
        <v>20190312172623732</v>
      </c>
      <c r="B630" t="str">
        <f>"1552382783729052"</f>
        <v>1552382783729052</v>
      </c>
      <c r="C630" t="s">
        <v>40</v>
      </c>
      <c r="D630">
        <v>3.1403029999999998</v>
      </c>
      <c r="E630">
        <v>0.51370389999999999</v>
      </c>
      <c r="F630" t="s">
        <v>43</v>
      </c>
      <c r="G630">
        <v>-291.33350000000002</v>
      </c>
      <c r="H630">
        <v>-0.05</v>
      </c>
      <c r="I630">
        <v>365.03829999999999</v>
      </c>
      <c r="J630">
        <v>-314.0299</v>
      </c>
      <c r="K630">
        <v>1.0661389999999999</v>
      </c>
      <c r="L630">
        <v>367.03269999999998</v>
      </c>
      <c r="M630">
        <v>0.99985190000000002</v>
      </c>
      <c r="N630">
        <v>0</v>
      </c>
      <c r="O630">
        <v>2.7823629999999999E-3</v>
      </c>
      <c r="P630">
        <v>0.98822049999999995</v>
      </c>
      <c r="Q630">
        <v>0.1435128</v>
      </c>
      <c r="R630">
        <v>-5.3147069999999998E-2</v>
      </c>
      <c r="S630">
        <v>3.0429080000000002</v>
      </c>
      <c r="T630">
        <v>-0.1480205</v>
      </c>
      <c r="U630">
        <v>-0.2641907</v>
      </c>
      <c r="V630">
        <v>5.6115900000000003E-2</v>
      </c>
      <c r="W630">
        <v>0.16020239999999999</v>
      </c>
      <c r="X630">
        <v>0.98548780000000002</v>
      </c>
      <c r="Y630">
        <v>8.9160470000000006E-2</v>
      </c>
      <c r="Z630">
        <v>-2.298273E-3</v>
      </c>
      <c r="AA630">
        <v>0.99601459999999997</v>
      </c>
      <c r="AB630">
        <v>27</v>
      </c>
      <c r="AC630">
        <v>22.696399999999901</v>
      </c>
      <c r="AD630">
        <v>-1.116139</v>
      </c>
      <c r="AE630">
        <v>-1.99439999999998</v>
      </c>
      <c r="AF630">
        <v>2.0526250421321701</v>
      </c>
      <c r="AG630">
        <v>-1.116139</v>
      </c>
      <c r="AH630">
        <v>22.636438379803799</v>
      </c>
      <c r="AI630">
        <v>92.811291718718607</v>
      </c>
      <c r="AJ630">
        <v>84.818708183757195</v>
      </c>
      <c r="AK630">
        <v>22.756699636668898</v>
      </c>
      <c r="AL630">
        <v>80.781355601289803</v>
      </c>
      <c r="AM630">
        <v>86.740968316871999</v>
      </c>
      <c r="AN630">
        <v>1.0000000035737</v>
      </c>
    </row>
    <row r="631" spans="1:40" x14ac:dyDescent="0.25">
      <c r="A631" t="str">
        <f>"20190312172623755"</f>
        <v>20190312172623755</v>
      </c>
      <c r="B631" t="str">
        <f>"1552382783749549"</f>
        <v>1552382783749549</v>
      </c>
      <c r="C631" t="s">
        <v>40</v>
      </c>
      <c r="D631">
        <v>3.1727470000000002</v>
      </c>
      <c r="E631">
        <v>0.51358499999999996</v>
      </c>
      <c r="F631" t="s">
        <v>43</v>
      </c>
      <c r="G631">
        <v>-290.43540000000002</v>
      </c>
      <c r="H631">
        <v>-0.05</v>
      </c>
      <c r="I631">
        <v>364.95080000000002</v>
      </c>
      <c r="J631">
        <v>-313.76580000000001</v>
      </c>
      <c r="K631">
        <v>1.0651250000000001</v>
      </c>
      <c r="L631">
        <v>367.0326</v>
      </c>
      <c r="M631">
        <v>0.99986299999999995</v>
      </c>
      <c r="N631">
        <v>0</v>
      </c>
      <c r="O631">
        <v>2.1022200000000001E-3</v>
      </c>
      <c r="P631">
        <v>0.98809970000000003</v>
      </c>
      <c r="Q631">
        <v>0.14385000000000001</v>
      </c>
      <c r="R631">
        <v>-5.4467059999999998E-2</v>
      </c>
      <c r="S631">
        <v>3.0422359999999999</v>
      </c>
      <c r="T631">
        <v>-0.14391300000000001</v>
      </c>
      <c r="U631">
        <v>-0.26843260000000002</v>
      </c>
      <c r="V631">
        <v>5.6757969999999998E-2</v>
      </c>
      <c r="W631">
        <v>0.1599835</v>
      </c>
      <c r="X631">
        <v>0.98548659999999999</v>
      </c>
      <c r="Y631">
        <v>8.9885909999999999E-2</v>
      </c>
      <c r="Z631">
        <v>-2.2199400000000001E-3</v>
      </c>
      <c r="AA631">
        <v>0.99594959999999999</v>
      </c>
      <c r="AB631">
        <v>27</v>
      </c>
      <c r="AC631">
        <v>23.330400000000001</v>
      </c>
      <c r="AD631">
        <v>-1.1151249999999999</v>
      </c>
      <c r="AE631">
        <v>-2.0817999999999799</v>
      </c>
      <c r="AF631">
        <v>2.12602896861946</v>
      </c>
      <c r="AG631">
        <v>-1.1151249999999999</v>
      </c>
      <c r="AH631">
        <v>23.273222348252499</v>
      </c>
      <c r="AI631">
        <v>92.731843523501496</v>
      </c>
      <c r="AJ631">
        <v>84.780467835737099</v>
      </c>
      <c r="AK631">
        <v>23.3967173212875</v>
      </c>
      <c r="AL631">
        <v>80.794061617688499</v>
      </c>
      <c r="AM631">
        <v>86.703756704023903</v>
      </c>
      <c r="AN631">
        <v>1.0000000131051601</v>
      </c>
    </row>
    <row r="632" spans="1:40" x14ac:dyDescent="0.25">
      <c r="A632" t="str">
        <f>"20190312172623767"</f>
        <v>20190312172623767</v>
      </c>
      <c r="B632" t="str">
        <f>"1552382783759308"</f>
        <v>1552382783759308</v>
      </c>
      <c r="C632" t="s">
        <v>40</v>
      </c>
      <c r="D632">
        <v>3.156453</v>
      </c>
      <c r="E632">
        <v>0.51361809999999997</v>
      </c>
      <c r="F632" t="s">
        <v>43</v>
      </c>
      <c r="G632">
        <v>-289.67610000000002</v>
      </c>
      <c r="H632">
        <v>-0.05</v>
      </c>
      <c r="I632">
        <v>364.88569999999999</v>
      </c>
      <c r="J632">
        <v>-313.61380000000003</v>
      </c>
      <c r="K632">
        <v>1.0645910000000001</v>
      </c>
      <c r="L632">
        <v>367.0326</v>
      </c>
      <c r="M632">
        <v>0.99986850000000005</v>
      </c>
      <c r="N632">
        <v>0</v>
      </c>
      <c r="O632">
        <v>1.714847E-3</v>
      </c>
      <c r="P632">
        <v>0.98801229999999995</v>
      </c>
      <c r="Q632">
        <v>0.14421320000000001</v>
      </c>
      <c r="R632">
        <v>-5.508507E-2</v>
      </c>
      <c r="S632">
        <v>3.0417179999999999</v>
      </c>
      <c r="T632">
        <v>-0.14080229999999999</v>
      </c>
      <c r="U632">
        <v>-0.27108759999999998</v>
      </c>
      <c r="V632">
        <v>5.6990399999999997E-2</v>
      </c>
      <c r="W632">
        <v>0.16004699999999999</v>
      </c>
      <c r="X632">
        <v>0.98546279999999997</v>
      </c>
      <c r="Y632">
        <v>9.0381690000000001E-2</v>
      </c>
      <c r="Z632">
        <v>-2.1658469999999998E-3</v>
      </c>
      <c r="AA632">
        <v>0.99590489999999998</v>
      </c>
      <c r="AB632">
        <v>27</v>
      </c>
      <c r="AC632">
        <v>23.9377</v>
      </c>
      <c r="AD632">
        <v>-1.1145909999999899</v>
      </c>
      <c r="AE632">
        <v>-2.1469000000000098</v>
      </c>
      <c r="AF632">
        <v>2.1832560692755401</v>
      </c>
      <c r="AG632">
        <v>-1.1145909999999899</v>
      </c>
      <c r="AH632">
        <v>23.882617536078701</v>
      </c>
      <c r="AI632">
        <v>92.660949931717298</v>
      </c>
      <c r="AJ632">
        <v>84.776760288513103</v>
      </c>
      <c r="AK632">
        <v>24.008089064644899</v>
      </c>
      <c r="AL632">
        <v>80.790375154816999</v>
      </c>
      <c r="AM632">
        <v>86.690208424408993</v>
      </c>
      <c r="AN632">
        <v>0.99999993904249795</v>
      </c>
    </row>
    <row r="633" spans="1:40" x14ac:dyDescent="0.25">
      <c r="A633" t="str">
        <f>"20190312172623788"</f>
        <v>20190312172623788</v>
      </c>
      <c r="B633" t="str">
        <f>"1552382783778828"</f>
        <v>1552382783778828</v>
      </c>
      <c r="C633" t="s">
        <v>40</v>
      </c>
      <c r="D633">
        <v>3.1728719999999999</v>
      </c>
      <c r="E633">
        <v>0.51350150000000006</v>
      </c>
      <c r="F633" t="s">
        <v>43</v>
      </c>
      <c r="G633">
        <v>-289.32409999999999</v>
      </c>
      <c r="H633">
        <v>-0.05</v>
      </c>
      <c r="I633">
        <v>364.84840000000003</v>
      </c>
      <c r="J633">
        <v>-313.36540000000002</v>
      </c>
      <c r="K633">
        <v>1.0638339999999999</v>
      </c>
      <c r="L633">
        <v>367.03219999999999</v>
      </c>
      <c r="M633">
        <v>0.9998766</v>
      </c>
      <c r="N633">
        <v>0</v>
      </c>
      <c r="O633">
        <v>1.0958859999999999E-3</v>
      </c>
      <c r="P633">
        <v>0.9878654</v>
      </c>
      <c r="Q633">
        <v>0.14473129999999901</v>
      </c>
      <c r="R633">
        <v>-5.634596E-2</v>
      </c>
      <c r="S633">
        <v>3.041534</v>
      </c>
      <c r="T633">
        <v>-0.13956789999999999</v>
      </c>
      <c r="U633">
        <v>-0.27349849999999998</v>
      </c>
      <c r="V633">
        <v>5.7634770000000002E-2</v>
      </c>
      <c r="W633">
        <v>0.1601167</v>
      </c>
      <c r="X633">
        <v>0.98541409999999996</v>
      </c>
      <c r="Y633">
        <v>9.0555769999999994E-2</v>
      </c>
      <c r="Z633">
        <v>-2.1225800000000002E-3</v>
      </c>
      <c r="AA633">
        <v>0.99588909999999997</v>
      </c>
      <c r="AB633">
        <v>27</v>
      </c>
      <c r="AC633">
        <v>24.0413</v>
      </c>
      <c r="AD633">
        <v>-1.113834</v>
      </c>
      <c r="AE633">
        <v>-2.1837999999999602</v>
      </c>
      <c r="AF633">
        <v>2.2054532469063099</v>
      </c>
      <c r="AG633">
        <v>-1.113834</v>
      </c>
      <c r="AH633">
        <v>23.9878242623681</v>
      </c>
      <c r="AI633">
        <v>92.647373287935494</v>
      </c>
      <c r="AJ633">
        <v>84.746963928329905</v>
      </c>
      <c r="AK633">
        <v>24.114733318991998</v>
      </c>
      <c r="AL633">
        <v>80.786330369358097</v>
      </c>
      <c r="AM633">
        <v>86.652705366805804</v>
      </c>
      <c r="AN633">
        <v>1.0000000364053201</v>
      </c>
    </row>
    <row r="634" spans="1:40" x14ac:dyDescent="0.25">
      <c r="A634" t="str">
        <f>"20190312172623812"</f>
        <v>20190312172623812</v>
      </c>
      <c r="B634" t="str">
        <f>"1552382783809606"</f>
        <v>1552382783809606</v>
      </c>
      <c r="C634" t="s">
        <v>40</v>
      </c>
      <c r="D634">
        <v>3.1705040000000002</v>
      </c>
      <c r="E634">
        <v>0.5135883</v>
      </c>
      <c r="F634" t="s">
        <v>43</v>
      </c>
      <c r="G634">
        <v>-288.45600000000002</v>
      </c>
      <c r="H634">
        <v>-0.05</v>
      </c>
      <c r="I634">
        <v>364.76569999999998</v>
      </c>
      <c r="J634">
        <v>-313.08690000000001</v>
      </c>
      <c r="K634">
        <v>1.063123</v>
      </c>
      <c r="L634">
        <v>367.03179999999998</v>
      </c>
      <c r="M634">
        <v>0.99988440000000001</v>
      </c>
      <c r="N634">
        <v>0</v>
      </c>
      <c r="O634">
        <v>4.2162230000000002E-4</v>
      </c>
      <c r="P634">
        <v>0.98779810000000001</v>
      </c>
      <c r="Q634">
        <v>0.14446049999999999</v>
      </c>
      <c r="R634">
        <v>-5.8192929999999997E-2</v>
      </c>
      <c r="S634">
        <v>3.0410159999999999</v>
      </c>
      <c r="T634">
        <v>-0.13597999999999999</v>
      </c>
      <c r="U634">
        <v>-0.27670289999999997</v>
      </c>
      <c r="V634">
        <v>5.8808310000000003E-2</v>
      </c>
      <c r="W634">
        <v>0.1593946</v>
      </c>
      <c r="X634">
        <v>0.98546180000000005</v>
      </c>
      <c r="Y634">
        <v>9.0945330000000005E-2</v>
      </c>
      <c r="Z634">
        <v>-2.0469339999999998E-3</v>
      </c>
      <c r="AA634">
        <v>0.99585380000000001</v>
      </c>
      <c r="AB634">
        <v>27</v>
      </c>
      <c r="AC634">
        <v>24.6309</v>
      </c>
      <c r="AD634">
        <v>-1.1131229999999901</v>
      </c>
      <c r="AE634">
        <v>-2.26609999999999</v>
      </c>
      <c r="AF634">
        <v>2.2718849427207402</v>
      </c>
      <c r="AG634">
        <v>-1.1131229999999901</v>
      </c>
      <c r="AH634">
        <v>24.580162831148701</v>
      </c>
      <c r="AI634">
        <v>92.581901969848801</v>
      </c>
      <c r="AJ634">
        <v>84.719293148327395</v>
      </c>
      <c r="AK634">
        <v>24.710016366078602</v>
      </c>
      <c r="AL634">
        <v>80.828241671712803</v>
      </c>
      <c r="AM634">
        <v>86.584873516479902</v>
      </c>
      <c r="AN634">
        <v>1.0000000075467199</v>
      </c>
    </row>
    <row r="635" spans="1:40" x14ac:dyDescent="0.25">
      <c r="A635" t="str">
        <f>"20190312172623833"</f>
        <v>20190312172623833</v>
      </c>
      <c r="B635" t="str">
        <f>"1552382783829112"</f>
        <v>1552382783829112</v>
      </c>
      <c r="C635" t="s">
        <v>40</v>
      </c>
      <c r="D635">
        <v>3.275709</v>
      </c>
      <c r="E635">
        <v>0.53623859999999901</v>
      </c>
      <c r="F635" t="s">
        <v>43</v>
      </c>
      <c r="G635">
        <v>-288.28489999999999</v>
      </c>
      <c r="H635">
        <v>-0.05</v>
      </c>
      <c r="I635">
        <v>364.71519999999998</v>
      </c>
      <c r="J635">
        <v>-312.82589999999999</v>
      </c>
      <c r="K635">
        <v>1.0625519999999999</v>
      </c>
      <c r="L635">
        <v>367.03120000000001</v>
      </c>
      <c r="M635">
        <v>0.99989019999999995</v>
      </c>
      <c r="N635">
        <v>0</v>
      </c>
      <c r="O635">
        <v>-1.963321E-4</v>
      </c>
      <c r="P635">
        <v>0.98773180000000005</v>
      </c>
      <c r="Q635">
        <v>0.14417969999999999</v>
      </c>
      <c r="R635">
        <v>-5.9989639999999997E-2</v>
      </c>
      <c r="S635">
        <v>3.0402830000000001</v>
      </c>
      <c r="T635">
        <v>-0.1364486</v>
      </c>
      <c r="U635">
        <v>-0.283966099999999</v>
      </c>
      <c r="V635">
        <v>5.9986949999999997E-2</v>
      </c>
      <c r="W635">
        <v>0.1587356</v>
      </c>
      <c r="X635">
        <v>0.98549710000000001</v>
      </c>
      <c r="Y635">
        <v>9.2708600000000002E-2</v>
      </c>
      <c r="Z635">
        <v>-2.066048E-3</v>
      </c>
      <c r="AA635">
        <v>0.99569110000000005</v>
      </c>
      <c r="AB635">
        <v>27</v>
      </c>
      <c r="AC635">
        <v>24.541</v>
      </c>
      <c r="AD635">
        <v>-1.112552</v>
      </c>
      <c r="AE635">
        <v>-2.31600000000003</v>
      </c>
      <c r="AF635">
        <v>2.30648278010035</v>
      </c>
      <c r="AG635">
        <v>-1.112552</v>
      </c>
      <c r="AH635">
        <v>24.491563324136699</v>
      </c>
      <c r="AI635">
        <v>92.589484110930698</v>
      </c>
      <c r="AJ635">
        <v>84.620061003677407</v>
      </c>
      <c r="AK635">
        <v>24.6250747984204</v>
      </c>
      <c r="AL635">
        <v>80.866486262186996</v>
      </c>
      <c r="AM635">
        <v>86.516718683863303</v>
      </c>
      <c r="AN635">
        <v>0.99999997949303598</v>
      </c>
    </row>
    <row r="636" spans="1:40" x14ac:dyDescent="0.25">
      <c r="A636" t="str">
        <f>"20190312172623856"</f>
        <v>20190312172623856</v>
      </c>
      <c r="B636" t="str">
        <f>"1552382783849610"</f>
        <v>1552382783849610</v>
      </c>
      <c r="C636" t="s">
        <v>40</v>
      </c>
      <c r="D636">
        <v>3.1677430000000002</v>
      </c>
      <c r="E636">
        <v>0.54704509999999995</v>
      </c>
      <c r="F636" t="s">
        <v>44</v>
      </c>
      <c r="G636">
        <v>-311.94639999999998</v>
      </c>
      <c r="H636">
        <v>0.94744490000000003</v>
      </c>
      <c r="I636">
        <v>366.89609999999999</v>
      </c>
      <c r="J636">
        <v>-312.55860000000001</v>
      </c>
      <c r="K636">
        <v>1.0620560000000001</v>
      </c>
      <c r="L636">
        <v>367.03050000000002</v>
      </c>
      <c r="M636">
        <v>0.99989490000000003</v>
      </c>
      <c r="N636">
        <v>0</v>
      </c>
      <c r="O636">
        <v>-8.1452670000000001E-4</v>
      </c>
      <c r="P636">
        <v>0.98767590000000005</v>
      </c>
      <c r="Q636">
        <v>0.14380029999999999</v>
      </c>
      <c r="R636">
        <v>-6.178807E-2</v>
      </c>
      <c r="S636">
        <v>3.0672609999999998</v>
      </c>
      <c r="T636">
        <v>-0.40152510000000002</v>
      </c>
      <c r="U636">
        <v>-0.47094730000000001</v>
      </c>
      <c r="V636">
        <v>6.1168260000000002E-2</v>
      </c>
      <c r="W636">
        <v>0.15800999999999901</v>
      </c>
      <c r="X636">
        <v>0.98554109999999995</v>
      </c>
      <c r="Y636">
        <v>0.14971509999999999</v>
      </c>
      <c r="Z636">
        <v>-9.5960320000000009E-3</v>
      </c>
      <c r="AA636">
        <v>0.98868259999999997</v>
      </c>
      <c r="AB636">
        <v>27</v>
      </c>
      <c r="AC636">
        <v>0.61220000000002905</v>
      </c>
      <c r="AD636">
        <v>-0.11461109999999899</v>
      </c>
      <c r="AE636">
        <v>-0.134400000000027</v>
      </c>
      <c r="AF636">
        <v>0.12956888631663199</v>
      </c>
      <c r="AG636">
        <v>-0.11461109999999899</v>
      </c>
      <c r="AH636">
        <v>0.592498065834831</v>
      </c>
      <c r="AI636">
        <v>100.701073188401</v>
      </c>
      <c r="AJ636">
        <v>77.664610267334695</v>
      </c>
      <c r="AK636">
        <v>0.61723395771988898</v>
      </c>
      <c r="AL636">
        <v>80.908591552865104</v>
      </c>
      <c r="AM636">
        <v>86.448455242723199</v>
      </c>
      <c r="AN636">
        <v>0.99999998796031797</v>
      </c>
    </row>
    <row r="637" spans="1:40" x14ac:dyDescent="0.25">
      <c r="A637" t="str">
        <f>"20190312172623877"</f>
        <v>20190312172623877</v>
      </c>
      <c r="B637" t="str">
        <f>"1552382783869127"</f>
        <v>1552382783869127</v>
      </c>
      <c r="C637" t="s">
        <v>40</v>
      </c>
      <c r="D637">
        <v>3.1608309999999999</v>
      </c>
      <c r="E637">
        <v>0.54708760000000001</v>
      </c>
      <c r="F637" t="s">
        <v>44</v>
      </c>
      <c r="G637">
        <v>-311.73430000000002</v>
      </c>
      <c r="H637">
        <v>0.88878559999999995</v>
      </c>
      <c r="I637">
        <v>366.87979999999999</v>
      </c>
      <c r="J637">
        <v>-312.2903</v>
      </c>
      <c r="K637">
        <v>1.0616350000000001</v>
      </c>
      <c r="L637">
        <v>367.02949999999998</v>
      </c>
      <c r="M637">
        <v>0.99989899999999998</v>
      </c>
      <c r="N637">
        <v>0</v>
      </c>
      <c r="O637">
        <v>-1.419254E-3</v>
      </c>
      <c r="P637">
        <v>0.98761290000000002</v>
      </c>
      <c r="Q637">
        <v>0.14351820000000001</v>
      </c>
      <c r="R637">
        <v>-6.3433100000000006E-2</v>
      </c>
      <c r="S637">
        <v>3.096924</v>
      </c>
      <c r="T637">
        <v>-0.65106299999999995</v>
      </c>
      <c r="U637">
        <v>-0.56454469999999901</v>
      </c>
      <c r="V637">
        <v>6.2209519999999997E-2</v>
      </c>
      <c r="W637">
        <v>0.15741350000000001</v>
      </c>
      <c r="X637">
        <v>0.98557139999999999</v>
      </c>
      <c r="Y637">
        <v>0.17428199999999999</v>
      </c>
      <c r="Z637">
        <v>-1.768523E-2</v>
      </c>
      <c r="AA637">
        <v>0.98453690000000005</v>
      </c>
      <c r="AB637">
        <v>27</v>
      </c>
      <c r="AC637">
        <v>0.55599999999998295</v>
      </c>
      <c r="AD637">
        <v>-0.17284939999999999</v>
      </c>
      <c r="AE637">
        <v>-0.149699999999995</v>
      </c>
      <c r="AF637">
        <v>0.13660101340342801</v>
      </c>
      <c r="AG637">
        <v>-0.17284939999999999</v>
      </c>
      <c r="AH637">
        <v>0.51023284586658602</v>
      </c>
      <c r="AI637">
        <v>108.12022184702499</v>
      </c>
      <c r="AJ637">
        <v>75.012098149612896</v>
      </c>
      <c r="AK637">
        <v>0.55576461649183795</v>
      </c>
      <c r="AL637">
        <v>80.943201820816398</v>
      </c>
      <c r="AM637">
        <v>86.388267172155096</v>
      </c>
      <c r="AN637">
        <v>1.0000000094294199</v>
      </c>
    </row>
    <row r="638" spans="1:40" x14ac:dyDescent="0.25">
      <c r="A638" t="str">
        <f>"20190312172623900"</f>
        <v>20190312172623900</v>
      </c>
      <c r="B638" t="str">
        <f>"1552382783889626"</f>
        <v>1552382783889626</v>
      </c>
      <c r="C638" t="s">
        <v>40</v>
      </c>
      <c r="D638">
        <v>3.2393399999999999</v>
      </c>
      <c r="E638">
        <v>0.54845829999999995</v>
      </c>
      <c r="F638" t="s">
        <v>44</v>
      </c>
      <c r="G638">
        <v>-311.49509999999998</v>
      </c>
      <c r="H638">
        <v>0.88763939999999997</v>
      </c>
      <c r="I638">
        <v>366.88279999999997</v>
      </c>
      <c r="J638">
        <v>-312.03179999999998</v>
      </c>
      <c r="K638">
        <v>1.0612919999999999</v>
      </c>
      <c r="L638">
        <v>367.02850000000001</v>
      </c>
      <c r="M638">
        <v>0.9999017</v>
      </c>
      <c r="N638">
        <v>0</v>
      </c>
      <c r="O638">
        <v>-1.9908080000000002E-3</v>
      </c>
      <c r="P638">
        <v>0.98764249999999998</v>
      </c>
      <c r="Q638">
        <v>0.14279040000000001</v>
      </c>
      <c r="R638">
        <v>-6.4603060000000004E-2</v>
      </c>
      <c r="S638">
        <v>3.0995180000000002</v>
      </c>
      <c r="T638">
        <v>-0.67820859999999905</v>
      </c>
      <c r="U638">
        <v>-0.57098389999999999</v>
      </c>
      <c r="V638">
        <v>6.2809630000000005E-2</v>
      </c>
      <c r="W638">
        <v>0.1564151</v>
      </c>
      <c r="X638">
        <v>0.98569229999999997</v>
      </c>
      <c r="Y638">
        <v>0.1752445</v>
      </c>
      <c r="Z638">
        <v>-1.8368760000000001E-2</v>
      </c>
      <c r="AA638">
        <v>0.98435349999999999</v>
      </c>
      <c r="AB638">
        <v>27</v>
      </c>
      <c r="AC638">
        <v>0.53669999999999596</v>
      </c>
      <c r="AD638">
        <v>-0.17365259999999899</v>
      </c>
      <c r="AE638">
        <v>-0.145700000000033</v>
      </c>
      <c r="AF638">
        <v>0.13178202132504199</v>
      </c>
      <c r="AG638">
        <v>-0.17365259999999899</v>
      </c>
      <c r="AH638">
        <v>0.489282586922272</v>
      </c>
      <c r="AI638">
        <v>108.916593967583</v>
      </c>
      <c r="AJ638">
        <v>74.925823988364201</v>
      </c>
      <c r="AK638">
        <v>0.53564837019879497</v>
      </c>
      <c r="AL638">
        <v>81.001123560759197</v>
      </c>
      <c r="AM638">
        <v>86.3539658604886</v>
      </c>
      <c r="AN638">
        <v>1.0000000217040099</v>
      </c>
    </row>
    <row r="639" spans="1:40" x14ac:dyDescent="0.25">
      <c r="A639" t="str">
        <f>"20190312172623921"</f>
        <v>20190312172623921</v>
      </c>
      <c r="B639" t="str">
        <f>"1552382783918903"</f>
        <v>1552382783918903</v>
      </c>
      <c r="C639" t="s">
        <v>40</v>
      </c>
      <c r="D639">
        <v>3.234216</v>
      </c>
      <c r="E639">
        <v>0.54890850000000002</v>
      </c>
      <c r="F639" t="s">
        <v>44</v>
      </c>
      <c r="G639">
        <v>-311.25569999999999</v>
      </c>
      <c r="H639">
        <v>0.88661060000000003</v>
      </c>
      <c r="I639">
        <v>366.88150000000002</v>
      </c>
      <c r="J639">
        <v>-311.76459999999997</v>
      </c>
      <c r="K639">
        <v>1.060986</v>
      </c>
      <c r="L639">
        <v>367.02719999999999</v>
      </c>
      <c r="M639">
        <v>0.99990400000000002</v>
      </c>
      <c r="N639">
        <v>0</v>
      </c>
      <c r="O639">
        <v>-2.5750310000000002E-3</v>
      </c>
      <c r="P639">
        <v>0.9876895</v>
      </c>
      <c r="Q639">
        <v>0.14221919999999999</v>
      </c>
      <c r="R639">
        <v>-6.5142999999999895E-2</v>
      </c>
      <c r="S639">
        <v>3.100098</v>
      </c>
      <c r="T639">
        <v>-0.69782639999999996</v>
      </c>
      <c r="U639">
        <v>-0.5859375</v>
      </c>
      <c r="V639">
        <v>6.2768459999999998E-2</v>
      </c>
      <c r="W639">
        <v>0.1555955</v>
      </c>
      <c r="X639">
        <v>0.98582460000000005</v>
      </c>
      <c r="Y639">
        <v>0.17892529999999901</v>
      </c>
      <c r="Z639">
        <v>-1.9153130000000001E-2</v>
      </c>
      <c r="AA639">
        <v>0.9836762</v>
      </c>
      <c r="AB639">
        <v>27</v>
      </c>
      <c r="AC639">
        <v>0.50889999999998203</v>
      </c>
      <c r="AD639">
        <v>-0.17437539999999899</v>
      </c>
      <c r="AE639">
        <v>-0.14569999999997599</v>
      </c>
      <c r="AF639">
        <v>0.13025438789211699</v>
      </c>
      <c r="AG639">
        <v>-0.17437539999999899</v>
      </c>
      <c r="AH639">
        <v>0.459419548797037</v>
      </c>
      <c r="AI639">
        <v>110.060325112078</v>
      </c>
      <c r="AJ639">
        <v>74.170934111856795</v>
      </c>
      <c r="AK639">
        <v>0.508369262944942</v>
      </c>
      <c r="AL639">
        <v>81.0486649914927</v>
      </c>
      <c r="AM639">
        <v>86.356836965747704</v>
      </c>
      <c r="AN639">
        <v>0.99999999057808997</v>
      </c>
    </row>
    <row r="640" spans="1:40" x14ac:dyDescent="0.25">
      <c r="A640" t="str">
        <f>"20190312172623945"</f>
        <v>20190312172623945</v>
      </c>
      <c r="B640" t="str">
        <f>"1552382783939399"</f>
        <v>1552382783939399</v>
      </c>
      <c r="C640" t="s">
        <v>40</v>
      </c>
      <c r="D640">
        <v>3.1657660000000001</v>
      </c>
      <c r="E640">
        <v>0.54877940000000003</v>
      </c>
      <c r="F640" t="s">
        <v>44</v>
      </c>
      <c r="G640">
        <v>-311.0145</v>
      </c>
      <c r="H640">
        <v>0.88974869999999995</v>
      </c>
      <c r="I640">
        <v>366.88389999999998</v>
      </c>
      <c r="J640">
        <v>-311.49079999999998</v>
      </c>
      <c r="K640">
        <v>1.0607279999999999</v>
      </c>
      <c r="L640">
        <v>367.02589999999998</v>
      </c>
      <c r="M640">
        <v>0.99990540000000006</v>
      </c>
      <c r="N640">
        <v>0</v>
      </c>
      <c r="O640">
        <v>-3.1698989999999999E-3</v>
      </c>
      <c r="P640">
        <v>0.98776750000000002</v>
      </c>
      <c r="Q640">
        <v>0.14144389999999901</v>
      </c>
      <c r="R640">
        <v>-6.5647650000000002E-2</v>
      </c>
      <c r="S640">
        <v>3.1002809999999998</v>
      </c>
      <c r="T640">
        <v>-0.70774209999999904</v>
      </c>
      <c r="U640">
        <v>-0.59149169999999995</v>
      </c>
      <c r="V640">
        <v>6.2682630000000003E-2</v>
      </c>
      <c r="W640">
        <v>0.15459500000000001</v>
      </c>
      <c r="X640">
        <v>0.98598750000000002</v>
      </c>
      <c r="Y640">
        <v>0.17990320000000001</v>
      </c>
      <c r="Z640">
        <v>-1.93908E-2</v>
      </c>
      <c r="AA640">
        <v>0.98349319999999896</v>
      </c>
      <c r="AB640">
        <v>27</v>
      </c>
      <c r="AC640">
        <v>0.47629999999998002</v>
      </c>
      <c r="AD640">
        <v>-0.1709793</v>
      </c>
      <c r="AE640">
        <v>-0.14199999999999499</v>
      </c>
      <c r="AF640">
        <v>0.12562268197850901</v>
      </c>
      <c r="AG640">
        <v>-0.1709793</v>
      </c>
      <c r="AH640">
        <v>0.42629810066213197</v>
      </c>
      <c r="AI640">
        <v>111.042864412477</v>
      </c>
      <c r="AJ640">
        <v>73.580665891379894</v>
      </c>
      <c r="AK640">
        <v>0.47617754029784398</v>
      </c>
      <c r="AL640">
        <v>81.106691997932501</v>
      </c>
      <c r="AM640">
        <v>86.362404731850603</v>
      </c>
      <c r="AN640">
        <v>1.0000000381424801</v>
      </c>
    </row>
    <row r="641" spans="1:40" x14ac:dyDescent="0.25">
      <c r="A641" t="str">
        <f>"20190312172623968"</f>
        <v>20190312172623968</v>
      </c>
      <c r="B641" t="str">
        <f>"1552382783958919"</f>
        <v>1552382783958919</v>
      </c>
      <c r="C641" t="s">
        <v>40</v>
      </c>
      <c r="D641">
        <v>3.1560229999999998</v>
      </c>
      <c r="E641">
        <v>0.54853090000000004</v>
      </c>
      <c r="F641" t="s">
        <v>44</v>
      </c>
      <c r="G641">
        <v>-310.77210000000002</v>
      </c>
      <c r="H641">
        <v>0.89531779999999905</v>
      </c>
      <c r="I641">
        <v>366.88819999999998</v>
      </c>
      <c r="J641">
        <v>-311.21249999999998</v>
      </c>
      <c r="K641">
        <v>1.0605</v>
      </c>
      <c r="L641">
        <v>367.02429999999998</v>
      </c>
      <c r="M641">
        <v>0.99990599999999996</v>
      </c>
      <c r="N641">
        <v>0</v>
      </c>
      <c r="O641">
        <v>-3.773116E-3</v>
      </c>
      <c r="P641">
        <v>0.98778359999999998</v>
      </c>
      <c r="Q641">
        <v>0.1412023</v>
      </c>
      <c r="R641">
        <v>-6.5920610000000004E-2</v>
      </c>
      <c r="S641">
        <v>3.099945</v>
      </c>
      <c r="T641">
        <v>-0.71359240000000002</v>
      </c>
      <c r="U641">
        <v>-0.59265140000000005</v>
      </c>
      <c r="V641">
        <v>6.2358650000000002E-2</v>
      </c>
      <c r="W641">
        <v>0.1541516</v>
      </c>
      <c r="X641">
        <v>0.98607739999999999</v>
      </c>
      <c r="Y641">
        <v>0.1796344</v>
      </c>
      <c r="Z641">
        <v>-1.9382369999999999E-2</v>
      </c>
      <c r="AA641">
        <v>0.98354249999999999</v>
      </c>
      <c r="AB641">
        <v>27</v>
      </c>
      <c r="AC641">
        <v>0.44039999999995399</v>
      </c>
      <c r="AD641">
        <v>-0.1651822</v>
      </c>
      <c r="AE641">
        <v>-0.136099999999999</v>
      </c>
      <c r="AF641">
        <v>0.119138021848735</v>
      </c>
      <c r="AG641">
        <v>-0.1651822</v>
      </c>
      <c r="AH641">
        <v>0.39073406756113099</v>
      </c>
      <c r="AI641">
        <v>112.016890163959</v>
      </c>
      <c r="AJ641">
        <v>73.043106258569097</v>
      </c>
      <c r="AK641">
        <v>0.440626983966865</v>
      </c>
      <c r="AL641">
        <v>81.132404641682996</v>
      </c>
      <c r="AM641">
        <v>86.3814848825197</v>
      </c>
      <c r="AN641">
        <v>0.99999997790157003</v>
      </c>
    </row>
    <row r="642" spans="1:40" x14ac:dyDescent="0.25">
      <c r="A642" t="str">
        <f>"20190312172623991"</f>
        <v>20190312172623991</v>
      </c>
      <c r="B642" t="str">
        <f>"1552382783979415"</f>
        <v>1552382783979415</v>
      </c>
      <c r="C642" t="s">
        <v>40</v>
      </c>
      <c r="D642">
        <v>3.1516350000000002</v>
      </c>
      <c r="E642">
        <v>0.54837840000000004</v>
      </c>
      <c r="F642" t="s">
        <v>44</v>
      </c>
      <c r="G642">
        <v>-310.30990000000003</v>
      </c>
      <c r="H642">
        <v>0.85217809999999905</v>
      </c>
      <c r="I642">
        <v>366.85169999999999</v>
      </c>
      <c r="J642">
        <v>-310.94349999999997</v>
      </c>
      <c r="K642">
        <v>1.0603209999999901</v>
      </c>
      <c r="L642">
        <v>367.02260000000001</v>
      </c>
      <c r="M642">
        <v>0.99990599999999996</v>
      </c>
      <c r="N642">
        <v>0</v>
      </c>
      <c r="O642">
        <v>-4.355467E-3</v>
      </c>
      <c r="P642">
        <v>0.98785919999999905</v>
      </c>
      <c r="Q642">
        <v>0.14067869999999999</v>
      </c>
      <c r="R642">
        <v>-6.5910170000000004E-2</v>
      </c>
      <c r="S642">
        <v>3.0999150000000002</v>
      </c>
      <c r="T642">
        <v>-0.71553290000000003</v>
      </c>
      <c r="U642">
        <v>-0.59167479999999995</v>
      </c>
      <c r="V642">
        <v>6.1771199999999998E-2</v>
      </c>
      <c r="W642">
        <v>0.1534529</v>
      </c>
      <c r="X642">
        <v>0.98622330000000002</v>
      </c>
      <c r="Y642">
        <v>0.17877709999999999</v>
      </c>
      <c r="Z642">
        <v>-1.9206150000000002E-2</v>
      </c>
      <c r="AA642">
        <v>0.98370210000000002</v>
      </c>
      <c r="AB642">
        <v>27</v>
      </c>
      <c r="AC642">
        <v>0.63359999999994399</v>
      </c>
      <c r="AD642">
        <v>-0.20814289999999899</v>
      </c>
      <c r="AE642">
        <v>-0.17090000000001701</v>
      </c>
      <c r="AF642">
        <v>0.152770034750769</v>
      </c>
      <c r="AG642">
        <v>-0.20814289999999899</v>
      </c>
      <c r="AH642">
        <v>0.57635750998546298</v>
      </c>
      <c r="AI642">
        <v>109.24309558741299</v>
      </c>
      <c r="AJ642">
        <v>75.154494576973406</v>
      </c>
      <c r="AK642">
        <v>0.63154582545908999</v>
      </c>
      <c r="AL642">
        <v>81.172918885128098</v>
      </c>
      <c r="AM642">
        <v>86.416012730200805</v>
      </c>
      <c r="AN642">
        <v>0.99999993556536704</v>
      </c>
    </row>
    <row r="643" spans="1:40" x14ac:dyDescent="0.25">
      <c r="A643" t="str">
        <f>"20190312172624024"</f>
        <v>20190312172624024</v>
      </c>
      <c r="B643" t="str">
        <f>"1552382784019431"</f>
        <v>1552382784019431</v>
      </c>
      <c r="C643" t="s">
        <v>40</v>
      </c>
      <c r="D643">
        <v>3.1641710000000001</v>
      </c>
      <c r="E643">
        <v>0.54796509999999998</v>
      </c>
      <c r="F643" t="s">
        <v>44</v>
      </c>
      <c r="G643">
        <v>-310.06779999999998</v>
      </c>
      <c r="H643">
        <v>0.85757490000000003</v>
      </c>
      <c r="I643">
        <v>366.85570000000001</v>
      </c>
      <c r="J643">
        <v>-310.54559999999998</v>
      </c>
      <c r="K643">
        <v>1.0601119999999999</v>
      </c>
      <c r="L643">
        <v>367.01979999999998</v>
      </c>
      <c r="M643">
        <v>0.99990489999999999</v>
      </c>
      <c r="N643">
        <v>0</v>
      </c>
      <c r="O643">
        <v>-5.2222179999999998E-3</v>
      </c>
      <c r="P643">
        <v>0.98775290000000004</v>
      </c>
      <c r="Q643">
        <v>0.14145559999999999</v>
      </c>
      <c r="R643">
        <v>-6.5842010000000006E-2</v>
      </c>
      <c r="S643">
        <v>3.099701</v>
      </c>
      <c r="T643">
        <v>-0.71768430000000005</v>
      </c>
      <c r="U643">
        <v>-0.59030150000000003</v>
      </c>
      <c r="V643">
        <v>6.0847449999999997E-2</v>
      </c>
      <c r="W643">
        <v>0.15399849999999901</v>
      </c>
      <c r="X643">
        <v>0.98619570000000001</v>
      </c>
      <c r="Y643">
        <v>0.17754320000000001</v>
      </c>
      <c r="Z643">
        <v>-1.8928380000000002E-2</v>
      </c>
      <c r="AA643">
        <v>0.98393090000000005</v>
      </c>
      <c r="AB643">
        <v>27</v>
      </c>
      <c r="AC643">
        <v>0.477800000000002</v>
      </c>
      <c r="AD643">
        <v>-0.2025371</v>
      </c>
      <c r="AE643">
        <v>-0.164099999999962</v>
      </c>
      <c r="AF643">
        <v>0.13922501797613099</v>
      </c>
      <c r="AG643">
        <v>-0.2025371</v>
      </c>
      <c r="AH643">
        <v>0.41237094384130701</v>
      </c>
      <c r="AI643">
        <v>114.954741741832</v>
      </c>
      <c r="AJ643">
        <v>71.344246657534896</v>
      </c>
      <c r="AK643">
        <v>0.48005695269565002</v>
      </c>
      <c r="AL643">
        <v>81.141282427015398</v>
      </c>
      <c r="AM643">
        <v>86.469373891422805</v>
      </c>
      <c r="AN643">
        <v>0.99999995443612</v>
      </c>
    </row>
    <row r="644" spans="1:40" x14ac:dyDescent="0.25">
      <c r="A644" t="str">
        <f>"20190312172624046"</f>
        <v>20190312172624046</v>
      </c>
      <c r="B644" t="str">
        <f>"1552382784038952"</f>
        <v>1552382784038952</v>
      </c>
      <c r="C644" t="s">
        <v>40</v>
      </c>
      <c r="D644">
        <v>3.1673849999999999</v>
      </c>
      <c r="E644">
        <v>0.54790159999999999</v>
      </c>
      <c r="F644" t="s">
        <v>44</v>
      </c>
      <c r="G644">
        <v>-309.81380000000001</v>
      </c>
      <c r="H644">
        <v>0.8914436</v>
      </c>
      <c r="I644">
        <v>366.88119999999998</v>
      </c>
      <c r="J644">
        <v>-310.26830000000001</v>
      </c>
      <c r="K644">
        <v>1.0599940000000001</v>
      </c>
      <c r="L644">
        <v>367.01769999999999</v>
      </c>
      <c r="M644">
        <v>0.99990330000000005</v>
      </c>
      <c r="N644">
        <v>0</v>
      </c>
      <c r="O644">
        <v>-5.8293090000000004E-3</v>
      </c>
      <c r="P644">
        <v>0.98767519999999998</v>
      </c>
      <c r="Q644">
        <v>0.1417041</v>
      </c>
      <c r="R644">
        <v>-6.64685E-2</v>
      </c>
      <c r="S644">
        <v>3.1004939999999999</v>
      </c>
      <c r="T644">
        <v>-0.71464729999999999</v>
      </c>
      <c r="U644">
        <v>-0.58557130000000002</v>
      </c>
      <c r="V644">
        <v>6.087443E-2</v>
      </c>
      <c r="W644">
        <v>0.15410739999999901</v>
      </c>
      <c r="X644">
        <v>0.98617710000000003</v>
      </c>
      <c r="Y644">
        <v>0.17555379999999901</v>
      </c>
      <c r="Z644">
        <v>-1.8486889999999999E-2</v>
      </c>
      <c r="AA644">
        <v>0.98429630000000001</v>
      </c>
      <c r="AB644">
        <v>27</v>
      </c>
      <c r="AC644">
        <v>0.45449999999999502</v>
      </c>
      <c r="AD644">
        <v>-0.16855039999999999</v>
      </c>
      <c r="AE644">
        <v>-0.136500000000012</v>
      </c>
      <c r="AF644">
        <v>0.11885457435447799</v>
      </c>
      <c r="AG644">
        <v>-0.16855039999999999</v>
      </c>
      <c r="AH644">
        <v>0.40428730173508798</v>
      </c>
      <c r="AI644">
        <v>111.80046936675799</v>
      </c>
      <c r="AJ644">
        <v>73.6174324981681</v>
      </c>
      <c r="AK644">
        <v>0.45385445853200801</v>
      </c>
      <c r="AL644">
        <v>81.134968206033193</v>
      </c>
      <c r="AM644">
        <v>86.467745909509006</v>
      </c>
      <c r="AN644">
        <v>1.0000000297634899</v>
      </c>
    </row>
    <row r="645" spans="1:40" x14ac:dyDescent="0.25">
      <c r="A645" t="str">
        <f>"20190312172624069"</f>
        <v>20190312172624069</v>
      </c>
      <c r="B645" t="str">
        <f>"1552382784059447"</f>
        <v>1552382784059447</v>
      </c>
      <c r="C645" t="s">
        <v>40</v>
      </c>
      <c r="D645">
        <v>3.1837</v>
      </c>
      <c r="E645">
        <v>0.54772829999999995</v>
      </c>
      <c r="F645" t="s">
        <v>44</v>
      </c>
      <c r="G645">
        <v>-309.57029999999997</v>
      </c>
      <c r="H645">
        <v>0.89910299999999999</v>
      </c>
      <c r="I645">
        <v>366.88549999999998</v>
      </c>
      <c r="J645">
        <v>-310.00670000000002</v>
      </c>
      <c r="K645">
        <v>1.059901</v>
      </c>
      <c r="L645">
        <v>367.01549999999997</v>
      </c>
      <c r="M645">
        <v>0.99990120000000005</v>
      </c>
      <c r="N645">
        <v>0</v>
      </c>
      <c r="O645">
        <v>-6.4023780000000002E-3</v>
      </c>
      <c r="P645">
        <v>0.98756730000000004</v>
      </c>
      <c r="Q645">
        <v>0.1423112</v>
      </c>
      <c r="R645">
        <v>-6.6771549999999999E-2</v>
      </c>
      <c r="S645">
        <v>3.1005250000000002</v>
      </c>
      <c r="T645">
        <v>-0.71461960000000002</v>
      </c>
      <c r="U645">
        <v>-0.58612059999999999</v>
      </c>
      <c r="V645">
        <v>6.0612640000000002E-2</v>
      </c>
      <c r="W645">
        <v>0.15459870000000001</v>
      </c>
      <c r="X645">
        <v>0.98611629999999995</v>
      </c>
      <c r="Y645">
        <v>0.17518120000000001</v>
      </c>
      <c r="Z645">
        <v>-1.8314460000000001E-2</v>
      </c>
      <c r="AA645">
        <v>0.98436579999999996</v>
      </c>
      <c r="AB645">
        <v>27</v>
      </c>
      <c r="AC645">
        <v>0.43640000000004803</v>
      </c>
      <c r="AD645">
        <v>-0.160797999999999</v>
      </c>
      <c r="AE645">
        <v>-0.12999999999999501</v>
      </c>
      <c r="AF645">
        <v>0.113099559727349</v>
      </c>
      <c r="AG645">
        <v>-0.160797999999999</v>
      </c>
      <c r="AH645">
        <v>0.38874657968547599</v>
      </c>
      <c r="AI645">
        <v>111.66123370528101</v>
      </c>
      <c r="AJ645">
        <v>73.778495604622094</v>
      </c>
      <c r="AK645">
        <v>0.43562760522225402</v>
      </c>
      <c r="AL645">
        <v>81.106477114600594</v>
      </c>
      <c r="AM645">
        <v>86.482681821083403</v>
      </c>
      <c r="AN645">
        <v>1.00000000364757</v>
      </c>
    </row>
    <row r="646" spans="1:40" x14ac:dyDescent="0.25">
      <c r="A646" t="str">
        <f>"20190312172624090"</f>
        <v>20190312172624090</v>
      </c>
      <c r="B646" t="str">
        <f>"1552382784078968"</f>
        <v>1552382784078968</v>
      </c>
      <c r="C646" t="s">
        <v>40</v>
      </c>
      <c r="D646">
        <v>3.2059799999999998</v>
      </c>
      <c r="E646">
        <v>0.54762149999999998</v>
      </c>
      <c r="F646" t="s">
        <v>44</v>
      </c>
      <c r="G646">
        <v>-309.1087</v>
      </c>
      <c r="H646">
        <v>0.85361209999999899</v>
      </c>
      <c r="I646">
        <v>366.84559999999999</v>
      </c>
      <c r="J646">
        <v>-309.74419999999998</v>
      </c>
      <c r="K646">
        <v>1.059825</v>
      </c>
      <c r="L646">
        <v>367.01310000000001</v>
      </c>
      <c r="M646">
        <v>0.99989859999999997</v>
      </c>
      <c r="N646">
        <v>0</v>
      </c>
      <c r="O646">
        <v>-6.9773430000000004E-3</v>
      </c>
      <c r="P646">
        <v>0.98745729999999998</v>
      </c>
      <c r="Q646">
        <v>0.14262259999999999</v>
      </c>
      <c r="R646">
        <v>-6.7725069999999998E-2</v>
      </c>
      <c r="S646">
        <v>3.1007690000000001</v>
      </c>
      <c r="T646">
        <v>-0.71231339999999999</v>
      </c>
      <c r="U646">
        <v>-0.58578490000000005</v>
      </c>
      <c r="V646">
        <v>6.0999579999999998E-2</v>
      </c>
      <c r="W646">
        <v>0.1548079</v>
      </c>
      <c r="X646">
        <v>0.98605960000000004</v>
      </c>
      <c r="Y646">
        <v>0.1745565</v>
      </c>
      <c r="Z646">
        <v>-1.805613E-2</v>
      </c>
      <c r="AA646">
        <v>0.98448159999999896</v>
      </c>
      <c r="AB646">
        <v>27</v>
      </c>
      <c r="AC646">
        <v>0.63549999999997897</v>
      </c>
      <c r="AD646">
        <v>-0.2062129</v>
      </c>
      <c r="AE646">
        <v>-0.167500000000018</v>
      </c>
      <c r="AF646">
        <v>0.148446388676438</v>
      </c>
      <c r="AG646">
        <v>-0.2062129</v>
      </c>
      <c r="AH646">
        <v>0.57959051588112498</v>
      </c>
      <c r="AI646">
        <v>109.017299925077</v>
      </c>
      <c r="AJ646">
        <v>75.634056495193306</v>
      </c>
      <c r="AK646">
        <v>0.632839044731624</v>
      </c>
      <c r="AL646">
        <v>81.094344605978407</v>
      </c>
      <c r="AM646">
        <v>86.460081793620503</v>
      </c>
      <c r="AN646">
        <v>0.99999998470737295</v>
      </c>
    </row>
    <row r="647" spans="1:40" x14ac:dyDescent="0.25">
      <c r="A647" t="str">
        <f>"20190312172624113"</f>
        <v>20190312172624113</v>
      </c>
      <c r="B647" t="str">
        <f>"1552382784109223"</f>
        <v>1552382784109223</v>
      </c>
      <c r="C647" t="s">
        <v>40</v>
      </c>
      <c r="D647">
        <v>3.1688329999999998</v>
      </c>
      <c r="E647">
        <v>0.5475274</v>
      </c>
      <c r="F647" t="s">
        <v>44</v>
      </c>
      <c r="G647">
        <v>-308.86680000000001</v>
      </c>
      <c r="H647">
        <v>0.85776649999999999</v>
      </c>
      <c r="I647">
        <v>366.84660000000002</v>
      </c>
      <c r="J647">
        <v>-309.47879999999998</v>
      </c>
      <c r="K647">
        <v>1.0597589999999999</v>
      </c>
      <c r="L647">
        <v>367.01069999999999</v>
      </c>
      <c r="M647">
        <v>0.9998956</v>
      </c>
      <c r="N647">
        <v>0</v>
      </c>
      <c r="O647">
        <v>-7.5589400000000001E-3</v>
      </c>
      <c r="P647">
        <v>0.98734500000000003</v>
      </c>
      <c r="Q647">
        <v>0.14284530000000001</v>
      </c>
      <c r="R647">
        <v>-6.8886610000000001E-2</v>
      </c>
      <c r="S647">
        <v>3.1009519999999999</v>
      </c>
      <c r="T647">
        <v>-0.71410799999999997</v>
      </c>
      <c r="U647">
        <v>-0.58758540000000004</v>
      </c>
      <c r="V647">
        <v>6.1587650000000001E-2</v>
      </c>
      <c r="W647">
        <v>0.1549384</v>
      </c>
      <c r="X647">
        <v>0.98600259999999995</v>
      </c>
      <c r="Y647">
        <v>0.17452119999999999</v>
      </c>
      <c r="Z647">
        <v>-1.796352E-2</v>
      </c>
      <c r="AA647">
        <v>0.98448959999999996</v>
      </c>
      <c r="AB647">
        <v>27</v>
      </c>
      <c r="AC647">
        <v>0.61199999999996602</v>
      </c>
      <c r="AD647">
        <v>-0.20199249999999999</v>
      </c>
      <c r="AE647">
        <v>-0.164099999999962</v>
      </c>
      <c r="AF647">
        <v>0.14475744630784401</v>
      </c>
      <c r="AG647">
        <v>-0.20199249999999999</v>
      </c>
      <c r="AH647">
        <v>0.55665152165862697</v>
      </c>
      <c r="AI647">
        <v>109.350768559062</v>
      </c>
      <c r="AJ647">
        <v>75.423079415968601</v>
      </c>
      <c r="AK647">
        <v>0.60960364572620696</v>
      </c>
      <c r="AL647">
        <v>81.086776657109795</v>
      </c>
      <c r="AM647">
        <v>86.425836968093407</v>
      </c>
      <c r="AN647">
        <v>1.00000003681692</v>
      </c>
    </row>
    <row r="648" spans="1:40" x14ac:dyDescent="0.25">
      <c r="A648" t="str">
        <f>"20190312172624135"</f>
        <v>20190312172624135</v>
      </c>
      <c r="B648" t="str">
        <f>"1552382784129720"</f>
        <v>1552382784129720</v>
      </c>
      <c r="C648" t="s">
        <v>40</v>
      </c>
      <c r="D648">
        <v>3.1799659999999998</v>
      </c>
      <c r="E648">
        <v>0.54747480000000004</v>
      </c>
      <c r="F648" t="s">
        <v>44</v>
      </c>
      <c r="G648">
        <v>-308.62459999999999</v>
      </c>
      <c r="H648">
        <v>0.86236309999999905</v>
      </c>
      <c r="I648">
        <v>366.84809999999999</v>
      </c>
      <c r="J648">
        <v>-309.20609999999999</v>
      </c>
      <c r="K648">
        <v>1.0597049999999999</v>
      </c>
      <c r="L648">
        <v>367.00779999999997</v>
      </c>
      <c r="M648">
        <v>0.999892</v>
      </c>
      <c r="N648">
        <v>0</v>
      </c>
      <c r="O648">
        <v>-8.1560959999999998E-3</v>
      </c>
      <c r="P648">
        <v>0.98722730000000003</v>
      </c>
      <c r="Q648">
        <v>0.14320339999999901</v>
      </c>
      <c r="R648">
        <v>-6.9822910000000002E-2</v>
      </c>
      <c r="S648">
        <v>3.101013</v>
      </c>
      <c r="T648">
        <v>-0.71660970000000002</v>
      </c>
      <c r="U648">
        <v>-0.58966059999999998</v>
      </c>
      <c r="V648">
        <v>6.193543E-2</v>
      </c>
      <c r="W648">
        <v>0.15521299999999999</v>
      </c>
      <c r="X648">
        <v>0.98593759999999997</v>
      </c>
      <c r="Y648">
        <v>0.17455209999999999</v>
      </c>
      <c r="Z648">
        <v>-1.7891959999999998E-2</v>
      </c>
      <c r="AA648">
        <v>0.98448539999999995</v>
      </c>
      <c r="AB648">
        <v>27</v>
      </c>
      <c r="AC648">
        <v>0.58150000000000501</v>
      </c>
      <c r="AD648">
        <v>-0.19734189999999999</v>
      </c>
      <c r="AE648">
        <v>-0.15969999999998599</v>
      </c>
      <c r="AF648">
        <v>0.13996260615681899</v>
      </c>
      <c r="AG648">
        <v>-0.19734189999999999</v>
      </c>
      <c r="AH648">
        <v>0.52640880346310903</v>
      </c>
      <c r="AI648">
        <v>109.915253253703</v>
      </c>
      <c r="AJ648">
        <v>75.110566299093307</v>
      </c>
      <c r="AK648">
        <v>0.57934409894403904</v>
      </c>
      <c r="AL648">
        <v>81.070850348594107</v>
      </c>
      <c r="AM648">
        <v>86.405470407849407</v>
      </c>
      <c r="AN648">
        <v>1.00000001197602</v>
      </c>
    </row>
    <row r="649" spans="1:40" x14ac:dyDescent="0.25">
      <c r="A649" t="str">
        <f>"20190312172624158"</f>
        <v>20190312172624158</v>
      </c>
      <c r="B649" t="str">
        <f>"1552382784149239"</f>
        <v>1552382784149239</v>
      </c>
      <c r="C649" t="s">
        <v>40</v>
      </c>
      <c r="D649">
        <v>3.1974990000000001</v>
      </c>
      <c r="E649">
        <v>0.54744749999999998</v>
      </c>
      <c r="F649" t="s">
        <v>44</v>
      </c>
      <c r="G649">
        <v>-308.38159999999999</v>
      </c>
      <c r="H649">
        <v>0.86904230000000005</v>
      </c>
      <c r="I649">
        <v>366.84989999999999</v>
      </c>
      <c r="J649">
        <v>-308.93680000000001</v>
      </c>
      <c r="K649">
        <v>1.059661</v>
      </c>
      <c r="L649">
        <v>367.005</v>
      </c>
      <c r="M649">
        <v>0.99988790000000005</v>
      </c>
      <c r="N649">
        <v>0</v>
      </c>
      <c r="O649">
        <v>-8.7459169999999902E-3</v>
      </c>
      <c r="P649">
        <v>0.98716680000000001</v>
      </c>
      <c r="Q649">
        <v>0.14328759999999999</v>
      </c>
      <c r="R649">
        <v>-7.0504670000000005E-2</v>
      </c>
      <c r="S649">
        <v>3.1009519999999999</v>
      </c>
      <c r="T649">
        <v>-0.71707369999999904</v>
      </c>
      <c r="U649">
        <v>-0.59225459999999996</v>
      </c>
      <c r="V649">
        <v>6.2034949999999998E-2</v>
      </c>
      <c r="W649">
        <v>0.1552239</v>
      </c>
      <c r="X649">
        <v>0.98592959999999996</v>
      </c>
      <c r="Y649">
        <v>0.1747746</v>
      </c>
      <c r="Z649">
        <v>-1.7794040000000001E-2</v>
      </c>
      <c r="AA649">
        <v>0.98444770000000004</v>
      </c>
      <c r="AB649">
        <v>27</v>
      </c>
      <c r="AC649">
        <v>0.55520000000001302</v>
      </c>
      <c r="AD649">
        <v>-0.190618699999999</v>
      </c>
      <c r="AE649">
        <v>-0.15510000000000401</v>
      </c>
      <c r="AF649">
        <v>0.13542951208933901</v>
      </c>
      <c r="AG649">
        <v>-0.190618699999999</v>
      </c>
      <c r="AH649">
        <v>0.50167949429206005</v>
      </c>
      <c r="AI649">
        <v>110.144548074912</v>
      </c>
      <c r="AJ649">
        <v>74.892974480919406</v>
      </c>
      <c r="AK649">
        <v>0.55349702485883701</v>
      </c>
      <c r="AL649">
        <v>81.070217921150103</v>
      </c>
      <c r="AM649">
        <v>86.399680635983302</v>
      </c>
      <c r="AN649">
        <v>0.999999985154436</v>
      </c>
    </row>
    <row r="650" spans="1:40" x14ac:dyDescent="0.25">
      <c r="A650" t="str">
        <f>"20190312172624180"</f>
        <v>20190312172624180</v>
      </c>
      <c r="B650" t="str">
        <f>"1552382784169739"</f>
        <v>1552382784169739</v>
      </c>
      <c r="C650" t="s">
        <v>40</v>
      </c>
      <c r="D650">
        <v>3.4342109999999999</v>
      </c>
      <c r="E650">
        <v>0.54740409999999995</v>
      </c>
      <c r="F650" t="s">
        <v>44</v>
      </c>
      <c r="G650">
        <v>-308.1388</v>
      </c>
      <c r="H650">
        <v>0.87491790000000003</v>
      </c>
      <c r="I650">
        <v>366.8519</v>
      </c>
      <c r="J650">
        <v>-308.6703</v>
      </c>
      <c r="K650">
        <v>1.059617</v>
      </c>
      <c r="L650">
        <v>367.00200000000001</v>
      </c>
      <c r="M650">
        <v>0.99988339999999998</v>
      </c>
      <c r="N650">
        <v>0</v>
      </c>
      <c r="O650">
        <v>-9.3288490000000002E-3</v>
      </c>
      <c r="P650">
        <v>0.98715140000000001</v>
      </c>
      <c r="Q650">
        <v>0.1432042</v>
      </c>
      <c r="R650">
        <v>-7.0885390000000006E-2</v>
      </c>
      <c r="S650">
        <v>3.1008300000000002</v>
      </c>
      <c r="T650">
        <v>-0.71794060000000004</v>
      </c>
      <c r="U650">
        <v>-0.59414669999999903</v>
      </c>
      <c r="V650">
        <v>6.1840039999999999E-2</v>
      </c>
      <c r="W650">
        <v>0.15507219999999999</v>
      </c>
      <c r="X650">
        <v>0.98596569999999994</v>
      </c>
      <c r="Y650">
        <v>0.17479239999999999</v>
      </c>
      <c r="Z650">
        <v>-1.7684709999999999E-2</v>
      </c>
      <c r="AA650">
        <v>0.9844465</v>
      </c>
      <c r="AB650">
        <v>27</v>
      </c>
      <c r="AC650">
        <v>0.53149999999999398</v>
      </c>
      <c r="AD650">
        <v>-0.1846991</v>
      </c>
      <c r="AE650">
        <v>-0.15009999999995199</v>
      </c>
      <c r="AF650">
        <v>0.13053568208507199</v>
      </c>
      <c r="AG650">
        <v>-0.1846991</v>
      </c>
      <c r="AH650">
        <v>0.479275007496683</v>
      </c>
      <c r="AI650">
        <v>110.396513605918</v>
      </c>
      <c r="AJ650">
        <v>74.764431509150796</v>
      </c>
      <c r="AK650">
        <v>0.52996023874359699</v>
      </c>
      <c r="AL650">
        <v>81.079016088433704</v>
      </c>
      <c r="AM650">
        <v>86.411094069056006</v>
      </c>
      <c r="AN650">
        <v>0.99999996966826499</v>
      </c>
    </row>
    <row r="651" spans="1:40" x14ac:dyDescent="0.25">
      <c r="A651" t="str">
        <f>"20190312172624201"</f>
        <v>20190312172624201</v>
      </c>
      <c r="B651" t="str">
        <f>"1552382784189255"</f>
        <v>1552382784189255</v>
      </c>
      <c r="C651" t="s">
        <v>40</v>
      </c>
      <c r="D651">
        <v>3.2089379999999998</v>
      </c>
      <c r="E651">
        <v>0.54724719999999905</v>
      </c>
      <c r="F651" t="s">
        <v>44</v>
      </c>
      <c r="G651">
        <v>-307.89609999999999</v>
      </c>
      <c r="H651">
        <v>0.88014190000000003</v>
      </c>
      <c r="I651">
        <v>366.85289999999998</v>
      </c>
      <c r="J651">
        <v>-308.4101</v>
      </c>
      <c r="K651">
        <v>1.0595779999999999</v>
      </c>
      <c r="L651">
        <v>366.99900000000002</v>
      </c>
      <c r="M651">
        <v>0.99987859999999995</v>
      </c>
      <c r="N651">
        <v>0</v>
      </c>
      <c r="O651">
        <v>-9.8984720000000002E-3</v>
      </c>
      <c r="P651">
        <v>0.98712069999999996</v>
      </c>
      <c r="Q651">
        <v>0.14346689999999901</v>
      </c>
      <c r="R651">
        <v>-7.0779129999999996E-2</v>
      </c>
      <c r="S651">
        <v>3.1006469999999999</v>
      </c>
      <c r="T651">
        <v>-0.71884300000000001</v>
      </c>
      <c r="U651">
        <v>-0.59524540000000004</v>
      </c>
      <c r="V651">
        <v>6.11716E-2</v>
      </c>
      <c r="W651">
        <v>0.1552742</v>
      </c>
      <c r="X651">
        <v>0.98597559999999995</v>
      </c>
      <c r="Y651">
        <v>0.1745884</v>
      </c>
      <c r="Z651">
        <v>-1.755454E-2</v>
      </c>
      <c r="AA651">
        <v>0.98448500000000005</v>
      </c>
      <c r="AB651">
        <v>27</v>
      </c>
      <c r="AC651">
        <v>0.51400000000001</v>
      </c>
      <c r="AD651">
        <v>-0.17943609999999999</v>
      </c>
      <c r="AE651">
        <v>-0.146100000000046</v>
      </c>
      <c r="AF651">
        <v>0.12671627052173501</v>
      </c>
      <c r="AG651">
        <v>-0.17943609999999999</v>
      </c>
      <c r="AH651">
        <v>0.46319205751418202</v>
      </c>
      <c r="AI651">
        <v>110.488700160221</v>
      </c>
      <c r="AJ651">
        <v>74.69985469593</v>
      </c>
      <c r="AK651">
        <v>0.51264140424117999</v>
      </c>
      <c r="AL651">
        <v>81.067300370396296</v>
      </c>
      <c r="AM651">
        <v>86.449822989423396</v>
      </c>
      <c r="AN651">
        <v>0.99999996281377901</v>
      </c>
    </row>
    <row r="652" spans="1:40" x14ac:dyDescent="0.25">
      <c r="A652" t="str">
        <f>"20190312172624225"</f>
        <v>20190312172624225</v>
      </c>
      <c r="B652" t="str">
        <f>"1552382784219512"</f>
        <v>1552382784219512</v>
      </c>
      <c r="C652" t="s">
        <v>40</v>
      </c>
      <c r="D652">
        <v>3.2148349999999999</v>
      </c>
      <c r="E652">
        <v>0.54703919999999995</v>
      </c>
      <c r="F652" t="s">
        <v>44</v>
      </c>
      <c r="G652">
        <v>-307.65350000000001</v>
      </c>
      <c r="H652">
        <v>0.88441840000000005</v>
      </c>
      <c r="I652">
        <v>366.8537</v>
      </c>
      <c r="J652">
        <v>-308.12869999999998</v>
      </c>
      <c r="K652">
        <v>1.059553</v>
      </c>
      <c r="L652">
        <v>366.99549999999999</v>
      </c>
      <c r="M652">
        <v>0.99987300000000001</v>
      </c>
      <c r="N652">
        <v>0</v>
      </c>
      <c r="O652">
        <v>-1.051531E-2</v>
      </c>
      <c r="P652">
        <v>0.98700540000000003</v>
      </c>
      <c r="Q652">
        <v>0.14414160000000001</v>
      </c>
      <c r="R652">
        <v>-7.1018280000000003E-2</v>
      </c>
      <c r="S652">
        <v>3.1008300000000002</v>
      </c>
      <c r="T652">
        <v>-0.71790719999999997</v>
      </c>
      <c r="U652">
        <v>-0.59442139999999999</v>
      </c>
      <c r="V652">
        <v>6.080294E-2</v>
      </c>
      <c r="W652">
        <v>0.155889</v>
      </c>
      <c r="X652">
        <v>0.98590140000000004</v>
      </c>
      <c r="Y652">
        <v>0.17376620000000001</v>
      </c>
      <c r="Z652">
        <v>-1.7298910000000001E-2</v>
      </c>
      <c r="AA652">
        <v>0.98463500000000004</v>
      </c>
      <c r="AB652">
        <v>27</v>
      </c>
      <c r="AC652">
        <v>0.47519999999997198</v>
      </c>
      <c r="AD652">
        <v>-0.175134599999999</v>
      </c>
      <c r="AE652">
        <v>-0.14179999999998899</v>
      </c>
      <c r="AF652">
        <v>0.121625452198593</v>
      </c>
      <c r="AG652">
        <v>-0.175134599999999</v>
      </c>
      <c r="AH652">
        <v>0.42380654107362398</v>
      </c>
      <c r="AI652">
        <v>111.663396681165</v>
      </c>
      <c r="AJ652">
        <v>73.987398422039504</v>
      </c>
      <c r="AK652">
        <v>0.47442266281920098</v>
      </c>
      <c r="AL652">
        <v>81.031640799671393</v>
      </c>
      <c r="AM652">
        <v>86.470899532114302</v>
      </c>
      <c r="AN652">
        <v>0.99999997417780095</v>
      </c>
    </row>
    <row r="653" spans="1:40" x14ac:dyDescent="0.25">
      <c r="A653" t="str">
        <f>"20190312172624247"</f>
        <v>20190312172624247</v>
      </c>
      <c r="B653" t="str">
        <f>"1552382784239031"</f>
        <v>1552382784239031</v>
      </c>
      <c r="C653" t="s">
        <v>40</v>
      </c>
      <c r="D653">
        <v>3.2071749999999999</v>
      </c>
      <c r="E653">
        <v>0.54696099999999903</v>
      </c>
      <c r="F653" t="s">
        <v>44</v>
      </c>
      <c r="G653">
        <v>-307.40890000000002</v>
      </c>
      <c r="H653">
        <v>0.89325279999999996</v>
      </c>
      <c r="I653">
        <v>366.85730000000001</v>
      </c>
      <c r="J653">
        <v>-307.85120000000001</v>
      </c>
      <c r="K653">
        <v>1.059537</v>
      </c>
      <c r="L653">
        <v>366.99189999999999</v>
      </c>
      <c r="M653">
        <v>0.99986719999999896</v>
      </c>
      <c r="N653">
        <v>0</v>
      </c>
      <c r="O653">
        <v>-1.1123050000000001E-2</v>
      </c>
      <c r="P653">
        <v>0.98691629999999997</v>
      </c>
      <c r="Q653">
        <v>0.1445217</v>
      </c>
      <c r="R653">
        <v>-7.1482509999999999E-2</v>
      </c>
      <c r="S653">
        <v>3.1014710000000001</v>
      </c>
      <c r="T653">
        <v>-0.71662090000000001</v>
      </c>
      <c r="U653">
        <v>-0.59332280000000004</v>
      </c>
      <c r="V653">
        <v>6.0667939999999997E-2</v>
      </c>
      <c r="W653">
        <v>0.15621769999999999</v>
      </c>
      <c r="X653">
        <v>0.98585769999999995</v>
      </c>
      <c r="Y653">
        <v>0.172848799999999</v>
      </c>
      <c r="Z653">
        <v>-1.7024790000000001E-2</v>
      </c>
      <c r="AA653">
        <v>0.98480120000000004</v>
      </c>
      <c r="AB653">
        <v>27</v>
      </c>
      <c r="AC653">
        <v>0.44229999999998798</v>
      </c>
      <c r="AD653">
        <v>-0.16628419999999999</v>
      </c>
      <c r="AE653">
        <v>-0.13459999999997699</v>
      </c>
      <c r="AF653">
        <v>0.114818564160833</v>
      </c>
      <c r="AG653">
        <v>-0.16628419999999999</v>
      </c>
      <c r="AH653">
        <v>0.39293896141496898</v>
      </c>
      <c r="AI653">
        <v>112.10673001585</v>
      </c>
      <c r="AJ653">
        <v>73.7113955408268</v>
      </c>
      <c r="AK653">
        <v>0.44185378265153502</v>
      </c>
      <c r="AL653">
        <v>81.012574196325204</v>
      </c>
      <c r="AM653">
        <v>86.478559717032098</v>
      </c>
      <c r="AN653">
        <v>0.999999986693211</v>
      </c>
    </row>
    <row r="654" spans="1:40" x14ac:dyDescent="0.25">
      <c r="A654" t="str">
        <f>"20190312172624269"</f>
        <v>20190312172624269</v>
      </c>
      <c r="B654" t="str">
        <f>"1552382784259536"</f>
        <v>1552382784259536</v>
      </c>
      <c r="C654" t="s">
        <v>40</v>
      </c>
      <c r="D654">
        <v>3.2001970000000002</v>
      </c>
      <c r="E654">
        <v>0.54689390000000004</v>
      </c>
      <c r="F654" t="s">
        <v>44</v>
      </c>
      <c r="G654">
        <v>-307.16460000000001</v>
      </c>
      <c r="H654">
        <v>0.90103230000000001</v>
      </c>
      <c r="I654">
        <v>366.86020000000002</v>
      </c>
      <c r="J654">
        <v>-307.59030000000001</v>
      </c>
      <c r="K654">
        <v>1.059518</v>
      </c>
      <c r="L654">
        <v>366.98829999999998</v>
      </c>
      <c r="M654">
        <v>0.99986109999999995</v>
      </c>
      <c r="N654">
        <v>0</v>
      </c>
      <c r="O654">
        <v>-1.1692930000000001E-2</v>
      </c>
      <c r="P654">
        <v>0.98681359999999996</v>
      </c>
      <c r="Q654">
        <v>0.1453412</v>
      </c>
      <c r="R654">
        <v>-7.1238960000000004E-2</v>
      </c>
      <c r="S654">
        <v>3.1015630000000001</v>
      </c>
      <c r="T654">
        <v>-0.71584630000000005</v>
      </c>
      <c r="U654">
        <v>-0.59408570000000005</v>
      </c>
      <c r="V654">
        <v>5.9863689999999997E-2</v>
      </c>
      <c r="W654">
        <v>0.15699479999999999</v>
      </c>
      <c r="X654">
        <v>0.98578350000000003</v>
      </c>
      <c r="Y654">
        <v>0.1725476</v>
      </c>
      <c r="Z654">
        <v>-1.684335E-2</v>
      </c>
      <c r="AA654">
        <v>0.98485710000000004</v>
      </c>
      <c r="AB654">
        <v>27</v>
      </c>
      <c r="AC654">
        <v>0.42570000000000602</v>
      </c>
      <c r="AD654">
        <v>-0.15848569999999901</v>
      </c>
      <c r="AE654">
        <v>-0.12809999999996</v>
      </c>
      <c r="AF654">
        <v>0.109230592201312</v>
      </c>
      <c r="AG654">
        <v>-0.15848569999999901</v>
      </c>
      <c r="AH654">
        <v>0.37900001095012198</v>
      </c>
      <c r="AI654">
        <v>111.890899164147</v>
      </c>
      <c r="AJ654">
        <v>73.922629241129101</v>
      </c>
      <c r="AK654">
        <v>0.42507651979065098</v>
      </c>
      <c r="AL654">
        <v>80.967494144818701</v>
      </c>
      <c r="AM654">
        <v>86.524865942044698</v>
      </c>
      <c r="AN654">
        <v>1.00000006873985</v>
      </c>
    </row>
    <row r="655" spans="1:40" x14ac:dyDescent="0.25">
      <c r="A655" t="str">
        <f>"20190312172624290"</f>
        <v>20190312172624290</v>
      </c>
      <c r="B655" t="str">
        <f>"1552382784279047"</f>
        <v>1552382784279047</v>
      </c>
      <c r="C655" t="s">
        <v>40</v>
      </c>
      <c r="D655">
        <v>3.2468309999999998</v>
      </c>
      <c r="E655">
        <v>0.54687249999999998</v>
      </c>
      <c r="F655" t="s">
        <v>44</v>
      </c>
      <c r="G655">
        <v>-306.70240000000001</v>
      </c>
      <c r="H655">
        <v>0.85523879999999997</v>
      </c>
      <c r="I655">
        <v>366.81830000000002</v>
      </c>
      <c r="J655">
        <v>-307.33199999999999</v>
      </c>
      <c r="K655">
        <v>1.0595049999999999</v>
      </c>
      <c r="L655">
        <v>366.98469999999998</v>
      </c>
      <c r="M655">
        <v>0.99985480000000004</v>
      </c>
      <c r="N655">
        <v>0</v>
      </c>
      <c r="O655">
        <v>-1.225473E-2</v>
      </c>
      <c r="P655">
        <v>0.98684859999999996</v>
      </c>
      <c r="Q655">
        <v>0.1451713</v>
      </c>
      <c r="R655">
        <v>-7.1100120000000003E-2</v>
      </c>
      <c r="S655">
        <v>3.1023559999999999</v>
      </c>
      <c r="T655">
        <v>-0.7137772</v>
      </c>
      <c r="U655">
        <v>-0.59304809999999997</v>
      </c>
      <c r="V655">
        <v>5.9168940000000003E-2</v>
      </c>
      <c r="W655">
        <v>0.15678900000000001</v>
      </c>
      <c r="X655">
        <v>0.98585809999999996</v>
      </c>
      <c r="Y655">
        <v>0.17169100000000001</v>
      </c>
      <c r="Z655">
        <v>-1.6569420000000001E-2</v>
      </c>
      <c r="AA655">
        <v>0.98501150000000004</v>
      </c>
      <c r="AB655">
        <v>27</v>
      </c>
      <c r="AC655">
        <v>0.62959999999998195</v>
      </c>
      <c r="AD655">
        <v>-0.20426619999999901</v>
      </c>
      <c r="AE655">
        <v>-0.166399999999953</v>
      </c>
      <c r="AF655">
        <v>0.144458473952391</v>
      </c>
      <c r="AG655">
        <v>-0.20426619999999901</v>
      </c>
      <c r="AH655">
        <v>0.57501750312489397</v>
      </c>
      <c r="AI655">
        <v>109.010306651535</v>
      </c>
      <c r="AJ655">
        <v>75.897744888609793</v>
      </c>
      <c r="AK655">
        <v>0.62708696371323203</v>
      </c>
      <c r="AL655">
        <v>80.979432609861803</v>
      </c>
      <c r="AM655">
        <v>86.565358891429995</v>
      </c>
      <c r="AN655">
        <v>0.999999973658666</v>
      </c>
    </row>
    <row r="656" spans="1:40" x14ac:dyDescent="0.25">
      <c r="A656" t="str">
        <f>"20190312172624313"</f>
        <v>20190312172624313</v>
      </c>
      <c r="B656" t="str">
        <f>"1552382784309304"</f>
        <v>1552382784309304</v>
      </c>
      <c r="C656" t="s">
        <v>40</v>
      </c>
      <c r="D656">
        <v>3.2342979999999999</v>
      </c>
      <c r="E656">
        <v>0.5467959</v>
      </c>
      <c r="F656" t="s">
        <v>44</v>
      </c>
      <c r="G656">
        <v>-306.46010000000001</v>
      </c>
      <c r="H656">
        <v>0.858610399999999</v>
      </c>
      <c r="I656">
        <v>366.81779999999998</v>
      </c>
      <c r="J656">
        <v>-307.06139999999999</v>
      </c>
      <c r="K656">
        <v>1.0594980000000001</v>
      </c>
      <c r="L656">
        <v>366.98070000000001</v>
      </c>
      <c r="M656">
        <v>0.99984810000000002</v>
      </c>
      <c r="N656">
        <v>0</v>
      </c>
      <c r="O656">
        <v>-1.283919E-2</v>
      </c>
      <c r="P656">
        <v>0.98672899999999997</v>
      </c>
      <c r="Q656">
        <v>0.14600450000000001</v>
      </c>
      <c r="R656">
        <v>-7.1056869999999994E-2</v>
      </c>
      <c r="S656">
        <v>3.102417</v>
      </c>
      <c r="T656">
        <v>-0.71489380000000002</v>
      </c>
      <c r="U656">
        <v>-0.59298709999999999</v>
      </c>
      <c r="V656">
        <v>5.8550209999999998E-2</v>
      </c>
      <c r="W656">
        <v>0.15758810000000001</v>
      </c>
      <c r="X656">
        <v>0.98576770000000002</v>
      </c>
      <c r="Y656">
        <v>0.1711105</v>
      </c>
      <c r="Z656">
        <v>-1.639726E-2</v>
      </c>
      <c r="AA656">
        <v>0.98511539999999997</v>
      </c>
      <c r="AB656">
        <v>27</v>
      </c>
      <c r="AC656">
        <v>0.60129999999997996</v>
      </c>
      <c r="AD656">
        <v>-0.2008876</v>
      </c>
      <c r="AE656">
        <v>-0.16290000000003599</v>
      </c>
      <c r="AF656">
        <v>0.140550849859049</v>
      </c>
      <c r="AG656">
        <v>-0.2008876</v>
      </c>
      <c r="AH656">
        <v>0.54651363804327402</v>
      </c>
      <c r="AI656">
        <v>109.595520497013</v>
      </c>
      <c r="AJ656">
        <v>75.577380964552802</v>
      </c>
      <c r="AK656">
        <v>0.59898875264662199</v>
      </c>
      <c r="AL656">
        <v>80.933071887138098</v>
      </c>
      <c r="AM656">
        <v>86.6008793578455</v>
      </c>
      <c r="AN656">
        <v>1.00000004735797</v>
      </c>
    </row>
    <row r="657" spans="1:40" x14ac:dyDescent="0.25">
      <c r="A657" t="str">
        <f>"20190312172624335"</f>
        <v>20190312172624335</v>
      </c>
      <c r="B657" t="str">
        <f>"1552382784328824"</f>
        <v>1552382784328824</v>
      </c>
      <c r="C657" t="s">
        <v>40</v>
      </c>
      <c r="D657">
        <v>3.2888890000000002</v>
      </c>
      <c r="E657">
        <v>0.54674880000000003</v>
      </c>
      <c r="F657" t="s">
        <v>44</v>
      </c>
      <c r="G657">
        <v>-306.21640000000002</v>
      </c>
      <c r="H657">
        <v>0.86534179999999905</v>
      </c>
      <c r="I657">
        <v>366.81909999999999</v>
      </c>
      <c r="J657">
        <v>-306.79349999999999</v>
      </c>
      <c r="K657">
        <v>1.0594939999999999</v>
      </c>
      <c r="L657">
        <v>366.97660000000002</v>
      </c>
      <c r="M657">
        <v>0.99984090000000003</v>
      </c>
      <c r="N657">
        <v>0</v>
      </c>
      <c r="O657">
        <v>-1.3411960000000001E-2</v>
      </c>
      <c r="P657">
        <v>0.98656659999999996</v>
      </c>
      <c r="Q657">
        <v>0.14678339999999901</v>
      </c>
      <c r="R657">
        <v>-7.1704980000000001E-2</v>
      </c>
      <c r="S657">
        <v>3.1031490000000002</v>
      </c>
      <c r="T657">
        <v>-0.71303839999999996</v>
      </c>
      <c r="U657">
        <v>-0.59249879999999999</v>
      </c>
      <c r="V657">
        <v>5.8634029999999997E-2</v>
      </c>
      <c r="W657">
        <v>0.15833630000000001</v>
      </c>
      <c r="X657">
        <v>0.98564280000000004</v>
      </c>
      <c r="Y657">
        <v>0.17040839999999999</v>
      </c>
      <c r="Z657">
        <v>-1.6144619999999998E-2</v>
      </c>
      <c r="AA657">
        <v>0.98524120000000004</v>
      </c>
      <c r="AB657">
        <v>27</v>
      </c>
      <c r="AC657">
        <v>0.57709999999997297</v>
      </c>
      <c r="AD657">
        <v>-0.1941522</v>
      </c>
      <c r="AE657">
        <v>-0.15750000000002701</v>
      </c>
      <c r="AF657">
        <v>0.13547469520803801</v>
      </c>
      <c r="AG657">
        <v>-0.1941522</v>
      </c>
      <c r="AH657">
        <v>0.52396724148463703</v>
      </c>
      <c r="AI657">
        <v>109.735212742831</v>
      </c>
      <c r="AJ657">
        <v>75.503325704322194</v>
      </c>
      <c r="AK657">
        <v>0.57496968611881705</v>
      </c>
      <c r="AL657">
        <v>80.889657985428499</v>
      </c>
      <c r="AM657">
        <v>86.595594303827596</v>
      </c>
      <c r="AN657">
        <v>1.0000000312817801</v>
      </c>
    </row>
    <row r="658" spans="1:40" x14ac:dyDescent="0.25">
      <c r="A658" t="str">
        <f>"20190312172624358"</f>
        <v>20190312172624358</v>
      </c>
      <c r="B658" t="str">
        <f>"1552382784349319"</f>
        <v>1552382784349319</v>
      </c>
      <c r="C658" t="s">
        <v>40</v>
      </c>
      <c r="D658">
        <v>3.2820209999999999</v>
      </c>
      <c r="E658">
        <v>0.52124709999999996</v>
      </c>
      <c r="F658" t="s">
        <v>44</v>
      </c>
      <c r="G658">
        <v>-305.97280000000001</v>
      </c>
      <c r="H658">
        <v>0.87151730000000005</v>
      </c>
      <c r="I658">
        <v>366.8193</v>
      </c>
      <c r="J658">
        <v>-306.52069999999998</v>
      </c>
      <c r="K658">
        <v>1.0594920000000001</v>
      </c>
      <c r="L658">
        <v>366.97230000000002</v>
      </c>
      <c r="M658">
        <v>0.99983330000000004</v>
      </c>
      <c r="N658">
        <v>0</v>
      </c>
      <c r="O658">
        <v>-1.3981469999999999E-2</v>
      </c>
      <c r="P658">
        <v>0.98646920000000005</v>
      </c>
      <c r="Q658">
        <v>0.1472504</v>
      </c>
      <c r="R658">
        <v>-7.2082709999999994E-2</v>
      </c>
      <c r="S658">
        <v>3.1035460000000001</v>
      </c>
      <c r="T658">
        <v>-0.71100220000000003</v>
      </c>
      <c r="U658">
        <v>-0.59298709999999999</v>
      </c>
      <c r="V658">
        <v>5.8448340000000001E-2</v>
      </c>
      <c r="W658">
        <v>0.1587779</v>
      </c>
      <c r="X658">
        <v>0.98558279999999998</v>
      </c>
      <c r="Y658">
        <v>0.17002110000000001</v>
      </c>
      <c r="Z658">
        <v>-1.5926429999999998E-2</v>
      </c>
      <c r="AA658">
        <v>0.98531170000000001</v>
      </c>
      <c r="AB658">
        <v>27</v>
      </c>
      <c r="AC658">
        <v>0.54789999999996997</v>
      </c>
      <c r="AD658">
        <v>-0.18797469999999999</v>
      </c>
      <c r="AE658">
        <v>-0.15300000000001901</v>
      </c>
      <c r="AF658">
        <v>0.131018106476638</v>
      </c>
      <c r="AG658">
        <v>-0.18797469999999999</v>
      </c>
      <c r="AH658">
        <v>0.49584417054619501</v>
      </c>
      <c r="AI658">
        <v>110.12895541575701</v>
      </c>
      <c r="AJ658">
        <v>75.198873917237606</v>
      </c>
      <c r="AK658">
        <v>0.54622492942876399</v>
      </c>
      <c r="AL658">
        <v>80.864032102413304</v>
      </c>
      <c r="AM658">
        <v>86.606144473097601</v>
      </c>
      <c r="AN658">
        <v>1.0000000428164999</v>
      </c>
    </row>
    <row r="659" spans="1:40" x14ac:dyDescent="0.25">
      <c r="A659" t="str">
        <f>"20190312172624380"</f>
        <v>20190312172624380</v>
      </c>
      <c r="B659" t="str">
        <f>"1552382784368840"</f>
        <v>1552382784368840</v>
      </c>
      <c r="C659" t="s">
        <v>40</v>
      </c>
      <c r="D659">
        <v>3.2721580000000001</v>
      </c>
      <c r="E659">
        <v>0.51308350000000003</v>
      </c>
      <c r="F659" t="s">
        <v>44</v>
      </c>
      <c r="G659">
        <v>-305.69959999999998</v>
      </c>
      <c r="H659">
        <v>0.94089440000000002</v>
      </c>
      <c r="I659">
        <v>366.8682</v>
      </c>
      <c r="J659">
        <v>-306.2543</v>
      </c>
      <c r="K659">
        <v>1.0594939999999999</v>
      </c>
      <c r="L659">
        <v>366.96800000000002</v>
      </c>
      <c r="M659">
        <v>0.99982599999999999</v>
      </c>
      <c r="N659">
        <v>0</v>
      </c>
      <c r="O659">
        <v>-1.451383E-2</v>
      </c>
      <c r="P659">
        <v>0.98655800000000005</v>
      </c>
      <c r="Q659">
        <v>0.14663899999999999</v>
      </c>
      <c r="R659">
        <v>-7.2113419999999998E-2</v>
      </c>
      <c r="S659">
        <v>3.0791019999999998</v>
      </c>
      <c r="T659">
        <v>-0.44491229999999998</v>
      </c>
      <c r="U659">
        <v>-0.38958739999999997</v>
      </c>
      <c r="V659">
        <v>5.794552E-2</v>
      </c>
      <c r="W659">
        <v>0.1581485</v>
      </c>
      <c r="X659">
        <v>0.98571370000000003</v>
      </c>
      <c r="Y659">
        <v>0.11013530000000001</v>
      </c>
      <c r="Z659">
        <v>-5.8071119999999997E-3</v>
      </c>
      <c r="AA659">
        <v>0.99389959999999999</v>
      </c>
      <c r="AB659">
        <v>27</v>
      </c>
      <c r="AC659">
        <v>0.55470000000002495</v>
      </c>
      <c r="AD659">
        <v>-0.1185996</v>
      </c>
      <c r="AE659">
        <v>-9.9800000000016098E-2</v>
      </c>
      <c r="AF659">
        <v>8.7848133553085697E-2</v>
      </c>
      <c r="AG659">
        <v>-0.1185996</v>
      </c>
      <c r="AH659">
        <v>0.53251020885339695</v>
      </c>
      <c r="AI659">
        <v>102.393636626169</v>
      </c>
      <c r="AJ659">
        <v>80.632296147771697</v>
      </c>
      <c r="AK659">
        <v>0.55258509048110305</v>
      </c>
      <c r="AL659">
        <v>80.900555745252007</v>
      </c>
      <c r="AM659">
        <v>86.635719598627006</v>
      </c>
      <c r="AN659">
        <v>1.0000000648539999</v>
      </c>
    </row>
    <row r="660" spans="1:40" x14ac:dyDescent="0.25">
      <c r="A660" t="str">
        <f>"20190312172624402"</f>
        <v>20190312172624402</v>
      </c>
      <c r="B660" t="str">
        <f>"1552382784399096"</f>
        <v>1552382784399096</v>
      </c>
      <c r="C660" t="s">
        <v>40</v>
      </c>
      <c r="D660">
        <v>3.320989</v>
      </c>
      <c r="E660">
        <v>0.50810010000000005</v>
      </c>
      <c r="F660" t="s">
        <v>44</v>
      </c>
      <c r="G660">
        <v>-305.44170000000003</v>
      </c>
      <c r="H660">
        <v>0.97468359999999998</v>
      </c>
      <c r="I660">
        <v>366.88150000000002</v>
      </c>
      <c r="J660">
        <v>-305.98910000000001</v>
      </c>
      <c r="K660">
        <v>1.059509</v>
      </c>
      <c r="L660">
        <v>366.96359999999999</v>
      </c>
      <c r="M660">
        <v>0.99981889999999995</v>
      </c>
      <c r="N660">
        <v>0</v>
      </c>
      <c r="O660">
        <v>-1.5006230000000001E-2</v>
      </c>
      <c r="P660">
        <v>0.98660919999999996</v>
      </c>
      <c r="Q660">
        <v>0.146377799999999</v>
      </c>
      <c r="R660">
        <v>-7.1946029999999994E-2</v>
      </c>
      <c r="S660">
        <v>3.0647579999999999</v>
      </c>
      <c r="T660">
        <v>-0.32019029999999998</v>
      </c>
      <c r="U660">
        <v>-0.32455440000000002</v>
      </c>
      <c r="V660">
        <v>5.7280949999999997E-2</v>
      </c>
      <c r="W660">
        <v>0.1578725</v>
      </c>
      <c r="X660">
        <v>0.98579669999999997</v>
      </c>
      <c r="Y660">
        <v>8.9971010000000004E-2</v>
      </c>
      <c r="Z660">
        <v>-3.1151880000000001E-3</v>
      </c>
      <c r="AA660">
        <v>0.99593949999999998</v>
      </c>
      <c r="AB660">
        <v>27</v>
      </c>
      <c r="AC660">
        <v>0.54739999999998101</v>
      </c>
      <c r="AD660">
        <v>-8.4825399999999995E-2</v>
      </c>
      <c r="AE660">
        <v>-8.2099999999968504E-2</v>
      </c>
      <c r="AF660">
        <v>7.21806549692771E-2</v>
      </c>
      <c r="AG660">
        <v>-8.4825399999999995E-2</v>
      </c>
      <c r="AH660">
        <v>0.53598315563826504</v>
      </c>
      <c r="AI660">
        <v>98.913959263206394</v>
      </c>
      <c r="AJ660">
        <v>82.330142867730501</v>
      </c>
      <c r="AK660">
        <v>0.547433410165023</v>
      </c>
      <c r="AL660">
        <v>80.916569822466897</v>
      </c>
      <c r="AM660">
        <v>86.674496391681004</v>
      </c>
      <c r="AN660">
        <v>0.99999998361002096</v>
      </c>
    </row>
    <row r="661" spans="1:40" x14ac:dyDescent="0.25">
      <c r="A661" t="str">
        <f>"20190312172624426"</f>
        <v>20190312172624426</v>
      </c>
      <c r="B661" t="str">
        <f>"1552382784419592"</f>
        <v>1552382784419592</v>
      </c>
      <c r="C661" t="s">
        <v>40</v>
      </c>
      <c r="D661">
        <v>3.2761369999999999</v>
      </c>
      <c r="E661">
        <v>0.50694289999999997</v>
      </c>
      <c r="F661" t="s">
        <v>44</v>
      </c>
      <c r="G661">
        <v>-305.18779999999998</v>
      </c>
      <c r="H661">
        <v>0.99760470000000001</v>
      </c>
      <c r="I661">
        <v>366.88909999999998</v>
      </c>
      <c r="J661">
        <v>-305.70389999999998</v>
      </c>
      <c r="K661">
        <v>1.059539</v>
      </c>
      <c r="L661">
        <v>366.95870000000002</v>
      </c>
      <c r="M661">
        <v>0.99981200000000003</v>
      </c>
      <c r="N661">
        <v>0</v>
      </c>
      <c r="O661">
        <v>-1.547959E-2</v>
      </c>
      <c r="P661">
        <v>0.98658230000000002</v>
      </c>
      <c r="Q661">
        <v>0.146541</v>
      </c>
      <c r="R661">
        <v>-7.1982660000000004E-2</v>
      </c>
      <c r="S661">
        <v>3.0550229999999998</v>
      </c>
      <c r="T661">
        <v>-0.23598839999999999</v>
      </c>
      <c r="U661">
        <v>-0.28390500000000002</v>
      </c>
      <c r="V661">
        <v>5.683552E-2</v>
      </c>
      <c r="W661">
        <v>0.15802369999999999</v>
      </c>
      <c r="X661">
        <v>0.98579830000000002</v>
      </c>
      <c r="Y661">
        <v>7.692512E-2</v>
      </c>
      <c r="Z661">
        <v>-1.7690760000000001E-3</v>
      </c>
      <c r="AA661">
        <v>0.99703529999999996</v>
      </c>
      <c r="AB661">
        <v>27</v>
      </c>
      <c r="AC661">
        <v>0.51609999999999401</v>
      </c>
      <c r="AD661">
        <v>-6.1934300000000102E-2</v>
      </c>
      <c r="AE661">
        <v>-6.9600000000036702E-2</v>
      </c>
      <c r="AF661">
        <v>6.0742959769808098E-2</v>
      </c>
      <c r="AG661">
        <v>-6.1934300000000102E-2</v>
      </c>
      <c r="AH661">
        <v>0.50990361150271102</v>
      </c>
      <c r="AI661">
        <v>96.877224152577995</v>
      </c>
      <c r="AJ661">
        <v>83.206577145032995</v>
      </c>
      <c r="AK661">
        <v>0.51723037198292499</v>
      </c>
      <c r="AL661">
        <v>80.907796973087699</v>
      </c>
      <c r="AM661">
        <v>86.700304260967499</v>
      </c>
      <c r="AN661">
        <v>1.0000000271891201</v>
      </c>
    </row>
    <row r="662" spans="1:40" x14ac:dyDescent="0.25">
      <c r="A662" t="str">
        <f>"20190312172624449"</f>
        <v>20190312172624449</v>
      </c>
      <c r="B662" t="str">
        <f>"1552382784439112"</f>
        <v>1552382784439112</v>
      </c>
      <c r="C662" t="s">
        <v>40</v>
      </c>
      <c r="D662">
        <v>3.3254380000000001</v>
      </c>
      <c r="E662">
        <v>0.50591049999999904</v>
      </c>
      <c r="F662" t="s">
        <v>43</v>
      </c>
      <c r="G662">
        <v>-289.42959999999999</v>
      </c>
      <c r="H662">
        <v>-0.05</v>
      </c>
      <c r="I662">
        <v>365.49360000000001</v>
      </c>
      <c r="J662">
        <v>-305.42599999999999</v>
      </c>
      <c r="K662">
        <v>1.0595779999999999</v>
      </c>
      <c r="L662">
        <v>366.95389999999998</v>
      </c>
      <c r="M662">
        <v>0.99980599999999997</v>
      </c>
      <c r="N662">
        <v>0</v>
      </c>
      <c r="O662">
        <v>-1.5867699999999998E-2</v>
      </c>
      <c r="P662">
        <v>0.98661829999999995</v>
      </c>
      <c r="Q662">
        <v>0.14623639999999999</v>
      </c>
      <c r="R662">
        <v>-7.2105310000000006E-2</v>
      </c>
      <c r="S662">
        <v>3.0516049999999999</v>
      </c>
      <c r="T662">
        <v>-0.20805009999999999</v>
      </c>
      <c r="U662">
        <v>-0.2747192</v>
      </c>
      <c r="V662">
        <v>5.6555029999999999E-2</v>
      </c>
      <c r="W662">
        <v>0.1577115</v>
      </c>
      <c r="X662">
        <v>0.98586439999999997</v>
      </c>
      <c r="Y662">
        <v>7.3712620000000006E-2</v>
      </c>
      <c r="Z662">
        <v>-1.4265650000000001E-3</v>
      </c>
      <c r="AA662">
        <v>0.99727849999999996</v>
      </c>
      <c r="AB662">
        <v>27</v>
      </c>
      <c r="AC662">
        <v>15.9963999999999</v>
      </c>
      <c r="AD662">
        <v>-1.109578</v>
      </c>
      <c r="AE662">
        <v>-1.46029999999996</v>
      </c>
      <c r="AF662">
        <v>1.2005442083383699</v>
      </c>
      <c r="AG662">
        <v>-1.109578</v>
      </c>
      <c r="AH662">
        <v>15.9414920408319</v>
      </c>
      <c r="AI662">
        <v>93.9703382671198</v>
      </c>
      <c r="AJ662">
        <v>85.693218895396996</v>
      </c>
      <c r="AK662">
        <v>16.0250940160164</v>
      </c>
      <c r="AL662">
        <v>80.9259116393863</v>
      </c>
      <c r="AM662">
        <v>86.716772597538096</v>
      </c>
      <c r="AN662">
        <v>1.0000000019189501</v>
      </c>
    </row>
    <row r="663" spans="1:40" x14ac:dyDescent="0.25">
      <c r="A663" t="str">
        <f>"20190312172624469"</f>
        <v>20190312172624469</v>
      </c>
      <c r="B663" t="str">
        <f>"1552382784459607"</f>
        <v>1552382784459607</v>
      </c>
      <c r="C663" t="s">
        <v>40</v>
      </c>
      <c r="D663">
        <v>3.3259799999999999</v>
      </c>
      <c r="E663">
        <v>0.50518580000000002</v>
      </c>
      <c r="F663" t="s">
        <v>44</v>
      </c>
      <c r="G663">
        <v>-304.4631</v>
      </c>
      <c r="H663">
        <v>0.99874309999999999</v>
      </c>
      <c r="I663">
        <v>366.86950000000002</v>
      </c>
      <c r="J663">
        <v>-305.17579999999998</v>
      </c>
      <c r="K663">
        <v>1.059634</v>
      </c>
      <c r="L663">
        <v>366.94959999999998</v>
      </c>
      <c r="M663">
        <v>0.99980179999999996</v>
      </c>
      <c r="N663">
        <v>0</v>
      </c>
      <c r="O663">
        <v>-1.6142199999999999E-2</v>
      </c>
      <c r="P663">
        <v>0.98653559999999996</v>
      </c>
      <c r="Q663">
        <v>0.1470032</v>
      </c>
      <c r="R663">
        <v>-7.1676370000000003E-2</v>
      </c>
      <c r="S663">
        <v>3.049744</v>
      </c>
      <c r="T663">
        <v>-0.1928483</v>
      </c>
      <c r="U663">
        <v>-0.26715090000000002</v>
      </c>
      <c r="V663">
        <v>5.5836299999999998E-2</v>
      </c>
      <c r="W663">
        <v>0.158473799999999</v>
      </c>
      <c r="X663">
        <v>0.98578310000000002</v>
      </c>
      <c r="Y663">
        <v>7.1061760000000002E-2</v>
      </c>
      <c r="Z663">
        <v>-1.2226159999999999E-3</v>
      </c>
      <c r="AA663">
        <v>0.9974712</v>
      </c>
      <c r="AB663">
        <v>27</v>
      </c>
      <c r="AC663">
        <v>0.71269999999998301</v>
      </c>
      <c r="AD663">
        <v>-6.0890899999999901E-2</v>
      </c>
      <c r="AE663">
        <v>-8.0099999999958899E-2</v>
      </c>
      <c r="AF663">
        <v>6.8093389408983102E-2</v>
      </c>
      <c r="AG663">
        <v>-6.0890899999999901E-2</v>
      </c>
      <c r="AH663">
        <v>0.70879094459887004</v>
      </c>
      <c r="AI663">
        <v>94.887723545587704</v>
      </c>
      <c r="AJ663">
        <v>84.512448048789693</v>
      </c>
      <c r="AK663">
        <v>0.71465307284679802</v>
      </c>
      <c r="AL663">
        <v>80.881678594884093</v>
      </c>
      <c r="AM663">
        <v>86.758141192475705</v>
      </c>
      <c r="AN663">
        <v>0.99999997896486903</v>
      </c>
    </row>
    <row r="664" spans="1:40" x14ac:dyDescent="0.25">
      <c r="A664" t="str">
        <f>"20190312172624491"</f>
        <v>20190312172624491</v>
      </c>
      <c r="B664" t="str">
        <f>"1552382784488888"</f>
        <v>1552382784488888</v>
      </c>
      <c r="C664" t="s">
        <v>40</v>
      </c>
      <c r="D664">
        <v>3.3185660000000001</v>
      </c>
      <c r="E664">
        <v>0.50449999999999995</v>
      </c>
      <c r="F664" t="s">
        <v>44</v>
      </c>
      <c r="G664">
        <v>-304.21730000000002</v>
      </c>
      <c r="H664">
        <v>1.0035130000000001</v>
      </c>
      <c r="I664">
        <v>366.86759999999998</v>
      </c>
      <c r="J664">
        <v>-304.90750000000003</v>
      </c>
      <c r="K664">
        <v>1.0596859999999999</v>
      </c>
      <c r="L664">
        <v>366.94499999999999</v>
      </c>
      <c r="M664">
        <v>0.99979819999999997</v>
      </c>
      <c r="N664">
        <v>0</v>
      </c>
      <c r="O664">
        <v>-1.6368540000000001E-2</v>
      </c>
      <c r="P664">
        <v>0.98657660000000003</v>
      </c>
      <c r="Q664">
        <v>0.14709050000000001</v>
      </c>
      <c r="R664">
        <v>-7.0929569999999997E-2</v>
      </c>
      <c r="S664">
        <v>3.048645</v>
      </c>
      <c r="T664">
        <v>-0.178642299999999</v>
      </c>
      <c r="U664">
        <v>-0.26028440000000003</v>
      </c>
      <c r="V664">
        <v>5.4844629999999998E-2</v>
      </c>
      <c r="W664">
        <v>0.15855849999999999</v>
      </c>
      <c r="X664">
        <v>0.98582519999999996</v>
      </c>
      <c r="Y664">
        <v>6.8656880000000003E-2</v>
      </c>
      <c r="Z664">
        <v>-1.0497289999999999E-3</v>
      </c>
      <c r="AA664">
        <v>0.99763979999999997</v>
      </c>
      <c r="AB664">
        <v>27</v>
      </c>
      <c r="AC664">
        <v>0.69020000000000403</v>
      </c>
      <c r="AD664">
        <v>-5.6173000000000202E-2</v>
      </c>
      <c r="AE664">
        <v>-7.7400000000011404E-2</v>
      </c>
      <c r="AF664">
        <v>6.5661769568061995E-2</v>
      </c>
      <c r="AG664">
        <v>-5.6173000000000202E-2</v>
      </c>
      <c r="AH664">
        <v>0.686881290892147</v>
      </c>
      <c r="AI664">
        <v>94.654109205832398</v>
      </c>
      <c r="AJ664">
        <v>84.539456844703494</v>
      </c>
      <c r="AK664">
        <v>0.69229529948532198</v>
      </c>
      <c r="AL664">
        <v>80.876763950291505</v>
      </c>
      <c r="AM664">
        <v>86.815733759680199</v>
      </c>
      <c r="AN664">
        <v>1.0000000281585599</v>
      </c>
    </row>
    <row r="665" spans="1:40" x14ac:dyDescent="0.25">
      <c r="A665" t="str">
        <f>"20190312172624514"</f>
        <v>20190312172624514</v>
      </c>
      <c r="B665" t="str">
        <f>"1552382784509384"</f>
        <v>1552382784509384</v>
      </c>
      <c r="C665" t="s">
        <v>40</v>
      </c>
      <c r="D665">
        <v>3.3101449999999999</v>
      </c>
      <c r="E665">
        <v>0.50424190000000002</v>
      </c>
      <c r="F665" t="s">
        <v>43</v>
      </c>
      <c r="G665">
        <v>-284.58870000000002</v>
      </c>
      <c r="H665">
        <v>-0.05</v>
      </c>
      <c r="I665">
        <v>365.25799999999998</v>
      </c>
      <c r="J665">
        <v>-304.63619999999997</v>
      </c>
      <c r="K665">
        <v>1.0597289999999999</v>
      </c>
      <c r="L665">
        <v>366.94040000000001</v>
      </c>
      <c r="M665">
        <v>0.99979569999999995</v>
      </c>
      <c r="N665">
        <v>0</v>
      </c>
      <c r="O665">
        <v>-1.6527839999999999E-2</v>
      </c>
      <c r="P665">
        <v>0.98654240000000004</v>
      </c>
      <c r="Q665">
        <v>0.14749590000000001</v>
      </c>
      <c r="R665">
        <v>-7.0564420000000003E-2</v>
      </c>
      <c r="S665">
        <v>3.0474549999999998</v>
      </c>
      <c r="T665">
        <v>-0.16643239999999901</v>
      </c>
      <c r="U665">
        <v>-0.2530212</v>
      </c>
      <c r="V665">
        <v>5.430343E-2</v>
      </c>
      <c r="W665">
        <v>0.15895919999999999</v>
      </c>
      <c r="X665">
        <v>0.98579059999999996</v>
      </c>
      <c r="Y665">
        <v>6.6185330000000001E-2</v>
      </c>
      <c r="Z665">
        <v>-9.0256570000000005E-4</v>
      </c>
      <c r="AA665">
        <v>0.997807</v>
      </c>
      <c r="AB665">
        <v>27</v>
      </c>
      <c r="AC665">
        <v>20.0474999999999</v>
      </c>
      <c r="AD665">
        <v>-1.109729</v>
      </c>
      <c r="AE665">
        <v>-1.6823999999999699</v>
      </c>
      <c r="AF665">
        <v>1.3467081688803999</v>
      </c>
      <c r="AG665">
        <v>-1.109729</v>
      </c>
      <c r="AH665">
        <v>20.011679144553501</v>
      </c>
      <c r="AI665">
        <v>93.166884813562206</v>
      </c>
      <c r="AJ665">
        <v>86.150021778635093</v>
      </c>
      <c r="AK665">
        <v>20.087618662502798</v>
      </c>
      <c r="AL665">
        <v>80.8535103445723</v>
      </c>
      <c r="AM665">
        <v>86.846981553791295</v>
      </c>
      <c r="AN665">
        <v>0.99999999841138199</v>
      </c>
    </row>
    <row r="666" spans="1:40" x14ac:dyDescent="0.25">
      <c r="A666" t="str">
        <f>"20190312172624537"</f>
        <v>20190312172624537</v>
      </c>
      <c r="B666" t="str">
        <f>"1552382784528904"</f>
        <v>1552382784528904</v>
      </c>
      <c r="C666" t="s">
        <v>40</v>
      </c>
      <c r="D666">
        <v>3.3157519999999998</v>
      </c>
      <c r="E666">
        <v>0.50396509999999894</v>
      </c>
      <c r="F666" t="s">
        <v>43</v>
      </c>
      <c r="G666">
        <v>-283.53320000000002</v>
      </c>
      <c r="H666">
        <v>-0.05</v>
      </c>
      <c r="I666">
        <v>365.2038</v>
      </c>
      <c r="J666">
        <v>-304.3571</v>
      </c>
      <c r="K666">
        <v>1.0597799999999999</v>
      </c>
      <c r="L666">
        <v>366.93560000000002</v>
      </c>
      <c r="M666">
        <v>0.99979439999999997</v>
      </c>
      <c r="N666">
        <v>0</v>
      </c>
      <c r="O666">
        <v>-1.6621110000000001E-2</v>
      </c>
      <c r="P666">
        <v>0.98648979999999997</v>
      </c>
      <c r="Q666">
        <v>0.148290899999999</v>
      </c>
      <c r="R666">
        <v>-6.9626339999999995E-2</v>
      </c>
      <c r="S666">
        <v>3.0469059999999999</v>
      </c>
      <c r="T666">
        <v>-0.16022520000000001</v>
      </c>
      <c r="U666">
        <v>-0.25073240000000002</v>
      </c>
      <c r="V666">
        <v>5.3256119999999997E-2</v>
      </c>
      <c r="W666">
        <v>0.15974440000000001</v>
      </c>
      <c r="X666">
        <v>0.98572079999999995</v>
      </c>
      <c r="Y666">
        <v>6.5369170000000004E-2</v>
      </c>
      <c r="Z666">
        <v>-8.4283239999999998E-4</v>
      </c>
      <c r="AA666">
        <v>0.99786079999999999</v>
      </c>
      <c r="AB666">
        <v>27</v>
      </c>
      <c r="AC666">
        <v>20.823899999999899</v>
      </c>
      <c r="AD666">
        <v>-1.10978</v>
      </c>
      <c r="AE666">
        <v>-1.73180000000002</v>
      </c>
      <c r="AF666">
        <v>1.38152419683873</v>
      </c>
      <c r="AG666">
        <v>-1.10978</v>
      </c>
      <c r="AH666">
        <v>20.791163820106298</v>
      </c>
      <c r="AI666">
        <v>93.0486946412978</v>
      </c>
      <c r="AJ666">
        <v>86.198417948177905</v>
      </c>
      <c r="AK666">
        <v>20.866545323779601</v>
      </c>
      <c r="AL666">
        <v>80.807939321968902</v>
      </c>
      <c r="AM666">
        <v>86.907453760199104</v>
      </c>
      <c r="AN666">
        <v>0.99999999160072695</v>
      </c>
    </row>
    <row r="667" spans="1:40" x14ac:dyDescent="0.25">
      <c r="A667" t="str">
        <f>"20190312172624550"</f>
        <v>20190312172624550</v>
      </c>
      <c r="B667" t="str">
        <f>"1552382784539640"</f>
        <v>1552382784539640</v>
      </c>
      <c r="C667" t="s">
        <v>40</v>
      </c>
      <c r="D667">
        <v>3.3092350000000001</v>
      </c>
      <c r="E667">
        <v>0.50376709999999902</v>
      </c>
      <c r="F667" t="s">
        <v>43</v>
      </c>
      <c r="G667">
        <v>-282.33359999999999</v>
      </c>
      <c r="H667">
        <v>-0.05</v>
      </c>
      <c r="I667">
        <v>365.15690000000001</v>
      </c>
      <c r="J667">
        <v>-304.20229999999998</v>
      </c>
      <c r="K667">
        <v>1.059804</v>
      </c>
      <c r="L667">
        <v>366.93299999999999</v>
      </c>
      <c r="M667">
        <v>0.99979410000000002</v>
      </c>
      <c r="N667">
        <v>0</v>
      </c>
      <c r="O667">
        <v>-1.664991E-2</v>
      </c>
      <c r="P667">
        <v>0.98645729999999998</v>
      </c>
      <c r="Q667">
        <v>0.148675</v>
      </c>
      <c r="R667">
        <v>-6.9267880000000004E-2</v>
      </c>
      <c r="S667">
        <v>3.0467219999999999</v>
      </c>
      <c r="T667">
        <v>-0.15352679999999999</v>
      </c>
      <c r="U667">
        <v>-0.24606320000000001</v>
      </c>
      <c r="V667">
        <v>5.2860329999999997E-2</v>
      </c>
      <c r="W667">
        <v>0.16012190000000001</v>
      </c>
      <c r="X667">
        <v>0.98568089999999997</v>
      </c>
      <c r="Y667">
        <v>6.3833550000000003E-2</v>
      </c>
      <c r="Z667">
        <v>-7.6768759999999996E-4</v>
      </c>
      <c r="AA667">
        <v>0.99796030000000002</v>
      </c>
      <c r="AB667">
        <v>27</v>
      </c>
      <c r="AC667">
        <v>21.868699999999901</v>
      </c>
      <c r="AD667">
        <v>-1.109804</v>
      </c>
      <c r="AE667">
        <v>-1.77610000000004</v>
      </c>
      <c r="AF667">
        <v>1.4081146714298201</v>
      </c>
      <c r="AG667">
        <v>-1.109804</v>
      </c>
      <c r="AH667">
        <v>21.839365278357899</v>
      </c>
      <c r="AI667">
        <v>92.903061213564897</v>
      </c>
      <c r="AJ667">
        <v>86.310904351331402</v>
      </c>
      <c r="AK667">
        <v>21.912834768871399</v>
      </c>
      <c r="AL667">
        <v>80.786028542372193</v>
      </c>
      <c r="AM667">
        <v>86.930268876892995</v>
      </c>
      <c r="AN667">
        <v>1.00000003698606</v>
      </c>
    </row>
    <row r="668" spans="1:40" x14ac:dyDescent="0.25">
      <c r="A668" t="str">
        <f>"20190312172624569"</f>
        <v>20190312172624569</v>
      </c>
      <c r="B668" t="str">
        <f>"1552382784559160"</f>
        <v>1552382784559160</v>
      </c>
      <c r="C668" t="s">
        <v>40</v>
      </c>
      <c r="D668">
        <v>3.3451110000000002</v>
      </c>
      <c r="E668">
        <v>0.50347559999999902</v>
      </c>
      <c r="F668" t="s">
        <v>43</v>
      </c>
      <c r="G668">
        <v>-281.72370000000001</v>
      </c>
      <c r="H668">
        <v>-0.05</v>
      </c>
      <c r="I668">
        <v>365.13760000000002</v>
      </c>
      <c r="J668">
        <v>-303.96129999999999</v>
      </c>
      <c r="K668">
        <v>1.0598339999999999</v>
      </c>
      <c r="L668">
        <v>366.9289</v>
      </c>
      <c r="M668">
        <v>0.99979390000000001</v>
      </c>
      <c r="N668">
        <v>0</v>
      </c>
      <c r="O668">
        <v>-1.6663790000000001E-2</v>
      </c>
      <c r="P668">
        <v>0.98640110000000003</v>
      </c>
      <c r="Q668">
        <v>0.14935499999999999</v>
      </c>
      <c r="R668">
        <v>-6.860194E-2</v>
      </c>
      <c r="S668">
        <v>3.046783</v>
      </c>
      <c r="T668">
        <v>-0.15042420000000001</v>
      </c>
      <c r="U668">
        <v>-0.24334720000000001</v>
      </c>
      <c r="V668">
        <v>5.2169310000000003E-2</v>
      </c>
      <c r="W668">
        <v>0.16079070000000001</v>
      </c>
      <c r="X668">
        <v>0.98560879999999995</v>
      </c>
      <c r="Y668">
        <v>6.2937590000000002E-2</v>
      </c>
      <c r="Z668">
        <v>-7.2945050000000004E-4</v>
      </c>
      <c r="AA668">
        <v>0.99801719999999905</v>
      </c>
      <c r="AB668">
        <v>27</v>
      </c>
      <c r="AC668">
        <v>22.237599999999901</v>
      </c>
      <c r="AD668">
        <v>-1.109834</v>
      </c>
      <c r="AE668">
        <v>-1.7912999999999699</v>
      </c>
      <c r="AF668">
        <v>1.41695701454602</v>
      </c>
      <c r="AG668">
        <v>-1.109834</v>
      </c>
      <c r="AH668">
        <v>22.2094010242152</v>
      </c>
      <c r="AI668">
        <v>92.854973488738096</v>
      </c>
      <c r="AJ668">
        <v>86.349484099607494</v>
      </c>
      <c r="AK668">
        <v>22.282212469659299</v>
      </c>
      <c r="AL668">
        <v>80.747205722134296</v>
      </c>
      <c r="AM668">
        <v>86.970101659930194</v>
      </c>
      <c r="AN668">
        <v>0.999999996374903</v>
      </c>
    </row>
    <row r="669" spans="1:40" x14ac:dyDescent="0.25">
      <c r="A669" t="str">
        <f>"20190312172624582"</f>
        <v>20190312172624582</v>
      </c>
      <c r="B669" t="str">
        <f>"1552382784579656"</f>
        <v>1552382784579656</v>
      </c>
      <c r="C669" t="s">
        <v>40</v>
      </c>
      <c r="D669">
        <v>3.3222719999999999</v>
      </c>
      <c r="E669">
        <v>0.50326349999999997</v>
      </c>
      <c r="F669" t="s">
        <v>43</v>
      </c>
      <c r="G669">
        <v>-280.54090000000002</v>
      </c>
      <c r="H669">
        <v>-0.05</v>
      </c>
      <c r="I669">
        <v>365.0917</v>
      </c>
      <c r="J669">
        <v>-303.80529999999999</v>
      </c>
      <c r="K669">
        <v>1.0598510000000001</v>
      </c>
      <c r="L669">
        <v>366.92630000000003</v>
      </c>
      <c r="M669">
        <v>0.99979419999999997</v>
      </c>
      <c r="N669">
        <v>0</v>
      </c>
      <c r="O669">
        <v>-1.6660169999999998E-2</v>
      </c>
      <c r="P669">
        <v>0.98643550000000002</v>
      </c>
      <c r="Q669">
        <v>0.14935809999999999</v>
      </c>
      <c r="R669">
        <v>-6.8098279999999997E-2</v>
      </c>
      <c r="S669">
        <v>3.0466000000000002</v>
      </c>
      <c r="T669">
        <v>-0.144371</v>
      </c>
      <c r="U669">
        <v>-0.23898320000000001</v>
      </c>
      <c r="V669">
        <v>5.1662630000000001E-2</v>
      </c>
      <c r="W669">
        <v>0.1607874</v>
      </c>
      <c r="X669">
        <v>0.98563610000000001</v>
      </c>
      <c r="Y669">
        <v>6.1531189999999999E-2</v>
      </c>
      <c r="Z669">
        <v>-6.6712719999999996E-4</v>
      </c>
      <c r="AA669">
        <v>0.99810489999999996</v>
      </c>
      <c r="AB669">
        <v>27</v>
      </c>
      <c r="AC669">
        <v>23.264399999999899</v>
      </c>
      <c r="AD669">
        <v>-1.1098509999999999</v>
      </c>
      <c r="AE669">
        <v>-1.83460000000002</v>
      </c>
      <c r="AF669">
        <v>1.4434656883032799</v>
      </c>
      <c r="AG669">
        <v>-1.1098509999999999</v>
      </c>
      <c r="AH669">
        <v>23.239175237877699</v>
      </c>
      <c r="AI669">
        <v>92.728989416759006</v>
      </c>
      <c r="AJ669">
        <v>86.445726827765796</v>
      </c>
      <c r="AK669">
        <v>23.3103974263053</v>
      </c>
      <c r="AL669">
        <v>80.747397963768606</v>
      </c>
      <c r="AM669">
        <v>86.999557629913497</v>
      </c>
      <c r="AN669">
        <v>1.0000000684802399</v>
      </c>
    </row>
    <row r="670" spans="1:40" x14ac:dyDescent="0.25">
      <c r="A670" t="str">
        <f>"20190312172624604"</f>
        <v>20190312172624604</v>
      </c>
      <c r="B670" t="str">
        <f>"1552382784599176"</f>
        <v>1552382784599176</v>
      </c>
      <c r="C670" t="s">
        <v>40</v>
      </c>
      <c r="D670">
        <v>3.2855569999999998</v>
      </c>
      <c r="E670">
        <v>0.50317469999999997</v>
      </c>
      <c r="F670" t="s">
        <v>43</v>
      </c>
      <c r="G670">
        <v>-279.9588</v>
      </c>
      <c r="H670">
        <v>-0.05</v>
      </c>
      <c r="I670">
        <v>365.0788</v>
      </c>
      <c r="J670">
        <v>-303.54750000000001</v>
      </c>
      <c r="K670">
        <v>1.059871</v>
      </c>
      <c r="L670">
        <v>366.92200000000003</v>
      </c>
      <c r="M670">
        <v>0.99979470000000004</v>
      </c>
      <c r="N670">
        <v>0</v>
      </c>
      <c r="O670">
        <v>-1.663823E-2</v>
      </c>
      <c r="P670">
        <v>0.98656270000000001</v>
      </c>
      <c r="Q670">
        <v>0.14901639999999999</v>
      </c>
      <c r="R670">
        <v>-6.6997009999999996E-2</v>
      </c>
      <c r="S670">
        <v>3.0464169999999999</v>
      </c>
      <c r="T670">
        <v>-0.14178470000000001</v>
      </c>
      <c r="U670">
        <v>-0.23602290000000001</v>
      </c>
      <c r="V670">
        <v>5.057292E-2</v>
      </c>
      <c r="W670">
        <v>0.16043669999999999</v>
      </c>
      <c r="X670">
        <v>0.98574969999999995</v>
      </c>
      <c r="Y670">
        <v>6.0596499999999998E-2</v>
      </c>
      <c r="Z670">
        <v>-6.3456319999999995E-4</v>
      </c>
      <c r="AA670">
        <v>0.9981622</v>
      </c>
      <c r="AB670">
        <v>27</v>
      </c>
      <c r="AC670">
        <v>23.588699999999999</v>
      </c>
      <c r="AD670">
        <v>-1.1098709999999901</v>
      </c>
      <c r="AE670">
        <v>-1.84319999999996</v>
      </c>
      <c r="AF670">
        <v>1.4472598701372901</v>
      </c>
      <c r="AG670">
        <v>-1.1098709999999901</v>
      </c>
      <c r="AH670">
        <v>23.564254136897102</v>
      </c>
      <c r="AI670">
        <v>92.691561092537597</v>
      </c>
      <c r="AJ670">
        <v>86.485445561674297</v>
      </c>
      <c r="AK670">
        <v>23.634729695865499</v>
      </c>
      <c r="AL670">
        <v>80.767755370056705</v>
      </c>
      <c r="AM670">
        <v>87.063071276430705</v>
      </c>
      <c r="AN670">
        <v>1.00000001299715</v>
      </c>
    </row>
    <row r="671" spans="1:40" x14ac:dyDescent="0.25">
      <c r="A671" t="str">
        <f>"20190312172624627"</f>
        <v>20190312172624627</v>
      </c>
      <c r="B671" t="str">
        <f>"1552382784619677"</f>
        <v>1552382784619677</v>
      </c>
      <c r="C671" t="s">
        <v>40</v>
      </c>
      <c r="D671">
        <v>3.3081049999999999</v>
      </c>
      <c r="E671">
        <v>0.50314440000000005</v>
      </c>
      <c r="F671" t="s">
        <v>43</v>
      </c>
      <c r="G671">
        <v>-279.4538</v>
      </c>
      <c r="H671">
        <v>-0.05</v>
      </c>
      <c r="I671">
        <v>365.08300000000003</v>
      </c>
      <c r="J671">
        <v>-303.26990000000001</v>
      </c>
      <c r="K671">
        <v>1.0598860000000001</v>
      </c>
      <c r="L671">
        <v>366.91739999999999</v>
      </c>
      <c r="M671">
        <v>0.99979560000000001</v>
      </c>
      <c r="N671">
        <v>0</v>
      </c>
      <c r="O671">
        <v>-1.6588149999999999E-2</v>
      </c>
      <c r="P671">
        <v>0.98667229999999995</v>
      </c>
      <c r="Q671">
        <v>0.14874949999999901</v>
      </c>
      <c r="R671">
        <v>-6.5965330000000003E-2</v>
      </c>
      <c r="S671">
        <v>3.046265</v>
      </c>
      <c r="T671">
        <v>-0.14032539999999999</v>
      </c>
      <c r="U671">
        <v>-0.23251340000000001</v>
      </c>
      <c r="V671">
        <v>4.958162E-2</v>
      </c>
      <c r="W671">
        <v>0.1601553</v>
      </c>
      <c r="X671">
        <v>0.98584579999999999</v>
      </c>
      <c r="Y671">
        <v>5.9509159999999998E-2</v>
      </c>
      <c r="Z671">
        <v>-6.0540360000000001E-4</v>
      </c>
      <c r="AA671">
        <v>0.99822759999999999</v>
      </c>
      <c r="AB671">
        <v>27</v>
      </c>
      <c r="AC671">
        <v>23.816099999999999</v>
      </c>
      <c r="AD671">
        <v>-1.1098859999999999</v>
      </c>
      <c r="AE671">
        <v>-1.8343999999999601</v>
      </c>
      <c r="AF671">
        <v>1.4359559499696899</v>
      </c>
      <c r="AG671">
        <v>-1.1098859999999999</v>
      </c>
      <c r="AH671">
        <v>23.7918880055615</v>
      </c>
      <c r="AI671">
        <v>92.666053944448905</v>
      </c>
      <c r="AJ671">
        <v>86.5461113077547</v>
      </c>
      <c r="AK671">
        <v>23.861009016645301</v>
      </c>
      <c r="AL671">
        <v>80.784089492979405</v>
      </c>
      <c r="AM671">
        <v>87.120821557174096</v>
      </c>
      <c r="AN671">
        <v>0.99999999926877703</v>
      </c>
    </row>
    <row r="672" spans="1:40" x14ac:dyDescent="0.25">
      <c r="A672" t="str">
        <f>"20190312172624649"</f>
        <v>20190312172624649</v>
      </c>
      <c r="B672" t="str">
        <f>"1552382784639192"</f>
        <v>1552382784639192</v>
      </c>
      <c r="C672" t="s">
        <v>40</v>
      </c>
      <c r="D672">
        <v>3.3238650000000001</v>
      </c>
      <c r="E672">
        <v>0.50308920000000001</v>
      </c>
      <c r="F672" t="s">
        <v>43</v>
      </c>
      <c r="G672">
        <v>-279.02420000000001</v>
      </c>
      <c r="H672">
        <v>-0.05</v>
      </c>
      <c r="I672">
        <v>365.08909999999997</v>
      </c>
      <c r="J672">
        <v>-303.00209999999998</v>
      </c>
      <c r="K672">
        <v>1.0598989999999999</v>
      </c>
      <c r="L672">
        <v>366.91300000000001</v>
      </c>
      <c r="M672">
        <v>0.99979720000000005</v>
      </c>
      <c r="N672">
        <v>0</v>
      </c>
      <c r="O672">
        <v>-1.6509929999999999E-2</v>
      </c>
      <c r="P672">
        <v>0.98676660000000005</v>
      </c>
      <c r="Q672">
        <v>0.14851049999999999</v>
      </c>
      <c r="R672">
        <v>-6.5087149999999996E-2</v>
      </c>
      <c r="S672">
        <v>3.046173</v>
      </c>
      <c r="T672">
        <v>-0.1394434</v>
      </c>
      <c r="U672">
        <v>-0.22970579999999999</v>
      </c>
      <c r="V672">
        <v>4.8771950000000001E-2</v>
      </c>
      <c r="W672">
        <v>0.15989879999999901</v>
      </c>
      <c r="X672">
        <v>0.98592780000000002</v>
      </c>
      <c r="Y672">
        <v>5.867609E-2</v>
      </c>
      <c r="Z672">
        <v>-5.8618210000000001E-4</v>
      </c>
      <c r="AA672">
        <v>0.99827690000000002</v>
      </c>
      <c r="AB672">
        <v>27</v>
      </c>
      <c r="AC672">
        <v>23.977899999999899</v>
      </c>
      <c r="AD672">
        <v>-1.109899</v>
      </c>
      <c r="AE672">
        <v>-1.8239000000000301</v>
      </c>
      <c r="AF672">
        <v>1.4247165361215299</v>
      </c>
      <c r="AG672">
        <v>-1.109899</v>
      </c>
      <c r="AH672">
        <v>23.953717483777002</v>
      </c>
      <c r="AI672">
        <v>92.648237438178597</v>
      </c>
      <c r="AJ672">
        <v>86.596178047440404</v>
      </c>
      <c r="AK672">
        <v>24.021704233694599</v>
      </c>
      <c r="AL672">
        <v>80.798977534069493</v>
      </c>
      <c r="AM672">
        <v>87.167996653053507</v>
      </c>
      <c r="AN672">
        <v>0.99999997808054097</v>
      </c>
    </row>
    <row r="673" spans="1:40" x14ac:dyDescent="0.25">
      <c r="A673" t="str">
        <f>"20190312172624671"</f>
        <v>20190312172624671</v>
      </c>
      <c r="B673" t="str">
        <f>"1552382784659688"</f>
        <v>1552382784659688</v>
      </c>
      <c r="C673" t="s">
        <v>40</v>
      </c>
      <c r="D673">
        <v>3.313628</v>
      </c>
      <c r="E673">
        <v>0.50298149999999997</v>
      </c>
      <c r="F673" t="s">
        <v>41</v>
      </c>
      <c r="G673">
        <v>-279.73039999999997</v>
      </c>
      <c r="H673" s="1">
        <v>-1.2573330000000001E-6</v>
      </c>
      <c r="I673">
        <v>365.18329999999997</v>
      </c>
      <c r="J673">
        <v>-302.74439999999998</v>
      </c>
      <c r="K673">
        <v>1.0599130000000001</v>
      </c>
      <c r="L673">
        <v>366.90879999999999</v>
      </c>
      <c r="M673">
        <v>0.99979899999999999</v>
      </c>
      <c r="N673">
        <v>0</v>
      </c>
      <c r="O673">
        <v>-1.641403E-2</v>
      </c>
      <c r="P673">
        <v>0.98689890000000002</v>
      </c>
      <c r="Q673">
        <v>0.14807310000000001</v>
      </c>
      <c r="R673">
        <v>-6.4069989999999993E-2</v>
      </c>
      <c r="S673">
        <v>3.046173</v>
      </c>
      <c r="T673">
        <v>-0.1387362</v>
      </c>
      <c r="U673">
        <v>-0.2264099</v>
      </c>
      <c r="V673">
        <v>4.7839880000000001E-2</v>
      </c>
      <c r="W673">
        <v>0.15943979999999999</v>
      </c>
      <c r="X673">
        <v>0.98604780000000003</v>
      </c>
      <c r="Y673">
        <v>5.7699060000000003E-2</v>
      </c>
      <c r="Z673">
        <v>-5.6538509999999999E-4</v>
      </c>
      <c r="AA673">
        <v>0.9983339</v>
      </c>
      <c r="AB673">
        <v>27</v>
      </c>
      <c r="AC673">
        <v>23.013999999999999</v>
      </c>
      <c r="AD673">
        <v>-1.0599142573329901</v>
      </c>
      <c r="AE673">
        <v>-1.72550000000001</v>
      </c>
      <c r="AF673">
        <v>1.3446538123674601</v>
      </c>
      <c r="AG673">
        <v>-1.0599142573329901</v>
      </c>
      <c r="AH673">
        <v>22.9907308407698</v>
      </c>
      <c r="AI673">
        <v>92.635073362667697</v>
      </c>
      <c r="AJ673">
        <v>86.652767514149502</v>
      </c>
      <c r="AK673">
        <v>23.0543969060294</v>
      </c>
      <c r="AL673">
        <v>80.825618134987394</v>
      </c>
      <c r="AM673">
        <v>87.2223703867827</v>
      </c>
      <c r="AN673">
        <v>0.99999998391364697</v>
      </c>
    </row>
    <row r="674" spans="1:40" x14ac:dyDescent="0.25">
      <c r="A674" t="str">
        <f>"20190312172624693"</f>
        <v>20190312172624693</v>
      </c>
      <c r="B674" t="str">
        <f>"1552382784688968"</f>
        <v>1552382784688968</v>
      </c>
      <c r="C674" t="s">
        <v>40</v>
      </c>
      <c r="D674">
        <v>3.2597360000000002</v>
      </c>
      <c r="E674">
        <v>0.50287550000000003</v>
      </c>
      <c r="F674" t="s">
        <v>41</v>
      </c>
      <c r="G674">
        <v>-279.42720000000003</v>
      </c>
      <c r="H674" s="1">
        <v>-1.3549510000000001E-6</v>
      </c>
      <c r="I674">
        <v>365.20420000000001</v>
      </c>
      <c r="J674">
        <v>-302.47340000000003</v>
      </c>
      <c r="K674">
        <v>1.0599240000000001</v>
      </c>
      <c r="L674">
        <v>366.90449999999998</v>
      </c>
      <c r="M674">
        <v>0.9998013</v>
      </c>
      <c r="N674">
        <v>0</v>
      </c>
      <c r="O674">
        <v>-1.6298469999999999E-2</v>
      </c>
      <c r="P674">
        <v>0.98698759999999996</v>
      </c>
      <c r="Q674">
        <v>0.14797070000000001</v>
      </c>
      <c r="R674">
        <v>-6.293108E-2</v>
      </c>
      <c r="S674">
        <v>3.0461429999999998</v>
      </c>
      <c r="T674">
        <v>-0.13846610000000001</v>
      </c>
      <c r="U674">
        <v>-0.22268679999999999</v>
      </c>
      <c r="V674">
        <v>4.6807139999999997E-2</v>
      </c>
      <c r="W674">
        <v>0.15931129999999999</v>
      </c>
      <c r="X674">
        <v>0.9861181</v>
      </c>
      <c r="Y674">
        <v>5.6602710000000001E-2</v>
      </c>
      <c r="Z674">
        <v>-5.4468419999999999E-4</v>
      </c>
      <c r="AA674">
        <v>0.99839659999999997</v>
      </c>
      <c r="AB674">
        <v>27</v>
      </c>
      <c r="AC674">
        <v>23.046199999999999</v>
      </c>
      <c r="AD674">
        <v>-1.0599253549509999</v>
      </c>
      <c r="AE674">
        <v>-1.7002999999999699</v>
      </c>
      <c r="AF674">
        <v>1.3216511560581901</v>
      </c>
      <c r="AG674">
        <v>-1.0599253549509999</v>
      </c>
      <c r="AH674">
        <v>23.022419067622099</v>
      </c>
      <c r="AI674">
        <v>92.631642897448202</v>
      </c>
      <c r="AJ674">
        <v>86.714419490045401</v>
      </c>
      <c r="AK674">
        <v>23.084669875516699</v>
      </c>
      <c r="AL674">
        <v>80.833075681902102</v>
      </c>
      <c r="AM674">
        <v>87.282434835207695</v>
      </c>
      <c r="AN674">
        <v>0.99999995290513799</v>
      </c>
    </row>
    <row r="675" spans="1:40" x14ac:dyDescent="0.25">
      <c r="A675" t="str">
        <f>"20190312172624716"</f>
        <v>20190312172624716</v>
      </c>
      <c r="B675" t="str">
        <f>"1552382784709464"</f>
        <v>1552382784709464</v>
      </c>
      <c r="C675" t="s">
        <v>40</v>
      </c>
      <c r="D675">
        <v>3.2702239999999998</v>
      </c>
      <c r="E675">
        <v>0.50274870000000005</v>
      </c>
      <c r="F675" t="s">
        <v>41</v>
      </c>
      <c r="G675">
        <v>-278.9255</v>
      </c>
      <c r="H675" s="1">
        <v>-1.5229639999999999E-6</v>
      </c>
      <c r="I675">
        <v>365.21440000000001</v>
      </c>
      <c r="J675">
        <v>-302.19670000000002</v>
      </c>
      <c r="K675">
        <v>1.059928</v>
      </c>
      <c r="L675">
        <v>366.90010000000001</v>
      </c>
      <c r="M675">
        <v>0.99980380000000002</v>
      </c>
      <c r="N675">
        <v>0</v>
      </c>
      <c r="O675">
        <v>-1.6168769999999999E-2</v>
      </c>
      <c r="P675">
        <v>0.98703010000000002</v>
      </c>
      <c r="Q675">
        <v>0.1481895</v>
      </c>
      <c r="R675">
        <v>-6.1738719999999997E-2</v>
      </c>
      <c r="S675">
        <v>3.046173</v>
      </c>
      <c r="T675">
        <v>-0.13711189999999901</v>
      </c>
      <c r="U675">
        <v>-0.21862789999999999</v>
      </c>
      <c r="V675">
        <v>4.5737600000000003E-2</v>
      </c>
      <c r="W675">
        <v>0.15949579999999999</v>
      </c>
      <c r="X675">
        <v>0.98613850000000003</v>
      </c>
      <c r="Y675">
        <v>5.5409970000000003E-2</v>
      </c>
      <c r="Z675">
        <v>-5.184117E-4</v>
      </c>
      <c r="AA675">
        <v>0.99846360000000001</v>
      </c>
      <c r="AB675">
        <v>27</v>
      </c>
      <c r="AC675">
        <v>23.2712</v>
      </c>
      <c r="AD675">
        <v>-1.059929522964</v>
      </c>
      <c r="AE675">
        <v>-1.68569999999999</v>
      </c>
      <c r="AF675">
        <v>1.3064921064245201</v>
      </c>
      <c r="AG675">
        <v>-1.059929522964</v>
      </c>
      <c r="AH675">
        <v>23.247439587547198</v>
      </c>
      <c r="AI675">
        <v>92.606393765821196</v>
      </c>
      <c r="AJ675">
        <v>86.783395256251794</v>
      </c>
      <c r="AK675">
        <v>23.308235016715798</v>
      </c>
      <c r="AL675">
        <v>80.822368033277201</v>
      </c>
      <c r="AM675">
        <v>87.344495945607093</v>
      </c>
      <c r="AN675">
        <v>0.99999998972682502</v>
      </c>
    </row>
    <row r="676" spans="1:40" x14ac:dyDescent="0.25">
      <c r="A676" t="str">
        <f>"20190312172624737"</f>
        <v>20190312172624737</v>
      </c>
      <c r="B676" t="str">
        <f>"1552382784729214"</f>
        <v>1552382784729214</v>
      </c>
      <c r="C676" t="s">
        <v>40</v>
      </c>
      <c r="D676">
        <v>3.2324079999999999</v>
      </c>
      <c r="E676">
        <v>0.50279589999999996</v>
      </c>
      <c r="F676" t="s">
        <v>41</v>
      </c>
      <c r="G676">
        <v>-278.3141</v>
      </c>
      <c r="H676" s="1">
        <v>-1.7281710000000001E-6</v>
      </c>
      <c r="I676">
        <v>365.2251</v>
      </c>
      <c r="J676">
        <v>-301.92930000000001</v>
      </c>
      <c r="K676">
        <v>1.059925</v>
      </c>
      <c r="L676">
        <v>366.89600000000002</v>
      </c>
      <c r="M676">
        <v>0.99980650000000004</v>
      </c>
      <c r="N676">
        <v>0</v>
      </c>
      <c r="O676">
        <v>-1.6034119999999999E-2</v>
      </c>
      <c r="P676">
        <v>0.98697219999999997</v>
      </c>
      <c r="Q676">
        <v>0.14884410000000001</v>
      </c>
      <c r="R676">
        <v>-6.1086799999999997E-2</v>
      </c>
      <c r="S676">
        <v>3.0463260000000001</v>
      </c>
      <c r="T676">
        <v>-0.13519800000000001</v>
      </c>
      <c r="U676">
        <v>-0.2136536</v>
      </c>
      <c r="V676">
        <v>4.5217760000000003E-2</v>
      </c>
      <c r="W676">
        <v>0.16010820000000001</v>
      </c>
      <c r="X676">
        <v>0.98606320000000003</v>
      </c>
      <c r="Y676">
        <v>5.3921030000000002E-2</v>
      </c>
      <c r="Z676">
        <v>-4.8416490000000002E-4</v>
      </c>
      <c r="AA676">
        <v>0.99854509999999996</v>
      </c>
      <c r="AB676">
        <v>27</v>
      </c>
      <c r="AC676">
        <v>23.615200000000002</v>
      </c>
      <c r="AD676">
        <v>-1.0599267281710001</v>
      </c>
      <c r="AE676">
        <v>-1.6708999999999601</v>
      </c>
      <c r="AF676">
        <v>1.2894270111824899</v>
      </c>
      <c r="AG676">
        <v>-1.0599267281710001</v>
      </c>
      <c r="AH676">
        <v>23.591668110138301</v>
      </c>
      <c r="AI676">
        <v>92.568626896563103</v>
      </c>
      <c r="AJ676">
        <v>86.871552641715098</v>
      </c>
      <c r="AK676">
        <v>23.650642082302401</v>
      </c>
      <c r="AL676">
        <v>80.786823019639399</v>
      </c>
      <c r="AM676">
        <v>87.374434943266394</v>
      </c>
      <c r="AN676">
        <v>0.99999995796044805</v>
      </c>
    </row>
    <row r="677" spans="1:40" x14ac:dyDescent="0.25">
      <c r="A677" t="str">
        <f>"20190312172624760"</f>
        <v>20190312172624760</v>
      </c>
      <c r="B677" t="str">
        <f>"1552382784749710"</f>
        <v>1552382784749710</v>
      </c>
      <c r="C677" t="s">
        <v>40</v>
      </c>
      <c r="D677">
        <v>3.2114250000000002</v>
      </c>
      <c r="E677">
        <v>0.50286529999999996</v>
      </c>
      <c r="F677" t="s">
        <v>41</v>
      </c>
      <c r="G677">
        <v>-277.61689999999999</v>
      </c>
      <c r="H677" s="1">
        <v>-1.9703719999999999E-6</v>
      </c>
      <c r="I677">
        <v>365.20650000000001</v>
      </c>
      <c r="J677">
        <v>-301.65219999999999</v>
      </c>
      <c r="K677">
        <v>1.0599160000000001</v>
      </c>
      <c r="L677">
        <v>366.89170000000001</v>
      </c>
      <c r="M677">
        <v>0.99980939999999996</v>
      </c>
      <c r="N677">
        <v>0</v>
      </c>
      <c r="O677">
        <v>-1.588898E-2</v>
      </c>
      <c r="P677">
        <v>0.98695920000000004</v>
      </c>
      <c r="Q677">
        <v>0.1491944</v>
      </c>
      <c r="R677">
        <v>-6.0439649999999998E-2</v>
      </c>
      <c r="S677">
        <v>3.0465390000000001</v>
      </c>
      <c r="T677">
        <v>-0.13281679999999901</v>
      </c>
      <c r="U677">
        <v>-0.21170040000000001</v>
      </c>
      <c r="V677">
        <v>4.4713799999999998E-2</v>
      </c>
      <c r="W677">
        <v>0.16040570000000001</v>
      </c>
      <c r="X677">
        <v>0.98603790000000002</v>
      </c>
      <c r="Y677">
        <v>5.342566E-2</v>
      </c>
      <c r="Z677">
        <v>-4.711575E-4</v>
      </c>
      <c r="AA677">
        <v>0.99857169999999895</v>
      </c>
      <c r="AB677">
        <v>27</v>
      </c>
      <c r="AC677">
        <v>24.035299999999999</v>
      </c>
      <c r="AD677">
        <v>-1.0599179703720001</v>
      </c>
      <c r="AE677">
        <v>-1.6852</v>
      </c>
      <c r="AF677">
        <v>1.3005494929970001</v>
      </c>
      <c r="AG677">
        <v>-1.0599179703720001</v>
      </c>
      <c r="AH677">
        <v>24.012575229677299</v>
      </c>
      <c r="AI677">
        <v>92.523707995428197</v>
      </c>
      <c r="AJ677">
        <v>86.899821794302397</v>
      </c>
      <c r="AK677">
        <v>24.071115974307599</v>
      </c>
      <c r="AL677">
        <v>80.769554969337804</v>
      </c>
      <c r="AM677">
        <v>87.4035905402136</v>
      </c>
      <c r="AN677">
        <v>1.00000002636966</v>
      </c>
    </row>
    <row r="678" spans="1:40" x14ac:dyDescent="0.25">
      <c r="A678" t="str">
        <f>"20190312172624783"</f>
        <v>20190312172624783</v>
      </c>
      <c r="B678" t="str">
        <f>"1552382784778991"</f>
        <v>1552382784778991</v>
      </c>
      <c r="C678" t="s">
        <v>40</v>
      </c>
      <c r="D678">
        <v>3.2444570000000001</v>
      </c>
      <c r="E678">
        <v>0.47856510000000002</v>
      </c>
      <c r="F678" t="s">
        <v>41</v>
      </c>
      <c r="G678">
        <v>-277.00189999999998</v>
      </c>
      <c r="H678" s="1">
        <v>-2.183088E-6</v>
      </c>
      <c r="I678">
        <v>365.1936</v>
      </c>
      <c r="J678">
        <v>-301.38299999999998</v>
      </c>
      <c r="K678">
        <v>1.059903</v>
      </c>
      <c r="L678">
        <v>366.88760000000002</v>
      </c>
      <c r="M678">
        <v>0.99981240000000005</v>
      </c>
      <c r="N678">
        <v>0</v>
      </c>
      <c r="O678">
        <v>-1.574648E-2</v>
      </c>
      <c r="P678">
        <v>0.98698450000000004</v>
      </c>
      <c r="Q678">
        <v>0.14920220000000001</v>
      </c>
      <c r="R678">
        <v>-6.0008180000000001E-2</v>
      </c>
      <c r="S678">
        <v>3.0466000000000002</v>
      </c>
      <c r="T678">
        <v>-0.13099829999999901</v>
      </c>
      <c r="U678">
        <v>-0.20986940000000001</v>
      </c>
      <c r="V678">
        <v>4.4423200000000003E-2</v>
      </c>
      <c r="W678">
        <v>0.16035769999999999</v>
      </c>
      <c r="X678">
        <v>0.98605880000000001</v>
      </c>
      <c r="Y678">
        <v>5.2970549999999998E-2</v>
      </c>
      <c r="Z678">
        <v>-4.6105940000000002E-4</v>
      </c>
      <c r="AA678">
        <v>0.99859600000000004</v>
      </c>
      <c r="AB678">
        <v>27</v>
      </c>
      <c r="AC678">
        <v>24.3811</v>
      </c>
      <c r="AD678">
        <v>-1.059905183088</v>
      </c>
      <c r="AE678">
        <v>-1.6940000000000099</v>
      </c>
      <c r="AF678">
        <v>1.3073901182238601</v>
      </c>
      <c r="AG678">
        <v>-1.059905183088</v>
      </c>
      <c r="AH678">
        <v>24.358939406419498</v>
      </c>
      <c r="AI678">
        <v>92.487903731270407</v>
      </c>
      <c r="AJ678">
        <v>86.927775450393497</v>
      </c>
      <c r="AK678">
        <v>24.417014496534598</v>
      </c>
      <c r="AL678">
        <v>80.772340848238102</v>
      </c>
      <c r="AM678">
        <v>87.420496629991305</v>
      </c>
      <c r="AN678">
        <v>0.99999998485248398</v>
      </c>
    </row>
    <row r="679" spans="1:40" x14ac:dyDescent="0.25">
      <c r="A679" t="str">
        <f>"20190312172624805"</f>
        <v>20190312172624805</v>
      </c>
      <c r="B679" t="str">
        <f>"1552382784799486"</f>
        <v>1552382784799486</v>
      </c>
      <c r="C679" t="s">
        <v>40</v>
      </c>
      <c r="D679">
        <v>3.2333259999999999</v>
      </c>
      <c r="E679">
        <v>0.47308929999999999</v>
      </c>
      <c r="F679" t="s">
        <v>41</v>
      </c>
      <c r="G679">
        <v>-272.15699999999998</v>
      </c>
      <c r="H679" s="1">
        <v>-3.8575610000000001E-6</v>
      </c>
      <c r="I679">
        <v>366.73779999999999</v>
      </c>
      <c r="J679">
        <v>-301.11430000000001</v>
      </c>
      <c r="K679">
        <v>1.0598909999999999</v>
      </c>
      <c r="L679">
        <v>366.88350000000003</v>
      </c>
      <c r="M679">
        <v>0.99981500000000001</v>
      </c>
      <c r="N679">
        <v>0</v>
      </c>
      <c r="O679">
        <v>-1.5606470000000001E-2</v>
      </c>
      <c r="P679">
        <v>0.98703160000000001</v>
      </c>
      <c r="Q679">
        <v>0.14912590000000001</v>
      </c>
      <c r="R679">
        <v>-5.941366E-2</v>
      </c>
      <c r="S679">
        <v>3.0552980000000001</v>
      </c>
      <c r="T679">
        <v>-0.11080280000000001</v>
      </c>
      <c r="U679">
        <v>-1.5655519999999999E-2</v>
      </c>
      <c r="V679">
        <v>4.3966789999999999E-2</v>
      </c>
      <c r="W679">
        <v>0.1602249</v>
      </c>
      <c r="X679">
        <v>0.98610089999999995</v>
      </c>
      <c r="Y679">
        <v>-1.046674E-2</v>
      </c>
      <c r="Z679">
        <v>7.5553259999999896E-4</v>
      </c>
      <c r="AA679">
        <v>0.99994490000000003</v>
      </c>
      <c r="AB679">
        <v>27</v>
      </c>
      <c r="AC679">
        <v>28.9573</v>
      </c>
      <c r="AD679">
        <v>-1.0598948575610001</v>
      </c>
      <c r="AE679">
        <v>-0.145700000000033</v>
      </c>
      <c r="AF679">
        <v>-0.30585779645212702</v>
      </c>
      <c r="AG679">
        <v>-1.0598948575610001</v>
      </c>
      <c r="AH679">
        <v>28.917307194641602</v>
      </c>
      <c r="AI679">
        <v>92.098983057771093</v>
      </c>
      <c r="AJ679">
        <v>90.605993749544595</v>
      </c>
      <c r="AK679">
        <v>28.938341028642402</v>
      </c>
      <c r="AL679">
        <v>80.780049924417497</v>
      </c>
      <c r="AM679">
        <v>87.447072404482896</v>
      </c>
      <c r="AN679">
        <v>1.0000000410918599</v>
      </c>
    </row>
    <row r="680" spans="1:40" x14ac:dyDescent="0.25">
      <c r="A680" t="str">
        <f>"20190312172624827"</f>
        <v>20190312172624827</v>
      </c>
      <c r="B680" t="str">
        <f>"1552382784819009"</f>
        <v>1552382784819009</v>
      </c>
      <c r="C680" t="s">
        <v>40</v>
      </c>
      <c r="D680">
        <v>3.120158</v>
      </c>
      <c r="E680">
        <v>0.471082</v>
      </c>
      <c r="F680" t="s">
        <v>41</v>
      </c>
      <c r="G680">
        <v>-272.25209999999998</v>
      </c>
      <c r="H680" s="1">
        <v>-3.7414350000000002E-6</v>
      </c>
      <c r="I680">
        <v>367.16219999999998</v>
      </c>
      <c r="J680">
        <v>-300.8356</v>
      </c>
      <c r="K680">
        <v>1.0598799999999999</v>
      </c>
      <c r="L680">
        <v>366.8793</v>
      </c>
      <c r="M680">
        <v>0.99981799999999998</v>
      </c>
      <c r="N680">
        <v>0</v>
      </c>
      <c r="O680">
        <v>-1.546546E-2</v>
      </c>
      <c r="P680">
        <v>0.98699729999999997</v>
      </c>
      <c r="Q680">
        <v>0.149424</v>
      </c>
      <c r="R680">
        <v>-5.9237489999999997E-2</v>
      </c>
      <c r="S680">
        <v>3.0581969999999998</v>
      </c>
      <c r="T680">
        <v>-0.1123049</v>
      </c>
      <c r="U680">
        <v>2.9541020000000001E-2</v>
      </c>
      <c r="V680">
        <v>4.3930629999999998E-2</v>
      </c>
      <c r="W680">
        <v>0.1604575</v>
      </c>
      <c r="X680">
        <v>0.98606470000000002</v>
      </c>
      <c r="Y680">
        <v>-2.5096380000000001E-2</v>
      </c>
      <c r="Z680">
        <v>1.0283919999999999E-3</v>
      </c>
      <c r="AA680">
        <v>0.99968449999999998</v>
      </c>
      <c r="AB680">
        <v>27</v>
      </c>
      <c r="AC680">
        <v>28.583500000000001</v>
      </c>
      <c r="AD680">
        <v>-1.059883741435</v>
      </c>
      <c r="AE680">
        <v>0.282899999999983</v>
      </c>
      <c r="AF680">
        <v>-0.72395541940027996</v>
      </c>
      <c r="AG680">
        <v>-1.059883741435</v>
      </c>
      <c r="AH680">
        <v>28.536473342709002</v>
      </c>
      <c r="AI680">
        <v>92.126382533865396</v>
      </c>
      <c r="AJ680">
        <v>91.453252268621299</v>
      </c>
      <c r="AK680">
        <v>28.5653247108059</v>
      </c>
      <c r="AL680">
        <v>80.766548330025699</v>
      </c>
      <c r="AM680">
        <v>87.449075735754107</v>
      </c>
      <c r="AN680">
        <v>1.00000005107226</v>
      </c>
    </row>
    <row r="681" spans="1:40" x14ac:dyDescent="0.25">
      <c r="A681" t="str">
        <f>"20190312172624851"</f>
        <v>20190312172624851</v>
      </c>
      <c r="B681" t="str">
        <f>"1552382784839502"</f>
        <v>1552382784839502</v>
      </c>
      <c r="C681" t="s">
        <v>40</v>
      </c>
      <c r="D681">
        <v>3.2249729999999999</v>
      </c>
      <c r="E681">
        <v>0.47005190000000002</v>
      </c>
      <c r="F681" t="s">
        <v>41</v>
      </c>
      <c r="G681">
        <v>-272.79259999999999</v>
      </c>
      <c r="H681" s="1">
        <v>-3.4847639999999999E-6</v>
      </c>
      <c r="I681">
        <v>367.30220000000003</v>
      </c>
      <c r="J681">
        <v>-300.56029999999998</v>
      </c>
      <c r="K681">
        <v>1.0598719999999999</v>
      </c>
      <c r="L681">
        <v>366.87520000000001</v>
      </c>
      <c r="M681">
        <v>0.99982090000000001</v>
      </c>
      <c r="N681">
        <v>0</v>
      </c>
      <c r="O681">
        <v>-1.5329209999999999E-2</v>
      </c>
      <c r="P681">
        <v>0.98701000000000005</v>
      </c>
      <c r="Q681">
        <v>0.1494461</v>
      </c>
      <c r="R681">
        <v>-5.8968050000000001E-2</v>
      </c>
      <c r="S681">
        <v>3.0598139999999998</v>
      </c>
      <c r="T681">
        <v>-0.115644899999999</v>
      </c>
      <c r="U681">
        <v>4.6142580000000002E-2</v>
      </c>
      <c r="V681">
        <v>4.3795750000000001E-2</v>
      </c>
      <c r="W681">
        <v>0.16041469999999999</v>
      </c>
      <c r="X681">
        <v>0.9860776</v>
      </c>
      <c r="Y681">
        <v>-3.0372489999999999E-2</v>
      </c>
      <c r="Z681">
        <v>1.1528829999999999E-3</v>
      </c>
      <c r="AA681">
        <v>0.99953800000000004</v>
      </c>
      <c r="AB681">
        <v>27</v>
      </c>
      <c r="AC681">
        <v>27.767699999999898</v>
      </c>
      <c r="AD681">
        <v>-1.059875484764</v>
      </c>
      <c r="AE681">
        <v>0.42700000000001997</v>
      </c>
      <c r="AF681">
        <v>-0.85139284411179805</v>
      </c>
      <c r="AG681">
        <v>-1.059875484764</v>
      </c>
      <c r="AH681">
        <v>27.717518819667902</v>
      </c>
      <c r="AI681">
        <v>92.188804651383407</v>
      </c>
      <c r="AJ681">
        <v>91.759388480903098</v>
      </c>
      <c r="AK681">
        <v>27.750838822220398</v>
      </c>
      <c r="AL681">
        <v>80.7690321891113</v>
      </c>
      <c r="AM681">
        <v>87.456930753391603</v>
      </c>
      <c r="AN681">
        <v>0.99999998845795601</v>
      </c>
    </row>
    <row r="682" spans="1:40" x14ac:dyDescent="0.25">
      <c r="A682" t="str">
        <f>"20190312172624871"</f>
        <v>20190312172624871</v>
      </c>
      <c r="B682" t="str">
        <f>"1552382784859022"</f>
        <v>1552382784859022</v>
      </c>
      <c r="C682" t="s">
        <v>40</v>
      </c>
      <c r="D682">
        <v>3.2164899999999998</v>
      </c>
      <c r="E682">
        <v>0.46938679999999999</v>
      </c>
      <c r="F682" t="s">
        <v>41</v>
      </c>
      <c r="G682">
        <v>-272.15600000000001</v>
      </c>
      <c r="H682" s="1">
        <v>-3.742669E-6</v>
      </c>
      <c r="I682">
        <v>367.38780000000003</v>
      </c>
      <c r="J682">
        <v>-300.30380000000002</v>
      </c>
      <c r="K682">
        <v>1.059868</v>
      </c>
      <c r="L682">
        <v>366.87139999999999</v>
      </c>
      <c r="M682">
        <v>0.99982349999999998</v>
      </c>
      <c r="N682">
        <v>0</v>
      </c>
      <c r="O682">
        <v>-1.520383E-2</v>
      </c>
      <c r="P682">
        <v>0.98694440000000005</v>
      </c>
      <c r="Q682">
        <v>0.1498217</v>
      </c>
      <c r="R682">
        <v>-5.9115010000000003E-2</v>
      </c>
      <c r="S682">
        <v>3.0600589999999999</v>
      </c>
      <c r="T682">
        <v>-0.114182199999999</v>
      </c>
      <c r="U682">
        <v>5.5236819999999999E-2</v>
      </c>
      <c r="V682">
        <v>4.4067549999999997E-2</v>
      </c>
      <c r="W682">
        <v>0.16072719999999999</v>
      </c>
      <c r="X682">
        <v>0.98601459999999996</v>
      </c>
      <c r="Y682">
        <v>-3.3214470000000003E-2</v>
      </c>
      <c r="Z682">
        <v>1.1865179999999999E-3</v>
      </c>
      <c r="AA682">
        <v>0.99944750000000004</v>
      </c>
      <c r="AB682">
        <v>27</v>
      </c>
      <c r="AC682">
        <v>28.1478</v>
      </c>
      <c r="AD682">
        <v>-1.0598717426690001</v>
      </c>
      <c r="AE682">
        <v>0.51640000000003194</v>
      </c>
      <c r="AF682">
        <v>-0.94298421659203202</v>
      </c>
      <c r="AG682">
        <v>-1.0598717426690001</v>
      </c>
      <c r="AH682">
        <v>28.096871813805901</v>
      </c>
      <c r="AI682">
        <v>92.159075769427901</v>
      </c>
      <c r="AJ682">
        <v>91.922233325773206</v>
      </c>
      <c r="AK682">
        <v>28.132663454871999</v>
      </c>
      <c r="AL682">
        <v>80.750891857097002</v>
      </c>
      <c r="AM682">
        <v>87.441005895220897</v>
      </c>
      <c r="AN682">
        <v>0.99999998659800104</v>
      </c>
    </row>
    <row r="683" spans="1:40" x14ac:dyDescent="0.25">
      <c r="A683" t="str">
        <f>"20190312172624894"</f>
        <v>20190312172624894</v>
      </c>
      <c r="B683" t="str">
        <f>"1552382784889278"</f>
        <v>1552382784889278</v>
      </c>
      <c r="C683" t="s">
        <v>40</v>
      </c>
      <c r="D683">
        <v>3.1478709999999999</v>
      </c>
      <c r="E683">
        <v>0.4689566</v>
      </c>
      <c r="F683" t="s">
        <v>41</v>
      </c>
      <c r="G683">
        <v>-271.54570000000001</v>
      </c>
      <c r="H683" s="1">
        <v>-3.994852E-6</v>
      </c>
      <c r="I683">
        <v>367.44200000000001</v>
      </c>
      <c r="J683">
        <v>-300.02510000000001</v>
      </c>
      <c r="K683">
        <v>1.05986</v>
      </c>
      <c r="L683">
        <v>366.8673</v>
      </c>
      <c r="M683">
        <v>0.9998264</v>
      </c>
      <c r="N683">
        <v>0</v>
      </c>
      <c r="O683">
        <v>-1.5068420000000001E-2</v>
      </c>
      <c r="P683">
        <v>0.9869135</v>
      </c>
      <c r="Q683">
        <v>0.14999579999999901</v>
      </c>
      <c r="R683">
        <v>-5.9189989999999998E-2</v>
      </c>
      <c r="S683">
        <v>3.0604550000000001</v>
      </c>
      <c r="T683">
        <v>-0.11279210000000001</v>
      </c>
      <c r="U683">
        <v>6.0729980000000003E-2</v>
      </c>
      <c r="V683">
        <v>4.4276740000000002E-2</v>
      </c>
      <c r="W683">
        <v>0.16083629999999999</v>
      </c>
      <c r="X683">
        <v>0.98598739999999996</v>
      </c>
      <c r="Y683">
        <v>-3.486976E-2</v>
      </c>
      <c r="Z683">
        <v>1.197413E-3</v>
      </c>
      <c r="AA683">
        <v>0.99939109999999998</v>
      </c>
      <c r="AB683">
        <v>27</v>
      </c>
      <c r="AC683">
        <v>28.479399999999998</v>
      </c>
      <c r="AD683">
        <v>-1.0598639948519999</v>
      </c>
      <c r="AE683">
        <v>0.57469999999995003</v>
      </c>
      <c r="AF683">
        <v>-1.0024123386602699</v>
      </c>
      <c r="AG683">
        <v>-1.0598639948519999</v>
      </c>
      <c r="AH683">
        <v>28.4281499102858</v>
      </c>
      <c r="AI683">
        <v>92.133798981719295</v>
      </c>
      <c r="AJ683">
        <v>92.019484581977906</v>
      </c>
      <c r="AK683">
        <v>28.4655554926645</v>
      </c>
      <c r="AL683">
        <v>80.744558139502104</v>
      </c>
      <c r="AM683">
        <v>87.428803702093504</v>
      </c>
      <c r="AN683">
        <v>0.99999994903073697</v>
      </c>
    </row>
    <row r="684" spans="1:40" x14ac:dyDescent="0.25">
      <c r="A684" t="str">
        <f>"20190312172624917"</f>
        <v>20190312172624917</v>
      </c>
      <c r="B684" t="str">
        <f>"1552382784909777"</f>
        <v>1552382784909777</v>
      </c>
      <c r="C684" t="s">
        <v>40</v>
      </c>
      <c r="D684">
        <v>3.2580390000000001</v>
      </c>
      <c r="E684">
        <v>0.46883039999999998</v>
      </c>
      <c r="F684" t="s">
        <v>41</v>
      </c>
      <c r="G684">
        <v>-271.09870000000001</v>
      </c>
      <c r="H684" s="1">
        <v>-4.1810289999999996E-6</v>
      </c>
      <c r="I684">
        <v>367.4735</v>
      </c>
      <c r="J684">
        <v>-299.74439999999998</v>
      </c>
      <c r="K684">
        <v>1.0598529999999999</v>
      </c>
      <c r="L684">
        <v>366.86320000000001</v>
      </c>
      <c r="M684">
        <v>0.99982899999999997</v>
      </c>
      <c r="N684">
        <v>0</v>
      </c>
      <c r="O684">
        <v>-1.4931959999999999E-2</v>
      </c>
      <c r="P684">
        <v>0.98693649999999999</v>
      </c>
      <c r="Q684">
        <v>0.149886299999999</v>
      </c>
      <c r="R684">
        <v>-5.9079739999999999E-2</v>
      </c>
      <c r="S684">
        <v>3.0606689999999999</v>
      </c>
      <c r="T684">
        <v>-0.112142699999999</v>
      </c>
      <c r="U684">
        <v>6.4147949999999995E-2</v>
      </c>
      <c r="V684">
        <v>4.4301380000000001E-2</v>
      </c>
      <c r="W684">
        <v>0.160665</v>
      </c>
      <c r="X684">
        <v>0.98601419999999995</v>
      </c>
      <c r="Y684">
        <v>-3.5847370000000003E-2</v>
      </c>
      <c r="Z684">
        <v>1.203331E-3</v>
      </c>
      <c r="AA684">
        <v>0.99935660000000004</v>
      </c>
      <c r="AB684">
        <v>27</v>
      </c>
      <c r="AC684">
        <v>28.645699999999898</v>
      </c>
      <c r="AD684">
        <v>-1.0598571810290001</v>
      </c>
      <c r="AE684">
        <v>0.61029999999999496</v>
      </c>
      <c r="AF684">
        <v>-1.0365755137546699</v>
      </c>
      <c r="AG684">
        <v>-1.0598571810290001</v>
      </c>
      <c r="AH684">
        <v>28.594267150835002</v>
      </c>
      <c r="AI684">
        <v>92.121325573968406</v>
      </c>
      <c r="AJ684">
        <v>92.076129663386695</v>
      </c>
      <c r="AK684">
        <v>28.632671896510399</v>
      </c>
      <c r="AL684">
        <v>80.754502038421506</v>
      </c>
      <c r="AM684">
        <v>87.427444583912305</v>
      </c>
      <c r="AN684">
        <v>0.99999992854826902</v>
      </c>
    </row>
    <row r="685" spans="1:40" x14ac:dyDescent="0.25">
      <c r="A685" t="str">
        <f>"20190312172624939"</f>
        <v>20190312172624939</v>
      </c>
      <c r="B685" t="str">
        <f>"1552382784929294"</f>
        <v>1552382784929294</v>
      </c>
      <c r="C685" t="s">
        <v>40</v>
      </c>
      <c r="D685">
        <v>3.2026249999999998</v>
      </c>
      <c r="E685">
        <v>0.46863830000000001</v>
      </c>
      <c r="F685" t="s">
        <v>41</v>
      </c>
      <c r="G685">
        <v>-271.01350000000002</v>
      </c>
      <c r="H685" s="1">
        <v>-4.216814E-6</v>
      </c>
      <c r="I685">
        <v>367.47789999999998</v>
      </c>
      <c r="J685">
        <v>-299.47859999999997</v>
      </c>
      <c r="K685">
        <v>1.0598459999999901</v>
      </c>
      <c r="L685">
        <v>366.85939999999999</v>
      </c>
      <c r="M685">
        <v>0.99983160000000004</v>
      </c>
      <c r="N685">
        <v>0</v>
      </c>
      <c r="O685">
        <v>-1.4802559999999999E-2</v>
      </c>
      <c r="P685">
        <v>0.9868922</v>
      </c>
      <c r="Q685">
        <v>0.15021199999999901</v>
      </c>
      <c r="R685">
        <v>-5.8993200000000003E-2</v>
      </c>
      <c r="S685">
        <v>3.0608219999999999</v>
      </c>
      <c r="T685">
        <v>-0.1129106</v>
      </c>
      <c r="U685">
        <v>6.5490720000000002E-2</v>
      </c>
      <c r="V685">
        <v>4.434345E-2</v>
      </c>
      <c r="W685">
        <v>0.160931399999999</v>
      </c>
      <c r="X685">
        <v>0.98596890000000004</v>
      </c>
      <c r="Y685">
        <v>-3.6154609999999997E-2</v>
      </c>
      <c r="Z685">
        <v>1.212393E-3</v>
      </c>
      <c r="AA685">
        <v>0.9993455</v>
      </c>
      <c r="AB685">
        <v>27</v>
      </c>
      <c r="AC685">
        <v>28.4650999999999</v>
      </c>
      <c r="AD685">
        <v>-1.0598502168139901</v>
      </c>
      <c r="AE685">
        <v>0.61849999999998295</v>
      </c>
      <c r="AF685">
        <v>-1.0383745268258999</v>
      </c>
      <c r="AG685">
        <v>-1.0598502168139901</v>
      </c>
      <c r="AH685">
        <v>28.413453406947198</v>
      </c>
      <c r="AI685">
        <v>92.134775723372101</v>
      </c>
      <c r="AJ685">
        <v>92.092952671109899</v>
      </c>
      <c r="AK685">
        <v>28.452167556247801</v>
      </c>
      <c r="AL685">
        <v>80.739037537473095</v>
      </c>
      <c r="AM685">
        <v>87.424886742092298</v>
      </c>
      <c r="AN685">
        <v>0.99999996441553496</v>
      </c>
    </row>
    <row r="686" spans="1:40" x14ac:dyDescent="0.25">
      <c r="A686" t="str">
        <f>"20190312172624960"</f>
        <v>20190312172624960</v>
      </c>
      <c r="B686" t="str">
        <f>"1552382784949790"</f>
        <v>1552382784949790</v>
      </c>
      <c r="C686" t="s">
        <v>40</v>
      </c>
      <c r="D686">
        <v>3.2309510000000001</v>
      </c>
      <c r="E686">
        <v>0.46852690000000002</v>
      </c>
      <c r="F686" t="s">
        <v>41</v>
      </c>
      <c r="G686">
        <v>-270.48340000000002</v>
      </c>
      <c r="H686" s="1">
        <v>-4.4412489999999998E-6</v>
      </c>
      <c r="I686">
        <v>367.4948</v>
      </c>
      <c r="J686">
        <v>-299.2133</v>
      </c>
      <c r="K686">
        <v>1.059839</v>
      </c>
      <c r="L686">
        <v>366.85559999999998</v>
      </c>
      <c r="M686">
        <v>0.999834</v>
      </c>
      <c r="N686">
        <v>0</v>
      </c>
      <c r="O686">
        <v>-1.4672559999999999E-2</v>
      </c>
      <c r="P686">
        <v>0.98683730000000003</v>
      </c>
      <c r="Q686">
        <v>0.15054039999999999</v>
      </c>
      <c r="R686">
        <v>-5.9072729999999997E-2</v>
      </c>
      <c r="S686">
        <v>3.0609130000000002</v>
      </c>
      <c r="T686">
        <v>-0.11188380000000001</v>
      </c>
      <c r="U686">
        <v>6.7077639999999994E-2</v>
      </c>
      <c r="V686">
        <v>4.4552219999999997E-2</v>
      </c>
      <c r="W686">
        <v>0.16120100000000001</v>
      </c>
      <c r="X686">
        <v>0.98591549999999994</v>
      </c>
      <c r="Y686">
        <v>-3.654234E-2</v>
      </c>
      <c r="Z686">
        <v>1.203665E-3</v>
      </c>
      <c r="AA686">
        <v>0.99933139999999998</v>
      </c>
      <c r="AB686">
        <v>27</v>
      </c>
      <c r="AC686">
        <v>28.729899999999901</v>
      </c>
      <c r="AD686">
        <v>-1.0598434412490001</v>
      </c>
      <c r="AE686">
        <v>0.63920000000001598</v>
      </c>
      <c r="AF686">
        <v>-1.05925616969388</v>
      </c>
      <c r="AG686">
        <v>-1.0598434412490001</v>
      </c>
      <c r="AH686">
        <v>28.678419518168099</v>
      </c>
      <c r="AI686">
        <v>92.115026282200901</v>
      </c>
      <c r="AJ686">
        <v>92.115295490341495</v>
      </c>
      <c r="AK686">
        <v>28.717538853687302</v>
      </c>
      <c r="AL686">
        <v>80.723386746006298</v>
      </c>
      <c r="AM686">
        <v>87.412639542875098</v>
      </c>
      <c r="AN686">
        <v>1.00000001792408</v>
      </c>
    </row>
    <row r="687" spans="1:40" x14ac:dyDescent="0.25">
      <c r="A687" t="str">
        <f>"20190312172624984"</f>
        <v>20190312172624984</v>
      </c>
      <c r="B687" t="str">
        <f>"1552382784979071"</f>
        <v>1552382784979071</v>
      </c>
      <c r="C687" t="s">
        <v>40</v>
      </c>
      <c r="D687">
        <v>3.1334900000000001</v>
      </c>
      <c r="E687">
        <v>0.4686012</v>
      </c>
      <c r="F687" t="s">
        <v>41</v>
      </c>
      <c r="G687">
        <v>-269.8503</v>
      </c>
      <c r="H687" s="1">
        <v>-5.9723049999999997E-7</v>
      </c>
      <c r="I687">
        <v>367.51069999999999</v>
      </c>
      <c r="J687">
        <v>-298.92360000000002</v>
      </c>
      <c r="K687">
        <v>1.0598299999999901</v>
      </c>
      <c r="L687">
        <v>366.85149999999999</v>
      </c>
      <c r="M687">
        <v>0.99983690000000003</v>
      </c>
      <c r="N687">
        <v>0</v>
      </c>
      <c r="O687">
        <v>-1.4528579999999999E-2</v>
      </c>
      <c r="P687">
        <v>0.98684139999999998</v>
      </c>
      <c r="Q687">
        <v>0.1504422</v>
      </c>
      <c r="R687">
        <v>-5.9256280000000001E-2</v>
      </c>
      <c r="S687">
        <v>3.0609739999999999</v>
      </c>
      <c r="T687">
        <v>-0.1104841</v>
      </c>
      <c r="U687">
        <v>6.8298339999999999E-2</v>
      </c>
      <c r="V687">
        <v>4.4877729999999998E-2</v>
      </c>
      <c r="W687">
        <v>0.16104009999999999</v>
      </c>
      <c r="X687">
        <v>0.985927</v>
      </c>
      <c r="Y687">
        <v>-3.6797099999999999E-2</v>
      </c>
      <c r="Z687">
        <v>1.187989E-3</v>
      </c>
      <c r="AA687">
        <v>0.99932209999999999</v>
      </c>
      <c r="AB687">
        <v>27</v>
      </c>
      <c r="AC687">
        <v>29.0733</v>
      </c>
      <c r="AD687">
        <v>-1.05983059723049</v>
      </c>
      <c r="AE687">
        <v>0.65919999999999801</v>
      </c>
      <c r="AF687">
        <v>-1.08011389171913</v>
      </c>
      <c r="AG687">
        <v>-1.05983059723049</v>
      </c>
      <c r="AH687">
        <v>29.022106357893801</v>
      </c>
      <c r="AI687">
        <v>92.089954919098801</v>
      </c>
      <c r="AJ687">
        <v>92.1313896927266</v>
      </c>
      <c r="AK687">
        <v>29.061530316946602</v>
      </c>
      <c r="AL687">
        <v>80.732727388440097</v>
      </c>
      <c r="AM687">
        <v>87.393791949328104</v>
      </c>
      <c r="AN687">
        <v>0.99999998689348102</v>
      </c>
    </row>
    <row r="688" spans="1:40" x14ac:dyDescent="0.25">
      <c r="A688" t="str">
        <f>"20190312172625006"</f>
        <v>20190312172625006</v>
      </c>
      <c r="B688" t="str">
        <f>"1552382784999566"</f>
        <v>1552382784999566</v>
      </c>
      <c r="C688" t="s">
        <v>40</v>
      </c>
      <c r="D688">
        <v>3.1213570000000002</v>
      </c>
      <c r="E688">
        <v>0.46849809999999997</v>
      </c>
      <c r="F688" t="s">
        <v>41</v>
      </c>
      <c r="G688">
        <v>-269.7715</v>
      </c>
      <c r="H688" s="1">
        <v>-6.2789130000000005E-7</v>
      </c>
      <c r="I688">
        <v>367.49630000000002</v>
      </c>
      <c r="J688">
        <v>-298.6506</v>
      </c>
      <c r="K688">
        <v>1.059823</v>
      </c>
      <c r="L688">
        <v>366.84769999999997</v>
      </c>
      <c r="M688">
        <v>0.9998397</v>
      </c>
      <c r="N688">
        <v>0</v>
      </c>
      <c r="O688">
        <v>-1.438828E-2</v>
      </c>
      <c r="P688">
        <v>0.98693280000000005</v>
      </c>
      <c r="Q688">
        <v>0.14976099999999901</v>
      </c>
      <c r="R688">
        <v>-5.9463429999999998E-2</v>
      </c>
      <c r="S688">
        <v>3.061035</v>
      </c>
      <c r="T688">
        <v>-0.11128449999999999</v>
      </c>
      <c r="U688">
        <v>6.7718509999999996E-2</v>
      </c>
      <c r="V688">
        <v>4.5221150000000002E-2</v>
      </c>
      <c r="W688">
        <v>0.1603012</v>
      </c>
      <c r="X688">
        <v>0.98603169999999996</v>
      </c>
      <c r="Y688">
        <v>-3.6467050000000001E-2</v>
      </c>
      <c r="Z688">
        <v>1.1854719999999999E-3</v>
      </c>
      <c r="AA688">
        <v>0.99933419999999895</v>
      </c>
      <c r="AB688">
        <v>27</v>
      </c>
      <c r="AC688">
        <v>28.879099999999902</v>
      </c>
      <c r="AD688">
        <v>-1.0598236278913</v>
      </c>
      <c r="AE688">
        <v>0.64860000000004403</v>
      </c>
      <c r="AF688">
        <v>-1.06264658169602</v>
      </c>
      <c r="AG688">
        <v>-1.0598236278913</v>
      </c>
      <c r="AH688">
        <v>28.827971773982998</v>
      </c>
      <c r="AI688">
        <v>92.104030379286996</v>
      </c>
      <c r="AJ688">
        <v>92.1110611126023</v>
      </c>
      <c r="AK688">
        <v>28.867012323435599</v>
      </c>
      <c r="AL688">
        <v>80.775620350965696</v>
      </c>
      <c r="AM688">
        <v>87.374154612917295</v>
      </c>
      <c r="AN688">
        <v>0.99999997026682497</v>
      </c>
    </row>
    <row r="689" spans="1:40" x14ac:dyDescent="0.25">
      <c r="A689" t="str">
        <f>"20190312172625040"</f>
        <v>20190312172625040</v>
      </c>
      <c r="B689" t="str">
        <f>"1552382785029821"</f>
        <v>1552382785029821</v>
      </c>
      <c r="C689" t="s">
        <v>40</v>
      </c>
      <c r="D689">
        <v>3.1430799999999999</v>
      </c>
      <c r="E689">
        <v>0.46848010000000001</v>
      </c>
      <c r="F689" t="s">
        <v>41</v>
      </c>
      <c r="G689">
        <v>-270.25369999999998</v>
      </c>
      <c r="H689" s="1">
        <v>-4.5425280000000001E-6</v>
      </c>
      <c r="I689">
        <v>367.47930000000002</v>
      </c>
      <c r="J689">
        <v>-298.23660000000001</v>
      </c>
      <c r="K689">
        <v>1.059823</v>
      </c>
      <c r="L689">
        <v>366.84199999999998</v>
      </c>
      <c r="M689">
        <v>0.99984399999999996</v>
      </c>
      <c r="N689">
        <v>0</v>
      </c>
      <c r="O689">
        <v>-1.415429E-2</v>
      </c>
      <c r="P689">
        <v>0.98683310000000002</v>
      </c>
      <c r="Q689">
        <v>0.15016019999999999</v>
      </c>
      <c r="R689">
        <v>-6.0104539999999998E-2</v>
      </c>
      <c r="S689">
        <v>3.0611570000000001</v>
      </c>
      <c r="T689">
        <v>-0.1142478</v>
      </c>
      <c r="U689">
        <v>6.8084720000000001E-2</v>
      </c>
      <c r="V689">
        <v>4.6090649999999997E-2</v>
      </c>
      <c r="W689">
        <v>0.16061420000000001</v>
      </c>
      <c r="X689">
        <v>0.9859405</v>
      </c>
      <c r="Y689">
        <v>-3.6350210000000001E-2</v>
      </c>
      <c r="Z689">
        <v>1.2060580000000001E-3</v>
      </c>
      <c r="AA689">
        <v>0.99933839999999996</v>
      </c>
      <c r="AB689">
        <v>27</v>
      </c>
      <c r="AC689">
        <v>27.982900000000001</v>
      </c>
      <c r="AD689">
        <v>-1.0598275425279999</v>
      </c>
      <c r="AE689">
        <v>0.63730000000003795</v>
      </c>
      <c r="AF689">
        <v>-1.0318569626679499</v>
      </c>
      <c r="AG689">
        <v>-1.0598275425279999</v>
      </c>
      <c r="AH689">
        <v>27.9310305576074</v>
      </c>
      <c r="AI689">
        <v>92.171534333609799</v>
      </c>
      <c r="AJ689">
        <v>92.115717678618395</v>
      </c>
      <c r="AK689">
        <v>27.9701703824147</v>
      </c>
      <c r="AL689">
        <v>80.757451342395697</v>
      </c>
      <c r="AM689">
        <v>87.3234910894395</v>
      </c>
      <c r="AN689">
        <v>0.99999996939965496</v>
      </c>
    </row>
    <row r="690" spans="1:40" x14ac:dyDescent="0.25">
      <c r="A690" t="str">
        <f>"20190312172625063"</f>
        <v>20190312172625063</v>
      </c>
      <c r="B690" t="str">
        <f>"1552382785059102"</f>
        <v>1552382785059102</v>
      </c>
      <c r="C690" t="s">
        <v>40</v>
      </c>
      <c r="D690">
        <v>3.2608769999999998</v>
      </c>
      <c r="E690">
        <v>0.50926830000000001</v>
      </c>
      <c r="F690" t="s">
        <v>41</v>
      </c>
      <c r="G690">
        <v>-269.68430000000001</v>
      </c>
      <c r="H690" s="1">
        <v>-6.6652800000000002E-7</v>
      </c>
      <c r="I690">
        <v>367.46269999999998</v>
      </c>
      <c r="J690">
        <v>-297.95310000000001</v>
      </c>
      <c r="K690">
        <v>1.059833</v>
      </c>
      <c r="L690">
        <v>366.83819999999997</v>
      </c>
      <c r="M690">
        <v>0.99984689999999998</v>
      </c>
      <c r="N690">
        <v>0</v>
      </c>
      <c r="O690">
        <v>-1.3977109999999999E-2</v>
      </c>
      <c r="P690">
        <v>0.98677420000000005</v>
      </c>
      <c r="Q690">
        <v>0.15019869999999999</v>
      </c>
      <c r="R690">
        <v>-6.0969290000000002E-2</v>
      </c>
      <c r="S690">
        <v>3.0613709999999998</v>
      </c>
      <c r="T690">
        <v>-0.1136335</v>
      </c>
      <c r="U690">
        <v>6.6558839999999994E-2</v>
      </c>
      <c r="V690">
        <v>4.7126969999999997E-2</v>
      </c>
      <c r="W690">
        <v>0.16060099999999999</v>
      </c>
      <c r="X690">
        <v>0.98589369999999998</v>
      </c>
      <c r="Y690">
        <v>-3.5674650000000002E-2</v>
      </c>
      <c r="Z690">
        <v>1.180394E-3</v>
      </c>
      <c r="AA690">
        <v>0.9993628</v>
      </c>
      <c r="AB690">
        <v>28</v>
      </c>
      <c r="AC690">
        <v>28.268799999999999</v>
      </c>
      <c r="AD690">
        <v>-1.0598336665279999</v>
      </c>
      <c r="AE690">
        <v>0.62450000000001105</v>
      </c>
      <c r="AF690">
        <v>-1.01814660574607</v>
      </c>
      <c r="AG690">
        <v>-1.0598336665279999</v>
      </c>
      <c r="AH690">
        <v>28.217665773636998</v>
      </c>
      <c r="AI690">
        <v>92.149576514998202</v>
      </c>
      <c r="AJ690">
        <v>92.066443338954002</v>
      </c>
      <c r="AK690">
        <v>28.2559114456459</v>
      </c>
      <c r="AL690">
        <v>80.758217973377498</v>
      </c>
      <c r="AM690">
        <v>87.263272199032997</v>
      </c>
      <c r="AN690">
        <v>1.00000001010103</v>
      </c>
    </row>
    <row r="691" spans="1:40" x14ac:dyDescent="0.25">
      <c r="A691" t="str">
        <f>"20190312172625086"</f>
        <v>20190312172625086</v>
      </c>
      <c r="B691" t="str">
        <f>"1552382785079599"</f>
        <v>1552382785079599</v>
      </c>
      <c r="C691" t="s">
        <v>40</v>
      </c>
      <c r="D691">
        <v>3.3507699999999998</v>
      </c>
      <c r="E691">
        <v>0.51859089999999997</v>
      </c>
      <c r="F691" t="s">
        <v>41</v>
      </c>
      <c r="G691">
        <v>-269.0967</v>
      </c>
      <c r="H691" s="1">
        <v>-1.6901060000000001E-6</v>
      </c>
      <c r="I691">
        <v>364.36720000000003</v>
      </c>
      <c r="J691">
        <v>-297.67570000000001</v>
      </c>
      <c r="K691">
        <v>1.059841</v>
      </c>
      <c r="L691">
        <v>366.83440000000002</v>
      </c>
      <c r="M691">
        <v>0.99985020000000002</v>
      </c>
      <c r="N691">
        <v>0</v>
      </c>
      <c r="O691">
        <v>-1.378656E-2</v>
      </c>
      <c r="P691">
        <v>0.98666129999999996</v>
      </c>
      <c r="Q691">
        <v>0.15073439999999999</v>
      </c>
      <c r="R691">
        <v>-6.1474510000000003E-2</v>
      </c>
      <c r="S691">
        <v>3.0411069999999998</v>
      </c>
      <c r="T691">
        <v>-0.1116934</v>
      </c>
      <c r="U691">
        <v>-0.26040649999999999</v>
      </c>
      <c r="V691">
        <v>4.7816579999999997E-2</v>
      </c>
      <c r="W691">
        <v>0.1610876</v>
      </c>
      <c r="X691">
        <v>0.98578109999999997</v>
      </c>
      <c r="Y691">
        <v>7.153284E-2</v>
      </c>
      <c r="Z691">
        <v>-8.0558759999999996E-4</v>
      </c>
      <c r="AA691">
        <v>0.99743789999999999</v>
      </c>
      <c r="AB691">
        <v>28</v>
      </c>
      <c r="AC691">
        <v>28.579000000000001</v>
      </c>
      <c r="AD691">
        <v>-1.0598426901060001</v>
      </c>
      <c r="AE691">
        <v>-2.4671999999999898</v>
      </c>
      <c r="AF691">
        <v>2.07011191297148</v>
      </c>
      <c r="AG691">
        <v>-1.0598426901060001</v>
      </c>
      <c r="AH691">
        <v>28.571296998965401</v>
      </c>
      <c r="AI691">
        <v>92.1188445040614</v>
      </c>
      <c r="AJ691">
        <v>85.855918723798595</v>
      </c>
      <c r="AK691">
        <v>28.6657921931888</v>
      </c>
      <c r="AL691">
        <v>80.729970039769697</v>
      </c>
      <c r="AM691">
        <v>87.222971152249301</v>
      </c>
      <c r="AN691">
        <v>1.0000000086569301</v>
      </c>
    </row>
    <row r="692" spans="1:40" x14ac:dyDescent="0.25">
      <c r="A692" t="str">
        <f>"20190312172625107"</f>
        <v>20190312172625107</v>
      </c>
      <c r="B692" t="str">
        <f>"1552382785099118"</f>
        <v>1552382785099118</v>
      </c>
      <c r="C692" t="s">
        <v>40</v>
      </c>
      <c r="D692">
        <v>3.3181250000000002</v>
      </c>
      <c r="E692">
        <v>0.52222500000000005</v>
      </c>
      <c r="F692" t="s">
        <v>41</v>
      </c>
      <c r="G692">
        <v>-269.09449999999998</v>
      </c>
      <c r="H692" s="1">
        <v>-1.876633E-6</v>
      </c>
      <c r="I692">
        <v>363.66890000000001</v>
      </c>
      <c r="J692">
        <v>-297.40370000000001</v>
      </c>
      <c r="K692">
        <v>1.059844</v>
      </c>
      <c r="L692">
        <v>366.83089999999999</v>
      </c>
      <c r="M692">
        <v>0.99985369999999996</v>
      </c>
      <c r="N692">
        <v>0</v>
      </c>
      <c r="O692">
        <v>-1.357595E-2</v>
      </c>
      <c r="P692">
        <v>0.98662470000000002</v>
      </c>
      <c r="Q692">
        <v>0.150803399999999</v>
      </c>
      <c r="R692">
        <v>-6.1893469999999999E-2</v>
      </c>
      <c r="S692">
        <v>3.0368040000000001</v>
      </c>
      <c r="T692">
        <v>-0.11261019999999899</v>
      </c>
      <c r="U692">
        <v>-0.33633420000000003</v>
      </c>
      <c r="V692">
        <v>4.8437500000000001E-2</v>
      </c>
      <c r="W692">
        <v>0.1611098</v>
      </c>
      <c r="X692">
        <v>0.98574720000000005</v>
      </c>
      <c r="Y692">
        <v>9.6518989999999999E-2</v>
      </c>
      <c r="Z692">
        <v>-1.2818510000000001E-3</v>
      </c>
      <c r="AA692">
        <v>0.9953303</v>
      </c>
      <c r="AB692">
        <v>28</v>
      </c>
      <c r="AC692">
        <v>28.309200000000001</v>
      </c>
      <c r="AD692">
        <v>-1.0598458766329999</v>
      </c>
      <c r="AE692">
        <v>-3.1619999999999702</v>
      </c>
      <c r="AF692">
        <v>2.7735239502972502</v>
      </c>
      <c r="AG692">
        <v>-1.0598458766329999</v>
      </c>
      <c r="AH692">
        <v>28.3103289169085</v>
      </c>
      <c r="AI692">
        <v>92.133759086315905</v>
      </c>
      <c r="AJ692">
        <v>84.404666828686501</v>
      </c>
      <c r="AK692">
        <v>28.4656008503006</v>
      </c>
      <c r="AL692">
        <v>80.728681632647707</v>
      </c>
      <c r="AM692">
        <v>87.186871138028096</v>
      </c>
      <c r="AN692">
        <v>1.0000000506850599</v>
      </c>
    </row>
    <row r="693" spans="1:40" x14ac:dyDescent="0.25">
      <c r="A693" t="str">
        <f>"20190312172625129"</f>
        <v>20190312172625129</v>
      </c>
      <c r="B693" t="str">
        <f>"1552382785119614"</f>
        <v>1552382785119614</v>
      </c>
      <c r="C693" t="s">
        <v>40</v>
      </c>
      <c r="D693">
        <v>3.3339099999999999</v>
      </c>
      <c r="E693">
        <v>0.52442519999999904</v>
      </c>
      <c r="F693" t="s">
        <v>41</v>
      </c>
      <c r="G693">
        <v>-269.71210000000002</v>
      </c>
      <c r="H693" s="1">
        <v>-1.7150019999999999E-6</v>
      </c>
      <c r="I693">
        <v>363.48660000000001</v>
      </c>
      <c r="J693">
        <v>-297.13619999999997</v>
      </c>
      <c r="K693">
        <v>1.059857</v>
      </c>
      <c r="L693">
        <v>366.82749999999999</v>
      </c>
      <c r="M693">
        <v>0.99985710000000005</v>
      </c>
      <c r="N693">
        <v>0</v>
      </c>
      <c r="O693">
        <v>-1.3341499999999999E-2</v>
      </c>
      <c r="P693">
        <v>0.98659989999999997</v>
      </c>
      <c r="Q693">
        <v>0.15099089999999901</v>
      </c>
      <c r="R693">
        <v>-6.182642E-2</v>
      </c>
      <c r="S693">
        <v>3.0354000000000001</v>
      </c>
      <c r="T693">
        <v>-0.116174</v>
      </c>
      <c r="U693">
        <v>-0.36657709999999999</v>
      </c>
      <c r="V693">
        <v>4.8595029999999997E-2</v>
      </c>
      <c r="W693">
        <v>0.16125519999999999</v>
      </c>
      <c r="X693">
        <v>0.98571560000000003</v>
      </c>
      <c r="Y693">
        <v>0.10657229999999999</v>
      </c>
      <c r="Z693">
        <v>-1.5228030000000001E-3</v>
      </c>
      <c r="AA693">
        <v>0.99430379999999996</v>
      </c>
      <c r="AB693">
        <v>28</v>
      </c>
      <c r="AC693">
        <v>27.4240999999999</v>
      </c>
      <c r="AD693">
        <v>-1.059858715002</v>
      </c>
      <c r="AE693">
        <v>-3.3408999999999698</v>
      </c>
      <c r="AF693">
        <v>2.9703326936925998</v>
      </c>
      <c r="AG693">
        <v>-1.059858715002</v>
      </c>
      <c r="AH693">
        <v>27.425870018022199</v>
      </c>
      <c r="AI693">
        <v>92.200211256276205</v>
      </c>
      <c r="AJ693">
        <v>83.818728402911503</v>
      </c>
      <c r="AK693">
        <v>27.606602888664799</v>
      </c>
      <c r="AL693">
        <v>80.720239795954299</v>
      </c>
      <c r="AM693">
        <v>87.177646627790196</v>
      </c>
      <c r="AN693">
        <v>0.99999998027555004</v>
      </c>
    </row>
    <row r="694" spans="1:40" x14ac:dyDescent="0.25">
      <c r="A694" t="str">
        <f>"20190312172625150"</f>
        <v>20190312172625150</v>
      </c>
      <c r="B694" t="str">
        <f>"1552382785139135"</f>
        <v>1552382785139135</v>
      </c>
      <c r="C694" t="s">
        <v>40</v>
      </c>
      <c r="D694">
        <v>3.2888160000000002</v>
      </c>
      <c r="E694">
        <v>0.52628599999999903</v>
      </c>
      <c r="F694" t="s">
        <v>41</v>
      </c>
      <c r="G694">
        <v>-269.74290000000002</v>
      </c>
      <c r="H694" s="1">
        <v>-1.7376769999999999E-6</v>
      </c>
      <c r="I694">
        <v>363.36200000000002</v>
      </c>
      <c r="J694">
        <v>-296.86689999999999</v>
      </c>
      <c r="K694">
        <v>1.0598719999999999</v>
      </c>
      <c r="L694">
        <v>366.82420000000002</v>
      </c>
      <c r="M694">
        <v>0.99986090000000005</v>
      </c>
      <c r="N694">
        <v>0</v>
      </c>
      <c r="O694">
        <v>-1.307989E-2</v>
      </c>
      <c r="P694">
        <v>0.98661829999999995</v>
      </c>
      <c r="Q694">
        <v>0.1507155</v>
      </c>
      <c r="R694">
        <v>-6.2204839999999997E-2</v>
      </c>
      <c r="S694">
        <v>3.0346679999999999</v>
      </c>
      <c r="T694">
        <v>-0.11741210000000001</v>
      </c>
      <c r="U694">
        <v>-0.38391110000000001</v>
      </c>
      <c r="V694">
        <v>4.9223879999999998E-2</v>
      </c>
      <c r="W694">
        <v>0.1609437</v>
      </c>
      <c r="X694">
        <v>0.98573540000000004</v>
      </c>
      <c r="Y694">
        <v>0.11244709999999999</v>
      </c>
      <c r="Z694">
        <v>-1.6620859999999999E-3</v>
      </c>
      <c r="AA694">
        <v>0.99365630000000005</v>
      </c>
      <c r="AB694">
        <v>28</v>
      </c>
      <c r="AC694">
        <v>27.123999999999899</v>
      </c>
      <c r="AD694">
        <v>-1.059873737677</v>
      </c>
      <c r="AE694">
        <v>-3.4622000000000499</v>
      </c>
      <c r="AF694">
        <v>3.1024447832733402</v>
      </c>
      <c r="AG694">
        <v>-1.059873737677</v>
      </c>
      <c r="AH694">
        <v>27.126212958038899</v>
      </c>
      <c r="AI694">
        <v>92.223041543934698</v>
      </c>
      <c r="AJ694">
        <v>83.475390043662102</v>
      </c>
      <c r="AK694">
        <v>27.323614794129099</v>
      </c>
      <c r="AL694">
        <v>80.738324495470096</v>
      </c>
      <c r="AM694">
        <v>87.141241145056298</v>
      </c>
      <c r="AN694">
        <v>1.0000000718725399</v>
      </c>
    </row>
    <row r="695" spans="1:40" x14ac:dyDescent="0.25">
      <c r="A695" t="str">
        <f>"20190312172625173"</f>
        <v>20190312172625173</v>
      </c>
      <c r="B695" t="str">
        <f>"1552382785169390"</f>
        <v>1552382785169390</v>
      </c>
      <c r="C695" t="s">
        <v>40</v>
      </c>
      <c r="D695">
        <v>3.3218719999999999</v>
      </c>
      <c r="E695">
        <v>0.52822080000000005</v>
      </c>
      <c r="F695" t="s">
        <v>41</v>
      </c>
      <c r="G695">
        <v>-269.62790000000001</v>
      </c>
      <c r="H695" s="1">
        <v>-1.8118660000000001E-6</v>
      </c>
      <c r="I695">
        <v>363.23020000000002</v>
      </c>
      <c r="J695">
        <v>-296.59350000000001</v>
      </c>
      <c r="K695">
        <v>1.0598780000000001</v>
      </c>
      <c r="L695">
        <v>366.82089999999999</v>
      </c>
      <c r="M695">
        <v>0.99986509999999995</v>
      </c>
      <c r="N695">
        <v>0</v>
      </c>
      <c r="O695">
        <v>-1.279317E-2</v>
      </c>
      <c r="P695">
        <v>0.98658780000000001</v>
      </c>
      <c r="Q695">
        <v>0.15071039999999999</v>
      </c>
      <c r="R695">
        <v>-6.2698569999999995E-2</v>
      </c>
      <c r="S695">
        <v>3.0334780000000001</v>
      </c>
      <c r="T695">
        <v>-0.11803279999999999</v>
      </c>
      <c r="U695">
        <v>-0.40023799999999998</v>
      </c>
      <c r="V695">
        <v>4.9994249999999997E-2</v>
      </c>
      <c r="W695">
        <v>0.16090550000000001</v>
      </c>
      <c r="X695">
        <v>0.98570279999999999</v>
      </c>
      <c r="Y695">
        <v>0.11803379999999999</v>
      </c>
      <c r="Z695">
        <v>-1.7902279999999901E-3</v>
      </c>
      <c r="AA695">
        <v>0.993008</v>
      </c>
      <c r="AB695">
        <v>28</v>
      </c>
      <c r="AC695">
        <v>26.965599999999899</v>
      </c>
      <c r="AD695">
        <v>-1.059879811866</v>
      </c>
      <c r="AE695">
        <v>-3.5906999999999698</v>
      </c>
      <c r="AF695">
        <v>3.2404933749065399</v>
      </c>
      <c r="AG695">
        <v>-1.059879811866</v>
      </c>
      <c r="AH695">
        <v>26.968394971653801</v>
      </c>
      <c r="AI695">
        <v>92.234555225679202</v>
      </c>
      <c r="AJ695">
        <v>83.148250230877096</v>
      </c>
      <c r="AK695">
        <v>27.183054829719499</v>
      </c>
      <c r="AL695">
        <v>80.740541494934703</v>
      </c>
      <c r="AM695">
        <v>87.096480728211205</v>
      </c>
      <c r="AN695">
        <v>1.0000000074455699</v>
      </c>
    </row>
    <row r="696" spans="1:40" x14ac:dyDescent="0.25">
      <c r="A696" t="str">
        <f>"20190312172625196"</f>
        <v>20190312172625196</v>
      </c>
      <c r="B696" t="str">
        <f>"1552382785188911"</f>
        <v>1552382785188911</v>
      </c>
      <c r="C696" t="s">
        <v>40</v>
      </c>
      <c r="D696">
        <v>3.3333629999999999</v>
      </c>
      <c r="E696">
        <v>0.5290416</v>
      </c>
      <c r="F696" t="s">
        <v>41</v>
      </c>
      <c r="G696">
        <v>-269.78739999999999</v>
      </c>
      <c r="H696" s="1">
        <v>-1.7833869999999901E-6</v>
      </c>
      <c r="I696">
        <v>363.13330000000002</v>
      </c>
      <c r="J696">
        <v>-296.30610000000001</v>
      </c>
      <c r="K696">
        <v>1.0598939999999999</v>
      </c>
      <c r="L696">
        <v>366.81760000000003</v>
      </c>
      <c r="M696">
        <v>0.99986960000000003</v>
      </c>
      <c r="N696">
        <v>0</v>
      </c>
      <c r="O696">
        <v>-1.246941E-2</v>
      </c>
      <c r="P696">
        <v>0.98660700000000001</v>
      </c>
      <c r="Q696">
        <v>0.15048689999999901</v>
      </c>
      <c r="R696">
        <v>-6.2934530000000002E-2</v>
      </c>
      <c r="S696">
        <v>3.0325929999999999</v>
      </c>
      <c r="T696">
        <v>-0.1199045</v>
      </c>
      <c r="U696">
        <v>-0.41717530000000003</v>
      </c>
      <c r="V696">
        <v>5.0543280000000003E-2</v>
      </c>
      <c r="W696">
        <v>0.1606523</v>
      </c>
      <c r="X696">
        <v>0.98571609999999998</v>
      </c>
      <c r="Y696">
        <v>0.1238308</v>
      </c>
      <c r="Z696">
        <v>-1.945202E-3</v>
      </c>
      <c r="AA696">
        <v>0.99230149999999995</v>
      </c>
      <c r="AB696">
        <v>28</v>
      </c>
      <c r="AC696">
        <v>26.518699999999999</v>
      </c>
      <c r="AD696">
        <v>-1.059895783387</v>
      </c>
      <c r="AE696">
        <v>-3.6842999999999999</v>
      </c>
      <c r="AF696">
        <v>3.3480765368996499</v>
      </c>
      <c r="AG696">
        <v>-1.059895783387</v>
      </c>
      <c r="AH696">
        <v>26.521018308830001</v>
      </c>
      <c r="AI696">
        <v>92.2705692588315</v>
      </c>
      <c r="AJ696">
        <v>82.804906256541997</v>
      </c>
      <c r="AK696">
        <v>26.752521520519799</v>
      </c>
      <c r="AL696">
        <v>80.7552400052259</v>
      </c>
      <c r="AM696">
        <v>87.064689676445397</v>
      </c>
      <c r="AN696">
        <v>1.00000000722382</v>
      </c>
    </row>
    <row r="697" spans="1:40" x14ac:dyDescent="0.25">
      <c r="A697" t="str">
        <f>"20190312172625218"</f>
        <v>20190312172625218</v>
      </c>
      <c r="B697" t="str">
        <f>"1552382785209406"</f>
        <v>1552382785209406</v>
      </c>
      <c r="C697" t="s">
        <v>40</v>
      </c>
      <c r="D697">
        <v>3.310667</v>
      </c>
      <c r="E697">
        <v>0.52956269999999905</v>
      </c>
      <c r="F697" t="s">
        <v>41</v>
      </c>
      <c r="G697">
        <v>-270.20699999999999</v>
      </c>
      <c r="H697" s="1">
        <v>-5.3287929999999997E-6</v>
      </c>
      <c r="I697">
        <v>363.15949999999998</v>
      </c>
      <c r="J697">
        <v>-296.03379999999999</v>
      </c>
      <c r="K697">
        <v>1.0599019999999999</v>
      </c>
      <c r="L697">
        <v>366.81450000000001</v>
      </c>
      <c r="M697">
        <v>0.99987389999999998</v>
      </c>
      <c r="N697">
        <v>0</v>
      </c>
      <c r="O697">
        <v>-1.21432E-2</v>
      </c>
      <c r="P697">
        <v>0.98658570000000001</v>
      </c>
      <c r="Q697">
        <v>0.15052449999999901</v>
      </c>
      <c r="R697">
        <v>-6.3176620000000003E-2</v>
      </c>
      <c r="S697">
        <v>3.03241</v>
      </c>
      <c r="T697">
        <v>-0.1231478</v>
      </c>
      <c r="U697">
        <v>-0.42501830000000002</v>
      </c>
      <c r="V697">
        <v>5.1102580000000002E-2</v>
      </c>
      <c r="W697">
        <v>0.16066169999999999</v>
      </c>
      <c r="X697">
        <v>0.9856857</v>
      </c>
      <c r="Y697">
        <v>0.1266728</v>
      </c>
      <c r="Z697">
        <v>-2.068121E-3</v>
      </c>
      <c r="AA697">
        <v>0.9919424</v>
      </c>
      <c r="AB697">
        <v>28</v>
      </c>
      <c r="AC697">
        <v>25.826799999999899</v>
      </c>
      <c r="AD697">
        <v>-1.0599073287930001</v>
      </c>
      <c r="AE697">
        <v>-3.6550000000000198</v>
      </c>
      <c r="AF697">
        <v>3.33558655872383</v>
      </c>
      <c r="AG697">
        <v>-1.0599073287930001</v>
      </c>
      <c r="AH697">
        <v>25.826638010108699</v>
      </c>
      <c r="AI697">
        <v>92.330723548293193</v>
      </c>
      <c r="AJ697">
        <v>82.640818697475893</v>
      </c>
      <c r="AK697">
        <v>26.062708457517601</v>
      </c>
      <c r="AL697">
        <v>80.754694058283107</v>
      </c>
      <c r="AM697">
        <v>87.032174608286596</v>
      </c>
      <c r="AN697">
        <v>0.99999997735701696</v>
      </c>
    </row>
    <row r="698" spans="1:40" x14ac:dyDescent="0.25">
      <c r="A698" t="str">
        <f>"20190312172625241"</f>
        <v>20190312172625241</v>
      </c>
      <c r="B698" t="str">
        <f>"1552382785229809"</f>
        <v>1552382785229809</v>
      </c>
      <c r="C698" t="s">
        <v>40</v>
      </c>
      <c r="D698">
        <v>3.3341769999999902</v>
      </c>
      <c r="E698">
        <v>0.53002939999999998</v>
      </c>
      <c r="F698" t="s">
        <v>41</v>
      </c>
      <c r="G698">
        <v>-270.39940000000001</v>
      </c>
      <c r="H698" s="1">
        <v>-5.2424260000000003E-6</v>
      </c>
      <c r="I698">
        <v>363.18110000000001</v>
      </c>
      <c r="J698">
        <v>-295.74590000000001</v>
      </c>
      <c r="K698">
        <v>1.0599149999999999</v>
      </c>
      <c r="L698">
        <v>366.81139999999999</v>
      </c>
      <c r="M698">
        <v>0.99987839999999995</v>
      </c>
      <c r="N698">
        <v>0</v>
      </c>
      <c r="O698">
        <v>-1.1779070000000001E-2</v>
      </c>
      <c r="P698">
        <v>0.98659439999999998</v>
      </c>
      <c r="Q698">
        <v>0.15047439999999901</v>
      </c>
      <c r="R698">
        <v>-6.31602E-2</v>
      </c>
      <c r="S698">
        <v>3.03241</v>
      </c>
      <c r="T698">
        <v>-0.1253812</v>
      </c>
      <c r="U698">
        <v>-0.42980960000000001</v>
      </c>
      <c r="V698">
        <v>5.1440189999999997E-2</v>
      </c>
      <c r="W698">
        <v>0.16058129999999901</v>
      </c>
      <c r="X698">
        <v>0.98568129999999998</v>
      </c>
      <c r="Y698">
        <v>0.12856529999999999</v>
      </c>
      <c r="Z698">
        <v>-2.1592500000000001E-3</v>
      </c>
      <c r="AA698">
        <v>0.99169870000000004</v>
      </c>
      <c r="AB698">
        <v>28</v>
      </c>
      <c r="AC698">
        <v>25.346499999999899</v>
      </c>
      <c r="AD698">
        <v>-1.0599202424259999</v>
      </c>
      <c r="AE698">
        <v>-3.6302999999999699</v>
      </c>
      <c r="AF698">
        <v>3.3257755172646002</v>
      </c>
      <c r="AG698">
        <v>-1.0599202424259999</v>
      </c>
      <c r="AH698">
        <v>25.344077368017501</v>
      </c>
      <c r="AI698">
        <v>92.374450748637699</v>
      </c>
      <c r="AJ698">
        <v>82.524080136024196</v>
      </c>
      <c r="AK698">
        <v>25.5833240871392</v>
      </c>
      <c r="AL698">
        <v>80.759361785066801</v>
      </c>
      <c r="AM698">
        <v>87.012589711520206</v>
      </c>
      <c r="AN698">
        <v>1.0000000361132999</v>
      </c>
    </row>
    <row r="699" spans="1:40" x14ac:dyDescent="0.25">
      <c r="A699" t="str">
        <f>"20190312172625263"</f>
        <v>20190312172625263</v>
      </c>
      <c r="B699" t="str">
        <f>"1552382785259088"</f>
        <v>1552382785259088</v>
      </c>
      <c r="C699" t="s">
        <v>40</v>
      </c>
      <c r="D699">
        <v>3.3432040000000001</v>
      </c>
      <c r="E699">
        <v>0.53059429999999996</v>
      </c>
      <c r="F699" t="s">
        <v>41</v>
      </c>
      <c r="G699">
        <v>-270.5206</v>
      </c>
      <c r="H699" s="1">
        <v>-5.1865089999999998E-6</v>
      </c>
      <c r="I699">
        <v>363.20319999999998</v>
      </c>
      <c r="J699">
        <v>-295.47239999999999</v>
      </c>
      <c r="K699">
        <v>1.0599259999999999</v>
      </c>
      <c r="L699">
        <v>366.80849999999998</v>
      </c>
      <c r="M699">
        <v>0.99988310000000002</v>
      </c>
      <c r="N699">
        <v>0</v>
      </c>
      <c r="O699">
        <v>-1.1417460000000001E-2</v>
      </c>
      <c r="P699">
        <v>0.9866161</v>
      </c>
      <c r="Q699">
        <v>0.15040290000000001</v>
      </c>
      <c r="R699">
        <v>-6.2989790000000004E-2</v>
      </c>
      <c r="S699">
        <v>3.0324399999999998</v>
      </c>
      <c r="T699">
        <v>-0.127417</v>
      </c>
      <c r="U699">
        <v>-0.43374629999999997</v>
      </c>
      <c r="V699">
        <v>5.1621930000000003E-2</v>
      </c>
      <c r="W699">
        <v>0.16048200000000001</v>
      </c>
      <c r="X699">
        <v>0.98568800000000001</v>
      </c>
      <c r="Y699">
        <v>0.1301794</v>
      </c>
      <c r="Z699">
        <v>-2.242885E-3</v>
      </c>
      <c r="AA699">
        <v>0.99148789999999998</v>
      </c>
      <c r="AB699">
        <v>28</v>
      </c>
      <c r="AC699">
        <v>24.951799999999899</v>
      </c>
      <c r="AD699">
        <v>-1.059931186509</v>
      </c>
      <c r="AE699">
        <v>-3.6053000000000002</v>
      </c>
      <c r="AF699">
        <v>3.3143057801119902</v>
      </c>
      <c r="AG699">
        <v>-1.059931186509</v>
      </c>
      <c r="AH699">
        <v>24.9472428064886</v>
      </c>
      <c r="AI699">
        <v>92.411692763060103</v>
      </c>
      <c r="AJ699">
        <v>82.432421860691306</v>
      </c>
      <c r="AK699">
        <v>25.188747499034399</v>
      </c>
      <c r="AL699">
        <v>80.765126279770001</v>
      </c>
      <c r="AM699">
        <v>87.002074646626696</v>
      </c>
      <c r="AN699">
        <v>1.0000000646624601</v>
      </c>
    </row>
    <row r="700" spans="1:40" x14ac:dyDescent="0.25">
      <c r="A700" t="str">
        <f>"20190312172625285"</f>
        <v>20190312172625285</v>
      </c>
      <c r="B700" t="str">
        <f>"1552382785279584"</f>
        <v>1552382785279584</v>
      </c>
      <c r="C700" t="s">
        <v>40</v>
      </c>
      <c r="D700">
        <v>3.3096960000000002</v>
      </c>
      <c r="E700">
        <v>0.53097859999999997</v>
      </c>
      <c r="F700" t="s">
        <v>41</v>
      </c>
      <c r="G700">
        <v>-270.67579999999998</v>
      </c>
      <c r="H700" s="1">
        <v>-5.1152300000000002E-6</v>
      </c>
      <c r="I700">
        <v>363.22980000000001</v>
      </c>
      <c r="J700">
        <v>-295.19290000000001</v>
      </c>
      <c r="K700">
        <v>1.059936</v>
      </c>
      <c r="L700">
        <v>366.80579999999998</v>
      </c>
      <c r="M700">
        <v>0.99988759999999999</v>
      </c>
      <c r="N700">
        <v>0</v>
      </c>
      <c r="O700">
        <v>-1.1033569999999999E-2</v>
      </c>
      <c r="P700">
        <v>0.98658710000000005</v>
      </c>
      <c r="Q700">
        <v>0.15055560000000001</v>
      </c>
      <c r="R700">
        <v>-6.3079029999999994E-2</v>
      </c>
      <c r="S700">
        <v>3.0324710000000001</v>
      </c>
      <c r="T700">
        <v>-0.12962269999999901</v>
      </c>
      <c r="U700">
        <v>-0.4376526</v>
      </c>
      <c r="V700">
        <v>5.2084989999999998E-2</v>
      </c>
      <c r="W700">
        <v>0.16060949999999999</v>
      </c>
      <c r="X700">
        <v>0.98564280000000004</v>
      </c>
      <c r="Y700">
        <v>0.13180449999999999</v>
      </c>
      <c r="Z700">
        <v>-2.3322970000000001E-3</v>
      </c>
      <c r="AA700">
        <v>0.99127299999999996</v>
      </c>
      <c r="AB700">
        <v>28</v>
      </c>
      <c r="AC700">
        <v>24.517099999999999</v>
      </c>
      <c r="AD700">
        <v>-1.05994111522999</v>
      </c>
      <c r="AE700">
        <v>-3.5759999999999601</v>
      </c>
      <c r="AF700">
        <v>3.2992192098788502</v>
      </c>
      <c r="AG700">
        <v>-1.05994111522999</v>
      </c>
      <c r="AH700">
        <v>24.510208566878202</v>
      </c>
      <c r="AI700">
        <v>92.454101085055399</v>
      </c>
      <c r="AJ700">
        <v>82.333728285966501</v>
      </c>
      <c r="AK700">
        <v>24.753962239497302</v>
      </c>
      <c r="AL700">
        <v>80.757724398638601</v>
      </c>
      <c r="AM700">
        <v>86.975093863720403</v>
      </c>
      <c r="AN700">
        <v>0.99999999343269497</v>
      </c>
    </row>
    <row r="701" spans="1:40" x14ac:dyDescent="0.25">
      <c r="A701" t="str">
        <f>"20190312172625307"</f>
        <v>20190312172625307</v>
      </c>
      <c r="B701" t="str">
        <f>"1552382785299104"</f>
        <v>1552382785299104</v>
      </c>
      <c r="C701" t="s">
        <v>40</v>
      </c>
      <c r="D701">
        <v>3.2844060000000002</v>
      </c>
      <c r="E701">
        <v>0.53134300000000001</v>
      </c>
      <c r="F701" t="s">
        <v>41</v>
      </c>
      <c r="G701">
        <v>-270.51920000000001</v>
      </c>
      <c r="H701" s="1">
        <v>-5.1838439999999998E-6</v>
      </c>
      <c r="I701">
        <v>363.2217</v>
      </c>
      <c r="J701">
        <v>-294.9151</v>
      </c>
      <c r="K701">
        <v>1.0599459999999901</v>
      </c>
      <c r="L701">
        <v>366.80309999999997</v>
      </c>
      <c r="M701">
        <v>0.99989209999999995</v>
      </c>
      <c r="N701">
        <v>0</v>
      </c>
      <c r="O701">
        <v>-1.0634670000000001E-2</v>
      </c>
      <c r="P701">
        <v>0.98652879999999998</v>
      </c>
      <c r="Q701">
        <v>0.1509596</v>
      </c>
      <c r="R701">
        <v>-6.3025960000000006E-2</v>
      </c>
      <c r="S701">
        <v>3.0325009999999999</v>
      </c>
      <c r="T701">
        <v>-0.13027059999999999</v>
      </c>
      <c r="U701">
        <v>-0.44049070000000001</v>
      </c>
      <c r="V701">
        <v>5.2420660000000001E-2</v>
      </c>
      <c r="W701">
        <v>0.16099169999999999</v>
      </c>
      <c r="X701">
        <v>0.98556270000000001</v>
      </c>
      <c r="Y701">
        <v>0.13310449999999999</v>
      </c>
      <c r="Z701">
        <v>-2.3885619999999999E-3</v>
      </c>
      <c r="AA701">
        <v>0.99109910000000001</v>
      </c>
      <c r="AB701">
        <v>28</v>
      </c>
      <c r="AC701">
        <v>24.395899999999902</v>
      </c>
      <c r="AD701">
        <v>-1.0599511838439999</v>
      </c>
      <c r="AE701">
        <v>-3.5813999999999702</v>
      </c>
      <c r="AF701">
        <v>3.3156148672708001</v>
      </c>
      <c r="AG701">
        <v>-1.0599511838439999</v>
      </c>
      <c r="AH701">
        <v>24.387543558273201</v>
      </c>
      <c r="AI701">
        <v>92.466011423864202</v>
      </c>
      <c r="AJ701">
        <v>82.2578062329343</v>
      </c>
      <c r="AK701">
        <v>24.634712891910699</v>
      </c>
      <c r="AL701">
        <v>80.735537703688905</v>
      </c>
      <c r="AM701">
        <v>86.955388968892393</v>
      </c>
      <c r="AN701">
        <v>1.0000000443474999</v>
      </c>
    </row>
    <row r="702" spans="1:40" x14ac:dyDescent="0.25">
      <c r="A702" t="str">
        <f>"20190312172625330"</f>
        <v>20190312172625330</v>
      </c>
      <c r="B702" t="str">
        <f>"1552382785319587"</f>
        <v>1552382785319587</v>
      </c>
      <c r="C702" t="s">
        <v>40</v>
      </c>
      <c r="D702">
        <v>3.2967949999999999</v>
      </c>
      <c r="E702">
        <v>0.53165960000000001</v>
      </c>
      <c r="F702" t="s">
        <v>41</v>
      </c>
      <c r="G702">
        <v>-270.19830000000002</v>
      </c>
      <c r="H702" s="1">
        <v>-5.3267859999999996E-6</v>
      </c>
      <c r="I702">
        <v>363.19189999999998</v>
      </c>
      <c r="J702">
        <v>-294.63659999999999</v>
      </c>
      <c r="K702">
        <v>1.0599559999999999</v>
      </c>
      <c r="L702">
        <v>366.80059999999997</v>
      </c>
      <c r="M702">
        <v>0.99989669999999997</v>
      </c>
      <c r="N702">
        <v>0</v>
      </c>
      <c r="O702">
        <v>-1.0211319999999999E-2</v>
      </c>
      <c r="P702">
        <v>0.98659470000000005</v>
      </c>
      <c r="Q702">
        <v>0.15062829999999999</v>
      </c>
      <c r="R702">
        <v>-6.2786729999999999E-2</v>
      </c>
      <c r="S702">
        <v>3.032562</v>
      </c>
      <c r="T702">
        <v>-0.13004760000000001</v>
      </c>
      <c r="U702">
        <v>-0.44305420000000001</v>
      </c>
      <c r="V702">
        <v>5.2592270000000003E-2</v>
      </c>
      <c r="W702">
        <v>0.16064289999999901</v>
      </c>
      <c r="X702">
        <v>0.9856104</v>
      </c>
      <c r="Y702">
        <v>0.1343405</v>
      </c>
      <c r="Z702">
        <v>-2.428679E-3</v>
      </c>
      <c r="AA702">
        <v>0.99093220000000004</v>
      </c>
      <c r="AB702">
        <v>28</v>
      </c>
      <c r="AC702">
        <v>24.438299999999899</v>
      </c>
      <c r="AD702">
        <v>-1.059961326786</v>
      </c>
      <c r="AE702">
        <v>-3.60869999999999</v>
      </c>
      <c r="AF702">
        <v>3.3527790691098001</v>
      </c>
      <c r="AG702">
        <v>-1.059961326786</v>
      </c>
      <c r="AH702">
        <v>24.4289019255549</v>
      </c>
      <c r="AI702">
        <v>92.461439424074001</v>
      </c>
      <c r="AJ702">
        <v>82.185184057637898</v>
      </c>
      <c r="AK702">
        <v>24.6806785722946</v>
      </c>
      <c r="AL702">
        <v>80.755785366553098</v>
      </c>
      <c r="AM702">
        <v>86.945588191577102</v>
      </c>
      <c r="AN702">
        <v>0.99999997438616095</v>
      </c>
    </row>
    <row r="703" spans="1:40" x14ac:dyDescent="0.25">
      <c r="A703" t="str">
        <f>"20190312172625351"</f>
        <v>20190312172625351</v>
      </c>
      <c r="B703" t="str">
        <f>"1552382785339061"</f>
        <v>1552382785339061</v>
      </c>
      <c r="C703" t="s">
        <v>40</v>
      </c>
      <c r="D703">
        <v>3.2447680000000001</v>
      </c>
      <c r="E703">
        <v>0.53207869999999902</v>
      </c>
      <c r="F703" t="s">
        <v>41</v>
      </c>
      <c r="G703">
        <v>-270.3134</v>
      </c>
      <c r="H703" s="1">
        <v>-5.2692829999999998E-6</v>
      </c>
      <c r="I703">
        <v>363.23770000000002</v>
      </c>
      <c r="J703">
        <v>-294.36369999999999</v>
      </c>
      <c r="K703">
        <v>1.0599730000000001</v>
      </c>
      <c r="L703">
        <v>366.79820000000001</v>
      </c>
      <c r="M703">
        <v>0.99990129999999999</v>
      </c>
      <c r="N703">
        <v>0</v>
      </c>
      <c r="O703">
        <v>-9.7724679999999994E-3</v>
      </c>
      <c r="P703">
        <v>0.98664830000000003</v>
      </c>
      <c r="Q703">
        <v>0.15035750000000001</v>
      </c>
      <c r="R703">
        <v>-6.2595020000000001E-2</v>
      </c>
      <c r="S703">
        <v>3.032654</v>
      </c>
      <c r="T703">
        <v>-0.1321572</v>
      </c>
      <c r="U703">
        <v>-0.44421389999999999</v>
      </c>
      <c r="V703">
        <v>5.282626E-2</v>
      </c>
      <c r="W703">
        <v>0.16035720000000001</v>
      </c>
      <c r="X703">
        <v>0.98564450000000003</v>
      </c>
      <c r="Y703">
        <v>0.13513729999999999</v>
      </c>
      <c r="Z703">
        <v>-2.5041690000000001E-3</v>
      </c>
      <c r="AA703">
        <v>0.99082369999999997</v>
      </c>
      <c r="AB703">
        <v>28</v>
      </c>
      <c r="AC703">
        <v>24.0503</v>
      </c>
      <c r="AD703">
        <v>-1.059978269283</v>
      </c>
      <c r="AE703">
        <v>-3.56049999999999</v>
      </c>
      <c r="AF703">
        <v>3.3189784740202901</v>
      </c>
      <c r="AG703">
        <v>-1.059978269283</v>
      </c>
      <c r="AH703">
        <v>24.0382560751376</v>
      </c>
      <c r="AI703">
        <v>92.501151635104605</v>
      </c>
      <c r="AJ703">
        <v>82.138834865167198</v>
      </c>
      <c r="AK703">
        <v>24.2894406517782</v>
      </c>
      <c r="AL703">
        <v>80.772370597823297</v>
      </c>
      <c r="AM703">
        <v>86.932130550017405</v>
      </c>
      <c r="AN703">
        <v>1.0000000628588299</v>
      </c>
    </row>
    <row r="704" spans="1:40" x14ac:dyDescent="0.25">
      <c r="A704" t="str">
        <f>"20190312172625374"</f>
        <v>20190312172625374</v>
      </c>
      <c r="B704" t="str">
        <f>"1552382785369318"</f>
        <v>1552382785369318</v>
      </c>
      <c r="C704" t="s">
        <v>40</v>
      </c>
      <c r="D704">
        <v>3.2387359999999998</v>
      </c>
      <c r="E704">
        <v>0.53262349999999903</v>
      </c>
      <c r="F704" t="s">
        <v>41</v>
      </c>
      <c r="G704">
        <v>-270.21109999999999</v>
      </c>
      <c r="H704" s="1">
        <v>-5.3128439999999997E-6</v>
      </c>
      <c r="I704">
        <v>363.2396</v>
      </c>
      <c r="J704">
        <v>-294.08049999999997</v>
      </c>
      <c r="K704">
        <v>1.059982</v>
      </c>
      <c r="L704">
        <v>366.79599999999999</v>
      </c>
      <c r="M704">
        <v>0.99990610000000002</v>
      </c>
      <c r="N704">
        <v>0</v>
      </c>
      <c r="O704">
        <v>-9.2936819999999993E-3</v>
      </c>
      <c r="P704">
        <v>0.98663590000000001</v>
      </c>
      <c r="Q704">
        <v>0.15060660000000001</v>
      </c>
      <c r="R704">
        <v>-6.2189809999999998E-2</v>
      </c>
      <c r="S704">
        <v>3.032562</v>
      </c>
      <c r="T704">
        <v>-0.1330885</v>
      </c>
      <c r="U704">
        <v>-0.44680789999999998</v>
      </c>
      <c r="V704">
        <v>5.2886229999999999E-2</v>
      </c>
      <c r="W704">
        <v>0.1605935</v>
      </c>
      <c r="X704">
        <v>0.98560270000000005</v>
      </c>
      <c r="Y704">
        <v>0.13644220000000001</v>
      </c>
      <c r="Z704">
        <v>-2.5710669999999998E-3</v>
      </c>
      <c r="AA704">
        <v>0.99064470000000004</v>
      </c>
      <c r="AB704">
        <v>28</v>
      </c>
      <c r="AC704">
        <v>23.869399999999899</v>
      </c>
      <c r="AD704">
        <v>-1.0599873128440001</v>
      </c>
      <c r="AE704">
        <v>-3.5563999999999898</v>
      </c>
      <c r="AF704">
        <v>3.3279801095686201</v>
      </c>
      <c r="AG704">
        <v>-1.0599873128440001</v>
      </c>
      <c r="AH704">
        <v>23.855400346479101</v>
      </c>
      <c r="AI704">
        <v>92.519828225084495</v>
      </c>
      <c r="AJ704">
        <v>82.058131176279701</v>
      </c>
      <c r="AK704">
        <v>24.109731446116701</v>
      </c>
      <c r="AL704">
        <v>80.758652818941997</v>
      </c>
      <c r="AM704">
        <v>86.928524465959299</v>
      </c>
      <c r="AN704">
        <v>0.99999995390657503</v>
      </c>
    </row>
    <row r="705" spans="1:40" x14ac:dyDescent="0.25">
      <c r="A705" t="str">
        <f>"20190312172625396"</f>
        <v>20190312172625396</v>
      </c>
      <c r="B705" t="str">
        <f>"1552382785389813"</f>
        <v>1552382785389813</v>
      </c>
      <c r="C705" t="s">
        <v>40</v>
      </c>
      <c r="D705">
        <v>3.2396889999999998</v>
      </c>
      <c r="E705">
        <v>0.53293159999999995</v>
      </c>
      <c r="F705" t="s">
        <v>41</v>
      </c>
      <c r="G705">
        <v>-269.72059999999999</v>
      </c>
      <c r="H705" s="1">
        <v>-1.7935479999999999E-6</v>
      </c>
      <c r="I705">
        <v>363.18049999999999</v>
      </c>
      <c r="J705">
        <v>-293.79660000000001</v>
      </c>
      <c r="K705">
        <v>1.0600039999999999</v>
      </c>
      <c r="L705">
        <v>366.79390000000001</v>
      </c>
      <c r="M705">
        <v>0.99991090000000005</v>
      </c>
      <c r="N705">
        <v>0</v>
      </c>
      <c r="O705">
        <v>-8.7853229999999994E-3</v>
      </c>
      <c r="P705">
        <v>0.98662539999999999</v>
      </c>
      <c r="Q705">
        <v>0.15083009999999999</v>
      </c>
      <c r="R705">
        <v>-6.1814269999999998E-2</v>
      </c>
      <c r="S705">
        <v>3.0324399999999998</v>
      </c>
      <c r="T705">
        <v>-0.13195200000000001</v>
      </c>
      <c r="U705">
        <v>-0.45007320000000001</v>
      </c>
      <c r="V705">
        <v>5.3004080000000002E-2</v>
      </c>
      <c r="W705">
        <v>0.16080620000000001</v>
      </c>
      <c r="X705">
        <v>0.98556169999999998</v>
      </c>
      <c r="Y705">
        <v>0.13799549999999999</v>
      </c>
      <c r="Z705">
        <v>-2.6046139999999999E-3</v>
      </c>
      <c r="AA705">
        <v>0.99042949999999996</v>
      </c>
      <c r="AB705">
        <v>28</v>
      </c>
      <c r="AC705">
        <v>24.076000000000001</v>
      </c>
      <c r="AD705">
        <v>-1.0600057935480001</v>
      </c>
      <c r="AE705">
        <v>-3.6134000000000102</v>
      </c>
      <c r="AF705">
        <v>3.39529788887253</v>
      </c>
      <c r="AG705">
        <v>-1.0600057935480001</v>
      </c>
      <c r="AH705">
        <v>24.061203986624701</v>
      </c>
      <c r="AI705">
        <v>92.497795376094402</v>
      </c>
      <c r="AJ705">
        <v>81.967973434536503</v>
      </c>
      <c r="AK705">
        <v>24.322688941038201</v>
      </c>
      <c r="AL705">
        <v>80.746305640380001</v>
      </c>
      <c r="AM705">
        <v>86.921565422808101</v>
      </c>
      <c r="AN705">
        <v>0.99999996548098702</v>
      </c>
    </row>
    <row r="706" spans="1:40" x14ac:dyDescent="0.25">
      <c r="A706" t="str">
        <f>"20190312172625419"</f>
        <v>20190312172625419</v>
      </c>
      <c r="B706" t="str">
        <f>"1552382785409333"</f>
        <v>1552382785409333</v>
      </c>
      <c r="C706" t="s">
        <v>40</v>
      </c>
      <c r="D706">
        <v>3.249717</v>
      </c>
      <c r="E706">
        <v>0.53313739999999998</v>
      </c>
      <c r="F706" t="s">
        <v>41</v>
      </c>
      <c r="G706">
        <v>-269.33909999999997</v>
      </c>
      <c r="H706" s="1">
        <v>-1.929281E-6</v>
      </c>
      <c r="I706">
        <v>363.1583</v>
      </c>
      <c r="J706">
        <v>-293.51670000000001</v>
      </c>
      <c r="K706">
        <v>1.060025</v>
      </c>
      <c r="L706">
        <v>366.79199999999997</v>
      </c>
      <c r="M706">
        <v>0.99991529999999995</v>
      </c>
      <c r="N706">
        <v>0</v>
      </c>
      <c r="O706">
        <v>-8.2490519999999998E-3</v>
      </c>
      <c r="P706">
        <v>0.98669209999999996</v>
      </c>
      <c r="Q706">
        <v>0.15074319999999999</v>
      </c>
      <c r="R706">
        <v>-6.0952369999999999E-2</v>
      </c>
      <c r="S706">
        <v>3.0325009999999999</v>
      </c>
      <c r="T706">
        <v>-0.13143060000000001</v>
      </c>
      <c r="U706">
        <v>-0.45077509999999998</v>
      </c>
      <c r="V706">
        <v>5.2661729999999997E-2</v>
      </c>
      <c r="W706">
        <v>0.16071160000000001</v>
      </c>
      <c r="X706">
        <v>0.98559549999999996</v>
      </c>
      <c r="Y706">
        <v>0.13874779999999901</v>
      </c>
      <c r="Z706">
        <v>-2.6335400000000002E-3</v>
      </c>
      <c r="AA706">
        <v>0.99032430000000005</v>
      </c>
      <c r="AB706">
        <v>28</v>
      </c>
      <c r="AC706">
        <v>24.177600000000002</v>
      </c>
      <c r="AD706">
        <v>-1.0600269292810001</v>
      </c>
      <c r="AE706">
        <v>-3.63369999999997</v>
      </c>
      <c r="AF706">
        <v>3.4276806845183101</v>
      </c>
      <c r="AG706">
        <v>-1.0600269292810001</v>
      </c>
      <c r="AH706">
        <v>24.161335419022699</v>
      </c>
      <c r="AI706">
        <v>92.487246036937293</v>
      </c>
      <c r="AJ706">
        <v>81.925537724830704</v>
      </c>
      <c r="AK706">
        <v>24.426272355730902</v>
      </c>
      <c r="AL706">
        <v>80.751797409277103</v>
      </c>
      <c r="AM706">
        <v>86.941515653947306</v>
      </c>
      <c r="AN706">
        <v>0.99999998290070102</v>
      </c>
    </row>
    <row r="707" spans="1:40" x14ac:dyDescent="0.25">
      <c r="A707" t="str">
        <f>"20190312172625441"</f>
        <v>20190312172625441</v>
      </c>
      <c r="B707" t="str">
        <f>"1552382785429831"</f>
        <v>1552382785429831</v>
      </c>
      <c r="C707" t="s">
        <v>40</v>
      </c>
      <c r="D707">
        <v>3.385211</v>
      </c>
      <c r="E707">
        <v>0.53248039999999996</v>
      </c>
      <c r="F707" t="s">
        <v>41</v>
      </c>
      <c r="G707">
        <v>-269.14429999999999</v>
      </c>
      <c r="H707" s="1">
        <v>-1.9901950000000001E-6</v>
      </c>
      <c r="I707">
        <v>363.17849999999999</v>
      </c>
      <c r="J707">
        <v>-293.23719999999997</v>
      </c>
      <c r="K707">
        <v>1.0600510000000001</v>
      </c>
      <c r="L707">
        <v>366.7903</v>
      </c>
      <c r="M707">
        <v>0.99992020000000004</v>
      </c>
      <c r="N707">
        <v>0</v>
      </c>
      <c r="O707">
        <v>-7.6757930000000002E-3</v>
      </c>
      <c r="P707">
        <v>0.98679830000000002</v>
      </c>
      <c r="Q707">
        <v>0.15034410000000001</v>
      </c>
      <c r="R707">
        <v>-6.022102E-2</v>
      </c>
      <c r="S707">
        <v>3.0328369999999998</v>
      </c>
      <c r="T707">
        <v>-0.13190689999999999</v>
      </c>
      <c r="U707">
        <v>-0.44964599999999999</v>
      </c>
      <c r="V707">
        <v>5.2484679999999999E-2</v>
      </c>
      <c r="W707">
        <v>0.16030730000000001</v>
      </c>
      <c r="X707">
        <v>0.98567079999999996</v>
      </c>
      <c r="Y707">
        <v>0.13893720000000001</v>
      </c>
      <c r="Z707">
        <v>-2.6717310000000001E-3</v>
      </c>
      <c r="AA707">
        <v>0.9902976</v>
      </c>
      <c r="AB707">
        <v>28</v>
      </c>
      <c r="AC707">
        <v>24.092899999999901</v>
      </c>
      <c r="AD707">
        <v>-1.060052990195</v>
      </c>
      <c r="AE707">
        <v>-3.6118000000000099</v>
      </c>
      <c r="AF707">
        <v>3.4202764731725699</v>
      </c>
      <c r="AG707">
        <v>-1.060052990195</v>
      </c>
      <c r="AH707">
        <v>24.074334474570801</v>
      </c>
      <c r="AI707">
        <v>92.496213336251699</v>
      </c>
      <c r="AJ707">
        <v>81.914017015731105</v>
      </c>
      <c r="AK707">
        <v>24.339177962463499</v>
      </c>
      <c r="AL707">
        <v>80.775266535129106</v>
      </c>
      <c r="AM707">
        <v>86.952011356077506</v>
      </c>
      <c r="AN707">
        <v>0.999999999020316</v>
      </c>
    </row>
    <row r="708" spans="1:40" x14ac:dyDescent="0.25">
      <c r="A708" t="str">
        <f>"20190312172625464"</f>
        <v>20190312172625464</v>
      </c>
      <c r="B708" t="str">
        <f>"1552382785459109"</f>
        <v>1552382785459109</v>
      </c>
      <c r="C708" t="s">
        <v>40</v>
      </c>
      <c r="D708">
        <v>3.2003910000000002</v>
      </c>
      <c r="E708">
        <v>0.50935050000000004</v>
      </c>
      <c r="F708" t="s">
        <v>41</v>
      </c>
      <c r="G708">
        <v>-269.06889999999999</v>
      </c>
      <c r="H708" s="1">
        <v>-1.9927570000000001E-6</v>
      </c>
      <c r="I708">
        <v>363.2654</v>
      </c>
      <c r="J708">
        <v>-292.94659999999999</v>
      </c>
      <c r="K708">
        <v>1.060084</v>
      </c>
      <c r="L708">
        <v>366.78870000000001</v>
      </c>
      <c r="M708">
        <v>0.99992479999999995</v>
      </c>
      <c r="N708">
        <v>0</v>
      </c>
      <c r="O708">
        <v>-7.0363279999999997E-3</v>
      </c>
      <c r="P708">
        <v>0.98686039999999997</v>
      </c>
      <c r="Q708">
        <v>0.15027599999999999</v>
      </c>
      <c r="R708">
        <v>-5.9359290000000002E-2</v>
      </c>
      <c r="S708">
        <v>3.033417</v>
      </c>
      <c r="T708">
        <v>-0.13304939999999901</v>
      </c>
      <c r="U708">
        <v>-0.44241330000000001</v>
      </c>
      <c r="V708">
        <v>5.2241129999999997E-2</v>
      </c>
      <c r="W708">
        <v>0.16023579999999901</v>
      </c>
      <c r="X708">
        <v>0.9856954</v>
      </c>
      <c r="Y708">
        <v>0.13723060000000001</v>
      </c>
      <c r="Z708">
        <v>-2.685471E-3</v>
      </c>
      <c r="AA708">
        <v>0.99053550000000001</v>
      </c>
      <c r="AB708">
        <v>28</v>
      </c>
      <c r="AC708">
        <v>23.877700000000001</v>
      </c>
      <c r="AD708">
        <v>-1.0600859927570001</v>
      </c>
      <c r="AE708">
        <v>-3.5232999999999999</v>
      </c>
      <c r="AF708">
        <v>3.3487331019087399</v>
      </c>
      <c r="AG708">
        <v>-1.0600859927570001</v>
      </c>
      <c r="AH708">
        <v>23.855882062262999</v>
      </c>
      <c r="AI708">
        <v>92.519712175109404</v>
      </c>
      <c r="AJ708">
        <v>82.009403401877506</v>
      </c>
      <c r="AK708">
        <v>24.1130857558393</v>
      </c>
      <c r="AL708">
        <v>80.779417163733896</v>
      </c>
      <c r="AM708">
        <v>86.966204338270302</v>
      </c>
      <c r="AN708">
        <v>1.00000003442323</v>
      </c>
    </row>
    <row r="709" spans="1:40" x14ac:dyDescent="0.25">
      <c r="A709" t="str">
        <f>"20190312172625486"</f>
        <v>20190312172625486</v>
      </c>
      <c r="B709" t="str">
        <f>"1552382785479606"</f>
        <v>1552382785479606</v>
      </c>
      <c r="C709" t="s">
        <v>40</v>
      </c>
      <c r="D709">
        <v>3.214836</v>
      </c>
      <c r="E709">
        <v>0.50900829999999997</v>
      </c>
      <c r="F709" t="s">
        <v>41</v>
      </c>
      <c r="G709">
        <v>-262.2063</v>
      </c>
      <c r="H709" s="1">
        <v>-4.2860080000000004E-6</v>
      </c>
      <c r="I709">
        <v>364.20310000000001</v>
      </c>
      <c r="J709">
        <v>-292.66829999999999</v>
      </c>
      <c r="K709">
        <v>1.060117</v>
      </c>
      <c r="L709">
        <v>366.78739999999999</v>
      </c>
      <c r="M709">
        <v>0.99992939999999997</v>
      </c>
      <c r="N709">
        <v>0</v>
      </c>
      <c r="O709">
        <v>-6.3829250000000002E-3</v>
      </c>
      <c r="P709">
        <v>0.98678770000000005</v>
      </c>
      <c r="Q709">
        <v>0.15087700000000001</v>
      </c>
      <c r="R709">
        <v>-5.9046679999999997E-2</v>
      </c>
      <c r="S709">
        <v>3.0405579999999999</v>
      </c>
      <c r="T709">
        <v>-0.1048543</v>
      </c>
      <c r="U709">
        <v>-0.2557373</v>
      </c>
      <c r="V709">
        <v>5.2560099999999998E-2</v>
      </c>
      <c r="W709">
        <v>0.1608349</v>
      </c>
      <c r="X709">
        <v>0.98558080000000003</v>
      </c>
      <c r="Y709">
        <v>7.7408340000000006E-2</v>
      </c>
      <c r="Z709">
        <v>-1.1123179999999999E-3</v>
      </c>
      <c r="AA709">
        <v>0.99699879999999996</v>
      </c>
      <c r="AB709">
        <v>28</v>
      </c>
      <c r="AC709">
        <v>30.4619999999999</v>
      </c>
      <c r="AD709">
        <v>-1.06012128600799</v>
      </c>
      <c r="AE709">
        <v>-2.5842999999999798</v>
      </c>
      <c r="AF709">
        <v>2.3869306729967299</v>
      </c>
      <c r="AG709">
        <v>-1.06012128600799</v>
      </c>
      <c r="AH709">
        <v>30.4412704390665</v>
      </c>
      <c r="AI709">
        <v>91.988428652486604</v>
      </c>
      <c r="AJ709">
        <v>85.516553711704802</v>
      </c>
      <c r="AK709">
        <v>30.5531052615462</v>
      </c>
      <c r="AL709">
        <v>80.744639619111396</v>
      </c>
      <c r="AM709">
        <v>86.947361496677999</v>
      </c>
      <c r="AN709">
        <v>0.99999997124932904</v>
      </c>
    </row>
    <row r="710" spans="1:40" x14ac:dyDescent="0.25">
      <c r="A710" t="str">
        <f>"20190312172625507"</f>
        <v>20190312172625507</v>
      </c>
      <c r="B710" t="str">
        <f>"1552382785499125"</f>
        <v>1552382785499125</v>
      </c>
      <c r="C710" t="s">
        <v>40</v>
      </c>
      <c r="D710">
        <v>3.2145000000000001</v>
      </c>
      <c r="E710">
        <v>0.50933339999999905</v>
      </c>
      <c r="F710" t="s">
        <v>41</v>
      </c>
      <c r="G710">
        <v>-261.89980000000003</v>
      </c>
      <c r="H710" s="1">
        <v>-4.4101880000000002E-6</v>
      </c>
      <c r="I710">
        <v>364.2441</v>
      </c>
      <c r="J710">
        <v>-292.39530000000002</v>
      </c>
      <c r="K710">
        <v>1.0601480000000001</v>
      </c>
      <c r="L710">
        <v>366.78640000000001</v>
      </c>
      <c r="M710">
        <v>0.99993350000000003</v>
      </c>
      <c r="N710">
        <v>0</v>
      </c>
      <c r="O710">
        <v>-5.7030930000000002E-3</v>
      </c>
      <c r="P710">
        <v>0.9866779</v>
      </c>
      <c r="Q710">
        <v>0.1515898</v>
      </c>
      <c r="R710">
        <v>-5.9054790000000003E-2</v>
      </c>
      <c r="S710">
        <v>3.0411380000000001</v>
      </c>
      <c r="T710">
        <v>-0.1047816</v>
      </c>
      <c r="U710">
        <v>-0.25137330000000002</v>
      </c>
      <c r="V710">
        <v>5.3227070000000001E-2</v>
      </c>
      <c r="W710">
        <v>0.16154649999999901</v>
      </c>
      <c r="X710">
        <v>0.98542859999999999</v>
      </c>
      <c r="Y710">
        <v>7.6649579999999995E-2</v>
      </c>
      <c r="Z710">
        <v>-1.12173E-3</v>
      </c>
      <c r="AA710">
        <v>0.99705739999999998</v>
      </c>
      <c r="AB710">
        <v>28</v>
      </c>
      <c r="AC710">
        <v>30.4955</v>
      </c>
      <c r="AD710">
        <v>-1.06015241018799</v>
      </c>
      <c r="AE710">
        <v>-2.5423000000000102</v>
      </c>
      <c r="AF710">
        <v>2.3654921538329101</v>
      </c>
      <c r="AG710">
        <v>-1.06015241018799</v>
      </c>
      <c r="AH710">
        <v>30.472929798579599</v>
      </c>
      <c r="AI710">
        <v>91.986543560259307</v>
      </c>
      <c r="AJ710">
        <v>85.561258242526193</v>
      </c>
      <c r="AK710">
        <v>30.582984268573799</v>
      </c>
      <c r="AL710">
        <v>80.703327602724499</v>
      </c>
      <c r="AM710">
        <v>86.908222675001596</v>
      </c>
      <c r="AN710">
        <v>0.999999959170496</v>
      </c>
    </row>
    <row r="711" spans="1:40" x14ac:dyDescent="0.25">
      <c r="A711" t="str">
        <f>"20190312172625530"</f>
        <v>20190312172625530</v>
      </c>
      <c r="B711" t="str">
        <f>"1552382785519621"</f>
        <v>1552382785519621</v>
      </c>
      <c r="C711" t="s">
        <v>40</v>
      </c>
      <c r="D711">
        <v>3.2138589999999998</v>
      </c>
      <c r="E711">
        <v>0.50916759999999905</v>
      </c>
      <c r="F711" t="s">
        <v>41</v>
      </c>
      <c r="G711">
        <v>-262.54430000000002</v>
      </c>
      <c r="H711" s="1">
        <v>-4.1250499999999996E-6</v>
      </c>
      <c r="I711">
        <v>364.29289999999997</v>
      </c>
      <c r="J711">
        <v>-292.11340000000001</v>
      </c>
      <c r="K711">
        <v>1.0601719999999999</v>
      </c>
      <c r="L711">
        <v>366.78559999999999</v>
      </c>
      <c r="M711">
        <v>0.99993750000000003</v>
      </c>
      <c r="N711">
        <v>0</v>
      </c>
      <c r="O711">
        <v>-4.9644110000000002E-3</v>
      </c>
      <c r="P711">
        <v>0.98672950000000004</v>
      </c>
      <c r="Q711">
        <v>0.15151529999999999</v>
      </c>
      <c r="R711">
        <v>-5.8380370000000001E-2</v>
      </c>
      <c r="S711">
        <v>3.0419010000000002</v>
      </c>
      <c r="T711">
        <v>-0.10803260000000001</v>
      </c>
      <c r="U711">
        <v>-0.25408940000000002</v>
      </c>
      <c r="V711">
        <v>5.3270379999999999E-2</v>
      </c>
      <c r="W711">
        <v>0.16147210000000001</v>
      </c>
      <c r="X711">
        <v>0.9854385</v>
      </c>
      <c r="Y711">
        <v>7.8245599999999998E-2</v>
      </c>
      <c r="Z711">
        <v>-1.2106420000000001E-3</v>
      </c>
      <c r="AA711">
        <v>0.99693339999999997</v>
      </c>
      <c r="AB711">
        <v>28</v>
      </c>
      <c r="AC711">
        <v>29.569099999999899</v>
      </c>
      <c r="AD711">
        <v>-1.0601761250499999</v>
      </c>
      <c r="AE711">
        <v>-2.4927000000000099</v>
      </c>
      <c r="AF711">
        <v>2.3428781779744998</v>
      </c>
      <c r="AG711">
        <v>-1.0601761250499999</v>
      </c>
      <c r="AH711">
        <v>29.543400276381298</v>
      </c>
      <c r="AI711">
        <v>92.048772169126906</v>
      </c>
      <c r="AJ711">
        <v>85.465766167028406</v>
      </c>
      <c r="AK711">
        <v>29.6551100396448</v>
      </c>
      <c r="AL711">
        <v>80.707647547454698</v>
      </c>
      <c r="AM711">
        <v>86.9057428585933</v>
      </c>
      <c r="AN711">
        <v>1.000000004873</v>
      </c>
    </row>
    <row r="712" spans="1:40" x14ac:dyDescent="0.25">
      <c r="A712" t="str">
        <f>"20190312172625552"</f>
        <v>20190312172625552</v>
      </c>
      <c r="B712" t="str">
        <f>"1552382785548902"</f>
        <v>1552382785548902</v>
      </c>
      <c r="C712" t="s">
        <v>40</v>
      </c>
      <c r="D712">
        <v>3.222181</v>
      </c>
      <c r="E712">
        <v>0.5091928</v>
      </c>
      <c r="F712" t="s">
        <v>41</v>
      </c>
      <c r="G712">
        <v>-262.35899999999998</v>
      </c>
      <c r="H712" s="1">
        <v>-4.1977450000000002E-6</v>
      </c>
      <c r="I712">
        <v>364.33139999999997</v>
      </c>
      <c r="J712">
        <v>-291.82580000000002</v>
      </c>
      <c r="K712">
        <v>1.060195</v>
      </c>
      <c r="L712">
        <v>366.78489999999999</v>
      </c>
      <c r="M712">
        <v>0.99994110000000003</v>
      </c>
      <c r="N712">
        <v>0</v>
      </c>
      <c r="O712">
        <v>-4.181677E-3</v>
      </c>
      <c r="P712">
        <v>0.9868304</v>
      </c>
      <c r="Q712">
        <v>0.15120520000000001</v>
      </c>
      <c r="R712">
        <v>-5.7470800000000002E-2</v>
      </c>
      <c r="S712">
        <v>3.0421450000000001</v>
      </c>
      <c r="T712">
        <v>-0.10839409999999999</v>
      </c>
      <c r="U712">
        <v>-0.25091550000000001</v>
      </c>
      <c r="V712">
        <v>5.3124060000000001E-2</v>
      </c>
      <c r="W712">
        <v>0.1611629</v>
      </c>
      <c r="X712">
        <v>0.98549699999999996</v>
      </c>
      <c r="Y712">
        <v>7.7985719999999994E-2</v>
      </c>
      <c r="Z712">
        <v>-1.2378580000000001E-3</v>
      </c>
      <c r="AA712">
        <v>0.99695370000000005</v>
      </c>
      <c r="AB712">
        <v>28</v>
      </c>
      <c r="AC712">
        <v>29.4667999999999</v>
      </c>
      <c r="AD712">
        <v>-1.060199197745</v>
      </c>
      <c r="AE712">
        <v>-2.45350000000002</v>
      </c>
      <c r="AF712">
        <v>2.3272597823764301</v>
      </c>
      <c r="AG712">
        <v>-1.060199197745</v>
      </c>
      <c r="AH712">
        <v>29.438955644761801</v>
      </c>
      <c r="AI712">
        <v>92.056119638790307</v>
      </c>
      <c r="AJ712">
        <v>85.4799542424187</v>
      </c>
      <c r="AK712">
        <v>29.549826901148201</v>
      </c>
      <c r="AL712">
        <v>80.725598389496994</v>
      </c>
      <c r="AM712">
        <v>86.9144083577483</v>
      </c>
      <c r="AN712">
        <v>0.99999999154814601</v>
      </c>
    </row>
    <row r="713" spans="1:40" x14ac:dyDescent="0.25">
      <c r="A713" t="str">
        <f>"20190312172625566"</f>
        <v>20190312172625566</v>
      </c>
      <c r="B713" t="str">
        <f>"1552382785559638"</f>
        <v>1552382785559638</v>
      </c>
      <c r="C713" t="s">
        <v>40</v>
      </c>
      <c r="D713">
        <v>3.2151299999999998</v>
      </c>
      <c r="E713">
        <v>0.50912559999999996</v>
      </c>
      <c r="F713" t="s">
        <v>41</v>
      </c>
      <c r="G713">
        <v>-262.81830000000002</v>
      </c>
      <c r="H713" s="1">
        <v>-3.9858299999999996E-6</v>
      </c>
      <c r="I713">
        <v>364.4151</v>
      </c>
      <c r="J713">
        <v>-291.65539999999999</v>
      </c>
      <c r="K713">
        <v>1.0602</v>
      </c>
      <c r="L713">
        <v>366.78469999999999</v>
      </c>
      <c r="M713">
        <v>0.99994289999999997</v>
      </c>
      <c r="N713">
        <v>0</v>
      </c>
      <c r="O713">
        <v>-3.708781E-3</v>
      </c>
      <c r="P713">
        <v>0.98687409999999998</v>
      </c>
      <c r="Q713">
        <v>0.151057</v>
      </c>
      <c r="R713">
        <v>-5.7108010000000001E-2</v>
      </c>
      <c r="S713">
        <v>3.0426030000000002</v>
      </c>
      <c r="T713">
        <v>-0.1112045</v>
      </c>
      <c r="U713">
        <v>-0.2485657</v>
      </c>
      <c r="V713">
        <v>5.3223760000000002E-2</v>
      </c>
      <c r="W713">
        <v>0.1610161</v>
      </c>
      <c r="X713">
        <v>0.98551560000000005</v>
      </c>
      <c r="Y713">
        <v>7.7677560000000007E-2</v>
      </c>
      <c r="Z713">
        <v>-1.2814089999999901E-3</v>
      </c>
      <c r="AA713">
        <v>0.99697769999999997</v>
      </c>
      <c r="AB713">
        <v>28</v>
      </c>
      <c r="AC713">
        <v>28.8370999999999</v>
      </c>
      <c r="AD713">
        <v>-1.0602039858299901</v>
      </c>
      <c r="AE713">
        <v>-2.3695999999999899</v>
      </c>
      <c r="AF713">
        <v>2.2595940650935602</v>
      </c>
      <c r="AG713">
        <v>-1.0602039858299901</v>
      </c>
      <c r="AH713">
        <v>28.8070135488211</v>
      </c>
      <c r="AI713">
        <v>92.101295405936895</v>
      </c>
      <c r="AJ713">
        <v>85.514958200105198</v>
      </c>
      <c r="AK713">
        <v>28.914941248989901</v>
      </c>
      <c r="AL713">
        <v>80.734120562913304</v>
      </c>
      <c r="AM713">
        <v>86.908686960194899</v>
      </c>
      <c r="AN713">
        <v>0.99999997546555297</v>
      </c>
    </row>
    <row r="714" spans="1:40" x14ac:dyDescent="0.25">
      <c r="A714" t="str">
        <f>"20190312172625586"</f>
        <v>20190312172625586</v>
      </c>
      <c r="B714" t="str">
        <f>"1552382785579157"</f>
        <v>1552382785579157</v>
      </c>
      <c r="C714" t="s">
        <v>40</v>
      </c>
      <c r="D714">
        <v>3.2159439999999999</v>
      </c>
      <c r="E714">
        <v>0.50908240000000005</v>
      </c>
      <c r="F714" t="s">
        <v>41</v>
      </c>
      <c r="G714">
        <v>-262.74529999999999</v>
      </c>
      <c r="H714" s="1">
        <v>-4.0128440000000003E-6</v>
      </c>
      <c r="I714">
        <v>364.43939999999998</v>
      </c>
      <c r="J714">
        <v>-291.39479999999998</v>
      </c>
      <c r="K714">
        <v>1.060209</v>
      </c>
      <c r="L714">
        <v>366.78449999999998</v>
      </c>
      <c r="M714">
        <v>0.99994530000000004</v>
      </c>
      <c r="N714">
        <v>0</v>
      </c>
      <c r="O714">
        <v>-2.97409E-3</v>
      </c>
      <c r="P714">
        <v>0.98693140000000001</v>
      </c>
      <c r="Q714">
        <v>0.15093019999999999</v>
      </c>
      <c r="R714">
        <v>-5.644764E-2</v>
      </c>
      <c r="S714">
        <v>3.0427249999999999</v>
      </c>
      <c r="T714">
        <v>-0.11158410000000001</v>
      </c>
      <c r="U714">
        <v>-0.2468262</v>
      </c>
      <c r="V714">
        <v>5.3283579999999997E-2</v>
      </c>
      <c r="W714">
        <v>0.16089000000000001</v>
      </c>
      <c r="X714">
        <v>0.98553299999999999</v>
      </c>
      <c r="Y714">
        <v>7.7839679999999994E-2</v>
      </c>
      <c r="Z714">
        <v>-1.3156140000000001E-3</v>
      </c>
      <c r="AA714">
        <v>0.99696510000000005</v>
      </c>
      <c r="AB714">
        <v>28</v>
      </c>
      <c r="AC714">
        <v>28.6494999999999</v>
      </c>
      <c r="AD714">
        <v>-1.0602130128439999</v>
      </c>
      <c r="AE714">
        <v>-2.3451</v>
      </c>
      <c r="AF714">
        <v>2.2568090921276802</v>
      </c>
      <c r="AG714">
        <v>-1.0602130128439999</v>
      </c>
      <c r="AH714">
        <v>28.617418345043198</v>
      </c>
      <c r="AI714">
        <v>92.115152463034704</v>
      </c>
      <c r="AJ714">
        <v>85.490907852888</v>
      </c>
      <c r="AK714">
        <v>28.725839790093598</v>
      </c>
      <c r="AL714">
        <v>80.741441355320404</v>
      </c>
      <c r="AM714">
        <v>86.905273811537498</v>
      </c>
      <c r="AN714">
        <v>1.0000000130433</v>
      </c>
    </row>
    <row r="715" spans="1:40" x14ac:dyDescent="0.25">
      <c r="A715" t="str">
        <f>"20190312172625609"</f>
        <v>20190312172625609</v>
      </c>
      <c r="B715" t="str">
        <f>"1552382785599656"</f>
        <v>1552382785599656</v>
      </c>
      <c r="C715" t="s">
        <v>40</v>
      </c>
      <c r="D715">
        <v>3.2331020000000001</v>
      </c>
      <c r="E715">
        <v>0.50910759999999999</v>
      </c>
      <c r="F715" t="s">
        <v>41</v>
      </c>
      <c r="G715">
        <v>-262.65170000000001</v>
      </c>
      <c r="H715" s="1">
        <v>-4.0465740000000001E-6</v>
      </c>
      <c r="I715">
        <v>364.47570000000002</v>
      </c>
      <c r="J715">
        <v>-291.11110000000002</v>
      </c>
      <c r="K715">
        <v>1.0602149999999999</v>
      </c>
      <c r="L715">
        <v>366.78449999999998</v>
      </c>
      <c r="M715">
        <v>0.99994740000000004</v>
      </c>
      <c r="N715">
        <v>0</v>
      </c>
      <c r="O715">
        <v>-2.1661219999999999E-3</v>
      </c>
      <c r="P715">
        <v>0.98700569999999999</v>
      </c>
      <c r="Q715">
        <v>0.150675</v>
      </c>
      <c r="R715">
        <v>-5.5829280000000002E-2</v>
      </c>
      <c r="S715">
        <v>3.0428769999999998</v>
      </c>
      <c r="T715">
        <v>-0.11223859999999999</v>
      </c>
      <c r="U715">
        <v>-0.2444153</v>
      </c>
      <c r="V715">
        <v>5.345896E-2</v>
      </c>
      <c r="W715">
        <v>0.16063540000000001</v>
      </c>
      <c r="X715">
        <v>0.98556500000000002</v>
      </c>
      <c r="Y715">
        <v>7.7855289999999994E-2</v>
      </c>
      <c r="Z715">
        <v>-1.3533340000000001E-3</v>
      </c>
      <c r="AA715">
        <v>0.99696370000000001</v>
      </c>
      <c r="AB715">
        <v>28</v>
      </c>
      <c r="AC715">
        <v>28.459399999999999</v>
      </c>
      <c r="AD715">
        <v>-1.060219046574</v>
      </c>
      <c r="AE715">
        <v>-2.3087999999999602</v>
      </c>
      <c r="AF715">
        <v>2.2440509295006201</v>
      </c>
      <c r="AG715">
        <v>-1.060219046574</v>
      </c>
      <c r="AH715">
        <v>28.425142977788202</v>
      </c>
      <c r="AI715">
        <v>92.129444792785904</v>
      </c>
      <c r="AJ715">
        <v>85.486090278460907</v>
      </c>
      <c r="AK715">
        <v>28.533289020171001</v>
      </c>
      <c r="AL715">
        <v>80.7562207977046</v>
      </c>
      <c r="AM715">
        <v>86.895208201018093</v>
      </c>
      <c r="AN715">
        <v>0.99999998068121998</v>
      </c>
    </row>
    <row r="716" spans="1:40" x14ac:dyDescent="0.25">
      <c r="A716" t="str">
        <f>"20190312172625622"</f>
        <v>20190312172625622</v>
      </c>
      <c r="B716" t="str">
        <f>"1552382785609415"</f>
        <v>1552382785609415</v>
      </c>
      <c r="C716" t="s">
        <v>40</v>
      </c>
      <c r="D716">
        <v>3.2405379999999999</v>
      </c>
      <c r="E716">
        <v>0.50909780000000004</v>
      </c>
      <c r="F716" t="s">
        <v>41</v>
      </c>
      <c r="G716">
        <v>-262.57380000000001</v>
      </c>
      <c r="H716" s="1">
        <v>-4.0739780000000001E-6</v>
      </c>
      <c r="I716">
        <v>364.5095</v>
      </c>
      <c r="J716">
        <v>-290.94510000000002</v>
      </c>
      <c r="K716">
        <v>1.060216</v>
      </c>
      <c r="L716">
        <v>366.78460000000001</v>
      </c>
      <c r="M716">
        <v>0.99994850000000002</v>
      </c>
      <c r="N716">
        <v>0</v>
      </c>
      <c r="O716">
        <v>-1.6910439999999901E-3</v>
      </c>
      <c r="P716">
        <v>0.98704429999999999</v>
      </c>
      <c r="Q716">
        <v>0.15050649999999999</v>
      </c>
      <c r="R716">
        <v>-5.5602270000000002E-2</v>
      </c>
      <c r="S716">
        <v>3.0430299999999999</v>
      </c>
      <c r="T716">
        <v>-0.11305460000000001</v>
      </c>
      <c r="U716">
        <v>-0.2425842</v>
      </c>
      <c r="V716">
        <v>5.3699570000000002E-2</v>
      </c>
      <c r="W716">
        <v>0.16046779999999999</v>
      </c>
      <c r="X716">
        <v>0.98557930000000005</v>
      </c>
      <c r="Y716">
        <v>7.7727870000000004E-2</v>
      </c>
      <c r="Z716">
        <v>-1.378385E-3</v>
      </c>
      <c r="AA716">
        <v>0.99697360000000002</v>
      </c>
      <c r="AB716">
        <v>28</v>
      </c>
      <c r="AC716">
        <v>28.371300000000002</v>
      </c>
      <c r="AD716">
        <v>-1.0602200739779899</v>
      </c>
      <c r="AE716">
        <v>-2.2751000000000001</v>
      </c>
      <c r="AF716">
        <v>2.2240312649242799</v>
      </c>
      <c r="AG716">
        <v>-1.0602200739779899</v>
      </c>
      <c r="AH716">
        <v>28.335789487655401</v>
      </c>
      <c r="AI716">
        <v>92.136231994644504</v>
      </c>
      <c r="AJ716">
        <v>85.5121455740111</v>
      </c>
      <c r="AK716">
        <v>28.4427028877593</v>
      </c>
      <c r="AL716">
        <v>80.765950496971797</v>
      </c>
      <c r="AM716">
        <v>86.881306728625404</v>
      </c>
      <c r="AN716">
        <v>1.00000005762175</v>
      </c>
    </row>
    <row r="717" spans="1:40" x14ac:dyDescent="0.25">
      <c r="A717" t="str">
        <f>"20190312172625642"</f>
        <v>20190312172625642</v>
      </c>
      <c r="B717" t="str">
        <f>"1552382785628933"</f>
        <v>1552382785628933</v>
      </c>
      <c r="C717" t="s">
        <v>40</v>
      </c>
      <c r="D717">
        <v>3.2070439999999998</v>
      </c>
      <c r="E717">
        <v>0.50918969999999997</v>
      </c>
      <c r="F717" t="s">
        <v>41</v>
      </c>
      <c r="G717">
        <v>-262.51560000000001</v>
      </c>
      <c r="H717" s="1">
        <v>-4.096059E-6</v>
      </c>
      <c r="I717">
        <v>364.52589999999998</v>
      </c>
      <c r="J717">
        <v>-290.6893</v>
      </c>
      <c r="K717">
        <v>1.060217</v>
      </c>
      <c r="L717">
        <v>366.78500000000003</v>
      </c>
      <c r="M717">
        <v>0.99994939999999999</v>
      </c>
      <c r="N717">
        <v>0</v>
      </c>
      <c r="O717">
        <v>-9.5871349999999999E-4</v>
      </c>
      <c r="P717">
        <v>0.98716369999999998</v>
      </c>
      <c r="Q717">
        <v>0.149966299999999</v>
      </c>
      <c r="R717">
        <v>-5.4937630000000001E-2</v>
      </c>
      <c r="S717">
        <v>3.0430299999999999</v>
      </c>
      <c r="T717">
        <v>-0.11348320000000001</v>
      </c>
      <c r="U717">
        <v>-0.24176030000000001</v>
      </c>
      <c r="V717">
        <v>5.3756810000000002E-2</v>
      </c>
      <c r="W717">
        <v>0.1599294</v>
      </c>
      <c r="X717">
        <v>0.98566370000000003</v>
      </c>
      <c r="Y717">
        <v>7.8188540000000001E-2</v>
      </c>
      <c r="Z717">
        <v>-1.419453E-3</v>
      </c>
      <c r="AA717">
        <v>0.99693759999999998</v>
      </c>
      <c r="AB717">
        <v>28</v>
      </c>
      <c r="AC717">
        <v>28.1737</v>
      </c>
      <c r="AD717">
        <v>-1.0602210960589999</v>
      </c>
      <c r="AE717">
        <v>-2.2591000000000401</v>
      </c>
      <c r="AF717">
        <v>2.2289507675993998</v>
      </c>
      <c r="AG717">
        <v>-1.0602210960589999</v>
      </c>
      <c r="AH717">
        <v>28.136262750053302</v>
      </c>
      <c r="AI717">
        <v>92.151245653105903</v>
      </c>
      <c r="AJ717">
        <v>85.470496019920901</v>
      </c>
      <c r="AK717">
        <v>28.244319284361399</v>
      </c>
      <c r="AL717">
        <v>80.797202266151402</v>
      </c>
      <c r="AM717">
        <v>86.878255793108394</v>
      </c>
      <c r="AN717">
        <v>1.0000000685517101</v>
      </c>
    </row>
    <row r="718" spans="1:40" x14ac:dyDescent="0.25">
      <c r="A718" t="str">
        <f>"20190312172625666"</f>
        <v>20190312172625666</v>
      </c>
      <c r="B718" t="str">
        <f>"1552382785659190"</f>
        <v>1552382785659190</v>
      </c>
      <c r="C718" t="s">
        <v>40</v>
      </c>
      <c r="D718">
        <v>3.2250670000000001</v>
      </c>
      <c r="E718">
        <v>0.50929820000000003</v>
      </c>
      <c r="F718" t="s">
        <v>41</v>
      </c>
      <c r="G718">
        <v>-262.74549999999999</v>
      </c>
      <c r="H718" s="1">
        <v>-3.9881680000000002E-6</v>
      </c>
      <c r="I718">
        <v>364.57810000000001</v>
      </c>
      <c r="J718">
        <v>-290.3877</v>
      </c>
      <c r="K718">
        <v>1.060216</v>
      </c>
      <c r="L718">
        <v>366.78559999999999</v>
      </c>
      <c r="M718">
        <v>0.99994989999999995</v>
      </c>
      <c r="N718">
        <v>0</v>
      </c>
      <c r="O718" s="1">
        <v>-9.6561640000000003E-5</v>
      </c>
      <c r="P718">
        <v>0.98725110000000005</v>
      </c>
      <c r="Q718">
        <v>0.1496063</v>
      </c>
      <c r="R718">
        <v>-5.4346029999999997E-2</v>
      </c>
      <c r="S718">
        <v>3.0431520000000001</v>
      </c>
      <c r="T718">
        <v>-0.11546049999999999</v>
      </c>
      <c r="U718">
        <v>-0.24032590000000001</v>
      </c>
      <c r="V718">
        <v>5.4015519999999997E-2</v>
      </c>
      <c r="W718">
        <v>0.15956689999999901</v>
      </c>
      <c r="X718">
        <v>0.98570820000000003</v>
      </c>
      <c r="Y718">
        <v>7.8575199999999998E-2</v>
      </c>
      <c r="Z718">
        <v>-1.4841079999999901E-3</v>
      </c>
      <c r="AA718">
        <v>0.99690710000000005</v>
      </c>
      <c r="AB718">
        <v>29</v>
      </c>
      <c r="AC718">
        <v>27.642199999999999</v>
      </c>
      <c r="AD718">
        <v>-1.0602199881679999</v>
      </c>
      <c r="AE718">
        <v>-2.20749999999998</v>
      </c>
      <c r="AF718">
        <v>2.2016123787569701</v>
      </c>
      <c r="AG718">
        <v>-1.0602199881679999</v>
      </c>
      <c r="AH718">
        <v>27.602064543133999</v>
      </c>
      <c r="AI718">
        <v>92.192743448418597</v>
      </c>
      <c r="AJ718">
        <v>85.439594626205704</v>
      </c>
      <c r="AK718">
        <v>27.710018594958399</v>
      </c>
      <c r="AL718">
        <v>80.8182412131723</v>
      </c>
      <c r="AM718">
        <v>86.863403343689797</v>
      </c>
      <c r="AN718">
        <v>0.99999996376185896</v>
      </c>
    </row>
    <row r="719" spans="1:40" x14ac:dyDescent="0.25">
      <c r="A719" t="str">
        <f>"20190312172625687"</f>
        <v>20190312172625687</v>
      </c>
      <c r="B719" t="str">
        <f>"1552382785679685"</f>
        <v>1552382785679685</v>
      </c>
      <c r="C719" t="s">
        <v>40</v>
      </c>
      <c r="D719">
        <v>3.2030370000000001</v>
      </c>
      <c r="E719">
        <v>0.50938720000000004</v>
      </c>
      <c r="F719" t="s">
        <v>41</v>
      </c>
      <c r="G719">
        <v>-262.9205</v>
      </c>
      <c r="H719" s="1">
        <v>-3.9045009999999999E-6</v>
      </c>
      <c r="I719">
        <v>364.62639999999999</v>
      </c>
      <c r="J719">
        <v>-290.11090000000002</v>
      </c>
      <c r="K719">
        <v>1.0602129999999901</v>
      </c>
      <c r="L719">
        <v>366.78640000000001</v>
      </c>
      <c r="M719">
        <v>0.9999498</v>
      </c>
      <c r="N719">
        <v>0</v>
      </c>
      <c r="O719">
        <v>6.9299289999999903E-4</v>
      </c>
      <c r="P719">
        <v>0.98735059999999997</v>
      </c>
      <c r="Q719">
        <v>0.14919669999999999</v>
      </c>
      <c r="R719">
        <v>-5.3658949999999997E-2</v>
      </c>
      <c r="S719">
        <v>3.043304</v>
      </c>
      <c r="T719">
        <v>-0.11747009999999999</v>
      </c>
      <c r="U719">
        <v>-0.2392273</v>
      </c>
      <c r="V719">
        <v>5.4108110000000001E-2</v>
      </c>
      <c r="W719">
        <v>0.15915079999999901</v>
      </c>
      <c r="X719">
        <v>0.98577040000000005</v>
      </c>
      <c r="Y719">
        <v>7.8997890000000001E-2</v>
      </c>
      <c r="Z719">
        <v>-1.548429E-3</v>
      </c>
      <c r="AA719">
        <v>0.99687360000000003</v>
      </c>
      <c r="AB719">
        <v>29</v>
      </c>
      <c r="AC719">
        <v>27.1904</v>
      </c>
      <c r="AD719">
        <v>-1.0602169045009999</v>
      </c>
      <c r="AE719">
        <v>-2.1600000000000201</v>
      </c>
      <c r="AF719">
        <v>2.1755562012686198</v>
      </c>
      <c r="AG719">
        <v>-1.0602169045009999</v>
      </c>
      <c r="AH719">
        <v>27.147879701292801</v>
      </c>
      <c r="AI719">
        <v>92.229318638366806</v>
      </c>
      <c r="AJ719">
        <v>85.418265452341501</v>
      </c>
      <c r="AK719">
        <v>27.255540298172999</v>
      </c>
      <c r="AL719">
        <v>80.842390686157401</v>
      </c>
      <c r="AM719">
        <v>86.858235404427802</v>
      </c>
      <c r="AN719">
        <v>0.99999997311228495</v>
      </c>
    </row>
    <row r="720" spans="1:40" x14ac:dyDescent="0.25">
      <c r="A720" t="str">
        <f>"20190312172625709"</f>
        <v>20190312172625709</v>
      </c>
      <c r="B720" t="str">
        <f>"1552382785699205"</f>
        <v>1552382785699205</v>
      </c>
      <c r="C720" t="s">
        <v>40</v>
      </c>
      <c r="D720">
        <v>3.2835160000000001</v>
      </c>
      <c r="E720">
        <v>0.50951150000000001</v>
      </c>
      <c r="F720" t="s">
        <v>41</v>
      </c>
      <c r="G720">
        <v>-263.04020000000003</v>
      </c>
      <c r="H720" s="1">
        <v>-3.8448570000000001E-6</v>
      </c>
      <c r="I720">
        <v>364.67320000000001</v>
      </c>
      <c r="J720">
        <v>-289.82659999999998</v>
      </c>
      <c r="K720">
        <v>1.060208</v>
      </c>
      <c r="L720">
        <v>366.78739999999999</v>
      </c>
      <c r="M720">
        <v>0.99994910000000004</v>
      </c>
      <c r="N720">
        <v>0</v>
      </c>
      <c r="O720">
        <v>1.500786E-3</v>
      </c>
      <c r="P720">
        <v>0.98744969999999999</v>
      </c>
      <c r="Q720">
        <v>0.14878829999999901</v>
      </c>
      <c r="R720">
        <v>-5.2970509999999998E-2</v>
      </c>
      <c r="S720">
        <v>3.0435789999999998</v>
      </c>
      <c r="T720">
        <v>-0.1192009</v>
      </c>
      <c r="U720">
        <v>-0.23757929999999999</v>
      </c>
      <c r="V720">
        <v>5.4217300000000003E-2</v>
      </c>
      <c r="W720">
        <v>0.15873509999999999</v>
      </c>
      <c r="X720">
        <v>0.98583140000000002</v>
      </c>
      <c r="Y720">
        <v>7.9257149999999998E-2</v>
      </c>
      <c r="Z720">
        <v>-1.6077649999999999E-3</v>
      </c>
      <c r="AA720">
        <v>0.99685290000000004</v>
      </c>
      <c r="AB720">
        <v>29</v>
      </c>
      <c r="AC720">
        <v>26.786399999999901</v>
      </c>
      <c r="AD720">
        <v>-1.0602118448569999</v>
      </c>
      <c r="AE720">
        <v>-2.1141999999999799</v>
      </c>
      <c r="AF720">
        <v>2.1510513115886898</v>
      </c>
      <c r="AG720">
        <v>-1.0602118448569999</v>
      </c>
      <c r="AH720">
        <v>26.7415628890178</v>
      </c>
      <c r="AI720">
        <v>92.263091284811296</v>
      </c>
      <c r="AJ720">
        <v>85.401114961024604</v>
      </c>
      <c r="AK720">
        <v>26.848878126438599</v>
      </c>
      <c r="AL720">
        <v>80.866514991624996</v>
      </c>
      <c r="AM720">
        <v>86.8521024744513</v>
      </c>
      <c r="AN720">
        <v>0.99999994840862805</v>
      </c>
    </row>
    <row r="721" spans="1:40" x14ac:dyDescent="0.25">
      <c r="A721" t="str">
        <f>"20190312172625731"</f>
        <v>20190312172625731</v>
      </c>
      <c r="B721" t="str">
        <f>"1552382785719701"</f>
        <v>1552382785719701</v>
      </c>
      <c r="C721" t="s">
        <v>40</v>
      </c>
      <c r="D721">
        <v>3.2287460000000001</v>
      </c>
      <c r="E721">
        <v>0.50965629999999995</v>
      </c>
      <c r="F721" t="s">
        <v>41</v>
      </c>
      <c r="G721">
        <v>-263.08879999999999</v>
      </c>
      <c r="H721" s="1">
        <v>-3.8167999999999996E-6</v>
      </c>
      <c r="I721">
        <v>364.714</v>
      </c>
      <c r="J721">
        <v>-289.55180000000001</v>
      </c>
      <c r="K721">
        <v>1.0602020000000001</v>
      </c>
      <c r="L721">
        <v>366.78870000000001</v>
      </c>
      <c r="M721">
        <v>0.99994749999999999</v>
      </c>
      <c r="N721">
        <v>0</v>
      </c>
      <c r="O721">
        <v>2.2800810000000002E-3</v>
      </c>
      <c r="P721">
        <v>0.98750459999999995</v>
      </c>
      <c r="Q721">
        <v>0.14865329999999999</v>
      </c>
      <c r="R721">
        <v>-5.2316380000000003E-2</v>
      </c>
      <c r="S721">
        <v>3.0436709999999998</v>
      </c>
      <c r="T721">
        <v>-0.12068760000000001</v>
      </c>
      <c r="U721">
        <v>-0.23602290000000001</v>
      </c>
      <c r="V721">
        <v>5.4332560000000002E-2</v>
      </c>
      <c r="W721">
        <v>0.1585934</v>
      </c>
      <c r="X721">
        <v>0.9858479</v>
      </c>
      <c r="Y721">
        <v>7.952265E-2</v>
      </c>
      <c r="Z721">
        <v>-1.6638829999999999E-3</v>
      </c>
      <c r="AA721">
        <v>0.99683169999999999</v>
      </c>
      <c r="AB721">
        <v>29</v>
      </c>
      <c r="AC721">
        <v>26.463000000000001</v>
      </c>
      <c r="AD721">
        <v>-1.0602058167999999</v>
      </c>
      <c r="AE721">
        <v>-2.0747</v>
      </c>
      <c r="AF721">
        <v>2.1316348150083702</v>
      </c>
      <c r="AG721">
        <v>-1.0602058167999999</v>
      </c>
      <c r="AH721">
        <v>26.416059082422599</v>
      </c>
      <c r="AI721">
        <v>92.290888067288506</v>
      </c>
      <c r="AJ721">
        <v>85.386533147447693</v>
      </c>
      <c r="AK721">
        <v>26.523123511467801</v>
      </c>
      <c r="AL721">
        <v>80.874738330001406</v>
      </c>
      <c r="AM721">
        <v>86.845476584140698</v>
      </c>
      <c r="AN721">
        <v>0.999999987767061</v>
      </c>
    </row>
    <row r="722" spans="1:40" x14ac:dyDescent="0.25">
      <c r="A722" t="str">
        <f>"20190312172625753"</f>
        <v>20190312172625753</v>
      </c>
      <c r="B722" t="str">
        <f>"1552382785748982"</f>
        <v>1552382785748982</v>
      </c>
      <c r="C722" t="s">
        <v>40</v>
      </c>
      <c r="D722">
        <v>3.1891180000000001</v>
      </c>
      <c r="E722">
        <v>0.50973780000000002</v>
      </c>
      <c r="F722" t="s">
        <v>41</v>
      </c>
      <c r="G722">
        <v>-262.95729999999998</v>
      </c>
      <c r="H722" s="1">
        <v>-3.8700799999999999E-6</v>
      </c>
      <c r="I722">
        <v>364.73149999999998</v>
      </c>
      <c r="J722">
        <v>-289.25940000000003</v>
      </c>
      <c r="K722">
        <v>1.0601989999999999</v>
      </c>
      <c r="L722">
        <v>366.79020000000003</v>
      </c>
      <c r="M722">
        <v>0.99994550000000004</v>
      </c>
      <c r="N722">
        <v>0</v>
      </c>
      <c r="O722">
        <v>3.1077729999999999E-3</v>
      </c>
      <c r="P722">
        <v>0.98758360000000001</v>
      </c>
      <c r="Q722">
        <v>0.1483815</v>
      </c>
      <c r="R722">
        <v>-5.1591379999999999E-2</v>
      </c>
      <c r="S722">
        <v>3.043793</v>
      </c>
      <c r="T722">
        <v>-0.1213423</v>
      </c>
      <c r="U722">
        <v>-0.23544309999999999</v>
      </c>
      <c r="V722">
        <v>5.4425179999999997E-2</v>
      </c>
      <c r="W722">
        <v>0.1583156</v>
      </c>
      <c r="X722">
        <v>0.98588750000000003</v>
      </c>
      <c r="Y722">
        <v>8.0154050000000004E-2</v>
      </c>
      <c r="Z722">
        <v>-1.7183459999999999E-3</v>
      </c>
      <c r="AA722">
        <v>0.99678100000000003</v>
      </c>
      <c r="AB722">
        <v>29</v>
      </c>
      <c r="AC722">
        <v>26.302099999999999</v>
      </c>
      <c r="AD722">
        <v>-1.0602028700799999</v>
      </c>
      <c r="AE722">
        <v>-2.0587000000000399</v>
      </c>
      <c r="AF722">
        <v>2.1369840668025502</v>
      </c>
      <c r="AG722">
        <v>-1.0602028700799999</v>
      </c>
      <c r="AH722">
        <v>26.253178527947199</v>
      </c>
      <c r="AI722">
        <v>92.304948968897193</v>
      </c>
      <c r="AJ722">
        <v>85.346437150950194</v>
      </c>
      <c r="AK722">
        <v>26.3613374821491</v>
      </c>
      <c r="AL722">
        <v>80.890859294109006</v>
      </c>
      <c r="AM722">
        <v>86.840236663363598</v>
      </c>
      <c r="AN722">
        <v>1.0000000460388201</v>
      </c>
    </row>
    <row r="723" spans="1:40" x14ac:dyDescent="0.25">
      <c r="A723" t="str">
        <f>"20190312172625767"</f>
        <v>20190312172625767</v>
      </c>
      <c r="B723" t="str">
        <f>"1552382785759718"</f>
        <v>1552382785759718</v>
      </c>
      <c r="C723" t="s">
        <v>40</v>
      </c>
      <c r="D723">
        <v>3.318174</v>
      </c>
      <c r="E723">
        <v>0.50973780000000002</v>
      </c>
      <c r="F723" t="s">
        <v>41</v>
      </c>
      <c r="G723">
        <v>-262.99340000000001</v>
      </c>
      <c r="H723" s="1">
        <v>-3.847079E-6</v>
      </c>
      <c r="I723">
        <v>364.77379999999999</v>
      </c>
      <c r="J723">
        <v>-289.08</v>
      </c>
      <c r="K723">
        <v>1.0601989999999999</v>
      </c>
      <c r="L723">
        <v>366.79129999999998</v>
      </c>
      <c r="M723">
        <v>0.99994369999999999</v>
      </c>
      <c r="N723">
        <v>0</v>
      </c>
      <c r="O723">
        <v>3.6151989999999999E-3</v>
      </c>
      <c r="P723">
        <v>0.98761520000000003</v>
      </c>
      <c r="Q723">
        <v>0.148364</v>
      </c>
      <c r="R723">
        <v>-5.1033009999999997E-2</v>
      </c>
      <c r="S723">
        <v>3.0439759999999998</v>
      </c>
      <c r="T723">
        <v>-0.1228672</v>
      </c>
      <c r="U723">
        <v>-0.23367309999999999</v>
      </c>
      <c r="V723">
        <v>5.4367680000000002E-2</v>
      </c>
      <c r="W723">
        <v>0.15829389999999999</v>
      </c>
      <c r="X723">
        <v>0.9858941</v>
      </c>
      <c r="Y723">
        <v>8.0077079999999995E-2</v>
      </c>
      <c r="Z723">
        <v>-1.7587529999999901E-3</v>
      </c>
      <c r="AA723">
        <v>0.99678710000000004</v>
      </c>
      <c r="AB723">
        <v>29</v>
      </c>
      <c r="AC723">
        <v>26.086599999999901</v>
      </c>
      <c r="AD723">
        <v>-1.0602028470789999</v>
      </c>
      <c r="AE723">
        <v>-2.0174999999999801</v>
      </c>
      <c r="AF723">
        <v>2.10833802722625</v>
      </c>
      <c r="AG723">
        <v>-1.0602028470789999</v>
      </c>
      <c r="AH723">
        <v>26.0363857138246</v>
      </c>
      <c r="AI723">
        <v>92.324199298719506</v>
      </c>
      <c r="AJ723">
        <v>85.370483771861501</v>
      </c>
      <c r="AK723">
        <v>26.143115735372</v>
      </c>
      <c r="AL723">
        <v>80.892117974992402</v>
      </c>
      <c r="AM723">
        <v>86.843589275614903</v>
      </c>
      <c r="AN723">
        <v>0.99999998991030103</v>
      </c>
    </row>
    <row r="724" spans="1:40" x14ac:dyDescent="0.25">
      <c r="A724" t="str">
        <f>"20190312172625781"</f>
        <v>20190312172625781</v>
      </c>
      <c r="B724" t="str">
        <f>"1552382785769478"</f>
        <v>1552382785769478</v>
      </c>
      <c r="C724" t="s">
        <v>40</v>
      </c>
      <c r="D724">
        <v>3.2603010000000001</v>
      </c>
      <c r="E724">
        <v>0.486759</v>
      </c>
      <c r="F724" t="s">
        <v>41</v>
      </c>
      <c r="G724">
        <v>-262.81920000000002</v>
      </c>
      <c r="H724" s="1">
        <v>-3.9193230000000003E-6</v>
      </c>
      <c r="I724">
        <v>364.78800000000001</v>
      </c>
      <c r="J724">
        <v>-288.9151</v>
      </c>
      <c r="K724">
        <v>1.0601959999999999</v>
      </c>
      <c r="L724">
        <v>366.79239999999999</v>
      </c>
      <c r="M724">
        <v>0.99994190000000005</v>
      </c>
      <c r="N724">
        <v>0</v>
      </c>
      <c r="O724">
        <v>4.0809720000000004E-3</v>
      </c>
      <c r="P724">
        <v>0.98763520000000005</v>
      </c>
      <c r="Q724">
        <v>0.14841869999999999</v>
      </c>
      <c r="R724">
        <v>-5.0485389999999998E-2</v>
      </c>
      <c r="S724">
        <v>3.044098</v>
      </c>
      <c r="T724">
        <v>-0.1228964</v>
      </c>
      <c r="U724">
        <v>-0.23220830000000001</v>
      </c>
      <c r="V724">
        <v>5.4279689999999998E-2</v>
      </c>
      <c r="W724">
        <v>0.15834239999999999</v>
      </c>
      <c r="X724">
        <v>0.98589119999999997</v>
      </c>
      <c r="Y724">
        <v>8.0061060000000003E-2</v>
      </c>
      <c r="Z724">
        <v>-1.7775810000000001E-3</v>
      </c>
      <c r="AA724">
        <v>0.99678840000000002</v>
      </c>
      <c r="AB724">
        <v>29</v>
      </c>
      <c r="AC724">
        <v>26.095899999999901</v>
      </c>
      <c r="AD724">
        <v>-1.0601999193229901</v>
      </c>
      <c r="AE724">
        <v>-2.0043999999999702</v>
      </c>
      <c r="AF724">
        <v>2.1074272141180699</v>
      </c>
      <c r="AG724">
        <v>-1.0601999193229901</v>
      </c>
      <c r="AH724">
        <v>26.044766077794701</v>
      </c>
      <c r="AI724">
        <v>92.3234572473892</v>
      </c>
      <c r="AJ724">
        <v>85.373957583682497</v>
      </c>
      <c r="AK724">
        <v>26.1513883642682</v>
      </c>
      <c r="AL724">
        <v>80.889303997660505</v>
      </c>
      <c r="AM724">
        <v>86.848678133662801</v>
      </c>
      <c r="AN724">
        <v>1.00000002931084</v>
      </c>
    </row>
    <row r="725" spans="1:40" x14ac:dyDescent="0.25">
      <c r="A725" t="str">
        <f>"20190312172625798"</f>
        <v>20190312172625798</v>
      </c>
      <c r="B725" t="str">
        <f>"1552382785788998"</f>
        <v>1552382785788998</v>
      </c>
      <c r="C725" t="s">
        <v>40</v>
      </c>
      <c r="D725">
        <v>3.355073</v>
      </c>
      <c r="E725">
        <v>0.48097190000000001</v>
      </c>
      <c r="F725" t="s">
        <v>41</v>
      </c>
      <c r="G725">
        <v>-263.4622</v>
      </c>
      <c r="H725" s="1">
        <v>-3.3582540000000001E-6</v>
      </c>
      <c r="I725">
        <v>366.39580000000001</v>
      </c>
      <c r="J725">
        <v>-288.68110000000001</v>
      </c>
      <c r="K725">
        <v>1.0601959999999999</v>
      </c>
      <c r="L725">
        <v>366.79399999999998</v>
      </c>
      <c r="M725">
        <v>0.99993909999999997</v>
      </c>
      <c r="N725">
        <v>0</v>
      </c>
      <c r="O725">
        <v>4.7422640000000004E-3</v>
      </c>
      <c r="P725">
        <v>0.98768299999999998</v>
      </c>
      <c r="Q725">
        <v>0.148313</v>
      </c>
      <c r="R725">
        <v>-4.9855539999999997E-2</v>
      </c>
      <c r="S725">
        <v>3.0542600000000002</v>
      </c>
      <c r="T725">
        <v>-0.12722</v>
      </c>
      <c r="U725">
        <v>-4.7576899999999998E-2</v>
      </c>
      <c r="V725">
        <v>5.4302910000000003E-2</v>
      </c>
      <c r="W725">
        <v>0.1582266</v>
      </c>
      <c r="X725">
        <v>0.98590849999999997</v>
      </c>
      <c r="Y725">
        <v>2.0295379999999998E-2</v>
      </c>
      <c r="Z725">
        <v>-6.1992069999999995E-4</v>
      </c>
      <c r="AA725">
        <v>0.99979379999999995</v>
      </c>
      <c r="AB725">
        <v>29</v>
      </c>
      <c r="AC725">
        <v>25.218900000000001</v>
      </c>
      <c r="AD725">
        <v>-1.0601993582539999</v>
      </c>
      <c r="AE725">
        <v>-0.39820000000003097</v>
      </c>
      <c r="AF725">
        <v>0.51688285659152899</v>
      </c>
      <c r="AG725">
        <v>-1.0601993582539999</v>
      </c>
      <c r="AH725">
        <v>25.172250819910602</v>
      </c>
      <c r="AI725">
        <v>92.411238039756597</v>
      </c>
      <c r="AJ725">
        <v>88.823663201706694</v>
      </c>
      <c r="AK725">
        <v>25.199869085119701</v>
      </c>
      <c r="AL725">
        <v>80.896023442565195</v>
      </c>
      <c r="AM725">
        <v>86.847387975528406</v>
      </c>
      <c r="AN725">
        <v>1.0000000166771299</v>
      </c>
    </row>
    <row r="726" spans="1:40" x14ac:dyDescent="0.25">
      <c r="A726" t="str">
        <f>"20190312172625820"</f>
        <v>20190312172625820</v>
      </c>
      <c r="B726" t="str">
        <f>"1552382785809494"</f>
        <v>1552382785809494</v>
      </c>
      <c r="C726" t="s">
        <v>40</v>
      </c>
      <c r="D726">
        <v>3.2944870000000002</v>
      </c>
      <c r="E726">
        <v>0.4790991</v>
      </c>
      <c r="F726" t="s">
        <v>41</v>
      </c>
      <c r="G726">
        <v>-259.90609999999998</v>
      </c>
      <c r="H726" s="1">
        <v>-7.6622019999999997E-7</v>
      </c>
      <c r="I726">
        <v>366.80439999999999</v>
      </c>
      <c r="J726">
        <v>-288.40300000000002</v>
      </c>
      <c r="K726">
        <v>1.0601910000000001</v>
      </c>
      <c r="L726">
        <v>366.7962</v>
      </c>
      <c r="M726">
        <v>0.99993540000000003</v>
      </c>
      <c r="N726">
        <v>0</v>
      </c>
      <c r="O726">
        <v>5.5276049999999997E-3</v>
      </c>
      <c r="P726">
        <v>0.98781350000000001</v>
      </c>
      <c r="Q726">
        <v>0.14773320000000001</v>
      </c>
      <c r="R726">
        <v>-4.8989919999999999E-2</v>
      </c>
      <c r="S726">
        <v>3.0543819999999999</v>
      </c>
      <c r="T726">
        <v>-0.1125365</v>
      </c>
      <c r="U726">
        <v>1.0986329999999999E-3</v>
      </c>
      <c r="V726">
        <v>5.4213869999999997E-2</v>
      </c>
      <c r="W726">
        <v>0.15763479999999999</v>
      </c>
      <c r="X726">
        <v>0.9860082</v>
      </c>
      <c r="Y726">
        <v>5.1609400000000001E-3</v>
      </c>
      <c r="Z726">
        <v>-2.986442E-4</v>
      </c>
      <c r="AA726">
        <v>0.99998659999999995</v>
      </c>
      <c r="AB726">
        <v>29</v>
      </c>
      <c r="AC726">
        <v>28.4969</v>
      </c>
      <c r="AD726">
        <v>-1.0601917662201901</v>
      </c>
      <c r="AE726">
        <v>8.1999999999879895E-3</v>
      </c>
      <c r="AF726">
        <v>0.149121100343729</v>
      </c>
      <c r="AG726">
        <v>-1.0601917662201901</v>
      </c>
      <c r="AH726">
        <v>28.457121872473</v>
      </c>
      <c r="AI726">
        <v>92.133581891947202</v>
      </c>
      <c r="AJ726">
        <v>89.699761222507902</v>
      </c>
      <c r="AK726">
        <v>28.4772545893825</v>
      </c>
      <c r="AL726">
        <v>80.930362077510907</v>
      </c>
      <c r="AM726">
        <v>86.852864497971794</v>
      </c>
      <c r="AN726">
        <v>1.0000000221693199</v>
      </c>
    </row>
    <row r="727" spans="1:40" x14ac:dyDescent="0.25">
      <c r="A727" t="str">
        <f>"20190312172625842"</f>
        <v>20190312172625842</v>
      </c>
      <c r="B727" t="str">
        <f>"1552382785839750"</f>
        <v>1552382785839750</v>
      </c>
      <c r="C727" t="s">
        <v>40</v>
      </c>
      <c r="D727">
        <v>3.2864949999999902</v>
      </c>
      <c r="E727">
        <v>0.47774430000000001</v>
      </c>
      <c r="F727" t="s">
        <v>41</v>
      </c>
      <c r="G727">
        <v>-258.18970000000002</v>
      </c>
      <c r="H727" s="1">
        <v>-1.3019580000000001E-6</v>
      </c>
      <c r="I727">
        <v>366.98610000000002</v>
      </c>
      <c r="J727">
        <v>-288.12150000000003</v>
      </c>
      <c r="K727">
        <v>1.0601849999999999</v>
      </c>
      <c r="L727">
        <v>366.79860000000002</v>
      </c>
      <c r="M727">
        <v>0.99993069999999895</v>
      </c>
      <c r="N727">
        <v>0</v>
      </c>
      <c r="O727">
        <v>6.3230159999999999E-3</v>
      </c>
      <c r="P727">
        <v>0.98789729999999998</v>
      </c>
      <c r="Q727">
        <v>0.14756050000000001</v>
      </c>
      <c r="R727">
        <v>-4.7803369999999998E-2</v>
      </c>
      <c r="S727">
        <v>3.0539860000000001</v>
      </c>
      <c r="T727">
        <v>-0.10716489999999999</v>
      </c>
      <c r="U727">
        <v>1.919556E-2</v>
      </c>
      <c r="V727">
        <v>5.3813159999999999E-2</v>
      </c>
      <c r="W727">
        <v>0.1574497</v>
      </c>
      <c r="X727">
        <v>0.98605969999999998</v>
      </c>
      <c r="Y727" s="1">
        <v>3.4127859999999898E-5</v>
      </c>
      <c r="Z727">
        <v>-2.2241249999999999E-4</v>
      </c>
      <c r="AA727">
        <v>1</v>
      </c>
      <c r="AB727">
        <v>29</v>
      </c>
      <c r="AC727">
        <v>29.931799999999999</v>
      </c>
      <c r="AD727">
        <v>-1.060186301958</v>
      </c>
      <c r="AE727">
        <v>0.1875</v>
      </c>
      <c r="AF727">
        <v>1.77011078965769E-3</v>
      </c>
      <c r="AG727">
        <v>-1.060186301958</v>
      </c>
      <c r="AH727">
        <v>29.894883133479301</v>
      </c>
      <c r="AI727">
        <v>92.031075144312894</v>
      </c>
      <c r="AJ727">
        <v>89.996607450280095</v>
      </c>
      <c r="AK727">
        <v>29.9136763988068</v>
      </c>
      <c r="AL727">
        <v>80.941101419105394</v>
      </c>
      <c r="AM727">
        <v>86.876242453752894</v>
      </c>
      <c r="AN727">
        <v>0.99999999809168205</v>
      </c>
    </row>
    <row r="728" spans="1:40" x14ac:dyDescent="0.25">
      <c r="A728" t="str">
        <f>"20190312172625867"</f>
        <v>20190312172625867</v>
      </c>
      <c r="B728" t="str">
        <f>"1552382785859270"</f>
        <v>1552382785859270</v>
      </c>
      <c r="C728" t="s">
        <v>40</v>
      </c>
      <c r="D728">
        <v>3.286486</v>
      </c>
      <c r="E728">
        <v>0.4773251</v>
      </c>
      <c r="F728" t="s">
        <v>41</v>
      </c>
      <c r="G728">
        <v>-257.30059999999997</v>
      </c>
      <c r="H728" s="1">
        <v>-1.5806569999999901E-6</v>
      </c>
      <c r="I728">
        <v>367.13420000000002</v>
      </c>
      <c r="J728">
        <v>-287.80590000000001</v>
      </c>
      <c r="K728">
        <v>1.0601799999999999</v>
      </c>
      <c r="L728">
        <v>366.80149999999998</v>
      </c>
      <c r="M728">
        <v>0.99992479999999995</v>
      </c>
      <c r="N728">
        <v>0</v>
      </c>
      <c r="O728">
        <v>7.2146880000000004E-3</v>
      </c>
      <c r="P728">
        <v>0.98804669999999895</v>
      </c>
      <c r="Q728">
        <v>0.1469886</v>
      </c>
      <c r="R728">
        <v>-4.6460540000000002E-2</v>
      </c>
      <c r="S728">
        <v>3.0540470000000002</v>
      </c>
      <c r="T728">
        <v>-0.10505349999999999</v>
      </c>
      <c r="U728">
        <v>3.3264160000000001E-2</v>
      </c>
      <c r="V728">
        <v>5.3352579999999997E-2</v>
      </c>
      <c r="W728">
        <v>0.1568658</v>
      </c>
      <c r="X728">
        <v>0.98617779999999999</v>
      </c>
      <c r="Y728">
        <v>-3.6783789999999999E-3</v>
      </c>
      <c r="Z728">
        <v>-1.8485520000000001E-4</v>
      </c>
      <c r="AA728">
        <v>0.99999320000000003</v>
      </c>
      <c r="AB728">
        <v>29</v>
      </c>
      <c r="AC728">
        <v>30.505299999999998</v>
      </c>
      <c r="AD728">
        <v>-1.0601815806570001</v>
      </c>
      <c r="AE728">
        <v>0.33270000000004502</v>
      </c>
      <c r="AF728">
        <v>-0.112458479807049</v>
      </c>
      <c r="AG728">
        <v>-1.0601815806570001</v>
      </c>
      <c r="AH728">
        <v>30.470107749352799</v>
      </c>
      <c r="AI728">
        <v>91.992740632580706</v>
      </c>
      <c r="AJ728">
        <v>90.211465186130198</v>
      </c>
      <c r="AK728">
        <v>30.488753633935499</v>
      </c>
      <c r="AL728">
        <v>80.974977539483405</v>
      </c>
      <c r="AM728">
        <v>86.903296194528906</v>
      </c>
      <c r="AN728">
        <v>1.0000000151075601</v>
      </c>
    </row>
    <row r="729" spans="1:40" x14ac:dyDescent="0.25">
      <c r="A729" t="str">
        <f>"20190312172625889"</f>
        <v>20190312172625889</v>
      </c>
      <c r="B729" t="str">
        <f>"1552382785879766"</f>
        <v>1552382785879766</v>
      </c>
      <c r="C729" t="s">
        <v>40</v>
      </c>
      <c r="D729">
        <v>3.2081909999999998</v>
      </c>
      <c r="E729">
        <v>0.47708850000000003</v>
      </c>
      <c r="F729" t="s">
        <v>41</v>
      </c>
      <c r="G729">
        <v>-257.26859999999999</v>
      </c>
      <c r="H729" s="1">
        <v>-1.580864E-6</v>
      </c>
      <c r="I729">
        <v>367.21039999999999</v>
      </c>
      <c r="J729">
        <v>-287.5147</v>
      </c>
      <c r="K729">
        <v>1.0601739999999999</v>
      </c>
      <c r="L729">
        <v>366.80450000000002</v>
      </c>
      <c r="M729">
        <v>0.99991850000000004</v>
      </c>
      <c r="N729">
        <v>0</v>
      </c>
      <c r="O729">
        <v>8.0373319999999995E-3</v>
      </c>
      <c r="P729">
        <v>0.98815889999999995</v>
      </c>
      <c r="Q729">
        <v>0.14663199999999901</v>
      </c>
      <c r="R729">
        <v>-4.5180020000000001E-2</v>
      </c>
      <c r="S729">
        <v>3.0539550000000002</v>
      </c>
      <c r="T729">
        <v>-0.10602549999999999</v>
      </c>
      <c r="U729">
        <v>4.0893550000000001E-2</v>
      </c>
      <c r="V729">
        <v>5.2885550000000003E-2</v>
      </c>
      <c r="W729">
        <v>0.15649939999999901</v>
      </c>
      <c r="X729">
        <v>0.9862611</v>
      </c>
      <c r="Y729">
        <v>-5.353338E-3</v>
      </c>
      <c r="Z729">
        <v>-1.8605180000000001E-4</v>
      </c>
      <c r="AA729">
        <v>0.99998560000000003</v>
      </c>
      <c r="AB729">
        <v>29</v>
      </c>
      <c r="AC729">
        <v>30.246099999999998</v>
      </c>
      <c r="AD729">
        <v>-1.0601755808640001</v>
      </c>
      <c r="AE729">
        <v>0.405899999999974</v>
      </c>
      <c r="AF729">
        <v>-0.16257727076094999</v>
      </c>
      <c r="AG729">
        <v>-1.0601755808640001</v>
      </c>
      <c r="AH729">
        <v>30.211274044701401</v>
      </c>
      <c r="AI729">
        <v>92.009772641164304</v>
      </c>
      <c r="AJ729">
        <v>90.308325346687994</v>
      </c>
      <c r="AK729">
        <v>30.2303073592592</v>
      </c>
      <c r="AL729">
        <v>80.996232655240405</v>
      </c>
      <c r="AM729">
        <v>86.930610364609706</v>
      </c>
      <c r="AN729">
        <v>0.99999995048618495</v>
      </c>
    </row>
    <row r="730" spans="1:40" x14ac:dyDescent="0.25">
      <c r="A730" t="str">
        <f>"20190312172625909"</f>
        <v>20190312172625909</v>
      </c>
      <c r="B730" t="str">
        <f>"1552382785899286"</f>
        <v>1552382785899286</v>
      </c>
      <c r="C730" t="s">
        <v>40</v>
      </c>
      <c r="D730">
        <v>3.3030149999999998</v>
      </c>
      <c r="E730">
        <v>0.47688989999999998</v>
      </c>
      <c r="F730" t="s">
        <v>41</v>
      </c>
      <c r="G730">
        <v>-257.12880000000001</v>
      </c>
      <c r="H730" s="1">
        <v>-1.630065E-6</v>
      </c>
      <c r="I730">
        <v>367.27120000000002</v>
      </c>
      <c r="J730">
        <v>-287.24990000000003</v>
      </c>
      <c r="K730">
        <v>1.0601739999999999</v>
      </c>
      <c r="L730">
        <v>366.80739999999997</v>
      </c>
      <c r="M730">
        <v>0.99991229999999998</v>
      </c>
      <c r="N730">
        <v>0</v>
      </c>
      <c r="O730">
        <v>8.785223E-3</v>
      </c>
      <c r="P730">
        <v>0.98827710000000002</v>
      </c>
      <c r="Q730">
        <v>0.1462174</v>
      </c>
      <c r="R730">
        <v>-4.391801E-2</v>
      </c>
      <c r="S730">
        <v>3.0538940000000001</v>
      </c>
      <c r="T730">
        <v>-0.1065511</v>
      </c>
      <c r="U730">
        <v>4.6905519999999999E-2</v>
      </c>
      <c r="V730">
        <v>5.2363590000000002E-2</v>
      </c>
      <c r="W730">
        <v>0.15607739999999901</v>
      </c>
      <c r="X730">
        <v>0.98635589999999995</v>
      </c>
      <c r="Y730">
        <v>-6.5735730000000001E-3</v>
      </c>
      <c r="Z730">
        <v>-1.9177899999999999E-4</v>
      </c>
      <c r="AA730">
        <v>0.99997840000000005</v>
      </c>
      <c r="AB730">
        <v>29</v>
      </c>
      <c r="AC730">
        <v>30.121099999999998</v>
      </c>
      <c r="AD730">
        <v>-1.060175630065</v>
      </c>
      <c r="AE730">
        <v>0.46380000000004801</v>
      </c>
      <c r="AF730">
        <v>-0.19890217502032601</v>
      </c>
      <c r="AG730">
        <v>-1.060175630065</v>
      </c>
      <c r="AH730">
        <v>30.0867485484772</v>
      </c>
      <c r="AI730">
        <v>92.018069215981896</v>
      </c>
      <c r="AJ730">
        <v>90.378774367298902</v>
      </c>
      <c r="AK730">
        <v>30.106078666294401</v>
      </c>
      <c r="AL730">
        <v>81.020713022638702</v>
      </c>
      <c r="AM730">
        <v>86.961138534393498</v>
      </c>
      <c r="AN730">
        <v>1.0000000309066199</v>
      </c>
    </row>
    <row r="731" spans="1:40" x14ac:dyDescent="0.25">
      <c r="A731" t="str">
        <f>"20190312172625933"</f>
        <v>20190312172625933</v>
      </c>
      <c r="B731" t="str">
        <f>"1552382785929542"</f>
        <v>1552382785929542</v>
      </c>
      <c r="C731" t="s">
        <v>40</v>
      </c>
      <c r="D731">
        <v>3.2594609999999999</v>
      </c>
      <c r="E731">
        <v>0.47670859999999898</v>
      </c>
      <c r="F731" t="s">
        <v>41</v>
      </c>
      <c r="G731">
        <v>-257.26769999999999</v>
      </c>
      <c r="H731" s="1">
        <v>-1.56131E-6</v>
      </c>
      <c r="I731">
        <v>367.3227</v>
      </c>
      <c r="J731">
        <v>-286.95</v>
      </c>
      <c r="K731">
        <v>1.0601780000000001</v>
      </c>
      <c r="L731">
        <v>366.8109</v>
      </c>
      <c r="M731">
        <v>0.99990480000000004</v>
      </c>
      <c r="N731">
        <v>0</v>
      </c>
      <c r="O731">
        <v>9.6320580000000006E-3</v>
      </c>
      <c r="P731">
        <v>0.98829199999999995</v>
      </c>
      <c r="Q731">
        <v>0.14646099999999901</v>
      </c>
      <c r="R731">
        <v>-4.2764980000000001E-2</v>
      </c>
      <c r="S731">
        <v>3.0538940000000001</v>
      </c>
      <c r="T731">
        <v>-0.1079861</v>
      </c>
      <c r="U731">
        <v>5.2490229999999999E-2</v>
      </c>
      <c r="V731">
        <v>5.2045979999999999E-2</v>
      </c>
      <c r="W731">
        <v>0.15631239999999999</v>
      </c>
      <c r="X731">
        <v>0.98633550000000003</v>
      </c>
      <c r="Y731">
        <v>-7.5548259999999997E-3</v>
      </c>
      <c r="Z731">
        <v>-2.0694680000000001E-4</v>
      </c>
      <c r="AA731">
        <v>0.99997139999999995</v>
      </c>
      <c r="AB731">
        <v>29</v>
      </c>
      <c r="AC731">
        <v>29.682300000000001</v>
      </c>
      <c r="AD731">
        <v>-1.06017956131</v>
      </c>
      <c r="AE731">
        <v>0.51179999999999304</v>
      </c>
      <c r="AF731">
        <v>-0.22557297737530499</v>
      </c>
      <c r="AG731">
        <v>-1.06017956131</v>
      </c>
      <c r="AH731">
        <v>29.648040763509702</v>
      </c>
      <c r="AI731">
        <v>92.047898812839904</v>
      </c>
      <c r="AJ731">
        <v>90.435918525018295</v>
      </c>
      <c r="AK731">
        <v>29.667847663507299</v>
      </c>
      <c r="AL731">
        <v>81.007081233865193</v>
      </c>
      <c r="AM731">
        <v>86.979474080045804</v>
      </c>
      <c r="AN731">
        <v>1.00000003449408</v>
      </c>
    </row>
    <row r="732" spans="1:40" x14ac:dyDescent="0.25">
      <c r="A732" t="str">
        <f>"20190312172625954"</f>
        <v>20190312172625954</v>
      </c>
      <c r="B732" t="str">
        <f>"1552382785949061"</f>
        <v>1552382785949061</v>
      </c>
      <c r="C732" t="s">
        <v>40</v>
      </c>
      <c r="D732">
        <v>3.2601490000000002</v>
      </c>
      <c r="E732">
        <v>0.47673589999999999</v>
      </c>
      <c r="F732" t="s">
        <v>41</v>
      </c>
      <c r="G732">
        <v>-257.01080000000002</v>
      </c>
      <c r="H732" s="1">
        <v>-1.6625970000000001E-6</v>
      </c>
      <c r="I732">
        <v>367.37310000000002</v>
      </c>
      <c r="J732">
        <v>-286.66160000000002</v>
      </c>
      <c r="K732">
        <v>1.060182</v>
      </c>
      <c r="L732">
        <v>366.81459999999998</v>
      </c>
      <c r="M732">
        <v>0.99989660000000002</v>
      </c>
      <c r="N732">
        <v>0</v>
      </c>
      <c r="O732">
        <v>1.04461E-2</v>
      </c>
      <c r="P732">
        <v>0.98828859999999996</v>
      </c>
      <c r="Q732">
        <v>0.14666479999999901</v>
      </c>
      <c r="R732">
        <v>-4.213161E-2</v>
      </c>
      <c r="S732">
        <v>3.0540470000000002</v>
      </c>
      <c r="T732">
        <v>-0.1081469</v>
      </c>
      <c r="U732">
        <v>5.7342530000000003E-2</v>
      </c>
      <c r="V732">
        <v>5.2216169999999999E-2</v>
      </c>
      <c r="W732">
        <v>0.1565097</v>
      </c>
      <c r="X732">
        <v>0.98629520000000004</v>
      </c>
      <c r="Y732">
        <v>-8.3281409999999903E-3</v>
      </c>
      <c r="Z732">
        <v>-2.2236789999999999E-4</v>
      </c>
      <c r="AA732">
        <v>0.99996529999999995</v>
      </c>
      <c r="AB732">
        <v>29</v>
      </c>
      <c r="AC732">
        <v>29.6508</v>
      </c>
      <c r="AD732">
        <v>-1.060183662597</v>
      </c>
      <c r="AE732">
        <v>0.55850000000003697</v>
      </c>
      <c r="AF732">
        <v>-0.24840171484496901</v>
      </c>
      <c r="AG732">
        <v>-1.060183662597</v>
      </c>
      <c r="AH732">
        <v>29.617165339871999</v>
      </c>
      <c r="AI732">
        <v>92.050027061906405</v>
      </c>
      <c r="AJ732">
        <v>90.480533366995701</v>
      </c>
      <c r="AK732">
        <v>29.637175566839801</v>
      </c>
      <c r="AL732">
        <v>80.995635759352894</v>
      </c>
      <c r="AM732">
        <v>86.969491769952199</v>
      </c>
      <c r="AN732">
        <v>1.00000001807329</v>
      </c>
    </row>
    <row r="733" spans="1:40" x14ac:dyDescent="0.25">
      <c r="A733" t="str">
        <f>"20190312172625968"</f>
        <v>20190312172625968</v>
      </c>
      <c r="B733" t="str">
        <f>"1552382785959798"</f>
        <v>1552382785959798</v>
      </c>
      <c r="C733" t="s">
        <v>40</v>
      </c>
      <c r="D733">
        <v>3.2510159999999999</v>
      </c>
      <c r="E733">
        <v>0.47676479999999999</v>
      </c>
      <c r="F733" t="s">
        <v>41</v>
      </c>
      <c r="G733">
        <v>-256.95949999999999</v>
      </c>
      <c r="H733" s="1">
        <v>-1.6818599999999899E-6</v>
      </c>
      <c r="I733">
        <v>367.38850000000002</v>
      </c>
      <c r="J733">
        <v>-286.48469999999998</v>
      </c>
      <c r="K733">
        <v>1.0601849999999999</v>
      </c>
      <c r="L733">
        <v>366.81689999999998</v>
      </c>
      <c r="M733">
        <v>0.99989119999999998</v>
      </c>
      <c r="N733">
        <v>0</v>
      </c>
      <c r="O733">
        <v>1.094548E-2</v>
      </c>
      <c r="P733">
        <v>0.98825499999999999</v>
      </c>
      <c r="Q733">
        <v>0.14707729999999999</v>
      </c>
      <c r="R733">
        <v>-4.1481259999999999E-2</v>
      </c>
      <c r="S733">
        <v>3.0542910000000001</v>
      </c>
      <c r="T733">
        <v>-0.1090192</v>
      </c>
      <c r="U733">
        <v>5.9020999999999997E-2</v>
      </c>
      <c r="V733">
        <v>5.2057609999999997E-2</v>
      </c>
      <c r="W733">
        <v>0.15691849999999999</v>
      </c>
      <c r="X733">
        <v>0.98623859999999997</v>
      </c>
      <c r="Y733">
        <v>-8.3768569999999997E-3</v>
      </c>
      <c r="Z733">
        <v>-2.4108840000000001E-4</v>
      </c>
      <c r="AA733">
        <v>0.99996490000000005</v>
      </c>
      <c r="AB733">
        <v>29</v>
      </c>
      <c r="AC733">
        <v>29.525199999999899</v>
      </c>
      <c r="AD733">
        <v>-1.0601866818600001</v>
      </c>
      <c r="AE733">
        <v>0.57160000000004596</v>
      </c>
      <c r="AF733">
        <v>-0.24806274223594199</v>
      </c>
      <c r="AG733">
        <v>-1.0601866818600001</v>
      </c>
      <c r="AH733">
        <v>29.491676343385901</v>
      </c>
      <c r="AI733">
        <v>92.058748009755405</v>
      </c>
      <c r="AJ733">
        <v>90.481919469289195</v>
      </c>
      <c r="AK733">
        <v>29.511768914578902</v>
      </c>
      <c r="AL733">
        <v>80.971919990090797</v>
      </c>
      <c r="AM733">
        <v>86.978504085741406</v>
      </c>
      <c r="AN733">
        <v>0.99999999326555999</v>
      </c>
    </row>
    <row r="734" spans="1:40" x14ac:dyDescent="0.25">
      <c r="A734" t="str">
        <f>"20190312172625989"</f>
        <v>20190312172625989</v>
      </c>
      <c r="B734" t="str">
        <f>"1552382785979317"</f>
        <v>1552382785979317</v>
      </c>
      <c r="C734" t="s">
        <v>40</v>
      </c>
      <c r="D734">
        <v>3.260132</v>
      </c>
      <c r="E734">
        <v>0.47683359999999902</v>
      </c>
      <c r="F734" t="s">
        <v>41</v>
      </c>
      <c r="G734">
        <v>-256.59129999999999</v>
      </c>
      <c r="H734" s="1">
        <v>-1.8357170000000001E-6</v>
      </c>
      <c r="I734">
        <v>367.41160000000002</v>
      </c>
      <c r="J734">
        <v>-286.21359999999999</v>
      </c>
      <c r="K734">
        <v>1.060189</v>
      </c>
      <c r="L734">
        <v>366.82069999999999</v>
      </c>
      <c r="M734">
        <v>0.99988259999999995</v>
      </c>
      <c r="N734">
        <v>0</v>
      </c>
      <c r="O734">
        <v>1.171053E-2</v>
      </c>
      <c r="P734">
        <v>0.98826250000000004</v>
      </c>
      <c r="Q734">
        <v>0.14728529999999901</v>
      </c>
      <c r="R734">
        <v>-4.0553159999999998E-2</v>
      </c>
      <c r="S734">
        <v>3.0543520000000002</v>
      </c>
      <c r="T734">
        <v>-0.1083243</v>
      </c>
      <c r="U734">
        <v>6.0760500000000002E-2</v>
      </c>
      <c r="V734">
        <v>5.1884409999999999E-2</v>
      </c>
      <c r="W734">
        <v>0.15712190000000001</v>
      </c>
      <c r="X734">
        <v>0.98621539999999996</v>
      </c>
      <c r="Y734">
        <v>-8.1812289999999999E-3</v>
      </c>
      <c r="Z734">
        <v>-2.7013379999999999E-4</v>
      </c>
      <c r="AA734">
        <v>0.99996649999999998</v>
      </c>
      <c r="AB734">
        <v>29</v>
      </c>
      <c r="AC734">
        <v>29.622299999999999</v>
      </c>
      <c r="AD734">
        <v>-1.060190835717</v>
      </c>
      <c r="AE734">
        <v>0.59090000000003295</v>
      </c>
      <c r="AF734">
        <v>-0.243637744163582</v>
      </c>
      <c r="AG734">
        <v>-1.060190835717</v>
      </c>
      <c r="AH734">
        <v>29.589301475712201</v>
      </c>
      <c r="AI734">
        <v>92.051972376490099</v>
      </c>
      <c r="AJ734">
        <v>90.471761694659605</v>
      </c>
      <c r="AK734">
        <v>29.6092912069692</v>
      </c>
      <c r="AL734">
        <v>80.9601201608845</v>
      </c>
      <c r="AM734">
        <v>86.988467607293799</v>
      </c>
      <c r="AN734">
        <v>1.0000000493289001</v>
      </c>
    </row>
    <row r="735" spans="1:40" x14ac:dyDescent="0.25">
      <c r="A735" t="str">
        <f>"20190312172626011"</f>
        <v>20190312172626011</v>
      </c>
      <c r="B735" t="str">
        <f>"1552382785999814"</f>
        <v>1552382785999814</v>
      </c>
      <c r="C735" t="s">
        <v>40</v>
      </c>
      <c r="D735">
        <v>3.2933150000000002</v>
      </c>
      <c r="E735">
        <v>0.47684720000000003</v>
      </c>
      <c r="F735" t="s">
        <v>41</v>
      </c>
      <c r="G735">
        <v>-256.38889999999998</v>
      </c>
      <c r="H735" s="1">
        <v>-1.9189270000000001E-6</v>
      </c>
      <c r="I735">
        <v>367.43220000000002</v>
      </c>
      <c r="J735">
        <v>-285.93119999999999</v>
      </c>
      <c r="K735">
        <v>1.060192</v>
      </c>
      <c r="L735">
        <v>366.82490000000001</v>
      </c>
      <c r="M735">
        <v>0.99987300000000001</v>
      </c>
      <c r="N735">
        <v>0</v>
      </c>
      <c r="O735">
        <v>1.2507269999999999E-2</v>
      </c>
      <c r="P735">
        <v>0.98825280000000004</v>
      </c>
      <c r="Q735">
        <v>0.1477405</v>
      </c>
      <c r="R735">
        <v>-3.9107690000000001E-2</v>
      </c>
      <c r="S735">
        <v>3.0543819999999999</v>
      </c>
      <c r="T735">
        <v>-0.1085749</v>
      </c>
      <c r="U735">
        <v>6.2622070000000002E-2</v>
      </c>
      <c r="V735">
        <v>5.1224819999999997E-2</v>
      </c>
      <c r="W735">
        <v>0.15757349999999901</v>
      </c>
      <c r="X735">
        <v>0.98617779999999999</v>
      </c>
      <c r="Y735">
        <v>-7.9940529999999992E-3</v>
      </c>
      <c r="Z735">
        <v>-3.023872E-4</v>
      </c>
      <c r="AA735">
        <v>0.99996799999999997</v>
      </c>
      <c r="AB735">
        <v>29</v>
      </c>
      <c r="AC735">
        <v>29.542300000000001</v>
      </c>
      <c r="AD735">
        <v>-1.060193918927</v>
      </c>
      <c r="AE735">
        <v>0.60730000000000905</v>
      </c>
      <c r="AF735">
        <v>-0.23743528308533801</v>
      </c>
      <c r="AG735">
        <v>-1.060193918927</v>
      </c>
      <c r="AH735">
        <v>29.509595699394101</v>
      </c>
      <c r="AI735">
        <v>92.057519144879294</v>
      </c>
      <c r="AJ735">
        <v>90.460993983413701</v>
      </c>
      <c r="AK735">
        <v>29.529588974469</v>
      </c>
      <c r="AL735">
        <v>80.933918754048605</v>
      </c>
      <c r="AM735">
        <v>87.026569962594294</v>
      </c>
      <c r="AN735">
        <v>1.0000000216495599</v>
      </c>
    </row>
    <row r="736" spans="1:40" x14ac:dyDescent="0.25">
      <c r="A736" t="str">
        <f>"20190312172626032"</f>
        <v>20190312172626032</v>
      </c>
      <c r="B736" t="str">
        <f>"1552382786029096"</f>
        <v>1552382786029096</v>
      </c>
      <c r="C736" t="s">
        <v>40</v>
      </c>
      <c r="D736">
        <v>3.263725</v>
      </c>
      <c r="E736">
        <v>0.4769293</v>
      </c>
      <c r="F736" t="s">
        <v>41</v>
      </c>
      <c r="G736">
        <v>-255.76329999999999</v>
      </c>
      <c r="H736" s="1">
        <v>-2.1778600000000001E-6</v>
      </c>
      <c r="I736">
        <v>367.4853</v>
      </c>
      <c r="J736">
        <v>-285.63940000000002</v>
      </c>
      <c r="K736">
        <v>1.0601860000000001</v>
      </c>
      <c r="L736">
        <v>366.82940000000002</v>
      </c>
      <c r="M736">
        <v>0.99986249999999999</v>
      </c>
      <c r="N736">
        <v>0</v>
      </c>
      <c r="O736">
        <v>1.3330059999999999E-2</v>
      </c>
      <c r="P736">
        <v>0.98830689999999999</v>
      </c>
      <c r="Q736">
        <v>0.14766509999999999</v>
      </c>
      <c r="R736">
        <v>-3.8011570000000001E-2</v>
      </c>
      <c r="S736">
        <v>3.0543520000000002</v>
      </c>
      <c r="T736">
        <v>-0.107339</v>
      </c>
      <c r="U736">
        <v>6.6864010000000001E-2</v>
      </c>
      <c r="V736">
        <v>5.094166E-2</v>
      </c>
      <c r="W736">
        <v>0.15749540000000001</v>
      </c>
      <c r="X736">
        <v>0.98620490000000005</v>
      </c>
      <c r="Y736">
        <v>-8.5596309999999998E-3</v>
      </c>
      <c r="Z736">
        <v>-3.1791170000000001E-4</v>
      </c>
      <c r="AA736">
        <v>0.9999633</v>
      </c>
      <c r="AB736">
        <v>29</v>
      </c>
      <c r="AC736">
        <v>29.876100000000001</v>
      </c>
      <c r="AD736">
        <v>-1.06018817786</v>
      </c>
      <c r="AE736">
        <v>0.65589999999997395</v>
      </c>
      <c r="AF736">
        <v>-0.25724834965243298</v>
      </c>
      <c r="AG736">
        <v>-1.06018817786</v>
      </c>
      <c r="AH736">
        <v>29.8446246156951</v>
      </c>
      <c r="AI736">
        <v>92.034420703838606</v>
      </c>
      <c r="AJ736">
        <v>90.493853747507998</v>
      </c>
      <c r="AK736">
        <v>29.864557491073398</v>
      </c>
      <c r="AL736">
        <v>80.938449748150106</v>
      </c>
      <c r="AM736">
        <v>87.043058316902702</v>
      </c>
      <c r="AN736">
        <v>0.99999997926436202</v>
      </c>
    </row>
    <row r="737" spans="1:40" x14ac:dyDescent="0.25">
      <c r="A737" t="str">
        <f>"20190312172626056"</f>
        <v>20190312172626056</v>
      </c>
      <c r="B737" t="str">
        <f>"1552382786049589"</f>
        <v>1552382786049589</v>
      </c>
      <c r="C737" t="s">
        <v>40</v>
      </c>
      <c r="D737">
        <v>3.2905760000000002</v>
      </c>
      <c r="E737">
        <v>0.47705579999999997</v>
      </c>
      <c r="F737" t="s">
        <v>41</v>
      </c>
      <c r="G737">
        <v>-255.8502</v>
      </c>
      <c r="H737" s="1">
        <v>-2.137138E-6</v>
      </c>
      <c r="I737">
        <v>367.50470000000001</v>
      </c>
      <c r="J737">
        <v>-285.33909999999997</v>
      </c>
      <c r="K737">
        <v>1.0601860000000001</v>
      </c>
      <c r="L737">
        <v>366.83429999999998</v>
      </c>
      <c r="M737">
        <v>0.99985089999999999</v>
      </c>
      <c r="N737">
        <v>0</v>
      </c>
      <c r="O737">
        <v>1.417435E-2</v>
      </c>
      <c r="P737">
        <v>0.98830960000000001</v>
      </c>
      <c r="Q737">
        <v>0.14796519999999999</v>
      </c>
      <c r="R737">
        <v>-3.6755250000000003E-2</v>
      </c>
      <c r="S737">
        <v>3.0544129999999998</v>
      </c>
      <c r="T737">
        <v>-0.1087053</v>
      </c>
      <c r="U737">
        <v>6.9244379999999994E-2</v>
      </c>
      <c r="V737">
        <v>5.0518739999999999E-2</v>
      </c>
      <c r="W737">
        <v>0.1577934</v>
      </c>
      <c r="X737">
        <v>0.98617909999999998</v>
      </c>
      <c r="Y737">
        <v>-8.4943710000000006E-3</v>
      </c>
      <c r="Z737">
        <v>-3.5313839999999902E-4</v>
      </c>
      <c r="AA737">
        <v>0.99996390000000002</v>
      </c>
      <c r="AB737">
        <v>29</v>
      </c>
      <c r="AC737">
        <v>29.488899999999902</v>
      </c>
      <c r="AD737">
        <v>-1.060188137138</v>
      </c>
      <c r="AE737">
        <v>0.67040000000002897</v>
      </c>
      <c r="AF737">
        <v>-0.252000768902643</v>
      </c>
      <c r="AG737">
        <v>-1.060188137138</v>
      </c>
      <c r="AH737">
        <v>29.4573845742513</v>
      </c>
      <c r="AI737">
        <v>92.061142882783301</v>
      </c>
      <c r="AJ737">
        <v>90.4901395182427</v>
      </c>
      <c r="AK737">
        <v>29.477533974689901</v>
      </c>
      <c r="AL737">
        <v>80.921160133565706</v>
      </c>
      <c r="AM737">
        <v>87.067487373368394</v>
      </c>
      <c r="AN737">
        <v>1.00000005872577</v>
      </c>
    </row>
    <row r="738" spans="1:40" x14ac:dyDescent="0.25">
      <c r="A738" t="str">
        <f>"20190312172626079"</f>
        <v>20190312172626079</v>
      </c>
      <c r="B738" t="str">
        <f>"1552382786069110"</f>
        <v>1552382786069110</v>
      </c>
      <c r="C738" t="s">
        <v>40</v>
      </c>
      <c r="D738">
        <v>3.2638129999999999</v>
      </c>
      <c r="E738">
        <v>0.47712870000000002</v>
      </c>
      <c r="F738" t="s">
        <v>41</v>
      </c>
      <c r="G738">
        <v>-255.40180000000001</v>
      </c>
      <c r="H738" s="1">
        <v>-2.3227300000000002E-6</v>
      </c>
      <c r="I738">
        <v>367.54289999999997</v>
      </c>
      <c r="J738">
        <v>-285.03500000000003</v>
      </c>
      <c r="K738">
        <v>1.0601879999999999</v>
      </c>
      <c r="L738">
        <v>366.83949999999999</v>
      </c>
      <c r="M738">
        <v>0.99983849999999996</v>
      </c>
      <c r="N738">
        <v>0</v>
      </c>
      <c r="O738">
        <v>1.5025490000000001E-2</v>
      </c>
      <c r="P738">
        <v>0.98841849999999998</v>
      </c>
      <c r="Q738">
        <v>0.1475543</v>
      </c>
      <c r="R738">
        <v>-3.5457540000000003E-2</v>
      </c>
      <c r="S738">
        <v>3.0543819999999999</v>
      </c>
      <c r="T738">
        <v>-0.1081662</v>
      </c>
      <c r="U738">
        <v>7.2296139999999995E-2</v>
      </c>
      <c r="V738">
        <v>5.0064450000000003E-2</v>
      </c>
      <c r="W738">
        <v>0.15738139999999901</v>
      </c>
      <c r="X738">
        <v>0.98626800000000003</v>
      </c>
      <c r="Y738">
        <v>-8.6423360000000005E-3</v>
      </c>
      <c r="Z738">
        <v>-3.788924E-4</v>
      </c>
      <c r="AA738">
        <v>0.99996260000000003</v>
      </c>
      <c r="AB738">
        <v>29</v>
      </c>
      <c r="AC738">
        <v>29.633199999999999</v>
      </c>
      <c r="AD738">
        <v>-1.06019032272999</v>
      </c>
      <c r="AE738">
        <v>0.70339999999998704</v>
      </c>
      <c r="AF738">
        <v>-0.25771590201079497</v>
      </c>
      <c r="AG738">
        <v>-1.06019032272999</v>
      </c>
      <c r="AH738">
        <v>29.602553870835202</v>
      </c>
      <c r="AI738">
        <v>92.051045357834795</v>
      </c>
      <c r="AJ738">
        <v>90.498796844702596</v>
      </c>
      <c r="AK738">
        <v>29.622653775147398</v>
      </c>
      <c r="AL738">
        <v>80.945063787605093</v>
      </c>
      <c r="AM738">
        <v>87.094074103031105</v>
      </c>
      <c r="AN738">
        <v>0.99999996102188005</v>
      </c>
    </row>
    <row r="739" spans="1:40" x14ac:dyDescent="0.25">
      <c r="A739" t="str">
        <f>"20190312172626101"</f>
        <v>20190312172626101</v>
      </c>
      <c r="B739" t="str">
        <f>"1552382786089606"</f>
        <v>1552382786089606</v>
      </c>
      <c r="C739" t="s">
        <v>40</v>
      </c>
      <c r="D739">
        <v>3.2232310000000002</v>
      </c>
      <c r="E739">
        <v>0.47721010000000003</v>
      </c>
      <c r="F739" t="s">
        <v>41</v>
      </c>
      <c r="G739">
        <v>-255.53270000000001</v>
      </c>
      <c r="H739" s="1">
        <v>-2.2614519999999998E-6</v>
      </c>
      <c r="I739">
        <v>367.57170000000002</v>
      </c>
      <c r="J739">
        <v>-284.755</v>
      </c>
      <c r="K739">
        <v>1.0601799999999999</v>
      </c>
      <c r="L739">
        <v>366.84460000000001</v>
      </c>
      <c r="M739">
        <v>0.9998264</v>
      </c>
      <c r="N739">
        <v>0</v>
      </c>
      <c r="O739">
        <v>1.5803299999999999E-2</v>
      </c>
      <c r="P739">
        <v>0.98853760000000002</v>
      </c>
      <c r="Q739">
        <v>0.14689250000000001</v>
      </c>
      <c r="R739">
        <v>-3.4876219999999999E-2</v>
      </c>
      <c r="S739">
        <v>3.0542910000000001</v>
      </c>
      <c r="T739">
        <v>-0.10975839999999901</v>
      </c>
      <c r="U739">
        <v>7.5805659999999997E-2</v>
      </c>
      <c r="V739">
        <v>5.0255359999999999E-2</v>
      </c>
      <c r="W739">
        <v>0.15671740000000001</v>
      </c>
      <c r="X739">
        <v>0.98636409999999997</v>
      </c>
      <c r="Y739">
        <v>-9.0138379999999997E-3</v>
      </c>
      <c r="Z739">
        <v>-4.0573310000000001E-4</v>
      </c>
      <c r="AA739">
        <v>0.9999593</v>
      </c>
      <c r="AB739">
        <v>29</v>
      </c>
      <c r="AC739">
        <v>29.222299999999901</v>
      </c>
      <c r="AD739">
        <v>-1.060182261452</v>
      </c>
      <c r="AE739">
        <v>0.72710000000000696</v>
      </c>
      <c r="AF739">
        <v>-0.26482955838532402</v>
      </c>
      <c r="AG739">
        <v>-1.060182261452</v>
      </c>
      <c r="AH739">
        <v>29.191742187069</v>
      </c>
      <c r="AI739">
        <v>92.079861719538101</v>
      </c>
      <c r="AJ739">
        <v>90.519777121685294</v>
      </c>
      <c r="AK739">
        <v>29.212188090569299</v>
      </c>
      <c r="AL739">
        <v>80.983586951211294</v>
      </c>
      <c r="AM739">
        <v>87.083295788936596</v>
      </c>
      <c r="AN739">
        <v>1.00000004122014</v>
      </c>
    </row>
    <row r="740" spans="1:40" x14ac:dyDescent="0.25">
      <c r="A740" t="str">
        <f>"20190312172626122"</f>
        <v>20190312172626122</v>
      </c>
      <c r="B740" t="str">
        <f>"1552382786118886"</f>
        <v>1552382786118886</v>
      </c>
      <c r="C740" t="s">
        <v>40</v>
      </c>
      <c r="D740">
        <v>3.2338469999999999</v>
      </c>
      <c r="E740">
        <v>0.47557650000000001</v>
      </c>
      <c r="F740" t="s">
        <v>41</v>
      </c>
      <c r="G740">
        <v>-255.858</v>
      </c>
      <c r="H740" s="1">
        <v>-2.1227469999999998E-6</v>
      </c>
      <c r="I740">
        <v>367.56700000000001</v>
      </c>
      <c r="J740">
        <v>-284.46859999999998</v>
      </c>
      <c r="K740">
        <v>1.060171</v>
      </c>
      <c r="L740">
        <v>366.84989999999999</v>
      </c>
      <c r="M740">
        <v>0.99981370000000003</v>
      </c>
      <c r="N740">
        <v>0</v>
      </c>
      <c r="O740">
        <v>1.6589690000000001E-2</v>
      </c>
      <c r="P740">
        <v>0.98857249999999997</v>
      </c>
      <c r="Q740">
        <v>0.14691870000000001</v>
      </c>
      <c r="R740">
        <v>-3.3761100000000002E-2</v>
      </c>
      <c r="S740">
        <v>3.0541689999999999</v>
      </c>
      <c r="T740">
        <v>-0.112052</v>
      </c>
      <c r="U740">
        <v>7.6354980000000003E-2</v>
      </c>
      <c r="V740">
        <v>4.9919749999999999E-2</v>
      </c>
      <c r="W740">
        <v>0.15673529999999999</v>
      </c>
      <c r="X740">
        <v>0.98637830000000004</v>
      </c>
      <c r="Y740">
        <v>-8.4091889999999992E-3</v>
      </c>
      <c r="Z740">
        <v>-4.5414039999999999E-4</v>
      </c>
      <c r="AA740">
        <v>0.99996450000000003</v>
      </c>
      <c r="AB740">
        <v>29</v>
      </c>
      <c r="AC740">
        <v>28.610599999999899</v>
      </c>
      <c r="AD740">
        <v>-1.0601731227469999</v>
      </c>
      <c r="AE740">
        <v>0.71709999999995899</v>
      </c>
      <c r="AF740">
        <v>-0.24200512860685799</v>
      </c>
      <c r="AG740">
        <v>-1.0601731227469999</v>
      </c>
      <c r="AH740">
        <v>28.579341888152602</v>
      </c>
      <c r="AI740">
        <v>92.124381697549694</v>
      </c>
      <c r="AJ740">
        <v>90.485159565408296</v>
      </c>
      <c r="AK740">
        <v>28.600023012095299</v>
      </c>
      <c r="AL740">
        <v>80.982548542066198</v>
      </c>
      <c r="AM740">
        <v>87.102782153231999</v>
      </c>
      <c r="AN740">
        <v>1.0000000432085201</v>
      </c>
    </row>
    <row r="741" spans="1:40" x14ac:dyDescent="0.25">
      <c r="A741" t="str">
        <f>"20190312172626145"</f>
        <v>20190312172626145</v>
      </c>
      <c r="B741" t="str">
        <f>"1552382786139382"</f>
        <v>1552382786139382</v>
      </c>
      <c r="C741" t="s">
        <v>40</v>
      </c>
      <c r="D741">
        <v>3.2305139999999999</v>
      </c>
      <c r="E741">
        <v>0.47468060000000001</v>
      </c>
      <c r="F741" t="s">
        <v>41</v>
      </c>
      <c r="G741">
        <v>-256.84339999999997</v>
      </c>
      <c r="H741" s="1">
        <v>-1.6782690000000001E-6</v>
      </c>
      <c r="I741">
        <v>367.68959999999998</v>
      </c>
      <c r="J741">
        <v>-284.17250000000001</v>
      </c>
      <c r="K741">
        <v>1.060163</v>
      </c>
      <c r="L741">
        <v>366.85570000000001</v>
      </c>
      <c r="M741">
        <v>0.99980029999999998</v>
      </c>
      <c r="N741">
        <v>0</v>
      </c>
      <c r="O741">
        <v>1.739042E-2</v>
      </c>
      <c r="P741">
        <v>0.9886009</v>
      </c>
      <c r="Q741">
        <v>0.14696029999999999</v>
      </c>
      <c r="R741">
        <v>-3.2732160000000003E-2</v>
      </c>
      <c r="S741">
        <v>3.0552670000000002</v>
      </c>
      <c r="T741">
        <v>-0.11725149999999999</v>
      </c>
      <c r="U741">
        <v>9.2864989999999994E-2</v>
      </c>
      <c r="V741">
        <v>4.9685489999999999E-2</v>
      </c>
      <c r="W741">
        <v>0.15676679999999901</v>
      </c>
      <c r="X741">
        <v>0.98638499999999996</v>
      </c>
      <c r="Y741">
        <v>-1.299642E-2</v>
      </c>
      <c r="Z741">
        <v>-4.1772149999999997E-4</v>
      </c>
      <c r="AA741">
        <v>0.99991549999999996</v>
      </c>
      <c r="AB741">
        <v>29</v>
      </c>
      <c r="AC741">
        <v>27.3291</v>
      </c>
      <c r="AD741">
        <v>-1.060164678269</v>
      </c>
      <c r="AE741">
        <v>0.833899999999971</v>
      </c>
      <c r="AF741">
        <v>-0.35794815733551499</v>
      </c>
      <c r="AG741">
        <v>-1.060164678269</v>
      </c>
      <c r="AH741">
        <v>27.298427246649599</v>
      </c>
      <c r="AI741">
        <v>92.223836447754394</v>
      </c>
      <c r="AJ741">
        <v>90.751242671729997</v>
      </c>
      <c r="AK741">
        <v>27.321350738369599</v>
      </c>
      <c r="AL741">
        <v>80.980720040456902</v>
      </c>
      <c r="AM741">
        <v>87.116374572320098</v>
      </c>
      <c r="AN741">
        <v>0.99999992286188699</v>
      </c>
    </row>
    <row r="742" spans="1:40" x14ac:dyDescent="0.25">
      <c r="A742" t="str">
        <f>"20190312172626167"</f>
        <v>20190312172626167</v>
      </c>
      <c r="B742" t="str">
        <f>"1552382786158922"</f>
        <v>1552382786158922</v>
      </c>
      <c r="C742" t="s">
        <v>40</v>
      </c>
      <c r="D742">
        <v>3.1489980000000002</v>
      </c>
      <c r="E742">
        <v>0.47400579999999998</v>
      </c>
      <c r="F742" t="s">
        <v>41</v>
      </c>
      <c r="G742">
        <v>-257.38189999999997</v>
      </c>
      <c r="H742" s="1">
        <v>-1.435007E-6</v>
      </c>
      <c r="I742">
        <v>367.7586</v>
      </c>
      <c r="J742">
        <v>-283.8741</v>
      </c>
      <c r="K742">
        <v>1.0601480000000001</v>
      </c>
      <c r="L742">
        <v>366.86169999999998</v>
      </c>
      <c r="M742">
        <v>0.99978630000000002</v>
      </c>
      <c r="N742">
        <v>0</v>
      </c>
      <c r="O742">
        <v>1.8179609999999999E-2</v>
      </c>
      <c r="P742">
        <v>0.98868199999999995</v>
      </c>
      <c r="Q742">
        <v>0.14664070000000001</v>
      </c>
      <c r="R742">
        <v>-3.1698410000000003E-2</v>
      </c>
      <c r="S742">
        <v>3.0559690000000002</v>
      </c>
      <c r="T742">
        <v>-0.1209311</v>
      </c>
      <c r="U742">
        <v>0.1029968</v>
      </c>
      <c r="V742">
        <v>4.9437870000000002E-2</v>
      </c>
      <c r="W742">
        <v>0.1564381</v>
      </c>
      <c r="X742">
        <v>0.98644969999999998</v>
      </c>
      <c r="Y742">
        <v>-1.551071E-2</v>
      </c>
      <c r="Z742">
        <v>-4.1218139999999999E-4</v>
      </c>
      <c r="AA742">
        <v>0.99987959999999998</v>
      </c>
      <c r="AB742">
        <v>29</v>
      </c>
      <c r="AC742">
        <v>26.4922</v>
      </c>
      <c r="AD742">
        <v>-1.06014943500699</v>
      </c>
      <c r="AE742">
        <v>0.89690000000001602</v>
      </c>
      <c r="AF742">
        <v>-0.41444763790657602</v>
      </c>
      <c r="AG742">
        <v>-1.06014943500699</v>
      </c>
      <c r="AH742">
        <v>26.461800237229902</v>
      </c>
      <c r="AI742">
        <v>92.293955199278201</v>
      </c>
      <c r="AJ742">
        <v>90.897299461907494</v>
      </c>
      <c r="AK742">
        <v>26.4862710751093</v>
      </c>
      <c r="AL742">
        <v>80.999789103111596</v>
      </c>
      <c r="AM742">
        <v>87.130909639765804</v>
      </c>
      <c r="AN742">
        <v>0.99999999637591797</v>
      </c>
    </row>
    <row r="743" spans="1:40" x14ac:dyDescent="0.25">
      <c r="A743" t="str">
        <f>"20190312172626190"</f>
        <v>20190312172626190</v>
      </c>
      <c r="B743" t="str">
        <f>"1552382786179398"</f>
        <v>1552382786179398</v>
      </c>
      <c r="C743" t="s">
        <v>40</v>
      </c>
      <c r="D743">
        <v>3.109496</v>
      </c>
      <c r="E743">
        <v>0.47283229999999998</v>
      </c>
      <c r="F743" t="s">
        <v>41</v>
      </c>
      <c r="G743">
        <v>-258.11369999999999</v>
      </c>
      <c r="H743" s="1">
        <v>-1.113299E-6</v>
      </c>
      <c r="I743">
        <v>367.8023</v>
      </c>
      <c r="J743">
        <v>-283.58420000000001</v>
      </c>
      <c r="K743">
        <v>1.0601320000000001</v>
      </c>
      <c r="L743">
        <v>366.86779999999999</v>
      </c>
      <c r="M743">
        <v>0.99977260000000001</v>
      </c>
      <c r="N743">
        <v>0</v>
      </c>
      <c r="O743">
        <v>1.8921489999999999E-2</v>
      </c>
      <c r="P743">
        <v>0.988676</v>
      </c>
      <c r="Q743">
        <v>0.1468874</v>
      </c>
      <c r="R743">
        <v>-3.0728399999999999E-2</v>
      </c>
      <c r="S743">
        <v>3.0565799999999999</v>
      </c>
      <c r="T743">
        <v>-0.12579099999999999</v>
      </c>
      <c r="U743">
        <v>0.1116028</v>
      </c>
      <c r="V743">
        <v>4.9206100000000003E-2</v>
      </c>
      <c r="W743">
        <v>0.1566755</v>
      </c>
      <c r="X743">
        <v>0.98642359999999896</v>
      </c>
      <c r="Y743">
        <v>-1.75728E-2</v>
      </c>
      <c r="Z743">
        <v>-4.1672159999999998E-4</v>
      </c>
      <c r="AA743">
        <v>0.99984550000000005</v>
      </c>
      <c r="AB743">
        <v>29</v>
      </c>
      <c r="AC743">
        <v>25.470500000000001</v>
      </c>
      <c r="AD743">
        <v>-1.060133113299</v>
      </c>
      <c r="AE743">
        <v>0.93450000000001399</v>
      </c>
      <c r="AF743">
        <v>-0.45158828633697501</v>
      </c>
      <c r="AG743">
        <v>-1.060133113299</v>
      </c>
      <c r="AH743">
        <v>25.439610527966199</v>
      </c>
      <c r="AI743">
        <v>92.385904348896403</v>
      </c>
      <c r="AJ743">
        <v>91.016972552564397</v>
      </c>
      <c r="AK743">
        <v>25.465694532309101</v>
      </c>
      <c r="AL743">
        <v>80.986017165947501</v>
      </c>
      <c r="AM743">
        <v>87.144262491143294</v>
      </c>
      <c r="AN743">
        <v>0.99999998560720904</v>
      </c>
    </row>
    <row r="744" spans="1:40" x14ac:dyDescent="0.25">
      <c r="A744" t="str">
        <f>"20190312172626211"</f>
        <v>20190312172626211</v>
      </c>
      <c r="B744" t="str">
        <f>"1552382786198918"</f>
        <v>1552382786198918</v>
      </c>
      <c r="C744" t="s">
        <v>40</v>
      </c>
      <c r="D744">
        <v>3.0777450000000002</v>
      </c>
      <c r="E744">
        <v>0.4718001</v>
      </c>
      <c r="F744" t="s">
        <v>41</v>
      </c>
      <c r="G744">
        <v>-257.79930000000002</v>
      </c>
      <c r="H744" s="1">
        <v>-1.2281989999999999E-6</v>
      </c>
      <c r="I744">
        <v>367.91489999999999</v>
      </c>
      <c r="J744">
        <v>-283.2971</v>
      </c>
      <c r="K744">
        <v>1.0601130000000001</v>
      </c>
      <c r="L744">
        <v>366.87389999999999</v>
      </c>
      <c r="M744">
        <v>0.99975899999999995</v>
      </c>
      <c r="N744">
        <v>0</v>
      </c>
      <c r="O744">
        <v>1.963092E-2</v>
      </c>
      <c r="P744">
        <v>0.98865250000000005</v>
      </c>
      <c r="Q744">
        <v>0.1470668</v>
      </c>
      <c r="R744">
        <v>-3.0615630000000001E-2</v>
      </c>
      <c r="S744">
        <v>3.056854</v>
      </c>
      <c r="T744">
        <v>-0.12568080000000001</v>
      </c>
      <c r="U744">
        <v>0.12414550000000001</v>
      </c>
      <c r="V744">
        <v>4.980035E-2</v>
      </c>
      <c r="W744">
        <v>0.15684690000000001</v>
      </c>
      <c r="X744">
        <v>0.98636659999999998</v>
      </c>
      <c r="Y744">
        <v>-2.09541E-2</v>
      </c>
      <c r="Z744">
        <v>-3.7596230000000002E-4</v>
      </c>
      <c r="AA744">
        <v>0.99978040000000001</v>
      </c>
      <c r="AB744">
        <v>30</v>
      </c>
      <c r="AC744">
        <v>25.497799999999899</v>
      </c>
      <c r="AD744">
        <v>-1.0601142281989999</v>
      </c>
      <c r="AE744">
        <v>1.0409999999999899</v>
      </c>
      <c r="AF744">
        <v>-0.539299239430995</v>
      </c>
      <c r="AG744">
        <v>-1.0601142281989999</v>
      </c>
      <c r="AH744">
        <v>25.469369109819599</v>
      </c>
      <c r="AI744">
        <v>92.382918937119896</v>
      </c>
      <c r="AJ744">
        <v>91.213023904024197</v>
      </c>
      <c r="AK744">
        <v>25.4971262831464</v>
      </c>
      <c r="AL744">
        <v>80.976074294795396</v>
      </c>
      <c r="AM744">
        <v>87.109665841660103</v>
      </c>
      <c r="AN744">
        <v>1.00000004724764</v>
      </c>
    </row>
    <row r="745" spans="1:40" x14ac:dyDescent="0.25">
      <c r="A745" t="str">
        <f>"20190312172626235"</f>
        <v>20190312172626235</v>
      </c>
      <c r="B745" t="str">
        <f>"1552382786229174"</f>
        <v>1552382786229174</v>
      </c>
      <c r="C745" t="s">
        <v>40</v>
      </c>
      <c r="D745">
        <v>3.0992690000000001</v>
      </c>
      <c r="E745">
        <v>0.47037519999999999</v>
      </c>
      <c r="F745" t="s">
        <v>41</v>
      </c>
      <c r="G745">
        <v>-257.42840000000001</v>
      </c>
      <c r="H745" s="1">
        <v>-1.37243E-6</v>
      </c>
      <c r="I745">
        <v>367.99900000000002</v>
      </c>
      <c r="J745">
        <v>-282.99360000000001</v>
      </c>
      <c r="K745">
        <v>1.0601</v>
      </c>
      <c r="L745">
        <v>366.88069999999999</v>
      </c>
      <c r="M745">
        <v>0.99974450000000004</v>
      </c>
      <c r="N745">
        <v>0</v>
      </c>
      <c r="O745">
        <v>2.0356010000000001E-2</v>
      </c>
      <c r="P745">
        <v>0.98871109999999895</v>
      </c>
      <c r="Q745">
        <v>0.14672739999999901</v>
      </c>
      <c r="R745">
        <v>-3.0357720000000001E-2</v>
      </c>
      <c r="S745">
        <v>3.057159</v>
      </c>
      <c r="T745">
        <v>-0.1252837</v>
      </c>
      <c r="U745">
        <v>0.1329651</v>
      </c>
      <c r="V745">
        <v>5.0267300000000001E-2</v>
      </c>
      <c r="W745">
        <v>0.15650029999999901</v>
      </c>
      <c r="X745">
        <v>0.98639790000000005</v>
      </c>
      <c r="Y745">
        <v>-2.3102859999999999E-2</v>
      </c>
      <c r="Z745">
        <v>-3.603991E-4</v>
      </c>
      <c r="AA745">
        <v>0.99973299999999998</v>
      </c>
      <c r="AB745">
        <v>30</v>
      </c>
      <c r="AC745">
        <v>25.565200000000001</v>
      </c>
      <c r="AD745">
        <v>-1.0601013724299999</v>
      </c>
      <c r="AE745">
        <v>1.11830000000003</v>
      </c>
      <c r="AF745">
        <v>-0.59661375988385501</v>
      </c>
      <c r="AG745">
        <v>-1.0601013724299999</v>
      </c>
      <c r="AH745">
        <v>25.5388378935112</v>
      </c>
      <c r="AI745">
        <v>92.376300243104794</v>
      </c>
      <c r="AJ745">
        <v>91.338245468137302</v>
      </c>
      <c r="AK745">
        <v>25.567792314733701</v>
      </c>
      <c r="AL745">
        <v>80.996180724885207</v>
      </c>
      <c r="AM745">
        <v>87.082703811166198</v>
      </c>
      <c r="AN745">
        <v>0.99999998123689404</v>
      </c>
    </row>
    <row r="746" spans="1:40" x14ac:dyDescent="0.25">
      <c r="A746" t="str">
        <f>"20190312172626256"</f>
        <v>20190312172626256</v>
      </c>
      <c r="B746" t="str">
        <f>"1552382786249670"</f>
        <v>1552382786249670</v>
      </c>
      <c r="C746" t="s">
        <v>40</v>
      </c>
      <c r="D746">
        <v>3.1880389999999998</v>
      </c>
      <c r="E746">
        <v>0.46955459999999899</v>
      </c>
      <c r="F746" t="s">
        <v>41</v>
      </c>
      <c r="G746">
        <v>-257.58019999999999</v>
      </c>
      <c r="H746" s="1">
        <v>-1.2915160000000001E-6</v>
      </c>
      <c r="I746">
        <v>368.08800000000002</v>
      </c>
      <c r="J746">
        <v>-282.69439999999997</v>
      </c>
      <c r="K746">
        <v>1.0600799999999999</v>
      </c>
      <c r="L746">
        <v>366.88749999999999</v>
      </c>
      <c r="M746">
        <v>0.99973049999999997</v>
      </c>
      <c r="N746">
        <v>0</v>
      </c>
      <c r="O746">
        <v>2.104253E-2</v>
      </c>
      <c r="P746">
        <v>0.98874790000000001</v>
      </c>
      <c r="Q746">
        <v>0.146568899999999</v>
      </c>
      <c r="R746">
        <v>-2.992761E-2</v>
      </c>
      <c r="S746">
        <v>3.0576479999999999</v>
      </c>
      <c r="T746">
        <v>-0.12754699999999999</v>
      </c>
      <c r="U746">
        <v>0.1452637</v>
      </c>
      <c r="V746">
        <v>5.052359E-2</v>
      </c>
      <c r="W746">
        <v>0.15633549999999999</v>
      </c>
      <c r="X746">
        <v>0.98641100000000004</v>
      </c>
      <c r="Y746">
        <v>-2.641978E-2</v>
      </c>
      <c r="Z746">
        <v>-3.2628989999999999E-4</v>
      </c>
      <c r="AA746">
        <v>0.99965090000000001</v>
      </c>
      <c r="AB746">
        <v>30</v>
      </c>
      <c r="AC746">
        <v>25.114199999999901</v>
      </c>
      <c r="AD746">
        <v>-1.0600812915159901</v>
      </c>
      <c r="AE746">
        <v>1.2005000000000301</v>
      </c>
      <c r="AF746">
        <v>-0.67055043961708105</v>
      </c>
      <c r="AG746">
        <v>-1.0600812915159901</v>
      </c>
      <c r="AH746">
        <v>25.089301269402899</v>
      </c>
      <c r="AI746">
        <v>92.418578135731806</v>
      </c>
      <c r="AJ746">
        <v>91.530954003304203</v>
      </c>
      <c r="AK746">
        <v>25.120637898420402</v>
      </c>
      <c r="AL746">
        <v>81.005741288993406</v>
      </c>
      <c r="AM746">
        <v>87.067894612935305</v>
      </c>
      <c r="AN746">
        <v>1.0000000413138601</v>
      </c>
    </row>
    <row r="747" spans="1:40" x14ac:dyDescent="0.25">
      <c r="A747" t="str">
        <f>"20190312172626280"</f>
        <v>20190312172626280</v>
      </c>
      <c r="B747" t="str">
        <f>"1552382786269190"</f>
        <v>1552382786269190</v>
      </c>
      <c r="C747" t="s">
        <v>40</v>
      </c>
      <c r="D747">
        <v>3.180974</v>
      </c>
      <c r="E747">
        <v>0.46879969999999999</v>
      </c>
      <c r="F747" t="s">
        <v>41</v>
      </c>
      <c r="G747">
        <v>-257.48570000000001</v>
      </c>
      <c r="H747" s="1">
        <v>-1.3223729999999999E-6</v>
      </c>
      <c r="I747">
        <v>368.14269999999999</v>
      </c>
      <c r="J747">
        <v>-282.38549999999998</v>
      </c>
      <c r="K747">
        <v>1.060057</v>
      </c>
      <c r="L747">
        <v>366.89479999999998</v>
      </c>
      <c r="M747">
        <v>0.9997161</v>
      </c>
      <c r="N747">
        <v>0</v>
      </c>
      <c r="O747">
        <v>2.171524E-2</v>
      </c>
      <c r="P747">
        <v>0.98872789999999999</v>
      </c>
      <c r="Q747">
        <v>0.1467513</v>
      </c>
      <c r="R747">
        <v>-2.9689050000000002E-2</v>
      </c>
      <c r="S747">
        <v>3.0577999999999999</v>
      </c>
      <c r="T747">
        <v>-0.1285866</v>
      </c>
      <c r="U747">
        <v>0.1522522</v>
      </c>
      <c r="V747">
        <v>5.0957570000000001E-2</v>
      </c>
      <c r="W747">
        <v>0.15651109999999999</v>
      </c>
      <c r="X747">
        <v>0.98636080000000004</v>
      </c>
      <c r="Y747">
        <v>-2.802311E-2</v>
      </c>
      <c r="Z747">
        <v>-3.2347920000000001E-4</v>
      </c>
      <c r="AA747">
        <v>0.99960720000000003</v>
      </c>
      <c r="AB747">
        <v>30</v>
      </c>
      <c r="AC747">
        <v>24.8997999999999</v>
      </c>
      <c r="AD747">
        <v>-1.060058322373</v>
      </c>
      <c r="AE747">
        <v>1.24790000000001</v>
      </c>
      <c r="AF747">
        <v>-0.70559891445227296</v>
      </c>
      <c r="AG747">
        <v>-1.060058322373</v>
      </c>
      <c r="AH747">
        <v>24.876053896566599</v>
      </c>
      <c r="AI747">
        <v>92.4391235770332</v>
      </c>
      <c r="AJ747">
        <v>91.624735304013399</v>
      </c>
      <c r="AK747">
        <v>24.908626034765501</v>
      </c>
      <c r="AL747">
        <v>80.995554498969298</v>
      </c>
      <c r="AM747">
        <v>87.042603127684202</v>
      </c>
      <c r="AN747">
        <v>1.0000000130700699</v>
      </c>
    </row>
    <row r="748" spans="1:40" x14ac:dyDescent="0.25">
      <c r="A748" t="str">
        <f>"20190312172626302"</f>
        <v>20190312172626302</v>
      </c>
      <c r="B748" t="str">
        <f>"1552382786289686"</f>
        <v>1552382786289686</v>
      </c>
      <c r="C748" t="s">
        <v>40</v>
      </c>
      <c r="D748">
        <v>3.096956</v>
      </c>
      <c r="E748">
        <v>0.46810610000000002</v>
      </c>
      <c r="F748" t="s">
        <v>41</v>
      </c>
      <c r="G748">
        <v>-257.09800000000001</v>
      </c>
      <c r="H748" s="1">
        <v>-1.47651E-6</v>
      </c>
      <c r="I748">
        <v>368.21129999999999</v>
      </c>
      <c r="J748">
        <v>-282.0992</v>
      </c>
      <c r="K748">
        <v>1.060033</v>
      </c>
      <c r="L748">
        <v>366.90159999999997</v>
      </c>
      <c r="M748">
        <v>0.99970300000000001</v>
      </c>
      <c r="N748">
        <v>0</v>
      </c>
      <c r="O748">
        <v>2.2302860000000001E-2</v>
      </c>
      <c r="P748">
        <v>0.9887281</v>
      </c>
      <c r="Q748">
        <v>0.14689579999999999</v>
      </c>
      <c r="R748">
        <v>-2.8955089999999999E-2</v>
      </c>
      <c r="S748">
        <v>3.0579830000000001</v>
      </c>
      <c r="T748">
        <v>-0.128191</v>
      </c>
      <c r="U748">
        <v>0.1592102</v>
      </c>
      <c r="V748">
        <v>5.081364E-2</v>
      </c>
      <c r="W748">
        <v>0.15664910000000001</v>
      </c>
      <c r="X748">
        <v>0.98634630000000001</v>
      </c>
      <c r="Y748">
        <v>-2.9700190000000001E-2</v>
      </c>
      <c r="Z748">
        <v>-3.1192410000000002E-4</v>
      </c>
      <c r="AA748">
        <v>0.99955879999999997</v>
      </c>
      <c r="AB748">
        <v>30</v>
      </c>
      <c r="AC748">
        <v>25.001199999999901</v>
      </c>
      <c r="AD748">
        <v>-1.06003447651</v>
      </c>
      <c r="AE748">
        <v>1.3097000000000201</v>
      </c>
      <c r="AF748">
        <v>-0.75040371409136497</v>
      </c>
      <c r="AG748">
        <v>-1.06003447651</v>
      </c>
      <c r="AH748">
        <v>24.979409374729599</v>
      </c>
      <c r="AI748">
        <v>92.428870272146796</v>
      </c>
      <c r="AJ748">
        <v>91.720698773396904</v>
      </c>
      <c r="AK748">
        <v>25.013149972281401</v>
      </c>
      <c r="AL748">
        <v>80.987548771052303</v>
      </c>
      <c r="AM748">
        <v>87.050898272256404</v>
      </c>
      <c r="AN748">
        <v>0.99999999503227399</v>
      </c>
    </row>
    <row r="749" spans="1:40" x14ac:dyDescent="0.25">
      <c r="A749" t="str">
        <f>"20190312172626322"</f>
        <v>20190312172626322</v>
      </c>
      <c r="B749" t="str">
        <f>"1552382786309206"</f>
        <v>1552382786309206</v>
      </c>
      <c r="C749" t="s">
        <v>40</v>
      </c>
      <c r="D749">
        <v>3.0839279999999998</v>
      </c>
      <c r="E749">
        <v>0.46747539999999999</v>
      </c>
      <c r="F749" t="s">
        <v>41</v>
      </c>
      <c r="G749">
        <v>-256.6977</v>
      </c>
      <c r="H749" s="1">
        <v>-1.6341810000000001E-6</v>
      </c>
      <c r="I749">
        <v>368.29039999999998</v>
      </c>
      <c r="J749">
        <v>-281.8143</v>
      </c>
      <c r="K749">
        <v>1.0600020000000001</v>
      </c>
      <c r="L749">
        <v>366.9085</v>
      </c>
      <c r="M749">
        <v>0.99969070000000004</v>
      </c>
      <c r="N749">
        <v>0</v>
      </c>
      <c r="O749">
        <v>2.2849189999999998E-2</v>
      </c>
      <c r="P749">
        <v>0.98870899999999995</v>
      </c>
      <c r="Q749">
        <v>0.14713970000000001</v>
      </c>
      <c r="R749">
        <v>-2.8362950000000001E-2</v>
      </c>
      <c r="S749">
        <v>3.0580750000000001</v>
      </c>
      <c r="T749">
        <v>-0.12761700000000001</v>
      </c>
      <c r="U749">
        <v>0.16720579999999999</v>
      </c>
      <c r="V749">
        <v>5.0771719999999999E-2</v>
      </c>
      <c r="W749">
        <v>0.1568869</v>
      </c>
      <c r="X749">
        <v>0.98631069999999998</v>
      </c>
      <c r="Y749">
        <v>-3.1757069999999998E-2</v>
      </c>
      <c r="Z749">
        <v>-2.9038540000000002E-4</v>
      </c>
      <c r="AA749">
        <v>0.99949560000000004</v>
      </c>
      <c r="AB749">
        <v>30</v>
      </c>
      <c r="AC749">
        <v>25.116599999999998</v>
      </c>
      <c r="AD749">
        <v>-1.060003634181</v>
      </c>
      <c r="AE749">
        <v>1.3818999999999699</v>
      </c>
      <c r="AF749">
        <v>-0.80618596868522896</v>
      </c>
      <c r="AG749">
        <v>-1.060003634181</v>
      </c>
      <c r="AH749">
        <v>25.097052885204199</v>
      </c>
      <c r="AI749">
        <v>92.417272039249596</v>
      </c>
      <c r="AJ749">
        <v>91.839864458458493</v>
      </c>
      <c r="AK749">
        <v>25.1323617482185</v>
      </c>
      <c r="AL749">
        <v>80.973753595281806</v>
      </c>
      <c r="AM749">
        <v>87.053220748886204</v>
      </c>
      <c r="AN749">
        <v>1.00000003193892</v>
      </c>
    </row>
    <row r="750" spans="1:40" x14ac:dyDescent="0.25">
      <c r="A750" t="str">
        <f>"20190312172626347"</f>
        <v>20190312172626347</v>
      </c>
      <c r="B750" t="str">
        <f>"1552382786339462"</f>
        <v>1552382786339462</v>
      </c>
      <c r="C750" t="s">
        <v>40</v>
      </c>
      <c r="D750">
        <v>3.1074809999999999</v>
      </c>
      <c r="E750">
        <v>0.46651740000000003</v>
      </c>
      <c r="F750" t="s">
        <v>41</v>
      </c>
      <c r="G750">
        <v>-256.27370000000002</v>
      </c>
      <c r="H750" s="1">
        <v>-1.80274E-6</v>
      </c>
      <c r="I750">
        <v>368.36559999999997</v>
      </c>
      <c r="J750">
        <v>-281.5</v>
      </c>
      <c r="K750">
        <v>1.05996</v>
      </c>
      <c r="L750">
        <v>366.91629999999998</v>
      </c>
      <c r="M750">
        <v>0.99967779999999995</v>
      </c>
      <c r="N750">
        <v>0</v>
      </c>
      <c r="O750">
        <v>2.3409039999999999E-2</v>
      </c>
      <c r="P750">
        <v>0.98875279999999999</v>
      </c>
      <c r="Q750">
        <v>0.14690239999999999</v>
      </c>
      <c r="R750">
        <v>-2.8071100000000002E-2</v>
      </c>
      <c r="S750">
        <v>3.0581670000000001</v>
      </c>
      <c r="T750">
        <v>-0.1269219</v>
      </c>
      <c r="U750">
        <v>0.17446900000000001</v>
      </c>
      <c r="V750">
        <v>5.1047490000000001E-2</v>
      </c>
      <c r="W750">
        <v>0.15664439999999999</v>
      </c>
      <c r="X750">
        <v>0.98633499999999996</v>
      </c>
      <c r="Y750">
        <v>-3.3561100000000003E-2</v>
      </c>
      <c r="Z750">
        <v>-2.7457680000000001E-4</v>
      </c>
      <c r="AA750">
        <v>0.99943660000000001</v>
      </c>
      <c r="AB750">
        <v>30</v>
      </c>
      <c r="AC750">
        <v>25.226299999999899</v>
      </c>
      <c r="AD750">
        <v>-1.05996180274</v>
      </c>
      <c r="AE750">
        <v>1.44929999999999</v>
      </c>
      <c r="AF750">
        <v>-0.85684310680778897</v>
      </c>
      <c r="AG750">
        <v>-1.05996180274</v>
      </c>
      <c r="AH750">
        <v>25.208954388388399</v>
      </c>
      <c r="AI750">
        <v>92.406311485655493</v>
      </c>
      <c r="AJ750">
        <v>91.946713070209995</v>
      </c>
      <c r="AK750">
        <v>25.245773517339501</v>
      </c>
      <c r="AL750">
        <v>80.987821683715694</v>
      </c>
      <c r="AM750">
        <v>87.037316421934406</v>
      </c>
      <c r="AN750">
        <v>1.0000000232558199</v>
      </c>
    </row>
    <row r="751" spans="1:40" x14ac:dyDescent="0.25">
      <c r="A751" t="str">
        <f>"20190312172626368"</f>
        <v>20190312172626368</v>
      </c>
      <c r="B751" t="str">
        <f>"1552382786358982"</f>
        <v>1552382786358982</v>
      </c>
      <c r="C751" t="s">
        <v>40</v>
      </c>
      <c r="D751">
        <v>3.1633710000000002</v>
      </c>
      <c r="E751">
        <v>0.46615129999999999</v>
      </c>
      <c r="F751" t="s">
        <v>41</v>
      </c>
      <c r="G751">
        <v>-256.21039999999999</v>
      </c>
      <c r="H751" s="1">
        <v>-1.8184330000000001E-6</v>
      </c>
      <c r="I751">
        <v>368.43040000000002</v>
      </c>
      <c r="J751">
        <v>-281.20819999999998</v>
      </c>
      <c r="K751">
        <v>1.059933</v>
      </c>
      <c r="L751">
        <v>366.9237</v>
      </c>
      <c r="M751">
        <v>0.99966630000000001</v>
      </c>
      <c r="N751">
        <v>0</v>
      </c>
      <c r="O751">
        <v>2.3885159999999999E-2</v>
      </c>
      <c r="P751">
        <v>0.98878359999999998</v>
      </c>
      <c r="Q751">
        <v>0.14669119999999999</v>
      </c>
      <c r="R751">
        <v>-2.8085740000000001E-2</v>
      </c>
      <c r="S751">
        <v>3.0583499999999999</v>
      </c>
      <c r="T751">
        <v>-0.12818399999999999</v>
      </c>
      <c r="U751">
        <v>0.1831055</v>
      </c>
      <c r="V751">
        <v>5.1545630000000002E-2</v>
      </c>
      <c r="W751">
        <v>0.1564574</v>
      </c>
      <c r="X751">
        <v>0.98633870000000001</v>
      </c>
      <c r="Y751">
        <v>-3.5892500000000001E-2</v>
      </c>
      <c r="Z751">
        <v>-2.4838330000000002E-4</v>
      </c>
      <c r="AA751">
        <v>0.99935560000000001</v>
      </c>
      <c r="AB751">
        <v>30</v>
      </c>
      <c r="AC751">
        <v>24.997799999999899</v>
      </c>
      <c r="AD751">
        <v>-1.059934818433</v>
      </c>
      <c r="AE751">
        <v>1.5067000000000199</v>
      </c>
      <c r="AF751">
        <v>-0.90753904277220299</v>
      </c>
      <c r="AG751">
        <v>-1.059934818433</v>
      </c>
      <c r="AH751">
        <v>24.981905894483599</v>
      </c>
      <c r="AI751">
        <v>92.427894372682402</v>
      </c>
      <c r="AJ751">
        <v>92.080517835361505</v>
      </c>
      <c r="AK751">
        <v>25.020845530363601</v>
      </c>
      <c r="AL751">
        <v>80.998669092233897</v>
      </c>
      <c r="AM751">
        <v>87.008468939619206</v>
      </c>
      <c r="AN751">
        <v>0.99999995055227198</v>
      </c>
    </row>
    <row r="752" spans="1:40" x14ac:dyDescent="0.25">
      <c r="A752" t="str">
        <f>"20190312172626390"</f>
        <v>20190312172626390</v>
      </c>
      <c r="B752" t="str">
        <f>"1552382786379478"</f>
        <v>1552382786379478</v>
      </c>
      <c r="C752" t="s">
        <v>40</v>
      </c>
      <c r="D752">
        <v>3.181648</v>
      </c>
      <c r="E752">
        <v>0.46563070000000001</v>
      </c>
      <c r="F752" t="s">
        <v>41</v>
      </c>
      <c r="G752">
        <v>-256.42750000000001</v>
      </c>
      <c r="H752" s="1">
        <v>-1.7247570000000001E-6</v>
      </c>
      <c r="I752">
        <v>368.43329999999997</v>
      </c>
      <c r="J752">
        <v>-280.92469999999997</v>
      </c>
      <c r="K752">
        <v>1.060249</v>
      </c>
      <c r="L752">
        <v>366.93090000000001</v>
      </c>
      <c r="M752">
        <v>0.99964450000000005</v>
      </c>
      <c r="N752">
        <v>0</v>
      </c>
      <c r="O752">
        <v>2.4277770000000001E-2</v>
      </c>
      <c r="P752">
        <v>0.98894820000000005</v>
      </c>
      <c r="Q752">
        <v>0.1454599</v>
      </c>
      <c r="R752">
        <v>-2.8683130000000001E-2</v>
      </c>
      <c r="S752">
        <v>3.058716</v>
      </c>
      <c r="T752">
        <v>-0.1308289</v>
      </c>
      <c r="U752">
        <v>0.18634029999999999</v>
      </c>
      <c r="V752">
        <v>5.254992E-2</v>
      </c>
      <c r="W752">
        <v>0.1563957</v>
      </c>
      <c r="X752">
        <v>0.98629549999999999</v>
      </c>
      <c r="Y752">
        <v>-3.6544960000000001E-2</v>
      </c>
      <c r="Z752">
        <v>-2.5630150000000002E-4</v>
      </c>
      <c r="AA752">
        <v>0.999332</v>
      </c>
      <c r="AB752">
        <v>30</v>
      </c>
      <c r="AC752">
        <v>24.4971999999999</v>
      </c>
      <c r="AD752">
        <v>-1.0602507247570001</v>
      </c>
      <c r="AE752">
        <v>1.50239999999996</v>
      </c>
      <c r="AF752">
        <v>-0.90549379058315904</v>
      </c>
      <c r="AG752">
        <v>-1.0602507247570001</v>
      </c>
      <c r="AH752">
        <v>24.480770193623702</v>
      </c>
      <c r="AI752">
        <v>92.478211159939406</v>
      </c>
      <c r="AJ752">
        <v>92.118288434313101</v>
      </c>
      <c r="AK752">
        <v>24.520443712892799</v>
      </c>
      <c r="AL752">
        <v>81.002248400112506</v>
      </c>
      <c r="AM752">
        <v>86.950159054293195</v>
      </c>
      <c r="AN752">
        <v>0.99999996119537204</v>
      </c>
    </row>
    <row r="753" spans="1:40" x14ac:dyDescent="0.25">
      <c r="A753" t="str">
        <f>"20190312172626412"</f>
        <v>20190312172626412</v>
      </c>
      <c r="B753" t="str">
        <f>"1552382786409734"</f>
        <v>1552382786409734</v>
      </c>
      <c r="C753" t="s">
        <v>40</v>
      </c>
      <c r="D753">
        <v>3.2876850000000002</v>
      </c>
      <c r="E753">
        <v>0.46576109999999998</v>
      </c>
      <c r="F753" t="s">
        <v>41</v>
      </c>
      <c r="G753">
        <v>-256.79539999999997</v>
      </c>
      <c r="H753" s="1">
        <v>-1.569831E-6</v>
      </c>
      <c r="I753">
        <v>368.41699999999997</v>
      </c>
      <c r="J753">
        <v>-280.62900000000002</v>
      </c>
      <c r="K753">
        <v>1.0608959999999901</v>
      </c>
      <c r="L753">
        <v>366.93849999999998</v>
      </c>
      <c r="M753">
        <v>0.99962289999999998</v>
      </c>
      <c r="N753">
        <v>0</v>
      </c>
      <c r="O753">
        <v>2.4662340000000001E-2</v>
      </c>
      <c r="P753">
        <v>0.98913620000000002</v>
      </c>
      <c r="Q753">
        <v>0.1441944</v>
      </c>
      <c r="R753">
        <v>-2.8595909999999999E-2</v>
      </c>
      <c r="S753">
        <v>3.0587460000000002</v>
      </c>
      <c r="T753">
        <v>-0.1344023</v>
      </c>
      <c r="U753">
        <v>0.188385</v>
      </c>
      <c r="V753">
        <v>5.2860780000000003E-2</v>
      </c>
      <c r="W753">
        <v>0.15615699999999999</v>
      </c>
      <c r="X753">
        <v>0.98631670000000005</v>
      </c>
      <c r="Y753">
        <v>-3.6824610000000001E-2</v>
      </c>
      <c r="Z753">
        <v>-2.7402790000000002E-4</v>
      </c>
      <c r="AA753">
        <v>0.99932169999999998</v>
      </c>
      <c r="AB753">
        <v>29</v>
      </c>
      <c r="AC753">
        <v>23.833600000000001</v>
      </c>
      <c r="AD753">
        <v>-1.0608975698309999</v>
      </c>
      <c r="AE753">
        <v>1.4784999999999899</v>
      </c>
      <c r="AF753">
        <v>-0.88846139140851899</v>
      </c>
      <c r="AG753">
        <v>-1.0608975698309999</v>
      </c>
      <c r="AH753">
        <v>23.8158083479215</v>
      </c>
      <c r="AI753">
        <v>92.548837501905894</v>
      </c>
      <c r="AJ753">
        <v>92.136458776798094</v>
      </c>
      <c r="AK753">
        <v>23.855976076501701</v>
      </c>
      <c r="AL753">
        <v>81.016094945727104</v>
      </c>
      <c r="AM753">
        <v>86.932217841747999</v>
      </c>
      <c r="AN753">
        <v>0.99999995170504796</v>
      </c>
    </row>
    <row r="754" spans="1:40" x14ac:dyDescent="0.25">
      <c r="A754" t="str">
        <f>"20190312172626435"</f>
        <v>20190312172626435</v>
      </c>
      <c r="B754" t="str">
        <f>"1552382786429254"</f>
        <v>1552382786429254</v>
      </c>
      <c r="C754" t="s">
        <v>40</v>
      </c>
      <c r="D754">
        <v>3.2497549999999999</v>
      </c>
      <c r="E754">
        <v>0.49534460000000002</v>
      </c>
      <c r="F754" t="s">
        <v>41</v>
      </c>
      <c r="G754">
        <v>-257.06549999999999</v>
      </c>
      <c r="H754" s="1">
        <v>-1.4596340000000001E-6</v>
      </c>
      <c r="I754">
        <v>368.38499999999999</v>
      </c>
      <c r="J754">
        <v>-280.33350000000002</v>
      </c>
      <c r="K754">
        <v>1.0614950000000001</v>
      </c>
      <c r="L754">
        <v>366.94630000000001</v>
      </c>
      <c r="M754">
        <v>0.99962530000000005</v>
      </c>
      <c r="N754">
        <v>0</v>
      </c>
      <c r="O754">
        <v>2.50195E-2</v>
      </c>
      <c r="P754">
        <v>0.989089</v>
      </c>
      <c r="Q754">
        <v>0.14449870000000001</v>
      </c>
      <c r="R754">
        <v>-2.869872E-2</v>
      </c>
      <c r="S754">
        <v>3.0584410000000002</v>
      </c>
      <c r="T754">
        <v>-0.1376995</v>
      </c>
      <c r="U754">
        <v>0.1877441</v>
      </c>
      <c r="V754">
        <v>5.33135E-2</v>
      </c>
      <c r="W754">
        <v>0.15551589999999901</v>
      </c>
      <c r="X754">
        <v>0.98639370000000004</v>
      </c>
      <c r="Y754">
        <v>-3.6265680000000002E-2</v>
      </c>
      <c r="Z754">
        <v>-3.0937400000000001E-4</v>
      </c>
      <c r="AA754">
        <v>0.99934210000000001</v>
      </c>
      <c r="AB754">
        <v>29</v>
      </c>
      <c r="AC754">
        <v>23.268000000000001</v>
      </c>
      <c r="AD754">
        <v>-1.061496459634</v>
      </c>
      <c r="AE754">
        <v>1.4386999999999801</v>
      </c>
      <c r="AF754">
        <v>-0.85428876867940196</v>
      </c>
      <c r="AG754">
        <v>-1.061496459634</v>
      </c>
      <c r="AH754">
        <v>23.248512038801898</v>
      </c>
      <c r="AI754">
        <v>92.612473517178799</v>
      </c>
      <c r="AJ754">
        <v>92.104441270912105</v>
      </c>
      <c r="AK754">
        <v>23.288406902414401</v>
      </c>
      <c r="AL754">
        <v>81.053282273905893</v>
      </c>
      <c r="AM754">
        <v>86.906236065060099</v>
      </c>
      <c r="AN754">
        <v>1.00000002791737</v>
      </c>
    </row>
    <row r="755" spans="1:40" x14ac:dyDescent="0.25">
      <c r="A755" t="str">
        <f>"20190312172626457"</f>
        <v>20190312172626457</v>
      </c>
      <c r="B755" t="str">
        <f>"1552382786449753"</f>
        <v>1552382786449753</v>
      </c>
      <c r="C755" t="s">
        <v>40</v>
      </c>
      <c r="D755">
        <v>3.2484440000000001</v>
      </c>
      <c r="E755">
        <v>0.49721389999999999</v>
      </c>
      <c r="F755" t="s">
        <v>41</v>
      </c>
      <c r="G755">
        <v>-254.97630000000001</v>
      </c>
      <c r="H755" s="1">
        <v>-2.6820060000000001E-6</v>
      </c>
      <c r="I755">
        <v>366.54649999999998</v>
      </c>
      <c r="J755">
        <v>-280.03489999999999</v>
      </c>
      <c r="K755">
        <v>1.0623</v>
      </c>
      <c r="L755">
        <v>366.95429999999999</v>
      </c>
      <c r="M755">
        <v>0.99963650000000004</v>
      </c>
      <c r="N755">
        <v>0</v>
      </c>
      <c r="O755">
        <v>2.5357500000000002E-2</v>
      </c>
      <c r="P755">
        <v>0.98883620000000005</v>
      </c>
      <c r="Q755">
        <v>0.14627119999999999</v>
      </c>
      <c r="R755">
        <v>-2.8422429999999999E-2</v>
      </c>
      <c r="S755">
        <v>3.050354</v>
      </c>
      <c r="T755">
        <v>-0.1276929</v>
      </c>
      <c r="U755">
        <v>-4.8095699999999998E-2</v>
      </c>
      <c r="V755">
        <v>5.3362659999999999E-2</v>
      </c>
      <c r="W755">
        <v>0.1553496</v>
      </c>
      <c r="X755">
        <v>0.98641719999999999</v>
      </c>
      <c r="Y755">
        <v>4.105748E-2</v>
      </c>
      <c r="Z755">
        <v>-1.9199270000000001E-3</v>
      </c>
      <c r="AA755">
        <v>0.99915489999999996</v>
      </c>
      <c r="AB755">
        <v>29</v>
      </c>
      <c r="AC755">
        <v>25.058599999999899</v>
      </c>
      <c r="AD755">
        <v>-1.062302682006</v>
      </c>
      <c r="AE755">
        <v>-0.40780000000000799</v>
      </c>
      <c r="AF755">
        <v>1.0412481779662199</v>
      </c>
      <c r="AG755">
        <v>-1.062302682006</v>
      </c>
      <c r="AH755">
        <v>24.995292178088299</v>
      </c>
      <c r="AI755">
        <v>92.431506093699099</v>
      </c>
      <c r="AJ755">
        <v>87.614564724092006</v>
      </c>
      <c r="AK755">
        <v>25.039515087643299</v>
      </c>
      <c r="AL755">
        <v>81.062927375759799</v>
      </c>
      <c r="AM755">
        <v>86.903462505512096</v>
      </c>
      <c r="AN755">
        <v>0.99999998207913698</v>
      </c>
    </row>
    <row r="756" spans="1:40" x14ac:dyDescent="0.25">
      <c r="A756" t="str">
        <f>"20190312172626480"</f>
        <v>20190312172626480</v>
      </c>
      <c r="B756" t="str">
        <f>"1552382786469270"</f>
        <v>1552382786469270</v>
      </c>
      <c r="C756" t="s">
        <v>40</v>
      </c>
      <c r="D756">
        <v>3.3095180000000002</v>
      </c>
      <c r="E756">
        <v>0.4974402</v>
      </c>
      <c r="F756" t="s">
        <v>41</v>
      </c>
      <c r="G756">
        <v>-254.67009999999999</v>
      </c>
      <c r="H756" s="1">
        <v>-2.8327200000000001E-6</v>
      </c>
      <c r="I756">
        <v>366.4375</v>
      </c>
      <c r="J756">
        <v>-279.73329999999999</v>
      </c>
      <c r="K756">
        <v>1.0634779999999999</v>
      </c>
      <c r="L756">
        <v>366.96249999999998</v>
      </c>
      <c r="M756">
        <v>0.99964319999999895</v>
      </c>
      <c r="N756">
        <v>0</v>
      </c>
      <c r="O756">
        <v>2.573011E-2</v>
      </c>
      <c r="P756">
        <v>0.98856390000000005</v>
      </c>
      <c r="Q756">
        <v>0.14818190000000001</v>
      </c>
      <c r="R756">
        <v>-2.7998390000000001E-2</v>
      </c>
      <c r="S756">
        <v>3.0509949999999999</v>
      </c>
      <c r="T756">
        <v>-0.12777830000000001</v>
      </c>
      <c r="U756">
        <v>-6.216431E-2</v>
      </c>
      <c r="V756">
        <v>5.330783E-2</v>
      </c>
      <c r="W756">
        <v>0.15530629999999901</v>
      </c>
      <c r="X756">
        <v>0.98642700000000005</v>
      </c>
      <c r="Y756">
        <v>4.6026669999999999E-2</v>
      </c>
      <c r="Z756">
        <v>-2.0403209999999999E-3</v>
      </c>
      <c r="AA756">
        <v>0.99893810000000005</v>
      </c>
      <c r="AB756">
        <v>30</v>
      </c>
      <c r="AC756">
        <v>25.063199999999899</v>
      </c>
      <c r="AD756">
        <v>-1.06348083272</v>
      </c>
      <c r="AE756">
        <v>-0.52499999999997704</v>
      </c>
      <c r="AF756">
        <v>1.1676203098740201</v>
      </c>
      <c r="AG756">
        <v>-1.06348083272</v>
      </c>
      <c r="AH756">
        <v>24.996407556774098</v>
      </c>
      <c r="AI756">
        <v>92.433549282160797</v>
      </c>
      <c r="AJ756">
        <v>87.325570819207698</v>
      </c>
      <c r="AK756">
        <v>25.0462516040614</v>
      </c>
      <c r="AL756">
        <v>81.065438915789798</v>
      </c>
      <c r="AM756">
        <v>86.906668680131006</v>
      </c>
      <c r="AN756">
        <v>0.99999999894399905</v>
      </c>
    </row>
    <row r="757" spans="1:40" x14ac:dyDescent="0.25">
      <c r="A757" t="str">
        <f>"20190312172626502"</f>
        <v>20190312172626502</v>
      </c>
      <c r="B757" t="str">
        <f>"1552382786499526"</f>
        <v>1552382786499526</v>
      </c>
      <c r="C757" t="s">
        <v>40</v>
      </c>
      <c r="D757">
        <v>3.2759330000000002</v>
      </c>
      <c r="E757">
        <v>0.49725469999999999</v>
      </c>
      <c r="F757" t="s">
        <v>41</v>
      </c>
      <c r="G757">
        <v>-252.99170000000001</v>
      </c>
      <c r="H757" s="1">
        <v>-3.5577729999999999E-6</v>
      </c>
      <c r="I757">
        <v>366.40899999999999</v>
      </c>
      <c r="J757">
        <v>-279.4393</v>
      </c>
      <c r="K757">
        <v>1.064902</v>
      </c>
      <c r="L757">
        <v>366.97050000000002</v>
      </c>
      <c r="M757">
        <v>0.99964390000000003</v>
      </c>
      <c r="N757">
        <v>0</v>
      </c>
      <c r="O757">
        <v>2.6125570000000001E-2</v>
      </c>
      <c r="P757">
        <v>0.988317</v>
      </c>
      <c r="Q757">
        <v>0.1499221</v>
      </c>
      <c r="R757">
        <v>-2.7438750000000001E-2</v>
      </c>
      <c r="S757">
        <v>3.0511170000000001</v>
      </c>
      <c r="T757">
        <v>-0.12133910000000001</v>
      </c>
      <c r="U757">
        <v>-6.3140870000000002E-2</v>
      </c>
      <c r="V757">
        <v>5.314352E-2</v>
      </c>
      <c r="W757">
        <v>0.15532089999999901</v>
      </c>
      <c r="X757">
        <v>0.98643360000000002</v>
      </c>
      <c r="Y757">
        <v>4.6745639999999998E-2</v>
      </c>
      <c r="Z757">
        <v>-1.9674979999999998E-3</v>
      </c>
      <c r="AA757">
        <v>0.99890489999999998</v>
      </c>
      <c r="AB757">
        <v>30</v>
      </c>
      <c r="AC757">
        <v>26.447599999999898</v>
      </c>
      <c r="AD757">
        <v>-1.064905557773</v>
      </c>
      <c r="AE757">
        <v>-0.56150000000002298</v>
      </c>
      <c r="AF757">
        <v>1.2502511087953301</v>
      </c>
      <c r="AG757">
        <v>-1.064905557773</v>
      </c>
      <c r="AH757">
        <v>26.3811514857132</v>
      </c>
      <c r="AI757">
        <v>92.308966469646293</v>
      </c>
      <c r="AJ757">
        <v>87.286678167651701</v>
      </c>
      <c r="AK757">
        <v>26.432220969759001</v>
      </c>
      <c r="AL757">
        <v>81.0645924145946</v>
      </c>
      <c r="AM757">
        <v>86.916205375161695</v>
      </c>
      <c r="AN757">
        <v>1.00000003145187</v>
      </c>
    </row>
    <row r="758" spans="1:40" x14ac:dyDescent="0.25">
      <c r="A758" t="str">
        <f>"20190312172626523"</f>
        <v>20190312172626523</v>
      </c>
      <c r="B758" t="str">
        <f>"1552382786519046"</f>
        <v>1552382786519046</v>
      </c>
      <c r="C758" t="s">
        <v>40</v>
      </c>
      <c r="D758">
        <v>3.2770380000000001</v>
      </c>
      <c r="E758">
        <v>0.49718390000000001</v>
      </c>
      <c r="F758" t="s">
        <v>41</v>
      </c>
      <c r="G758">
        <v>-251.60079999999999</v>
      </c>
      <c r="H758" s="1">
        <v>-4.151748E-6</v>
      </c>
      <c r="I758">
        <v>366.42450000000002</v>
      </c>
      <c r="J758">
        <v>-279.14440000000002</v>
      </c>
      <c r="K758">
        <v>1.0664559999999901</v>
      </c>
      <c r="L758">
        <v>366.97859999999997</v>
      </c>
      <c r="M758">
        <v>0.9996408</v>
      </c>
      <c r="N758">
        <v>0</v>
      </c>
      <c r="O758">
        <v>2.653809E-2</v>
      </c>
      <c r="P758">
        <v>0.98798940000000002</v>
      </c>
      <c r="Q758">
        <v>0.15218690000000001</v>
      </c>
      <c r="R758">
        <v>-2.6764369999999999E-2</v>
      </c>
      <c r="S758">
        <v>3.0515140000000001</v>
      </c>
      <c r="T758">
        <v>-0.1167291</v>
      </c>
      <c r="U758">
        <v>-5.9844969999999997E-2</v>
      </c>
      <c r="V758">
        <v>5.2876060000000003E-2</v>
      </c>
      <c r="W758">
        <v>0.15593889999999999</v>
      </c>
      <c r="X758">
        <v>0.98635039999999996</v>
      </c>
      <c r="Y758">
        <v>4.6080969999999999E-2</v>
      </c>
      <c r="Z758">
        <v>-1.8956310000000001E-3</v>
      </c>
      <c r="AA758">
        <v>0.99893589999999999</v>
      </c>
      <c r="AB758">
        <v>30</v>
      </c>
      <c r="AC758">
        <v>27.543600000000001</v>
      </c>
      <c r="AD758">
        <v>-1.0664601517479999</v>
      </c>
      <c r="AE758">
        <v>-0.55409999999994797</v>
      </c>
      <c r="AF758">
        <v>1.2829419409516201</v>
      </c>
      <c r="AG758">
        <v>-1.0664601517479999</v>
      </c>
      <c r="AH758">
        <v>27.478016961185901</v>
      </c>
      <c r="AI758">
        <v>92.220197348411105</v>
      </c>
      <c r="AJ758">
        <v>87.326815291508893</v>
      </c>
      <c r="AK758">
        <v>27.528615900519601</v>
      </c>
      <c r="AL758">
        <v>81.028746259082993</v>
      </c>
      <c r="AM758">
        <v>86.931437404386202</v>
      </c>
      <c r="AN758">
        <v>0.99999996491724596</v>
      </c>
    </row>
    <row r="759" spans="1:40" x14ac:dyDescent="0.25">
      <c r="A759" t="str">
        <f>"20190312172626547"</f>
        <v>20190312172626547</v>
      </c>
      <c r="B759" t="str">
        <f>"1552382786539545"</f>
        <v>1552382786539545</v>
      </c>
      <c r="C759" t="s">
        <v>40</v>
      </c>
      <c r="D759">
        <v>3.2577970000000001</v>
      </c>
      <c r="E759">
        <v>0.49729980000000001</v>
      </c>
      <c r="F759" t="s">
        <v>41</v>
      </c>
      <c r="G759">
        <v>-249.43960000000001</v>
      </c>
      <c r="H759" s="1">
        <v>-1.0502539999999999E-6</v>
      </c>
      <c r="I759">
        <v>366.4187</v>
      </c>
      <c r="J759">
        <v>-278.8415</v>
      </c>
      <c r="K759">
        <v>1.068106</v>
      </c>
      <c r="L759">
        <v>366.9871</v>
      </c>
      <c r="M759">
        <v>0.99963449999999998</v>
      </c>
      <c r="N759">
        <v>0</v>
      </c>
      <c r="O759">
        <v>2.6955E-2</v>
      </c>
      <c r="P759">
        <v>0.98773560000000005</v>
      </c>
      <c r="Q759">
        <v>0.1539751</v>
      </c>
      <c r="R759">
        <v>-2.589433E-2</v>
      </c>
      <c r="S759">
        <v>3.0517880000000002</v>
      </c>
      <c r="T759">
        <v>-0.1095647</v>
      </c>
      <c r="U759">
        <v>-5.7525630000000001E-2</v>
      </c>
      <c r="V759">
        <v>5.2413809999999998E-2</v>
      </c>
      <c r="W759">
        <v>0.15610889999999999</v>
      </c>
      <c r="X759">
        <v>0.98634820000000001</v>
      </c>
      <c r="Y759">
        <v>4.5743069999999997E-2</v>
      </c>
      <c r="Z759">
        <v>-1.7881030000000001E-3</v>
      </c>
      <c r="AA759">
        <v>0.99895160000000005</v>
      </c>
      <c r="AB759">
        <v>30</v>
      </c>
      <c r="AC759">
        <v>29.401899999999898</v>
      </c>
      <c r="AD759">
        <v>-1.068107050254</v>
      </c>
      <c r="AE759">
        <v>-0.56839999999999602</v>
      </c>
      <c r="AF759">
        <v>1.3589306605618101</v>
      </c>
      <c r="AG759">
        <v>-1.068107050254</v>
      </c>
      <c r="AH759">
        <v>29.337193312563802</v>
      </c>
      <c r="AI759">
        <v>92.082869494331902</v>
      </c>
      <c r="AJ759">
        <v>87.347892998635999</v>
      </c>
      <c r="AK759">
        <v>29.388066569098299</v>
      </c>
      <c r="AL759">
        <v>81.018885382517894</v>
      </c>
      <c r="AM759">
        <v>86.958205842965697</v>
      </c>
      <c r="AN759">
        <v>0.99999998389058298</v>
      </c>
    </row>
    <row r="760" spans="1:40" x14ac:dyDescent="0.25">
      <c r="A760" t="str">
        <f>"20190312172626560"</f>
        <v>20190312172626560</v>
      </c>
      <c r="B760" t="str">
        <f>"1552382786549302"</f>
        <v>1552382786549302</v>
      </c>
      <c r="C760" t="s">
        <v>40</v>
      </c>
      <c r="D760">
        <v>3.2681550000000001</v>
      </c>
      <c r="E760">
        <v>0.49747039999999998</v>
      </c>
      <c r="F760" t="s">
        <v>41</v>
      </c>
      <c r="G760">
        <v>-247.93899999999999</v>
      </c>
      <c r="H760" s="1">
        <v>-1.6255449999999999E-6</v>
      </c>
      <c r="I760">
        <v>366.42230000000001</v>
      </c>
      <c r="J760">
        <v>-278.65859999999998</v>
      </c>
      <c r="K760">
        <v>1.069175</v>
      </c>
      <c r="L760">
        <v>366.99239999999998</v>
      </c>
      <c r="M760">
        <v>0.99964229999999998</v>
      </c>
      <c r="N760">
        <v>0</v>
      </c>
      <c r="O760">
        <v>2.6708630000000001E-2</v>
      </c>
      <c r="P760">
        <v>0.98765119999999895</v>
      </c>
      <c r="Q760">
        <v>0.1545116</v>
      </c>
      <c r="R760">
        <v>-2.591531E-2</v>
      </c>
      <c r="S760">
        <v>3.0522770000000001</v>
      </c>
      <c r="T760">
        <v>-0.1054983</v>
      </c>
      <c r="U760">
        <v>-5.5786130000000003E-2</v>
      </c>
      <c r="V760">
        <v>5.2181039999999998E-2</v>
      </c>
      <c r="W760">
        <v>0.15595110000000001</v>
      </c>
      <c r="X760">
        <v>0.98638550000000003</v>
      </c>
      <c r="Y760">
        <v>4.4928740000000002E-2</v>
      </c>
      <c r="Z760">
        <v>-1.698932E-3</v>
      </c>
      <c r="AA760">
        <v>0.99898869999999895</v>
      </c>
      <c r="AB760">
        <v>30</v>
      </c>
      <c r="AC760">
        <v>30.7195999999999</v>
      </c>
      <c r="AD760">
        <v>-1.0691766255449999</v>
      </c>
      <c r="AE760">
        <v>-0.57009999999996797</v>
      </c>
      <c r="AF760">
        <v>1.3886942324735401</v>
      </c>
      <c r="AG760">
        <v>-1.0691766255449999</v>
      </c>
      <c r="AH760">
        <v>30.656291936008699</v>
      </c>
      <c r="AI760">
        <v>91.995407988157297</v>
      </c>
      <c r="AJ760">
        <v>87.406341162056506</v>
      </c>
      <c r="AK760">
        <v>30.7063486203376</v>
      </c>
      <c r="AL760">
        <v>81.028038734355505</v>
      </c>
      <c r="AM760">
        <v>86.971803568569698</v>
      </c>
      <c r="AN760">
        <v>0.99999998056846995</v>
      </c>
    </row>
    <row r="761" spans="1:40" x14ac:dyDescent="0.25">
      <c r="A761" t="str">
        <f>"20190312172626580"</f>
        <v>20190312172626580</v>
      </c>
      <c r="B761" t="str">
        <f>"1552382786569799"</f>
        <v>1552382786569799</v>
      </c>
      <c r="C761" t="s">
        <v>40</v>
      </c>
      <c r="D761">
        <v>3.2446109999999999</v>
      </c>
      <c r="E761">
        <v>0.49760080000000001</v>
      </c>
      <c r="F761" t="s">
        <v>41</v>
      </c>
      <c r="G761">
        <v>-247.69900000000001</v>
      </c>
      <c r="H761" s="1">
        <v>-1.7217679999999999E-6</v>
      </c>
      <c r="I761">
        <v>366.40710000000001</v>
      </c>
      <c r="J761">
        <v>-278.39690000000002</v>
      </c>
      <c r="K761">
        <v>1.0707610000000001</v>
      </c>
      <c r="L761">
        <v>367.00009999999997</v>
      </c>
      <c r="M761">
        <v>0.99965210000000004</v>
      </c>
      <c r="N761">
        <v>0</v>
      </c>
      <c r="O761">
        <v>2.6359250000000001E-2</v>
      </c>
      <c r="P761">
        <v>0.98756929999999998</v>
      </c>
      <c r="Q761">
        <v>0.1550242</v>
      </c>
      <c r="R761">
        <v>-2.597257E-2</v>
      </c>
      <c r="S761">
        <v>3.052521</v>
      </c>
      <c r="T761">
        <v>-0.10541730000000001</v>
      </c>
      <c r="U761">
        <v>-5.7708740000000001E-2</v>
      </c>
      <c r="V761">
        <v>5.1927269999999998E-2</v>
      </c>
      <c r="W761">
        <v>0.15595909999999999</v>
      </c>
      <c r="X761">
        <v>0.98639759999999999</v>
      </c>
      <c r="Y761">
        <v>4.5207240000000003E-2</v>
      </c>
      <c r="Z761">
        <v>-1.6902309999999999E-3</v>
      </c>
      <c r="AA761">
        <v>0.99897619999999998</v>
      </c>
      <c r="AB761">
        <v>30</v>
      </c>
      <c r="AC761">
        <v>30.697900000000001</v>
      </c>
      <c r="AD761">
        <v>-1.070762721768</v>
      </c>
      <c r="AE761">
        <v>-0.59299999999996</v>
      </c>
      <c r="AF761">
        <v>1.4002649144502699</v>
      </c>
      <c r="AG761">
        <v>-1.070762721768</v>
      </c>
      <c r="AH761">
        <v>30.634344818413101</v>
      </c>
      <c r="AI761">
        <v>91.999759021870503</v>
      </c>
      <c r="AJ761">
        <v>87.382889512927804</v>
      </c>
      <c r="AK761">
        <v>30.685018446962101</v>
      </c>
      <c r="AL761">
        <v>81.027574447646998</v>
      </c>
      <c r="AM761">
        <v>86.986540164926694</v>
      </c>
      <c r="AN761">
        <v>0.99999995376410999</v>
      </c>
    </row>
    <row r="762" spans="1:40" x14ac:dyDescent="0.25">
      <c r="A762" t="str">
        <f>"20190312172626602"</f>
        <v>20190312172626602</v>
      </c>
      <c r="B762" t="str">
        <f>"1552382786599078"</f>
        <v>1552382786599078</v>
      </c>
      <c r="C762" t="s">
        <v>40</v>
      </c>
      <c r="D762">
        <v>3.2434910000000001</v>
      </c>
      <c r="E762">
        <v>0.49791819999999998</v>
      </c>
      <c r="F762" t="s">
        <v>41</v>
      </c>
      <c r="G762">
        <v>-247.13249999999999</v>
      </c>
      <c r="H762" s="1">
        <v>-1.9425009999999999E-6</v>
      </c>
      <c r="I762">
        <v>366.39499999999998</v>
      </c>
      <c r="J762">
        <v>-278.10559999999998</v>
      </c>
      <c r="K762">
        <v>1.0726329999999999</v>
      </c>
      <c r="L762">
        <v>367.00889999999998</v>
      </c>
      <c r="M762">
        <v>0.99964600000000003</v>
      </c>
      <c r="N762">
        <v>0</v>
      </c>
      <c r="O762">
        <v>2.658787E-2</v>
      </c>
      <c r="P762">
        <v>0.98750899999999997</v>
      </c>
      <c r="Q762">
        <v>0.1554035</v>
      </c>
      <c r="R762">
        <v>-2.5998710000000001E-2</v>
      </c>
      <c r="S762">
        <v>3.0526119999999999</v>
      </c>
      <c r="T762">
        <v>-0.1045481</v>
      </c>
      <c r="U762">
        <v>-5.9082030000000001E-2</v>
      </c>
      <c r="V762">
        <v>5.2312770000000001E-2</v>
      </c>
      <c r="W762">
        <v>0.1563524</v>
      </c>
      <c r="X762">
        <v>0.98631500000000005</v>
      </c>
      <c r="Y762">
        <v>4.5884550000000003E-2</v>
      </c>
      <c r="Z762">
        <v>-1.6956670000000001E-3</v>
      </c>
      <c r="AA762">
        <v>0.99894530000000004</v>
      </c>
      <c r="AB762">
        <v>30</v>
      </c>
      <c r="AC762">
        <v>30.973099999999899</v>
      </c>
      <c r="AD762">
        <v>-1.072634942501</v>
      </c>
      <c r="AE762">
        <v>-0.613900000000001</v>
      </c>
      <c r="AF762">
        <v>1.4354712143233099</v>
      </c>
      <c r="AG762">
        <v>-1.072634942501</v>
      </c>
      <c r="AH762">
        <v>30.908773174541601</v>
      </c>
      <c r="AI762">
        <v>91.985413968830102</v>
      </c>
      <c r="AJ762">
        <v>87.340968976436898</v>
      </c>
      <c r="AK762">
        <v>30.960674774337299</v>
      </c>
      <c r="AL762">
        <v>81.004760460666702</v>
      </c>
      <c r="AM762">
        <v>86.963956639186605</v>
      </c>
      <c r="AN762">
        <v>0.99999998905791598</v>
      </c>
    </row>
    <row r="763" spans="1:40" x14ac:dyDescent="0.25">
      <c r="A763" t="str">
        <f>"20190312172626616"</f>
        <v>20190312172626616</v>
      </c>
      <c r="B763" t="str">
        <f>"1552382786609815"</f>
        <v>1552382786609815</v>
      </c>
      <c r="C763" t="s">
        <v>40</v>
      </c>
      <c r="D763">
        <v>3.2292380000000001</v>
      </c>
      <c r="E763">
        <v>0.49803950000000002</v>
      </c>
      <c r="F763" t="s">
        <v>41</v>
      </c>
      <c r="G763">
        <v>-246.59270000000001</v>
      </c>
      <c r="H763" s="1">
        <v>-2.1671890000000001E-6</v>
      </c>
      <c r="I763">
        <v>366.36869999999999</v>
      </c>
      <c r="J763">
        <v>-277.91430000000003</v>
      </c>
      <c r="K763">
        <v>1.0739989999999999</v>
      </c>
      <c r="L763">
        <v>367.0145</v>
      </c>
      <c r="M763">
        <v>0.99962640000000003</v>
      </c>
      <c r="N763">
        <v>0</v>
      </c>
      <c r="O763">
        <v>2.7313460000000001E-2</v>
      </c>
      <c r="P763">
        <v>0.98754169999999997</v>
      </c>
      <c r="Q763">
        <v>0.15531829999999999</v>
      </c>
      <c r="R763">
        <v>-2.5253230000000002E-2</v>
      </c>
      <c r="S763">
        <v>3.0526430000000002</v>
      </c>
      <c r="T763">
        <v>-0.103906</v>
      </c>
      <c r="U763">
        <v>-6.2011719999999999E-2</v>
      </c>
      <c r="V763">
        <v>5.238168E-2</v>
      </c>
      <c r="W763">
        <v>0.1563341</v>
      </c>
      <c r="X763">
        <v>0.98631420000000003</v>
      </c>
      <c r="Y763">
        <v>4.7566829999999997E-2</v>
      </c>
      <c r="Z763">
        <v>-1.7385339999999999E-3</v>
      </c>
      <c r="AA763">
        <v>0.99886660000000005</v>
      </c>
      <c r="AB763">
        <v>30</v>
      </c>
      <c r="AC763">
        <v>31.3216</v>
      </c>
      <c r="AD763">
        <v>-1.074001167189</v>
      </c>
      <c r="AE763">
        <v>-0.64580000000000803</v>
      </c>
      <c r="AF763">
        <v>1.49929869658911</v>
      </c>
      <c r="AG763">
        <v>-1.074001167189</v>
      </c>
      <c r="AH763">
        <v>31.255541767514899</v>
      </c>
      <c r="AI763">
        <v>91.965761457405804</v>
      </c>
      <c r="AJ763">
        <v>87.2536809577947</v>
      </c>
      <c r="AK763">
        <v>31.309906839043599</v>
      </c>
      <c r="AL763">
        <v>81.005821638840999</v>
      </c>
      <c r="AM763">
        <v>86.959962388430995</v>
      </c>
      <c r="AN763">
        <v>0.99999994617203403</v>
      </c>
    </row>
    <row r="764" spans="1:40" x14ac:dyDescent="0.25">
      <c r="A764" t="str">
        <f>"20190312172626636"</f>
        <v>20190312172626636</v>
      </c>
      <c r="B764" t="str">
        <f>"1552382786629441"</f>
        <v>1552382786629441</v>
      </c>
      <c r="C764" t="s">
        <v>40</v>
      </c>
      <c r="D764">
        <v>3.1965059999999998</v>
      </c>
      <c r="E764">
        <v>0.4982549</v>
      </c>
      <c r="F764" t="s">
        <v>41</v>
      </c>
      <c r="G764">
        <v>-246.66200000000001</v>
      </c>
      <c r="H764" s="1">
        <v>-2.1304730000000001E-6</v>
      </c>
      <c r="I764">
        <v>366.3913</v>
      </c>
      <c r="J764">
        <v>-277.64609999999999</v>
      </c>
      <c r="K764">
        <v>1.076166</v>
      </c>
      <c r="L764">
        <v>367.02229999999997</v>
      </c>
      <c r="M764">
        <v>0.99959010000000004</v>
      </c>
      <c r="N764">
        <v>0</v>
      </c>
      <c r="O764">
        <v>2.861056E-2</v>
      </c>
      <c r="P764">
        <v>0.98768560000000005</v>
      </c>
      <c r="Q764">
        <v>0.1546256</v>
      </c>
      <c r="R764">
        <v>-2.3840199999999999E-2</v>
      </c>
      <c r="S764">
        <v>3.0527950000000001</v>
      </c>
      <c r="T764">
        <v>-0.1049109</v>
      </c>
      <c r="U764">
        <v>-6.0882569999999997E-2</v>
      </c>
      <c r="V764">
        <v>5.233496E-2</v>
      </c>
      <c r="W764">
        <v>0.15564639999999999</v>
      </c>
      <c r="X764">
        <v>0.98642549999999996</v>
      </c>
      <c r="Y764">
        <v>4.8490489999999997E-2</v>
      </c>
      <c r="Z764">
        <v>-1.8156699999999999E-3</v>
      </c>
      <c r="AA764">
        <v>0.99882199999999999</v>
      </c>
      <c r="AB764">
        <v>30</v>
      </c>
      <c r="AC764">
        <v>30.984099999999899</v>
      </c>
      <c r="AD764">
        <v>-1.076168130473</v>
      </c>
      <c r="AE764">
        <v>-0.63099999999997103</v>
      </c>
      <c r="AF764">
        <v>1.5153872472208201</v>
      </c>
      <c r="AG764">
        <v>-1.076168130473</v>
      </c>
      <c r="AH764">
        <v>30.916081941185499</v>
      </c>
      <c r="AI764">
        <v>91.991234109100205</v>
      </c>
      <c r="AJ764">
        <v>87.193827508912506</v>
      </c>
      <c r="AK764">
        <v>30.971901119372401</v>
      </c>
      <c r="AL764">
        <v>81.045712829111807</v>
      </c>
      <c r="AM764">
        <v>86.963010829435405</v>
      </c>
      <c r="AN764">
        <v>1.0000000084606999</v>
      </c>
    </row>
    <row r="765" spans="1:40" x14ac:dyDescent="0.25">
      <c r="A765" t="str">
        <f>"20190312172626658"</f>
        <v>20190312172626658</v>
      </c>
      <c r="B765" t="str">
        <f>"1552382786648951"</f>
        <v>1552382786648951</v>
      </c>
      <c r="C765" t="s">
        <v>40</v>
      </c>
      <c r="D765">
        <v>3.184104</v>
      </c>
      <c r="E765">
        <v>0.49844880000000003</v>
      </c>
      <c r="F765" t="s">
        <v>41</v>
      </c>
      <c r="G765">
        <v>-247.09819999999999</v>
      </c>
      <c r="H765" s="1">
        <v>-1.9455039999999999E-6</v>
      </c>
      <c r="I765">
        <v>366.4332</v>
      </c>
      <c r="J765">
        <v>-277.34379999999999</v>
      </c>
      <c r="K765">
        <v>1.0790059999999999</v>
      </c>
      <c r="L765">
        <v>367.03100000000001</v>
      </c>
      <c r="M765">
        <v>0.99955989999999995</v>
      </c>
      <c r="N765">
        <v>0</v>
      </c>
      <c r="O765">
        <v>2.9645729999999999E-2</v>
      </c>
      <c r="P765">
        <v>0.98781140000000001</v>
      </c>
      <c r="Q765">
        <v>0.1539925</v>
      </c>
      <c r="R765">
        <v>-2.269939E-2</v>
      </c>
      <c r="S765">
        <v>3.052826</v>
      </c>
      <c r="T765">
        <v>-0.1075475</v>
      </c>
      <c r="U765">
        <v>-5.8868410000000003E-2</v>
      </c>
      <c r="V765">
        <v>5.2211920000000002E-2</v>
      </c>
      <c r="W765">
        <v>0.15500810000000001</v>
      </c>
      <c r="X765">
        <v>0.98653250000000003</v>
      </c>
      <c r="Y765">
        <v>4.8862740000000002E-2</v>
      </c>
      <c r="Z765">
        <v>-1.9042670000000001E-3</v>
      </c>
      <c r="AA765">
        <v>0.99880369999999996</v>
      </c>
      <c r="AB765">
        <v>30</v>
      </c>
      <c r="AC765">
        <v>30.2456</v>
      </c>
      <c r="AD765">
        <v>-1.07900794550399</v>
      </c>
      <c r="AE765">
        <v>-0.59780000000000599</v>
      </c>
      <c r="AF765">
        <v>1.49229215548326</v>
      </c>
      <c r="AG765">
        <v>-1.07900794550399</v>
      </c>
      <c r="AH765">
        <v>30.176193729670199</v>
      </c>
      <c r="AI765">
        <v>92.045351154909895</v>
      </c>
      <c r="AJ765">
        <v>87.168879383201201</v>
      </c>
      <c r="AK765">
        <v>30.232331402562401</v>
      </c>
      <c r="AL765">
        <v>81.082733835041907</v>
      </c>
      <c r="AM765">
        <v>86.970465510235996</v>
      </c>
      <c r="AN765">
        <v>0.99999998460597295</v>
      </c>
    </row>
    <row r="766" spans="1:40" x14ac:dyDescent="0.25">
      <c r="A766" t="str">
        <f>"20190312172626682"</f>
        <v>20190312172626682</v>
      </c>
      <c r="B766" t="str">
        <f>"1552382786669447"</f>
        <v>1552382786669447</v>
      </c>
      <c r="C766" t="s">
        <v>40</v>
      </c>
      <c r="D766">
        <v>3.1610459999999998</v>
      </c>
      <c r="E766">
        <v>0.49857040000000002</v>
      </c>
      <c r="F766" t="s">
        <v>41</v>
      </c>
      <c r="G766">
        <v>-247.11449999999999</v>
      </c>
      <c r="H766" s="1">
        <v>-1.930863E-6</v>
      </c>
      <c r="I766">
        <v>366.46469999999999</v>
      </c>
      <c r="J766">
        <v>-277.03620000000001</v>
      </c>
      <c r="K766">
        <v>1.0821639999999999</v>
      </c>
      <c r="L766">
        <v>367.0401</v>
      </c>
      <c r="M766">
        <v>0.9995463</v>
      </c>
      <c r="N766">
        <v>0</v>
      </c>
      <c r="O766">
        <v>3.0088920000000002E-2</v>
      </c>
      <c r="P766">
        <v>0.98788339999999997</v>
      </c>
      <c r="Q766">
        <v>0.15361559999999999</v>
      </c>
      <c r="R766">
        <v>-2.2107559999999998E-2</v>
      </c>
      <c r="S766">
        <v>3.052673</v>
      </c>
      <c r="T766">
        <v>-0.1089627</v>
      </c>
      <c r="U766">
        <v>-5.7189940000000002E-2</v>
      </c>
      <c r="V766">
        <v>5.1988119999999999E-2</v>
      </c>
      <c r="W766">
        <v>0.1548399</v>
      </c>
      <c r="X766">
        <v>0.98657070000000002</v>
      </c>
      <c r="Y766">
        <v>4.8756090000000002E-2</v>
      </c>
      <c r="Z766">
        <v>-1.943319E-3</v>
      </c>
      <c r="AA766">
        <v>0.99880880000000005</v>
      </c>
      <c r="AB766">
        <v>30</v>
      </c>
      <c r="AC766">
        <v>29.921700000000001</v>
      </c>
      <c r="AD766">
        <v>-1.0821659308629901</v>
      </c>
      <c r="AE766">
        <v>-0.57540000000000102</v>
      </c>
      <c r="AF766">
        <v>1.47352525258616</v>
      </c>
      <c r="AG766">
        <v>-1.0821659308629901</v>
      </c>
      <c r="AH766">
        <v>29.851806626914399</v>
      </c>
      <c r="AI766">
        <v>92.073613214364499</v>
      </c>
      <c r="AJ766">
        <v>87.174097055413696</v>
      </c>
      <c r="AK766">
        <v>29.907736769314699</v>
      </c>
      <c r="AL766">
        <v>81.092488475767496</v>
      </c>
      <c r="AM766">
        <v>86.983543789497404</v>
      </c>
      <c r="AN766">
        <v>0.99999995267581598</v>
      </c>
    </row>
    <row r="767" spans="1:40" x14ac:dyDescent="0.25">
      <c r="A767" t="str">
        <f>"20190312172626703"</f>
        <v>20190312172626703</v>
      </c>
      <c r="B767" t="str">
        <f>"1552382786699702"</f>
        <v>1552382786699702</v>
      </c>
      <c r="C767" t="s">
        <v>40</v>
      </c>
      <c r="D767">
        <v>3.1353430000000002</v>
      </c>
      <c r="E767">
        <v>0.4987567</v>
      </c>
      <c r="F767" t="s">
        <v>41</v>
      </c>
      <c r="G767">
        <v>-246.64169999999999</v>
      </c>
      <c r="H767" s="1">
        <v>-2.1245850000000002E-6</v>
      </c>
      <c r="I767">
        <v>366.4785</v>
      </c>
      <c r="J767">
        <v>-276.73930000000001</v>
      </c>
      <c r="K767">
        <v>1.085248</v>
      </c>
      <c r="L767">
        <v>367.04910000000001</v>
      </c>
      <c r="M767">
        <v>0.99954209999999999</v>
      </c>
      <c r="N767">
        <v>0</v>
      </c>
      <c r="O767">
        <v>3.0215240000000001E-2</v>
      </c>
      <c r="P767">
        <v>0.98790909999999998</v>
      </c>
      <c r="Q767">
        <v>0.15340960000000001</v>
      </c>
      <c r="R767">
        <v>-2.2387710000000002E-2</v>
      </c>
      <c r="S767">
        <v>3.05246</v>
      </c>
      <c r="T767">
        <v>-0.1086799</v>
      </c>
      <c r="U767">
        <v>-5.6396479999999999E-2</v>
      </c>
      <c r="V767">
        <v>5.2312200000000003E-2</v>
      </c>
      <c r="W767">
        <v>0.15504809999999999</v>
      </c>
      <c r="X767">
        <v>0.98652090000000003</v>
      </c>
      <c r="Y767">
        <v>4.8624359999999998E-2</v>
      </c>
      <c r="Z767">
        <v>-1.94057E-3</v>
      </c>
      <c r="AA767">
        <v>0.99881520000000001</v>
      </c>
      <c r="AB767">
        <v>30</v>
      </c>
      <c r="AC767">
        <v>30.0976</v>
      </c>
      <c r="AD767">
        <v>-1.0852501245849999</v>
      </c>
      <c r="AE767">
        <v>-0.57060000000001299</v>
      </c>
      <c r="AF767">
        <v>1.4778261588716399</v>
      </c>
      <c r="AG767">
        <v>-1.0852501245849999</v>
      </c>
      <c r="AH767">
        <v>30.0275904553421</v>
      </c>
      <c r="AI767">
        <v>92.067369608188997</v>
      </c>
      <c r="AJ767">
        <v>87.182426722021006</v>
      </c>
      <c r="AK767">
        <v>30.0835158607252</v>
      </c>
      <c r="AL767">
        <v>81.080413940932502</v>
      </c>
      <c r="AM767">
        <v>86.964622128598705</v>
      </c>
      <c r="AN767">
        <v>0.99999998285962899</v>
      </c>
    </row>
    <row r="768" spans="1:40" x14ac:dyDescent="0.25">
      <c r="A768" t="str">
        <f>"20190312172626726"</f>
        <v>20190312172626726</v>
      </c>
      <c r="B768" t="str">
        <f>"1552382786719222"</f>
        <v>1552382786719222</v>
      </c>
      <c r="C768" t="s">
        <v>40</v>
      </c>
      <c r="D768">
        <v>3.1046130000000001</v>
      </c>
      <c r="E768">
        <v>0.49888569999999999</v>
      </c>
      <c r="F768" t="s">
        <v>41</v>
      </c>
      <c r="G768">
        <v>-245.79499999999999</v>
      </c>
      <c r="H768" s="1">
        <v>-2.52781E-6</v>
      </c>
      <c r="I768">
        <v>366.4615</v>
      </c>
      <c r="J768">
        <v>-276.43880000000001</v>
      </c>
      <c r="K768">
        <v>1.088217</v>
      </c>
      <c r="L768">
        <v>367.05840000000001</v>
      </c>
      <c r="M768">
        <v>0.99953720000000001</v>
      </c>
      <c r="N768">
        <v>0</v>
      </c>
      <c r="O768">
        <v>3.0339430000000001E-2</v>
      </c>
      <c r="P768">
        <v>0.98796919999999999</v>
      </c>
      <c r="Q768">
        <v>0.1529759</v>
      </c>
      <c r="R768">
        <v>-2.2691639999999999E-2</v>
      </c>
      <c r="S768">
        <v>3.0520939999999999</v>
      </c>
      <c r="T768">
        <v>-0.1070405</v>
      </c>
      <c r="U768">
        <v>-5.7952879999999998E-2</v>
      </c>
      <c r="V768">
        <v>5.2676979999999998E-2</v>
      </c>
      <c r="W768">
        <v>0.15515509999999999</v>
      </c>
      <c r="X768">
        <v>0.98648469999999999</v>
      </c>
      <c r="Y768">
        <v>4.9260859999999997E-2</v>
      </c>
      <c r="Z768">
        <v>-1.9270489999999999E-3</v>
      </c>
      <c r="AA768">
        <v>0.99878409999999995</v>
      </c>
      <c r="AB768">
        <v>30</v>
      </c>
      <c r="AC768">
        <v>30.643799999999999</v>
      </c>
      <c r="AD768">
        <v>-1.08821952781</v>
      </c>
      <c r="AE768">
        <v>-0.59690000000000498</v>
      </c>
      <c r="AF768">
        <v>1.52442121214233</v>
      </c>
      <c r="AG768">
        <v>-1.08821952781</v>
      </c>
      <c r="AH768">
        <v>30.5730426285925</v>
      </c>
      <c r="AI768">
        <v>92.036003100530905</v>
      </c>
      <c r="AJ768">
        <v>87.145504060699807</v>
      </c>
      <c r="AK768">
        <v>30.630361038395701</v>
      </c>
      <c r="AL768">
        <v>81.074208494686602</v>
      </c>
      <c r="AM768">
        <v>86.9433840771284</v>
      </c>
      <c r="AN768">
        <v>1.0000000163060101</v>
      </c>
    </row>
    <row r="769" spans="1:40" x14ac:dyDescent="0.25">
      <c r="A769" t="str">
        <f>"20190312172626747"</f>
        <v>20190312172626747</v>
      </c>
      <c r="B769" t="str">
        <f>"1552382786739721"</f>
        <v>1552382786739721</v>
      </c>
      <c r="C769" t="s">
        <v>40</v>
      </c>
      <c r="D769">
        <v>2.9925130000000002</v>
      </c>
      <c r="E769">
        <v>0.49896089999999998</v>
      </c>
      <c r="F769" t="s">
        <v>41</v>
      </c>
      <c r="G769">
        <v>-245.35839999999999</v>
      </c>
      <c r="H769" s="1">
        <v>-2.7353549999999999E-6</v>
      </c>
      <c r="I769">
        <v>366.45510000000002</v>
      </c>
      <c r="J769">
        <v>-276.13760000000002</v>
      </c>
      <c r="K769">
        <v>1.090951</v>
      </c>
      <c r="L769">
        <v>367.06799999999998</v>
      </c>
      <c r="M769">
        <v>0.99952799999999997</v>
      </c>
      <c r="N769">
        <v>0</v>
      </c>
      <c r="O769">
        <v>3.0596370000000001E-2</v>
      </c>
      <c r="P769">
        <v>0.98812599999999995</v>
      </c>
      <c r="Q769">
        <v>0.15195</v>
      </c>
      <c r="R769">
        <v>-2.2765400000000002E-2</v>
      </c>
      <c r="S769">
        <v>3.0516969999999999</v>
      </c>
      <c r="T769">
        <v>-0.106849</v>
      </c>
      <c r="U769">
        <v>-5.9234620000000002E-2</v>
      </c>
      <c r="V769">
        <v>5.2974590000000002E-2</v>
      </c>
      <c r="W769">
        <v>0.15472359999999999</v>
      </c>
      <c r="X769">
        <v>0.98653650000000004</v>
      </c>
      <c r="Y769">
        <v>4.9939039999999997E-2</v>
      </c>
      <c r="Z769">
        <v>-1.944706E-3</v>
      </c>
      <c r="AA769">
        <v>0.99875040000000004</v>
      </c>
      <c r="AB769">
        <v>30</v>
      </c>
      <c r="AC769">
        <v>30.779199999999999</v>
      </c>
      <c r="AD769">
        <v>-1.0909537353550001</v>
      </c>
      <c r="AE769">
        <v>-0.61290000000002398</v>
      </c>
      <c r="AF769">
        <v>1.55239891320719</v>
      </c>
      <c r="AG769">
        <v>-1.0909537353550001</v>
      </c>
      <c r="AH769">
        <v>30.707474220494799</v>
      </c>
      <c r="AI769">
        <v>92.032115780760293</v>
      </c>
      <c r="AJ769">
        <v>87.105908265940599</v>
      </c>
      <c r="AK769">
        <v>30.766038019881002</v>
      </c>
      <c r="AL769">
        <v>81.099233528212594</v>
      </c>
      <c r="AM769">
        <v>86.9263091768686</v>
      </c>
      <c r="AN769">
        <v>0.99999998270743795</v>
      </c>
    </row>
    <row r="770" spans="1:40" x14ac:dyDescent="0.25">
      <c r="A770" t="str">
        <f>"20190312172626769"</f>
        <v>20190312172626769</v>
      </c>
      <c r="B770" t="str">
        <f>"1552382786759238"</f>
        <v>1552382786759238</v>
      </c>
      <c r="C770" t="s">
        <v>40</v>
      </c>
      <c r="D770">
        <v>3.0488680000000001</v>
      </c>
      <c r="E770">
        <v>0.4990655</v>
      </c>
      <c r="F770" t="s">
        <v>41</v>
      </c>
      <c r="G770">
        <v>-245.8546</v>
      </c>
      <c r="H770" s="1">
        <v>-2.4985860000000001E-6</v>
      </c>
      <c r="I770">
        <v>366.4674</v>
      </c>
      <c r="J770">
        <v>-275.83499999999998</v>
      </c>
      <c r="K770">
        <v>1.0934170000000001</v>
      </c>
      <c r="L770">
        <v>367.07760000000002</v>
      </c>
      <c r="M770">
        <v>0.99951420000000002</v>
      </c>
      <c r="N770">
        <v>0</v>
      </c>
      <c r="O770">
        <v>3.0977149999999998E-2</v>
      </c>
      <c r="P770">
        <v>0.98823950000000005</v>
      </c>
      <c r="Q770">
        <v>0.1512955</v>
      </c>
      <c r="R770">
        <v>-2.2188380000000001E-2</v>
      </c>
      <c r="S770">
        <v>3.0515750000000001</v>
      </c>
      <c r="T770">
        <v>-0.1099339</v>
      </c>
      <c r="U770">
        <v>-6.0516359999999998E-2</v>
      </c>
      <c r="V770">
        <v>5.2762770000000001E-2</v>
      </c>
      <c r="W770">
        <v>0.15468309999999999</v>
      </c>
      <c r="X770">
        <v>0.98655420000000005</v>
      </c>
      <c r="Y770">
        <v>5.0736040000000003E-2</v>
      </c>
      <c r="Z770">
        <v>-2.0289520000000001E-3</v>
      </c>
      <c r="AA770">
        <v>0.99870999999999999</v>
      </c>
      <c r="AB770">
        <v>30</v>
      </c>
      <c r="AC770">
        <v>29.9803999999999</v>
      </c>
      <c r="AD770">
        <v>-1.093419498586</v>
      </c>
      <c r="AE770">
        <v>-0.61020000000001995</v>
      </c>
      <c r="AF770">
        <v>1.5365769524777699</v>
      </c>
      <c r="AG770">
        <v>-1.093419498586</v>
      </c>
      <c r="AH770">
        <v>29.907345042324099</v>
      </c>
      <c r="AI770">
        <v>92.091058871648301</v>
      </c>
      <c r="AJ770">
        <v>87.058848551707399</v>
      </c>
      <c r="AK770">
        <v>29.966746944094499</v>
      </c>
      <c r="AL770">
        <v>81.101582263647899</v>
      </c>
      <c r="AM770">
        <v>86.938630789232306</v>
      </c>
      <c r="AN770">
        <v>0.99999998043066096</v>
      </c>
    </row>
    <row r="771" spans="1:40" x14ac:dyDescent="0.25">
      <c r="A771" t="str">
        <f>"20190312172626784"</f>
        <v>20190312172626784</v>
      </c>
      <c r="B771" t="str">
        <f>"1552382786779736"</f>
        <v>1552382786779736</v>
      </c>
      <c r="C771" t="s">
        <v>40</v>
      </c>
      <c r="D771">
        <v>2.849072</v>
      </c>
      <c r="E771">
        <v>0.4998184</v>
      </c>
      <c r="F771" t="s">
        <v>41</v>
      </c>
      <c r="G771">
        <v>-245.7423</v>
      </c>
      <c r="H771" s="1">
        <v>-2.5475550000000002E-6</v>
      </c>
      <c r="I771">
        <v>366.4907</v>
      </c>
      <c r="J771">
        <v>-275.6336</v>
      </c>
      <c r="K771">
        <v>1.094922</v>
      </c>
      <c r="L771">
        <v>367.08409999999998</v>
      </c>
      <c r="M771">
        <v>0.99950399999999995</v>
      </c>
      <c r="N771">
        <v>0</v>
      </c>
      <c r="O771">
        <v>3.1258899999999999E-2</v>
      </c>
      <c r="P771">
        <v>0.98832600000000004</v>
      </c>
      <c r="Q771">
        <v>0.1507598</v>
      </c>
      <c r="R771">
        <v>-2.1987639999999999E-2</v>
      </c>
      <c r="S771">
        <v>3.0513309999999998</v>
      </c>
      <c r="T771">
        <v>-0.1108702</v>
      </c>
      <c r="U771">
        <v>-5.9509279999999998E-2</v>
      </c>
      <c r="V771">
        <v>5.2837219999999997E-2</v>
      </c>
      <c r="W771">
        <v>0.15455250000000001</v>
      </c>
      <c r="X771">
        <v>0.98657070000000002</v>
      </c>
      <c r="Y771">
        <v>5.0688629999999998E-2</v>
      </c>
      <c r="Z771">
        <v>-2.0557629999999999E-3</v>
      </c>
      <c r="AA771">
        <v>0.99871239999999994</v>
      </c>
      <c r="AB771">
        <v>31</v>
      </c>
      <c r="AC771">
        <v>29.891300000000001</v>
      </c>
      <c r="AD771">
        <v>-1.094924547555</v>
      </c>
      <c r="AE771">
        <v>-0.59339999999997395</v>
      </c>
      <c r="AF771">
        <v>1.52544002206778</v>
      </c>
      <c r="AG771">
        <v>-1.094924547555</v>
      </c>
      <c r="AH771">
        <v>29.818149971721098</v>
      </c>
      <c r="AI771">
        <v>92.100216144419804</v>
      </c>
      <c r="AJ771">
        <v>87.071409618236402</v>
      </c>
      <c r="AK771">
        <v>29.877213637851401</v>
      </c>
      <c r="AL771">
        <v>81.109156318523503</v>
      </c>
      <c r="AM771">
        <v>86.934370505395094</v>
      </c>
      <c r="AN771">
        <v>0.999999996586034</v>
      </c>
    </row>
    <row r="772" spans="1:40" x14ac:dyDescent="0.25">
      <c r="A772" t="str">
        <f>"20190312172626804"</f>
        <v>20190312172626804</v>
      </c>
      <c r="B772" t="str">
        <f>"1552382786799255"</f>
        <v>1552382786799255</v>
      </c>
      <c r="C772" t="s">
        <v>40</v>
      </c>
      <c r="D772">
        <v>2.917977</v>
      </c>
      <c r="E772">
        <v>0.50022239999999996</v>
      </c>
      <c r="F772" t="s">
        <v>41</v>
      </c>
      <c r="G772">
        <v>-244.42160000000001</v>
      </c>
      <c r="H772" s="1">
        <v>-3.1839289999999999E-6</v>
      </c>
      <c r="I772">
        <v>366.42270000000002</v>
      </c>
      <c r="J772">
        <v>-275.37520000000001</v>
      </c>
      <c r="K772">
        <v>1.096708</v>
      </c>
      <c r="L772">
        <v>367.09249999999997</v>
      </c>
      <c r="M772">
        <v>0.99949060000000001</v>
      </c>
      <c r="N772">
        <v>0</v>
      </c>
      <c r="O772">
        <v>3.162123E-2</v>
      </c>
      <c r="P772">
        <v>0.98834330000000004</v>
      </c>
      <c r="Q772">
        <v>0.15066779999999999</v>
      </c>
      <c r="R772">
        <v>-2.1844990000000002E-2</v>
      </c>
      <c r="S772">
        <v>3.0503230000000001</v>
      </c>
      <c r="T772">
        <v>-0.10700610000000001</v>
      </c>
      <c r="U772">
        <v>-6.4636230000000003E-2</v>
      </c>
      <c r="V772">
        <v>5.304445E-2</v>
      </c>
      <c r="W772">
        <v>0.15496570000000001</v>
      </c>
      <c r="X772">
        <v>0.98649480000000001</v>
      </c>
      <c r="Y772">
        <v>5.2737159999999998E-2</v>
      </c>
      <c r="Z772">
        <v>-2.0334070000000001E-3</v>
      </c>
      <c r="AA772">
        <v>0.99860640000000001</v>
      </c>
      <c r="AB772">
        <v>31</v>
      </c>
      <c r="AC772">
        <v>30.953599999999899</v>
      </c>
      <c r="AD772">
        <v>-1.096711183929</v>
      </c>
      <c r="AE772">
        <v>-0.66979999999995199</v>
      </c>
      <c r="AF772">
        <v>1.64619949242206</v>
      </c>
      <c r="AG772">
        <v>-1.096711183929</v>
      </c>
      <c r="AH772">
        <v>30.878195889520001</v>
      </c>
      <c r="AI772">
        <v>92.031256068196996</v>
      </c>
      <c r="AJ772">
        <v>86.948297264305197</v>
      </c>
      <c r="AK772">
        <v>30.941488806800798</v>
      </c>
      <c r="AL772">
        <v>81.085193353217605</v>
      </c>
      <c r="AM772">
        <v>86.9221337003153</v>
      </c>
      <c r="AN772">
        <v>1.0000000361396599</v>
      </c>
    </row>
    <row r="773" spans="1:40" x14ac:dyDescent="0.25">
      <c r="A773" t="str">
        <f>"20190312172626818"</f>
        <v>20190312172626818</v>
      </c>
      <c r="B773" t="str">
        <f>"1552382786809015"</f>
        <v>1552382786809015</v>
      </c>
      <c r="C773" t="s">
        <v>40</v>
      </c>
      <c r="D773">
        <v>2.9495330000000002</v>
      </c>
      <c r="E773">
        <v>0.50041990000000003</v>
      </c>
      <c r="F773" t="s">
        <v>41</v>
      </c>
      <c r="G773">
        <v>-244.51169999999999</v>
      </c>
      <c r="H773" s="1">
        <v>-3.1436740000000002E-6</v>
      </c>
      <c r="I773">
        <v>366.40949999999998</v>
      </c>
      <c r="J773">
        <v>-275.16980000000001</v>
      </c>
      <c r="K773">
        <v>1.0980000000000001</v>
      </c>
      <c r="L773">
        <v>367.09910000000002</v>
      </c>
      <c r="M773">
        <v>0.99947989999999998</v>
      </c>
      <c r="N773">
        <v>0</v>
      </c>
      <c r="O773">
        <v>3.1900150000000002E-2</v>
      </c>
      <c r="P773">
        <v>0.98833979999999999</v>
      </c>
      <c r="Q773">
        <v>0.15073549999999999</v>
      </c>
      <c r="R773">
        <v>-2.1526480000000001E-2</v>
      </c>
      <c r="S773">
        <v>3.0504150000000001</v>
      </c>
      <c r="T773">
        <v>-0.1083943</v>
      </c>
      <c r="U773">
        <v>-6.7504880000000003E-2</v>
      </c>
      <c r="V773">
        <v>5.299355E-2</v>
      </c>
      <c r="W773">
        <v>0.15541650000000001</v>
      </c>
      <c r="X773">
        <v>0.98642660000000004</v>
      </c>
      <c r="Y773">
        <v>5.3951590000000001E-2</v>
      </c>
      <c r="Z773">
        <v>-2.0911660000000002E-3</v>
      </c>
      <c r="AA773">
        <v>0.99854140000000002</v>
      </c>
      <c r="AB773">
        <v>31</v>
      </c>
      <c r="AC773">
        <v>30.658100000000001</v>
      </c>
      <c r="AD773">
        <v>-1.0980031436740001</v>
      </c>
      <c r="AE773">
        <v>-0.68960000000004096</v>
      </c>
      <c r="AF773">
        <v>1.66512319391078</v>
      </c>
      <c r="AG773">
        <v>-1.0980031436740001</v>
      </c>
      <c r="AH773">
        <v>30.581291922909099</v>
      </c>
      <c r="AI773">
        <v>92.053248896136793</v>
      </c>
      <c r="AJ773">
        <v>86.883375072332797</v>
      </c>
      <c r="AK773">
        <v>30.646266686639098</v>
      </c>
      <c r="AL773">
        <v>81.059047510932004</v>
      </c>
      <c r="AM773">
        <v>86.924869278941699</v>
      </c>
      <c r="AN773">
        <v>1.0000000210007001</v>
      </c>
    </row>
    <row r="774" spans="1:40" x14ac:dyDescent="0.25">
      <c r="A774" t="str">
        <f>"20190312172626837"</f>
        <v>20190312172626837</v>
      </c>
      <c r="B774" t="str">
        <f>"1552382786829511"</f>
        <v>1552382786829511</v>
      </c>
      <c r="C774" t="s">
        <v>40</v>
      </c>
      <c r="D774">
        <v>3.0053390000000002</v>
      </c>
      <c r="E774">
        <v>0.50063979999999997</v>
      </c>
      <c r="F774" t="s">
        <v>41</v>
      </c>
      <c r="G774">
        <v>-245.44560000000001</v>
      </c>
      <c r="H774" s="1">
        <v>-2.6971699999999998E-6</v>
      </c>
      <c r="I774">
        <v>366.43790000000001</v>
      </c>
      <c r="J774">
        <v>-274.91079999999999</v>
      </c>
      <c r="K774">
        <v>1.099491</v>
      </c>
      <c r="L774">
        <v>367.10770000000002</v>
      </c>
      <c r="M774">
        <v>0.99946679999999999</v>
      </c>
      <c r="N774">
        <v>0</v>
      </c>
      <c r="O774">
        <v>3.2239259999999999E-2</v>
      </c>
      <c r="P774">
        <v>0.98844889999999996</v>
      </c>
      <c r="Q774">
        <v>0.15001729999999899</v>
      </c>
      <c r="R774">
        <v>-2.153981E-2</v>
      </c>
      <c r="S774">
        <v>3.0511170000000001</v>
      </c>
      <c r="T774">
        <v>-0.1127074</v>
      </c>
      <c r="U774">
        <v>-6.7871089999999995E-2</v>
      </c>
      <c r="V774">
        <v>5.3334279999999998E-2</v>
      </c>
      <c r="W774">
        <v>0.15515880000000001</v>
      </c>
      <c r="X774">
        <v>0.98644880000000001</v>
      </c>
      <c r="Y774">
        <v>5.4400259999999999E-2</v>
      </c>
      <c r="Z774">
        <v>-2.1946219999999998E-3</v>
      </c>
      <c r="AA774">
        <v>0.99851679999999998</v>
      </c>
      <c r="AB774">
        <v>31</v>
      </c>
      <c r="AC774">
        <v>29.4651999999999</v>
      </c>
      <c r="AD774">
        <v>-1.09949369717</v>
      </c>
      <c r="AE774">
        <v>-0.66980000000000905</v>
      </c>
      <c r="AF774">
        <v>1.61715019173102</v>
      </c>
      <c r="AG774">
        <v>-1.09949369717</v>
      </c>
      <c r="AH774">
        <v>29.387390721044401</v>
      </c>
      <c r="AI774">
        <v>92.1394191546798</v>
      </c>
      <c r="AJ774">
        <v>86.850263921462897</v>
      </c>
      <c r="AK774">
        <v>29.452381814109</v>
      </c>
      <c r="AL774">
        <v>81.073993906271397</v>
      </c>
      <c r="AM774">
        <v>86.905205092041797</v>
      </c>
      <c r="AN774">
        <v>1.0000000168309899</v>
      </c>
    </row>
    <row r="775" spans="1:40" x14ac:dyDescent="0.25">
      <c r="A775" t="str">
        <f>"20190312172626850"</f>
        <v>20190312172626850</v>
      </c>
      <c r="B775" t="str">
        <f>"1552382786839271"</f>
        <v>1552382786839271</v>
      </c>
      <c r="C775" t="s">
        <v>40</v>
      </c>
      <c r="D775">
        <v>3.007628</v>
      </c>
      <c r="E775">
        <v>0.50075239999999999</v>
      </c>
      <c r="F775" t="s">
        <v>41</v>
      </c>
      <c r="G775">
        <v>-246.7595</v>
      </c>
      <c r="H775" s="1">
        <v>-2.0715E-6</v>
      </c>
      <c r="I775">
        <v>366.46379999999999</v>
      </c>
      <c r="J775">
        <v>-274.71899999999999</v>
      </c>
      <c r="K775">
        <v>1.1005039999999999</v>
      </c>
      <c r="L775">
        <v>367.11410000000001</v>
      </c>
      <c r="M775">
        <v>0.99945709999999999</v>
      </c>
      <c r="N775">
        <v>0</v>
      </c>
      <c r="O775">
        <v>3.2483480000000002E-2</v>
      </c>
      <c r="P775">
        <v>0.98856120000000003</v>
      </c>
      <c r="Q775">
        <v>0.14930669999999999</v>
      </c>
      <c r="R775">
        <v>-2.1313479999999999E-2</v>
      </c>
      <c r="S775">
        <v>3.051666</v>
      </c>
      <c r="T775">
        <v>-0.11918769999999999</v>
      </c>
      <c r="U775">
        <v>-6.97937E-2</v>
      </c>
      <c r="V775">
        <v>5.3344750000000003E-2</v>
      </c>
      <c r="W775">
        <v>0.1547721</v>
      </c>
      <c r="X775">
        <v>0.98650899999999997</v>
      </c>
      <c r="Y775">
        <v>5.526126E-2</v>
      </c>
      <c r="Z775">
        <v>-2.346622E-3</v>
      </c>
      <c r="AA775">
        <v>0.99846919999999995</v>
      </c>
      <c r="AB775">
        <v>31</v>
      </c>
      <c r="AC775">
        <v>27.959499999999899</v>
      </c>
      <c r="AD775">
        <v>-1.1005060714999999</v>
      </c>
      <c r="AE775">
        <v>-0.65030000000001498</v>
      </c>
      <c r="AF775">
        <v>1.5557834207246599</v>
      </c>
      <c r="AG775">
        <v>-1.1005060714999999</v>
      </c>
      <c r="AH775">
        <v>27.8804493406654</v>
      </c>
      <c r="AI775">
        <v>92.256916491004006</v>
      </c>
      <c r="AJ775">
        <v>86.806096188413093</v>
      </c>
      <c r="AK775">
        <v>27.945501088780201</v>
      </c>
      <c r="AL775">
        <v>81.096421280757596</v>
      </c>
      <c r="AM775">
        <v>86.904787261431096</v>
      </c>
      <c r="AN775">
        <v>1.00000003618598</v>
      </c>
    </row>
    <row r="776" spans="1:40" x14ac:dyDescent="0.25">
      <c r="A776" t="str">
        <f>"20190312172626864"</f>
        <v>20190312172626864</v>
      </c>
      <c r="B776" t="str">
        <f>"1552382786859767"</f>
        <v>1552382786859767</v>
      </c>
      <c r="C776" t="s">
        <v>40</v>
      </c>
      <c r="D776">
        <v>2.9765109999999999</v>
      </c>
      <c r="E776">
        <v>0.50099700000000003</v>
      </c>
      <c r="F776" t="s">
        <v>41</v>
      </c>
      <c r="G776">
        <v>-247.001</v>
      </c>
      <c r="H776" s="1">
        <v>-1.970783E-6</v>
      </c>
      <c r="I776">
        <v>366.4785</v>
      </c>
      <c r="J776">
        <v>-274.53320000000002</v>
      </c>
      <c r="K776">
        <v>1.1013930000000001</v>
      </c>
      <c r="L776">
        <v>367.12029999999999</v>
      </c>
      <c r="M776">
        <v>0.99944789999999994</v>
      </c>
      <c r="N776">
        <v>0</v>
      </c>
      <c r="O776">
        <v>3.271611E-2</v>
      </c>
      <c r="P776">
        <v>0.98861679999999996</v>
      </c>
      <c r="Q776">
        <v>0.1490071</v>
      </c>
      <c r="R776">
        <v>-2.0834450000000001E-2</v>
      </c>
      <c r="S776">
        <v>3.0515140000000001</v>
      </c>
      <c r="T776">
        <v>-0.1211565</v>
      </c>
      <c r="U776">
        <v>-6.997681E-2</v>
      </c>
      <c r="V776">
        <v>5.3089699999999997E-2</v>
      </c>
      <c r="W776">
        <v>0.1547665</v>
      </c>
      <c r="X776">
        <v>0.98652359999999994</v>
      </c>
      <c r="Y776">
        <v>5.5552070000000002E-2</v>
      </c>
      <c r="Z776">
        <v>-2.4004719999999998E-3</v>
      </c>
      <c r="AA776">
        <v>0.99845289999999998</v>
      </c>
      <c r="AB776">
        <v>31</v>
      </c>
      <c r="AC776">
        <v>27.5322</v>
      </c>
      <c r="AD776">
        <v>-1.101394970783</v>
      </c>
      <c r="AE776">
        <v>-0.64179999999998905</v>
      </c>
      <c r="AF776">
        <v>1.53975526911842</v>
      </c>
      <c r="AG776">
        <v>-1.101394970783</v>
      </c>
      <c r="AH776">
        <v>27.452554787268198</v>
      </c>
      <c r="AI776">
        <v>92.293869946875105</v>
      </c>
      <c r="AJ776">
        <v>86.7897653668998</v>
      </c>
      <c r="AK776">
        <v>27.5177521160143</v>
      </c>
      <c r="AL776">
        <v>81.096745721660696</v>
      </c>
      <c r="AM776">
        <v>86.919602912858593</v>
      </c>
      <c r="AN776">
        <v>0.99999999956264995</v>
      </c>
    </row>
    <row r="777" spans="1:40" x14ac:dyDescent="0.25">
      <c r="A777" t="str">
        <f>"20190312172626883"</f>
        <v>20190312172626883</v>
      </c>
      <c r="B777" t="str">
        <f>"1552382786879287"</f>
        <v>1552382786879287</v>
      </c>
      <c r="C777" t="s">
        <v>40</v>
      </c>
      <c r="D777">
        <v>3.013798</v>
      </c>
      <c r="E777">
        <v>0.50127920000000004</v>
      </c>
      <c r="F777" t="s">
        <v>41</v>
      </c>
      <c r="G777">
        <v>-246.57939999999999</v>
      </c>
      <c r="H777" s="1">
        <v>-2.154941E-6</v>
      </c>
      <c r="I777">
        <v>366.47329999999999</v>
      </c>
      <c r="J777">
        <v>-274.28710000000001</v>
      </c>
      <c r="K777">
        <v>1.1024529999999999</v>
      </c>
      <c r="L777">
        <v>367.12860000000001</v>
      </c>
      <c r="M777">
        <v>0.99943550000000003</v>
      </c>
      <c r="N777">
        <v>0</v>
      </c>
      <c r="O777">
        <v>3.3025590000000001E-2</v>
      </c>
      <c r="P777">
        <v>0.98866929999999997</v>
      </c>
      <c r="Q777">
        <v>0.14865680000000001</v>
      </c>
      <c r="R777">
        <v>-2.0834689999999999E-2</v>
      </c>
      <c r="S777">
        <v>3.0511780000000002</v>
      </c>
      <c r="T777">
        <v>-0.12021800000000001</v>
      </c>
      <c r="U777">
        <v>-7.0617680000000002E-2</v>
      </c>
      <c r="V777">
        <v>5.3388940000000003E-2</v>
      </c>
      <c r="W777">
        <v>0.1547801</v>
      </c>
      <c r="X777">
        <v>0.98650530000000003</v>
      </c>
      <c r="Y777">
        <v>5.6073860000000003E-2</v>
      </c>
      <c r="Z777">
        <v>-2.4046129999999999E-3</v>
      </c>
      <c r="AA777">
        <v>0.99842379999999997</v>
      </c>
      <c r="AB777">
        <v>31</v>
      </c>
      <c r="AC777">
        <v>27.707699999999999</v>
      </c>
      <c r="AD777">
        <v>-1.102455154941</v>
      </c>
      <c r="AE777">
        <v>-0.65530000000001098</v>
      </c>
      <c r="AF777">
        <v>1.56754278598555</v>
      </c>
      <c r="AG777">
        <v>-1.102455154941</v>
      </c>
      <c r="AH777">
        <v>27.627229491638701</v>
      </c>
      <c r="AI777">
        <v>92.281490489972896</v>
      </c>
      <c r="AJ777">
        <v>86.7525736862641</v>
      </c>
      <c r="AK777">
        <v>27.6936167218769</v>
      </c>
      <c r="AL777">
        <v>81.095956842639794</v>
      </c>
      <c r="AM777">
        <v>86.902216628914005</v>
      </c>
      <c r="AN777">
        <v>0.99999998259921097</v>
      </c>
    </row>
    <row r="778" spans="1:40" x14ac:dyDescent="0.25">
      <c r="A778" t="str">
        <f>"20190312172626905"</f>
        <v>20190312172626905</v>
      </c>
      <c r="B778" t="str">
        <f>"1552382786899783"</f>
        <v>1552382786899783</v>
      </c>
      <c r="C778" t="s">
        <v>40</v>
      </c>
      <c r="D778">
        <v>2.9850449999999999</v>
      </c>
      <c r="E778">
        <v>0.50137600000000004</v>
      </c>
      <c r="F778" t="s">
        <v>41</v>
      </c>
      <c r="G778">
        <v>-246.2012</v>
      </c>
      <c r="H778" s="1">
        <v>-2.3369E-6</v>
      </c>
      <c r="I778">
        <v>366.45549999999997</v>
      </c>
      <c r="J778">
        <v>-273.98070000000001</v>
      </c>
      <c r="K778">
        <v>1.103613</v>
      </c>
      <c r="L778">
        <v>367.13909999999998</v>
      </c>
      <c r="M778">
        <v>0.99941990000000003</v>
      </c>
      <c r="N778">
        <v>0</v>
      </c>
      <c r="O778">
        <v>3.3414550000000001E-2</v>
      </c>
      <c r="P778">
        <v>0.98874039999999996</v>
      </c>
      <c r="Q778">
        <v>0.14815130000000001</v>
      </c>
      <c r="R778">
        <v>-2.107465E-2</v>
      </c>
      <c r="S778">
        <v>3.0508730000000002</v>
      </c>
      <c r="T778">
        <v>-0.11975570000000001</v>
      </c>
      <c r="U778">
        <v>-7.3120119999999997E-2</v>
      </c>
      <c r="V778">
        <v>5.4006749999999999E-2</v>
      </c>
      <c r="W778">
        <v>0.1546901</v>
      </c>
      <c r="X778">
        <v>0.98648579999999997</v>
      </c>
      <c r="Y778">
        <v>5.7282569999999998E-2</v>
      </c>
      <c r="Z778">
        <v>-2.4345640000000002E-3</v>
      </c>
      <c r="AA778">
        <v>0.99835499999999999</v>
      </c>
      <c r="AB778">
        <v>31</v>
      </c>
      <c r="AC778">
        <v>27.779499999999999</v>
      </c>
      <c r="AD778">
        <v>-1.1036153368999999</v>
      </c>
      <c r="AE778">
        <v>-0.68360000000001198</v>
      </c>
      <c r="AF778">
        <v>1.6089400135232701</v>
      </c>
      <c r="AG778">
        <v>-1.1036153368999999</v>
      </c>
      <c r="AH778">
        <v>27.697455820773801</v>
      </c>
      <c r="AI778">
        <v>92.277928356955798</v>
      </c>
      <c r="AJ778">
        <v>86.675435055595898</v>
      </c>
      <c r="AK778">
        <v>27.766089276717999</v>
      </c>
      <c r="AL778">
        <v>81.101176436212398</v>
      </c>
      <c r="AM778">
        <v>86.8663786885284</v>
      </c>
      <c r="AN778">
        <v>0.99999999484260604</v>
      </c>
    </row>
    <row r="779" spans="1:40" x14ac:dyDescent="0.25">
      <c r="A779" t="str">
        <f>"20190312172626927"</f>
        <v>20190312172626927</v>
      </c>
      <c r="B779" t="str">
        <f>"1552382786919303"</f>
        <v>1552382786919303</v>
      </c>
      <c r="C779" t="s">
        <v>40</v>
      </c>
      <c r="D779">
        <v>3.0396100000000001</v>
      </c>
      <c r="E779">
        <v>0.50145600000000001</v>
      </c>
      <c r="F779" t="s">
        <v>41</v>
      </c>
      <c r="G779">
        <v>-246.10640000000001</v>
      </c>
      <c r="H779" s="1">
        <v>-2.3809349999999998E-6</v>
      </c>
      <c r="I779">
        <v>366.4599</v>
      </c>
      <c r="J779">
        <v>-273.68439999999998</v>
      </c>
      <c r="K779">
        <v>1.1045750000000001</v>
      </c>
      <c r="L779">
        <v>367.14940000000001</v>
      </c>
      <c r="M779">
        <v>0.99940459999999998</v>
      </c>
      <c r="N779">
        <v>0</v>
      </c>
      <c r="O779">
        <v>3.3796819999999998E-2</v>
      </c>
      <c r="P779">
        <v>0.98879379999999994</v>
      </c>
      <c r="Q779">
        <v>0.14777209999999999</v>
      </c>
      <c r="R779">
        <v>-2.1229930000000001E-2</v>
      </c>
      <c r="S779">
        <v>3.0507200000000001</v>
      </c>
      <c r="T779">
        <v>-0.1207855</v>
      </c>
      <c r="U779">
        <v>-7.4340820000000002E-2</v>
      </c>
      <c r="V779">
        <v>5.4535649999999998E-2</v>
      </c>
      <c r="W779">
        <v>0.1546737</v>
      </c>
      <c r="X779">
        <v>0.98645930000000004</v>
      </c>
      <c r="Y779">
        <v>5.8062809999999999E-2</v>
      </c>
      <c r="Z779">
        <v>-2.4861599999999998E-3</v>
      </c>
      <c r="AA779">
        <v>0.99830989999999997</v>
      </c>
      <c r="AB779">
        <v>31</v>
      </c>
      <c r="AC779">
        <v>27.5779999999999</v>
      </c>
      <c r="AD779">
        <v>-1.1045773809349999</v>
      </c>
      <c r="AE779">
        <v>-0.68950000000000899</v>
      </c>
      <c r="AF779">
        <v>1.6185823041421099</v>
      </c>
      <c r="AG779">
        <v>-1.1045773809349999</v>
      </c>
      <c r="AH779">
        <v>27.4948605911869</v>
      </c>
      <c r="AI779">
        <v>92.296589412967194</v>
      </c>
      <c r="AJ779">
        <v>86.630969311880506</v>
      </c>
      <c r="AK779">
        <v>27.564601553343</v>
      </c>
      <c r="AL779">
        <v>81.102127764923495</v>
      </c>
      <c r="AM779">
        <v>86.835667673237793</v>
      </c>
      <c r="AN779">
        <v>1.0000000205745501</v>
      </c>
    </row>
    <row r="780" spans="1:40" x14ac:dyDescent="0.25">
      <c r="A780" t="str">
        <f>"20190312172626949"</f>
        <v>20190312172626949</v>
      </c>
      <c r="B780" t="str">
        <f>"1552382786939802"</f>
        <v>1552382786939802</v>
      </c>
      <c r="C780" t="s">
        <v>40</v>
      </c>
      <c r="D780">
        <v>3.0433050000000001</v>
      </c>
      <c r="E780">
        <v>0.50156179999999995</v>
      </c>
      <c r="F780" t="s">
        <v>41</v>
      </c>
      <c r="G780">
        <v>-245.82679999999999</v>
      </c>
      <c r="H780" s="1">
        <v>-2.5126619999999999E-6</v>
      </c>
      <c r="I780">
        <v>366.46210000000002</v>
      </c>
      <c r="J780">
        <v>-273.37490000000003</v>
      </c>
      <c r="K780">
        <v>1.1054280000000001</v>
      </c>
      <c r="L780">
        <v>367.16030000000001</v>
      </c>
      <c r="M780">
        <v>0.99938850000000001</v>
      </c>
      <c r="N780">
        <v>0</v>
      </c>
      <c r="O780">
        <v>3.4198270000000003E-2</v>
      </c>
      <c r="P780">
        <v>0.98886739999999995</v>
      </c>
      <c r="Q780">
        <v>0.1471944</v>
      </c>
      <c r="R780">
        <v>-2.180182E-2</v>
      </c>
      <c r="S780">
        <v>3.0504760000000002</v>
      </c>
      <c r="T780">
        <v>-0.1209544</v>
      </c>
      <c r="U780">
        <v>-7.525635E-2</v>
      </c>
      <c r="V780">
        <v>5.5502500000000003E-2</v>
      </c>
      <c r="W780">
        <v>0.15443479999999901</v>
      </c>
      <c r="X780">
        <v>0.98644279999999995</v>
      </c>
      <c r="Y780">
        <v>5.8764190000000001E-2</v>
      </c>
      <c r="Z780">
        <v>-2.519631E-3</v>
      </c>
      <c r="AA780">
        <v>0.99826870000000001</v>
      </c>
      <c r="AB780">
        <v>31</v>
      </c>
      <c r="AC780">
        <v>27.548100000000002</v>
      </c>
      <c r="AD780">
        <v>-1.1054305126620001</v>
      </c>
      <c r="AE780">
        <v>-0.69819999999998505</v>
      </c>
      <c r="AF780">
        <v>1.6372793030230399</v>
      </c>
      <c r="AG780">
        <v>-1.1054305126620001</v>
      </c>
      <c r="AH780">
        <v>27.463913533101501</v>
      </c>
      <c r="AI780">
        <v>92.300847003184302</v>
      </c>
      <c r="AJ780">
        <v>86.588312268230894</v>
      </c>
      <c r="AK780">
        <v>27.534872556235101</v>
      </c>
      <c r="AL780">
        <v>81.115982158897097</v>
      </c>
      <c r="AM780">
        <v>86.779631247752704</v>
      </c>
      <c r="AN780">
        <v>1.0000000163145599</v>
      </c>
    </row>
    <row r="781" spans="1:40" x14ac:dyDescent="0.25">
      <c r="A781" t="str">
        <f>"20190312172626971"</f>
        <v>20190312172626971</v>
      </c>
      <c r="B781" t="str">
        <f>"1552382786959319"</f>
        <v>1552382786959319</v>
      </c>
      <c r="C781" t="s">
        <v>40</v>
      </c>
      <c r="D781">
        <v>3.0518200000000002</v>
      </c>
      <c r="E781">
        <v>0.50165530000000003</v>
      </c>
      <c r="F781" t="s">
        <v>41</v>
      </c>
      <c r="G781">
        <v>-245.70830000000001</v>
      </c>
      <c r="H781" s="1">
        <v>-2.5712449999999998E-6</v>
      </c>
      <c r="I781">
        <v>366.44779999999997</v>
      </c>
      <c r="J781">
        <v>-273.06810000000002</v>
      </c>
      <c r="K781">
        <v>1.106136</v>
      </c>
      <c r="L781">
        <v>367.1712</v>
      </c>
      <c r="M781">
        <v>0.99937260000000006</v>
      </c>
      <c r="N781">
        <v>0</v>
      </c>
      <c r="O781">
        <v>3.4591829999999997E-2</v>
      </c>
      <c r="P781">
        <v>0.98892449999999998</v>
      </c>
      <c r="Q781">
        <v>0.14671799999999999</v>
      </c>
      <c r="R781">
        <v>-2.2417650000000001E-2</v>
      </c>
      <c r="S781">
        <v>3.0501710000000002</v>
      </c>
      <c r="T781">
        <v>-0.12187099999999999</v>
      </c>
      <c r="U781">
        <v>-7.8552250000000004E-2</v>
      </c>
      <c r="V781">
        <v>5.6506790000000001E-2</v>
      </c>
      <c r="W781">
        <v>0.1542567</v>
      </c>
      <c r="X781">
        <v>0.98641369999999895</v>
      </c>
      <c r="Y781">
        <v>6.0235200000000003E-2</v>
      </c>
      <c r="Z781">
        <v>-2.5840239999999999E-3</v>
      </c>
      <c r="AA781">
        <v>0.99818090000000004</v>
      </c>
      <c r="AB781">
        <v>31</v>
      </c>
      <c r="AC781">
        <v>27.3598</v>
      </c>
      <c r="AD781">
        <v>-1.106138571245</v>
      </c>
      <c r="AE781">
        <v>-0.72340000000002602</v>
      </c>
      <c r="AF781">
        <v>1.66669757978685</v>
      </c>
      <c r="AG781">
        <v>-1.106138571245</v>
      </c>
      <c r="AH781">
        <v>27.2738515841333</v>
      </c>
      <c r="AI781">
        <v>92.318137699927405</v>
      </c>
      <c r="AJ781">
        <v>86.503019363046306</v>
      </c>
      <c r="AK781">
        <v>27.3471096021973</v>
      </c>
      <c r="AL781">
        <v>81.126310755252703</v>
      </c>
      <c r="AM781">
        <v>86.7213897626864</v>
      </c>
      <c r="AN781">
        <v>1.0000000671793301</v>
      </c>
    </row>
    <row r="782" spans="1:40" x14ac:dyDescent="0.25">
      <c r="A782" t="str">
        <f>"20190312172627005"</f>
        <v>20190312172627005</v>
      </c>
      <c r="B782" t="str">
        <f>"1552382786999334"</f>
        <v>1552382786999334</v>
      </c>
      <c r="C782" t="s">
        <v>40</v>
      </c>
      <c r="D782">
        <v>3.0446270000000002</v>
      </c>
      <c r="E782">
        <v>0.50184629999999997</v>
      </c>
      <c r="F782" t="s">
        <v>41</v>
      </c>
      <c r="G782">
        <v>-245.55619999999999</v>
      </c>
      <c r="H782" s="1">
        <v>-2.6446749999999998E-6</v>
      </c>
      <c r="I782">
        <v>366.43920000000003</v>
      </c>
      <c r="J782">
        <v>-272.6001</v>
      </c>
      <c r="K782">
        <v>1.1070169999999999</v>
      </c>
      <c r="L782">
        <v>367.18799999999999</v>
      </c>
      <c r="M782">
        <v>0.99934909999999999</v>
      </c>
      <c r="N782">
        <v>0</v>
      </c>
      <c r="O782">
        <v>3.5179990000000001E-2</v>
      </c>
      <c r="P782">
        <v>0.98899970000000004</v>
      </c>
      <c r="Q782">
        <v>0.1462569</v>
      </c>
      <c r="R782">
        <v>-2.211488E-2</v>
      </c>
      <c r="S782">
        <v>3.0499269999999998</v>
      </c>
      <c r="T782">
        <v>-0.12262480000000001</v>
      </c>
      <c r="U782">
        <v>-8.1146239999999994E-2</v>
      </c>
      <c r="V782">
        <v>5.6787259999999999E-2</v>
      </c>
      <c r="W782">
        <v>0.154190299999999</v>
      </c>
      <c r="X782">
        <v>0.9864079</v>
      </c>
      <c r="Y782">
        <v>6.1670540000000003E-2</v>
      </c>
      <c r="Z782">
        <v>-2.6526470000000002E-3</v>
      </c>
      <c r="AA782">
        <v>0.99809300000000001</v>
      </c>
      <c r="AB782">
        <v>31</v>
      </c>
      <c r="AC782">
        <v>27.043900000000001</v>
      </c>
      <c r="AD782">
        <v>-1.107019644675</v>
      </c>
      <c r="AE782">
        <v>-0.74880000000001701</v>
      </c>
      <c r="AF782">
        <v>1.69692970604188</v>
      </c>
      <c r="AG782">
        <v>-1.107019644675</v>
      </c>
      <c r="AH782">
        <v>26.9556824274988</v>
      </c>
      <c r="AI782">
        <v>92.347068424022794</v>
      </c>
      <c r="AJ782">
        <v>86.397836431701904</v>
      </c>
      <c r="AK782">
        <v>27.031719850078201</v>
      </c>
      <c r="AL782">
        <v>81.130160602106898</v>
      </c>
      <c r="AM782">
        <v>86.705132898796705</v>
      </c>
      <c r="AN782">
        <v>0.99999999334740297</v>
      </c>
    </row>
    <row r="783" spans="1:40" x14ac:dyDescent="0.25">
      <c r="A783" t="str">
        <f>"20190312172627026"</f>
        <v>20190312172627026</v>
      </c>
      <c r="B783" t="str">
        <f>"1552382787018855"</f>
        <v>1552382787018855</v>
      </c>
      <c r="C783" t="s">
        <v>40</v>
      </c>
      <c r="D783">
        <v>3.032057</v>
      </c>
      <c r="E783">
        <v>0.50190809999999997</v>
      </c>
      <c r="F783" t="s">
        <v>41</v>
      </c>
      <c r="G783">
        <v>-245.02330000000001</v>
      </c>
      <c r="H783" s="1">
        <v>-2.8948359999999999E-6</v>
      </c>
      <c r="I783">
        <v>366.44900000000001</v>
      </c>
      <c r="J783">
        <v>-272.29590000000002</v>
      </c>
      <c r="K783">
        <v>1.107477</v>
      </c>
      <c r="L783">
        <v>367.19909999999999</v>
      </c>
      <c r="M783">
        <v>0.99933419999999895</v>
      </c>
      <c r="N783">
        <v>0</v>
      </c>
      <c r="O783">
        <v>3.554703E-2</v>
      </c>
      <c r="P783">
        <v>0.98903909999999995</v>
      </c>
      <c r="Q783">
        <v>0.14595350000000001</v>
      </c>
      <c r="R783">
        <v>-2.2348659999999999E-2</v>
      </c>
      <c r="S783">
        <v>3.0496829999999999</v>
      </c>
      <c r="T783">
        <v>-0.12242400000000001</v>
      </c>
      <c r="U783">
        <v>-8.1726069999999998E-2</v>
      </c>
      <c r="V783">
        <v>5.7386270000000003E-2</v>
      </c>
      <c r="W783">
        <v>0.15410929999999901</v>
      </c>
      <c r="X783">
        <v>0.98638590000000004</v>
      </c>
      <c r="Y783">
        <v>6.2228440000000003E-2</v>
      </c>
      <c r="Z783">
        <v>-2.6744310000000001E-3</v>
      </c>
      <c r="AA783">
        <v>0.99805840000000001</v>
      </c>
      <c r="AB783">
        <v>31</v>
      </c>
      <c r="AC783">
        <v>27.272600000000001</v>
      </c>
      <c r="AD783">
        <v>-1.1074798948360001</v>
      </c>
      <c r="AE783">
        <v>-0.75009999999997401</v>
      </c>
      <c r="AF783">
        <v>1.7162905806178901</v>
      </c>
      <c r="AG783">
        <v>-1.1074798948360001</v>
      </c>
      <c r="AH783">
        <v>27.183905783085901</v>
      </c>
      <c r="AI783">
        <v>92.328325027138604</v>
      </c>
      <c r="AJ783">
        <v>86.387352985849006</v>
      </c>
      <c r="AK783">
        <v>27.260537388288501</v>
      </c>
      <c r="AL783">
        <v>81.134857779974098</v>
      </c>
      <c r="AM783">
        <v>86.670381288505993</v>
      </c>
      <c r="AN783">
        <v>1.0000000020249</v>
      </c>
    </row>
    <row r="784" spans="1:40" x14ac:dyDescent="0.25">
      <c r="A784" t="str">
        <f>"20190312172627050"</f>
        <v>20190312172627050</v>
      </c>
      <c r="B784" t="str">
        <f>"1552382787039351"</f>
        <v>1552382787039351</v>
      </c>
      <c r="C784" t="s">
        <v>40</v>
      </c>
      <c r="D784">
        <v>3.025671</v>
      </c>
      <c r="E784">
        <v>0.50199399999999905</v>
      </c>
      <c r="F784" t="s">
        <v>41</v>
      </c>
      <c r="G784">
        <v>-244.7235</v>
      </c>
      <c r="H784" s="1">
        <v>-3.0360970000000002E-6</v>
      </c>
      <c r="I784">
        <v>366.45159999999998</v>
      </c>
      <c r="J784">
        <v>-271.98500000000001</v>
      </c>
      <c r="K784">
        <v>1.107853</v>
      </c>
      <c r="L784">
        <v>367.21039999999999</v>
      </c>
      <c r="M784">
        <v>0.99931999999999999</v>
      </c>
      <c r="N784">
        <v>0</v>
      </c>
      <c r="O784">
        <v>3.5897369999999998E-2</v>
      </c>
      <c r="P784">
        <v>0.98901930000000005</v>
      </c>
      <c r="Q784">
        <v>0.14611859999999999</v>
      </c>
      <c r="R784">
        <v>-2.2133719999999999E-2</v>
      </c>
      <c r="S784">
        <v>3.0494080000000001</v>
      </c>
      <c r="T784">
        <v>-0.12248339999999899</v>
      </c>
      <c r="U784">
        <v>-8.2672120000000002E-2</v>
      </c>
      <c r="V784">
        <v>5.7520700000000001E-2</v>
      </c>
      <c r="W784">
        <v>0.1544739</v>
      </c>
      <c r="X784">
        <v>0.986321</v>
      </c>
      <c r="Y784">
        <v>6.288929E-2</v>
      </c>
      <c r="Z784">
        <v>-2.7032860000000001E-3</v>
      </c>
      <c r="AA784">
        <v>0.99801680000000004</v>
      </c>
      <c r="AB784">
        <v>31</v>
      </c>
      <c r="AC784">
        <v>27.261500000000002</v>
      </c>
      <c r="AD784">
        <v>-1.107856036097</v>
      </c>
      <c r="AE784">
        <v>-0.75880000000000702</v>
      </c>
      <c r="AF784">
        <v>1.7341001847164199</v>
      </c>
      <c r="AG784">
        <v>-1.107856036097</v>
      </c>
      <c r="AH784">
        <v>27.171849935519202</v>
      </c>
      <c r="AI784">
        <v>92.330046632295506</v>
      </c>
      <c r="AJ784">
        <v>86.348350996631495</v>
      </c>
      <c r="AK784">
        <v>27.249658298146201</v>
      </c>
      <c r="AL784">
        <v>81.113714232243893</v>
      </c>
      <c r="AM784">
        <v>86.662380007502605</v>
      </c>
      <c r="AN784">
        <v>0.99999996587534901</v>
      </c>
    </row>
    <row r="785" spans="1:40" x14ac:dyDescent="0.25">
      <c r="A785" t="str">
        <f>"20190312172627071"</f>
        <v>20190312172627071</v>
      </c>
      <c r="B785" t="str">
        <f>"1552382787069607"</f>
        <v>1552382787069607</v>
      </c>
      <c r="C785" t="s">
        <v>40</v>
      </c>
      <c r="D785">
        <v>3.0415740000000002</v>
      </c>
      <c r="E785">
        <v>0.50212609999999902</v>
      </c>
      <c r="F785" t="s">
        <v>41</v>
      </c>
      <c r="G785">
        <v>-244.07679999999999</v>
      </c>
      <c r="H785" s="1">
        <v>-3.3413020000000001E-6</v>
      </c>
      <c r="I785">
        <v>366.45440000000002</v>
      </c>
      <c r="J785">
        <v>-271.67720000000003</v>
      </c>
      <c r="K785">
        <v>1.1081559999999999</v>
      </c>
      <c r="L785">
        <v>367.22190000000001</v>
      </c>
      <c r="M785">
        <v>0.99930719999999995</v>
      </c>
      <c r="N785">
        <v>0</v>
      </c>
      <c r="O785">
        <v>3.621398E-2</v>
      </c>
      <c r="P785">
        <v>0.98906329999999998</v>
      </c>
      <c r="Q785">
        <v>0.14582729999999999</v>
      </c>
      <c r="R785">
        <v>-2.2106069999999998E-2</v>
      </c>
      <c r="S785">
        <v>3.049347</v>
      </c>
      <c r="T785">
        <v>-0.1210485</v>
      </c>
      <c r="U785">
        <v>-8.2611080000000003E-2</v>
      </c>
      <c r="V785">
        <v>5.7814119999999997E-2</v>
      </c>
      <c r="W785">
        <v>0.15435660000000001</v>
      </c>
      <c r="X785">
        <v>0.98632220000000004</v>
      </c>
      <c r="Y785">
        <v>6.3187489999999999E-2</v>
      </c>
      <c r="Z785">
        <v>-2.6901709999999999E-3</v>
      </c>
      <c r="AA785">
        <v>0.9979981</v>
      </c>
      <c r="AB785">
        <v>31</v>
      </c>
      <c r="AC785">
        <v>27.6004</v>
      </c>
      <c r="AD785">
        <v>-1.1081593413019999</v>
      </c>
      <c r="AE785">
        <v>-0.76749999999998397</v>
      </c>
      <c r="AF785">
        <v>1.76371271513557</v>
      </c>
      <c r="AG785">
        <v>-1.1081593413019999</v>
      </c>
      <c r="AH785">
        <v>27.510186133827201</v>
      </c>
      <c r="AI785">
        <v>92.302008065287794</v>
      </c>
      <c r="AJ785">
        <v>86.331715705521802</v>
      </c>
      <c r="AK785">
        <v>27.588929678134701</v>
      </c>
      <c r="AL785">
        <v>81.120516538395094</v>
      </c>
      <c r="AM785">
        <v>86.645397262984304</v>
      </c>
      <c r="AN785">
        <v>0.99999995732388602</v>
      </c>
    </row>
    <row r="786" spans="1:40" x14ac:dyDescent="0.25">
      <c r="A786" t="str">
        <f>"20190312172627095"</f>
        <v>20190312172627095</v>
      </c>
      <c r="B786" t="str">
        <f>"1552382787089127"</f>
        <v>1552382787089127</v>
      </c>
      <c r="C786" t="s">
        <v>40</v>
      </c>
      <c r="D786">
        <v>3.051561</v>
      </c>
      <c r="E786">
        <v>0.50212570000000001</v>
      </c>
      <c r="F786" t="s">
        <v>41</v>
      </c>
      <c r="G786">
        <v>-243.75370000000001</v>
      </c>
      <c r="H786" s="1">
        <v>-3.493337E-6</v>
      </c>
      <c r="I786">
        <v>366.45830000000001</v>
      </c>
      <c r="J786">
        <v>-271.34500000000003</v>
      </c>
      <c r="K786">
        <v>1.1084210000000001</v>
      </c>
      <c r="L786">
        <v>367.23419999999999</v>
      </c>
      <c r="M786">
        <v>0.99929429999999997</v>
      </c>
      <c r="N786">
        <v>0</v>
      </c>
      <c r="O786">
        <v>3.6526139999999999E-2</v>
      </c>
      <c r="P786">
        <v>0.98907579999999995</v>
      </c>
      <c r="Q786">
        <v>0.14568410000000001</v>
      </c>
      <c r="R786">
        <v>-2.248267E-2</v>
      </c>
      <c r="S786">
        <v>3.0491640000000002</v>
      </c>
      <c r="T786">
        <v>-0.1210074</v>
      </c>
      <c r="U786">
        <v>-8.3374019999999993E-2</v>
      </c>
      <c r="V786">
        <v>5.8507740000000003E-2</v>
      </c>
      <c r="W786">
        <v>0.15437870000000001</v>
      </c>
      <c r="X786">
        <v>0.98627790000000004</v>
      </c>
      <c r="Y786">
        <v>6.3749799999999995E-2</v>
      </c>
      <c r="Z786">
        <v>-2.7129469999999998E-3</v>
      </c>
      <c r="AA786">
        <v>0.99796220000000002</v>
      </c>
      <c r="AB786">
        <v>31</v>
      </c>
      <c r="AC786">
        <v>27.5913</v>
      </c>
      <c r="AD786">
        <v>-1.10842449333699</v>
      </c>
      <c r="AE786">
        <v>-0.77589999999997805</v>
      </c>
      <c r="AF786">
        <v>1.7803535757750999</v>
      </c>
      <c r="AG786">
        <v>-1.10842449333699</v>
      </c>
      <c r="AH786">
        <v>27.500198524606201</v>
      </c>
      <c r="AI786">
        <v>92.303300863802704</v>
      </c>
      <c r="AJ786">
        <v>86.295859751271806</v>
      </c>
      <c r="AK786">
        <v>27.580050446019101</v>
      </c>
      <c r="AL786">
        <v>81.119235477006498</v>
      </c>
      <c r="AM786">
        <v>86.605092146841301</v>
      </c>
      <c r="AN786">
        <v>1.000000017341</v>
      </c>
    </row>
    <row r="787" spans="1:40" x14ac:dyDescent="0.25">
      <c r="A787" t="str">
        <f>"20190312172627118"</f>
        <v>20190312172627118</v>
      </c>
      <c r="B787" t="str">
        <f>"1552382787109623"</f>
        <v>1552382787109623</v>
      </c>
      <c r="C787" t="s">
        <v>40</v>
      </c>
      <c r="D787">
        <v>3.0580250000000002</v>
      </c>
      <c r="E787">
        <v>0.50208660000000005</v>
      </c>
      <c r="F787" t="s">
        <v>41</v>
      </c>
      <c r="G787">
        <v>-243.39599999999999</v>
      </c>
      <c r="H787" s="1">
        <v>-3.6624409999999999E-6</v>
      </c>
      <c r="I787">
        <v>366.45819999999998</v>
      </c>
      <c r="J787">
        <v>-271.03440000000001</v>
      </c>
      <c r="K787">
        <v>1.1086240000000001</v>
      </c>
      <c r="L787">
        <v>367.24579999999997</v>
      </c>
      <c r="M787">
        <v>0.99928320000000004</v>
      </c>
      <c r="N787">
        <v>0</v>
      </c>
      <c r="O787">
        <v>3.6789059999999998E-2</v>
      </c>
      <c r="P787">
        <v>0.98912909999999998</v>
      </c>
      <c r="Q787">
        <v>0.14529810000000001</v>
      </c>
      <c r="R787">
        <v>-2.2636010000000002E-2</v>
      </c>
      <c r="S787">
        <v>3.0489809999999999</v>
      </c>
      <c r="T787">
        <v>-0.120918899999999</v>
      </c>
      <c r="U787">
        <v>-8.4655759999999997E-2</v>
      </c>
      <c r="V787">
        <v>5.8930639999999999E-2</v>
      </c>
      <c r="W787">
        <v>0.15412999999999999</v>
      </c>
      <c r="X787">
        <v>0.98629160000000005</v>
      </c>
      <c r="Y787">
        <v>6.4432630000000005E-2</v>
      </c>
      <c r="Z787">
        <v>-2.7350650000000001E-3</v>
      </c>
      <c r="AA787">
        <v>0.99791830000000004</v>
      </c>
      <c r="AB787">
        <v>31</v>
      </c>
      <c r="AC787">
        <v>27.638400000000001</v>
      </c>
      <c r="AD787">
        <v>-1.1086276624410001</v>
      </c>
      <c r="AE787">
        <v>-0.78759999999999697</v>
      </c>
      <c r="AF787">
        <v>1.80100265449437</v>
      </c>
      <c r="AG787">
        <v>-1.1086276624410001</v>
      </c>
      <c r="AH787">
        <v>27.5464273941984</v>
      </c>
      <c r="AI787">
        <v>92.2997652050542</v>
      </c>
      <c r="AJ787">
        <v>86.259290077876003</v>
      </c>
      <c r="AK787">
        <v>27.627492250279801</v>
      </c>
      <c r="AL787">
        <v>81.133657386174207</v>
      </c>
      <c r="AM787">
        <v>86.580658801605296</v>
      </c>
      <c r="AN787">
        <v>0.99999999873068401</v>
      </c>
    </row>
    <row r="788" spans="1:40" x14ac:dyDescent="0.25">
      <c r="A788" t="str">
        <f>"20190312172627139"</f>
        <v>20190312172627139</v>
      </c>
      <c r="B788" t="str">
        <f>"1552382787129143"</f>
        <v>1552382787129143</v>
      </c>
      <c r="C788" t="s">
        <v>40</v>
      </c>
      <c r="D788">
        <v>3.0529289999999998</v>
      </c>
      <c r="E788">
        <v>0.50207049999999998</v>
      </c>
      <c r="F788" t="s">
        <v>41</v>
      </c>
      <c r="G788">
        <v>-243.19640000000001</v>
      </c>
      <c r="H788" s="1">
        <v>-3.7544579999999999E-6</v>
      </c>
      <c r="I788">
        <v>366.47149999999999</v>
      </c>
      <c r="J788">
        <v>-270.7296</v>
      </c>
      <c r="K788">
        <v>1.1087880000000001</v>
      </c>
      <c r="L788">
        <v>367.25729999999999</v>
      </c>
      <c r="M788">
        <v>0.99927379999999999</v>
      </c>
      <c r="N788">
        <v>0</v>
      </c>
      <c r="O788">
        <v>3.7018919999999997E-2</v>
      </c>
      <c r="P788">
        <v>0.98916459999999995</v>
      </c>
      <c r="Q788">
        <v>0.14503089999999999</v>
      </c>
      <c r="R788">
        <v>-2.2800819999999999E-2</v>
      </c>
      <c r="S788">
        <v>3.0488590000000002</v>
      </c>
      <c r="T788">
        <v>-0.1214182</v>
      </c>
      <c r="U788">
        <v>-8.4808350000000005E-2</v>
      </c>
      <c r="V788">
        <v>5.9331660000000001E-2</v>
      </c>
      <c r="W788">
        <v>0.15398199999999901</v>
      </c>
      <c r="X788">
        <v>0.98629069999999996</v>
      </c>
      <c r="Y788">
        <v>6.4712140000000001E-2</v>
      </c>
      <c r="Z788">
        <v>-2.7611699999999999E-3</v>
      </c>
      <c r="AA788">
        <v>0.99790009999999996</v>
      </c>
      <c r="AB788">
        <v>31</v>
      </c>
      <c r="AC788">
        <v>27.533199999999901</v>
      </c>
      <c r="AD788">
        <v>-1.1087917544579999</v>
      </c>
      <c r="AE788">
        <v>-0.78579999999999395</v>
      </c>
      <c r="AF788">
        <v>1.8016327540707</v>
      </c>
      <c r="AG788">
        <v>-1.1087917544579999</v>
      </c>
      <c r="AH788">
        <v>27.440769462672101</v>
      </c>
      <c r="AI788">
        <v>92.308910659939002</v>
      </c>
      <c r="AJ788">
        <v>86.243617988749406</v>
      </c>
      <c r="AK788">
        <v>27.5221933798673</v>
      </c>
      <c r="AL788">
        <v>81.142239836851203</v>
      </c>
      <c r="AM788">
        <v>86.557442997047303</v>
      </c>
      <c r="AN788">
        <v>1.00000002355442</v>
      </c>
    </row>
    <row r="789" spans="1:40" x14ac:dyDescent="0.25">
      <c r="A789" t="str">
        <f>"20190312172627160"</f>
        <v>20190312172627160</v>
      </c>
      <c r="B789" t="str">
        <f>"1552382787149639"</f>
        <v>1552382787149639</v>
      </c>
      <c r="C789" t="s">
        <v>40</v>
      </c>
      <c r="D789">
        <v>3.064219</v>
      </c>
      <c r="E789">
        <v>0.50204129999999902</v>
      </c>
      <c r="F789" t="s">
        <v>41</v>
      </c>
      <c r="G789">
        <v>-242.92509999999999</v>
      </c>
      <c r="H789" s="1">
        <v>-3.8808409999999998E-6</v>
      </c>
      <c r="I789">
        <v>366.4819</v>
      </c>
      <c r="J789">
        <v>-270.43520000000001</v>
      </c>
      <c r="K789">
        <v>1.108922</v>
      </c>
      <c r="L789">
        <v>367.26850000000002</v>
      </c>
      <c r="M789">
        <v>0.99926530000000002</v>
      </c>
      <c r="N789">
        <v>0</v>
      </c>
      <c r="O789">
        <v>3.7218290000000001E-2</v>
      </c>
      <c r="P789">
        <v>0.98922109999999996</v>
      </c>
      <c r="Q789">
        <v>0.1446201</v>
      </c>
      <c r="R789">
        <v>-2.2951429999999998E-2</v>
      </c>
      <c r="S789">
        <v>3.048737</v>
      </c>
      <c r="T789">
        <v>-0.12157800000000001</v>
      </c>
      <c r="U789">
        <v>-8.5021970000000002E-2</v>
      </c>
      <c r="V789">
        <v>5.9687959999999998E-2</v>
      </c>
      <c r="W789">
        <v>0.15367339999999999</v>
      </c>
      <c r="X789">
        <v>0.98631729999999995</v>
      </c>
      <c r="Y789">
        <v>6.4981659999999997E-2</v>
      </c>
      <c r="Z789">
        <v>-2.7782250000000001E-3</v>
      </c>
      <c r="AA789">
        <v>0.99788259999999995</v>
      </c>
      <c r="AB789">
        <v>31</v>
      </c>
      <c r="AC789">
        <v>27.510100000000001</v>
      </c>
      <c r="AD789">
        <v>-1.1089258808410001</v>
      </c>
      <c r="AE789">
        <v>-0.78660000000002095</v>
      </c>
      <c r="AF789">
        <v>1.80704285162346</v>
      </c>
      <c r="AG789">
        <v>-1.1089258808410001</v>
      </c>
      <c r="AH789">
        <v>27.4172478754761</v>
      </c>
      <c r="AI789">
        <v>92.311130236760505</v>
      </c>
      <c r="AJ789">
        <v>86.2291474694415</v>
      </c>
      <c r="AK789">
        <v>27.499101831552601</v>
      </c>
      <c r="AL789">
        <v>81.160134012665793</v>
      </c>
      <c r="AM789">
        <v>86.5369130035143</v>
      </c>
      <c r="AN789">
        <v>0.99999999135790496</v>
      </c>
    </row>
    <row r="790" spans="1:40" x14ac:dyDescent="0.25">
      <c r="A790" t="str">
        <f>"20190312172627183"</f>
        <v>20190312172627183</v>
      </c>
      <c r="B790" t="str">
        <f>"1552382787178919"</f>
        <v>1552382787178919</v>
      </c>
      <c r="C790" t="s">
        <v>40</v>
      </c>
      <c r="D790">
        <v>3.0245280000000001</v>
      </c>
      <c r="E790">
        <v>0.50203799999999998</v>
      </c>
      <c r="F790" t="s">
        <v>41</v>
      </c>
      <c r="G790">
        <v>-242.78399999999999</v>
      </c>
      <c r="H790" s="1">
        <v>-3.945409E-6</v>
      </c>
      <c r="I790">
        <v>366.49400000000003</v>
      </c>
      <c r="J790">
        <v>-270.11680000000001</v>
      </c>
      <c r="K790">
        <v>1.109038</v>
      </c>
      <c r="L790">
        <v>367.28050000000002</v>
      </c>
      <c r="M790">
        <v>0.99925710000000001</v>
      </c>
      <c r="N790">
        <v>0</v>
      </c>
      <c r="O790">
        <v>3.7414299999999998E-2</v>
      </c>
      <c r="P790">
        <v>0.98922849999999996</v>
      </c>
      <c r="Q790">
        <v>0.144455</v>
      </c>
      <c r="R790">
        <v>-2.3660489999999999E-2</v>
      </c>
      <c r="S790">
        <v>3.0486149999999999</v>
      </c>
      <c r="T790">
        <v>-0.1222618</v>
      </c>
      <c r="U790">
        <v>-8.5388179999999994E-2</v>
      </c>
      <c r="V790">
        <v>6.0596329999999997E-2</v>
      </c>
      <c r="W790">
        <v>0.15360699999999999</v>
      </c>
      <c r="X790">
        <v>0.98627229999999999</v>
      </c>
      <c r="Y790">
        <v>6.5296999999999994E-2</v>
      </c>
      <c r="Z790">
        <v>-2.8081209999999998E-3</v>
      </c>
      <c r="AA790">
        <v>0.99786189999999997</v>
      </c>
      <c r="AB790">
        <v>31</v>
      </c>
      <c r="AC790">
        <v>27.332799999999899</v>
      </c>
      <c r="AD790">
        <v>-1.1090419454089999</v>
      </c>
      <c r="AE790">
        <v>-0.78649999999998899</v>
      </c>
      <c r="AF790">
        <v>1.8056602077669299</v>
      </c>
      <c r="AG790">
        <v>-1.1090419454089999</v>
      </c>
      <c r="AH790">
        <v>27.239424331274801</v>
      </c>
      <c r="AI790">
        <v>92.326386325048006</v>
      </c>
      <c r="AJ790">
        <v>86.207497965925299</v>
      </c>
      <c r="AK790">
        <v>27.321724336539098</v>
      </c>
      <c r="AL790">
        <v>81.163984578655302</v>
      </c>
      <c r="AM790">
        <v>86.484180700618694</v>
      </c>
      <c r="AN790">
        <v>1.0000000377028699</v>
      </c>
    </row>
    <row r="791" spans="1:40" x14ac:dyDescent="0.25">
      <c r="A791" t="str">
        <f>"20190312172627206"</f>
        <v>20190312172627206</v>
      </c>
      <c r="B791" t="str">
        <f>"1552382787199415"</f>
        <v>1552382787199415</v>
      </c>
      <c r="C791" t="s">
        <v>40</v>
      </c>
      <c r="D791">
        <v>3.0399989999999999</v>
      </c>
      <c r="E791">
        <v>0.50205670000000002</v>
      </c>
      <c r="F791" t="s">
        <v>41</v>
      </c>
      <c r="G791">
        <v>-242.40979999999999</v>
      </c>
      <c r="H791" s="1">
        <v>-4.1233199999999997E-6</v>
      </c>
      <c r="I791">
        <v>366.488</v>
      </c>
      <c r="J791">
        <v>-269.7998</v>
      </c>
      <c r="K791">
        <v>1.109138</v>
      </c>
      <c r="L791">
        <v>367.29259999999999</v>
      </c>
      <c r="M791">
        <v>0.99924939999999995</v>
      </c>
      <c r="N791">
        <v>0</v>
      </c>
      <c r="O791">
        <v>3.7596869999999998E-2</v>
      </c>
      <c r="P791">
        <v>0.98923530000000004</v>
      </c>
      <c r="Q791">
        <v>0.14431089999999999</v>
      </c>
      <c r="R791">
        <v>-2.4250620000000001E-2</v>
      </c>
      <c r="S791">
        <v>3.0484010000000001</v>
      </c>
      <c r="T791">
        <v>-0.1220199</v>
      </c>
      <c r="U791">
        <v>-8.7188719999999997E-2</v>
      </c>
      <c r="V791">
        <v>6.1370630000000002E-2</v>
      </c>
      <c r="W791">
        <v>0.15354999999999999</v>
      </c>
      <c r="X791">
        <v>0.98623320000000003</v>
      </c>
      <c r="Y791">
        <v>6.6069740000000002E-2</v>
      </c>
      <c r="Z791">
        <v>-2.8255049999999999E-3</v>
      </c>
      <c r="AA791">
        <v>0.997811</v>
      </c>
      <c r="AB791">
        <v>31</v>
      </c>
      <c r="AC791">
        <v>27.39</v>
      </c>
      <c r="AD791">
        <v>-1.1091421233200001</v>
      </c>
      <c r="AE791">
        <v>-0.80459999999993603</v>
      </c>
      <c r="AF791">
        <v>1.83085457054929</v>
      </c>
      <c r="AG791">
        <v>-1.1091421233200001</v>
      </c>
      <c r="AH791">
        <v>27.295660710489699</v>
      </c>
      <c r="AI791">
        <v>92.3216869877308</v>
      </c>
      <c r="AJ791">
        <v>86.162637453794503</v>
      </c>
      <c r="AK791">
        <v>27.379468919801798</v>
      </c>
      <c r="AL791">
        <v>81.167288784647894</v>
      </c>
      <c r="AM791">
        <v>86.439229606051398</v>
      </c>
      <c r="AN791">
        <v>0.99999994075441601</v>
      </c>
    </row>
    <row r="792" spans="1:40" x14ac:dyDescent="0.25">
      <c r="A792" t="str">
        <f>"20190312172627228"</f>
        <v>20190312172627228</v>
      </c>
      <c r="B792" t="str">
        <f>"1552382787219911"</f>
        <v>1552382787219911</v>
      </c>
      <c r="C792" t="s">
        <v>40</v>
      </c>
      <c r="D792">
        <v>3.0339140000000002</v>
      </c>
      <c r="E792">
        <v>0.51921220000000001</v>
      </c>
      <c r="F792" t="s">
        <v>41</v>
      </c>
      <c r="G792">
        <v>-242.0581</v>
      </c>
      <c r="H792" s="1">
        <v>-4.2913669999999998E-6</v>
      </c>
      <c r="I792">
        <v>366.47800000000001</v>
      </c>
      <c r="J792">
        <v>-269.4914</v>
      </c>
      <c r="K792">
        <v>1.1092229999999901</v>
      </c>
      <c r="L792">
        <v>367.30439999999999</v>
      </c>
      <c r="M792">
        <v>0.99924239999999998</v>
      </c>
      <c r="N792">
        <v>0</v>
      </c>
      <c r="O792">
        <v>3.776678E-2</v>
      </c>
      <c r="P792">
        <v>0.9892609</v>
      </c>
      <c r="Q792">
        <v>0.14400660000000001</v>
      </c>
      <c r="R792">
        <v>-2.5004789999999999E-2</v>
      </c>
      <c r="S792">
        <v>3.0482179999999999</v>
      </c>
      <c r="T792">
        <v>-0.12187099999999999</v>
      </c>
      <c r="U792">
        <v>-8.950806E-2</v>
      </c>
      <c r="V792">
        <v>6.2295870000000003E-2</v>
      </c>
      <c r="W792">
        <v>0.1533205</v>
      </c>
      <c r="X792">
        <v>0.9862109</v>
      </c>
      <c r="Y792">
        <v>6.6999000000000003E-2</v>
      </c>
      <c r="Z792">
        <v>-2.8475570000000001E-3</v>
      </c>
      <c r="AA792">
        <v>0.997749</v>
      </c>
      <c r="AB792">
        <v>31</v>
      </c>
      <c r="AC792">
        <v>27.433299999999999</v>
      </c>
      <c r="AD792">
        <v>-1.1092272913669901</v>
      </c>
      <c r="AE792">
        <v>-0.82639999999997804</v>
      </c>
      <c r="AF792">
        <v>1.8588872314893301</v>
      </c>
      <c r="AG792">
        <v>-1.1092272913669901</v>
      </c>
      <c r="AH792">
        <v>27.3378614699797</v>
      </c>
      <c r="AI792">
        <v>92.318141259770698</v>
      </c>
      <c r="AJ792">
        <v>86.110057821768393</v>
      </c>
      <c r="AK792">
        <v>27.423430067646699</v>
      </c>
      <c r="AL792">
        <v>81.180595778056698</v>
      </c>
      <c r="AM792">
        <v>86.385606219979195</v>
      </c>
      <c r="AN792">
        <v>0.999999945209056</v>
      </c>
    </row>
    <row r="793" spans="1:40" x14ac:dyDescent="0.25">
      <c r="A793" t="str">
        <f>"20190312172627250"</f>
        <v>20190312172627250</v>
      </c>
      <c r="B793" t="str">
        <f>"1552382787239431"</f>
        <v>1552382787239431</v>
      </c>
      <c r="C793" t="s">
        <v>40</v>
      </c>
      <c r="D793">
        <v>3.009398</v>
      </c>
      <c r="E793">
        <v>0.52207619999999999</v>
      </c>
      <c r="F793" t="s">
        <v>41</v>
      </c>
      <c r="G793">
        <v>-232.4</v>
      </c>
      <c r="H793" s="1">
        <v>-4.1473580000000004E-6</v>
      </c>
      <c r="I793">
        <v>364.51620000000003</v>
      </c>
      <c r="J793">
        <v>-269.18389999999999</v>
      </c>
      <c r="K793">
        <v>1.1092900000000001</v>
      </c>
      <c r="L793">
        <v>367.31619999999998</v>
      </c>
      <c r="M793">
        <v>0.99923530000000005</v>
      </c>
      <c r="N793">
        <v>0</v>
      </c>
      <c r="O793">
        <v>3.7932590000000002E-2</v>
      </c>
      <c r="P793">
        <v>0.98916789999999999</v>
      </c>
      <c r="Q793">
        <v>0.14452219999999999</v>
      </c>
      <c r="R793">
        <v>-2.5700489999999999E-2</v>
      </c>
      <c r="S793">
        <v>3.0400390000000002</v>
      </c>
      <c r="T793">
        <v>-9.0913060000000004E-2</v>
      </c>
      <c r="U793">
        <v>-0.22851560000000001</v>
      </c>
      <c r="V793">
        <v>6.3152630000000001E-2</v>
      </c>
      <c r="W793">
        <v>0.1539015</v>
      </c>
      <c r="X793">
        <v>0.986066</v>
      </c>
      <c r="Y793">
        <v>0.11266379999999999</v>
      </c>
      <c r="Z793">
        <v>-2.8146550000000001E-3</v>
      </c>
      <c r="AA793">
        <v>0.99362919999999999</v>
      </c>
      <c r="AB793">
        <v>31</v>
      </c>
      <c r="AC793">
        <v>36.783899999999903</v>
      </c>
      <c r="AD793">
        <v>-1.10929414735799</v>
      </c>
      <c r="AE793">
        <v>-2.7999999999999501</v>
      </c>
      <c r="AF793">
        <v>4.1895677598287397</v>
      </c>
      <c r="AG793">
        <v>-1.10929414735799</v>
      </c>
      <c r="AH793">
        <v>36.618097822565602</v>
      </c>
      <c r="AI793">
        <v>91.723925245265306</v>
      </c>
      <c r="AJ793">
        <v>83.473028273637397</v>
      </c>
      <c r="AK793">
        <v>36.8736775988312</v>
      </c>
      <c r="AL793">
        <v>81.146907948301404</v>
      </c>
      <c r="AM793">
        <v>86.335494728064504</v>
      </c>
      <c r="AN793">
        <v>1.00000004136708</v>
      </c>
    </row>
    <row r="794" spans="1:40" x14ac:dyDescent="0.25">
      <c r="A794" t="str">
        <f>"20190312172627272"</f>
        <v>20190312172627272</v>
      </c>
      <c r="B794" t="str">
        <f>"1552382787269687"</f>
        <v>1552382787269687</v>
      </c>
      <c r="C794" t="s">
        <v>40</v>
      </c>
      <c r="D794">
        <v>3.0240260000000001</v>
      </c>
      <c r="E794">
        <v>0.52390939999999997</v>
      </c>
      <c r="F794" t="s">
        <v>41</v>
      </c>
      <c r="G794">
        <v>-230.51840000000001</v>
      </c>
      <c r="H794" s="1">
        <v>-5.0300430000000002E-6</v>
      </c>
      <c r="I794">
        <v>364.09070000000003</v>
      </c>
      <c r="J794">
        <v>-268.87130000000002</v>
      </c>
      <c r="K794">
        <v>1.109348</v>
      </c>
      <c r="L794">
        <v>367.32819999999998</v>
      </c>
      <c r="M794">
        <v>0.99922849999999996</v>
      </c>
      <c r="N794">
        <v>0</v>
      </c>
      <c r="O794">
        <v>3.8100769999999999E-2</v>
      </c>
      <c r="P794">
        <v>0.98916110000000002</v>
      </c>
      <c r="Q794">
        <v>0.1444368</v>
      </c>
      <c r="R794">
        <v>-2.6433149999999999E-2</v>
      </c>
      <c r="S794">
        <v>3.0389710000000001</v>
      </c>
      <c r="T794">
        <v>-8.7186570000000005E-2</v>
      </c>
      <c r="U794">
        <v>-0.2535095</v>
      </c>
      <c r="V794">
        <v>6.4051640000000007E-2</v>
      </c>
      <c r="W794">
        <v>0.1538756</v>
      </c>
      <c r="X794">
        <v>0.986012</v>
      </c>
      <c r="Y794">
        <v>0.120976</v>
      </c>
      <c r="Z794">
        <v>-2.8232660000000001E-3</v>
      </c>
      <c r="AA794">
        <v>0.99265139999999996</v>
      </c>
      <c r="AB794">
        <v>31</v>
      </c>
      <c r="AC794">
        <v>38.352899999999998</v>
      </c>
      <c r="AD794">
        <v>-1.1093530300429999</v>
      </c>
      <c r="AE794">
        <v>-3.2374999999999501</v>
      </c>
      <c r="AF794">
        <v>4.6925920926089004</v>
      </c>
      <c r="AG794">
        <v>-1.1093530300429999</v>
      </c>
      <c r="AH794">
        <v>38.169983749985697</v>
      </c>
      <c r="AI794">
        <v>91.652314024344193</v>
      </c>
      <c r="AJ794">
        <v>82.9912644512941</v>
      </c>
      <c r="AK794">
        <v>38.473351090944199</v>
      </c>
      <c r="AL794">
        <v>81.148409326961797</v>
      </c>
      <c r="AM794">
        <v>86.283270834579298</v>
      </c>
      <c r="AN794">
        <v>0.99999998850302396</v>
      </c>
    </row>
    <row r="795" spans="1:40" x14ac:dyDescent="0.25">
      <c r="A795" t="str">
        <f>"20190312172627296"</f>
        <v>20190312172627296</v>
      </c>
      <c r="B795" t="str">
        <f>"1552382787289206"</f>
        <v>1552382787289206</v>
      </c>
      <c r="C795" t="s">
        <v>40</v>
      </c>
      <c r="D795">
        <v>3.0704910000000001</v>
      </c>
      <c r="E795">
        <v>0.52443779999999995</v>
      </c>
      <c r="F795" t="s">
        <v>41</v>
      </c>
      <c r="G795">
        <v>-229.2414</v>
      </c>
      <c r="H795" s="1">
        <v>-1.793E-6</v>
      </c>
      <c r="I795">
        <v>363.7955</v>
      </c>
      <c r="J795">
        <v>-268.53890000000001</v>
      </c>
      <c r="K795">
        <v>1.1093999999999999</v>
      </c>
      <c r="L795">
        <v>367.34109999999998</v>
      </c>
      <c r="M795">
        <v>0.99922089999999997</v>
      </c>
      <c r="N795">
        <v>0</v>
      </c>
      <c r="O795">
        <v>3.828119E-2</v>
      </c>
      <c r="P795">
        <v>0.98914820000000003</v>
      </c>
      <c r="Q795">
        <v>0.1444105</v>
      </c>
      <c r="R795">
        <v>-2.7047829999999998E-2</v>
      </c>
      <c r="S795">
        <v>3.0380549999999999</v>
      </c>
      <c r="T795">
        <v>-8.5043309999999997E-2</v>
      </c>
      <c r="U795">
        <v>-0.27081300000000003</v>
      </c>
      <c r="V795">
        <v>6.4844520000000003E-2</v>
      </c>
      <c r="W795">
        <v>0.15390519999999999</v>
      </c>
      <c r="X795">
        <v>0.98595549999999998</v>
      </c>
      <c r="Y795">
        <v>0.12679070000000001</v>
      </c>
      <c r="Z795">
        <v>-2.8403220000000002E-3</v>
      </c>
      <c r="AA795">
        <v>0.99192539999999996</v>
      </c>
      <c r="AB795">
        <v>31</v>
      </c>
      <c r="AC795">
        <v>39.297499999999999</v>
      </c>
      <c r="AD795">
        <v>-1.109401793</v>
      </c>
      <c r="AE795">
        <v>-3.5455999999999701</v>
      </c>
      <c r="AF795">
        <v>5.0434381691379002</v>
      </c>
      <c r="AG795">
        <v>-1.109401793</v>
      </c>
      <c r="AH795">
        <v>39.102044553169897</v>
      </c>
      <c r="AI795">
        <v>91.611813010587497</v>
      </c>
      <c r="AJ795">
        <v>82.650484411462301</v>
      </c>
      <c r="AK795">
        <v>39.441563472336099</v>
      </c>
      <c r="AL795">
        <v>81.146692450006498</v>
      </c>
      <c r="AM795">
        <v>86.237178690245997</v>
      </c>
      <c r="AN795">
        <v>0.99999993517065799</v>
      </c>
    </row>
    <row r="796" spans="1:40" x14ac:dyDescent="0.25">
      <c r="A796" t="str">
        <f>"20190312172627318"</f>
        <v>20190312172627318</v>
      </c>
      <c r="B796" t="str">
        <f>"1552382787309703"</f>
        <v>1552382787309703</v>
      </c>
      <c r="C796" t="s">
        <v>40</v>
      </c>
      <c r="D796">
        <v>3.0515150000000002</v>
      </c>
      <c r="E796">
        <v>0.52482309999999999</v>
      </c>
      <c r="F796" t="s">
        <v>41</v>
      </c>
      <c r="G796">
        <v>-228.1592</v>
      </c>
      <c r="H796" s="1">
        <v>-2.1979390000000002E-6</v>
      </c>
      <c r="I796">
        <v>363.65780000000001</v>
      </c>
      <c r="J796">
        <v>-268.22640000000001</v>
      </c>
      <c r="K796">
        <v>1.10944</v>
      </c>
      <c r="L796">
        <v>367.35320000000002</v>
      </c>
      <c r="M796">
        <v>0.99921389999999999</v>
      </c>
      <c r="N796">
        <v>0</v>
      </c>
      <c r="O796">
        <v>3.8452E-2</v>
      </c>
      <c r="P796">
        <v>0.98917219999999995</v>
      </c>
      <c r="Q796">
        <v>0.14421059999999999</v>
      </c>
      <c r="R796">
        <v>-2.723886E-2</v>
      </c>
      <c r="S796">
        <v>3.0375369999999999</v>
      </c>
      <c r="T796">
        <v>-8.3453769999999997E-2</v>
      </c>
      <c r="U796">
        <v>-0.27706910000000001</v>
      </c>
      <c r="V796">
        <v>6.5205600000000002E-2</v>
      </c>
      <c r="W796">
        <v>0.15375259999999999</v>
      </c>
      <c r="X796">
        <v>0.98595549999999998</v>
      </c>
      <c r="Y796">
        <v>0.1290029</v>
      </c>
      <c r="Z796">
        <v>-2.8224869999999998E-3</v>
      </c>
      <c r="AA796">
        <v>0.99164019999999997</v>
      </c>
      <c r="AB796">
        <v>31</v>
      </c>
      <c r="AC796">
        <v>40.0672</v>
      </c>
      <c r="AD796">
        <v>-1.1094421979389999</v>
      </c>
      <c r="AE796">
        <v>-3.6953999999999998</v>
      </c>
      <c r="AF796">
        <v>5.2294268088997304</v>
      </c>
      <c r="AG796">
        <v>-1.1094421979389999</v>
      </c>
      <c r="AH796">
        <v>39.865156122745098</v>
      </c>
      <c r="AI796">
        <v>91.580588616752493</v>
      </c>
      <c r="AJ796">
        <v>82.526731723278104</v>
      </c>
      <c r="AK796">
        <v>40.221989501155299</v>
      </c>
      <c r="AL796">
        <v>81.155541151905297</v>
      </c>
      <c r="AM796">
        <v>86.216286506007606</v>
      </c>
      <c r="AN796">
        <v>0.99999994012918303</v>
      </c>
    </row>
    <row r="797" spans="1:40" x14ac:dyDescent="0.25">
      <c r="A797" t="str">
        <f>"20190312172627339"</f>
        <v>20190312172627339</v>
      </c>
      <c r="B797" t="str">
        <f>"1552382787329223"</f>
        <v>1552382787329223</v>
      </c>
      <c r="C797" t="s">
        <v>40</v>
      </c>
      <c r="D797">
        <v>3.0091420000000002</v>
      </c>
      <c r="E797">
        <v>0.52502669999999996</v>
      </c>
      <c r="F797" t="s">
        <v>41</v>
      </c>
      <c r="G797">
        <v>-227.56780000000001</v>
      </c>
      <c r="H797" s="1">
        <v>-2.416197E-6</v>
      </c>
      <c r="I797">
        <v>363.59379999999999</v>
      </c>
      <c r="J797">
        <v>-267.92329999999998</v>
      </c>
      <c r="K797">
        <v>1.109469</v>
      </c>
      <c r="L797">
        <v>367.36509999999998</v>
      </c>
      <c r="M797">
        <v>0.99920710000000001</v>
      </c>
      <c r="N797">
        <v>0</v>
      </c>
      <c r="O797">
        <v>3.8618270000000003E-2</v>
      </c>
      <c r="P797">
        <v>0.98918329999999999</v>
      </c>
      <c r="Q797">
        <v>0.14405580000000001</v>
      </c>
      <c r="R797">
        <v>-2.7647890000000001E-2</v>
      </c>
      <c r="S797">
        <v>3.037201</v>
      </c>
      <c r="T797">
        <v>-8.2875370000000004E-2</v>
      </c>
      <c r="U797">
        <v>-0.28082279999999998</v>
      </c>
      <c r="V797">
        <v>6.5779409999999996E-2</v>
      </c>
      <c r="W797">
        <v>0.15363850000000001</v>
      </c>
      <c r="X797">
        <v>0.98593520000000001</v>
      </c>
      <c r="Y797">
        <v>0.13039329999999999</v>
      </c>
      <c r="Z797">
        <v>-2.8265439999999998E-3</v>
      </c>
      <c r="AA797">
        <v>0.99145830000000001</v>
      </c>
      <c r="AB797">
        <v>32</v>
      </c>
      <c r="AC797">
        <v>40.3554999999999</v>
      </c>
      <c r="AD797">
        <v>-1.1094714161970001</v>
      </c>
      <c r="AE797">
        <v>-3.7712999999999899</v>
      </c>
      <c r="AF797">
        <v>5.3230306775273899</v>
      </c>
      <c r="AG797">
        <v>-1.1094714161970001</v>
      </c>
      <c r="AH797">
        <v>40.149661753297799</v>
      </c>
      <c r="AI797">
        <v>91.569150280459198</v>
      </c>
      <c r="AJ797">
        <v>82.447785790654095</v>
      </c>
      <c r="AK797">
        <v>40.5161809814484</v>
      </c>
      <c r="AL797">
        <v>81.162157468579096</v>
      </c>
      <c r="AM797">
        <v>86.183009426495303</v>
      </c>
      <c r="AN797">
        <v>0.99999996903061805</v>
      </c>
    </row>
    <row r="798" spans="1:40" x14ac:dyDescent="0.25">
      <c r="A798" t="str">
        <f>"20190312172627362"</f>
        <v>20190312172627362</v>
      </c>
      <c r="B798" t="str">
        <f>"1552382787359480"</f>
        <v>1552382787359480</v>
      </c>
      <c r="C798" t="s">
        <v>40</v>
      </c>
      <c r="D798">
        <v>3.038869</v>
      </c>
      <c r="E798">
        <v>0.52527029999999997</v>
      </c>
      <c r="F798" t="s">
        <v>41</v>
      </c>
      <c r="G798">
        <v>-227.14009999999999</v>
      </c>
      <c r="H798" s="1">
        <v>-2.5727730000000001E-6</v>
      </c>
      <c r="I798">
        <v>363.55239999999998</v>
      </c>
      <c r="J798">
        <v>-267.61020000000002</v>
      </c>
      <c r="K798">
        <v>1.1094930000000001</v>
      </c>
      <c r="L798">
        <v>367.37729999999999</v>
      </c>
      <c r="M798">
        <v>0.99919999999999998</v>
      </c>
      <c r="N798">
        <v>0</v>
      </c>
      <c r="O798">
        <v>3.879063E-2</v>
      </c>
      <c r="P798">
        <v>0.98920490000000005</v>
      </c>
      <c r="Q798">
        <v>0.14384340000000001</v>
      </c>
      <c r="R798">
        <v>-2.798554E-2</v>
      </c>
      <c r="S798">
        <v>3.036896</v>
      </c>
      <c r="T798">
        <v>-8.2615969999999997E-2</v>
      </c>
      <c r="U798">
        <v>-0.28390500000000002</v>
      </c>
      <c r="V798">
        <v>6.6288029999999998E-2</v>
      </c>
      <c r="W798">
        <v>0.15346370000000001</v>
      </c>
      <c r="X798">
        <v>0.98592840000000004</v>
      </c>
      <c r="Y798">
        <v>0.13157089999999999</v>
      </c>
      <c r="Z798">
        <v>-2.8385149999999998E-3</v>
      </c>
      <c r="AA798">
        <v>0.99130269999999998</v>
      </c>
      <c r="AB798">
        <v>32</v>
      </c>
      <c r="AC798">
        <v>40.470100000000002</v>
      </c>
      <c r="AD798">
        <v>-1.109495572773</v>
      </c>
      <c r="AE798">
        <v>-3.8249000000000102</v>
      </c>
      <c r="AF798">
        <v>5.3879422412097098</v>
      </c>
      <c r="AG798">
        <v>-1.109495572773</v>
      </c>
      <c r="AH798">
        <v>40.261268234595804</v>
      </c>
      <c r="AI798">
        <v>91.564581945337906</v>
      </c>
      <c r="AJ798">
        <v>82.377710780905005</v>
      </c>
      <c r="AK798">
        <v>40.635337107974003</v>
      </c>
      <c r="AL798">
        <v>81.172293335894906</v>
      </c>
      <c r="AM798">
        <v>86.153557473508002</v>
      </c>
      <c r="AN798">
        <v>1.00000001003276</v>
      </c>
    </row>
    <row r="799" spans="1:40" x14ac:dyDescent="0.25">
      <c r="A799" t="str">
        <f>"20190312172627383"</f>
        <v>20190312172627383</v>
      </c>
      <c r="B799" t="str">
        <f>"1552382787379975"</f>
        <v>1552382787379975</v>
      </c>
      <c r="C799" t="s">
        <v>40</v>
      </c>
      <c r="D799">
        <v>3.0096959999999999</v>
      </c>
      <c r="E799">
        <v>0.5253295</v>
      </c>
      <c r="F799" t="s">
        <v>41</v>
      </c>
      <c r="G799">
        <v>-226.76660000000001</v>
      </c>
      <c r="H799" s="1">
        <v>-2.7102619999999999E-6</v>
      </c>
      <c r="I799">
        <v>363.51350000000002</v>
      </c>
      <c r="J799">
        <v>-267.29300000000001</v>
      </c>
      <c r="K799">
        <v>1.109515</v>
      </c>
      <c r="L799">
        <v>367.38979999999998</v>
      </c>
      <c r="M799">
        <v>0.999193</v>
      </c>
      <c r="N799">
        <v>0</v>
      </c>
      <c r="O799">
        <v>3.8965340000000001E-2</v>
      </c>
      <c r="P799">
        <v>0.98923179999999999</v>
      </c>
      <c r="Q799">
        <v>0.14344390000000001</v>
      </c>
      <c r="R799">
        <v>-2.905864E-2</v>
      </c>
      <c r="S799">
        <v>3.036591</v>
      </c>
      <c r="T799">
        <v>-8.2487229999999995E-2</v>
      </c>
      <c r="U799">
        <v>-0.28726200000000002</v>
      </c>
      <c r="V799">
        <v>6.7534250000000004E-2</v>
      </c>
      <c r="W799">
        <v>0.1530976</v>
      </c>
      <c r="X799">
        <v>0.98590069999999996</v>
      </c>
      <c r="Y799">
        <v>0.13283929999999999</v>
      </c>
      <c r="Z799">
        <v>-2.8561580000000001E-3</v>
      </c>
      <c r="AA799">
        <v>0.9911335</v>
      </c>
      <c r="AB799">
        <v>32</v>
      </c>
      <c r="AC799">
        <v>40.526400000000002</v>
      </c>
      <c r="AD799">
        <v>-1.109517710262</v>
      </c>
      <c r="AE799">
        <v>-3.8762999999999499</v>
      </c>
      <c r="AF799">
        <v>5.4485090927040796</v>
      </c>
      <c r="AG799">
        <v>-1.109517710262</v>
      </c>
      <c r="AH799">
        <v>40.3146279718854</v>
      </c>
      <c r="AI799">
        <v>91.562269901702095</v>
      </c>
      <c r="AJ799">
        <v>82.303129833581906</v>
      </c>
      <c r="AK799">
        <v>40.696271443391403</v>
      </c>
      <c r="AL799">
        <v>81.193519810579502</v>
      </c>
      <c r="AM799">
        <v>86.081357520949098</v>
      </c>
      <c r="AN799">
        <v>0.99999997015465503</v>
      </c>
    </row>
    <row r="800" spans="1:40" x14ac:dyDescent="0.25">
      <c r="A800" t="str">
        <f>"20190312172627406"</f>
        <v>20190312172627406</v>
      </c>
      <c r="B800" t="str">
        <f>"1552382787399495"</f>
        <v>1552382787399495</v>
      </c>
      <c r="C800" t="s">
        <v>40</v>
      </c>
      <c r="D800">
        <v>3.0043169999999999</v>
      </c>
      <c r="E800">
        <v>0.52536850000000002</v>
      </c>
      <c r="F800" t="s">
        <v>41</v>
      </c>
      <c r="G800">
        <v>-226.91120000000001</v>
      </c>
      <c r="H800" s="1">
        <v>-2.6600500000000001E-6</v>
      </c>
      <c r="I800">
        <v>363.5172</v>
      </c>
      <c r="J800">
        <v>-266.97770000000003</v>
      </c>
      <c r="K800">
        <v>1.109532</v>
      </c>
      <c r="L800">
        <v>367.40230000000003</v>
      </c>
      <c r="M800">
        <v>0.99918580000000001</v>
      </c>
      <c r="N800">
        <v>0</v>
      </c>
      <c r="O800">
        <v>3.9139889999999997E-2</v>
      </c>
      <c r="P800">
        <v>0.98922849999999996</v>
      </c>
      <c r="Q800">
        <v>0.14331240000000001</v>
      </c>
      <c r="R800">
        <v>-2.981133E-2</v>
      </c>
      <c r="S800">
        <v>3.0362239999999998</v>
      </c>
      <c r="T800">
        <v>-8.3422179999999999E-2</v>
      </c>
      <c r="U800">
        <v>-0.29116819999999999</v>
      </c>
      <c r="V800">
        <v>6.8458749999999999E-2</v>
      </c>
      <c r="W800">
        <v>0.1529963</v>
      </c>
      <c r="X800">
        <v>0.98585270000000003</v>
      </c>
      <c r="Y800">
        <v>0.13428519999999999</v>
      </c>
      <c r="Z800">
        <v>-2.913297E-3</v>
      </c>
      <c r="AA800">
        <v>0.9909384</v>
      </c>
      <c r="AB800">
        <v>32</v>
      </c>
      <c r="AC800">
        <v>40.066499999999998</v>
      </c>
      <c r="AD800">
        <v>-1.10953466005</v>
      </c>
      <c r="AE800">
        <v>-3.88510000000002</v>
      </c>
      <c r="AF800">
        <v>5.4462586098341204</v>
      </c>
      <c r="AG800">
        <v>-1.10953466005</v>
      </c>
      <c r="AH800">
        <v>39.853448534063098</v>
      </c>
      <c r="AI800">
        <v>91.580045616701</v>
      </c>
      <c r="AJ800">
        <v>82.218324663164907</v>
      </c>
      <c r="AK800">
        <v>40.239162019906097</v>
      </c>
      <c r="AL800">
        <v>81.199393394974393</v>
      </c>
      <c r="AM800">
        <v>86.027691634581799</v>
      </c>
      <c r="AN800">
        <v>1.00000000718127</v>
      </c>
    </row>
    <row r="801" spans="1:40" x14ac:dyDescent="0.25">
      <c r="A801" t="str">
        <f>"20190312172627428"</f>
        <v>20190312172627428</v>
      </c>
      <c r="B801" t="str">
        <f>"1552382787419991"</f>
        <v>1552382787419991</v>
      </c>
      <c r="C801" t="s">
        <v>40</v>
      </c>
      <c r="D801">
        <v>3.0248330000000001</v>
      </c>
      <c r="E801">
        <v>0.52539559999999996</v>
      </c>
      <c r="F801" t="s">
        <v>41</v>
      </c>
      <c r="G801">
        <v>-226.69640000000001</v>
      </c>
      <c r="H801" s="1">
        <v>-2.7383589999999998E-6</v>
      </c>
      <c r="I801">
        <v>363.49759999999998</v>
      </c>
      <c r="J801">
        <v>-266.66019999999997</v>
      </c>
      <c r="K801">
        <v>1.1095349999999999</v>
      </c>
      <c r="L801">
        <v>367.41489999999999</v>
      </c>
      <c r="M801">
        <v>0.99917869999999998</v>
      </c>
      <c r="N801">
        <v>0</v>
      </c>
      <c r="O801">
        <v>3.93154E-2</v>
      </c>
      <c r="P801">
        <v>0.98921479999999995</v>
      </c>
      <c r="Q801">
        <v>0.14319460000000001</v>
      </c>
      <c r="R801">
        <v>-3.0824540000000001E-2</v>
      </c>
      <c r="S801">
        <v>3.0359189999999998</v>
      </c>
      <c r="T801">
        <v>-8.3623050000000004E-2</v>
      </c>
      <c r="U801">
        <v>-0.29428100000000001</v>
      </c>
      <c r="V801">
        <v>6.9643910000000003E-2</v>
      </c>
      <c r="W801">
        <v>0.1529044</v>
      </c>
      <c r="X801">
        <v>0.98578390000000005</v>
      </c>
      <c r="Y801">
        <v>0.13547439999999999</v>
      </c>
      <c r="Z801">
        <v>-2.9416260000000001E-3</v>
      </c>
      <c r="AA801">
        <v>0.99077649999999995</v>
      </c>
      <c r="AB801">
        <v>32</v>
      </c>
      <c r="AC801">
        <v>39.9637999999999</v>
      </c>
      <c r="AD801">
        <v>-1.1095377383589999</v>
      </c>
      <c r="AE801">
        <v>-3.9173000000000102</v>
      </c>
      <c r="AF801">
        <v>5.4813545274222299</v>
      </c>
      <c r="AG801">
        <v>-1.1095377383589999</v>
      </c>
      <c r="AH801">
        <v>39.748534200936902</v>
      </c>
      <c r="AI801">
        <v>91.583953033119997</v>
      </c>
      <c r="AJ801">
        <v>82.1483868662296</v>
      </c>
      <c r="AK801">
        <v>40.140033539736699</v>
      </c>
      <c r="AL801">
        <v>81.204721182862897</v>
      </c>
      <c r="AM801">
        <v>85.958867702997097</v>
      </c>
      <c r="AN801">
        <v>0.99999996361932797</v>
      </c>
    </row>
    <row r="802" spans="1:40" x14ac:dyDescent="0.25">
      <c r="A802" t="str">
        <f>"20190312172627451"</f>
        <v>20190312172627451</v>
      </c>
      <c r="B802" t="str">
        <f>"1552382787439511"</f>
        <v>1552382787439511</v>
      </c>
      <c r="C802" t="s">
        <v>40</v>
      </c>
      <c r="D802">
        <v>3.012076</v>
      </c>
      <c r="E802">
        <v>0.52540310000000001</v>
      </c>
      <c r="F802" t="s">
        <v>41</v>
      </c>
      <c r="G802">
        <v>-226.53800000000001</v>
      </c>
      <c r="H802" s="1">
        <v>-2.7969179999999999E-6</v>
      </c>
      <c r="I802">
        <v>363.48009999999999</v>
      </c>
      <c r="J802">
        <v>-266.34480000000002</v>
      </c>
      <c r="K802">
        <v>1.109548</v>
      </c>
      <c r="L802">
        <v>367.42750000000001</v>
      </c>
      <c r="M802">
        <v>0.99917149999999999</v>
      </c>
      <c r="N802">
        <v>0</v>
      </c>
      <c r="O802">
        <v>3.9490579999999997E-2</v>
      </c>
      <c r="P802">
        <v>0.98914709999999995</v>
      </c>
      <c r="Q802">
        <v>0.14340530000000001</v>
      </c>
      <c r="R802">
        <v>-3.198612E-2</v>
      </c>
      <c r="S802">
        <v>3.0356139999999998</v>
      </c>
      <c r="T802">
        <v>-8.3946469999999995E-2</v>
      </c>
      <c r="U802">
        <v>-0.29769899999999999</v>
      </c>
      <c r="V802">
        <v>7.0975140000000006E-2</v>
      </c>
      <c r="W802">
        <v>0.1531382</v>
      </c>
      <c r="X802">
        <v>0.98565270000000005</v>
      </c>
      <c r="Y802">
        <v>0.13676160000000001</v>
      </c>
      <c r="Z802">
        <v>-2.9757249999999998E-3</v>
      </c>
      <c r="AA802">
        <v>0.99059949999999997</v>
      </c>
      <c r="AB802">
        <v>32</v>
      </c>
      <c r="AC802">
        <v>39.806800000000003</v>
      </c>
      <c r="AD802">
        <v>-1.1095507969180001</v>
      </c>
      <c r="AE802">
        <v>-3.9474000000000098</v>
      </c>
      <c r="AF802">
        <v>5.5121493881048202</v>
      </c>
      <c r="AG802">
        <v>-1.1095507969180001</v>
      </c>
      <c r="AH802">
        <v>39.589394220631</v>
      </c>
      <c r="AI802">
        <v>91.590047727060707</v>
      </c>
      <c r="AJ802">
        <v>82.073496265865501</v>
      </c>
      <c r="AK802">
        <v>39.986685641651498</v>
      </c>
      <c r="AL802">
        <v>81.191166214430297</v>
      </c>
      <c r="AM802">
        <v>85.881339236288596</v>
      </c>
      <c r="AN802">
        <v>1.0000000119072701</v>
      </c>
    </row>
    <row r="803" spans="1:40" x14ac:dyDescent="0.25">
      <c r="A803" t="str">
        <f>"20190312172627473"</f>
        <v>20190312172627473</v>
      </c>
      <c r="B803" t="str">
        <f>"1552382787469768"</f>
        <v>1552382787469768</v>
      </c>
      <c r="C803" t="s">
        <v>40</v>
      </c>
      <c r="D803">
        <v>3.0086650000000001</v>
      </c>
      <c r="E803">
        <v>0.52542639999999996</v>
      </c>
      <c r="F803" t="s">
        <v>41</v>
      </c>
      <c r="G803">
        <v>-225.9734</v>
      </c>
      <c r="H803" s="1">
        <v>-3.00497E-6</v>
      </c>
      <c r="I803">
        <v>363.4203</v>
      </c>
      <c r="J803">
        <v>-266.02390000000003</v>
      </c>
      <c r="K803">
        <v>1.1095680000000001</v>
      </c>
      <c r="L803">
        <v>367.44029999999998</v>
      </c>
      <c r="M803">
        <v>0.99916430000000001</v>
      </c>
      <c r="N803">
        <v>0</v>
      </c>
      <c r="O803">
        <v>3.9667559999999998E-2</v>
      </c>
      <c r="P803">
        <v>0.9890871</v>
      </c>
      <c r="Q803">
        <v>0.1435765</v>
      </c>
      <c r="R803">
        <v>-3.3057889999999999E-2</v>
      </c>
      <c r="S803">
        <v>3.0352480000000002</v>
      </c>
      <c r="T803">
        <v>-8.3419199999999999E-2</v>
      </c>
      <c r="U803">
        <v>-0.30126950000000002</v>
      </c>
      <c r="V803">
        <v>7.2218359999999995E-2</v>
      </c>
      <c r="W803">
        <v>0.15333039999999901</v>
      </c>
      <c r="X803">
        <v>0.98553250000000003</v>
      </c>
      <c r="Y803">
        <v>0.1381029</v>
      </c>
      <c r="Z803">
        <v>-2.9804689999999999E-3</v>
      </c>
      <c r="AA803">
        <v>0.9904134</v>
      </c>
      <c r="AB803">
        <v>32</v>
      </c>
      <c r="AC803">
        <v>40.0505</v>
      </c>
      <c r="AD803">
        <v>-1.1095710049700001</v>
      </c>
      <c r="AE803">
        <v>-4.01999999999998</v>
      </c>
      <c r="AF803">
        <v>5.6013621774332796</v>
      </c>
      <c r="AG803">
        <v>-1.1095710049700001</v>
      </c>
      <c r="AH803">
        <v>39.829238005298699</v>
      </c>
      <c r="AI803">
        <v>91.580202599265405</v>
      </c>
      <c r="AJ803">
        <v>81.994741331186503</v>
      </c>
      <c r="AK803">
        <v>40.236483521060599</v>
      </c>
      <c r="AL803">
        <v>81.180022301359301</v>
      </c>
      <c r="AM803">
        <v>85.8089411719628</v>
      </c>
      <c r="AN803">
        <v>1.0000000058207399</v>
      </c>
    </row>
    <row r="804" spans="1:40" x14ac:dyDescent="0.25">
      <c r="A804" t="str">
        <f>"20190312172627497"</f>
        <v>20190312172627497</v>
      </c>
      <c r="B804" t="str">
        <f>"1552382787489287"</f>
        <v>1552382787489287</v>
      </c>
      <c r="C804" t="s">
        <v>40</v>
      </c>
      <c r="D804">
        <v>3.0297580000000002</v>
      </c>
      <c r="E804">
        <v>0.52547169999999999</v>
      </c>
      <c r="F804" t="s">
        <v>41</v>
      </c>
      <c r="G804">
        <v>-225.6583</v>
      </c>
      <c r="H804" s="1">
        <v>-3.120132E-6</v>
      </c>
      <c r="I804">
        <v>363.3904</v>
      </c>
      <c r="J804">
        <v>-265.69560000000001</v>
      </c>
      <c r="K804">
        <v>1.1095820000000001</v>
      </c>
      <c r="L804">
        <v>367.45359999999999</v>
      </c>
      <c r="M804">
        <v>0.99915690000000001</v>
      </c>
      <c r="N804">
        <v>0</v>
      </c>
      <c r="O804">
        <v>3.9848719999999997E-2</v>
      </c>
      <c r="P804">
        <v>0.98909020000000003</v>
      </c>
      <c r="Q804">
        <v>0.143373</v>
      </c>
      <c r="R804">
        <v>-3.3836739999999997E-2</v>
      </c>
      <c r="S804">
        <v>3.035034</v>
      </c>
      <c r="T804">
        <v>-8.3427070000000006E-2</v>
      </c>
      <c r="U804">
        <v>-0.30450440000000001</v>
      </c>
      <c r="V804">
        <v>7.3175500000000004E-2</v>
      </c>
      <c r="W804">
        <v>0.15314610000000001</v>
      </c>
      <c r="X804">
        <v>0.98549059999999999</v>
      </c>
      <c r="Y804">
        <v>0.13933389999999901</v>
      </c>
      <c r="Z804">
        <v>-3.002649E-3</v>
      </c>
      <c r="AA804">
        <v>0.99024089999999998</v>
      </c>
      <c r="AB804">
        <v>32</v>
      </c>
      <c r="AC804">
        <v>40.037300000000002</v>
      </c>
      <c r="AD804">
        <v>-1.1095851201319999</v>
      </c>
      <c r="AE804">
        <v>-4.0631999999999904</v>
      </c>
      <c r="AF804">
        <v>5.6511892089315401</v>
      </c>
      <c r="AG804">
        <v>-1.1095851201319999</v>
      </c>
      <c r="AH804">
        <v>39.8133079867766</v>
      </c>
      <c r="AI804">
        <v>91.580568431653106</v>
      </c>
      <c r="AJ804">
        <v>81.921277165500697</v>
      </c>
      <c r="AK804">
        <v>40.227684639609699</v>
      </c>
      <c r="AL804">
        <v>81.190708532744495</v>
      </c>
      <c r="AM804">
        <v>85.753417299139898</v>
      </c>
      <c r="AN804">
        <v>1.0000000522168999</v>
      </c>
    </row>
    <row r="805" spans="1:40" x14ac:dyDescent="0.25">
      <c r="A805" t="str">
        <f>"20190312172627519"</f>
        <v>20190312172627519</v>
      </c>
      <c r="B805" t="str">
        <f>"1552382787509784"</f>
        <v>1552382787509784</v>
      </c>
      <c r="C805" t="s">
        <v>40</v>
      </c>
      <c r="D805">
        <v>3.035075</v>
      </c>
      <c r="E805">
        <v>0.52550379999999997</v>
      </c>
      <c r="F805" t="s">
        <v>41</v>
      </c>
      <c r="G805">
        <v>-225.77359999999999</v>
      </c>
      <c r="H805" s="1">
        <v>-3.0757890000000002E-6</v>
      </c>
      <c r="I805">
        <v>363.40969999999999</v>
      </c>
      <c r="J805">
        <v>-265.37529999999998</v>
      </c>
      <c r="K805">
        <v>1.1095889999999999</v>
      </c>
      <c r="L805">
        <v>367.4665</v>
      </c>
      <c r="M805">
        <v>0.99914959999999997</v>
      </c>
      <c r="N805">
        <v>0</v>
      </c>
      <c r="O805">
        <v>4.0024339999999999E-2</v>
      </c>
      <c r="P805">
        <v>0.98907690000000004</v>
      </c>
      <c r="Q805">
        <v>0.14319609999999999</v>
      </c>
      <c r="R805">
        <v>-3.4953289999999998E-2</v>
      </c>
      <c r="S805">
        <v>3.0347900000000001</v>
      </c>
      <c r="T805">
        <v>-8.4348080000000006E-2</v>
      </c>
      <c r="U805">
        <v>-0.307403599999999</v>
      </c>
      <c r="V805">
        <v>7.4464429999999998E-2</v>
      </c>
      <c r="W805">
        <v>0.15298689999999901</v>
      </c>
      <c r="X805">
        <v>0.98541869999999998</v>
      </c>
      <c r="Y805">
        <v>0.1404502</v>
      </c>
      <c r="Z805">
        <v>-3.0562300000000001E-3</v>
      </c>
      <c r="AA805">
        <v>0.99008300000000005</v>
      </c>
      <c r="AB805">
        <v>32</v>
      </c>
      <c r="AC805">
        <v>39.601700000000001</v>
      </c>
      <c r="AD805">
        <v>-1.1095920757890001</v>
      </c>
      <c r="AE805">
        <v>-4.0568000000000097</v>
      </c>
      <c r="AF805">
        <v>5.6342813923687398</v>
      </c>
      <c r="AG805">
        <v>-1.1095920757890001</v>
      </c>
      <c r="AH805">
        <v>39.376993533650598</v>
      </c>
      <c r="AI805">
        <v>91.597827736065696</v>
      </c>
      <c r="AJ805">
        <v>81.857069297153501</v>
      </c>
      <c r="AK805">
        <v>39.793516320277703</v>
      </c>
      <c r="AL805">
        <v>81.199938137832405</v>
      </c>
      <c r="AM805">
        <v>85.678583802096696</v>
      </c>
      <c r="AN805">
        <v>0.99999997860826195</v>
      </c>
    </row>
    <row r="806" spans="1:40" x14ac:dyDescent="0.25">
      <c r="A806" t="str">
        <f>"20190312172627541"</f>
        <v>20190312172627541</v>
      </c>
      <c r="B806" t="str">
        <f>"1552382787529304"</f>
        <v>1552382787529304</v>
      </c>
      <c r="C806" t="s">
        <v>40</v>
      </c>
      <c r="D806">
        <v>3.0380219999999998</v>
      </c>
      <c r="E806">
        <v>0.52550160000000001</v>
      </c>
      <c r="F806" t="s">
        <v>41</v>
      </c>
      <c r="G806">
        <v>-225.69880000000001</v>
      </c>
      <c r="H806" s="1">
        <v>-3.106692E-6</v>
      </c>
      <c r="I806">
        <v>363.38920000000002</v>
      </c>
      <c r="J806">
        <v>-265.07040000000001</v>
      </c>
      <c r="K806">
        <v>1.1095930000000001</v>
      </c>
      <c r="L806">
        <v>367.47890000000001</v>
      </c>
      <c r="M806">
        <v>0.99914289999999994</v>
      </c>
      <c r="N806">
        <v>0</v>
      </c>
      <c r="O806">
        <v>4.0189280000000001E-2</v>
      </c>
      <c r="P806">
        <v>0.98901989999999995</v>
      </c>
      <c r="Q806">
        <v>0.14320720000000001</v>
      </c>
      <c r="R806">
        <v>-3.6491660000000002E-2</v>
      </c>
      <c r="S806">
        <v>3.034424</v>
      </c>
      <c r="T806">
        <v>-8.4860320000000003E-2</v>
      </c>
      <c r="U806">
        <v>-0.31182860000000001</v>
      </c>
      <c r="V806">
        <v>7.6162590000000002E-2</v>
      </c>
      <c r="W806">
        <v>0.15301139999999999</v>
      </c>
      <c r="X806">
        <v>0.98528510000000002</v>
      </c>
      <c r="Y806">
        <v>0.14205290000000001</v>
      </c>
      <c r="Z806">
        <v>-3.1018819999999998E-3</v>
      </c>
      <c r="AA806">
        <v>0.98985420000000002</v>
      </c>
      <c r="AB806">
        <v>32</v>
      </c>
      <c r="AC806">
        <v>39.371600000000001</v>
      </c>
      <c r="AD806">
        <v>-1.1095961066919999</v>
      </c>
      <c r="AE806">
        <v>-4.0896999999999899</v>
      </c>
      <c r="AF806">
        <v>5.66433862292548</v>
      </c>
      <c r="AG806">
        <v>-1.1095961066919999</v>
      </c>
      <c r="AH806">
        <v>39.144658548960997</v>
      </c>
      <c r="AI806">
        <v>91.606945998809707</v>
      </c>
      <c r="AJ806">
        <v>81.766295539807103</v>
      </c>
      <c r="AK806">
        <v>39.567919182968097</v>
      </c>
      <c r="AL806">
        <v>81.198517665753201</v>
      </c>
      <c r="AM806">
        <v>85.579823206567994</v>
      </c>
      <c r="AN806">
        <v>0.999999978463738</v>
      </c>
    </row>
    <row r="807" spans="1:40" x14ac:dyDescent="0.25">
      <c r="A807" t="str">
        <f>"20190312172627563"</f>
        <v>20190312172627563</v>
      </c>
      <c r="B807" t="str">
        <f>"1552382787559561"</f>
        <v>1552382787559561</v>
      </c>
      <c r="C807" t="s">
        <v>40</v>
      </c>
      <c r="D807">
        <v>3.0407660000000001</v>
      </c>
      <c r="E807">
        <v>0.52548509999999904</v>
      </c>
      <c r="F807" t="s">
        <v>41</v>
      </c>
      <c r="G807">
        <v>-225.5018</v>
      </c>
      <c r="H807" s="1">
        <v>-3.1835359999999998E-6</v>
      </c>
      <c r="I807">
        <v>363.35230000000001</v>
      </c>
      <c r="J807">
        <v>-264.75299999999999</v>
      </c>
      <c r="K807">
        <v>1.109594</v>
      </c>
      <c r="L807">
        <v>367.49180000000001</v>
      </c>
      <c r="M807">
        <v>0.99913600000000002</v>
      </c>
      <c r="N807">
        <v>0</v>
      </c>
      <c r="O807">
        <v>4.035565E-2</v>
      </c>
      <c r="P807">
        <v>0.98897679999999999</v>
      </c>
      <c r="Q807">
        <v>0.14315120000000001</v>
      </c>
      <c r="R807">
        <v>-3.7854739999999998E-2</v>
      </c>
      <c r="S807">
        <v>3.0339659999999999</v>
      </c>
      <c r="T807">
        <v>-8.5079429999999998E-2</v>
      </c>
      <c r="U807">
        <v>-0.31640629999999997</v>
      </c>
      <c r="V807">
        <v>7.7688259999999995E-2</v>
      </c>
      <c r="W807">
        <v>0.15296850000000001</v>
      </c>
      <c r="X807">
        <v>0.98517259999999995</v>
      </c>
      <c r="Y807">
        <v>0.14370929999999901</v>
      </c>
      <c r="Z807">
        <v>-3.1379329999999999E-3</v>
      </c>
      <c r="AA807">
        <v>0.98961500000000002</v>
      </c>
      <c r="AB807">
        <v>32</v>
      </c>
      <c r="AC807">
        <v>39.251199999999898</v>
      </c>
      <c r="AD807">
        <v>-1.1095971835359999</v>
      </c>
      <c r="AE807">
        <v>-4.1394999999999902</v>
      </c>
      <c r="AF807">
        <v>5.7156959711226998</v>
      </c>
      <c r="AG807">
        <v>-1.1095971835359999</v>
      </c>
      <c r="AH807">
        <v>39.021320910821302</v>
      </c>
      <c r="AI807">
        <v>91.611616757229896</v>
      </c>
      <c r="AJ807">
        <v>81.666790163297506</v>
      </c>
      <c r="AK807">
        <v>39.453312560155403</v>
      </c>
      <c r="AL807">
        <v>81.201004592288399</v>
      </c>
      <c r="AM807">
        <v>85.491128089492193</v>
      </c>
      <c r="AN807">
        <v>0.99999993976241697</v>
      </c>
    </row>
    <row r="808" spans="1:40" x14ac:dyDescent="0.25">
      <c r="A808" t="str">
        <f>"20190312172627584"</f>
        <v>20190312172627584</v>
      </c>
      <c r="B808" t="str">
        <f>"1552382787579079"</f>
        <v>1552382787579079</v>
      </c>
      <c r="C808" t="s">
        <v>40</v>
      </c>
      <c r="D808">
        <v>3.0161319999999998</v>
      </c>
      <c r="E808">
        <v>0.52547569999999999</v>
      </c>
      <c r="F808" t="s">
        <v>41</v>
      </c>
      <c r="G808">
        <v>-225.48519999999999</v>
      </c>
      <c r="H808" s="1">
        <v>-3.192686E-6</v>
      </c>
      <c r="I808">
        <v>363.33920000000001</v>
      </c>
      <c r="J808">
        <v>-264.43189999999998</v>
      </c>
      <c r="K808">
        <v>1.1095889999999999</v>
      </c>
      <c r="L808">
        <v>367.50490000000002</v>
      </c>
      <c r="M808">
        <v>0.99912970000000001</v>
      </c>
      <c r="N808">
        <v>0</v>
      </c>
      <c r="O808">
        <v>4.0514349999999998E-2</v>
      </c>
      <c r="P808">
        <v>0.98896079999999997</v>
      </c>
      <c r="Q808">
        <v>0.1429483</v>
      </c>
      <c r="R808">
        <v>-3.9016729999999999E-2</v>
      </c>
      <c r="S808">
        <v>3.033569</v>
      </c>
      <c r="T808">
        <v>-8.5719939999999994E-2</v>
      </c>
      <c r="U808">
        <v>-0.3208008</v>
      </c>
      <c r="V808">
        <v>7.9007969999999997E-2</v>
      </c>
      <c r="W808">
        <v>0.15277669999999999</v>
      </c>
      <c r="X808">
        <v>0.98509749999999996</v>
      </c>
      <c r="Y808">
        <v>0.145295799999999</v>
      </c>
      <c r="Z808">
        <v>-3.1885500000000001E-3</v>
      </c>
      <c r="AA808">
        <v>0.98938309999999996</v>
      </c>
      <c r="AB808">
        <v>32</v>
      </c>
      <c r="AC808">
        <v>38.9466999999999</v>
      </c>
      <c r="AD808">
        <v>-1.109592192686</v>
      </c>
      <c r="AE808">
        <v>-4.16570000000001</v>
      </c>
      <c r="AF808">
        <v>5.7356544754801497</v>
      </c>
      <c r="AG808">
        <v>-1.109592192686</v>
      </c>
      <c r="AH808">
        <v>38.714872289395601</v>
      </c>
      <c r="AI808">
        <v>91.623967411938494</v>
      </c>
      <c r="AJ808">
        <v>81.572860327592494</v>
      </c>
      <c r="AK808">
        <v>39.153164156685698</v>
      </c>
      <c r="AL808">
        <v>81.212125445985606</v>
      </c>
      <c r="AM808">
        <v>85.414510567605205</v>
      </c>
      <c r="AN808">
        <v>1.00000003194632</v>
      </c>
    </row>
    <row r="809" spans="1:40" x14ac:dyDescent="0.25">
      <c r="A809" t="str">
        <f>"20190312172627608"</f>
        <v>20190312172627608</v>
      </c>
      <c r="B809" t="str">
        <f>"1552382787599575"</f>
        <v>1552382787599575</v>
      </c>
      <c r="C809" t="s">
        <v>40</v>
      </c>
      <c r="D809">
        <v>3.0316969999999999</v>
      </c>
      <c r="E809">
        <v>0.52550180000000002</v>
      </c>
      <c r="F809" t="s">
        <v>41</v>
      </c>
      <c r="G809">
        <v>-225.49780000000001</v>
      </c>
      <c r="H809" s="1">
        <v>-3.1881730000000001E-6</v>
      </c>
      <c r="I809">
        <v>363.34010000000001</v>
      </c>
      <c r="J809">
        <v>-264.10169999999999</v>
      </c>
      <c r="K809">
        <v>1.1095809999999999</v>
      </c>
      <c r="L809">
        <v>367.51850000000002</v>
      </c>
      <c r="M809">
        <v>0.99912330000000005</v>
      </c>
      <c r="N809">
        <v>0</v>
      </c>
      <c r="O809">
        <v>4.0665649999999998E-2</v>
      </c>
      <c r="P809">
        <v>0.98890129999999998</v>
      </c>
      <c r="Q809">
        <v>0.14304629999999999</v>
      </c>
      <c r="R809">
        <v>-4.0151600000000003E-2</v>
      </c>
      <c r="S809">
        <v>3.0332029999999999</v>
      </c>
      <c r="T809">
        <v>-8.6443660000000005E-2</v>
      </c>
      <c r="U809">
        <v>-0.3244629</v>
      </c>
      <c r="V809">
        <v>8.0291870000000001E-2</v>
      </c>
      <c r="W809">
        <v>0.1528841</v>
      </c>
      <c r="X809">
        <v>0.98497699999999999</v>
      </c>
      <c r="Y809">
        <v>0.146637299999999</v>
      </c>
      <c r="Z809">
        <v>-3.2390079999999998E-3</v>
      </c>
      <c r="AA809">
        <v>0.98918499999999998</v>
      </c>
      <c r="AB809">
        <v>32</v>
      </c>
      <c r="AC809">
        <v>38.603899999999904</v>
      </c>
      <c r="AD809">
        <v>-1.109584188173</v>
      </c>
      <c r="AE809">
        <v>-4.1784000000000097</v>
      </c>
      <c r="AF809">
        <v>5.7401863453909403</v>
      </c>
      <c r="AG809">
        <v>-1.109584188173</v>
      </c>
      <c r="AH809">
        <v>38.3707055074496</v>
      </c>
      <c r="AI809">
        <v>91.638168818156004</v>
      </c>
      <c r="AJ809">
        <v>81.491753688704193</v>
      </c>
      <c r="AK809">
        <v>38.8135537858861</v>
      </c>
      <c r="AL809">
        <v>81.205898549246498</v>
      </c>
      <c r="AM809">
        <v>85.339753156199706</v>
      </c>
      <c r="AN809">
        <v>1.0000000114749501</v>
      </c>
    </row>
    <row r="810" spans="1:40" x14ac:dyDescent="0.25">
      <c r="A810" t="str">
        <f>"20190312172627630"</f>
        <v>20190312172627630</v>
      </c>
      <c r="B810" t="str">
        <f>"1552382787619095"</f>
        <v>1552382787619095</v>
      </c>
      <c r="C810" t="s">
        <v>40</v>
      </c>
      <c r="D810">
        <v>3.0590259999999998</v>
      </c>
      <c r="E810">
        <v>0.52547819999999901</v>
      </c>
      <c r="F810" t="s">
        <v>41</v>
      </c>
      <c r="G810">
        <v>-225.1414</v>
      </c>
      <c r="H810" s="1">
        <v>-3.3184930000000001E-6</v>
      </c>
      <c r="I810">
        <v>363.30610000000001</v>
      </c>
      <c r="J810">
        <v>-263.78890000000001</v>
      </c>
      <c r="K810">
        <v>1.1095729999999999</v>
      </c>
      <c r="L810">
        <v>367.53140000000002</v>
      </c>
      <c r="M810">
        <v>0.9991179</v>
      </c>
      <c r="N810">
        <v>0</v>
      </c>
      <c r="O810">
        <v>4.07929E-2</v>
      </c>
      <c r="P810">
        <v>0.98883829999999995</v>
      </c>
      <c r="Q810">
        <v>0.143239899999999</v>
      </c>
      <c r="R810">
        <v>-4.1004329999999999E-2</v>
      </c>
      <c r="S810">
        <v>3.0328369999999998</v>
      </c>
      <c r="T810">
        <v>-8.6374519999999996E-2</v>
      </c>
      <c r="U810">
        <v>-0.32791140000000002</v>
      </c>
      <c r="V810">
        <v>8.1270880000000004E-2</v>
      </c>
      <c r="W810">
        <v>0.15308540000000001</v>
      </c>
      <c r="X810">
        <v>0.9848654</v>
      </c>
      <c r="Y810">
        <v>0.1478872</v>
      </c>
      <c r="Z810">
        <v>-3.2579750000000002E-3</v>
      </c>
      <c r="AA810">
        <v>0.98899890000000001</v>
      </c>
      <c r="AB810">
        <v>32</v>
      </c>
      <c r="AC810">
        <v>38.647500000000001</v>
      </c>
      <c r="AD810">
        <v>-1.1095763184930001</v>
      </c>
      <c r="AE810">
        <v>-4.2252999999999998</v>
      </c>
      <c r="AF810">
        <v>5.7936853651178701</v>
      </c>
      <c r="AG810">
        <v>-1.1095763184930001</v>
      </c>
      <c r="AH810">
        <v>38.411668959198799</v>
      </c>
      <c r="AI810">
        <v>91.636114902093695</v>
      </c>
      <c r="AJ810">
        <v>81.422653231399394</v>
      </c>
      <c r="AK810">
        <v>38.861989938082402</v>
      </c>
      <c r="AL810">
        <v>81.194227208057299</v>
      </c>
      <c r="AM810">
        <v>85.282652895237007</v>
      </c>
      <c r="AN810">
        <v>0.99999997587314604</v>
      </c>
    </row>
    <row r="811" spans="1:40" x14ac:dyDescent="0.25">
      <c r="A811" t="str">
        <f>"20190312172627652"</f>
        <v>20190312172627652</v>
      </c>
      <c r="B811" t="str">
        <f>"1552382787649352"</f>
        <v>1552382787649352</v>
      </c>
      <c r="C811" t="s">
        <v>40</v>
      </c>
      <c r="D811">
        <v>3.0867010000000001</v>
      </c>
      <c r="E811">
        <v>0.52542040000000001</v>
      </c>
      <c r="F811" t="s">
        <v>41</v>
      </c>
      <c r="G811">
        <v>-224.7199</v>
      </c>
      <c r="H811" s="1">
        <v>-3.4703999999999998E-6</v>
      </c>
      <c r="I811">
        <v>363.27429999999998</v>
      </c>
      <c r="J811">
        <v>-263.47559999999999</v>
      </c>
      <c r="K811">
        <v>1.1095649999999999</v>
      </c>
      <c r="L811">
        <v>367.54430000000002</v>
      </c>
      <c r="M811">
        <v>0.99911309999999998</v>
      </c>
      <c r="N811">
        <v>0</v>
      </c>
      <c r="O811">
        <v>4.0907329999999999E-2</v>
      </c>
      <c r="P811">
        <v>0.98881569999999996</v>
      </c>
      <c r="Q811">
        <v>0.14332129999999901</v>
      </c>
      <c r="R811">
        <v>-4.1260739999999997E-2</v>
      </c>
      <c r="S811">
        <v>3.0326230000000001</v>
      </c>
      <c r="T811">
        <v>-8.6127519999999999E-2</v>
      </c>
      <c r="U811">
        <v>-0.33044430000000002</v>
      </c>
      <c r="V811">
        <v>8.1643149999999998E-2</v>
      </c>
      <c r="W811">
        <v>0.15317349999999999</v>
      </c>
      <c r="X811">
        <v>0.98482099999999995</v>
      </c>
      <c r="Y811">
        <v>0.14882429999999999</v>
      </c>
      <c r="Z811">
        <v>-3.2652559999999998E-3</v>
      </c>
      <c r="AA811">
        <v>0.98885829999999997</v>
      </c>
      <c r="AB811">
        <v>32</v>
      </c>
      <c r="AC811">
        <v>38.755699999999898</v>
      </c>
      <c r="AD811">
        <v>-1.1095684704</v>
      </c>
      <c r="AE811">
        <v>-4.2700000000000298</v>
      </c>
      <c r="AF811">
        <v>5.8471613495734402</v>
      </c>
      <c r="AG811">
        <v>-1.1095684704</v>
      </c>
      <c r="AH811">
        <v>38.5173803639724</v>
      </c>
      <c r="AI811">
        <v>91.6313804173611</v>
      </c>
      <c r="AJ811">
        <v>81.368073872610594</v>
      </c>
      <c r="AK811">
        <v>38.9744663612137</v>
      </c>
      <c r="AL811">
        <v>81.189119985285402</v>
      </c>
      <c r="AM811">
        <v>85.260930091555295</v>
      </c>
      <c r="AN811">
        <v>1.0000000635425801</v>
      </c>
    </row>
    <row r="812" spans="1:40" x14ac:dyDescent="0.25">
      <c r="A812" t="str">
        <f>"20190312172627675"</f>
        <v>20190312172627675</v>
      </c>
      <c r="B812" t="str">
        <f>"1552382787669847"</f>
        <v>1552382787669847</v>
      </c>
      <c r="C812" t="s">
        <v>40</v>
      </c>
      <c r="D812">
        <v>3.087968</v>
      </c>
      <c r="E812">
        <v>0.52537239999999996</v>
      </c>
      <c r="F812" t="s">
        <v>41</v>
      </c>
      <c r="G812">
        <v>-224.4907</v>
      </c>
      <c r="H812" s="1">
        <v>-3.5424109999999998E-6</v>
      </c>
      <c r="I812">
        <v>363.29669999999999</v>
      </c>
      <c r="J812">
        <v>-263.1465</v>
      </c>
      <c r="K812">
        <v>1.1095489999999999</v>
      </c>
      <c r="L812">
        <v>367.55790000000002</v>
      </c>
      <c r="M812">
        <v>0.99910889999999997</v>
      </c>
      <c r="N812">
        <v>0</v>
      </c>
      <c r="O812">
        <v>4.101014E-2</v>
      </c>
      <c r="P812">
        <v>0.98883840000000001</v>
      </c>
      <c r="Q812">
        <v>0.14325450000000001</v>
      </c>
      <c r="R812">
        <v>-4.0950939999999998E-2</v>
      </c>
      <c r="S812">
        <v>3.0326230000000001</v>
      </c>
      <c r="T812">
        <v>-8.6312650000000005E-2</v>
      </c>
      <c r="U812">
        <v>-0.33041379999999998</v>
      </c>
      <c r="V812">
        <v>8.1440600000000002E-2</v>
      </c>
      <c r="W812">
        <v>0.1531141</v>
      </c>
      <c r="X812">
        <v>0.98484689999999997</v>
      </c>
      <c r="Y812">
        <v>0.14891579999999999</v>
      </c>
      <c r="Z812">
        <v>-3.2764890000000001E-3</v>
      </c>
      <c r="AA812">
        <v>0.98884450000000002</v>
      </c>
      <c r="AB812">
        <v>32</v>
      </c>
      <c r="AC812">
        <v>38.655799999999999</v>
      </c>
      <c r="AD812">
        <v>-1.109552542411</v>
      </c>
      <c r="AE812">
        <v>-4.2612000000000299</v>
      </c>
      <c r="AF812">
        <v>5.8382212538542504</v>
      </c>
      <c r="AG812">
        <v>-1.109552542411</v>
      </c>
      <c r="AH812">
        <v>38.417244318938003</v>
      </c>
      <c r="AI812">
        <v>91.635567347135805</v>
      </c>
      <c r="AJ812">
        <v>81.358946531191094</v>
      </c>
      <c r="AK812">
        <v>38.874163596330902</v>
      </c>
      <c r="AL812">
        <v>81.192563040351104</v>
      </c>
      <c r="AM812">
        <v>85.272757744746897</v>
      </c>
      <c r="AN812">
        <v>0.99999995769338901</v>
      </c>
    </row>
    <row r="813" spans="1:40" x14ac:dyDescent="0.25">
      <c r="A813" t="str">
        <f>"20190312172627698"</f>
        <v>20190312172627698</v>
      </c>
      <c r="B813" t="str">
        <f>"1552382787689367"</f>
        <v>1552382787689367</v>
      </c>
      <c r="C813" t="s">
        <v>40</v>
      </c>
      <c r="D813">
        <v>3.0883669999999999</v>
      </c>
      <c r="E813">
        <v>0.52533169999999996</v>
      </c>
      <c r="F813" t="s">
        <v>41</v>
      </c>
      <c r="G813">
        <v>-224.44309999999999</v>
      </c>
      <c r="H813" s="1">
        <v>-3.542822E-6</v>
      </c>
      <c r="I813">
        <v>363.35599999999999</v>
      </c>
      <c r="J813">
        <v>-262.82119999999998</v>
      </c>
      <c r="K813">
        <v>1.1095440000000001</v>
      </c>
      <c r="L813">
        <v>367.57130000000001</v>
      </c>
      <c r="M813">
        <v>0.99910529999999997</v>
      </c>
      <c r="N813">
        <v>0</v>
      </c>
      <c r="O813">
        <v>4.1094449999999998E-2</v>
      </c>
      <c r="P813">
        <v>0.98880869999999998</v>
      </c>
      <c r="Q813">
        <v>0.14354149999999999</v>
      </c>
      <c r="R813">
        <v>-4.0660120000000001E-2</v>
      </c>
      <c r="S813">
        <v>3.0328059999999999</v>
      </c>
      <c r="T813">
        <v>-8.6944579999999994E-2</v>
      </c>
      <c r="U813">
        <v>-0.3292542</v>
      </c>
      <c r="V813">
        <v>8.1236680000000006E-2</v>
      </c>
      <c r="W813">
        <v>0.15340909999999999</v>
      </c>
      <c r="X813">
        <v>0.98481790000000002</v>
      </c>
      <c r="Y813">
        <v>0.1486181</v>
      </c>
      <c r="Z813">
        <v>-3.2984920000000001E-3</v>
      </c>
      <c r="AA813">
        <v>0.98888920000000002</v>
      </c>
      <c r="AB813">
        <v>32</v>
      </c>
      <c r="AC813">
        <v>38.378099999999897</v>
      </c>
      <c r="AD813">
        <v>-1.1095475428219901</v>
      </c>
      <c r="AE813">
        <v>-4.2153000000000098</v>
      </c>
      <c r="AF813">
        <v>5.7841674624152901</v>
      </c>
      <c r="AG813">
        <v>-1.1095475428219901</v>
      </c>
      <c r="AH813">
        <v>38.140943562315798</v>
      </c>
      <c r="AI813">
        <v>91.647479091403298</v>
      </c>
      <c r="AJ813">
        <v>81.376661997421294</v>
      </c>
      <c r="AK813">
        <v>38.592995022501299</v>
      </c>
      <c r="AL813">
        <v>81.175459290292295</v>
      </c>
      <c r="AM813">
        <v>85.284402664577996</v>
      </c>
      <c r="AN813">
        <v>1.0000000231503201</v>
      </c>
    </row>
    <row r="814" spans="1:40" x14ac:dyDescent="0.25">
      <c r="A814" t="str">
        <f>"20190312172627720"</f>
        <v>20190312172627720</v>
      </c>
      <c r="B814" t="str">
        <f>"1552382787709864"</f>
        <v>1552382787709864</v>
      </c>
      <c r="C814" t="s">
        <v>40</v>
      </c>
      <c r="D814">
        <v>3.0965590000000001</v>
      </c>
      <c r="E814">
        <v>0.52530390000000005</v>
      </c>
      <c r="F814" t="s">
        <v>41</v>
      </c>
      <c r="G814">
        <v>-223.83879999999999</v>
      </c>
      <c r="H814" s="1">
        <v>-3.7476540000000001E-6</v>
      </c>
      <c r="I814">
        <v>363.35910000000001</v>
      </c>
      <c r="J814">
        <v>-262.49579999999997</v>
      </c>
      <c r="K814">
        <v>1.109534</v>
      </c>
      <c r="L814">
        <v>367.5847</v>
      </c>
      <c r="M814">
        <v>0.99910239999999995</v>
      </c>
      <c r="N814">
        <v>0</v>
      </c>
      <c r="O814">
        <v>4.1159220000000003E-2</v>
      </c>
      <c r="P814">
        <v>0.98878310000000003</v>
      </c>
      <c r="Q814">
        <v>0.1438276</v>
      </c>
      <c r="R814">
        <v>-4.0267850000000001E-2</v>
      </c>
      <c r="S814">
        <v>3.03302</v>
      </c>
      <c r="T814">
        <v>-8.632803E-2</v>
      </c>
      <c r="U814">
        <v>-0.32772829999999997</v>
      </c>
      <c r="V814">
        <v>8.0912789999999998E-2</v>
      </c>
      <c r="W814">
        <v>0.15370919999999999</v>
      </c>
      <c r="X814">
        <v>0.9847977</v>
      </c>
      <c r="Y814">
        <v>0.14818429999999999</v>
      </c>
      <c r="Z814">
        <v>-3.2706520000000002E-3</v>
      </c>
      <c r="AA814">
        <v>0.98895440000000001</v>
      </c>
      <c r="AB814">
        <v>32</v>
      </c>
      <c r="AC814">
        <v>38.656999999999897</v>
      </c>
      <c r="AD814">
        <v>-1.109537747654</v>
      </c>
      <c r="AE814">
        <v>-4.2255999999999796</v>
      </c>
      <c r="AF814">
        <v>5.8084620676391099</v>
      </c>
      <c r="AG814">
        <v>-1.109537747654</v>
      </c>
      <c r="AH814">
        <v>38.419031326618899</v>
      </c>
      <c r="AI814">
        <v>91.635658847672801</v>
      </c>
      <c r="AJ814">
        <v>81.402726663662904</v>
      </c>
      <c r="AK814">
        <v>38.871471205504903</v>
      </c>
      <c r="AL814">
        <v>81.158057825947196</v>
      </c>
      <c r="AM814">
        <v>85.3030235196794</v>
      </c>
      <c r="AN814">
        <v>0.99999995383775497</v>
      </c>
    </row>
    <row r="815" spans="1:40" x14ac:dyDescent="0.25">
      <c r="A815" t="str">
        <f>"20190312172627741"</f>
        <v>20190312172627741</v>
      </c>
      <c r="B815" t="str">
        <f>"1552382787729384"</f>
        <v>1552382787729384</v>
      </c>
      <c r="C815" t="s">
        <v>40</v>
      </c>
      <c r="D815">
        <v>3.0897250000000001</v>
      </c>
      <c r="E815">
        <v>0.52528009999999903</v>
      </c>
      <c r="F815" t="s">
        <v>41</v>
      </c>
      <c r="G815">
        <v>-223.35730000000001</v>
      </c>
      <c r="H815" s="1">
        <v>-3.9390629999999997E-6</v>
      </c>
      <c r="I815">
        <v>363.37540000000001</v>
      </c>
      <c r="J815">
        <v>-262.19220000000001</v>
      </c>
      <c r="K815">
        <v>1.109526</v>
      </c>
      <c r="L815">
        <v>367.59730000000002</v>
      </c>
      <c r="M815">
        <v>0.9991004</v>
      </c>
      <c r="N815">
        <v>0</v>
      </c>
      <c r="O815">
        <v>4.1202030000000001E-2</v>
      </c>
      <c r="P815">
        <v>0.98887939999999996</v>
      </c>
      <c r="Q815">
        <v>0.14325179999999901</v>
      </c>
      <c r="R815">
        <v>-3.9957649999999997E-2</v>
      </c>
      <c r="S815">
        <v>3.033325</v>
      </c>
      <c r="T815">
        <v>-8.5991620000000005E-2</v>
      </c>
      <c r="U815">
        <v>-0.32623289999999999</v>
      </c>
      <c r="V815">
        <v>8.0654299999999998E-2</v>
      </c>
      <c r="W815">
        <v>0.1531537</v>
      </c>
      <c r="X815">
        <v>0.98490549999999999</v>
      </c>
      <c r="Y815">
        <v>0.1477349</v>
      </c>
      <c r="Z815">
        <v>-3.2525280000000002E-3</v>
      </c>
      <c r="AA815">
        <v>0.9890217</v>
      </c>
      <c r="AB815">
        <v>32</v>
      </c>
      <c r="AC815">
        <v>38.834899999999998</v>
      </c>
      <c r="AD815">
        <v>-1.109529939063</v>
      </c>
      <c r="AE815">
        <v>-4.2218999999999998</v>
      </c>
      <c r="AF815">
        <v>5.8137817221069499</v>
      </c>
      <c r="AG815">
        <v>-1.109529939063</v>
      </c>
      <c r="AH815">
        <v>38.596822441033197</v>
      </c>
      <c r="AI815">
        <v>91.628251138100296</v>
      </c>
      <c r="AJ815">
        <v>81.434019281404304</v>
      </c>
      <c r="AK815">
        <v>39.047993765911002</v>
      </c>
      <c r="AL815">
        <v>81.190267493277403</v>
      </c>
      <c r="AM815">
        <v>85.3184721929115</v>
      </c>
      <c r="AN815">
        <v>1.0000000079312099</v>
      </c>
    </row>
    <row r="816" spans="1:40" x14ac:dyDescent="0.25">
      <c r="A816" t="str">
        <f>"20190312172627764"</f>
        <v>20190312172627764</v>
      </c>
      <c r="B816" t="str">
        <f>"1552382787759640"</f>
        <v>1552382787759640</v>
      </c>
      <c r="C816" t="s">
        <v>40</v>
      </c>
      <c r="D816">
        <v>3.1220680000000001</v>
      </c>
      <c r="E816">
        <v>0.52528900000000001</v>
      </c>
      <c r="F816" t="s">
        <v>41</v>
      </c>
      <c r="G816">
        <v>-223.9562</v>
      </c>
      <c r="H816" s="1">
        <v>-3.6700060000000002E-6</v>
      </c>
      <c r="I816">
        <v>363.50080000000003</v>
      </c>
      <c r="J816">
        <v>-261.86369999999999</v>
      </c>
      <c r="K816">
        <v>1.1095090000000001</v>
      </c>
      <c r="L816">
        <v>367.61090000000002</v>
      </c>
      <c r="M816">
        <v>0.99909899999999996</v>
      </c>
      <c r="N816">
        <v>0</v>
      </c>
      <c r="O816">
        <v>4.1231919999999998E-2</v>
      </c>
      <c r="P816">
        <v>0.98890880000000003</v>
      </c>
      <c r="Q816">
        <v>0.14308860000000001</v>
      </c>
      <c r="R816">
        <v>-3.981606E-2</v>
      </c>
      <c r="S816">
        <v>3.0333559999999999</v>
      </c>
      <c r="T816">
        <v>-8.80214E-2</v>
      </c>
      <c r="U816">
        <v>-0.32498169999999998</v>
      </c>
      <c r="V816">
        <v>8.0549330000000002E-2</v>
      </c>
      <c r="W816">
        <v>0.15301329999999999</v>
      </c>
      <c r="X816">
        <v>0.98493589999999998</v>
      </c>
      <c r="Y816">
        <v>0.14735670000000001</v>
      </c>
      <c r="Z816">
        <v>-3.324703E-3</v>
      </c>
      <c r="AA816">
        <v>0.98907780000000001</v>
      </c>
      <c r="AB816">
        <v>32</v>
      </c>
      <c r="AC816">
        <v>37.907499999999999</v>
      </c>
      <c r="AD816">
        <v>-1.1095126700059901</v>
      </c>
      <c r="AE816">
        <v>-4.1100999999999797</v>
      </c>
      <c r="AF816">
        <v>5.6648859073031996</v>
      </c>
      <c r="AG816">
        <v>-1.1095126700059901</v>
      </c>
      <c r="AH816">
        <v>37.673885287227399</v>
      </c>
      <c r="AI816">
        <v>91.668156229798896</v>
      </c>
      <c r="AJ816">
        <v>81.448705161683705</v>
      </c>
      <c r="AK816">
        <v>38.113561672229402</v>
      </c>
      <c r="AL816">
        <v>81.198407660582006</v>
      </c>
      <c r="AM816">
        <v>85.324681748667402</v>
      </c>
      <c r="AN816">
        <v>0.999999995824574</v>
      </c>
    </row>
    <row r="817" spans="1:40" x14ac:dyDescent="0.25">
      <c r="A817" t="str">
        <f>"20190312172627786"</f>
        <v>20190312172627786</v>
      </c>
      <c r="B817" t="str">
        <f>"1552382787779159"</f>
        <v>1552382787779159</v>
      </c>
      <c r="C817" t="s">
        <v>40</v>
      </c>
      <c r="D817">
        <v>3.1247310000000001</v>
      </c>
      <c r="E817">
        <v>0.52843390000000001</v>
      </c>
      <c r="F817" t="s">
        <v>41</v>
      </c>
      <c r="G817">
        <v>-224.18899999999999</v>
      </c>
      <c r="H817" s="1">
        <v>-3.5678680000000001E-6</v>
      </c>
      <c r="I817">
        <v>363.58690000000001</v>
      </c>
      <c r="J817">
        <v>-261.536</v>
      </c>
      <c r="K817">
        <v>1.109494</v>
      </c>
      <c r="L817">
        <v>367.62450000000001</v>
      </c>
      <c r="M817">
        <v>0.99909800000000004</v>
      </c>
      <c r="N817">
        <v>0</v>
      </c>
      <c r="O817">
        <v>4.1249269999999998E-2</v>
      </c>
      <c r="P817">
        <v>0.98888799999999999</v>
      </c>
      <c r="Q817">
        <v>0.1432216</v>
      </c>
      <c r="R817">
        <v>-3.9856000000000003E-2</v>
      </c>
      <c r="S817">
        <v>3.0335390000000002</v>
      </c>
      <c r="T817">
        <v>-8.9336869999999999E-2</v>
      </c>
      <c r="U817">
        <v>-0.32400509999999999</v>
      </c>
      <c r="V817">
        <v>8.0610580000000001E-2</v>
      </c>
      <c r="W817">
        <v>0.15316779999999999</v>
      </c>
      <c r="X817">
        <v>0.98490690000000003</v>
      </c>
      <c r="Y817">
        <v>0.1470504</v>
      </c>
      <c r="Z817">
        <v>-3.3702369999999999E-3</v>
      </c>
      <c r="AA817">
        <v>0.98912319999999998</v>
      </c>
      <c r="AB817">
        <v>32</v>
      </c>
      <c r="AC817">
        <v>37.346999999999902</v>
      </c>
      <c r="AD817">
        <v>-1.1094975678679999</v>
      </c>
      <c r="AE817">
        <v>-4.0375999999999896</v>
      </c>
      <c r="AF817">
        <v>5.5699190487059802</v>
      </c>
      <c r="AG817">
        <v>-1.1094975678679999</v>
      </c>
      <c r="AH817">
        <v>37.116275037776298</v>
      </c>
      <c r="AI817">
        <v>91.693254470858307</v>
      </c>
      <c r="AJ817">
        <v>81.465493665704898</v>
      </c>
      <c r="AK817">
        <v>37.548273671929302</v>
      </c>
      <c r="AL817">
        <v>81.189450094246396</v>
      </c>
      <c r="AM817">
        <v>85.321005243484294</v>
      </c>
      <c r="AN817">
        <v>1.0000000211161899</v>
      </c>
    </row>
    <row r="818" spans="1:40" x14ac:dyDescent="0.25">
      <c r="A818" t="str">
        <f>"20190312172627809"</f>
        <v>20190312172627809</v>
      </c>
      <c r="B818" t="str">
        <f>"1552382787799656"</f>
        <v>1552382787799656</v>
      </c>
      <c r="C818" t="s">
        <v>40</v>
      </c>
      <c r="D818">
        <v>3.077528</v>
      </c>
      <c r="E818">
        <v>0.52868680000000001</v>
      </c>
      <c r="F818" t="s">
        <v>41</v>
      </c>
      <c r="G818">
        <v>-234.10830000000001</v>
      </c>
      <c r="H818" s="1">
        <v>-3.4231319999999999E-6</v>
      </c>
      <c r="I818">
        <v>364.46769999999998</v>
      </c>
      <c r="J818">
        <v>-261.2158</v>
      </c>
      <c r="K818">
        <v>1.1094919999999999</v>
      </c>
      <c r="L818">
        <v>367.6377</v>
      </c>
      <c r="M818">
        <v>0.99909740000000002</v>
      </c>
      <c r="N818">
        <v>0</v>
      </c>
      <c r="O818">
        <v>4.1256279999999999E-2</v>
      </c>
      <c r="P818">
        <v>0.98894119999999996</v>
      </c>
      <c r="Q818">
        <v>0.142840299999999</v>
      </c>
      <c r="R818">
        <v>-3.9899419999999998E-2</v>
      </c>
      <c r="S818">
        <v>3.0374150000000002</v>
      </c>
      <c r="T818">
        <v>-0.12286809999999999</v>
      </c>
      <c r="U818">
        <v>-0.34957890000000003</v>
      </c>
      <c r="V818">
        <v>8.0666539999999995E-2</v>
      </c>
      <c r="W818">
        <v>0.152813</v>
      </c>
      <c r="X818">
        <v>0.98495739999999998</v>
      </c>
      <c r="Y818">
        <v>0.15506800000000001</v>
      </c>
      <c r="Z818">
        <v>-4.7882180000000003E-3</v>
      </c>
      <c r="AA818">
        <v>0.9878922</v>
      </c>
      <c r="AB818">
        <v>32</v>
      </c>
      <c r="AC818">
        <v>27.107499999999899</v>
      </c>
      <c r="AD818">
        <v>-1.109495423132</v>
      </c>
      <c r="AE818">
        <v>-3.1700000000000101</v>
      </c>
      <c r="AF818">
        <v>4.2786416260750197</v>
      </c>
      <c r="AG818">
        <v>-1.109495423132</v>
      </c>
      <c r="AH818">
        <v>26.909158506112998</v>
      </c>
      <c r="AI818">
        <v>92.331774247840201</v>
      </c>
      <c r="AJ818">
        <v>80.965419996364702</v>
      </c>
      <c r="AK818">
        <v>27.269773848813699</v>
      </c>
      <c r="AL818">
        <v>81.210020541195604</v>
      </c>
      <c r="AM818">
        <v>85.318010510908493</v>
      </c>
      <c r="AN818">
        <v>0.99999999172966503</v>
      </c>
    </row>
    <row r="819" spans="1:40" x14ac:dyDescent="0.25">
      <c r="A819" t="str">
        <f>"20190312172627830"</f>
        <v>20190312172627830</v>
      </c>
      <c r="B819" t="str">
        <f>"1552382787819176"</f>
        <v>1552382787819176</v>
      </c>
      <c r="C819" t="s">
        <v>40</v>
      </c>
      <c r="D819">
        <v>3.0964469999999999</v>
      </c>
      <c r="E819">
        <v>0.52895919999999996</v>
      </c>
      <c r="F819" t="s">
        <v>41</v>
      </c>
      <c r="G819">
        <v>-232.64429999999999</v>
      </c>
      <c r="H819" s="1">
        <v>-4.0758729999999997E-6</v>
      </c>
      <c r="I819">
        <v>364.32839999999999</v>
      </c>
      <c r="J819">
        <v>-260.90100000000001</v>
      </c>
      <c r="K819">
        <v>1.1094919999999999</v>
      </c>
      <c r="L819">
        <v>367.65069999999997</v>
      </c>
      <c r="M819">
        <v>0.99909720000000002</v>
      </c>
      <c r="N819">
        <v>0</v>
      </c>
      <c r="O819">
        <v>4.1257059999999998E-2</v>
      </c>
      <c r="P819">
        <v>0.98894550000000003</v>
      </c>
      <c r="Q819">
        <v>0.14269189999999901</v>
      </c>
      <c r="R819">
        <v>-4.0325109999999997E-2</v>
      </c>
      <c r="S819">
        <v>3.0363769999999999</v>
      </c>
      <c r="T819">
        <v>-0.1179094</v>
      </c>
      <c r="U819">
        <v>-0.35168460000000001</v>
      </c>
      <c r="V819">
        <v>8.1095E-2</v>
      </c>
      <c r="W819">
        <v>0.15269279999999999</v>
      </c>
      <c r="X819">
        <v>0.98494090000000001</v>
      </c>
      <c r="Y819">
        <v>0.15579509999999999</v>
      </c>
      <c r="Z819">
        <v>-4.6106020000000001E-3</v>
      </c>
      <c r="AA819">
        <v>0.98777870000000001</v>
      </c>
      <c r="AB819">
        <v>32</v>
      </c>
      <c r="AC819">
        <v>28.256699999999999</v>
      </c>
      <c r="AD819">
        <v>-1.1094960758729999</v>
      </c>
      <c r="AE819">
        <v>-3.3222999999999798</v>
      </c>
      <c r="AF819">
        <v>4.4785086794057296</v>
      </c>
      <c r="AG819">
        <v>-1.1094960758729999</v>
      </c>
      <c r="AH819">
        <v>28.052903123065601</v>
      </c>
      <c r="AI819">
        <v>92.236582565666694</v>
      </c>
      <c r="AJ819">
        <v>80.929550575824393</v>
      </c>
      <c r="AK819">
        <v>28.429797663120901</v>
      </c>
      <c r="AL819">
        <v>81.216989644542295</v>
      </c>
      <c r="AM819">
        <v>85.2931750843088</v>
      </c>
      <c r="AN819">
        <v>1.00000003334482</v>
      </c>
    </row>
    <row r="820" spans="1:40" x14ac:dyDescent="0.25">
      <c r="A820" t="str">
        <f>"20190312172627853"</f>
        <v>20190312172627853</v>
      </c>
      <c r="B820" t="str">
        <f>"1552382787849432"</f>
        <v>1552382787849432</v>
      </c>
      <c r="C820" t="s">
        <v>40</v>
      </c>
      <c r="D820">
        <v>3.114789</v>
      </c>
      <c r="E820">
        <v>0.52925069999999996</v>
      </c>
      <c r="F820" t="s">
        <v>41</v>
      </c>
      <c r="G820">
        <v>-230.71770000000001</v>
      </c>
      <c r="H820" s="1">
        <v>-4.9394130000000002E-6</v>
      </c>
      <c r="I820">
        <v>364.11959999999999</v>
      </c>
      <c r="J820">
        <v>-260.57400000000001</v>
      </c>
      <c r="K820">
        <v>1.1094900000000001</v>
      </c>
      <c r="L820">
        <v>367.66419999999999</v>
      </c>
      <c r="M820">
        <v>0.99909680000000001</v>
      </c>
      <c r="N820">
        <v>0</v>
      </c>
      <c r="O820">
        <v>4.1254840000000001E-2</v>
      </c>
      <c r="P820">
        <v>0.98894550000000003</v>
      </c>
      <c r="Q820">
        <v>0.1425804</v>
      </c>
      <c r="R820">
        <v>-4.0715469999999997E-2</v>
      </c>
      <c r="S820">
        <v>3.0351560000000002</v>
      </c>
      <c r="T820">
        <v>-0.11156820000000001</v>
      </c>
      <c r="U820">
        <v>-0.355072</v>
      </c>
      <c r="V820">
        <v>8.1484290000000001E-2</v>
      </c>
      <c r="W820">
        <v>0.15261029999999901</v>
      </c>
      <c r="X820">
        <v>0.98492150000000001</v>
      </c>
      <c r="Y820">
        <v>0.15694040000000001</v>
      </c>
      <c r="Z820">
        <v>-4.3851740000000004E-3</v>
      </c>
      <c r="AA820">
        <v>0.98759839999999999</v>
      </c>
      <c r="AB820">
        <v>32</v>
      </c>
      <c r="AC820">
        <v>29.856300000000001</v>
      </c>
      <c r="AD820">
        <v>-1.10949493941299</v>
      </c>
      <c r="AE820">
        <v>-3.5446</v>
      </c>
      <c r="AF820">
        <v>4.7668713895221897</v>
      </c>
      <c r="AG820">
        <v>-1.10949493941299</v>
      </c>
      <c r="AH820">
        <v>29.6442715838567</v>
      </c>
      <c r="AI820">
        <v>92.116245833893899</v>
      </c>
      <c r="AJ820">
        <v>80.864899539739199</v>
      </c>
      <c r="AK820">
        <v>30.045580034379199</v>
      </c>
      <c r="AL820">
        <v>81.221772105114297</v>
      </c>
      <c r="AM820">
        <v>85.2705898661101</v>
      </c>
      <c r="AN820">
        <v>0.99999997717257105</v>
      </c>
    </row>
    <row r="821" spans="1:40" x14ac:dyDescent="0.25">
      <c r="A821" t="str">
        <f>"20190312172627876"</f>
        <v>20190312172627876</v>
      </c>
      <c r="B821" t="str">
        <f>"1552382787869931"</f>
        <v>1552382787869931</v>
      </c>
      <c r="C821" t="s">
        <v>40</v>
      </c>
      <c r="D821">
        <v>3.126093</v>
      </c>
      <c r="E821">
        <v>0.52956479999999995</v>
      </c>
      <c r="F821" t="s">
        <v>41</v>
      </c>
      <c r="G821">
        <v>-230.77500000000001</v>
      </c>
      <c r="H821" s="1">
        <v>-4.9112630000000003E-6</v>
      </c>
      <c r="I821">
        <v>364.13990000000001</v>
      </c>
      <c r="J821">
        <v>-260.24149999999997</v>
      </c>
      <c r="K821">
        <v>1.109491</v>
      </c>
      <c r="L821">
        <v>367.67790000000002</v>
      </c>
      <c r="M821">
        <v>0.99909680000000001</v>
      </c>
      <c r="N821">
        <v>0</v>
      </c>
      <c r="O821">
        <v>4.1251070000000001E-2</v>
      </c>
      <c r="P821">
        <v>0.98892919999999995</v>
      </c>
      <c r="Q821">
        <v>0.1426461</v>
      </c>
      <c r="R821">
        <v>-4.0882519999999999E-2</v>
      </c>
      <c r="S821">
        <v>3.035034</v>
      </c>
      <c r="T821">
        <v>-0.11300209999999999</v>
      </c>
      <c r="U821">
        <v>-0.35894779999999998</v>
      </c>
      <c r="V821">
        <v>8.1647819999999996E-2</v>
      </c>
      <c r="W821">
        <v>0.15270320000000001</v>
      </c>
      <c r="X821">
        <v>0.98489360000000004</v>
      </c>
      <c r="Y821">
        <v>0.15818080000000001</v>
      </c>
      <c r="Z821">
        <v>-4.464216E-3</v>
      </c>
      <c r="AA821">
        <v>0.9874001</v>
      </c>
      <c r="AB821">
        <v>32</v>
      </c>
      <c r="AC821">
        <v>29.4664999999999</v>
      </c>
      <c r="AD821">
        <v>-1.1094959112630001</v>
      </c>
      <c r="AE821">
        <v>-3.53800000000001</v>
      </c>
      <c r="AF821">
        <v>4.7439459464068099</v>
      </c>
      <c r="AG821">
        <v>-1.1094959112630001</v>
      </c>
      <c r="AH821">
        <v>29.254576263423498</v>
      </c>
      <c r="AI821">
        <v>92.1439537728766</v>
      </c>
      <c r="AJ821">
        <v>80.789048635629896</v>
      </c>
      <c r="AK821">
        <v>29.657481967827302</v>
      </c>
      <c r="AL821">
        <v>81.216386566753201</v>
      </c>
      <c r="AM821">
        <v>85.261008013180401</v>
      </c>
      <c r="AN821">
        <v>1.0000000185609701</v>
      </c>
    </row>
    <row r="822" spans="1:40" x14ac:dyDescent="0.25">
      <c r="A822" t="str">
        <f>"20190312172627898"</f>
        <v>20190312172627898</v>
      </c>
      <c r="B822" t="str">
        <f>"1552382787889448"</f>
        <v>1552382787889448</v>
      </c>
      <c r="C822" t="s">
        <v>40</v>
      </c>
      <c r="D822">
        <v>3.1720359999999999</v>
      </c>
      <c r="E822">
        <v>0.5298699</v>
      </c>
      <c r="F822" t="s">
        <v>41</v>
      </c>
      <c r="G822">
        <v>-229.6773</v>
      </c>
      <c r="H822" s="1">
        <v>-1.58116899999999E-6</v>
      </c>
      <c r="I822">
        <v>364.0342</v>
      </c>
      <c r="J822">
        <v>-259.92140000000001</v>
      </c>
      <c r="K822">
        <v>1.109491</v>
      </c>
      <c r="L822">
        <v>367.69110000000001</v>
      </c>
      <c r="M822">
        <v>0.99909680000000001</v>
      </c>
      <c r="N822">
        <v>0</v>
      </c>
      <c r="O822">
        <v>4.1243429999999998E-2</v>
      </c>
      <c r="P822">
        <v>0.98890889999999998</v>
      </c>
      <c r="Q822">
        <v>0.14275860000000001</v>
      </c>
      <c r="R822">
        <v>-4.098073E-2</v>
      </c>
      <c r="S822">
        <v>3.0345149999999999</v>
      </c>
      <c r="T822">
        <v>-0.1101539</v>
      </c>
      <c r="U822">
        <v>-0.3617554</v>
      </c>
      <c r="V822">
        <v>8.17388E-2</v>
      </c>
      <c r="W822">
        <v>0.15284130000000001</v>
      </c>
      <c r="X822">
        <v>0.98486459999999998</v>
      </c>
      <c r="Y822">
        <v>0.15909999999999999</v>
      </c>
      <c r="Z822">
        <v>-4.368622E-3</v>
      </c>
      <c r="AA822">
        <v>0.98725280000000004</v>
      </c>
      <c r="AB822">
        <v>32</v>
      </c>
      <c r="AC822">
        <v>30.2441</v>
      </c>
      <c r="AD822">
        <v>-1.109492581169</v>
      </c>
      <c r="AE822">
        <v>-3.6568999999999998</v>
      </c>
      <c r="AF822">
        <v>4.8947315448192397</v>
      </c>
      <c r="AG822">
        <v>-1.109492581169</v>
      </c>
      <c r="AH822">
        <v>30.0277046654275</v>
      </c>
      <c r="AI822">
        <v>92.088516549104199</v>
      </c>
      <c r="AJ822">
        <v>80.741804204461999</v>
      </c>
      <c r="AK822">
        <v>30.444250986970498</v>
      </c>
      <c r="AL822">
        <v>81.208379758074898</v>
      </c>
      <c r="AM822">
        <v>85.255612394877303</v>
      </c>
      <c r="AN822">
        <v>0.99999998737214402</v>
      </c>
    </row>
    <row r="823" spans="1:40" x14ac:dyDescent="0.25">
      <c r="A823" t="str">
        <f>"20190312172627921"</f>
        <v>20190312172627921</v>
      </c>
      <c r="B823" t="str">
        <f>"1552382787909944"</f>
        <v>1552382787909944</v>
      </c>
      <c r="C823" t="s">
        <v>40</v>
      </c>
      <c r="D823">
        <v>3.1585760000000001</v>
      </c>
      <c r="E823">
        <v>0.53016200000000002</v>
      </c>
      <c r="F823" t="s">
        <v>41</v>
      </c>
      <c r="G823">
        <v>-229.4109</v>
      </c>
      <c r="H823" s="1">
        <v>-1.6742880000000001E-6</v>
      </c>
      <c r="I823">
        <v>364.0249</v>
      </c>
      <c r="J823">
        <v>-259.58749999999998</v>
      </c>
      <c r="K823">
        <v>1.1094850000000001</v>
      </c>
      <c r="L823">
        <v>367.70490000000001</v>
      </c>
      <c r="M823">
        <v>0.99909740000000002</v>
      </c>
      <c r="N823">
        <v>0</v>
      </c>
      <c r="O823">
        <v>4.1221679999999997E-2</v>
      </c>
      <c r="P823">
        <v>0.98883500000000002</v>
      </c>
      <c r="Q823">
        <v>0.14320849999999999</v>
      </c>
      <c r="R823">
        <v>-4.1191100000000001E-2</v>
      </c>
      <c r="S823">
        <v>3.0344850000000001</v>
      </c>
      <c r="T823">
        <v>-0.1103466</v>
      </c>
      <c r="U823">
        <v>-0.364624</v>
      </c>
      <c r="V823">
        <v>8.1928360000000006E-2</v>
      </c>
      <c r="W823">
        <v>0.1533196</v>
      </c>
      <c r="X823">
        <v>0.9847745</v>
      </c>
      <c r="Y823">
        <v>0.15999869999999999</v>
      </c>
      <c r="Z823">
        <v>-4.3915539999999998E-3</v>
      </c>
      <c r="AA823">
        <v>0.98710750000000003</v>
      </c>
      <c r="AB823">
        <v>32</v>
      </c>
      <c r="AC823">
        <v>30.176599999999901</v>
      </c>
      <c r="AD823">
        <v>-1.1094866742880001</v>
      </c>
      <c r="AE823">
        <v>-3.68</v>
      </c>
      <c r="AF823">
        <v>4.9143216229804096</v>
      </c>
      <c r="AG823">
        <v>-1.1094866742880001</v>
      </c>
      <c r="AH823">
        <v>29.959339432808299</v>
      </c>
      <c r="AI823">
        <v>92.092925370026094</v>
      </c>
      <c r="AJ823">
        <v>80.684557444688906</v>
      </c>
      <c r="AK823">
        <v>30.379985795663899</v>
      </c>
      <c r="AL823">
        <v>81.180648322825803</v>
      </c>
      <c r="AM823">
        <v>85.244227026534702</v>
      </c>
      <c r="AN823">
        <v>0.99999998588334904</v>
      </c>
    </row>
    <row r="824" spans="1:40" x14ac:dyDescent="0.25">
      <c r="A824" t="str">
        <f>"20190312172627943"</f>
        <v>20190312172627943</v>
      </c>
      <c r="B824" t="str">
        <f>"1552382787939223"</f>
        <v>1552382787939223</v>
      </c>
      <c r="C824" t="s">
        <v>40</v>
      </c>
      <c r="D824">
        <v>3.1560060000000001</v>
      </c>
      <c r="E824">
        <v>0.53036149999999904</v>
      </c>
      <c r="F824" t="s">
        <v>41</v>
      </c>
      <c r="G824">
        <v>-228.7672</v>
      </c>
      <c r="H824" s="1">
        <v>-1.9075820000000001E-6</v>
      </c>
      <c r="I824">
        <v>363.97140000000002</v>
      </c>
      <c r="J824">
        <v>-259.27390000000003</v>
      </c>
      <c r="K824">
        <v>1.1094759999999999</v>
      </c>
      <c r="L824">
        <v>367.71780000000001</v>
      </c>
      <c r="M824">
        <v>0.99909899999999996</v>
      </c>
      <c r="N824">
        <v>0</v>
      </c>
      <c r="O824">
        <v>4.1175879999999998E-2</v>
      </c>
      <c r="P824">
        <v>0.98880829999999997</v>
      </c>
      <c r="Q824">
        <v>0.14328879999999999</v>
      </c>
      <c r="R824">
        <v>-4.1558100000000001E-2</v>
      </c>
      <c r="S824">
        <v>3.034424</v>
      </c>
      <c r="T824">
        <v>-0.1092349</v>
      </c>
      <c r="U824">
        <v>-0.36758420000000003</v>
      </c>
      <c r="V824">
        <v>8.2255239999999993E-2</v>
      </c>
      <c r="W824">
        <v>0.1534247</v>
      </c>
      <c r="X824">
        <v>0.98473089999999996</v>
      </c>
      <c r="Y824">
        <v>0.16090689999999999</v>
      </c>
      <c r="Z824">
        <v>-4.3618219999999996E-3</v>
      </c>
      <c r="AA824">
        <v>0.9869599</v>
      </c>
      <c r="AB824">
        <v>32</v>
      </c>
      <c r="AC824">
        <v>30.506699999999999</v>
      </c>
      <c r="AD824">
        <v>-1.109477907582</v>
      </c>
      <c r="AE824">
        <v>-3.7463999999999902</v>
      </c>
      <c r="AF824">
        <v>4.9929232232383196</v>
      </c>
      <c r="AG824">
        <v>-1.109477907582</v>
      </c>
      <c r="AH824">
        <v>30.287091251938001</v>
      </c>
      <c r="AI824">
        <v>92.070008642515205</v>
      </c>
      <c r="AJ824">
        <v>80.638804463673495</v>
      </c>
      <c r="AK824">
        <v>30.715926162884699</v>
      </c>
      <c r="AL824">
        <v>81.174554599844399</v>
      </c>
      <c r="AM824">
        <v>85.225129439805897</v>
      </c>
      <c r="AN824">
        <v>1.0000000042461701</v>
      </c>
    </row>
    <row r="825" spans="1:40" x14ac:dyDescent="0.25">
      <c r="A825" t="str">
        <f>"20190312172627965"</f>
        <v>20190312172627965</v>
      </c>
      <c r="B825" t="str">
        <f>"1552382787959723"</f>
        <v>1552382787959723</v>
      </c>
      <c r="C825" t="s">
        <v>40</v>
      </c>
      <c r="D825">
        <v>3.1464379999999998</v>
      </c>
      <c r="E825">
        <v>0.53052549999999998</v>
      </c>
      <c r="F825" t="s">
        <v>41</v>
      </c>
      <c r="G825">
        <v>-228.238</v>
      </c>
      <c r="H825" s="1">
        <v>-2.0991010000000002E-6</v>
      </c>
      <c r="I825">
        <v>363.92840000000001</v>
      </c>
      <c r="J825">
        <v>-258.94709999999998</v>
      </c>
      <c r="K825">
        <v>1.109451</v>
      </c>
      <c r="L825">
        <v>367.7312</v>
      </c>
      <c r="M825">
        <v>0.99910209999999999</v>
      </c>
      <c r="N825">
        <v>0</v>
      </c>
      <c r="O825">
        <v>4.1090630000000003E-2</v>
      </c>
      <c r="P825">
        <v>0.98873869999999997</v>
      </c>
      <c r="Q825">
        <v>0.14367869999999999</v>
      </c>
      <c r="R825">
        <v>-4.1857470000000001E-2</v>
      </c>
      <c r="S825">
        <v>3.034119</v>
      </c>
      <c r="T825">
        <v>-0.1084642</v>
      </c>
      <c r="U825">
        <v>-0.37045289999999997</v>
      </c>
      <c r="V825">
        <v>8.2478780000000002E-2</v>
      </c>
      <c r="W825">
        <v>0.1538397</v>
      </c>
      <c r="X825">
        <v>0.98464750000000001</v>
      </c>
      <c r="Y825">
        <v>0.16175539999999999</v>
      </c>
      <c r="Z825">
        <v>-4.3433289999999999E-3</v>
      </c>
      <c r="AA825">
        <v>0.98682130000000001</v>
      </c>
      <c r="AB825">
        <v>33</v>
      </c>
      <c r="AC825">
        <v>30.7090999999999</v>
      </c>
      <c r="AD825">
        <v>-1.1094530991010001</v>
      </c>
      <c r="AE825">
        <v>-3.8027999999999902</v>
      </c>
      <c r="AF825">
        <v>5.0550131446979902</v>
      </c>
      <c r="AG825">
        <v>-1.1094530991010001</v>
      </c>
      <c r="AH825">
        <v>30.487701113969798</v>
      </c>
      <c r="AI825">
        <v>92.056039031974606</v>
      </c>
      <c r="AJ825">
        <v>80.585720289689704</v>
      </c>
      <c r="AK825">
        <v>30.923841341058001</v>
      </c>
      <c r="AL825">
        <v>81.150491588468</v>
      </c>
      <c r="AM825">
        <v>85.211809667698404</v>
      </c>
      <c r="AN825">
        <v>1.0000000508513101</v>
      </c>
    </row>
    <row r="826" spans="1:40" x14ac:dyDescent="0.25">
      <c r="A826" t="str">
        <f>"20190312172627988"</f>
        <v>20190312172627988</v>
      </c>
      <c r="B826" t="str">
        <f>"1552382787979239"</f>
        <v>1552382787979239</v>
      </c>
      <c r="C826" t="s">
        <v>40</v>
      </c>
      <c r="D826">
        <v>3.1875019999999998</v>
      </c>
      <c r="E826">
        <v>0.53077259999999904</v>
      </c>
      <c r="F826" t="s">
        <v>41</v>
      </c>
      <c r="G826">
        <v>-227.47649999999999</v>
      </c>
      <c r="H826" s="1">
        <v>-2.3756939999999998E-6</v>
      </c>
      <c r="I826">
        <v>363.86290000000002</v>
      </c>
      <c r="J826">
        <v>-258.61419999999998</v>
      </c>
      <c r="K826">
        <v>1.1094189999999999</v>
      </c>
      <c r="L826">
        <v>367.7448</v>
      </c>
      <c r="M826">
        <v>0.99910739999999998</v>
      </c>
      <c r="N826">
        <v>0</v>
      </c>
      <c r="O826">
        <v>4.095261E-2</v>
      </c>
      <c r="P826">
        <v>0.98869039999999997</v>
      </c>
      <c r="Q826">
        <v>0.1439407</v>
      </c>
      <c r="R826">
        <v>-4.209881E-2</v>
      </c>
      <c r="S826">
        <v>3.0339200000000002</v>
      </c>
      <c r="T826">
        <v>-0.10695639999999899</v>
      </c>
      <c r="U826">
        <v>-0.3729248</v>
      </c>
      <c r="V826">
        <v>8.2596470000000005E-2</v>
      </c>
      <c r="W826">
        <v>0.15412809999999999</v>
      </c>
      <c r="X826">
        <v>0.98459249999999998</v>
      </c>
      <c r="Y826">
        <v>0.16242219999999999</v>
      </c>
      <c r="Z826">
        <v>-4.289915E-3</v>
      </c>
      <c r="AA826">
        <v>0.98671200000000003</v>
      </c>
      <c r="AB826">
        <v>33</v>
      </c>
      <c r="AC826">
        <v>31.137699999999899</v>
      </c>
      <c r="AD826">
        <v>-1.1094213756939999</v>
      </c>
      <c r="AE826">
        <v>-3.8818999999999702</v>
      </c>
      <c r="AF826">
        <v>5.1474470940129899</v>
      </c>
      <c r="AG826">
        <v>-1.1094213756939999</v>
      </c>
      <c r="AH826">
        <v>30.913949500864</v>
      </c>
      <c r="AI826">
        <v>92.0274252409301</v>
      </c>
      <c r="AJ826">
        <v>80.546474213733603</v>
      </c>
      <c r="AK826">
        <v>31.359198030505802</v>
      </c>
      <c r="AL826">
        <v>81.133767750885298</v>
      </c>
      <c r="AM826">
        <v>85.204742570838505</v>
      </c>
      <c r="AN826">
        <v>1.00000001956116</v>
      </c>
    </row>
    <row r="827" spans="1:40" x14ac:dyDescent="0.25">
      <c r="A827" t="str">
        <f>"20190312172628009"</f>
        <v>20190312172628009</v>
      </c>
      <c r="B827" t="str">
        <f>"1552382787999736"</f>
        <v>1552382787999736</v>
      </c>
      <c r="C827" t="s">
        <v>40</v>
      </c>
      <c r="D827">
        <v>3.2040470000000001</v>
      </c>
      <c r="E827">
        <v>0.53093319999999999</v>
      </c>
      <c r="F827" t="s">
        <v>41</v>
      </c>
      <c r="G827">
        <v>-227.04339999999999</v>
      </c>
      <c r="H827" s="1">
        <v>-2.5307409999999998E-6</v>
      </c>
      <c r="I827">
        <v>363.83409999999998</v>
      </c>
      <c r="J827">
        <v>-258.29910000000001</v>
      </c>
      <c r="K827">
        <v>1.1093789999999999</v>
      </c>
      <c r="L827">
        <v>367.75749999999999</v>
      </c>
      <c r="M827">
        <v>0.99911490000000003</v>
      </c>
      <c r="N827">
        <v>0</v>
      </c>
      <c r="O827">
        <v>4.0760490000000003E-2</v>
      </c>
      <c r="P827">
        <v>0.98865340000000002</v>
      </c>
      <c r="Q827">
        <v>0.14411379999999999</v>
      </c>
      <c r="R827">
        <v>-4.2377680000000001E-2</v>
      </c>
      <c r="S827">
        <v>3.0338289999999999</v>
      </c>
      <c r="T827">
        <v>-0.1066105</v>
      </c>
      <c r="U827">
        <v>-0.3757935</v>
      </c>
      <c r="V827">
        <v>8.2700930000000006E-2</v>
      </c>
      <c r="W827">
        <v>0.15432879999999999</v>
      </c>
      <c r="X827">
        <v>0.98455230000000005</v>
      </c>
      <c r="Y827">
        <v>0.16315550000000001</v>
      </c>
      <c r="Z827">
        <v>-4.2820459999999899E-3</v>
      </c>
      <c r="AA827">
        <v>0.98659110000000005</v>
      </c>
      <c r="AB827">
        <v>33</v>
      </c>
      <c r="AC827">
        <v>31.255700000000001</v>
      </c>
      <c r="AD827">
        <v>-1.109381530741</v>
      </c>
      <c r="AE827">
        <v>-3.9234000000000102</v>
      </c>
      <c r="AF827">
        <v>5.1877713388449402</v>
      </c>
      <c r="AG827">
        <v>-1.109381530741</v>
      </c>
      <c r="AH827">
        <v>31.031306700479501</v>
      </c>
      <c r="AI827">
        <v>92.019472228886897</v>
      </c>
      <c r="AJ827">
        <v>80.509139622667803</v>
      </c>
      <c r="AK827">
        <v>31.481513533883899</v>
      </c>
      <c r="AL827">
        <v>81.122129301345296</v>
      </c>
      <c r="AM827">
        <v>85.198511204089002</v>
      </c>
      <c r="AN827">
        <v>1.0000000268837901</v>
      </c>
    </row>
    <row r="828" spans="1:40" x14ac:dyDescent="0.25">
      <c r="A828" t="str">
        <f>"20190312172628043"</f>
        <v>20190312172628043</v>
      </c>
      <c r="B828" t="str">
        <f>"1552382788039752"</f>
        <v>1552382788039752</v>
      </c>
      <c r="C828" t="s">
        <v>40</v>
      </c>
      <c r="D828">
        <v>3.3364739999999999</v>
      </c>
      <c r="E828">
        <v>0.53090329999999997</v>
      </c>
      <c r="F828" t="s">
        <v>41</v>
      </c>
      <c r="G828">
        <v>-226.8954</v>
      </c>
      <c r="H828" s="1">
        <v>-2.5774699999999999E-6</v>
      </c>
      <c r="I828">
        <v>363.84769999999997</v>
      </c>
      <c r="J828">
        <v>-257.81139999999999</v>
      </c>
      <c r="K828">
        <v>1.1093150000000001</v>
      </c>
      <c r="L828">
        <v>367.77699999999999</v>
      </c>
      <c r="M828">
        <v>0.99913039999999997</v>
      </c>
      <c r="N828">
        <v>0</v>
      </c>
      <c r="O828">
        <v>4.0365239999999997E-2</v>
      </c>
      <c r="P828">
        <v>0.98862240000000001</v>
      </c>
      <c r="Q828">
        <v>0.1441933</v>
      </c>
      <c r="R828">
        <v>-4.2827129999999998E-2</v>
      </c>
      <c r="S828">
        <v>3.0338590000000001</v>
      </c>
      <c r="T828">
        <v>-0.1071754</v>
      </c>
      <c r="U828">
        <v>-0.3777161</v>
      </c>
      <c r="V828">
        <v>8.2783620000000002E-2</v>
      </c>
      <c r="W828">
        <v>0.15445320000000001</v>
      </c>
      <c r="X828">
        <v>0.98452580000000001</v>
      </c>
      <c r="Y828">
        <v>0.16337860000000001</v>
      </c>
      <c r="Z828">
        <v>-4.2945209999999999E-3</v>
      </c>
      <c r="AA828">
        <v>0.98655409999999999</v>
      </c>
      <c r="AB828">
        <v>33</v>
      </c>
      <c r="AC828">
        <v>30.916</v>
      </c>
      <c r="AD828">
        <v>-1.1093175774699999</v>
      </c>
      <c r="AE828">
        <v>-3.9293000000000098</v>
      </c>
      <c r="AF828">
        <v>5.1675496467913096</v>
      </c>
      <c r="AG828">
        <v>-1.1093175774699999</v>
      </c>
      <c r="AH828">
        <v>30.693295421453399</v>
      </c>
      <c r="AI828">
        <v>92.041181963174495</v>
      </c>
      <c r="AJ828">
        <v>80.443257146674597</v>
      </c>
      <c r="AK828">
        <v>31.145024300333201</v>
      </c>
      <c r="AL828">
        <v>81.114914831383501</v>
      </c>
      <c r="AM828">
        <v>85.193604066685097</v>
      </c>
      <c r="AN828">
        <v>0.99999998479809205</v>
      </c>
    </row>
    <row r="829" spans="1:40" x14ac:dyDescent="0.25">
      <c r="A829" t="str">
        <f>"20190312172628066"</f>
        <v>20190312172628066</v>
      </c>
      <c r="B829" t="str">
        <f>"1552382788059271"</f>
        <v>1552382788059271</v>
      </c>
      <c r="C829" t="s">
        <v>40</v>
      </c>
      <c r="D829">
        <v>3.1383399999999999</v>
      </c>
      <c r="E829">
        <v>0.49984060000000002</v>
      </c>
      <c r="F829" t="s">
        <v>41</v>
      </c>
      <c r="G829">
        <v>-227.0333</v>
      </c>
      <c r="H829" s="1">
        <v>-2.5074619999999999E-6</v>
      </c>
      <c r="I829">
        <v>363.93439999999998</v>
      </c>
      <c r="J829">
        <v>-257.48050000000001</v>
      </c>
      <c r="K829">
        <v>1.109272</v>
      </c>
      <c r="L829">
        <v>367.79</v>
      </c>
      <c r="M829">
        <v>0.99914340000000001</v>
      </c>
      <c r="N829">
        <v>0</v>
      </c>
      <c r="O829">
        <v>4.0031049999999999E-2</v>
      </c>
      <c r="P829">
        <v>0.98860599999999998</v>
      </c>
      <c r="Q829">
        <v>0.1441307</v>
      </c>
      <c r="R829">
        <v>-4.3416000000000003E-2</v>
      </c>
      <c r="S829">
        <v>3.0340579999999999</v>
      </c>
      <c r="T829">
        <v>-0.10935449999999999</v>
      </c>
      <c r="U829">
        <v>-0.37878420000000002</v>
      </c>
      <c r="V829">
        <v>8.3057339999999993E-2</v>
      </c>
      <c r="W829">
        <v>0.15441779999999999</v>
      </c>
      <c r="X829">
        <v>0.9845083</v>
      </c>
      <c r="Y829">
        <v>0.16337779999999999</v>
      </c>
      <c r="Z829">
        <v>-4.3693909999999898E-3</v>
      </c>
      <c r="AA829">
        <v>0.98655389999999998</v>
      </c>
      <c r="AB829">
        <v>33</v>
      </c>
      <c r="AC829">
        <v>30.447199999999999</v>
      </c>
      <c r="AD829">
        <v>-1.1092745074619901</v>
      </c>
      <c r="AE829">
        <v>-3.8556000000000301</v>
      </c>
      <c r="AF829">
        <v>5.0647929484535803</v>
      </c>
      <c r="AG829">
        <v>-1.1092745074619901</v>
      </c>
      <c r="AH829">
        <v>30.228948804962201</v>
      </c>
      <c r="AI829">
        <v>92.072704037843806</v>
      </c>
      <c r="AJ829">
        <v>80.488565762331007</v>
      </c>
      <c r="AK829">
        <v>30.670375990467299</v>
      </c>
      <c r="AL829">
        <v>81.116967739223497</v>
      </c>
      <c r="AM829">
        <v>85.177701459648503</v>
      </c>
      <c r="AN829">
        <v>0.99999998572680204</v>
      </c>
    </row>
    <row r="830" spans="1:40" x14ac:dyDescent="0.25">
      <c r="A830" t="str">
        <f>"20190312172628089"</f>
        <v>20190312172628089</v>
      </c>
      <c r="B830" t="str">
        <f>"1552382788079768"</f>
        <v>1552382788079768</v>
      </c>
      <c r="C830" t="s">
        <v>40</v>
      </c>
      <c r="D830">
        <v>3.1548509999999998</v>
      </c>
      <c r="E830">
        <v>0.49719869999999999</v>
      </c>
      <c r="F830" t="s">
        <v>41</v>
      </c>
      <c r="G830">
        <v>-229.8443</v>
      </c>
      <c r="H830" s="1">
        <v>-8.4586600000000004E-7</v>
      </c>
      <c r="I830">
        <v>366.58409999999998</v>
      </c>
      <c r="J830">
        <v>-257.14760000000001</v>
      </c>
      <c r="K830">
        <v>1.109235</v>
      </c>
      <c r="L830">
        <v>367.803</v>
      </c>
      <c r="M830">
        <v>0.99915860000000001</v>
      </c>
      <c r="N830">
        <v>0</v>
      </c>
      <c r="O830">
        <v>3.9639569999999999E-2</v>
      </c>
      <c r="P830">
        <v>0.98859920000000001</v>
      </c>
      <c r="Q830">
        <v>0.14402279999999901</v>
      </c>
      <c r="R830">
        <v>-4.3923450000000003E-2</v>
      </c>
      <c r="S830">
        <v>3.04657</v>
      </c>
      <c r="T830">
        <v>-0.122284199999999</v>
      </c>
      <c r="U830">
        <v>-0.13293460000000001</v>
      </c>
      <c r="V830">
        <v>8.3192859999999993E-2</v>
      </c>
      <c r="W830">
        <v>0.15434059999999999</v>
      </c>
      <c r="X830">
        <v>0.98450899999999997</v>
      </c>
      <c r="Y830">
        <v>8.3063860000000003E-2</v>
      </c>
      <c r="Z830">
        <v>-3.2553479999999999E-3</v>
      </c>
      <c r="AA830">
        <v>0.99653890000000001</v>
      </c>
      <c r="AB830">
        <v>33</v>
      </c>
      <c r="AC830">
        <v>27.3033</v>
      </c>
      <c r="AD830">
        <v>-1.1092358458660001</v>
      </c>
      <c r="AE830">
        <v>-1.21890000000007</v>
      </c>
      <c r="AF830">
        <v>2.2965100569896801</v>
      </c>
      <c r="AG830">
        <v>-1.1092358458660001</v>
      </c>
      <c r="AH830">
        <v>27.188733112524702</v>
      </c>
      <c r="AI830">
        <v>92.3279559675006</v>
      </c>
      <c r="AJ830">
        <v>85.171943116586903</v>
      </c>
      <c r="AK830">
        <v>27.3080861809777</v>
      </c>
      <c r="AL830">
        <v>81.121444968034496</v>
      </c>
      <c r="AM830">
        <v>85.169873799457406</v>
      </c>
      <c r="AN830">
        <v>1.0000000219221601</v>
      </c>
    </row>
    <row r="831" spans="1:40" x14ac:dyDescent="0.25">
      <c r="A831" t="str">
        <f>"20190312172628111"</f>
        <v>20190312172628111</v>
      </c>
      <c r="B831" t="str">
        <f>"1552382788099289"</f>
        <v>1552382788099289</v>
      </c>
      <c r="C831" t="s">
        <v>40</v>
      </c>
      <c r="D831">
        <v>3.1601370000000002</v>
      </c>
      <c r="E831">
        <v>0.4958843</v>
      </c>
      <c r="F831" t="s">
        <v>41</v>
      </c>
      <c r="G831">
        <v>-228.7388</v>
      </c>
      <c r="H831" s="1">
        <v>-1.1780490000000001E-6</v>
      </c>
      <c r="I831">
        <v>366.74959999999999</v>
      </c>
      <c r="J831">
        <v>-256.8177</v>
      </c>
      <c r="K831">
        <v>1.109202</v>
      </c>
      <c r="L831">
        <v>367.81569999999999</v>
      </c>
      <c r="M831">
        <v>0.99917509999999998</v>
      </c>
      <c r="N831">
        <v>0</v>
      </c>
      <c r="O831">
        <v>3.9207600000000002E-2</v>
      </c>
      <c r="P831">
        <v>0.98866069999999995</v>
      </c>
      <c r="Q831">
        <v>0.14347449999999901</v>
      </c>
      <c r="R831">
        <v>-4.4331009999999997E-2</v>
      </c>
      <c r="S831">
        <v>3.0469059999999999</v>
      </c>
      <c r="T831">
        <v>-0.1189675</v>
      </c>
      <c r="U831">
        <v>-0.1129761</v>
      </c>
      <c r="V831">
        <v>8.318979E-2</v>
      </c>
      <c r="W831">
        <v>0.15382419999999999</v>
      </c>
      <c r="X831">
        <v>0.98459010000000002</v>
      </c>
      <c r="Y831">
        <v>7.6120069999999998E-2</v>
      </c>
      <c r="Z831">
        <v>-3.0148280000000002E-3</v>
      </c>
      <c r="AA831">
        <v>0.99709409999999998</v>
      </c>
      <c r="AB831">
        <v>33</v>
      </c>
      <c r="AC831">
        <v>28.078900000000001</v>
      </c>
      <c r="AD831">
        <v>-1.1092031780489999</v>
      </c>
      <c r="AE831">
        <v>-1.0661</v>
      </c>
      <c r="AF831">
        <v>2.1628777423492198</v>
      </c>
      <c r="AG831">
        <v>-1.1092031780489999</v>
      </c>
      <c r="AH831">
        <v>27.971918605422399</v>
      </c>
      <c r="AI831">
        <v>92.264075585978802</v>
      </c>
      <c r="AJ831">
        <v>85.578505882328898</v>
      </c>
      <c r="AK831">
        <v>28.077332535105899</v>
      </c>
      <c r="AL831">
        <v>81.151390322050801</v>
      </c>
      <c r="AM831">
        <v>85.170447156189795</v>
      </c>
      <c r="AN831">
        <v>1.00000004534194</v>
      </c>
    </row>
    <row r="832" spans="1:40" x14ac:dyDescent="0.25">
      <c r="A832" t="str">
        <f>"20190312172628134"</f>
        <v>20190312172628134</v>
      </c>
      <c r="B832" t="str">
        <f>"1552382788129545"</f>
        <v>1552382788129545</v>
      </c>
      <c r="C832" t="s">
        <v>40</v>
      </c>
      <c r="D832">
        <v>3.2113679999999998</v>
      </c>
      <c r="E832">
        <v>0.49466579999999899</v>
      </c>
      <c r="F832" t="s">
        <v>41</v>
      </c>
      <c r="G832">
        <v>-228.67529999999999</v>
      </c>
      <c r="H832" s="1">
        <v>-1.170851E-6</v>
      </c>
      <c r="I832">
        <v>366.85789999999997</v>
      </c>
      <c r="J832">
        <v>-256.4907</v>
      </c>
      <c r="K832">
        <v>1.1091709999999999</v>
      </c>
      <c r="L832">
        <v>367.82810000000001</v>
      </c>
      <c r="M832">
        <v>0.99919270000000004</v>
      </c>
      <c r="N832">
        <v>0</v>
      </c>
      <c r="O832">
        <v>3.8751639999999997E-2</v>
      </c>
      <c r="P832">
        <v>0.98859790000000003</v>
      </c>
      <c r="Q832">
        <v>0.1437379</v>
      </c>
      <c r="R832">
        <v>-4.4877210000000001E-2</v>
      </c>
      <c r="S832">
        <v>3.04718</v>
      </c>
      <c r="T832">
        <v>-0.1201009</v>
      </c>
      <c r="U832">
        <v>-0.1036987</v>
      </c>
      <c r="V832">
        <v>8.3294809999999997E-2</v>
      </c>
      <c r="W832">
        <v>0.1541187</v>
      </c>
      <c r="X832">
        <v>0.9845351</v>
      </c>
      <c r="Y832">
        <v>7.2630829999999993E-2</v>
      </c>
      <c r="Z832">
        <v>-2.9567230000000001E-3</v>
      </c>
      <c r="AA832">
        <v>0.99735450000000003</v>
      </c>
      <c r="AB832">
        <v>33</v>
      </c>
      <c r="AC832">
        <v>27.8154</v>
      </c>
      <c r="AD832">
        <v>-1.1091721708509901</v>
      </c>
      <c r="AE832">
        <v>-0.97020000000003404</v>
      </c>
      <c r="AF832">
        <v>2.0441775301298999</v>
      </c>
      <c r="AG832">
        <v>-1.1091721708509901</v>
      </c>
      <c r="AH832">
        <v>27.712892791242901</v>
      </c>
      <c r="AI832">
        <v>92.285761796804493</v>
      </c>
      <c r="AJ832">
        <v>85.781349221000099</v>
      </c>
      <c r="AK832">
        <v>27.810310166163202</v>
      </c>
      <c r="AL832">
        <v>81.134312500434802</v>
      </c>
      <c r="AM832">
        <v>85.164110295341899</v>
      </c>
      <c r="AN832">
        <v>0.99999998109731703</v>
      </c>
    </row>
    <row r="833" spans="1:40" x14ac:dyDescent="0.25">
      <c r="A833" t="str">
        <f>"20190312172628155"</f>
        <v>20190312172628155</v>
      </c>
      <c r="B833" t="str">
        <f>"1552382788149064"</f>
        <v>1552382788149064</v>
      </c>
      <c r="C833" t="s">
        <v>40</v>
      </c>
      <c r="D833">
        <v>3.2147600000000001</v>
      </c>
      <c r="E833">
        <v>0.49412279999999997</v>
      </c>
      <c r="F833" t="s">
        <v>41</v>
      </c>
      <c r="G833">
        <v>-226.3006</v>
      </c>
      <c r="H833" s="1">
        <v>-2.054801E-6</v>
      </c>
      <c r="I833">
        <v>366.87970000000001</v>
      </c>
      <c r="J833">
        <v>-256.17129999999997</v>
      </c>
      <c r="K833">
        <v>1.109148</v>
      </c>
      <c r="L833">
        <v>367.84</v>
      </c>
      <c r="M833">
        <v>0.99921000000000004</v>
      </c>
      <c r="N833">
        <v>0</v>
      </c>
      <c r="O833">
        <v>3.828778E-2</v>
      </c>
      <c r="P833">
        <v>0.98853590000000002</v>
      </c>
      <c r="Q833">
        <v>0.14390829999999999</v>
      </c>
      <c r="R833">
        <v>-4.5683559999999998E-2</v>
      </c>
      <c r="S833">
        <v>3.0465390000000001</v>
      </c>
      <c r="T833">
        <v>-0.1119286</v>
      </c>
      <c r="U833">
        <v>-9.5703129999999997E-2</v>
      </c>
      <c r="V833">
        <v>8.3649559999999998E-2</v>
      </c>
      <c r="W833">
        <v>0.15432219999999999</v>
      </c>
      <c r="X833">
        <v>0.98447320000000005</v>
      </c>
      <c r="Y833">
        <v>6.9573560000000007E-2</v>
      </c>
      <c r="Z833">
        <v>-2.6831960000000001E-3</v>
      </c>
      <c r="AA833">
        <v>0.99757320000000005</v>
      </c>
      <c r="AB833">
        <v>33</v>
      </c>
      <c r="AC833">
        <v>29.8706999999999</v>
      </c>
      <c r="AD833">
        <v>-1.109150054801</v>
      </c>
      <c r="AE833">
        <v>-0.96029999999996096</v>
      </c>
      <c r="AF833">
        <v>2.1004504044043801</v>
      </c>
      <c r="AG833">
        <v>-1.109150054801</v>
      </c>
      <c r="AH833">
        <v>29.771020287182999</v>
      </c>
      <c r="AI833">
        <v>92.128340769057601</v>
      </c>
      <c r="AJ833">
        <v>85.964268314707795</v>
      </c>
      <c r="AK833">
        <v>29.865628315595298</v>
      </c>
      <c r="AL833">
        <v>81.122512119423504</v>
      </c>
      <c r="AM833">
        <v>85.143308795950603</v>
      </c>
      <c r="AN833">
        <v>1.0000000359096299</v>
      </c>
    </row>
    <row r="834" spans="1:40" x14ac:dyDescent="0.25">
      <c r="A834" t="str">
        <f>"20190312172628178"</f>
        <v>20190312172628178</v>
      </c>
      <c r="B834" t="str">
        <f>"1552382788169560"</f>
        <v>1552382788169560</v>
      </c>
      <c r="C834" t="s">
        <v>40</v>
      </c>
      <c r="D834">
        <v>3.2217579999999999</v>
      </c>
      <c r="E834">
        <v>0.49383070000000001</v>
      </c>
      <c r="F834" t="s">
        <v>41</v>
      </c>
      <c r="G834">
        <v>-225.0652</v>
      </c>
      <c r="H834" s="1">
        <v>-2.5845180000000001E-6</v>
      </c>
      <c r="I834">
        <v>366.8811</v>
      </c>
      <c r="J834">
        <v>-255.84200000000001</v>
      </c>
      <c r="K834">
        <v>1.1091299999999999</v>
      </c>
      <c r="L834">
        <v>367.85219999999998</v>
      </c>
      <c r="M834">
        <v>0.99922829999999996</v>
      </c>
      <c r="N834">
        <v>0</v>
      </c>
      <c r="O834">
        <v>3.779652E-2</v>
      </c>
      <c r="P834">
        <v>0.9885256</v>
      </c>
      <c r="Q834">
        <v>0.1437996</v>
      </c>
      <c r="R834">
        <v>-4.6246179999999998E-2</v>
      </c>
      <c r="S834">
        <v>3.046265</v>
      </c>
      <c r="T834">
        <v>-0.1086206</v>
      </c>
      <c r="U834">
        <v>-9.3902589999999994E-2</v>
      </c>
      <c r="V834">
        <v>8.3733160000000001E-2</v>
      </c>
      <c r="W834">
        <v>0.1542492</v>
      </c>
      <c r="X834">
        <v>0.98447750000000001</v>
      </c>
      <c r="Y834">
        <v>6.8502080000000007E-2</v>
      </c>
      <c r="Z834">
        <v>-2.567607E-3</v>
      </c>
      <c r="AA834">
        <v>0.99764759999999997</v>
      </c>
      <c r="AB834">
        <v>33</v>
      </c>
      <c r="AC834">
        <v>30.776800000000001</v>
      </c>
      <c r="AD834">
        <v>-1.109132584518</v>
      </c>
      <c r="AE834">
        <v>-0.97109999999997798</v>
      </c>
      <c r="AF834">
        <v>2.1309636066720099</v>
      </c>
      <c r="AG834">
        <v>-1.109132584518</v>
      </c>
      <c r="AH834">
        <v>30.6782965196623</v>
      </c>
      <c r="AI834">
        <v>92.065577304349503</v>
      </c>
      <c r="AJ834">
        <v>86.0265257530898</v>
      </c>
      <c r="AK834">
        <v>30.7722124380313</v>
      </c>
      <c r="AL834">
        <v>81.126745103988597</v>
      </c>
      <c r="AM834">
        <v>85.1384993660552</v>
      </c>
      <c r="AN834">
        <v>1.0000000028952301</v>
      </c>
    </row>
    <row r="835" spans="1:40" x14ac:dyDescent="0.25">
      <c r="A835" t="str">
        <f>"20190312172628199"</f>
        <v>20190312172628199</v>
      </c>
      <c r="B835" t="str">
        <f>"1552382788190056"</f>
        <v>1552382788190056</v>
      </c>
      <c r="C835" t="s">
        <v>40</v>
      </c>
      <c r="D835">
        <v>3.2146110000000001</v>
      </c>
      <c r="E835">
        <v>0.49365619999999999</v>
      </c>
      <c r="F835" t="s">
        <v>41</v>
      </c>
      <c r="G835">
        <v>-224.34739999999999</v>
      </c>
      <c r="H835" s="1">
        <v>-2.891878E-6</v>
      </c>
      <c r="I835">
        <v>366.88440000000003</v>
      </c>
      <c r="J835">
        <v>-255.52359999999999</v>
      </c>
      <c r="K835">
        <v>1.1091260000000001</v>
      </c>
      <c r="L835">
        <v>367.86369999999999</v>
      </c>
      <c r="M835">
        <v>0.99924610000000003</v>
      </c>
      <c r="N835">
        <v>0</v>
      </c>
      <c r="O835">
        <v>3.7314369999999999E-2</v>
      </c>
      <c r="P835">
        <v>0.98850260000000001</v>
      </c>
      <c r="Q835">
        <v>0.1439464</v>
      </c>
      <c r="R835">
        <v>-4.6283989999999997E-2</v>
      </c>
      <c r="S835">
        <v>3.046036</v>
      </c>
      <c r="T835">
        <v>-0.107270699999999</v>
      </c>
      <c r="U835">
        <v>-9.3597410000000006E-2</v>
      </c>
      <c r="V835">
        <v>8.3298869999999997E-2</v>
      </c>
      <c r="W835">
        <v>0.15443009999999999</v>
      </c>
      <c r="X835">
        <v>0.98448599999999997</v>
      </c>
      <c r="Y835">
        <v>6.7925459999999993E-2</v>
      </c>
      <c r="Z835">
        <v>-2.5087960000000002E-3</v>
      </c>
      <c r="AA835">
        <v>0.9976872</v>
      </c>
      <c r="AB835">
        <v>33</v>
      </c>
      <c r="AC835">
        <v>31.176199999999898</v>
      </c>
      <c r="AD835">
        <v>-1.109128891878</v>
      </c>
      <c r="AE835">
        <v>-0.97929999999996598</v>
      </c>
      <c r="AF835">
        <v>2.1393000353101099</v>
      </c>
      <c r="AG835">
        <v>-1.109128891878</v>
      </c>
      <c r="AH835">
        <v>31.0786453205158</v>
      </c>
      <c r="AI835">
        <v>92.039072626624204</v>
      </c>
      <c r="AJ835">
        <v>86.062253801257597</v>
      </c>
      <c r="AK835">
        <v>31.171925935018798</v>
      </c>
      <c r="AL835">
        <v>81.1162547595939</v>
      </c>
      <c r="AM835">
        <v>85.163635648185306</v>
      </c>
      <c r="AN835">
        <v>1.0000000208626401</v>
      </c>
    </row>
    <row r="836" spans="1:40" x14ac:dyDescent="0.25">
      <c r="A836" t="str">
        <f>"20190312172628221"</f>
        <v>20190312172628221</v>
      </c>
      <c r="B836" t="str">
        <f>"1552382788209576"</f>
        <v>1552382788209576</v>
      </c>
      <c r="C836" t="s">
        <v>40</v>
      </c>
      <c r="D836">
        <v>3.2122839999999999</v>
      </c>
      <c r="E836">
        <v>0.49344850000000001</v>
      </c>
      <c r="F836" t="s">
        <v>41</v>
      </c>
      <c r="G836">
        <v>-223.71610000000001</v>
      </c>
      <c r="H836" s="1">
        <v>-3.1605009999999999E-6</v>
      </c>
      <c r="I836">
        <v>366.89690000000002</v>
      </c>
      <c r="J836">
        <v>-255.20079999999999</v>
      </c>
      <c r="K836">
        <v>1.1091230000000001</v>
      </c>
      <c r="L836">
        <v>367.87529999999998</v>
      </c>
      <c r="M836">
        <v>0.99926380000000004</v>
      </c>
      <c r="N836">
        <v>0</v>
      </c>
      <c r="O836">
        <v>3.6823269999999998E-2</v>
      </c>
      <c r="P836">
        <v>0.98842629999999998</v>
      </c>
      <c r="Q836">
        <v>0.14447449999999901</v>
      </c>
      <c r="R836">
        <v>-4.62645E-2</v>
      </c>
      <c r="S836">
        <v>3.0460210000000001</v>
      </c>
      <c r="T836">
        <v>-0.10621460000000001</v>
      </c>
      <c r="U836">
        <v>-9.2590329999999998E-2</v>
      </c>
      <c r="V836">
        <v>8.2795670000000002E-2</v>
      </c>
      <c r="W836">
        <v>0.15498970000000001</v>
      </c>
      <c r="X836">
        <v>0.98444050000000005</v>
      </c>
      <c r="Y836">
        <v>6.7107780000000006E-2</v>
      </c>
      <c r="Z836">
        <v>-2.452774E-3</v>
      </c>
      <c r="AA836">
        <v>0.99774269999999998</v>
      </c>
      <c r="AB836">
        <v>33</v>
      </c>
      <c r="AC836">
        <v>31.484699999999901</v>
      </c>
      <c r="AD836">
        <v>-1.1091261605010001</v>
      </c>
      <c r="AE836">
        <v>-0.97839999999996496</v>
      </c>
      <c r="AF836">
        <v>2.1345268314189401</v>
      </c>
      <c r="AG836">
        <v>-1.1091261605010001</v>
      </c>
      <c r="AH836">
        <v>31.388399799927502</v>
      </c>
      <c r="AI836">
        <v>92.019076147634294</v>
      </c>
      <c r="AJ836">
        <v>86.109665471410807</v>
      </c>
      <c r="AK836">
        <v>31.480438491768901</v>
      </c>
      <c r="AL836">
        <v>81.083801238904798</v>
      </c>
      <c r="AM836">
        <v>85.192493151294002</v>
      </c>
      <c r="AN836">
        <v>1.0000000140585401</v>
      </c>
    </row>
    <row r="837" spans="1:40" x14ac:dyDescent="0.25">
      <c r="A837" t="str">
        <f>"20190312172628245"</f>
        <v>20190312172628245</v>
      </c>
      <c r="B837" t="str">
        <f>"1552382788239462"</f>
        <v>1552382788239462</v>
      </c>
      <c r="C837" t="s">
        <v>40</v>
      </c>
      <c r="D837">
        <v>3.2339880000000001</v>
      </c>
      <c r="E837">
        <v>0.49347560000000001</v>
      </c>
      <c r="F837" t="s">
        <v>41</v>
      </c>
      <c r="G837">
        <v>-222.95609999999999</v>
      </c>
      <c r="H837" s="1">
        <v>-3.4836399999999998E-6</v>
      </c>
      <c r="I837">
        <v>366.91329999999999</v>
      </c>
      <c r="J837">
        <v>-254.85480000000001</v>
      </c>
      <c r="K837">
        <v>1.1091279999999999</v>
      </c>
      <c r="L837">
        <v>367.88749999999999</v>
      </c>
      <c r="M837">
        <v>0.99928280000000003</v>
      </c>
      <c r="N837">
        <v>0</v>
      </c>
      <c r="O837">
        <v>3.6296090000000003E-2</v>
      </c>
      <c r="P837">
        <v>0.98840399999999995</v>
      </c>
      <c r="Q837">
        <v>0.14465919999999999</v>
      </c>
      <c r="R837">
        <v>-4.6165060000000001E-2</v>
      </c>
      <c r="S837">
        <v>3.0462189999999998</v>
      </c>
      <c r="T837">
        <v>-0.10478079999999999</v>
      </c>
      <c r="U837">
        <v>-9.088135E-2</v>
      </c>
      <c r="V837">
        <v>8.2177929999999996E-2</v>
      </c>
      <c r="W837">
        <v>0.15520599999999901</v>
      </c>
      <c r="X837">
        <v>0.9844581</v>
      </c>
      <c r="Y837">
        <v>6.6022839999999999E-2</v>
      </c>
      <c r="Z837">
        <v>-2.3827729999999999E-3</v>
      </c>
      <c r="AA837">
        <v>0.99781529999999996</v>
      </c>
      <c r="AB837">
        <v>33</v>
      </c>
      <c r="AC837">
        <v>31.898700000000002</v>
      </c>
      <c r="AD837">
        <v>-1.1091314836399999</v>
      </c>
      <c r="AE837">
        <v>-0.97419999999999596</v>
      </c>
      <c r="AF837">
        <v>2.1288521798192899</v>
      </c>
      <c r="AG837">
        <v>-1.1091314836399999</v>
      </c>
      <c r="AH837">
        <v>31.803902604510601</v>
      </c>
      <c r="AI837">
        <v>91.992871524348601</v>
      </c>
      <c r="AJ837">
        <v>86.170515150053305</v>
      </c>
      <c r="AK837">
        <v>31.894363218736899</v>
      </c>
      <c r="AL837">
        <v>81.071255624805701</v>
      </c>
      <c r="AM837">
        <v>85.2282807131472</v>
      </c>
      <c r="AN837">
        <v>0.99999993263534503</v>
      </c>
    </row>
    <row r="838" spans="1:40" x14ac:dyDescent="0.25">
      <c r="A838" t="str">
        <f>"20190312172628266"</f>
        <v>20190312172628266</v>
      </c>
      <c r="B838" t="str">
        <f>"1552382788259958"</f>
        <v>1552382788259958</v>
      </c>
      <c r="C838" t="s">
        <v>40</v>
      </c>
      <c r="D838">
        <v>3.248011</v>
      </c>
      <c r="E838">
        <v>0.49347390000000002</v>
      </c>
      <c r="F838" t="s">
        <v>41</v>
      </c>
      <c r="G838">
        <v>-223.2577</v>
      </c>
      <c r="H838" s="1">
        <v>-3.3496839999999999E-6</v>
      </c>
      <c r="I838">
        <v>366.93889999999999</v>
      </c>
      <c r="J838">
        <v>-254.53450000000001</v>
      </c>
      <c r="K838">
        <v>1.109121</v>
      </c>
      <c r="L838">
        <v>367.89870000000002</v>
      </c>
      <c r="M838">
        <v>0.99930010000000002</v>
      </c>
      <c r="N838">
        <v>0</v>
      </c>
      <c r="O838">
        <v>3.5809260000000002E-2</v>
      </c>
      <c r="P838">
        <v>0.98834880000000003</v>
      </c>
      <c r="Q838">
        <v>0.1450082</v>
      </c>
      <c r="R838">
        <v>-4.625522E-2</v>
      </c>
      <c r="S838">
        <v>3.0465550000000001</v>
      </c>
      <c r="T838">
        <v>-0.10694099999999999</v>
      </c>
      <c r="U838">
        <v>-9.1461180000000003E-2</v>
      </c>
      <c r="V838">
        <v>8.1787429999999994E-2</v>
      </c>
      <c r="W838">
        <v>0.15558139999999901</v>
      </c>
      <c r="X838">
        <v>0.98443139999999996</v>
      </c>
      <c r="Y838">
        <v>6.5721180000000004E-2</v>
      </c>
      <c r="Z838">
        <v>-2.4092240000000002E-3</v>
      </c>
      <c r="AA838">
        <v>0.99783509999999997</v>
      </c>
      <c r="AB838">
        <v>33</v>
      </c>
      <c r="AC838">
        <v>31.276800000000001</v>
      </c>
      <c r="AD838">
        <v>-1.109124349684</v>
      </c>
      <c r="AE838">
        <v>-0.95980000000002896</v>
      </c>
      <c r="AF838">
        <v>2.0766399809356999</v>
      </c>
      <c r="AG838">
        <v>-1.109124349684</v>
      </c>
      <c r="AH838">
        <v>31.183189634053701</v>
      </c>
      <c r="AI838">
        <v>92.032540524329605</v>
      </c>
      <c r="AJ838">
        <v>86.190021505324694</v>
      </c>
      <c r="AK838">
        <v>31.271934800821601</v>
      </c>
      <c r="AL838">
        <v>81.049482622492405</v>
      </c>
      <c r="AM838">
        <v>85.250723191640105</v>
      </c>
      <c r="AN838">
        <v>0.999999968518962</v>
      </c>
    </row>
    <row r="839" spans="1:40" x14ac:dyDescent="0.25">
      <c r="A839" t="str">
        <f>"20190312172628289"</f>
        <v>20190312172628289</v>
      </c>
      <c r="B839" t="str">
        <f>"1552382788279474"</f>
        <v>1552382788279474</v>
      </c>
      <c r="C839" t="s">
        <v>40</v>
      </c>
      <c r="D839">
        <v>3.254515</v>
      </c>
      <c r="E839">
        <v>0.49358550000000001</v>
      </c>
      <c r="F839" t="s">
        <v>41</v>
      </c>
      <c r="G839">
        <v>-222.8432</v>
      </c>
      <c r="H839" s="1">
        <v>-3.5265290000000002E-6</v>
      </c>
      <c r="I839">
        <v>366.94439999999997</v>
      </c>
      <c r="J839">
        <v>-254.20859999999999</v>
      </c>
      <c r="K839">
        <v>1.109116</v>
      </c>
      <c r="L839">
        <v>367.90980000000002</v>
      </c>
      <c r="M839">
        <v>0.99931749999999997</v>
      </c>
      <c r="N839">
        <v>0</v>
      </c>
      <c r="O839">
        <v>3.5312730000000001E-2</v>
      </c>
      <c r="P839">
        <v>0.98832249999999999</v>
      </c>
      <c r="Q839">
        <v>0.1451462</v>
      </c>
      <c r="R839">
        <v>-4.6383880000000002E-2</v>
      </c>
      <c r="S839">
        <v>3.0467070000000001</v>
      </c>
      <c r="T839">
        <v>-0.1066276</v>
      </c>
      <c r="U839">
        <v>-9.1735839999999999E-2</v>
      </c>
      <c r="V839">
        <v>8.1427050000000001E-2</v>
      </c>
      <c r="W839">
        <v>0.1557434</v>
      </c>
      <c r="X839">
        <v>0.98443570000000002</v>
      </c>
      <c r="Y839">
        <v>6.5314670000000005E-2</v>
      </c>
      <c r="Z839">
        <v>-2.3775699999999999E-3</v>
      </c>
      <c r="AA839">
        <v>0.99786189999999997</v>
      </c>
      <c r="AB839">
        <v>33</v>
      </c>
      <c r="AC839">
        <v>31.365399999999902</v>
      </c>
      <c r="AD839">
        <v>-1.1091195265289999</v>
      </c>
      <c r="AE839">
        <v>-0.965400000000045</v>
      </c>
      <c r="AF839">
        <v>2.0698750652657099</v>
      </c>
      <c r="AG839">
        <v>-1.1091195265289999</v>
      </c>
      <c r="AH839">
        <v>31.272675642485499</v>
      </c>
      <c r="AI839">
        <v>92.026774973251094</v>
      </c>
      <c r="AJ839">
        <v>86.213231700157706</v>
      </c>
      <c r="AK839">
        <v>31.360720188637899</v>
      </c>
      <c r="AL839">
        <v>81.040086534226404</v>
      </c>
      <c r="AM839">
        <v>85.271575396696406</v>
      </c>
      <c r="AN839">
        <v>1.00000000927487</v>
      </c>
    </row>
    <row r="840" spans="1:40" x14ac:dyDescent="0.25">
      <c r="A840" t="str">
        <f>"20190312172628311"</f>
        <v>20190312172628311</v>
      </c>
      <c r="B840" t="str">
        <f>"1552382788299971"</f>
        <v>1552382788299971</v>
      </c>
      <c r="C840" t="s">
        <v>40</v>
      </c>
      <c r="D840">
        <v>3.2896969999999999</v>
      </c>
      <c r="E840">
        <v>0.49362240000000002</v>
      </c>
      <c r="F840" t="s">
        <v>41</v>
      </c>
      <c r="G840">
        <v>-222.75749999999999</v>
      </c>
      <c r="H840" s="1">
        <v>-3.5631400000000001E-6</v>
      </c>
      <c r="I840">
        <v>366.9452</v>
      </c>
      <c r="J840">
        <v>-253.88290000000001</v>
      </c>
      <c r="K840">
        <v>1.1091089999999999</v>
      </c>
      <c r="L840">
        <v>367.92090000000002</v>
      </c>
      <c r="M840">
        <v>0.99933479999999997</v>
      </c>
      <c r="N840">
        <v>0</v>
      </c>
      <c r="O840">
        <v>3.4813869999999997E-2</v>
      </c>
      <c r="P840">
        <v>0.98836089999999999</v>
      </c>
      <c r="Q840">
        <v>0.14479040000000001</v>
      </c>
      <c r="R840">
        <v>-4.6675380000000002E-2</v>
      </c>
      <c r="S840">
        <v>3.0468600000000001</v>
      </c>
      <c r="T840">
        <v>-0.107447</v>
      </c>
      <c r="U840">
        <v>-9.3444819999999998E-2</v>
      </c>
      <c r="V840">
        <v>8.1229620000000002E-2</v>
      </c>
      <c r="W840">
        <v>0.15540899999999999</v>
      </c>
      <c r="X840">
        <v>0.98450479999999996</v>
      </c>
      <c r="Y840">
        <v>6.5373570000000006E-2</v>
      </c>
      <c r="Z840">
        <v>-2.3791519999999998E-3</v>
      </c>
      <c r="AA840">
        <v>0.99785800000000002</v>
      </c>
      <c r="AB840">
        <v>33</v>
      </c>
      <c r="AC840">
        <v>31.125399999999999</v>
      </c>
      <c r="AD840">
        <v>-1.1091125631400001</v>
      </c>
      <c r="AE840">
        <v>-0.975700000000017</v>
      </c>
      <c r="AF840">
        <v>2.05615975038853</v>
      </c>
      <c r="AG840">
        <v>-1.1091125631400001</v>
      </c>
      <c r="AH840">
        <v>31.033194079555201</v>
      </c>
      <c r="AI840">
        <v>92.042380225551895</v>
      </c>
      <c r="AJ840">
        <v>86.209306224954702</v>
      </c>
      <c r="AK840">
        <v>31.121006705699202</v>
      </c>
      <c r="AL840">
        <v>81.059481918322405</v>
      </c>
      <c r="AM840">
        <v>85.283317835811005</v>
      </c>
      <c r="AN840">
        <v>0.99999995483469095</v>
      </c>
    </row>
    <row r="841" spans="1:40" x14ac:dyDescent="0.25">
      <c r="A841" t="str">
        <f>"20190312172628335"</f>
        <v>20190312172628335</v>
      </c>
      <c r="B841" t="str">
        <f>"1552382788329250"</f>
        <v>1552382788329250</v>
      </c>
      <c r="C841" t="s">
        <v>40</v>
      </c>
      <c r="D841">
        <v>3.2958270000000001</v>
      </c>
      <c r="E841">
        <v>0.49371910000000002</v>
      </c>
      <c r="F841" t="s">
        <v>41</v>
      </c>
      <c r="G841">
        <v>-222.91890000000001</v>
      </c>
      <c r="H841" s="1">
        <v>-3.4916659999999999E-6</v>
      </c>
      <c r="I841">
        <v>366.9579</v>
      </c>
      <c r="J841">
        <v>-253.53890000000001</v>
      </c>
      <c r="K841">
        <v>1.1091070000000001</v>
      </c>
      <c r="L841">
        <v>367.9323</v>
      </c>
      <c r="M841">
        <v>0.99935300000000005</v>
      </c>
      <c r="N841">
        <v>0</v>
      </c>
      <c r="O841">
        <v>3.4281810000000003E-2</v>
      </c>
      <c r="P841">
        <v>0.98835220000000001</v>
      </c>
      <c r="Q841">
        <v>0.1446703</v>
      </c>
      <c r="R841">
        <v>-4.7230210000000002E-2</v>
      </c>
      <c r="S841">
        <v>3.0468440000000001</v>
      </c>
      <c r="T841">
        <v>-0.1091361</v>
      </c>
      <c r="U841">
        <v>-9.4757079999999994E-2</v>
      </c>
      <c r="V841">
        <v>8.1261109999999998E-2</v>
      </c>
      <c r="W841">
        <v>0.15530820000000001</v>
      </c>
      <c r="X841">
        <v>0.98451820000000001</v>
      </c>
      <c r="Y841">
        <v>6.5270239999999993E-2</v>
      </c>
      <c r="Z841">
        <v>-2.395632E-3</v>
      </c>
      <c r="AA841">
        <v>0.99786470000000005</v>
      </c>
      <c r="AB841">
        <v>33</v>
      </c>
      <c r="AC841">
        <v>30.62</v>
      </c>
      <c r="AD841">
        <v>-1.109110491666</v>
      </c>
      <c r="AE841">
        <v>-0.97440000000000204</v>
      </c>
      <c r="AF841">
        <v>2.0209494876959999</v>
      </c>
      <c r="AG841">
        <v>-1.109110491666</v>
      </c>
      <c r="AH841">
        <v>30.528579967992201</v>
      </c>
      <c r="AI841">
        <v>92.076113992235904</v>
      </c>
      <c r="AJ841">
        <v>86.212625136064005</v>
      </c>
      <c r="AK841">
        <v>30.615495386758599</v>
      </c>
      <c r="AL841">
        <v>81.065329136570099</v>
      </c>
      <c r="AM841">
        <v>85.281561523084605</v>
      </c>
      <c r="AN841">
        <v>1.0000000455584499</v>
      </c>
    </row>
    <row r="842" spans="1:40" x14ac:dyDescent="0.25">
      <c r="A842" t="str">
        <f>"20190312172628356"</f>
        <v>20190312172628356</v>
      </c>
      <c r="B842" t="str">
        <f>"1552382788349747"</f>
        <v>1552382788349747</v>
      </c>
      <c r="C842" t="s">
        <v>40</v>
      </c>
      <c r="D842">
        <v>3.2715830000000001</v>
      </c>
      <c r="E842">
        <v>0.49384260000000002</v>
      </c>
      <c r="F842" t="s">
        <v>41</v>
      </c>
      <c r="G842">
        <v>-222.88290000000001</v>
      </c>
      <c r="H842" s="1">
        <v>-3.507989E-6</v>
      </c>
      <c r="I842">
        <v>366.95299999999997</v>
      </c>
      <c r="J842">
        <v>-253.2176</v>
      </c>
      <c r="K842">
        <v>1.1091040000000001</v>
      </c>
      <c r="L842">
        <v>367.94279999999998</v>
      </c>
      <c r="M842">
        <v>0.99936990000000003</v>
      </c>
      <c r="N842">
        <v>0</v>
      </c>
      <c r="O842">
        <v>3.3777349999999998E-2</v>
      </c>
      <c r="P842">
        <v>0.98834639999999996</v>
      </c>
      <c r="Q842">
        <v>0.1444587</v>
      </c>
      <c r="R842">
        <v>-4.7996419999999998E-2</v>
      </c>
      <c r="S842">
        <v>3.0468139999999999</v>
      </c>
      <c r="T842">
        <v>-0.1102308</v>
      </c>
      <c r="U842">
        <v>-9.732056E-2</v>
      </c>
      <c r="V842">
        <v>8.1531320000000004E-2</v>
      </c>
      <c r="W842">
        <v>0.15511179999999999</v>
      </c>
      <c r="X842">
        <v>0.98452680000000004</v>
      </c>
      <c r="Y842">
        <v>6.5604419999999997E-2</v>
      </c>
      <c r="Z842">
        <v>-2.4074470000000001E-3</v>
      </c>
      <c r="AA842">
        <v>0.99784280000000003</v>
      </c>
      <c r="AB842">
        <v>33</v>
      </c>
      <c r="AC842">
        <v>30.334700000000002</v>
      </c>
      <c r="AD842">
        <v>-1.109107507989</v>
      </c>
      <c r="AE842">
        <v>-0.98979999999994495</v>
      </c>
      <c r="AF842">
        <v>2.0112360609826698</v>
      </c>
      <c r="AG842">
        <v>-1.109107507989</v>
      </c>
      <c r="AH842">
        <v>30.243566886024102</v>
      </c>
      <c r="AI842">
        <v>92.095614272730103</v>
      </c>
      <c r="AJ842">
        <v>86.195359012786994</v>
      </c>
      <c r="AK842">
        <v>30.330653272666002</v>
      </c>
      <c r="AL842">
        <v>81.076719867751095</v>
      </c>
      <c r="AM842">
        <v>85.265984097261907</v>
      </c>
      <c r="AN842">
        <v>1.0000000232792099</v>
      </c>
    </row>
    <row r="843" spans="1:40" x14ac:dyDescent="0.25">
      <c r="A843" t="str">
        <f>"20190312172628379"</f>
        <v>20190312172628379</v>
      </c>
      <c r="B843" t="str">
        <f>"1552382788369267"</f>
        <v>1552382788369267</v>
      </c>
      <c r="C843" t="s">
        <v>40</v>
      </c>
      <c r="D843">
        <v>3.2765070000000001</v>
      </c>
      <c r="E843">
        <v>0.49394300000000002</v>
      </c>
      <c r="F843" t="s">
        <v>41</v>
      </c>
      <c r="G843">
        <v>-222.92070000000001</v>
      </c>
      <c r="H843" s="1">
        <v>-3.4942080000000002E-6</v>
      </c>
      <c r="I843">
        <v>366.93920000000003</v>
      </c>
      <c r="J843">
        <v>-252.8886</v>
      </c>
      <c r="K843">
        <v>1.1090960000000001</v>
      </c>
      <c r="L843">
        <v>367.95339999999999</v>
      </c>
      <c r="M843">
        <v>0.99938760000000004</v>
      </c>
      <c r="N843">
        <v>0</v>
      </c>
      <c r="O843">
        <v>3.3247659999999998E-2</v>
      </c>
      <c r="P843">
        <v>0.98830240000000003</v>
      </c>
      <c r="Q843">
        <v>0.14455460000000001</v>
      </c>
      <c r="R843">
        <v>-4.8607060000000001E-2</v>
      </c>
      <c r="S843">
        <v>3.0467680000000001</v>
      </c>
      <c r="T843">
        <v>-0.1115357</v>
      </c>
      <c r="U843">
        <v>-0.1009216</v>
      </c>
      <c r="V843">
        <v>8.1621330000000006E-2</v>
      </c>
      <c r="W843">
        <v>0.15522149999999901</v>
      </c>
      <c r="X843">
        <v>0.98450199999999999</v>
      </c>
      <c r="Y843">
        <v>6.6252510000000001E-2</v>
      </c>
      <c r="Z843">
        <v>-2.4283999999999998E-3</v>
      </c>
      <c r="AA843">
        <v>0.99779989999999996</v>
      </c>
      <c r="AB843">
        <v>33</v>
      </c>
      <c r="AC843">
        <v>29.967899999999901</v>
      </c>
      <c r="AD843">
        <v>-1.1090994942079999</v>
      </c>
      <c r="AE843">
        <v>-1.01419999999995</v>
      </c>
      <c r="AF843">
        <v>2.00731478217743</v>
      </c>
      <c r="AG843">
        <v>-1.1090994942079999</v>
      </c>
      <c r="AH843">
        <v>29.876732681254602</v>
      </c>
      <c r="AI843">
        <v>92.121209438782699</v>
      </c>
      <c r="AJ843">
        <v>86.156270513161701</v>
      </c>
      <c r="AK843">
        <v>29.964621973753498</v>
      </c>
      <c r="AL843">
        <v>81.070356997831993</v>
      </c>
      <c r="AM843">
        <v>85.260662730756806</v>
      </c>
      <c r="AN843">
        <v>0.999999971788609</v>
      </c>
    </row>
    <row r="844" spans="1:40" x14ac:dyDescent="0.25">
      <c r="A844" t="str">
        <f>"20190312172628400"</f>
        <v>20190312172628400</v>
      </c>
      <c r="B844" t="str">
        <f>"1552382788389763"</f>
        <v>1552382788389763</v>
      </c>
      <c r="C844" t="s">
        <v>40</v>
      </c>
      <c r="D844">
        <v>3.2995139999999998</v>
      </c>
      <c r="E844">
        <v>0.49402689999999999</v>
      </c>
      <c r="F844" t="s">
        <v>41</v>
      </c>
      <c r="G844">
        <v>-222.66579999999999</v>
      </c>
      <c r="H844" s="1">
        <v>-3.6069090000000002E-6</v>
      </c>
      <c r="I844">
        <v>366.92039999999997</v>
      </c>
      <c r="J844">
        <v>-252.56180000000001</v>
      </c>
      <c r="K844">
        <v>1.1090850000000001</v>
      </c>
      <c r="L844">
        <v>367.96370000000002</v>
      </c>
      <c r="M844">
        <v>0.9994054</v>
      </c>
      <c r="N844">
        <v>0</v>
      </c>
      <c r="O844">
        <v>3.2702420000000003E-2</v>
      </c>
      <c r="P844">
        <v>0.9881991</v>
      </c>
      <c r="Q844">
        <v>0.14497479999999999</v>
      </c>
      <c r="R844">
        <v>-4.9448800000000001E-2</v>
      </c>
      <c r="S844">
        <v>3.0467379999999999</v>
      </c>
      <c r="T844">
        <v>-0.111807</v>
      </c>
      <c r="U844">
        <v>-0.104126</v>
      </c>
      <c r="V844">
        <v>8.1926769999999996E-2</v>
      </c>
      <c r="W844">
        <v>0.15565109999999999</v>
      </c>
      <c r="X844">
        <v>0.98440890000000003</v>
      </c>
      <c r="Y844">
        <v>6.6756410000000002E-2</v>
      </c>
      <c r="Z844">
        <v>-2.4235350000000001E-3</v>
      </c>
      <c r="AA844">
        <v>0.99776640000000005</v>
      </c>
      <c r="AB844">
        <v>33</v>
      </c>
      <c r="AC844">
        <v>29.896000000000001</v>
      </c>
      <c r="AD844">
        <v>-1.109088606909</v>
      </c>
      <c r="AE844">
        <v>-1.0433000000000401</v>
      </c>
      <c r="AF844">
        <v>2.01769828907742</v>
      </c>
      <c r="AG844">
        <v>-1.109088606909</v>
      </c>
      <c r="AH844">
        <v>29.804917258016498</v>
      </c>
      <c r="AI844">
        <v>92.126222213686503</v>
      </c>
      <c r="AJ844">
        <v>86.127166605218093</v>
      </c>
      <c r="AK844">
        <v>29.8937163410796</v>
      </c>
      <c r="AL844">
        <v>81.045440785483194</v>
      </c>
      <c r="AM844">
        <v>85.242560790605296</v>
      </c>
      <c r="AN844">
        <v>1.00000007148652</v>
      </c>
    </row>
    <row r="845" spans="1:40" x14ac:dyDescent="0.25">
      <c r="A845" t="str">
        <f>"20190312172628422"</f>
        <v>20190312172628422</v>
      </c>
      <c r="B845" t="str">
        <f>"1552382788419043"</f>
        <v>1552382788419043</v>
      </c>
      <c r="C845" t="s">
        <v>40</v>
      </c>
      <c r="D845">
        <v>3.3089129999999898</v>
      </c>
      <c r="E845">
        <v>0.49414259999999899</v>
      </c>
      <c r="F845" t="s">
        <v>41</v>
      </c>
      <c r="G845">
        <v>-222.15389999999999</v>
      </c>
      <c r="H845" s="1">
        <v>-3.8314149999999996E-6</v>
      </c>
      <c r="I845">
        <v>366.89280000000002</v>
      </c>
      <c r="J845">
        <v>-252.2373</v>
      </c>
      <c r="K845">
        <v>1.109065</v>
      </c>
      <c r="L845">
        <v>367.97379999999998</v>
      </c>
      <c r="M845">
        <v>0.99942350000000002</v>
      </c>
      <c r="N845">
        <v>0</v>
      </c>
      <c r="O845">
        <v>3.2138659999999999E-2</v>
      </c>
      <c r="P845">
        <v>0.98811280000000001</v>
      </c>
      <c r="Q845">
        <v>0.14517579999999999</v>
      </c>
      <c r="R845">
        <v>-5.0569919999999997E-2</v>
      </c>
      <c r="S845">
        <v>3.0467529999999998</v>
      </c>
      <c r="T845">
        <v>-0.1111258</v>
      </c>
      <c r="U845">
        <v>-0.1072998</v>
      </c>
      <c r="V845">
        <v>8.2495440000000003E-2</v>
      </c>
      <c r="W845">
        <v>0.15585879999999999</v>
      </c>
      <c r="X845">
        <v>0.98432839999999999</v>
      </c>
      <c r="Y845">
        <v>6.7232410000000006E-2</v>
      </c>
      <c r="Z845">
        <v>-2.3968570000000001E-3</v>
      </c>
      <c r="AA845">
        <v>0.99773449999999997</v>
      </c>
      <c r="AB845">
        <v>33</v>
      </c>
      <c r="AC845">
        <v>30.083400000000001</v>
      </c>
      <c r="AD845">
        <v>-1.1090688314149999</v>
      </c>
      <c r="AE845">
        <v>-1.08099999999996</v>
      </c>
      <c r="AF845">
        <v>2.0445643215130498</v>
      </c>
      <c r="AG845">
        <v>-1.1090688314149999</v>
      </c>
      <c r="AH845">
        <v>29.9924024676931</v>
      </c>
      <c r="AI845">
        <v>92.112837992816793</v>
      </c>
      <c r="AJ845">
        <v>86.100214017537596</v>
      </c>
      <c r="AK845">
        <v>30.082461380706601</v>
      </c>
      <c r="AL845">
        <v>81.033392154469496</v>
      </c>
      <c r="AM845">
        <v>85.209301668032793</v>
      </c>
      <c r="AN845">
        <v>0.99999993110239405</v>
      </c>
    </row>
    <row r="846" spans="1:40" x14ac:dyDescent="0.25">
      <c r="A846" t="str">
        <f>"20190312172628446"</f>
        <v>20190312172628446</v>
      </c>
      <c r="B846" t="str">
        <f>"1552382788439542"</f>
        <v>1552382788439542</v>
      </c>
      <c r="C846" t="s">
        <v>40</v>
      </c>
      <c r="D846">
        <v>3.3209879999999998</v>
      </c>
      <c r="E846">
        <v>0.494174</v>
      </c>
      <c r="F846" t="s">
        <v>41</v>
      </c>
      <c r="G846">
        <v>-221.90649999999999</v>
      </c>
      <c r="H846" s="1">
        <v>-3.9422059999999999E-6</v>
      </c>
      <c r="I846">
        <v>366.8664</v>
      </c>
      <c r="J846">
        <v>-251.89580000000001</v>
      </c>
      <c r="K846">
        <v>1.1090530000000001</v>
      </c>
      <c r="L846">
        <v>367.98410000000001</v>
      </c>
      <c r="M846">
        <v>0.99944319999999998</v>
      </c>
      <c r="N846">
        <v>0</v>
      </c>
      <c r="O846">
        <v>3.1519039999999998E-2</v>
      </c>
      <c r="P846">
        <v>0.98809060000000004</v>
      </c>
      <c r="Q846">
        <v>0.145005</v>
      </c>
      <c r="R846">
        <v>-5.1487730000000002E-2</v>
      </c>
      <c r="S846">
        <v>3.0467680000000001</v>
      </c>
      <c r="T846">
        <v>-0.1114074</v>
      </c>
      <c r="U846">
        <v>-0.1112366</v>
      </c>
      <c r="V846">
        <v>8.2808889999999996E-2</v>
      </c>
      <c r="W846">
        <v>0.1556949</v>
      </c>
      <c r="X846">
        <v>0.98432810000000004</v>
      </c>
      <c r="Y846">
        <v>6.7900829999999995E-2</v>
      </c>
      <c r="Z846">
        <v>-2.392436E-3</v>
      </c>
      <c r="AA846">
        <v>0.99768920000000005</v>
      </c>
      <c r="AB846">
        <v>33</v>
      </c>
      <c r="AC846">
        <v>29.9893</v>
      </c>
      <c r="AD846">
        <v>-1.1090569422059999</v>
      </c>
      <c r="AE846">
        <v>-1.1177000000000099</v>
      </c>
      <c r="AF846">
        <v>2.0596222603465599</v>
      </c>
      <c r="AG846">
        <v>-1.1090569422059999</v>
      </c>
      <c r="AH846">
        <v>29.898333395355198</v>
      </c>
      <c r="AI846">
        <v>92.119353140694002</v>
      </c>
      <c r="AJ846">
        <v>86.059261132128498</v>
      </c>
      <c r="AK846">
        <v>29.989704749733399</v>
      </c>
      <c r="AL846">
        <v>81.042899714511805</v>
      </c>
      <c r="AM846">
        <v>85.191182654711099</v>
      </c>
      <c r="AN846">
        <v>1.0000000112993199</v>
      </c>
    </row>
    <row r="847" spans="1:40" x14ac:dyDescent="0.25">
      <c r="A847" t="str">
        <f>"20190312172628467"</f>
        <v>20190312172628467</v>
      </c>
      <c r="B847" t="str">
        <f>"1552382788460035"</f>
        <v>1552382788460035</v>
      </c>
      <c r="C847" t="s">
        <v>40</v>
      </c>
      <c r="D847">
        <v>3.2836859999999999</v>
      </c>
      <c r="E847">
        <v>0.494313</v>
      </c>
      <c r="F847" t="s">
        <v>41</v>
      </c>
      <c r="G847">
        <v>-221.9375</v>
      </c>
      <c r="H847" s="1">
        <v>-3.92923E-6</v>
      </c>
      <c r="I847">
        <v>366.86450000000002</v>
      </c>
      <c r="J847">
        <v>-251.56800000000001</v>
      </c>
      <c r="K847">
        <v>1.109038</v>
      </c>
      <c r="L847">
        <v>367.99380000000002</v>
      </c>
      <c r="M847">
        <v>0.99946230000000003</v>
      </c>
      <c r="N847">
        <v>0</v>
      </c>
      <c r="O847">
        <v>3.089824E-2</v>
      </c>
      <c r="P847">
        <v>0.98798039999999998</v>
      </c>
      <c r="Q847">
        <v>0.1452619</v>
      </c>
      <c r="R847">
        <v>-5.2855510000000001E-2</v>
      </c>
      <c r="S847">
        <v>3.046799</v>
      </c>
      <c r="T847">
        <v>-0.1127925</v>
      </c>
      <c r="U847">
        <v>-0.11386110000000001</v>
      </c>
      <c r="V847">
        <v>8.3569039999999997E-2</v>
      </c>
      <c r="W847">
        <v>0.15595539999999999</v>
      </c>
      <c r="X847">
        <v>0.98422259999999995</v>
      </c>
      <c r="Y847">
        <v>6.8137619999999996E-2</v>
      </c>
      <c r="Z847">
        <v>-2.4035160000000001E-3</v>
      </c>
      <c r="AA847">
        <v>0.99767300000000003</v>
      </c>
      <c r="AB847">
        <v>33</v>
      </c>
      <c r="AC847">
        <v>29.630499999999898</v>
      </c>
      <c r="AD847">
        <v>-1.10904192923</v>
      </c>
      <c r="AE847">
        <v>-1.1293</v>
      </c>
      <c r="AF847">
        <v>2.0414903121266201</v>
      </c>
      <c r="AG847">
        <v>-1.10904192923</v>
      </c>
      <c r="AH847">
        <v>29.540131520958699</v>
      </c>
      <c r="AI847">
        <v>92.144966819311406</v>
      </c>
      <c r="AJ847">
        <v>86.046629180069999</v>
      </c>
      <c r="AK847">
        <v>29.6313520948815</v>
      </c>
      <c r="AL847">
        <v>81.027789475525594</v>
      </c>
      <c r="AM847">
        <v>85.146731943310101</v>
      </c>
      <c r="AN847">
        <v>0.99999999879321999</v>
      </c>
    </row>
    <row r="848" spans="1:40" x14ac:dyDescent="0.25">
      <c r="A848" t="str">
        <f>"20190312172628489"</f>
        <v>20190312172628489</v>
      </c>
      <c r="B848" t="str">
        <f>"1552382788479555"</f>
        <v>1552382788479555</v>
      </c>
      <c r="C848" t="s">
        <v>40</v>
      </c>
      <c r="D848">
        <v>3.2729889999999999</v>
      </c>
      <c r="E848">
        <v>0.49440240000000002</v>
      </c>
      <c r="F848" t="s">
        <v>41</v>
      </c>
      <c r="G848">
        <v>-221.63319999999999</v>
      </c>
      <c r="H848" s="1">
        <v>-4.0670189999999997E-6</v>
      </c>
      <c r="I848">
        <v>366.82380000000001</v>
      </c>
      <c r="J848">
        <v>-251.24539999999999</v>
      </c>
      <c r="K848">
        <v>1.109022</v>
      </c>
      <c r="L848">
        <v>368.00310000000002</v>
      </c>
      <c r="M848">
        <v>0.99948170000000003</v>
      </c>
      <c r="N848">
        <v>0</v>
      </c>
      <c r="O848">
        <v>3.0263470000000001E-2</v>
      </c>
      <c r="P848">
        <v>0.98788929999999997</v>
      </c>
      <c r="Q848">
        <v>0.1455757</v>
      </c>
      <c r="R848">
        <v>-5.369086E-2</v>
      </c>
      <c r="S848">
        <v>3.0467219999999999</v>
      </c>
      <c r="T848">
        <v>-0.1128764</v>
      </c>
      <c r="U848">
        <v>-0.11907959999999999</v>
      </c>
      <c r="V848">
        <v>8.3783220000000005E-2</v>
      </c>
      <c r="W848">
        <v>0.15627240000000001</v>
      </c>
      <c r="X848">
        <v>0.98415410000000003</v>
      </c>
      <c r="Y848">
        <v>6.9210830000000001E-2</v>
      </c>
      <c r="Z848">
        <v>-2.4016580000000001E-3</v>
      </c>
      <c r="AA848">
        <v>0.99759920000000002</v>
      </c>
      <c r="AB848">
        <v>33</v>
      </c>
      <c r="AC848">
        <v>29.612200000000001</v>
      </c>
      <c r="AD848">
        <v>-1.109026067019</v>
      </c>
      <c r="AE848">
        <v>-1.17930000000001</v>
      </c>
      <c r="AF848">
        <v>2.0720799157840801</v>
      </c>
      <c r="AG848">
        <v>-1.109026067019</v>
      </c>
      <c r="AH848">
        <v>29.521600602388599</v>
      </c>
      <c r="AI848">
        <v>92.146120858840007</v>
      </c>
      <c r="AJ848">
        <v>85.985073715173002</v>
      </c>
      <c r="AK848">
        <v>29.615002213771199</v>
      </c>
      <c r="AL848">
        <v>81.009401192621098</v>
      </c>
      <c r="AM848">
        <v>85.134016052326601</v>
      </c>
      <c r="AN848">
        <v>0.99999999175106902</v>
      </c>
    </row>
    <row r="849" spans="1:40" x14ac:dyDescent="0.25">
      <c r="A849" t="str">
        <f>"20190312172628511"</f>
        <v>20190312172628511</v>
      </c>
      <c r="B849" t="str">
        <f>"1552382788509811"</f>
        <v>1552382788509811</v>
      </c>
      <c r="C849" t="s">
        <v>40</v>
      </c>
      <c r="D849">
        <v>3.2894160000000001</v>
      </c>
      <c r="E849">
        <v>0.49453380000000002</v>
      </c>
      <c r="F849" t="s">
        <v>41</v>
      </c>
      <c r="G849">
        <v>-221.21619999999999</v>
      </c>
      <c r="H849" s="1">
        <v>-4.2506240000000003E-6</v>
      </c>
      <c r="I849">
        <v>366.79719999999998</v>
      </c>
      <c r="J849">
        <v>-250.91550000000001</v>
      </c>
      <c r="K849">
        <v>1.1090089999999999</v>
      </c>
      <c r="L849">
        <v>368.01240000000001</v>
      </c>
      <c r="M849">
        <v>0.99950150000000004</v>
      </c>
      <c r="N849">
        <v>0</v>
      </c>
      <c r="O849">
        <v>2.9597350000000001E-2</v>
      </c>
      <c r="P849">
        <v>0.98778840000000001</v>
      </c>
      <c r="Q849">
        <v>0.14583670000000001</v>
      </c>
      <c r="R849">
        <v>-5.4825539999999999E-2</v>
      </c>
      <c r="S849">
        <v>3.0467070000000001</v>
      </c>
      <c r="T849">
        <v>-0.11251949999999999</v>
      </c>
      <c r="U849">
        <v>-0.122345</v>
      </c>
      <c r="V849">
        <v>8.4263850000000001E-2</v>
      </c>
      <c r="W849">
        <v>0.15653699999999901</v>
      </c>
      <c r="X849">
        <v>0.98407100000000003</v>
      </c>
      <c r="Y849">
        <v>6.9614309999999999E-2</v>
      </c>
      <c r="Z849">
        <v>-2.3768970000000002E-3</v>
      </c>
      <c r="AA849">
        <v>0.99757119999999999</v>
      </c>
      <c r="AB849">
        <v>33</v>
      </c>
      <c r="AC849">
        <v>29.699300000000001</v>
      </c>
      <c r="AD849">
        <v>-1.10901325062399</v>
      </c>
      <c r="AE849">
        <v>-1.21520000000003</v>
      </c>
      <c r="AF849">
        <v>2.0908306723741599</v>
      </c>
      <c r="AG849">
        <v>-1.10901325062399</v>
      </c>
      <c r="AH849">
        <v>29.609101043761498</v>
      </c>
      <c r="AI849">
        <v>92.139696093193606</v>
      </c>
      <c r="AJ849">
        <v>85.960794283688799</v>
      </c>
      <c r="AK849">
        <v>29.703540999521898</v>
      </c>
      <c r="AL849">
        <v>80.9940517269427</v>
      </c>
      <c r="AM849">
        <v>85.105825828234501</v>
      </c>
      <c r="AN849">
        <v>0.99999998091341102</v>
      </c>
    </row>
    <row r="850" spans="1:40" x14ac:dyDescent="0.25">
      <c r="A850" t="str">
        <f>"20190312172628535"</f>
        <v>20190312172628535</v>
      </c>
      <c r="B850" t="str">
        <f>"1552382788529331"</f>
        <v>1552382788529331</v>
      </c>
      <c r="C850" t="s">
        <v>40</v>
      </c>
      <c r="D850">
        <v>3.2563780000000002</v>
      </c>
      <c r="E850">
        <v>0.49462499999999998</v>
      </c>
      <c r="F850" t="s">
        <v>41</v>
      </c>
      <c r="G850">
        <v>-220.99029999999999</v>
      </c>
      <c r="H850" s="1">
        <v>-4.3524619999999996E-6</v>
      </c>
      <c r="I850">
        <v>366.76929999999999</v>
      </c>
      <c r="J850">
        <v>-250.57499999999999</v>
      </c>
      <c r="K850">
        <v>1.108995</v>
      </c>
      <c r="L850">
        <v>368.02179999999998</v>
      </c>
      <c r="M850">
        <v>0.99952200000000002</v>
      </c>
      <c r="N850">
        <v>0</v>
      </c>
      <c r="O850">
        <v>2.8897030000000001E-2</v>
      </c>
      <c r="P850">
        <v>0.98774890000000004</v>
      </c>
      <c r="Q850">
        <v>0.14558869999999999</v>
      </c>
      <c r="R850">
        <v>-5.6180019999999997E-2</v>
      </c>
      <c r="S850">
        <v>3.0467529999999998</v>
      </c>
      <c r="T850">
        <v>-0.112910999999999</v>
      </c>
      <c r="U850">
        <v>-0.12655640000000001</v>
      </c>
      <c r="V850">
        <v>8.4930169999999999E-2</v>
      </c>
      <c r="W850">
        <v>0.1562926</v>
      </c>
      <c r="X850">
        <v>0.98405260000000006</v>
      </c>
      <c r="Y850">
        <v>7.0290889999999995E-2</v>
      </c>
      <c r="Z850">
        <v>-2.3716560000000002E-3</v>
      </c>
      <c r="AA850">
        <v>0.99752370000000001</v>
      </c>
      <c r="AB850">
        <v>33</v>
      </c>
      <c r="AC850">
        <v>29.584700000000002</v>
      </c>
      <c r="AD850">
        <v>-1.1089993524619901</v>
      </c>
      <c r="AE850">
        <v>-1.25249999999999</v>
      </c>
      <c r="AF850">
        <v>2.1039872948822702</v>
      </c>
      <c r="AG850">
        <v>-1.1089993524619901</v>
      </c>
      <c r="AH850">
        <v>29.494777068148998</v>
      </c>
      <c r="AI850">
        <v>92.147845995083102</v>
      </c>
      <c r="AJ850">
        <v>85.919761021573194</v>
      </c>
      <c r="AK850">
        <v>29.590513959723602</v>
      </c>
      <c r="AL850">
        <v>81.008229631081207</v>
      </c>
      <c r="AM850">
        <v>85.067223360763506</v>
      </c>
      <c r="AN850">
        <v>1.0000000150788699</v>
      </c>
    </row>
    <row r="851" spans="1:40" x14ac:dyDescent="0.25">
      <c r="A851" t="str">
        <f>"20190312172628557"</f>
        <v>20190312172628557</v>
      </c>
      <c r="B851" t="str">
        <f>"1552382788549826"</f>
        <v>1552382788549826</v>
      </c>
      <c r="C851" t="s">
        <v>40</v>
      </c>
      <c r="D851">
        <v>3.2709570000000001</v>
      </c>
      <c r="E851">
        <v>0.4946429</v>
      </c>
      <c r="F851" t="s">
        <v>41</v>
      </c>
      <c r="G851">
        <v>-220.92910000000001</v>
      </c>
      <c r="H851" s="1">
        <v>-4.3829729999999997E-6</v>
      </c>
      <c r="I851">
        <v>366.74540000000002</v>
      </c>
      <c r="J851">
        <v>-250.23750000000001</v>
      </c>
      <c r="K851">
        <v>1.1089910000000001</v>
      </c>
      <c r="L851">
        <v>368.0308</v>
      </c>
      <c r="M851">
        <v>0.99954209999999999</v>
      </c>
      <c r="N851">
        <v>0</v>
      </c>
      <c r="O851">
        <v>2.819557E-2</v>
      </c>
      <c r="P851">
        <v>0.98772669999999996</v>
      </c>
      <c r="Q851">
        <v>0.14549339999999999</v>
      </c>
      <c r="R851">
        <v>-5.6815730000000002E-2</v>
      </c>
      <c r="S851">
        <v>3.04657</v>
      </c>
      <c r="T851">
        <v>-0.1139665</v>
      </c>
      <c r="U851">
        <v>-0.13116459999999999</v>
      </c>
      <c r="V851">
        <v>8.4876320000000005E-2</v>
      </c>
      <c r="W851">
        <v>0.15620220000000001</v>
      </c>
      <c r="X851">
        <v>0.98407160000000005</v>
      </c>
      <c r="Y851">
        <v>7.1098079999999994E-2</v>
      </c>
      <c r="Z851">
        <v>-2.382749E-3</v>
      </c>
      <c r="AA851">
        <v>0.99746650000000003</v>
      </c>
      <c r="AB851">
        <v>33</v>
      </c>
      <c r="AC851">
        <v>29.308399999999999</v>
      </c>
      <c r="AD851">
        <v>-1.1089953829729999</v>
      </c>
      <c r="AE851">
        <v>-1.2853999999999799</v>
      </c>
      <c r="AF851">
        <v>2.1082929655119802</v>
      </c>
      <c r="AG851">
        <v>-1.1089953829729999</v>
      </c>
      <c r="AH851">
        <v>29.2187471583416</v>
      </c>
      <c r="AI851">
        <v>92.167982731457997</v>
      </c>
      <c r="AJ851">
        <v>85.872947522863896</v>
      </c>
      <c r="AK851">
        <v>29.315694695691199</v>
      </c>
      <c r="AL851">
        <v>81.013473579259397</v>
      </c>
      <c r="AM851">
        <v>85.070430282700698</v>
      </c>
      <c r="AN851">
        <v>1.00000001545407</v>
      </c>
    </row>
    <row r="852" spans="1:40" x14ac:dyDescent="0.25">
      <c r="A852" t="str">
        <f>"20190312172628579"</f>
        <v>20190312172628579</v>
      </c>
      <c r="B852" t="str">
        <f>"1552382788569347"</f>
        <v>1552382788569347</v>
      </c>
      <c r="C852" t="s">
        <v>40</v>
      </c>
      <c r="D852">
        <v>3.2850589999999902</v>
      </c>
      <c r="E852">
        <v>0.4946333</v>
      </c>
      <c r="F852" t="s">
        <v>41</v>
      </c>
      <c r="G852">
        <v>-220.85810000000001</v>
      </c>
      <c r="H852" s="1">
        <v>-4.4142809999999999E-6</v>
      </c>
      <c r="I852">
        <v>366.74059999999997</v>
      </c>
      <c r="J852">
        <v>-249.91749999999999</v>
      </c>
      <c r="K852">
        <v>1.1089869999999999</v>
      </c>
      <c r="L852">
        <v>368.03919999999999</v>
      </c>
      <c r="M852">
        <v>0.99956049999999996</v>
      </c>
      <c r="N852">
        <v>0</v>
      </c>
      <c r="O852">
        <v>2.7527409999999999E-2</v>
      </c>
      <c r="P852">
        <v>0.98759169999999996</v>
      </c>
      <c r="Q852">
        <v>0.1459106</v>
      </c>
      <c r="R852">
        <v>-5.8081069999999999E-2</v>
      </c>
      <c r="S852">
        <v>3.0465550000000001</v>
      </c>
      <c r="T852">
        <v>-0.11499910000000001</v>
      </c>
      <c r="U852">
        <v>-0.13378909999999999</v>
      </c>
      <c r="V852">
        <v>8.548116E-2</v>
      </c>
      <c r="W852">
        <v>0.1566237</v>
      </c>
      <c r="X852">
        <v>0.98395220000000005</v>
      </c>
      <c r="Y852">
        <v>7.1288290000000004E-2</v>
      </c>
      <c r="Z852">
        <v>-2.3826780000000001E-3</v>
      </c>
      <c r="AA852">
        <v>0.99745289999999998</v>
      </c>
      <c r="AB852">
        <v>33</v>
      </c>
      <c r="AC852">
        <v>29.059399999999901</v>
      </c>
      <c r="AD852">
        <v>-1.108991414281</v>
      </c>
      <c r="AE852">
        <v>-1.29860000000002</v>
      </c>
      <c r="AF852">
        <v>2.0950411187718498</v>
      </c>
      <c r="AG852">
        <v>-1.108991414281</v>
      </c>
      <c r="AH852">
        <v>28.970528500107299</v>
      </c>
      <c r="AI852">
        <v>92.186506933645305</v>
      </c>
      <c r="AJ852">
        <v>85.863782125999904</v>
      </c>
      <c r="AK852">
        <v>29.067345610183001</v>
      </c>
      <c r="AL852">
        <v>80.989022062998302</v>
      </c>
      <c r="AM852">
        <v>85.034877034923696</v>
      </c>
      <c r="AN852">
        <v>0.99999997200073698</v>
      </c>
    </row>
    <row r="853" spans="1:40" x14ac:dyDescent="0.25">
      <c r="A853" t="str">
        <f>"20190312172628601"</f>
        <v>20190312172628601</v>
      </c>
      <c r="B853" t="str">
        <f>"1552382788589843"</f>
        <v>1552382788589843</v>
      </c>
      <c r="C853" t="s">
        <v>40</v>
      </c>
      <c r="D853">
        <v>3.2789320000000002</v>
      </c>
      <c r="E853">
        <v>0.49463800000000002</v>
      </c>
      <c r="F853" t="s">
        <v>41</v>
      </c>
      <c r="G853">
        <v>-220.4067</v>
      </c>
      <c r="H853" s="1">
        <v>-4.6144759999999998E-6</v>
      </c>
      <c r="I853">
        <v>366.7038</v>
      </c>
      <c r="J853">
        <v>-249.59270000000001</v>
      </c>
      <c r="K853">
        <v>1.108986</v>
      </c>
      <c r="L853">
        <v>368.04750000000001</v>
      </c>
      <c r="M853">
        <v>0.99957879999999999</v>
      </c>
      <c r="N853">
        <v>0</v>
      </c>
      <c r="O853">
        <v>2.6849339999999999E-2</v>
      </c>
      <c r="P853">
        <v>0.98746129999999999</v>
      </c>
      <c r="Q853">
        <v>0.14615590000000001</v>
      </c>
      <c r="R853">
        <v>-5.9657460000000002E-2</v>
      </c>
      <c r="S853">
        <v>3.0465089999999999</v>
      </c>
      <c r="T853">
        <v>-0.1144849</v>
      </c>
      <c r="U853">
        <v>-0.1378479</v>
      </c>
      <c r="V853">
        <v>8.6386939999999995E-2</v>
      </c>
      <c r="W853">
        <v>0.1568775</v>
      </c>
      <c r="X853">
        <v>0.9838327</v>
      </c>
      <c r="Y853">
        <v>7.1939210000000003E-2</v>
      </c>
      <c r="Z853">
        <v>-2.3587619999999999E-3</v>
      </c>
      <c r="AA853">
        <v>0.99740620000000002</v>
      </c>
      <c r="AB853">
        <v>33</v>
      </c>
      <c r="AC853">
        <v>29.186</v>
      </c>
      <c r="AD853">
        <v>-1.108990614476</v>
      </c>
      <c r="AE853">
        <v>-1.3437000000000101</v>
      </c>
      <c r="AF853">
        <v>2.12382801433401</v>
      </c>
      <c r="AG853">
        <v>-1.108990614476</v>
      </c>
      <c r="AH853">
        <v>29.097475241676001</v>
      </c>
      <c r="AI853">
        <v>92.176869339608004</v>
      </c>
      <c r="AJ853">
        <v>85.825377571843205</v>
      </c>
      <c r="AK853">
        <v>29.195951278514801</v>
      </c>
      <c r="AL853">
        <v>80.974298796855393</v>
      </c>
      <c r="AM853">
        <v>84.981926174901204</v>
      </c>
      <c r="AN853">
        <v>1.00000001749905</v>
      </c>
    </row>
    <row r="854" spans="1:40" x14ac:dyDescent="0.25">
      <c r="A854" t="str">
        <f>"20190312172628624"</f>
        <v>20190312172628624</v>
      </c>
      <c r="B854" t="str">
        <f>"1552382788619123"</f>
        <v>1552382788619123</v>
      </c>
      <c r="C854" t="s">
        <v>40</v>
      </c>
      <c r="D854">
        <v>3.2690899999999998</v>
      </c>
      <c r="E854">
        <v>0.49535869999999999</v>
      </c>
      <c r="F854" t="s">
        <v>41</v>
      </c>
      <c r="G854">
        <v>-220.06440000000001</v>
      </c>
      <c r="H854" s="1">
        <v>-4.7677509999999996E-6</v>
      </c>
      <c r="I854">
        <v>366.66750000000002</v>
      </c>
      <c r="J854">
        <v>-249.2499</v>
      </c>
      <c r="K854">
        <v>1.1089869999999999</v>
      </c>
      <c r="L854">
        <v>368.05590000000001</v>
      </c>
      <c r="M854">
        <v>0.99959750000000003</v>
      </c>
      <c r="N854">
        <v>0</v>
      </c>
      <c r="O854">
        <v>2.6134839999999999E-2</v>
      </c>
      <c r="P854">
        <v>0.98738879999999996</v>
      </c>
      <c r="Q854">
        <v>0.14624909999999999</v>
      </c>
      <c r="R854">
        <v>-6.0618360000000003E-2</v>
      </c>
      <c r="S854">
        <v>3.0464169999999999</v>
      </c>
      <c r="T854">
        <v>-0.1144135</v>
      </c>
      <c r="U854">
        <v>-0.1423645</v>
      </c>
      <c r="V854">
        <v>8.6643090000000006E-2</v>
      </c>
      <c r="W854">
        <v>0.15698299999999901</v>
      </c>
      <c r="X854">
        <v>0.98379329999999998</v>
      </c>
      <c r="Y854">
        <v>7.2703279999999995E-2</v>
      </c>
      <c r="Z854">
        <v>-2.3448090000000002E-3</v>
      </c>
      <c r="AA854">
        <v>0.99735090000000004</v>
      </c>
      <c r="AB854">
        <v>33</v>
      </c>
      <c r="AC854">
        <v>29.185499999999902</v>
      </c>
      <c r="AD854">
        <v>-1.1089917677509999</v>
      </c>
      <c r="AE854">
        <v>-1.3883999999999801</v>
      </c>
      <c r="AF854">
        <v>2.1476366683437602</v>
      </c>
      <c r="AG854">
        <v>-1.1089917677509999</v>
      </c>
      <c r="AH854">
        <v>29.097324637582801</v>
      </c>
      <c r="AI854">
        <v>92.176752886901497</v>
      </c>
      <c r="AJ854">
        <v>85.778725450905597</v>
      </c>
      <c r="AK854">
        <v>29.197542825810501</v>
      </c>
      <c r="AL854">
        <v>80.968177844535205</v>
      </c>
      <c r="AM854">
        <v>84.966922628579198</v>
      </c>
      <c r="AN854">
        <v>0.99999997222931802</v>
      </c>
    </row>
    <row r="855" spans="1:40" x14ac:dyDescent="0.25">
      <c r="A855" t="str">
        <f>"20190312172628646"</f>
        <v>20190312172628646</v>
      </c>
      <c r="B855" t="str">
        <f>"1552382788639622"</f>
        <v>1552382788639622</v>
      </c>
      <c r="C855" t="s">
        <v>40</v>
      </c>
      <c r="D855">
        <v>3.2851919999999999</v>
      </c>
      <c r="E855">
        <v>0.49505169999999998</v>
      </c>
      <c r="F855" t="s">
        <v>41</v>
      </c>
      <c r="G855">
        <v>-224.85740000000001</v>
      </c>
      <c r="H855" s="1">
        <v>-2.6797010000000002E-6</v>
      </c>
      <c r="I855">
        <v>366.84710000000001</v>
      </c>
      <c r="J855">
        <v>-248.923</v>
      </c>
      <c r="K855">
        <v>1.1089850000000001</v>
      </c>
      <c r="L855">
        <v>368.06380000000001</v>
      </c>
      <c r="M855">
        <v>0.99961500000000003</v>
      </c>
      <c r="N855">
        <v>0</v>
      </c>
      <c r="O855">
        <v>2.545511E-2</v>
      </c>
      <c r="P855">
        <v>0.98733479999999996</v>
      </c>
      <c r="Q855">
        <v>0.1462598</v>
      </c>
      <c r="R855">
        <v>-6.146745E-2</v>
      </c>
      <c r="S855">
        <v>3.0495760000000001</v>
      </c>
      <c r="T855">
        <v>-0.13864679999999999</v>
      </c>
      <c r="U855">
        <v>-0.15112300000000001</v>
      </c>
      <c r="V855">
        <v>8.6821709999999996E-2</v>
      </c>
      <c r="W855">
        <v>0.1570056</v>
      </c>
      <c r="X855">
        <v>0.98377389999999998</v>
      </c>
      <c r="Y855">
        <v>7.4800779999999997E-2</v>
      </c>
      <c r="Z855">
        <v>-2.8546169999999998E-3</v>
      </c>
      <c r="AA855">
        <v>0.99719440000000004</v>
      </c>
      <c r="AB855">
        <v>33</v>
      </c>
      <c r="AC855">
        <v>24.0655999999999</v>
      </c>
      <c r="AD855">
        <v>-1.1089876797010001</v>
      </c>
      <c r="AE855">
        <v>-1.2166999999999999</v>
      </c>
      <c r="AF855">
        <v>1.8250698086413399</v>
      </c>
      <c r="AG855">
        <v>-1.1089876797010001</v>
      </c>
      <c r="AH855">
        <v>23.9760436275769</v>
      </c>
      <c r="AI855">
        <v>92.640642406156005</v>
      </c>
      <c r="AJ855">
        <v>85.647007937748697</v>
      </c>
      <c r="AK855">
        <v>24.0709659447147</v>
      </c>
      <c r="AL855">
        <v>80.966866289440404</v>
      </c>
      <c r="AM855">
        <v>84.956501150022504</v>
      </c>
      <c r="AN855">
        <v>0.999999927039944</v>
      </c>
    </row>
    <row r="856" spans="1:40" x14ac:dyDescent="0.25">
      <c r="A856" t="str">
        <f>"20190312172628668"</f>
        <v>20190312172628668</v>
      </c>
      <c r="B856" t="str">
        <f>"1552382788659139"</f>
        <v>1552382788659139</v>
      </c>
      <c r="C856" t="s">
        <v>40</v>
      </c>
      <c r="D856">
        <v>3.2965620000000002</v>
      </c>
      <c r="E856">
        <v>0.4950814</v>
      </c>
      <c r="F856" t="s">
        <v>41</v>
      </c>
      <c r="G856">
        <v>-224.5094</v>
      </c>
      <c r="H856" s="1">
        <v>-2.8286089999999999E-6</v>
      </c>
      <c r="I856">
        <v>366.8492</v>
      </c>
      <c r="J856">
        <v>-248.58789999999999</v>
      </c>
      <c r="K856">
        <v>1.108984</v>
      </c>
      <c r="L856">
        <v>368.07159999999999</v>
      </c>
      <c r="M856">
        <v>0.99963219999999997</v>
      </c>
      <c r="N856">
        <v>0</v>
      </c>
      <c r="O856">
        <v>2.475925E-2</v>
      </c>
      <c r="P856">
        <v>0.98725390000000002</v>
      </c>
      <c r="Q856">
        <v>0.14636669999999999</v>
      </c>
      <c r="R856">
        <v>-6.2503909999999996E-2</v>
      </c>
      <c r="S856">
        <v>3.0495909999999999</v>
      </c>
      <c r="T856">
        <v>-0.13852719999999999</v>
      </c>
      <c r="U856">
        <v>-0.1517029</v>
      </c>
      <c r="V856">
        <v>8.7170849999999994E-2</v>
      </c>
      <c r="W856">
        <v>0.15712429999999999</v>
      </c>
      <c r="X856">
        <v>0.98372420000000005</v>
      </c>
      <c r="Y856">
        <v>7.4296929999999997E-2</v>
      </c>
      <c r="Z856">
        <v>-2.80912E-3</v>
      </c>
      <c r="AA856">
        <v>0.99723220000000001</v>
      </c>
      <c r="AB856">
        <v>33</v>
      </c>
      <c r="AC856">
        <v>24.078499999999899</v>
      </c>
      <c r="AD856">
        <v>-1.1089868286090001</v>
      </c>
      <c r="AE856">
        <v>-1.2223999999999899</v>
      </c>
      <c r="AF856">
        <v>1.8143884258771701</v>
      </c>
      <c r="AG856">
        <v>-1.1089868286090001</v>
      </c>
      <c r="AH856">
        <v>23.990091694294001</v>
      </c>
      <c r="AI856">
        <v>92.639193653466506</v>
      </c>
      <c r="AJ856">
        <v>85.674911678570794</v>
      </c>
      <c r="AK856">
        <v>24.084151565845499</v>
      </c>
      <c r="AL856">
        <v>80.959980947731097</v>
      </c>
      <c r="AM856">
        <v>84.936070239788194</v>
      </c>
      <c r="AN856">
        <v>1.00000005220292</v>
      </c>
    </row>
    <row r="857" spans="1:40" x14ac:dyDescent="0.25">
      <c r="A857" t="str">
        <f>"20190312172628690"</f>
        <v>20190312172628690</v>
      </c>
      <c r="B857" t="str">
        <f>"1552382788679634"</f>
        <v>1552382788679634</v>
      </c>
      <c r="C857" t="s">
        <v>40</v>
      </c>
      <c r="D857">
        <v>3.2899470000000002</v>
      </c>
      <c r="E857">
        <v>0.4950678</v>
      </c>
      <c r="F857" t="s">
        <v>41</v>
      </c>
      <c r="G857">
        <v>-224.2861</v>
      </c>
      <c r="H857" s="1">
        <v>-2.9273630000000002E-6</v>
      </c>
      <c r="I857">
        <v>366.83269999999999</v>
      </c>
      <c r="J857">
        <v>-248.26499999999999</v>
      </c>
      <c r="K857">
        <v>1.108986</v>
      </c>
      <c r="L857">
        <v>368.07889999999998</v>
      </c>
      <c r="M857">
        <v>0.9996486</v>
      </c>
      <c r="N857">
        <v>0</v>
      </c>
      <c r="O857">
        <v>2.4088970000000001E-2</v>
      </c>
      <c r="P857">
        <v>0.98708680000000004</v>
      </c>
      <c r="Q857">
        <v>0.14665980000000001</v>
      </c>
      <c r="R857">
        <v>-6.4426620000000004E-2</v>
      </c>
      <c r="S857">
        <v>3.0495299999999999</v>
      </c>
      <c r="T857">
        <v>-0.13916120000000001</v>
      </c>
      <c r="U857">
        <v>-0.1554565</v>
      </c>
      <c r="V857">
        <v>8.8429339999999995E-2</v>
      </c>
      <c r="W857">
        <v>0.15742519999999999</v>
      </c>
      <c r="X857">
        <v>0.98356370000000004</v>
      </c>
      <c r="Y857">
        <v>7.4852810000000006E-2</v>
      </c>
      <c r="Z857">
        <v>-2.8040510000000001E-3</v>
      </c>
      <c r="AA857">
        <v>0.99719069999999999</v>
      </c>
      <c r="AB857">
        <v>33</v>
      </c>
      <c r="AC857">
        <v>23.9788999999999</v>
      </c>
      <c r="AD857">
        <v>-1.108988927363</v>
      </c>
      <c r="AE857">
        <v>-1.24619999999998</v>
      </c>
      <c r="AF857">
        <v>1.8196191397953401</v>
      </c>
      <c r="AG857">
        <v>-1.108988927363</v>
      </c>
      <c r="AH857">
        <v>23.8909560522169</v>
      </c>
      <c r="AI857">
        <v>92.650028035874499</v>
      </c>
      <c r="AJ857">
        <v>85.644560963008004</v>
      </c>
      <c r="AK857">
        <v>23.985801036110601</v>
      </c>
      <c r="AL857">
        <v>80.942522881737403</v>
      </c>
      <c r="AM857">
        <v>84.862516647538698</v>
      </c>
      <c r="AN857">
        <v>0.99999999686278196</v>
      </c>
    </row>
    <row r="858" spans="1:40" x14ac:dyDescent="0.25">
      <c r="A858" t="str">
        <f>"20190312172628713"</f>
        <v>20190312172628713</v>
      </c>
      <c r="B858" t="str">
        <f>"1552382788709891"</f>
        <v>1552382788709891</v>
      </c>
      <c r="C858" t="s">
        <v>40</v>
      </c>
      <c r="D858">
        <v>3.3547950000000002</v>
      </c>
      <c r="E858">
        <v>0.52918019999999999</v>
      </c>
      <c r="F858" t="s">
        <v>41</v>
      </c>
      <c r="G858">
        <v>-223.845</v>
      </c>
      <c r="H858" s="1">
        <v>-3.1243969999999998E-6</v>
      </c>
      <c r="I858">
        <v>366.78870000000001</v>
      </c>
      <c r="J858">
        <v>-247.92779999999999</v>
      </c>
      <c r="K858">
        <v>1.108986</v>
      </c>
      <c r="L858">
        <v>368.08629999999999</v>
      </c>
      <c r="M858">
        <v>0.99966500000000003</v>
      </c>
      <c r="N858">
        <v>0</v>
      </c>
      <c r="O858">
        <v>2.3389139999999999E-2</v>
      </c>
      <c r="P858">
        <v>0.98680219999999996</v>
      </c>
      <c r="Q858">
        <v>0.14719670000000001</v>
      </c>
      <c r="R858">
        <v>-6.7488919999999994E-2</v>
      </c>
      <c r="S858">
        <v>3.0492710000000001</v>
      </c>
      <c r="T858">
        <v>-0.1384763</v>
      </c>
      <c r="U858">
        <v>-0.1611023</v>
      </c>
      <c r="V858">
        <v>9.0795680000000004E-2</v>
      </c>
      <c r="W858">
        <v>0.15796569999999999</v>
      </c>
      <c r="X858">
        <v>0.98326139999999995</v>
      </c>
      <c r="Y858">
        <v>7.6000869999999998E-2</v>
      </c>
      <c r="Z858">
        <v>-2.7846609999999999E-3</v>
      </c>
      <c r="AA858">
        <v>0.99710390000000004</v>
      </c>
      <c r="AB858">
        <v>33</v>
      </c>
      <c r="AC858">
        <v>24.082799999999899</v>
      </c>
      <c r="AD858">
        <v>-1.108989124397</v>
      </c>
      <c r="AE858">
        <v>-1.2975999999999801</v>
      </c>
      <c r="AF858">
        <v>1.8566299513785101</v>
      </c>
      <c r="AG858">
        <v>-1.108989124397</v>
      </c>
      <c r="AH858">
        <v>23.995124760288601</v>
      </c>
      <c r="AI858">
        <v>92.638296713293798</v>
      </c>
      <c r="AJ858">
        <v>85.575537538807097</v>
      </c>
      <c r="AK858">
        <v>24.0923835250106</v>
      </c>
      <c r="AL858">
        <v>80.911162142512097</v>
      </c>
      <c r="AM858">
        <v>84.724192191155495</v>
      </c>
      <c r="AN858">
        <v>0.99999999930655603</v>
      </c>
    </row>
    <row r="859" spans="1:40" x14ac:dyDescent="0.25">
      <c r="A859" t="str">
        <f>"20190312172628737"</f>
        <v>20190312172628737</v>
      </c>
      <c r="B859" t="str">
        <f>"1552382788729410"</f>
        <v>1552382788729410</v>
      </c>
      <c r="C859" t="s">
        <v>40</v>
      </c>
      <c r="D859">
        <v>3.3493490000000001</v>
      </c>
      <c r="E859">
        <v>0.53517479999999995</v>
      </c>
      <c r="F859" t="s">
        <v>41</v>
      </c>
      <c r="G859">
        <v>-221.48670000000001</v>
      </c>
      <c r="H859" s="1">
        <v>-4.5903290000000001E-6</v>
      </c>
      <c r="I859">
        <v>364.2278</v>
      </c>
      <c r="J859">
        <v>-247.57849999999999</v>
      </c>
      <c r="K859">
        <v>1.1089830000000001</v>
      </c>
      <c r="L859">
        <v>368.09379999999999</v>
      </c>
      <c r="M859">
        <v>0.99968170000000001</v>
      </c>
      <c r="N859">
        <v>0</v>
      </c>
      <c r="O859">
        <v>2.266423E-2</v>
      </c>
      <c r="P859">
        <v>0.98659350000000001</v>
      </c>
      <c r="Q859">
        <v>0.14710889999999999</v>
      </c>
      <c r="R859">
        <v>-7.0655969999999998E-2</v>
      </c>
      <c r="S859">
        <v>3.0288390000000001</v>
      </c>
      <c r="T859">
        <v>-0.12703529999999999</v>
      </c>
      <c r="U859">
        <v>-0.44198609999999999</v>
      </c>
      <c r="V859">
        <v>9.3243300000000001E-2</v>
      </c>
      <c r="W859">
        <v>0.15788239999999901</v>
      </c>
      <c r="X859">
        <v>0.98304570000000002</v>
      </c>
      <c r="Y859">
        <v>0.16662449999999901</v>
      </c>
      <c r="Z859">
        <v>-4.4199139999999996E-3</v>
      </c>
      <c r="AA859">
        <v>0.98601050000000001</v>
      </c>
      <c r="AB859">
        <v>33</v>
      </c>
      <c r="AC859">
        <v>26.0917999999999</v>
      </c>
      <c r="AD859">
        <v>-1.1089875903290001</v>
      </c>
      <c r="AE859">
        <v>-3.8659999999999801</v>
      </c>
      <c r="AF859">
        <v>4.44852994631571</v>
      </c>
      <c r="AG859">
        <v>-1.1089875903290001</v>
      </c>
      <c r="AH859">
        <v>25.951596567135901</v>
      </c>
      <c r="AI859">
        <v>92.411792857803405</v>
      </c>
      <c r="AJ859">
        <v>80.273097435631001</v>
      </c>
      <c r="AK859">
        <v>26.3534558747454</v>
      </c>
      <c r="AL859">
        <v>80.915995602162496</v>
      </c>
      <c r="AM859">
        <v>84.581623361244795</v>
      </c>
      <c r="AN859">
        <v>1.00000000675657</v>
      </c>
    </row>
    <row r="860" spans="1:40" x14ac:dyDescent="0.25">
      <c r="A860" t="str">
        <f>"20190312172628758"</f>
        <v>20190312172628758</v>
      </c>
      <c r="B860" t="str">
        <f>"1552382788749907"</f>
        <v>1552382788749907</v>
      </c>
      <c r="C860" t="s">
        <v>40</v>
      </c>
      <c r="D860">
        <v>3.3308620000000002</v>
      </c>
      <c r="E860">
        <v>0.53849999999999998</v>
      </c>
      <c r="F860" t="s">
        <v>41</v>
      </c>
      <c r="G860">
        <v>-221.62540000000001</v>
      </c>
      <c r="H860" s="1">
        <v>-4.6059570000000003E-6</v>
      </c>
      <c r="I860">
        <v>363.80439999999999</v>
      </c>
      <c r="J860">
        <v>-247.25389999999999</v>
      </c>
      <c r="K860">
        <v>1.108984</v>
      </c>
      <c r="L860">
        <v>368.10039999999998</v>
      </c>
      <c r="M860">
        <v>0.99969649999999999</v>
      </c>
      <c r="N860">
        <v>0</v>
      </c>
      <c r="O860">
        <v>2.1990880000000001E-2</v>
      </c>
      <c r="P860">
        <v>0.98640019999999995</v>
      </c>
      <c r="Q860">
        <v>0.14692189999999999</v>
      </c>
      <c r="R860">
        <v>-7.3680739999999995E-2</v>
      </c>
      <c r="S860">
        <v>3.0242610000000001</v>
      </c>
      <c r="T860">
        <v>-0.12922729999999999</v>
      </c>
      <c r="U860">
        <v>-0.49981690000000001</v>
      </c>
      <c r="V860">
        <v>9.559964E-2</v>
      </c>
      <c r="W860">
        <v>0.157698799999999</v>
      </c>
      <c r="X860">
        <v>0.98284879999999997</v>
      </c>
      <c r="Y860">
        <v>0.1845321</v>
      </c>
      <c r="Z860">
        <v>-4.8475849999999997E-3</v>
      </c>
      <c r="AA860">
        <v>0.98281459999999998</v>
      </c>
      <c r="AB860">
        <v>33</v>
      </c>
      <c r="AC860">
        <v>25.628499999999899</v>
      </c>
      <c r="AD860">
        <v>-1.108988605957</v>
      </c>
      <c r="AE860">
        <v>-4.2959999999999896</v>
      </c>
      <c r="AF860">
        <v>4.8497563049767498</v>
      </c>
      <c r="AG860">
        <v>-1.108988605957</v>
      </c>
      <c r="AH860">
        <v>25.481414481425102</v>
      </c>
      <c r="AI860">
        <v>92.448133053590595</v>
      </c>
      <c r="AJ860">
        <v>79.224048432819203</v>
      </c>
      <c r="AK860">
        <v>25.962520600280499</v>
      </c>
      <c r="AL860">
        <v>80.926648345386695</v>
      </c>
      <c r="AM860">
        <v>84.444436270842303</v>
      </c>
      <c r="AN860">
        <v>0.99999998317550398</v>
      </c>
    </row>
    <row r="861" spans="1:40" x14ac:dyDescent="0.25">
      <c r="A861" t="str">
        <f>"20190312172628781"</f>
        <v>20190312172628781</v>
      </c>
      <c r="B861" t="str">
        <f>"1552382788769427"</f>
        <v>1552382788769427</v>
      </c>
      <c r="C861" t="s">
        <v>40</v>
      </c>
      <c r="D861">
        <v>3.3354879999999998</v>
      </c>
      <c r="E861">
        <v>0.54097269999999997</v>
      </c>
      <c r="F861" t="s">
        <v>41</v>
      </c>
      <c r="G861">
        <v>-222.14500000000001</v>
      </c>
      <c r="H861" s="1">
        <v>-4.4112829999999998E-6</v>
      </c>
      <c r="I861">
        <v>363.64510000000001</v>
      </c>
      <c r="J861">
        <v>-246.9247</v>
      </c>
      <c r="K861">
        <v>1.1089819999999999</v>
      </c>
      <c r="L861">
        <v>368.10700000000003</v>
      </c>
      <c r="M861">
        <v>0.99971120000000002</v>
      </c>
      <c r="N861">
        <v>0</v>
      </c>
      <c r="O861">
        <v>2.1308339999999999E-2</v>
      </c>
      <c r="P861">
        <v>0.98608899999999999</v>
      </c>
      <c r="Q861">
        <v>0.14731459999999999</v>
      </c>
      <c r="R861">
        <v>-7.698729E-2</v>
      </c>
      <c r="S861">
        <v>3.0211790000000001</v>
      </c>
      <c r="T861">
        <v>-0.13343669999999999</v>
      </c>
      <c r="U861">
        <v>-0.53607179999999999</v>
      </c>
      <c r="V861">
        <v>9.8227690000000006E-2</v>
      </c>
      <c r="W861">
        <v>0.15809479999999901</v>
      </c>
      <c r="X861">
        <v>0.98252600000000001</v>
      </c>
      <c r="Y861">
        <v>0.19544619999999999</v>
      </c>
      <c r="Z861">
        <v>-5.2144899999999996E-3</v>
      </c>
      <c r="AA861">
        <v>0.98070060000000003</v>
      </c>
      <c r="AB861">
        <v>33</v>
      </c>
      <c r="AC861">
        <v>24.779699999999899</v>
      </c>
      <c r="AD861">
        <v>-1.1089864112829999</v>
      </c>
      <c r="AE861">
        <v>-4.4618999999999502</v>
      </c>
      <c r="AF861">
        <v>4.97927386383033</v>
      </c>
      <c r="AG861">
        <v>-1.1089864112829999</v>
      </c>
      <c r="AH861">
        <v>24.631206893875898</v>
      </c>
      <c r="AI861">
        <v>92.526876900246293</v>
      </c>
      <c r="AJ861">
        <v>78.571500158683193</v>
      </c>
      <c r="AK861">
        <v>25.153913654148401</v>
      </c>
      <c r="AL861">
        <v>80.903671067364201</v>
      </c>
      <c r="AM861">
        <v>84.290845104690902</v>
      </c>
      <c r="AN861">
        <v>0.99999999277288798</v>
      </c>
    </row>
    <row r="862" spans="1:40" x14ac:dyDescent="0.25">
      <c r="A862" t="str">
        <f>"20190312172628802"</f>
        <v>20190312172628802</v>
      </c>
      <c r="B862" t="str">
        <f>"1552382788799682"</f>
        <v>1552382788799682</v>
      </c>
      <c r="C862" t="s">
        <v>40</v>
      </c>
      <c r="D862">
        <v>3.3725580000000002</v>
      </c>
      <c r="E862">
        <v>0.54238999999999904</v>
      </c>
      <c r="F862" t="s">
        <v>41</v>
      </c>
      <c r="G862">
        <v>-221.87620000000001</v>
      </c>
      <c r="H862" s="1">
        <v>-4.5685670000000003E-6</v>
      </c>
      <c r="I862">
        <v>363.40859999999998</v>
      </c>
      <c r="J862">
        <v>-246.6003</v>
      </c>
      <c r="K862">
        <v>1.1089880000000001</v>
      </c>
      <c r="L862">
        <v>368.11320000000001</v>
      </c>
      <c r="M862">
        <v>0.99972510000000003</v>
      </c>
      <c r="N862">
        <v>0</v>
      </c>
      <c r="O862">
        <v>2.0635669999999998E-2</v>
      </c>
      <c r="P862">
        <v>0.98572459999999995</v>
      </c>
      <c r="Q862">
        <v>0.1480138</v>
      </c>
      <c r="R862">
        <v>-8.0243419999999996E-2</v>
      </c>
      <c r="S862">
        <v>3.0180820000000002</v>
      </c>
      <c r="T862">
        <v>-0.13362089999999999</v>
      </c>
      <c r="U862">
        <v>-0.56610109999999902</v>
      </c>
      <c r="V862">
        <v>0.10081469999999999</v>
      </c>
      <c r="W862">
        <v>0.1588</v>
      </c>
      <c r="X862">
        <v>0.98215010000000003</v>
      </c>
      <c r="Y862">
        <v>0.2043857</v>
      </c>
      <c r="Z862">
        <v>-5.3889029999999996E-3</v>
      </c>
      <c r="AA862">
        <v>0.97887559999999996</v>
      </c>
      <c r="AB862">
        <v>33</v>
      </c>
      <c r="AC862">
        <v>24.7241</v>
      </c>
      <c r="AD862">
        <v>-1.1089925685669999</v>
      </c>
      <c r="AE862">
        <v>-4.7046000000000197</v>
      </c>
      <c r="AF862">
        <v>5.2037242898014</v>
      </c>
      <c r="AG862">
        <v>-1.1089925685669999</v>
      </c>
      <c r="AH862">
        <v>24.5740320627919</v>
      </c>
      <c r="AI862">
        <v>92.527946039335802</v>
      </c>
      <c r="AJ862">
        <v>78.043836130468193</v>
      </c>
      <c r="AK862">
        <v>25.143421859892701</v>
      </c>
      <c r="AL862">
        <v>80.862748566602093</v>
      </c>
      <c r="AM862">
        <v>84.139289764117706</v>
      </c>
      <c r="AN862">
        <v>0.99999993133304699</v>
      </c>
    </row>
    <row r="863" spans="1:40" x14ac:dyDescent="0.25">
      <c r="A863" t="str">
        <f>"20190312172628825"</f>
        <v>20190312172628825</v>
      </c>
      <c r="B863" t="str">
        <f>"1552382788819203"</f>
        <v>1552382788819203</v>
      </c>
      <c r="C863" t="s">
        <v>40</v>
      </c>
      <c r="D863">
        <v>3.344735</v>
      </c>
      <c r="E863">
        <v>0.54341030000000001</v>
      </c>
      <c r="F863" t="s">
        <v>41</v>
      </c>
      <c r="G863">
        <v>-221.66229999999999</v>
      </c>
      <c r="H863" s="1">
        <v>-4.6871950000000003E-6</v>
      </c>
      <c r="I863">
        <v>363.25700000000001</v>
      </c>
      <c r="J863">
        <v>-246.25800000000001</v>
      </c>
      <c r="K863">
        <v>1.109</v>
      </c>
      <c r="L863">
        <v>368.11950000000002</v>
      </c>
      <c r="M863">
        <v>0.99973920000000005</v>
      </c>
      <c r="N863">
        <v>0</v>
      </c>
      <c r="O863">
        <v>1.992619E-2</v>
      </c>
      <c r="P863">
        <v>0.9855372</v>
      </c>
      <c r="Q863">
        <v>0.14807719999999999</v>
      </c>
      <c r="R863">
        <v>-8.2399490000000006E-2</v>
      </c>
      <c r="S863">
        <v>3.0157780000000001</v>
      </c>
      <c r="T863">
        <v>-0.13411120000000001</v>
      </c>
      <c r="U863">
        <v>-0.58724980000000004</v>
      </c>
      <c r="V863">
        <v>0.102269</v>
      </c>
      <c r="W863">
        <v>0.1588791</v>
      </c>
      <c r="X863">
        <v>0.98198700000000005</v>
      </c>
      <c r="Y863">
        <v>0.21043829999999999</v>
      </c>
      <c r="Z863">
        <v>-5.5112009999999899E-3</v>
      </c>
      <c r="AA863">
        <v>0.97759160000000001</v>
      </c>
      <c r="AB863">
        <v>33</v>
      </c>
      <c r="AC863">
        <v>24.595699999999901</v>
      </c>
      <c r="AD863">
        <v>-1.1090046871949999</v>
      </c>
      <c r="AE863">
        <v>-4.8625000000000602</v>
      </c>
      <c r="AF863">
        <v>5.3412130345896296</v>
      </c>
      <c r="AG863">
        <v>-1.1090046871949999</v>
      </c>
      <c r="AH863">
        <v>24.4460881456137</v>
      </c>
      <c r="AI863">
        <v>92.537676473608499</v>
      </c>
      <c r="AJ863">
        <v>77.675158661972802</v>
      </c>
      <c r="AK863">
        <v>25.047348636137201</v>
      </c>
      <c r="AL863">
        <v>80.858158756341794</v>
      </c>
      <c r="AM863">
        <v>84.054367116355095</v>
      </c>
      <c r="AN863">
        <v>0.99999999247340499</v>
      </c>
    </row>
    <row r="864" spans="1:40" x14ac:dyDescent="0.25">
      <c r="A864" t="str">
        <f>"20190312172628848"</f>
        <v>20190312172628848</v>
      </c>
      <c r="B864" t="str">
        <f>"1552382788839702"</f>
        <v>1552382788839702</v>
      </c>
      <c r="C864" t="s">
        <v>40</v>
      </c>
      <c r="D864">
        <v>3.3626100000000001</v>
      </c>
      <c r="E864">
        <v>0.5436609</v>
      </c>
      <c r="F864" t="s">
        <v>41</v>
      </c>
      <c r="G864">
        <v>-221.3047</v>
      </c>
      <c r="H864" s="1">
        <v>-4.8628110000000004E-6</v>
      </c>
      <c r="I864">
        <v>363.13189999999997</v>
      </c>
      <c r="J864">
        <v>-245.9222</v>
      </c>
      <c r="K864">
        <v>1.109008</v>
      </c>
      <c r="L864">
        <v>368.12549999999999</v>
      </c>
      <c r="M864">
        <v>0.99975259999999999</v>
      </c>
      <c r="N864">
        <v>0</v>
      </c>
      <c r="O864">
        <v>1.9230150000000001E-2</v>
      </c>
      <c r="P864">
        <v>0.98536990000000002</v>
      </c>
      <c r="Q864">
        <v>0.14804030000000001</v>
      </c>
      <c r="R864">
        <v>-8.4439719999999996E-2</v>
      </c>
      <c r="S864">
        <v>3.0137939999999999</v>
      </c>
      <c r="T864">
        <v>-0.13394220000000001</v>
      </c>
      <c r="U864">
        <v>-0.60238649999999905</v>
      </c>
      <c r="V864">
        <v>0.1036213</v>
      </c>
      <c r="W864">
        <v>0.15886169999999999</v>
      </c>
      <c r="X864">
        <v>0.9818481</v>
      </c>
      <c r="Y864">
        <v>0.2145996</v>
      </c>
      <c r="Z864">
        <v>-5.5660579999999996E-3</v>
      </c>
      <c r="AA864">
        <v>0.97668619999999995</v>
      </c>
      <c r="AB864">
        <v>33</v>
      </c>
      <c r="AC864">
        <v>24.6175</v>
      </c>
      <c r="AD864">
        <v>-1.1090128628110001</v>
      </c>
      <c r="AE864">
        <v>-4.9936000000000096</v>
      </c>
      <c r="AF864">
        <v>5.4554700668405998</v>
      </c>
      <c r="AG864">
        <v>-1.1090128628110001</v>
      </c>
      <c r="AH864">
        <v>24.4692163370432</v>
      </c>
      <c r="AI864">
        <v>92.532922503723796</v>
      </c>
      <c r="AJ864">
        <v>77.431332098881001</v>
      </c>
      <c r="AK864">
        <v>25.094513570282501</v>
      </c>
      <c r="AL864">
        <v>80.859169081028398</v>
      </c>
      <c r="AM864">
        <v>83.975476602651796</v>
      </c>
      <c r="AN864">
        <v>1.00000005250709</v>
      </c>
    </row>
    <row r="865" spans="1:40" x14ac:dyDescent="0.25">
      <c r="A865" t="str">
        <f>"20190312172628869"</f>
        <v>20190312172628869</v>
      </c>
      <c r="B865" t="str">
        <f>"1552382788859220"</f>
        <v>1552382788859220</v>
      </c>
      <c r="C865" t="s">
        <v>40</v>
      </c>
      <c r="D865">
        <v>3.4335</v>
      </c>
      <c r="E865">
        <v>0.54391709999999904</v>
      </c>
      <c r="F865" t="s">
        <v>41</v>
      </c>
      <c r="G865">
        <v>-221.28149999999999</v>
      </c>
      <c r="H865" s="1">
        <v>-4.8735659999999997E-6</v>
      </c>
      <c r="I865">
        <v>363.1275</v>
      </c>
      <c r="J865">
        <v>-245.59059999999999</v>
      </c>
      <c r="K865">
        <v>1.109016</v>
      </c>
      <c r="L865">
        <v>368.13119999999998</v>
      </c>
      <c r="M865">
        <v>0.99976529999999997</v>
      </c>
      <c r="N865">
        <v>0</v>
      </c>
      <c r="O865">
        <v>1.8542840000000001E-2</v>
      </c>
      <c r="P865">
        <v>0.98507599999999995</v>
      </c>
      <c r="Q865">
        <v>0.14883929999999901</v>
      </c>
      <c r="R865">
        <v>-8.6442069999999996E-2</v>
      </c>
      <c r="S865">
        <v>3.0125579999999998</v>
      </c>
      <c r="T865">
        <v>-0.1355867</v>
      </c>
      <c r="U865">
        <v>-0.61105350000000003</v>
      </c>
      <c r="V865">
        <v>0.1049433</v>
      </c>
      <c r="W865">
        <v>0.15968460000000001</v>
      </c>
      <c r="X865">
        <v>0.9815741</v>
      </c>
      <c r="Y865">
        <v>0.2166981</v>
      </c>
      <c r="Z865">
        <v>-5.6511089999999996E-3</v>
      </c>
      <c r="AA865">
        <v>0.97622229999999999</v>
      </c>
      <c r="AB865">
        <v>33</v>
      </c>
      <c r="AC865">
        <v>24.309100000000001</v>
      </c>
      <c r="AD865">
        <v>-1.1090208735660001</v>
      </c>
      <c r="AE865">
        <v>-5.0036999999999798</v>
      </c>
      <c r="AF865">
        <v>5.4427598844156604</v>
      </c>
      <c r="AG865">
        <v>-1.1090208735660001</v>
      </c>
      <c r="AH865">
        <v>24.163882442475899</v>
      </c>
      <c r="AI865">
        <v>92.563652428966293</v>
      </c>
      <c r="AJ865">
        <v>77.306332458599798</v>
      </c>
      <c r="AK865">
        <v>24.7940875442353</v>
      </c>
      <c r="AL865">
        <v>80.811410155987005</v>
      </c>
      <c r="AM865">
        <v>83.897501645137197</v>
      </c>
      <c r="AN865">
        <v>0.99999999074142998</v>
      </c>
    </row>
    <row r="866" spans="1:40" x14ac:dyDescent="0.25">
      <c r="A866" t="str">
        <f>"20190312172628891"</f>
        <v>20190312172628891</v>
      </c>
      <c r="B866" t="str">
        <f>"1552382788879715"</f>
        <v>1552382788879715</v>
      </c>
      <c r="C866" t="s">
        <v>40</v>
      </c>
      <c r="D866">
        <v>3.308049</v>
      </c>
      <c r="E866">
        <v>0.54429130000000003</v>
      </c>
      <c r="F866" t="s">
        <v>41</v>
      </c>
      <c r="G866">
        <v>-220.8417</v>
      </c>
      <c r="H866" s="1">
        <v>-5.0777130000000003E-6</v>
      </c>
      <c r="I866">
        <v>363.04020000000003</v>
      </c>
      <c r="J866">
        <v>-245.26159999999999</v>
      </c>
      <c r="K866">
        <v>1.109029</v>
      </c>
      <c r="L866">
        <v>368.13659999999999</v>
      </c>
      <c r="M866">
        <v>0.99977729999999998</v>
      </c>
      <c r="N866">
        <v>0</v>
      </c>
      <c r="O866">
        <v>1.786068E-2</v>
      </c>
      <c r="P866">
        <v>0.9848131</v>
      </c>
      <c r="Q866">
        <v>0.1492964</v>
      </c>
      <c r="R866">
        <v>-8.86242E-2</v>
      </c>
      <c r="S866">
        <v>3.0114589999999999</v>
      </c>
      <c r="T866">
        <v>-0.13494589999999901</v>
      </c>
      <c r="U866">
        <v>-0.61947629999999998</v>
      </c>
      <c r="V866">
        <v>0.1064508</v>
      </c>
      <c r="W866">
        <v>0.1601774</v>
      </c>
      <c r="X866">
        <v>0.98133150000000002</v>
      </c>
      <c r="Y866">
        <v>0.2187229</v>
      </c>
      <c r="Z866">
        <v>-5.6394959999999999E-3</v>
      </c>
      <c r="AA866">
        <v>0.97577069999999999</v>
      </c>
      <c r="AB866">
        <v>33</v>
      </c>
      <c r="AC866">
        <v>24.419899999999899</v>
      </c>
      <c r="AD866">
        <v>-1.1090340777130001</v>
      </c>
      <c r="AE866">
        <v>-5.0963999999999601</v>
      </c>
      <c r="AF866">
        <v>5.52085880095217</v>
      </c>
      <c r="AG866">
        <v>-1.1090340777130001</v>
      </c>
      <c r="AH866">
        <v>24.276990908759601</v>
      </c>
      <c r="AI866">
        <v>92.550565343583003</v>
      </c>
      <c r="AJ866">
        <v>77.1881918100691</v>
      </c>
      <c r="AK866">
        <v>24.921519337102598</v>
      </c>
      <c r="AL866">
        <v>80.782807098178694</v>
      </c>
      <c r="AM866">
        <v>83.808997262211506</v>
      </c>
      <c r="AN866">
        <v>1.0000000425918201</v>
      </c>
    </row>
    <row r="867" spans="1:40" x14ac:dyDescent="0.25">
      <c r="A867" t="str">
        <f>"20190312172628914"</f>
        <v>20190312172628914</v>
      </c>
      <c r="B867" t="str">
        <f>"1552382788909971"</f>
        <v>1552382788909971</v>
      </c>
      <c r="C867" t="s">
        <v>40</v>
      </c>
      <c r="D867">
        <v>3.328687</v>
      </c>
      <c r="E867">
        <v>0.54482189999999997</v>
      </c>
      <c r="F867" t="s">
        <v>41</v>
      </c>
      <c r="G867">
        <v>-220.41040000000001</v>
      </c>
      <c r="H867" s="1">
        <v>-5.2805340000000002E-6</v>
      </c>
      <c r="I867">
        <v>362.93979999999999</v>
      </c>
      <c r="J867">
        <v>-244.9265</v>
      </c>
      <c r="K867">
        <v>1.109043</v>
      </c>
      <c r="L867">
        <v>368.14190000000002</v>
      </c>
      <c r="M867">
        <v>0.99978900000000004</v>
      </c>
      <c r="N867">
        <v>0</v>
      </c>
      <c r="O867">
        <v>1.7165010000000001E-2</v>
      </c>
      <c r="P867">
        <v>0.98452530000000005</v>
      </c>
      <c r="Q867">
        <v>0.15001320000000001</v>
      </c>
      <c r="R867">
        <v>-9.0587849999999998E-2</v>
      </c>
      <c r="S867">
        <v>3.0099490000000002</v>
      </c>
      <c r="T867">
        <v>-0.13432459999999999</v>
      </c>
      <c r="U867">
        <v>-0.62942500000000001</v>
      </c>
      <c r="V867">
        <v>0.1077273</v>
      </c>
      <c r="W867">
        <v>0.16093750000000001</v>
      </c>
      <c r="X867">
        <v>0.98106780000000005</v>
      </c>
      <c r="Y867">
        <v>0.22123229999999999</v>
      </c>
      <c r="Z867">
        <v>-5.6390959999999997E-3</v>
      </c>
      <c r="AA867">
        <v>0.97520479999999998</v>
      </c>
      <c r="AB867">
        <v>33</v>
      </c>
      <c r="AC867">
        <v>24.516099999999899</v>
      </c>
      <c r="AD867">
        <v>-1.1090482805339901</v>
      </c>
      <c r="AE867">
        <v>-5.2021000000000299</v>
      </c>
      <c r="AF867">
        <v>5.6111911738366702</v>
      </c>
      <c r="AG867">
        <v>-1.1090482805339901</v>
      </c>
      <c r="AH867">
        <v>24.375454214429102</v>
      </c>
      <c r="AI867">
        <v>92.5387715124686</v>
      </c>
      <c r="AJ867">
        <v>77.036438227681202</v>
      </c>
      <c r="AK867">
        <v>25.037536273316299</v>
      </c>
      <c r="AL867">
        <v>80.738684115366496</v>
      </c>
      <c r="AM867">
        <v>83.733674473798303</v>
      </c>
      <c r="AN867">
        <v>1.0000000391341799</v>
      </c>
    </row>
    <row r="868" spans="1:40" x14ac:dyDescent="0.25">
      <c r="A868" t="str">
        <f>"20190312172628937"</f>
        <v>20190312172628937</v>
      </c>
      <c r="B868" t="str">
        <f>"1552382788929491"</f>
        <v>1552382788929491</v>
      </c>
      <c r="C868" t="s">
        <v>40</v>
      </c>
      <c r="D868">
        <v>3.3197580000000002</v>
      </c>
      <c r="E868">
        <v>0.54499750000000002</v>
      </c>
      <c r="F868" t="s">
        <v>41</v>
      </c>
      <c r="G868">
        <v>-219.85220000000001</v>
      </c>
      <c r="H868" s="1">
        <v>-1.848592E-6</v>
      </c>
      <c r="I868">
        <v>362.80549999999999</v>
      </c>
      <c r="J868">
        <v>-244.5805</v>
      </c>
      <c r="K868">
        <v>1.1090500000000001</v>
      </c>
      <c r="L868">
        <v>368.14710000000002</v>
      </c>
      <c r="M868">
        <v>0.99980029999999998</v>
      </c>
      <c r="N868">
        <v>0</v>
      </c>
      <c r="O868">
        <v>1.6446479999999999E-2</v>
      </c>
      <c r="P868">
        <v>0.98427620000000005</v>
      </c>
      <c r="Q868">
        <v>0.15043319999999999</v>
      </c>
      <c r="R868">
        <v>-9.2576019999999995E-2</v>
      </c>
      <c r="S868">
        <v>3.0085449999999998</v>
      </c>
      <c r="T868">
        <v>-0.1330684</v>
      </c>
      <c r="U868">
        <v>-0.64028929999999995</v>
      </c>
      <c r="V868">
        <v>0.1090063</v>
      </c>
      <c r="W868">
        <v>0.1614128</v>
      </c>
      <c r="X868">
        <v>0.98084839999999995</v>
      </c>
      <c r="Y868">
        <v>0.22399559999999999</v>
      </c>
      <c r="Z868">
        <v>-5.6158769999999896E-3</v>
      </c>
      <c r="AA868">
        <v>0.97457400000000005</v>
      </c>
      <c r="AB868">
        <v>33</v>
      </c>
      <c r="AC868">
        <v>24.728299999999901</v>
      </c>
      <c r="AD868">
        <v>-1.109051848592</v>
      </c>
      <c r="AE868">
        <v>-5.3416000000000201</v>
      </c>
      <c r="AF868">
        <v>5.7365725730024302</v>
      </c>
      <c r="AG868">
        <v>-1.109051848592</v>
      </c>
      <c r="AH868">
        <v>24.589841965040499</v>
      </c>
      <c r="AI868">
        <v>92.514965188754502</v>
      </c>
      <c r="AJ868">
        <v>76.868313905426405</v>
      </c>
      <c r="AK868">
        <v>25.274465152676498</v>
      </c>
      <c r="AL868">
        <v>80.711090534384297</v>
      </c>
      <c r="AM868">
        <v>83.658472773603805</v>
      </c>
      <c r="AN868">
        <v>1.0000000246130401</v>
      </c>
    </row>
    <row r="869" spans="1:40" x14ac:dyDescent="0.25">
      <c r="A869" t="str">
        <f>"20190312172628959"</f>
        <v>20190312172628959</v>
      </c>
      <c r="B869" t="str">
        <f>"1552382788949989"</f>
        <v>1552382788949989</v>
      </c>
      <c r="C869" t="s">
        <v>40</v>
      </c>
      <c r="D869">
        <v>3.3208660000000001</v>
      </c>
      <c r="E869">
        <v>0.54513880000000003</v>
      </c>
      <c r="F869" t="s">
        <v>41</v>
      </c>
      <c r="G869">
        <v>-219.30940000000001</v>
      </c>
      <c r="H869" s="1">
        <v>-2.061903E-6</v>
      </c>
      <c r="I869">
        <v>362.6979</v>
      </c>
      <c r="J869">
        <v>-244.24549999999999</v>
      </c>
      <c r="K869">
        <v>1.1090679999999999</v>
      </c>
      <c r="L869">
        <v>368.15190000000001</v>
      </c>
      <c r="M869">
        <v>0.99981059999999999</v>
      </c>
      <c r="N869">
        <v>0</v>
      </c>
      <c r="O869">
        <v>1.575025E-2</v>
      </c>
      <c r="P869">
        <v>0.98401959999999999</v>
      </c>
      <c r="Q869">
        <v>0.15101489999999901</v>
      </c>
      <c r="R869">
        <v>-9.4340869999999993E-2</v>
      </c>
      <c r="S869">
        <v>3.0070950000000001</v>
      </c>
      <c r="T869">
        <v>-0.1319697</v>
      </c>
      <c r="U869">
        <v>-0.64840699999999996</v>
      </c>
      <c r="V869">
        <v>0.1100845</v>
      </c>
      <c r="W869">
        <v>0.16207439999999901</v>
      </c>
      <c r="X869">
        <v>0.98061880000000001</v>
      </c>
      <c r="Y869">
        <v>0.22592999999999999</v>
      </c>
      <c r="Z869">
        <v>-5.582348E-3</v>
      </c>
      <c r="AA869">
        <v>0.97412750000000004</v>
      </c>
      <c r="AB869">
        <v>33</v>
      </c>
      <c r="AC869">
        <v>24.9360999999999</v>
      </c>
      <c r="AD869">
        <v>-1.1090700619029901</v>
      </c>
      <c r="AE869">
        <v>-5.4539999999999997</v>
      </c>
      <c r="AF869">
        <v>5.8350831151809697</v>
      </c>
      <c r="AG869">
        <v>-1.1090700619029901</v>
      </c>
      <c r="AH869">
        <v>24.800279843409999</v>
      </c>
      <c r="AI869">
        <v>92.492590951277904</v>
      </c>
      <c r="AJ869">
        <v>76.760086132063506</v>
      </c>
      <c r="AK869">
        <v>25.501609982013399</v>
      </c>
      <c r="AL869">
        <v>80.672677342363897</v>
      </c>
      <c r="AM869">
        <v>83.594779283956399</v>
      </c>
      <c r="AN869">
        <v>0.99999996959452397</v>
      </c>
    </row>
    <row r="870" spans="1:40" x14ac:dyDescent="0.25">
      <c r="A870" t="str">
        <f>"20190312172628981"</f>
        <v>20190312172628981</v>
      </c>
      <c r="B870" t="str">
        <f>"1552382788969508"</f>
        <v>1552382788969508</v>
      </c>
      <c r="C870" t="s">
        <v>40</v>
      </c>
      <c r="D870">
        <v>3.2993109999999999</v>
      </c>
      <c r="E870">
        <v>0.54524459999999997</v>
      </c>
      <c r="F870" t="s">
        <v>41</v>
      </c>
      <c r="G870">
        <v>-218.67850000000001</v>
      </c>
      <c r="H870" s="1">
        <v>-2.3076230000000001E-6</v>
      </c>
      <c r="I870">
        <v>362.58150000000001</v>
      </c>
      <c r="J870">
        <v>-243.92609999999999</v>
      </c>
      <c r="K870">
        <v>1.1090979999999999</v>
      </c>
      <c r="L870">
        <v>368.15620000000001</v>
      </c>
      <c r="M870">
        <v>0.99981920000000002</v>
      </c>
      <c r="N870">
        <v>0</v>
      </c>
      <c r="O870">
        <v>1.5093209999999999E-2</v>
      </c>
      <c r="P870">
        <v>0.98373200000000005</v>
      </c>
      <c r="Q870">
        <v>0.15143409999999999</v>
      </c>
      <c r="R870">
        <v>-9.6639279999999994E-2</v>
      </c>
      <c r="S870">
        <v>3.0059200000000001</v>
      </c>
      <c r="T870">
        <v>-0.13039339999999999</v>
      </c>
      <c r="U870">
        <v>-0.65490719999999902</v>
      </c>
      <c r="V870">
        <v>0.1117341</v>
      </c>
      <c r="W870">
        <v>0.1626146</v>
      </c>
      <c r="X870">
        <v>0.98034279999999996</v>
      </c>
      <c r="Y870">
        <v>0.22738459999999999</v>
      </c>
      <c r="Z870">
        <v>-5.519581E-3</v>
      </c>
      <c r="AA870">
        <v>0.97378940000000003</v>
      </c>
      <c r="AB870">
        <v>33</v>
      </c>
      <c r="AC870">
        <v>25.247599999999899</v>
      </c>
      <c r="AD870">
        <v>-1.1091003076229999</v>
      </c>
      <c r="AE870">
        <v>-5.5747</v>
      </c>
      <c r="AF870">
        <v>5.9442200987653999</v>
      </c>
      <c r="AG870">
        <v>-1.1091003076229999</v>
      </c>
      <c r="AH870">
        <v>25.114366406393099</v>
      </c>
      <c r="AI870">
        <v>92.460752645792297</v>
      </c>
      <c r="AJ870">
        <v>76.683935608874293</v>
      </c>
      <c r="AK870">
        <v>25.832058688178499</v>
      </c>
      <c r="AL870">
        <v>80.641310441253694</v>
      </c>
      <c r="AM870">
        <v>83.497799107984505</v>
      </c>
      <c r="AN870">
        <v>1.0000000113739</v>
      </c>
    </row>
    <row r="871" spans="1:40" x14ac:dyDescent="0.25">
      <c r="A871" t="str">
        <f>"20190312172629004"</f>
        <v>20190312172629004</v>
      </c>
      <c r="B871" t="str">
        <f>"1552382788999764"</f>
        <v>1552382788999764</v>
      </c>
      <c r="C871" t="s">
        <v>40</v>
      </c>
      <c r="D871">
        <v>3.3158020000000001</v>
      </c>
      <c r="E871">
        <v>0.54531859999999999</v>
      </c>
      <c r="F871" t="s">
        <v>41</v>
      </c>
      <c r="G871">
        <v>-218.24379999999999</v>
      </c>
      <c r="H871" s="1">
        <v>-2.4805490000000001E-6</v>
      </c>
      <c r="I871">
        <v>362.48750000000001</v>
      </c>
      <c r="J871">
        <v>-243.58590000000001</v>
      </c>
      <c r="K871">
        <v>1.1091530000000001</v>
      </c>
      <c r="L871">
        <v>368.16059999999999</v>
      </c>
      <c r="M871">
        <v>0.99982700000000002</v>
      </c>
      <c r="N871">
        <v>0</v>
      </c>
      <c r="O871">
        <v>1.439997E-2</v>
      </c>
      <c r="P871">
        <v>0.98354569999999997</v>
      </c>
      <c r="Q871">
        <v>0.1514306</v>
      </c>
      <c r="R871">
        <v>-9.8522879999999993E-2</v>
      </c>
      <c r="S871">
        <v>3.0044249999999999</v>
      </c>
      <c r="T871">
        <v>-0.1297468</v>
      </c>
      <c r="U871">
        <v>-0.66314700000000004</v>
      </c>
      <c r="V871">
        <v>0.11293250000000001</v>
      </c>
      <c r="W871">
        <v>0.16280890000000001</v>
      </c>
      <c r="X871">
        <v>0.98017319999999997</v>
      </c>
      <c r="Y871">
        <v>0.2293588</v>
      </c>
      <c r="Z871">
        <v>-5.5058269999999996E-3</v>
      </c>
      <c r="AA871">
        <v>0.97332640000000004</v>
      </c>
      <c r="AB871">
        <v>33</v>
      </c>
      <c r="AC871">
        <v>25.342099999999999</v>
      </c>
      <c r="AD871">
        <v>-1.109155480549</v>
      </c>
      <c r="AE871">
        <v>-5.6730999999999696</v>
      </c>
      <c r="AF871">
        <v>6.0264692217787603</v>
      </c>
      <c r="AG871">
        <v>-1.109155480549</v>
      </c>
      <c r="AH871">
        <v>25.211783535380999</v>
      </c>
      <c r="AI871">
        <v>92.450084096108895</v>
      </c>
      <c r="AJ871">
        <v>76.556620626030906</v>
      </c>
      <c r="AK871">
        <v>25.945762393808799</v>
      </c>
      <c r="AL871">
        <v>80.630027353805403</v>
      </c>
      <c r="AM871">
        <v>83.427539668290706</v>
      </c>
      <c r="AN871">
        <v>0.99999999473684997</v>
      </c>
    </row>
    <row r="872" spans="1:40" x14ac:dyDescent="0.25">
      <c r="A872" t="str">
        <f>"20190312172629027"</f>
        <v>20190312172629027</v>
      </c>
      <c r="B872" t="str">
        <f>"1552382789019283"</f>
        <v>1552382789019283</v>
      </c>
      <c r="C872" t="s">
        <v>40</v>
      </c>
      <c r="D872">
        <v>3.2965970000000002</v>
      </c>
      <c r="E872">
        <v>0.54536530000000005</v>
      </c>
      <c r="F872" t="s">
        <v>41</v>
      </c>
      <c r="G872">
        <v>-218.11670000000001</v>
      </c>
      <c r="H872" s="1">
        <v>-2.525952E-6</v>
      </c>
      <c r="I872">
        <v>362.4794</v>
      </c>
      <c r="J872">
        <v>-243.249</v>
      </c>
      <c r="K872">
        <v>1.1092200000000001</v>
      </c>
      <c r="L872">
        <v>368.16469999999998</v>
      </c>
      <c r="M872">
        <v>0.99983359999999999</v>
      </c>
      <c r="N872">
        <v>0</v>
      </c>
      <c r="O872">
        <v>1.371021E-2</v>
      </c>
      <c r="P872">
        <v>0.98338369999999997</v>
      </c>
      <c r="Q872">
        <v>0.15146370000000001</v>
      </c>
      <c r="R872">
        <v>-0.1000781</v>
      </c>
      <c r="S872">
        <v>3.0032199999999998</v>
      </c>
      <c r="T872">
        <v>-0.13078619999999999</v>
      </c>
      <c r="U872">
        <v>-0.66989140000000003</v>
      </c>
      <c r="V872">
        <v>0.1138048</v>
      </c>
      <c r="W872">
        <v>0.16309119999999999</v>
      </c>
      <c r="X872">
        <v>0.98002540000000005</v>
      </c>
      <c r="Y872">
        <v>0.23084840000000001</v>
      </c>
      <c r="Z872">
        <v>-5.5530819999999896E-3</v>
      </c>
      <c r="AA872">
        <v>0.97297389999999995</v>
      </c>
      <c r="AB872">
        <v>33</v>
      </c>
      <c r="AC872">
        <v>25.132300000000001</v>
      </c>
      <c r="AD872">
        <v>-1.1092225259520001</v>
      </c>
      <c r="AE872">
        <v>-5.6852999999999803</v>
      </c>
      <c r="AF872">
        <v>6.0182072917183902</v>
      </c>
      <c r="AG872">
        <v>-1.1092225259520001</v>
      </c>
      <c r="AH872">
        <v>25.005647248300299</v>
      </c>
      <c r="AI872">
        <v>92.469488161349204</v>
      </c>
      <c r="AJ872">
        <v>76.467762183013903</v>
      </c>
      <c r="AK872">
        <v>25.743573720923099</v>
      </c>
      <c r="AL872">
        <v>80.613633960189802</v>
      </c>
      <c r="AM872">
        <v>83.376232793911896</v>
      </c>
      <c r="AN872">
        <v>1.0000000283328101</v>
      </c>
    </row>
    <row r="873" spans="1:40" x14ac:dyDescent="0.25">
      <c r="A873" t="str">
        <f>"20190312172629048"</f>
        <v>20190312172629048</v>
      </c>
      <c r="B873" t="str">
        <f>"1552382789039783"</f>
        <v>1552382789039783</v>
      </c>
      <c r="C873" t="s">
        <v>40</v>
      </c>
      <c r="D873">
        <v>3.3089330000000001</v>
      </c>
      <c r="E873">
        <v>0.54540639999999996</v>
      </c>
      <c r="F873" t="s">
        <v>41</v>
      </c>
      <c r="G873">
        <v>-217.77</v>
      </c>
      <c r="H873" s="1">
        <v>-2.657978E-6</v>
      </c>
      <c r="I873">
        <v>362.42660000000001</v>
      </c>
      <c r="J873">
        <v>-242.9196</v>
      </c>
      <c r="K873">
        <v>1.1092820000000001</v>
      </c>
      <c r="L873">
        <v>368.16849999999999</v>
      </c>
      <c r="M873">
        <v>0.99983960000000005</v>
      </c>
      <c r="N873">
        <v>0</v>
      </c>
      <c r="O873">
        <v>1.302909E-2</v>
      </c>
      <c r="P873">
        <v>0.98312350000000004</v>
      </c>
      <c r="Q873">
        <v>0.1522</v>
      </c>
      <c r="R873">
        <v>-0.1015066</v>
      </c>
      <c r="S873">
        <v>3.0020449999999999</v>
      </c>
      <c r="T873">
        <v>-0.130693</v>
      </c>
      <c r="U873">
        <v>-0.67608639999999998</v>
      </c>
      <c r="V873">
        <v>0.1145591</v>
      </c>
      <c r="W873">
        <v>0.164079</v>
      </c>
      <c r="X873">
        <v>0.97977259999999999</v>
      </c>
      <c r="Y873">
        <v>0.23217779999999999</v>
      </c>
      <c r="Z873">
        <v>-5.5492850000000002E-3</v>
      </c>
      <c r="AA873">
        <v>0.97265760000000001</v>
      </c>
      <c r="AB873">
        <v>33</v>
      </c>
      <c r="AC873">
        <v>25.1495999999999</v>
      </c>
      <c r="AD873">
        <v>-1.10928465797799</v>
      </c>
      <c r="AE873">
        <v>-5.7418999999999798</v>
      </c>
      <c r="AF873">
        <v>6.0579121072472999</v>
      </c>
      <c r="AG873">
        <v>-1.10928465797799</v>
      </c>
      <c r="AH873">
        <v>25.026371709339902</v>
      </c>
      <c r="AI873">
        <v>92.466804089639894</v>
      </c>
      <c r="AJ873">
        <v>76.392656131904701</v>
      </c>
      <c r="AK873">
        <v>25.773010931701499</v>
      </c>
      <c r="AL873">
        <v>80.556264359779405</v>
      </c>
      <c r="AM873">
        <v>83.331019538358305</v>
      </c>
      <c r="AN873">
        <v>1.0000000266722799</v>
      </c>
    </row>
    <row r="874" spans="1:40" x14ac:dyDescent="0.25">
      <c r="A874" t="str">
        <f>"20190312172629071"</f>
        <v>20190312172629071</v>
      </c>
      <c r="B874" t="str">
        <f>"1552382789059299"</f>
        <v>1552382789059299</v>
      </c>
      <c r="C874" t="s">
        <v>40</v>
      </c>
      <c r="D874">
        <v>3.282645</v>
      </c>
      <c r="E874">
        <v>0.54543039999999998</v>
      </c>
      <c r="F874" t="s">
        <v>41</v>
      </c>
      <c r="G874">
        <v>-217.1053</v>
      </c>
      <c r="H874" s="1">
        <v>-2.916026E-6</v>
      </c>
      <c r="I874">
        <v>362.30689999999998</v>
      </c>
      <c r="J874">
        <v>-242.59559999999999</v>
      </c>
      <c r="K874">
        <v>1.1093230000000001</v>
      </c>
      <c r="L874">
        <v>368.17200000000003</v>
      </c>
      <c r="M874">
        <v>0.99984510000000004</v>
      </c>
      <c r="N874">
        <v>0</v>
      </c>
      <c r="O874">
        <v>1.236045E-2</v>
      </c>
      <c r="P874">
        <v>0.98287959999999996</v>
      </c>
      <c r="Q874">
        <v>0.1526825</v>
      </c>
      <c r="R874">
        <v>-0.1031316</v>
      </c>
      <c r="S874">
        <v>3.001099</v>
      </c>
      <c r="T874">
        <v>-0.1289624</v>
      </c>
      <c r="U874">
        <v>-0.68145749999999905</v>
      </c>
      <c r="V874">
        <v>0.1155241</v>
      </c>
      <c r="W874">
        <v>0.16479489999999999</v>
      </c>
      <c r="X874">
        <v>0.9795391</v>
      </c>
      <c r="Y874">
        <v>0.2332545</v>
      </c>
      <c r="Z874">
        <v>-5.4709440000000002E-3</v>
      </c>
      <c r="AA874">
        <v>0.97240040000000005</v>
      </c>
      <c r="AB874">
        <v>33</v>
      </c>
      <c r="AC874">
        <v>25.490299999999898</v>
      </c>
      <c r="AD874">
        <v>-1.1093259160259901</v>
      </c>
      <c r="AE874">
        <v>-5.8650999999999804</v>
      </c>
      <c r="AF874">
        <v>6.1686525009728701</v>
      </c>
      <c r="AG874">
        <v>-1.1093259160259901</v>
      </c>
      <c r="AH874">
        <v>25.370217482274299</v>
      </c>
      <c r="AI874">
        <v>92.4328982890395</v>
      </c>
      <c r="AJ874">
        <v>76.333984073341895</v>
      </c>
      <c r="AK874">
        <v>26.132944969207401</v>
      </c>
      <c r="AL874">
        <v>80.514680116864795</v>
      </c>
      <c r="AM874">
        <v>83.273766754384894</v>
      </c>
      <c r="AN874">
        <v>1.0000000125878099</v>
      </c>
    </row>
    <row r="875" spans="1:40" x14ac:dyDescent="0.25">
      <c r="A875" t="str">
        <f>"20190312172629093"</f>
        <v>20190312172629093</v>
      </c>
      <c r="B875" t="str">
        <f>"1552382789089556"</f>
        <v>1552382789089556</v>
      </c>
      <c r="C875" t="s">
        <v>40</v>
      </c>
      <c r="D875">
        <v>3.269174</v>
      </c>
      <c r="E875">
        <v>0.54547769999999995</v>
      </c>
      <c r="F875" t="s">
        <v>41</v>
      </c>
      <c r="G875">
        <v>-216.66229999999999</v>
      </c>
      <c r="H875" s="1">
        <v>-3.0874249999999999E-6</v>
      </c>
      <c r="I875">
        <v>362.22930000000002</v>
      </c>
      <c r="J875">
        <v>-242.25550000000001</v>
      </c>
      <c r="K875">
        <v>1.1093569999999999</v>
      </c>
      <c r="L875">
        <v>368.1755</v>
      </c>
      <c r="M875">
        <v>0.99985060000000003</v>
      </c>
      <c r="N875">
        <v>0</v>
      </c>
      <c r="O875">
        <v>1.166505E-2</v>
      </c>
      <c r="P875">
        <v>0.98271310000000001</v>
      </c>
      <c r="Q875">
        <v>0.15275279999999899</v>
      </c>
      <c r="R875">
        <v>-0.10460369999999999</v>
      </c>
      <c r="S875">
        <v>3.0000610000000001</v>
      </c>
      <c r="T875">
        <v>-0.12833069999999999</v>
      </c>
      <c r="U875">
        <v>-0.68746949999999996</v>
      </c>
      <c r="V875">
        <v>0.1163121</v>
      </c>
      <c r="W875">
        <v>0.16509170000000001</v>
      </c>
      <c r="X875">
        <v>0.97939589999999999</v>
      </c>
      <c r="Y875">
        <v>0.2345044</v>
      </c>
      <c r="Z875">
        <v>-5.4418160000000004E-3</v>
      </c>
      <c r="AA875">
        <v>0.97209979999999996</v>
      </c>
      <c r="AB875">
        <v>33</v>
      </c>
      <c r="AC875">
        <v>25.5932</v>
      </c>
      <c r="AD875">
        <v>-1.109360087425</v>
      </c>
      <c r="AE875">
        <v>-5.94619999999997</v>
      </c>
      <c r="AF875">
        <v>6.2332539599477998</v>
      </c>
      <c r="AG875">
        <v>-1.109360087425</v>
      </c>
      <c r="AH875">
        <v>25.476674274963599</v>
      </c>
      <c r="AI875">
        <v>92.421972396127799</v>
      </c>
      <c r="AJ875">
        <v>76.251800600009801</v>
      </c>
      <c r="AK875">
        <v>26.2515726547071</v>
      </c>
      <c r="AL875">
        <v>80.497438946068499</v>
      </c>
      <c r="AM875">
        <v>83.227330255812703</v>
      </c>
      <c r="AN875">
        <v>1.0000000514760501</v>
      </c>
    </row>
    <row r="876" spans="1:40" x14ac:dyDescent="0.25">
      <c r="A876" t="str">
        <f>"20190312172629116"</f>
        <v>20190312172629116</v>
      </c>
      <c r="B876" t="str">
        <f>"1552382789109075"</f>
        <v>1552382789109075</v>
      </c>
      <c r="C876" t="s">
        <v>40</v>
      </c>
      <c r="D876">
        <v>3.2712599999999998</v>
      </c>
      <c r="E876">
        <v>0.54552559999999894</v>
      </c>
      <c r="F876" t="s">
        <v>41</v>
      </c>
      <c r="G876">
        <v>-216.5335</v>
      </c>
      <c r="H876" s="1">
        <v>-3.130893E-6</v>
      </c>
      <c r="I876">
        <v>362.23070000000001</v>
      </c>
      <c r="J876">
        <v>-241.91489999999999</v>
      </c>
      <c r="K876">
        <v>1.1093869999999999</v>
      </c>
      <c r="L876">
        <v>368.17869999999999</v>
      </c>
      <c r="M876">
        <v>0.99985550000000001</v>
      </c>
      <c r="N876">
        <v>0</v>
      </c>
      <c r="O876">
        <v>1.097385E-2</v>
      </c>
      <c r="P876">
        <v>0.98250879999999996</v>
      </c>
      <c r="Q876">
        <v>0.15312049999999999</v>
      </c>
      <c r="R876">
        <v>-0.10597429999999999</v>
      </c>
      <c r="S876">
        <v>2.9990999999999999</v>
      </c>
      <c r="T876">
        <v>-0.1293474</v>
      </c>
      <c r="U876">
        <v>-0.69314580000000003</v>
      </c>
      <c r="V876">
        <v>0.11700380000000001</v>
      </c>
      <c r="W876">
        <v>0.1656668</v>
      </c>
      <c r="X876">
        <v>0.97921630000000004</v>
      </c>
      <c r="Y876">
        <v>0.23564360000000001</v>
      </c>
      <c r="Z876">
        <v>-5.4802660000000001E-3</v>
      </c>
      <c r="AA876">
        <v>0.97182400000000002</v>
      </c>
      <c r="AB876">
        <v>33</v>
      </c>
      <c r="AC876">
        <v>25.3813999999999</v>
      </c>
      <c r="AD876">
        <v>-1.1093901308930001</v>
      </c>
      <c r="AE876">
        <v>-5.9479999999999702</v>
      </c>
      <c r="AF876">
        <v>6.2149416645329598</v>
      </c>
      <c r="AG876">
        <v>-1.1093901308930001</v>
      </c>
      <c r="AH876">
        <v>25.268831545702099</v>
      </c>
      <c r="AI876">
        <v>92.441209167982606</v>
      </c>
      <c r="AJ876">
        <v>76.182206709406998</v>
      </c>
      <c r="AK876">
        <v>26.045538851042</v>
      </c>
      <c r="AL876">
        <v>80.464027294297793</v>
      </c>
      <c r="AM876">
        <v>83.186193334216796</v>
      </c>
      <c r="AN876">
        <v>0.99999997001118401</v>
      </c>
    </row>
    <row r="877" spans="1:40" x14ac:dyDescent="0.25">
      <c r="A877" t="str">
        <f>"20190312172629140"</f>
        <v>20190312172629140</v>
      </c>
      <c r="B877" t="str">
        <f>"1552382789129571"</f>
        <v>1552382789129571</v>
      </c>
      <c r="C877" t="s">
        <v>40</v>
      </c>
      <c r="D877">
        <v>3.2775319999999999</v>
      </c>
      <c r="E877">
        <v>0.5455759</v>
      </c>
      <c r="F877" t="s">
        <v>41</v>
      </c>
      <c r="G877">
        <v>-216.0812</v>
      </c>
      <c r="H877" s="1">
        <v>-3.3040999999999998E-6</v>
      </c>
      <c r="I877">
        <v>362.15820000000002</v>
      </c>
      <c r="J877">
        <v>-241.57259999999999</v>
      </c>
      <c r="K877">
        <v>1.1094139999999999</v>
      </c>
      <c r="L877">
        <v>368.18180000000001</v>
      </c>
      <c r="M877">
        <v>0.99986050000000004</v>
      </c>
      <c r="N877">
        <v>0</v>
      </c>
      <c r="O877">
        <v>1.0279750000000001E-2</v>
      </c>
      <c r="P877">
        <v>0.98217580000000004</v>
      </c>
      <c r="Q877">
        <v>0.1537203</v>
      </c>
      <c r="R877">
        <v>-0.10817110000000001</v>
      </c>
      <c r="S877">
        <v>2.9980929999999999</v>
      </c>
      <c r="T877">
        <v>-0.1287481</v>
      </c>
      <c r="U877">
        <v>-0.69869999999999999</v>
      </c>
      <c r="V877">
        <v>0.1185175</v>
      </c>
      <c r="W877">
        <v>0.16645209999999999</v>
      </c>
      <c r="X877">
        <v>0.97890109999999997</v>
      </c>
      <c r="Y877">
        <v>0.2367505</v>
      </c>
      <c r="Z877">
        <v>-5.4495740000000004E-3</v>
      </c>
      <c r="AA877">
        <v>0.97155519999999995</v>
      </c>
      <c r="AB877">
        <v>33</v>
      </c>
      <c r="AC877">
        <v>25.491399999999999</v>
      </c>
      <c r="AD877">
        <v>-1.1094173040999999</v>
      </c>
      <c r="AE877">
        <v>-6.0235999999999796</v>
      </c>
      <c r="AF877">
        <v>6.2740943135342899</v>
      </c>
      <c r="AG877">
        <v>-1.1094173040999999</v>
      </c>
      <c r="AH877">
        <v>25.382591792217401</v>
      </c>
      <c r="AI877">
        <v>92.4296478722909</v>
      </c>
      <c r="AJ877">
        <v>76.115873117153598</v>
      </c>
      <c r="AK877">
        <v>26.170040739366499</v>
      </c>
      <c r="AL877">
        <v>80.418400001289001</v>
      </c>
      <c r="AM877">
        <v>83.096685926169798</v>
      </c>
      <c r="AN877">
        <v>1.0000000314909301</v>
      </c>
    </row>
    <row r="878" spans="1:40" x14ac:dyDescent="0.25">
      <c r="A878" t="str">
        <f>"20190312172629171"</f>
        <v>20190312172629171</v>
      </c>
      <c r="B878" t="str">
        <f>"1552382789159827"</f>
        <v>1552382789159827</v>
      </c>
      <c r="C878" t="s">
        <v>40</v>
      </c>
      <c r="D878">
        <v>3.2900309999999999</v>
      </c>
      <c r="E878">
        <v>0.54565140000000001</v>
      </c>
      <c r="F878" t="s">
        <v>41</v>
      </c>
      <c r="G878">
        <v>-215.49449999999999</v>
      </c>
      <c r="H878" s="1">
        <v>-3.5380939999999999E-6</v>
      </c>
      <c r="I878">
        <v>362.0292</v>
      </c>
      <c r="J878">
        <v>-241.10640000000001</v>
      </c>
      <c r="K878">
        <v>1.1094489999999999</v>
      </c>
      <c r="L878">
        <v>368.18549999999999</v>
      </c>
      <c r="M878">
        <v>0.99986660000000005</v>
      </c>
      <c r="N878">
        <v>0</v>
      </c>
      <c r="O878">
        <v>9.3299430000000003E-3</v>
      </c>
      <c r="P878">
        <v>0.98181689999999999</v>
      </c>
      <c r="Q878">
        <v>0.15405859999999999</v>
      </c>
      <c r="R878">
        <v>-0.11091280000000001</v>
      </c>
      <c r="S878">
        <v>2.9965519999999999</v>
      </c>
      <c r="T878">
        <v>-0.12747919999999999</v>
      </c>
      <c r="U878">
        <v>-0.70697019999999899</v>
      </c>
      <c r="V878">
        <v>0.1203239</v>
      </c>
      <c r="W878">
        <v>0.16701250000000001</v>
      </c>
      <c r="X878">
        <v>0.97858520000000004</v>
      </c>
      <c r="Y878">
        <v>0.23848279999999999</v>
      </c>
      <c r="Z878">
        <v>-5.3934090000000001E-3</v>
      </c>
      <c r="AA878">
        <v>0.97113170000000004</v>
      </c>
      <c r="AB878">
        <v>33</v>
      </c>
      <c r="AC878">
        <v>25.611899999999999</v>
      </c>
      <c r="AD878">
        <v>-1.1094525380939999</v>
      </c>
      <c r="AE878">
        <v>-6.1562999999999803</v>
      </c>
      <c r="AF878">
        <v>6.3836867470229297</v>
      </c>
      <c r="AG878">
        <v>-1.1094525380939999</v>
      </c>
      <c r="AH878">
        <v>25.508092050316002</v>
      </c>
      <c r="AI878">
        <v>92.416043170014404</v>
      </c>
      <c r="AJ878">
        <v>75.949669915403206</v>
      </c>
      <c r="AK878">
        <v>26.3181515586827</v>
      </c>
      <c r="AL878">
        <v>80.385835358882204</v>
      </c>
      <c r="AM878">
        <v>82.990266935388803</v>
      </c>
      <c r="AN878">
        <v>1.00000000486324</v>
      </c>
    </row>
    <row r="879" spans="1:40" x14ac:dyDescent="0.25">
      <c r="A879" t="str">
        <f>"20190312172629193"</f>
        <v>20190312172629193</v>
      </c>
      <c r="B879" t="str">
        <f>"1552382789189107"</f>
        <v>1552382789189107</v>
      </c>
      <c r="C879" t="s">
        <v>40</v>
      </c>
      <c r="D879">
        <v>3.2783370000000001</v>
      </c>
      <c r="E879">
        <v>0.54573190000000005</v>
      </c>
      <c r="F879" t="s">
        <v>41</v>
      </c>
      <c r="G879">
        <v>-214.91489999999999</v>
      </c>
      <c r="H879" s="1">
        <v>-3.7692580000000002E-6</v>
      </c>
      <c r="I879">
        <v>361.90170000000001</v>
      </c>
      <c r="J879">
        <v>-240.77369999999999</v>
      </c>
      <c r="K879">
        <v>1.109461</v>
      </c>
      <c r="L879">
        <v>368.18779999999998</v>
      </c>
      <c r="M879">
        <v>0.99987090000000001</v>
      </c>
      <c r="N879">
        <v>0</v>
      </c>
      <c r="O879">
        <v>8.648078E-3</v>
      </c>
      <c r="P879">
        <v>0.98154739999999996</v>
      </c>
      <c r="Q879">
        <v>0.15435950000000001</v>
      </c>
      <c r="R879">
        <v>-0.1128633</v>
      </c>
      <c r="S879">
        <v>2.9943080000000002</v>
      </c>
      <c r="T879">
        <v>-0.12683610000000001</v>
      </c>
      <c r="U879">
        <v>-0.71838380000000002</v>
      </c>
      <c r="V879">
        <v>0.121603</v>
      </c>
      <c r="W879">
        <v>0.16744829999999999</v>
      </c>
      <c r="X879">
        <v>0.97835260000000002</v>
      </c>
      <c r="Y879">
        <v>0.24148539999999999</v>
      </c>
      <c r="Z879">
        <v>-5.4019929999999999E-3</v>
      </c>
      <c r="AA879">
        <v>0.97038939999999996</v>
      </c>
      <c r="AB879">
        <v>33</v>
      </c>
      <c r="AC879">
        <v>25.858799999999999</v>
      </c>
      <c r="AD879">
        <v>-1.109464769258</v>
      </c>
      <c r="AE879">
        <v>-6.28609999999997</v>
      </c>
      <c r="AF879">
        <v>6.4982197354816602</v>
      </c>
      <c r="AG879">
        <v>-1.109464769258</v>
      </c>
      <c r="AH879">
        <v>25.758693877735102</v>
      </c>
      <c r="AI879">
        <v>92.391455761320202</v>
      </c>
      <c r="AJ879">
        <v>75.841256500663306</v>
      </c>
      <c r="AK879">
        <v>26.588871395598801</v>
      </c>
      <c r="AL879">
        <v>80.360509323115295</v>
      </c>
      <c r="AM879">
        <v>82.914836256281603</v>
      </c>
      <c r="AN879">
        <v>1.0000000163543199</v>
      </c>
    </row>
    <row r="880" spans="1:40" x14ac:dyDescent="0.25">
      <c r="A880" t="str">
        <f>"20190312172629216"</f>
        <v>20190312172629216</v>
      </c>
      <c r="B880" t="str">
        <f>"1552382789209603"</f>
        <v>1552382789209603</v>
      </c>
      <c r="C880" t="s">
        <v>40</v>
      </c>
      <c r="D880">
        <v>3.3031440000000001</v>
      </c>
      <c r="E880">
        <v>0.54574599999999995</v>
      </c>
      <c r="F880" t="s">
        <v>41</v>
      </c>
      <c r="G880">
        <v>-214.61060000000001</v>
      </c>
      <c r="H880" s="1">
        <v>-3.8889799999999998E-6</v>
      </c>
      <c r="I880">
        <v>361.84089999999998</v>
      </c>
      <c r="J880">
        <v>-240.44540000000001</v>
      </c>
      <c r="K880">
        <v>1.1094649999999999</v>
      </c>
      <c r="L880">
        <v>368.19</v>
      </c>
      <c r="M880">
        <v>0.99987479999999995</v>
      </c>
      <c r="N880">
        <v>0</v>
      </c>
      <c r="O880">
        <v>7.9748159999999992E-3</v>
      </c>
      <c r="P880">
        <v>0.98119650000000003</v>
      </c>
      <c r="Q880">
        <v>0.15516949999999999</v>
      </c>
      <c r="R880">
        <v>-0.1147874</v>
      </c>
      <c r="S880">
        <v>2.992874</v>
      </c>
      <c r="T880">
        <v>-0.12691469999999999</v>
      </c>
      <c r="U880">
        <v>-0.72604369999999996</v>
      </c>
      <c r="V880">
        <v>0.1228644</v>
      </c>
      <c r="W880">
        <v>0.16837339999999901</v>
      </c>
      <c r="X880">
        <v>0.97803620000000002</v>
      </c>
      <c r="Y880">
        <v>0.24328279999999999</v>
      </c>
      <c r="Z880">
        <v>-5.4156650000000001E-3</v>
      </c>
      <c r="AA880">
        <v>0.96994029999999998</v>
      </c>
      <c r="AB880">
        <v>33</v>
      </c>
      <c r="AC880">
        <v>25.834800000000001</v>
      </c>
      <c r="AD880">
        <v>-1.10946888898</v>
      </c>
      <c r="AE880">
        <v>-6.3491000000000204</v>
      </c>
      <c r="AF880">
        <v>6.5435644633114904</v>
      </c>
      <c r="AG880">
        <v>-1.10946888898</v>
      </c>
      <c r="AH880">
        <v>25.738575934923301</v>
      </c>
      <c r="AI880">
        <v>92.392217471509795</v>
      </c>
      <c r="AJ880">
        <v>75.7357831129857</v>
      </c>
      <c r="AK880">
        <v>26.580508803612801</v>
      </c>
      <c r="AL880">
        <v>80.306741800200797</v>
      </c>
      <c r="AM880">
        <v>82.839808030602697</v>
      </c>
      <c r="AN880">
        <v>1.0000000355626699</v>
      </c>
    </row>
    <row r="881" spans="1:40" x14ac:dyDescent="0.25">
      <c r="A881" t="str">
        <f>"20190312172629238"</f>
        <v>20190312172629238</v>
      </c>
      <c r="B881" t="str">
        <f>"1552382789229123"</f>
        <v>1552382789229123</v>
      </c>
      <c r="C881" t="s">
        <v>40</v>
      </c>
      <c r="D881">
        <v>3.2897820000000002</v>
      </c>
      <c r="E881">
        <v>0.54575929999999995</v>
      </c>
      <c r="F881" t="s">
        <v>41</v>
      </c>
      <c r="G881">
        <v>-213.8631</v>
      </c>
      <c r="H881" s="1">
        <v>-4.1876029999999901E-6</v>
      </c>
      <c r="I881">
        <v>361.6746</v>
      </c>
      <c r="J881">
        <v>-240.11340000000001</v>
      </c>
      <c r="K881">
        <v>1.109472</v>
      </c>
      <c r="L881">
        <v>368.19189999999998</v>
      </c>
      <c r="M881">
        <v>0.9998785</v>
      </c>
      <c r="N881">
        <v>0</v>
      </c>
      <c r="O881">
        <v>7.2940829999999998E-3</v>
      </c>
      <c r="P881">
        <v>0.98097679999999998</v>
      </c>
      <c r="Q881">
        <v>0.15471849999999901</v>
      </c>
      <c r="R881">
        <v>-0.11724809999999999</v>
      </c>
      <c r="S881">
        <v>2.9914700000000001</v>
      </c>
      <c r="T881">
        <v>-0.12485499999999999</v>
      </c>
      <c r="U881">
        <v>-0.73321530000000001</v>
      </c>
      <c r="V881">
        <v>0.12465469999999999</v>
      </c>
      <c r="W881">
        <v>0.1680246</v>
      </c>
      <c r="X881">
        <v>0.97786960000000001</v>
      </c>
      <c r="Y881">
        <v>0.24492720000000001</v>
      </c>
      <c r="Z881">
        <v>-5.3345859999999997E-3</v>
      </c>
      <c r="AA881">
        <v>0.96952680000000002</v>
      </c>
      <c r="AB881">
        <v>33</v>
      </c>
      <c r="AC881">
        <v>26.250299999999999</v>
      </c>
      <c r="AD881">
        <v>-1.1094761876029999</v>
      </c>
      <c r="AE881">
        <v>-6.5172999999999703</v>
      </c>
      <c r="AF881">
        <v>6.6973474402405397</v>
      </c>
      <c r="AG881">
        <v>-1.1094761876029999</v>
      </c>
      <c r="AH881">
        <v>26.158044872788199</v>
      </c>
      <c r="AI881">
        <v>92.352900183115196</v>
      </c>
      <c r="AJ881">
        <v>75.638838150236296</v>
      </c>
      <c r="AK881">
        <v>27.024594570741598</v>
      </c>
      <c r="AL881">
        <v>80.327015130430297</v>
      </c>
      <c r="AM881">
        <v>82.735356486275407</v>
      </c>
      <c r="AN881">
        <v>1.0000000075207001</v>
      </c>
    </row>
    <row r="882" spans="1:40" x14ac:dyDescent="0.25">
      <c r="A882" t="str">
        <f>"20190312172629260"</f>
        <v>20190312172629260</v>
      </c>
      <c r="B882" t="str">
        <f>"1552382789249620"</f>
        <v>1552382789249620</v>
      </c>
      <c r="C882" t="s">
        <v>40</v>
      </c>
      <c r="D882">
        <v>3.3333050000000002</v>
      </c>
      <c r="E882">
        <v>0.54580769999999901</v>
      </c>
      <c r="F882" t="s">
        <v>41</v>
      </c>
      <c r="G882">
        <v>-213.96850000000001</v>
      </c>
      <c r="H882" s="1">
        <v>-4.1432639999999996E-6</v>
      </c>
      <c r="I882">
        <v>361.70650000000001</v>
      </c>
      <c r="J882">
        <v>-239.79390000000001</v>
      </c>
      <c r="K882">
        <v>1.10948</v>
      </c>
      <c r="L882">
        <v>368.19349999999997</v>
      </c>
      <c r="M882">
        <v>0.99988180000000004</v>
      </c>
      <c r="N882">
        <v>0</v>
      </c>
      <c r="O882">
        <v>6.6397579999999999E-3</v>
      </c>
      <c r="P882">
        <v>0.98068390000000005</v>
      </c>
      <c r="Q882">
        <v>0.1548678</v>
      </c>
      <c r="R882">
        <v>-0.1194791</v>
      </c>
      <c r="S882">
        <v>2.9895480000000001</v>
      </c>
      <c r="T882">
        <v>-0.126863</v>
      </c>
      <c r="U882">
        <v>-0.74157709999999999</v>
      </c>
      <c r="V882">
        <v>0.12624189999999999</v>
      </c>
      <c r="W882">
        <v>0.1682582</v>
      </c>
      <c r="X882">
        <v>0.97762579999999999</v>
      </c>
      <c r="Y882">
        <v>0.2469846</v>
      </c>
      <c r="Z882">
        <v>-5.4375319999999897E-3</v>
      </c>
      <c r="AA882">
        <v>0.96900419999999998</v>
      </c>
      <c r="AB882">
        <v>33</v>
      </c>
      <c r="AC882">
        <v>25.825399999999998</v>
      </c>
      <c r="AD882">
        <v>-1.1094841432639999</v>
      </c>
      <c r="AE882">
        <v>-6.4869999999999601</v>
      </c>
      <c r="AF882">
        <v>6.6468083128642403</v>
      </c>
      <c r="AG882">
        <v>-1.1094841432639999</v>
      </c>
      <c r="AH882">
        <v>25.737072088299499</v>
      </c>
      <c r="AI882">
        <v>92.390077546463601</v>
      </c>
      <c r="AJ882">
        <v>75.519305356718803</v>
      </c>
      <c r="AK882">
        <v>26.604659281607798</v>
      </c>
      <c r="AL882">
        <v>80.313437672231601</v>
      </c>
      <c r="AM882">
        <v>82.642049937453706</v>
      </c>
      <c r="AN882">
        <v>1.00000002200424</v>
      </c>
    </row>
    <row r="883" spans="1:40" x14ac:dyDescent="0.25">
      <c r="A883" t="str">
        <f>"20190312172629282"</f>
        <v>20190312172629282</v>
      </c>
      <c r="B883" t="str">
        <f>"1552382789279877"</f>
        <v>1552382789279877</v>
      </c>
      <c r="C883" t="s">
        <v>40</v>
      </c>
      <c r="D883">
        <v>3.3162340000000001</v>
      </c>
      <c r="E883">
        <v>0.54586509999999999</v>
      </c>
      <c r="F883" t="s">
        <v>41</v>
      </c>
      <c r="G883">
        <v>-213.55350000000001</v>
      </c>
      <c r="H883" s="1">
        <v>-4.3121069999999997E-6</v>
      </c>
      <c r="I883">
        <v>361.60270000000003</v>
      </c>
      <c r="J883">
        <v>-239.4658</v>
      </c>
      <c r="K883">
        <v>1.1094919999999999</v>
      </c>
      <c r="L883">
        <v>368.19499999999999</v>
      </c>
      <c r="M883">
        <v>0.99988500000000002</v>
      </c>
      <c r="N883">
        <v>0</v>
      </c>
      <c r="O883">
        <v>5.9678639999999998E-3</v>
      </c>
      <c r="P883">
        <v>0.98024869999999997</v>
      </c>
      <c r="Q883">
        <v>0.15561520000000001</v>
      </c>
      <c r="R883">
        <v>-0.12205240000000001</v>
      </c>
      <c r="S883">
        <v>2.9875949999999998</v>
      </c>
      <c r="T883">
        <v>-0.1263194</v>
      </c>
      <c r="U883">
        <v>-0.75039669999999903</v>
      </c>
      <c r="V883">
        <v>0.12815470000000001</v>
      </c>
      <c r="W883">
        <v>0.16907700000000001</v>
      </c>
      <c r="X883">
        <v>0.97723559999999998</v>
      </c>
      <c r="Y883">
        <v>0.24917410000000001</v>
      </c>
      <c r="Z883">
        <v>-5.4333669999999997E-3</v>
      </c>
      <c r="AA883">
        <v>0.96844350000000001</v>
      </c>
      <c r="AB883">
        <v>33</v>
      </c>
      <c r="AC883">
        <v>25.912299999999899</v>
      </c>
      <c r="AD883">
        <v>-1.1094963121069901</v>
      </c>
      <c r="AE883">
        <v>-6.5922999999999599</v>
      </c>
      <c r="AF883">
        <v>6.7352414162690701</v>
      </c>
      <c r="AG883">
        <v>-1.1094963121069901</v>
      </c>
      <c r="AH883">
        <v>25.8280199348556</v>
      </c>
      <c r="AI883">
        <v>92.380243197076496</v>
      </c>
      <c r="AJ883">
        <v>75.384324714849598</v>
      </c>
      <c r="AK883">
        <v>26.7148099891672</v>
      </c>
      <c r="AL883">
        <v>80.265842145574098</v>
      </c>
      <c r="AM883">
        <v>82.528864234926402</v>
      </c>
      <c r="AN883">
        <v>1.00000003848422</v>
      </c>
    </row>
    <row r="884" spans="1:40" x14ac:dyDescent="0.25">
      <c r="A884" t="str">
        <f>"20190312172629305"</f>
        <v>20190312172629305</v>
      </c>
      <c r="B884" t="str">
        <f>"1552382789299395"</f>
        <v>1552382789299395</v>
      </c>
      <c r="C884" t="s">
        <v>40</v>
      </c>
      <c r="D884">
        <v>3.3228949999999902</v>
      </c>
      <c r="E884">
        <v>0.5459174</v>
      </c>
      <c r="F884" t="s">
        <v>41</v>
      </c>
      <c r="G884">
        <v>-212.88679999999999</v>
      </c>
      <c r="H884" s="1">
        <v>-4.5860629999999996E-6</v>
      </c>
      <c r="I884">
        <v>361.42579999999998</v>
      </c>
      <c r="J884">
        <v>-239.13480000000001</v>
      </c>
      <c r="K884">
        <v>1.10951</v>
      </c>
      <c r="L884">
        <v>368.19630000000001</v>
      </c>
      <c r="M884">
        <v>0.99988770000000005</v>
      </c>
      <c r="N884">
        <v>0</v>
      </c>
      <c r="O884">
        <v>5.2899109999999996E-3</v>
      </c>
      <c r="P884">
        <v>0.9798656</v>
      </c>
      <c r="Q884">
        <v>0.1561379</v>
      </c>
      <c r="R884">
        <v>-0.12443890000000001</v>
      </c>
      <c r="S884">
        <v>2.9855649999999998</v>
      </c>
      <c r="T884">
        <v>-0.12462719999999999</v>
      </c>
      <c r="U884">
        <v>-0.76037600000000005</v>
      </c>
      <c r="V884">
        <v>0.12987489999999999</v>
      </c>
      <c r="W884">
        <v>0.16966249999999999</v>
      </c>
      <c r="X884">
        <v>0.97690690000000002</v>
      </c>
      <c r="Y884">
        <v>0.25171850000000001</v>
      </c>
      <c r="Z884">
        <v>-5.3864059999999998E-3</v>
      </c>
      <c r="AA884">
        <v>0.96778549999999997</v>
      </c>
      <c r="AB884">
        <v>33</v>
      </c>
      <c r="AC884">
        <v>26.248000000000001</v>
      </c>
      <c r="AD884">
        <v>-1.109514586063</v>
      </c>
      <c r="AE884">
        <v>-6.7705000000000197</v>
      </c>
      <c r="AF884">
        <v>6.8977125892257698</v>
      </c>
      <c r="AG884">
        <v>-1.109514586063</v>
      </c>
      <c r="AH884">
        <v>26.1679740014971</v>
      </c>
      <c r="AI884">
        <v>92.347770926831799</v>
      </c>
      <c r="AJ884">
        <v>75.233088104482405</v>
      </c>
      <c r="AK884">
        <v>27.084540330662399</v>
      </c>
      <c r="AL884">
        <v>80.231803048001495</v>
      </c>
      <c r="AM884">
        <v>82.427218257816904</v>
      </c>
      <c r="AN884">
        <v>0.99999997241193395</v>
      </c>
    </row>
    <row r="885" spans="1:40" x14ac:dyDescent="0.25">
      <c r="A885" t="str">
        <f>"20190312172629327"</f>
        <v>20190312172629327</v>
      </c>
      <c r="B885" t="str">
        <f>"1552382789318919"</f>
        <v>1552382789318919</v>
      </c>
      <c r="C885" t="s">
        <v>40</v>
      </c>
      <c r="D885">
        <v>3.4847329999999999</v>
      </c>
      <c r="E885">
        <v>0.54592099999999999</v>
      </c>
      <c r="F885" t="s">
        <v>41</v>
      </c>
      <c r="G885">
        <v>-212.3451</v>
      </c>
      <c r="H885" s="1">
        <v>-4.8062669999999998E-6</v>
      </c>
      <c r="I885">
        <v>361.29090000000002</v>
      </c>
      <c r="J885">
        <v>-238.80260000000001</v>
      </c>
      <c r="K885">
        <v>1.1095219999999999</v>
      </c>
      <c r="L885">
        <v>368.19729999999998</v>
      </c>
      <c r="M885">
        <v>0.99989030000000001</v>
      </c>
      <c r="N885">
        <v>0</v>
      </c>
      <c r="O885">
        <v>4.6092299999999998E-3</v>
      </c>
      <c r="P885">
        <v>0.979437</v>
      </c>
      <c r="Q885">
        <v>0.1569894</v>
      </c>
      <c r="R885">
        <v>-0.12671940000000001</v>
      </c>
      <c r="S885">
        <v>2.983673</v>
      </c>
      <c r="T885">
        <v>-0.123571</v>
      </c>
      <c r="U885">
        <v>-0.76907349999999997</v>
      </c>
      <c r="V885">
        <v>0.13148760000000001</v>
      </c>
      <c r="W885">
        <v>0.17056660000000001</v>
      </c>
      <c r="X885">
        <v>0.97653369999999995</v>
      </c>
      <c r="Y885">
        <v>0.25385540000000001</v>
      </c>
      <c r="Z885">
        <v>-5.3579569999999896E-3</v>
      </c>
      <c r="AA885">
        <v>0.96722730000000001</v>
      </c>
      <c r="AB885">
        <v>33</v>
      </c>
      <c r="AC885">
        <v>26.4575</v>
      </c>
      <c r="AD885">
        <v>-1.1095268062669901</v>
      </c>
      <c r="AE885">
        <v>-6.9063999999999597</v>
      </c>
      <c r="AF885">
        <v>7.01673467787636</v>
      </c>
      <c r="AG885">
        <v>-1.1095268062669901</v>
      </c>
      <c r="AH885">
        <v>26.381945900205299</v>
      </c>
      <c r="AI885">
        <v>92.327410094326495</v>
      </c>
      <c r="AJ885">
        <v>75.106000281209603</v>
      </c>
      <c r="AK885">
        <v>27.3216523064564</v>
      </c>
      <c r="AL885">
        <v>80.179236103334006</v>
      </c>
      <c r="AM885">
        <v>82.331401178058996</v>
      </c>
      <c r="AN885">
        <v>1.0000000106125</v>
      </c>
    </row>
    <row r="886" spans="1:40" x14ac:dyDescent="0.25">
      <c r="A886" t="str">
        <f>"20190312172629352"</f>
        <v>20190312172629352</v>
      </c>
      <c r="B886" t="str">
        <f>"1552382789349171"</f>
        <v>1552382789349171</v>
      </c>
      <c r="C886" t="s">
        <v>40</v>
      </c>
      <c r="D886">
        <v>3.3430119999999999</v>
      </c>
      <c r="E886">
        <v>0.54416790000000004</v>
      </c>
      <c r="F886" t="s">
        <v>41</v>
      </c>
      <c r="G886">
        <v>-211.37989999999999</v>
      </c>
      <c r="H886" s="1">
        <v>-5.2002580000000001E-6</v>
      </c>
      <c r="I886">
        <v>361.04770000000002</v>
      </c>
      <c r="J886">
        <v>-238.46709999999999</v>
      </c>
      <c r="K886">
        <v>1.109531</v>
      </c>
      <c r="L886">
        <v>368.19810000000001</v>
      </c>
      <c r="M886">
        <v>0.99989229999999996</v>
      </c>
      <c r="N886">
        <v>0</v>
      </c>
      <c r="O886">
        <v>3.9220569999999996E-3</v>
      </c>
      <c r="P886">
        <v>0.97898949999999996</v>
      </c>
      <c r="Q886">
        <v>0.15777369999999999</v>
      </c>
      <c r="R886">
        <v>-0.12917799999999999</v>
      </c>
      <c r="S886">
        <v>2.9817659999999999</v>
      </c>
      <c r="T886">
        <v>-0.1206425</v>
      </c>
      <c r="U886">
        <v>-0.77740480000000001</v>
      </c>
      <c r="V886">
        <v>0.13327240000000001</v>
      </c>
      <c r="W886">
        <v>0.17139489999999999</v>
      </c>
      <c r="X886">
        <v>0.97614659999999998</v>
      </c>
      <c r="Y886">
        <v>0.25588060000000001</v>
      </c>
      <c r="Z886">
        <v>-5.2454490000000001E-3</v>
      </c>
      <c r="AA886">
        <v>0.96669419999999995</v>
      </c>
      <c r="AB886">
        <v>33</v>
      </c>
      <c r="AC886">
        <v>27.087199999999999</v>
      </c>
      <c r="AD886">
        <v>-1.109536200258</v>
      </c>
      <c r="AE886">
        <v>-7.1503999999999897</v>
      </c>
      <c r="AF886">
        <v>7.2452286343262404</v>
      </c>
      <c r="AG886">
        <v>-1.109536200258</v>
      </c>
      <c r="AH886">
        <v>27.016567616639001</v>
      </c>
      <c r="AI886">
        <v>92.271565771666403</v>
      </c>
      <c r="AJ886">
        <v>74.987809607751103</v>
      </c>
      <c r="AK886">
        <v>27.993201573377899</v>
      </c>
      <c r="AL886">
        <v>80.131068253524404</v>
      </c>
      <c r="AM886">
        <v>82.225527855483605</v>
      </c>
      <c r="AN886">
        <v>0.999999964519664</v>
      </c>
    </row>
    <row r="887" spans="1:40" x14ac:dyDescent="0.25">
      <c r="A887" t="str">
        <f>"20190312172629372"</f>
        <v>20190312172629372</v>
      </c>
      <c r="B887" t="str">
        <f>"1552382789369668"</f>
        <v>1552382789369668</v>
      </c>
      <c r="C887" t="s">
        <v>40</v>
      </c>
      <c r="D887">
        <v>3.3116059999999998</v>
      </c>
      <c r="E887">
        <v>0.54514300000000004</v>
      </c>
      <c r="F887" t="s">
        <v>41</v>
      </c>
      <c r="G887">
        <v>-218.59690000000001</v>
      </c>
      <c r="H887" s="1">
        <v>-2.2111950000000002E-6</v>
      </c>
      <c r="I887">
        <v>363.04820000000001</v>
      </c>
      <c r="J887">
        <v>-238.15</v>
      </c>
      <c r="K887">
        <v>1.1095459999999999</v>
      </c>
      <c r="L887">
        <v>368.19869999999997</v>
      </c>
      <c r="M887">
        <v>0.99989410000000001</v>
      </c>
      <c r="N887">
        <v>0</v>
      </c>
      <c r="O887">
        <v>3.2717380000000002E-3</v>
      </c>
      <c r="P887">
        <v>0.97856900000000002</v>
      </c>
      <c r="Q887">
        <v>0.15802179999999999</v>
      </c>
      <c r="R887">
        <v>-0.13202949999999999</v>
      </c>
      <c r="S887">
        <v>2.9890590000000001</v>
      </c>
      <c r="T887">
        <v>-0.16690559999999999</v>
      </c>
      <c r="U887">
        <v>-0.77468870000000001</v>
      </c>
      <c r="V887">
        <v>0.13548589999999999</v>
      </c>
      <c r="W887">
        <v>0.17167669999999999</v>
      </c>
      <c r="X887">
        <v>0.97579229999999995</v>
      </c>
      <c r="Y887">
        <v>0.25367640000000002</v>
      </c>
      <c r="Z887">
        <v>-7.1418590000000004E-3</v>
      </c>
      <c r="AA887">
        <v>0.96726270000000003</v>
      </c>
      <c r="AB887">
        <v>33</v>
      </c>
      <c r="AC887">
        <v>19.553100000000001</v>
      </c>
      <c r="AD887">
        <v>-1.1095482111949999</v>
      </c>
      <c r="AE887">
        <v>-5.1504999999999601</v>
      </c>
      <c r="AF887">
        <v>5.1987973208431697</v>
      </c>
      <c r="AG887">
        <v>-1.1095482111949999</v>
      </c>
      <c r="AH887">
        <v>19.4774936335386</v>
      </c>
      <c r="AI887">
        <v>93.150314181569001</v>
      </c>
      <c r="AJ887">
        <v>75.055403871570505</v>
      </c>
      <c r="AK887">
        <v>20.1898823439046</v>
      </c>
      <c r="AL887">
        <v>80.114679395133606</v>
      </c>
      <c r="AM887">
        <v>82.095188113713803</v>
      </c>
      <c r="AN887">
        <v>0.99999996558049398</v>
      </c>
    </row>
    <row r="888" spans="1:40" x14ac:dyDescent="0.25">
      <c r="A888" t="str">
        <f>"20190312172629395"</f>
        <v>20190312172629395</v>
      </c>
      <c r="B888" t="str">
        <f>"1552382789389187"</f>
        <v>1552382789389187</v>
      </c>
      <c r="C888" t="s">
        <v>40</v>
      </c>
      <c r="D888">
        <v>3.3081130000000001</v>
      </c>
      <c r="E888">
        <v>0.54563119999999998</v>
      </c>
      <c r="F888" t="s">
        <v>41</v>
      </c>
      <c r="G888">
        <v>-218.0951</v>
      </c>
      <c r="H888" s="1">
        <v>-2.4271430000000001E-6</v>
      </c>
      <c r="I888">
        <v>362.87830000000002</v>
      </c>
      <c r="J888">
        <v>-237.82239999999999</v>
      </c>
      <c r="K888">
        <v>1.1095539999999999</v>
      </c>
      <c r="L888">
        <v>368.19900000000001</v>
      </c>
      <c r="M888">
        <v>0.99989570000000005</v>
      </c>
      <c r="N888">
        <v>0</v>
      </c>
      <c r="O888">
        <v>2.5993460000000002E-3</v>
      </c>
      <c r="P888">
        <v>0.97789870000000001</v>
      </c>
      <c r="Q888">
        <v>0.15935099999999999</v>
      </c>
      <c r="R888">
        <v>-0.13535820000000001</v>
      </c>
      <c r="S888">
        <v>2.985535</v>
      </c>
      <c r="T888">
        <v>-0.16517589999999999</v>
      </c>
      <c r="U888">
        <v>-0.79202269999999997</v>
      </c>
      <c r="V888">
        <v>0.13815620000000001</v>
      </c>
      <c r="W888">
        <v>0.17303089999999999</v>
      </c>
      <c r="X888">
        <v>0.97517849999999995</v>
      </c>
      <c r="Y888">
        <v>0.2585558</v>
      </c>
      <c r="Z888">
        <v>-7.1669380000000003E-3</v>
      </c>
      <c r="AA888">
        <v>0.96596970000000004</v>
      </c>
      <c r="AB888">
        <v>33</v>
      </c>
      <c r="AC888">
        <v>19.7272999999999</v>
      </c>
      <c r="AD888">
        <v>-1.1095564271430001</v>
      </c>
      <c r="AE888">
        <v>-5.32069999999998</v>
      </c>
      <c r="AF888">
        <v>5.35617021023105</v>
      </c>
      <c r="AG888">
        <v>-1.1095564271430001</v>
      </c>
      <c r="AH888">
        <v>19.655438747242801</v>
      </c>
      <c r="AI888">
        <v>93.117497474689003</v>
      </c>
      <c r="AJ888">
        <v>74.756830894493206</v>
      </c>
      <c r="AK888">
        <v>20.402351509877398</v>
      </c>
      <c r="AL888">
        <v>80.035910694254298</v>
      </c>
      <c r="AM888">
        <v>81.936413285338205</v>
      </c>
      <c r="AN888">
        <v>0.99999996740774899</v>
      </c>
    </row>
    <row r="889" spans="1:40" x14ac:dyDescent="0.25">
      <c r="A889" t="str">
        <f>"20190312172629417"</f>
        <v>20190312172629417</v>
      </c>
      <c r="B889" t="str">
        <f>"1552382789409687"</f>
        <v>1552382789409687</v>
      </c>
      <c r="C889" t="s">
        <v>40</v>
      </c>
      <c r="D889">
        <v>3.3126679999999999</v>
      </c>
      <c r="E889">
        <v>0.54581950000000001</v>
      </c>
      <c r="F889" t="s">
        <v>41</v>
      </c>
      <c r="G889">
        <v>-217.55930000000001</v>
      </c>
      <c r="H889" s="1">
        <v>-2.653574E-6</v>
      </c>
      <c r="I889">
        <v>362.71269999999998</v>
      </c>
      <c r="J889">
        <v>-237.4984</v>
      </c>
      <c r="K889">
        <v>1.1095680000000001</v>
      </c>
      <c r="L889">
        <v>368.19909999999999</v>
      </c>
      <c r="M889">
        <v>0.99989680000000003</v>
      </c>
      <c r="N889">
        <v>0</v>
      </c>
      <c r="O889">
        <v>1.9343299999999999E-3</v>
      </c>
      <c r="P889">
        <v>0.97719370000000005</v>
      </c>
      <c r="Q889">
        <v>0.16043209999999999</v>
      </c>
      <c r="R889">
        <v>-0.13912099999999999</v>
      </c>
      <c r="S889">
        <v>2.9826510000000002</v>
      </c>
      <c r="T889">
        <v>-0.16332199999999999</v>
      </c>
      <c r="U889">
        <v>-0.80755619999999995</v>
      </c>
      <c r="V889">
        <v>0.14126839999999999</v>
      </c>
      <c r="W889">
        <v>0.174129799999999</v>
      </c>
      <c r="X889">
        <v>0.97453679999999998</v>
      </c>
      <c r="Y889">
        <v>0.26283879999999998</v>
      </c>
      <c r="Z889">
        <v>-7.1678890000000002E-3</v>
      </c>
      <c r="AA889">
        <v>0.96481309999999998</v>
      </c>
      <c r="AB889">
        <v>33</v>
      </c>
      <c r="AC889">
        <v>19.9391</v>
      </c>
      <c r="AD889">
        <v>-1.109570653574</v>
      </c>
      <c r="AE889">
        <v>-5.4863999999999997</v>
      </c>
      <c r="AF889">
        <v>5.5091031504935701</v>
      </c>
      <c r="AG889">
        <v>-1.109570653574</v>
      </c>
      <c r="AH889">
        <v>19.871244902604399</v>
      </c>
      <c r="AI889">
        <v>93.080022397684104</v>
      </c>
      <c r="AJ889">
        <v>74.504500279034701</v>
      </c>
      <c r="AK889">
        <v>20.650611093556801</v>
      </c>
      <c r="AL889">
        <v>79.971977775503703</v>
      </c>
      <c r="AM889">
        <v>81.751883594524401</v>
      </c>
      <c r="AN889">
        <v>0.99999996132041902</v>
      </c>
    </row>
    <row r="890" spans="1:40" x14ac:dyDescent="0.25">
      <c r="A890" t="str">
        <f>"20190312172629438"</f>
        <v>20190312172629438</v>
      </c>
      <c r="B890" t="str">
        <f>"1552382789429204"</f>
        <v>1552382789429204</v>
      </c>
      <c r="C890" t="s">
        <v>40</v>
      </c>
      <c r="D890">
        <v>3.3098290000000001</v>
      </c>
      <c r="E890">
        <v>0.54600289999999996</v>
      </c>
      <c r="F890" t="s">
        <v>41</v>
      </c>
      <c r="G890">
        <v>-217.0591</v>
      </c>
      <c r="H890" s="1">
        <v>-2.8625839999999999E-6</v>
      </c>
      <c r="I890">
        <v>362.56689999999998</v>
      </c>
      <c r="J890">
        <v>-237.17529999999999</v>
      </c>
      <c r="K890">
        <v>1.109583</v>
      </c>
      <c r="L890">
        <v>368.19909999999999</v>
      </c>
      <c r="M890">
        <v>0.99989720000000004</v>
      </c>
      <c r="N890">
        <v>0</v>
      </c>
      <c r="O890">
        <v>1.2714930000000001E-3</v>
      </c>
      <c r="P890">
        <v>0.97638639999999999</v>
      </c>
      <c r="Q890">
        <v>0.16174069999999999</v>
      </c>
      <c r="R890">
        <v>-0.14321199999999901</v>
      </c>
      <c r="S890">
        <v>2.9796909999999999</v>
      </c>
      <c r="T890">
        <v>-0.16175529999999999</v>
      </c>
      <c r="U890">
        <v>-0.82107540000000001</v>
      </c>
      <c r="V890">
        <v>0.14471220000000001</v>
      </c>
      <c r="W890">
        <v>0.17544949999999901</v>
      </c>
      <c r="X890">
        <v>0.97379459999999995</v>
      </c>
      <c r="Y890">
        <v>0.26651520000000001</v>
      </c>
      <c r="Z890">
        <v>-7.1644480000000003E-3</v>
      </c>
      <c r="AA890">
        <v>0.96380410000000005</v>
      </c>
      <c r="AB890">
        <v>33</v>
      </c>
      <c r="AC890">
        <v>20.1161999999999</v>
      </c>
      <c r="AD890">
        <v>-1.1095858625839901</v>
      </c>
      <c r="AE890">
        <v>-5.6322000000000099</v>
      </c>
      <c r="AF890">
        <v>5.6418581213573402</v>
      </c>
      <c r="AG890">
        <v>-1.1095858625839901</v>
      </c>
      <c r="AH890">
        <v>20.052447139526102</v>
      </c>
      <c r="AI890">
        <v>93.049038271639901</v>
      </c>
      <c r="AJ890">
        <v>74.285782347504394</v>
      </c>
      <c r="AK890">
        <v>20.860546017097899</v>
      </c>
      <c r="AL890">
        <v>79.895183078133698</v>
      </c>
      <c r="AM890">
        <v>81.547335484980294</v>
      </c>
      <c r="AN890">
        <v>1.0000000354341201</v>
      </c>
    </row>
    <row r="891" spans="1:40" x14ac:dyDescent="0.25">
      <c r="A891" t="str">
        <f>"20190312172629462"</f>
        <v>20190312172629462</v>
      </c>
      <c r="B891" t="str">
        <f>"1552382789459460"</f>
        <v>1552382789459460</v>
      </c>
      <c r="C891" t="s">
        <v>40</v>
      </c>
      <c r="D891">
        <v>3.3476590000000002</v>
      </c>
      <c r="E891">
        <v>0.54602039999999996</v>
      </c>
      <c r="F891" t="s">
        <v>41</v>
      </c>
      <c r="G891">
        <v>-216.30959999999999</v>
      </c>
      <c r="H891" s="1">
        <v>-3.1801880000000002E-6</v>
      </c>
      <c r="I891">
        <v>362.33179999999999</v>
      </c>
      <c r="J891">
        <v>-236.85120000000001</v>
      </c>
      <c r="K891">
        <v>1.1095930000000001</v>
      </c>
      <c r="L891">
        <v>368.19880000000001</v>
      </c>
      <c r="M891">
        <v>0.99989760000000005</v>
      </c>
      <c r="N891">
        <v>0</v>
      </c>
      <c r="O891">
        <v>6.0600719999999995E-4</v>
      </c>
      <c r="P891">
        <v>0.97553509999999999</v>
      </c>
      <c r="Q891">
        <v>0.1632816</v>
      </c>
      <c r="R891">
        <v>-0.14720999999999901</v>
      </c>
      <c r="S891">
        <v>2.9759980000000001</v>
      </c>
      <c r="T891">
        <v>-0.1582558</v>
      </c>
      <c r="U891">
        <v>-0.83682250000000002</v>
      </c>
      <c r="V891">
        <v>0.14806159999999999</v>
      </c>
      <c r="W891">
        <v>0.1769975</v>
      </c>
      <c r="X891">
        <v>0.97301059999999995</v>
      </c>
      <c r="Y891">
        <v>0.27092040000000001</v>
      </c>
      <c r="Z891">
        <v>-7.0932790000000001E-3</v>
      </c>
      <c r="AA891">
        <v>0.96257559999999998</v>
      </c>
      <c r="AB891">
        <v>33</v>
      </c>
      <c r="AC891">
        <v>20.541599999999999</v>
      </c>
      <c r="AD891">
        <v>-1.1095961801880001</v>
      </c>
      <c r="AE891">
        <v>-5.8670000000000098</v>
      </c>
      <c r="AF891">
        <v>5.8636298527980104</v>
      </c>
      <c r="AG891">
        <v>-1.1095961801880001</v>
      </c>
      <c r="AH891">
        <v>20.482782670294402</v>
      </c>
      <c r="AI891">
        <v>92.981278899070404</v>
      </c>
      <c r="AJ891">
        <v>74.025110199548806</v>
      </c>
      <c r="AK891">
        <v>21.3344262789564</v>
      </c>
      <c r="AL891">
        <v>79.805078626021896</v>
      </c>
      <c r="AM891">
        <v>81.347759232774195</v>
      </c>
      <c r="AN891">
        <v>0.99999999005658402</v>
      </c>
    </row>
    <row r="892" spans="1:40" x14ac:dyDescent="0.25">
      <c r="A892" t="str">
        <f>"20190312172629484"</f>
        <v>20190312172629484</v>
      </c>
      <c r="B892" t="str">
        <f>"1552382789479956"</f>
        <v>1552382789479956</v>
      </c>
      <c r="C892" t="s">
        <v>40</v>
      </c>
      <c r="D892">
        <v>3.3458929999999998</v>
      </c>
      <c r="E892">
        <v>0.54587540000000001</v>
      </c>
      <c r="F892" t="s">
        <v>41</v>
      </c>
      <c r="G892">
        <v>-215.64580000000001</v>
      </c>
      <c r="H892" s="1">
        <v>-3.4597059999999998E-6</v>
      </c>
      <c r="I892">
        <v>362.1302</v>
      </c>
      <c r="J892">
        <v>-236.52269999999999</v>
      </c>
      <c r="K892">
        <v>1.109602</v>
      </c>
      <c r="L892">
        <v>368.19819999999999</v>
      </c>
      <c r="M892">
        <v>0.99989760000000005</v>
      </c>
      <c r="N892">
        <v>0</v>
      </c>
      <c r="O892" s="1">
        <v>-6.8631280000000007E-5</v>
      </c>
      <c r="P892">
        <v>0.97464740000000005</v>
      </c>
      <c r="Q892">
        <v>0.1647129</v>
      </c>
      <c r="R892">
        <v>-0.15143470000000001</v>
      </c>
      <c r="S892">
        <v>2.9728699999999999</v>
      </c>
      <c r="T892">
        <v>-0.15555829999999901</v>
      </c>
      <c r="U892">
        <v>-0.850769</v>
      </c>
      <c r="V892">
        <v>0.1516295</v>
      </c>
      <c r="W892">
        <v>0.17843149999999999</v>
      </c>
      <c r="X892">
        <v>0.97219889999999998</v>
      </c>
      <c r="Y892">
        <v>0.27471970000000001</v>
      </c>
      <c r="Z892">
        <v>-7.0380059999999899E-3</v>
      </c>
      <c r="AA892">
        <v>0.96149859999999998</v>
      </c>
      <c r="AB892">
        <v>32</v>
      </c>
      <c r="AC892">
        <v>20.8768999999999</v>
      </c>
      <c r="AD892">
        <v>-1.1096054597060001</v>
      </c>
      <c r="AE892">
        <v>-6.0679999999999801</v>
      </c>
      <c r="AF892">
        <v>6.05080557247451</v>
      </c>
      <c r="AG892">
        <v>-1.1096054597060001</v>
      </c>
      <c r="AH892">
        <v>20.823075400805902</v>
      </c>
      <c r="AI892">
        <v>92.929310465938499</v>
      </c>
      <c r="AJ892">
        <v>73.797099995366693</v>
      </c>
      <c r="AK892">
        <v>21.712759877540801</v>
      </c>
      <c r="AL892">
        <v>79.721587602160795</v>
      </c>
      <c r="AM892">
        <v>81.135252991181503</v>
      </c>
      <c r="AN892">
        <v>1.0000000033118499</v>
      </c>
    </row>
    <row r="893" spans="1:40" x14ac:dyDescent="0.25">
      <c r="A893" t="str">
        <f>"20190312172629506"</f>
        <v>20190312172629506</v>
      </c>
      <c r="B893" t="str">
        <f>"1552382789499475"</f>
        <v>1552382789499475</v>
      </c>
      <c r="C893" t="s">
        <v>40</v>
      </c>
      <c r="D893">
        <v>3.361262</v>
      </c>
      <c r="E893">
        <v>0.54577540000000002</v>
      </c>
      <c r="F893" t="s">
        <v>41</v>
      </c>
      <c r="G893">
        <v>-214.6551</v>
      </c>
      <c r="H893" s="1">
        <v>-3.8765960000000002E-6</v>
      </c>
      <c r="I893">
        <v>361.83049999999997</v>
      </c>
      <c r="J893">
        <v>-236.20169999999999</v>
      </c>
      <c r="K893">
        <v>1.1096010000000001</v>
      </c>
      <c r="L893">
        <v>368.19749999999999</v>
      </c>
      <c r="M893">
        <v>0.99989709999999998</v>
      </c>
      <c r="N893">
        <v>0</v>
      </c>
      <c r="O893">
        <v>-7.2804460000000005E-4</v>
      </c>
      <c r="P893">
        <v>0.97386329999999999</v>
      </c>
      <c r="Q893">
        <v>0.16576070000000001</v>
      </c>
      <c r="R893">
        <v>-0.1552866</v>
      </c>
      <c r="S893">
        <v>2.9691619999999999</v>
      </c>
      <c r="T893">
        <v>-0.15066079999999901</v>
      </c>
      <c r="U893">
        <v>-0.86459349999999902</v>
      </c>
      <c r="V893">
        <v>0.15484029999999999</v>
      </c>
      <c r="W893">
        <v>0.179481</v>
      </c>
      <c r="X893">
        <v>0.97149940000000001</v>
      </c>
      <c r="Y893">
        <v>0.27855049999999998</v>
      </c>
      <c r="Z893">
        <v>-6.882951E-3</v>
      </c>
      <c r="AA893">
        <v>0.9603969</v>
      </c>
      <c r="AB893">
        <v>32</v>
      </c>
      <c r="AC893">
        <v>21.546599999999899</v>
      </c>
      <c r="AD893">
        <v>-1.109604876596</v>
      </c>
      <c r="AE893">
        <v>-6.3670000000000098</v>
      </c>
      <c r="AF893">
        <v>6.3358563012150801</v>
      </c>
      <c r="AG893">
        <v>-1.109604876596</v>
      </c>
      <c r="AH893">
        <v>21.498793440242999</v>
      </c>
      <c r="AI893">
        <v>92.834243467280899</v>
      </c>
      <c r="AJ893">
        <v>73.579357768664593</v>
      </c>
      <c r="AK893">
        <v>22.440419279461999</v>
      </c>
      <c r="AL893">
        <v>79.660469176711501</v>
      </c>
      <c r="AM893">
        <v>80.944206343493093</v>
      </c>
      <c r="AN893">
        <v>1.00000001603272</v>
      </c>
    </row>
    <row r="894" spans="1:40" x14ac:dyDescent="0.25">
      <c r="A894" t="str">
        <f>"20190312172629529"</f>
        <v>20190312172629529</v>
      </c>
      <c r="B894" t="str">
        <f>"1552382789518996"</f>
        <v>1552382789518996</v>
      </c>
      <c r="C894" t="s">
        <v>40</v>
      </c>
      <c r="D894">
        <v>3.392906</v>
      </c>
      <c r="E894">
        <v>0.54561559999999998</v>
      </c>
      <c r="F894" t="s">
        <v>41</v>
      </c>
      <c r="G894">
        <v>-213.86689999999999</v>
      </c>
      <c r="H894" s="1">
        <v>-4.2086300000000002E-6</v>
      </c>
      <c r="I894">
        <v>361.5908</v>
      </c>
      <c r="J894">
        <v>-235.87459999999999</v>
      </c>
      <c r="K894">
        <v>1.109599</v>
      </c>
      <c r="L894">
        <v>368.19650000000001</v>
      </c>
      <c r="M894">
        <v>0.99989609999999995</v>
      </c>
      <c r="N894">
        <v>0</v>
      </c>
      <c r="O894">
        <v>-1.400784E-3</v>
      </c>
      <c r="P894">
        <v>0.97294400000000003</v>
      </c>
      <c r="Q894">
        <v>0.16702330000000001</v>
      </c>
      <c r="R894">
        <v>-0.15963579999999999</v>
      </c>
      <c r="S894">
        <v>2.9657140000000002</v>
      </c>
      <c r="T894">
        <v>-0.14733729999999901</v>
      </c>
      <c r="U894">
        <v>-0.87725830000000005</v>
      </c>
      <c r="V894">
        <v>0.15853639999999999</v>
      </c>
      <c r="W894">
        <v>0.1807404</v>
      </c>
      <c r="X894">
        <v>0.97066940000000002</v>
      </c>
      <c r="Y894">
        <v>0.28198899999999999</v>
      </c>
      <c r="Z894">
        <v>-6.7857100000000004E-3</v>
      </c>
      <c r="AA894">
        <v>0.95939359999999996</v>
      </c>
      <c r="AB894">
        <v>32</v>
      </c>
      <c r="AC894">
        <v>22.0077</v>
      </c>
      <c r="AD894">
        <v>-1.1096032086299901</v>
      </c>
      <c r="AE894">
        <v>-6.6057000000000103</v>
      </c>
      <c r="AF894">
        <v>6.5595656073684596</v>
      </c>
      <c r="AG894">
        <v>-1.1096032086299901</v>
      </c>
      <c r="AH894">
        <v>21.965709163439101</v>
      </c>
      <c r="AI894">
        <v>92.771129212774895</v>
      </c>
      <c r="AJ894">
        <v>73.372926463054895</v>
      </c>
      <c r="AK894">
        <v>22.951067497847799</v>
      </c>
      <c r="AL894">
        <v>79.587110851180697</v>
      </c>
      <c r="AM894">
        <v>80.723962195581294</v>
      </c>
      <c r="AN894">
        <v>0.999999983206739</v>
      </c>
    </row>
    <row r="895" spans="1:40" x14ac:dyDescent="0.25">
      <c r="A895" t="str">
        <f>"20190312172629552"</f>
        <v>20190312172629552</v>
      </c>
      <c r="B895" t="str">
        <f>"1552382789539491"</f>
        <v>1552382789539491</v>
      </c>
      <c r="C895" t="s">
        <v>40</v>
      </c>
      <c r="D895">
        <v>3.3859910000000002</v>
      </c>
      <c r="E895">
        <v>0.54537979999999997</v>
      </c>
      <c r="F895" t="s">
        <v>41</v>
      </c>
      <c r="G895">
        <v>-213.00899999999999</v>
      </c>
      <c r="H895" s="1">
        <v>-4.5728480000000001E-6</v>
      </c>
      <c r="I895">
        <v>361.31909999999999</v>
      </c>
      <c r="J895">
        <v>-235.54900000000001</v>
      </c>
      <c r="K895">
        <v>1.1095969999999999</v>
      </c>
      <c r="L895">
        <v>368.19529999999997</v>
      </c>
      <c r="M895">
        <v>0.99989470000000003</v>
      </c>
      <c r="N895">
        <v>0</v>
      </c>
      <c r="O895">
        <v>-2.0728209999999999E-3</v>
      </c>
      <c r="P895">
        <v>0.97217149999999997</v>
      </c>
      <c r="Q895">
        <v>0.1671242</v>
      </c>
      <c r="R895">
        <v>-0.16417039999999999</v>
      </c>
      <c r="S895">
        <v>2.9619450000000001</v>
      </c>
      <c r="T895">
        <v>-0.14373420000000001</v>
      </c>
      <c r="U895">
        <v>-0.89086909999999897</v>
      </c>
      <c r="V895">
        <v>0.162418799999999</v>
      </c>
      <c r="W895">
        <v>0.180837</v>
      </c>
      <c r="X895">
        <v>0.97000929999999996</v>
      </c>
      <c r="Y895">
        <v>0.28573389999999999</v>
      </c>
      <c r="Z895">
        <v>-6.6807269999999896E-3</v>
      </c>
      <c r="AA895">
        <v>0.95828570000000002</v>
      </c>
      <c r="AB895">
        <v>32</v>
      </c>
      <c r="AC895">
        <v>22.5399999999999</v>
      </c>
      <c r="AD895">
        <v>-1.109601572848</v>
      </c>
      <c r="AE895">
        <v>-6.8761999999999803</v>
      </c>
      <c r="AF895">
        <v>6.8143511028408099</v>
      </c>
      <c r="AG895">
        <v>-1.109601572848</v>
      </c>
      <c r="AH895">
        <v>22.504312456326399</v>
      </c>
      <c r="AI895">
        <v>92.701795038615003</v>
      </c>
      <c r="AJ895">
        <v>73.153581981275195</v>
      </c>
      <c r="AK895">
        <v>23.539555555176101</v>
      </c>
      <c r="AL895">
        <v>79.581483152806399</v>
      </c>
      <c r="AM895">
        <v>80.494546560912099</v>
      </c>
      <c r="AN895">
        <v>0.99999996462446405</v>
      </c>
    </row>
    <row r="896" spans="1:40" x14ac:dyDescent="0.25">
      <c r="A896" t="str">
        <f>"20190312172629573"</f>
        <v>20190312172629573</v>
      </c>
      <c r="B896" t="str">
        <f>"1552382789569748"</f>
        <v>1552382789569748</v>
      </c>
      <c r="C896" t="s">
        <v>40</v>
      </c>
      <c r="D896">
        <v>3.3909609999999999</v>
      </c>
      <c r="E896">
        <v>0.54193809999999998</v>
      </c>
      <c r="F896" t="s">
        <v>41</v>
      </c>
      <c r="G896">
        <v>-212.7413</v>
      </c>
      <c r="H896" s="1">
        <v>-4.6888099999999998E-6</v>
      </c>
      <c r="I896">
        <v>361.22570000000002</v>
      </c>
      <c r="J896">
        <v>-235.23220000000001</v>
      </c>
      <c r="K896">
        <v>1.109604</v>
      </c>
      <c r="L896">
        <v>368.19389999999999</v>
      </c>
      <c r="M896">
        <v>0.99989309999999998</v>
      </c>
      <c r="N896">
        <v>0</v>
      </c>
      <c r="O896">
        <v>-2.7307970000000001E-3</v>
      </c>
      <c r="P896">
        <v>0.97137709999999999</v>
      </c>
      <c r="Q896">
        <v>0.16781019999999999</v>
      </c>
      <c r="R896">
        <v>-0.16812669999999999</v>
      </c>
      <c r="S896">
        <v>2.9579770000000001</v>
      </c>
      <c r="T896">
        <v>-0.14390620000000001</v>
      </c>
      <c r="U896">
        <v>-0.90390009999999998</v>
      </c>
      <c r="V896">
        <v>0.16573889999999999</v>
      </c>
      <c r="W896">
        <v>0.1815165</v>
      </c>
      <c r="X896">
        <v>0.96932059999999998</v>
      </c>
      <c r="Y896">
        <v>0.2893174</v>
      </c>
      <c r="Z896">
        <v>-6.747014E-3</v>
      </c>
      <c r="AA896">
        <v>0.95720939999999999</v>
      </c>
      <c r="AB896">
        <v>32</v>
      </c>
      <c r="AC896">
        <v>22.4909</v>
      </c>
      <c r="AD896">
        <v>-1.1096086888100001</v>
      </c>
      <c r="AE896">
        <v>-6.9681999999999604</v>
      </c>
      <c r="AF896">
        <v>6.8914447256756199</v>
      </c>
      <c r="AG896">
        <v>-1.1096086888100001</v>
      </c>
      <c r="AH896">
        <v>22.459966600097399</v>
      </c>
      <c r="AI896">
        <v>92.704102175600795</v>
      </c>
      <c r="AJ896">
        <v>72.942291577056096</v>
      </c>
      <c r="AK896">
        <v>23.5196373595941</v>
      </c>
      <c r="AL896">
        <v>79.541896144421202</v>
      </c>
      <c r="AM896">
        <v>80.297134465061404</v>
      </c>
      <c r="AN896">
        <v>1.0000000241649001</v>
      </c>
    </row>
    <row r="897" spans="1:40" x14ac:dyDescent="0.25">
      <c r="A897" t="str">
        <f>"20190312172629596"</f>
        <v>20190312172629596</v>
      </c>
      <c r="B897" t="str">
        <f>"1552382789589268"</f>
        <v>1552382789589268</v>
      </c>
      <c r="C897" t="s">
        <v>40</v>
      </c>
      <c r="D897">
        <v>3.3873489999999999</v>
      </c>
      <c r="E897">
        <v>0.54156800000000005</v>
      </c>
      <c r="F897" t="s">
        <v>41</v>
      </c>
      <c r="G897">
        <v>-215.08170000000001</v>
      </c>
      <c r="H897" s="1">
        <v>-3.6526E-6</v>
      </c>
      <c r="I897">
        <v>362.12670000000003</v>
      </c>
      <c r="J897">
        <v>-234.90979999999999</v>
      </c>
      <c r="K897">
        <v>1.10961</v>
      </c>
      <c r="L897">
        <v>368.19229999999999</v>
      </c>
      <c r="M897">
        <v>0.99989070000000002</v>
      </c>
      <c r="N897">
        <v>0</v>
      </c>
      <c r="O897">
        <v>-3.4112449999999998E-3</v>
      </c>
      <c r="P897">
        <v>0.97065380000000001</v>
      </c>
      <c r="Q897">
        <v>0.1682237</v>
      </c>
      <c r="R897">
        <v>-0.17184859999999999</v>
      </c>
      <c r="S897">
        <v>2.9622190000000002</v>
      </c>
      <c r="T897">
        <v>-0.1631175</v>
      </c>
      <c r="U897">
        <v>-0.89190669999999905</v>
      </c>
      <c r="V897">
        <v>0.16880479999999901</v>
      </c>
      <c r="W897">
        <v>0.1819221</v>
      </c>
      <c r="X897">
        <v>0.96871529999999995</v>
      </c>
      <c r="Y897">
        <v>0.28464990000000001</v>
      </c>
      <c r="Z897">
        <v>-7.4781889999999997E-3</v>
      </c>
      <c r="AA897">
        <v>0.95860239999999997</v>
      </c>
      <c r="AB897">
        <v>32</v>
      </c>
      <c r="AC897">
        <v>19.8280999999999</v>
      </c>
      <c r="AD897">
        <v>-1.1096136526</v>
      </c>
      <c r="AE897">
        <v>-6.0655999999999599</v>
      </c>
      <c r="AF897">
        <v>5.9807918778687297</v>
      </c>
      <c r="AG897">
        <v>-1.1096136526</v>
      </c>
      <c r="AH897">
        <v>19.791999245281801</v>
      </c>
      <c r="AI897">
        <v>93.071945044752994</v>
      </c>
      <c r="AJ897">
        <v>73.1861122548152</v>
      </c>
      <c r="AK897">
        <v>20.705659807638401</v>
      </c>
      <c r="AL897">
        <v>79.518263477684599</v>
      </c>
      <c r="AM897">
        <v>80.1151011794217</v>
      </c>
      <c r="AN897">
        <v>1.00000002171276</v>
      </c>
    </row>
    <row r="898" spans="1:40" x14ac:dyDescent="0.25">
      <c r="A898" t="str">
        <f>"20190312172629618"</f>
        <v>20190312172629618</v>
      </c>
      <c r="B898" t="str">
        <f>"1552382789609767"</f>
        <v>1552382789609767</v>
      </c>
      <c r="C898" t="s">
        <v>40</v>
      </c>
      <c r="D898">
        <v>3.4010919999999998</v>
      </c>
      <c r="E898">
        <v>0.54139300000000001</v>
      </c>
      <c r="F898" t="s">
        <v>41</v>
      </c>
      <c r="G898">
        <v>-214.8075</v>
      </c>
      <c r="H898" s="1">
        <v>-3.7590240000000002E-6</v>
      </c>
      <c r="I898">
        <v>362.07749999999999</v>
      </c>
      <c r="J898">
        <v>-234.59049999999999</v>
      </c>
      <c r="K898">
        <v>1.1096060000000001</v>
      </c>
      <c r="L898">
        <v>368.19049999999999</v>
      </c>
      <c r="M898">
        <v>0.9998882</v>
      </c>
      <c r="N898">
        <v>0</v>
      </c>
      <c r="O898">
        <v>-4.1085189999999997E-3</v>
      </c>
      <c r="P898">
        <v>0.970109</v>
      </c>
      <c r="Q898">
        <v>0.1695142</v>
      </c>
      <c r="R898">
        <v>-0.17364859999999999</v>
      </c>
      <c r="S898">
        <v>2.959641</v>
      </c>
      <c r="T898">
        <v>-0.1633667</v>
      </c>
      <c r="U898">
        <v>-0.90026859999999997</v>
      </c>
      <c r="V898">
        <v>0.16993699999999901</v>
      </c>
      <c r="W898">
        <v>0.18320529999999999</v>
      </c>
      <c r="X898">
        <v>0.96827540000000001</v>
      </c>
      <c r="Y898">
        <v>0.28668900000000003</v>
      </c>
      <c r="Z898">
        <v>-7.510231E-3</v>
      </c>
      <c r="AA898">
        <v>0.95799429999999997</v>
      </c>
      <c r="AB898">
        <v>32</v>
      </c>
      <c r="AC898">
        <v>19.782999999999902</v>
      </c>
      <c r="AD898">
        <v>-1.1096097590239999</v>
      </c>
      <c r="AE898">
        <v>-6.1130000000000004</v>
      </c>
      <c r="AF898">
        <v>6.0143891773724496</v>
      </c>
      <c r="AG898">
        <v>-1.1096097590239999</v>
      </c>
      <c r="AH898">
        <v>19.7512298403046</v>
      </c>
      <c r="AI898">
        <v>93.076279593142004</v>
      </c>
      <c r="AJ898">
        <v>73.064136658189994</v>
      </c>
      <c r="AK898">
        <v>20.676440486668799</v>
      </c>
      <c r="AL898">
        <v>79.443484655357807</v>
      </c>
      <c r="AM898">
        <v>80.045692311112205</v>
      </c>
      <c r="AN898">
        <v>1.00000000808112</v>
      </c>
    </row>
    <row r="899" spans="1:40" x14ac:dyDescent="0.25">
      <c r="A899" t="str">
        <f>"20190312172629640"</f>
        <v>20190312172629640</v>
      </c>
      <c r="B899" t="str">
        <f>"1552382789629284"</f>
        <v>1552382789629284</v>
      </c>
      <c r="C899" t="s">
        <v>40</v>
      </c>
      <c r="D899">
        <v>3.445287</v>
      </c>
      <c r="E899">
        <v>0.54076250000000003</v>
      </c>
      <c r="F899" t="s">
        <v>41</v>
      </c>
      <c r="G899">
        <v>-214.31</v>
      </c>
      <c r="H899" s="1">
        <v>-3.9526019999999997E-6</v>
      </c>
      <c r="I899">
        <v>361.98630000000003</v>
      </c>
      <c r="J899">
        <v>-234.27160000000001</v>
      </c>
      <c r="K899">
        <v>1.109591</v>
      </c>
      <c r="L899">
        <v>368.1884</v>
      </c>
      <c r="M899">
        <v>0.99988469999999996</v>
      </c>
      <c r="N899">
        <v>0</v>
      </c>
      <c r="O899">
        <v>-4.8446390000000004E-3</v>
      </c>
      <c r="P899">
        <v>0.96989939999999997</v>
      </c>
      <c r="Q899">
        <v>0.1705555</v>
      </c>
      <c r="R899">
        <v>-0.1737987</v>
      </c>
      <c r="S899">
        <v>2.9587249999999998</v>
      </c>
      <c r="T899">
        <v>-0.16188</v>
      </c>
      <c r="U899">
        <v>-0.90512079999999995</v>
      </c>
      <c r="V899">
        <v>0.16938610000000001</v>
      </c>
      <c r="W899">
        <v>0.18424070000000001</v>
      </c>
      <c r="X899">
        <v>0.96817549999999997</v>
      </c>
      <c r="Y899">
        <v>0.2875105</v>
      </c>
      <c r="Z899">
        <v>-7.425063E-3</v>
      </c>
      <c r="AA899">
        <v>0.95774870000000001</v>
      </c>
      <c r="AB899">
        <v>32</v>
      </c>
      <c r="AC899">
        <v>19.961600000000001</v>
      </c>
      <c r="AD899">
        <v>-1.1095949526019999</v>
      </c>
      <c r="AE899">
        <v>-6.2020999999999704</v>
      </c>
      <c r="AF899">
        <v>6.08815502227871</v>
      </c>
      <c r="AG899">
        <v>-1.1095949526019999</v>
      </c>
      <c r="AH899">
        <v>19.9352415203359</v>
      </c>
      <c r="AI899">
        <v>93.047142357343702</v>
      </c>
      <c r="AJ899">
        <v>73.017506747442695</v>
      </c>
      <c r="AK899">
        <v>20.873684078481698</v>
      </c>
      <c r="AL899">
        <v>79.383133676227501</v>
      </c>
      <c r="AM899">
        <v>80.076316190760906</v>
      </c>
      <c r="AN899">
        <v>1.00000004260497</v>
      </c>
    </row>
    <row r="900" spans="1:40" x14ac:dyDescent="0.25">
      <c r="A900" t="str">
        <f>"20190312172629663"</f>
        <v>20190312172629663</v>
      </c>
      <c r="B900" t="str">
        <f>"1552382789659540"</f>
        <v>1552382789659540</v>
      </c>
      <c r="C900" t="s">
        <v>40</v>
      </c>
      <c r="D900">
        <v>3.4402149999999998</v>
      </c>
      <c r="E900">
        <v>0.54031340000000005</v>
      </c>
      <c r="F900" t="s">
        <v>41</v>
      </c>
      <c r="G900">
        <v>-213.79560000000001</v>
      </c>
      <c r="H900" s="1">
        <v>-4.1343829999999999E-6</v>
      </c>
      <c r="I900">
        <v>361.96100000000001</v>
      </c>
      <c r="J900">
        <v>-233.94489999999999</v>
      </c>
      <c r="K900">
        <v>1.1095469999999901</v>
      </c>
      <c r="L900">
        <v>368.1859</v>
      </c>
      <c r="M900">
        <v>0.99988049999999995</v>
      </c>
      <c r="N900">
        <v>0</v>
      </c>
      <c r="O900">
        <v>-5.6589120000000003E-3</v>
      </c>
      <c r="P900">
        <v>0.96997909999999998</v>
      </c>
      <c r="Q900">
        <v>0.1707012</v>
      </c>
      <c r="R900">
        <v>-0.17321</v>
      </c>
      <c r="S900">
        <v>2.9600219999999999</v>
      </c>
      <c r="T900">
        <v>-0.1604035</v>
      </c>
      <c r="U900">
        <v>-0.90023799999999898</v>
      </c>
      <c r="V900">
        <v>0.1680249</v>
      </c>
      <c r="W900">
        <v>0.18437890000000001</v>
      </c>
      <c r="X900">
        <v>0.96838639999999998</v>
      </c>
      <c r="Y900">
        <v>0.2851783</v>
      </c>
      <c r="Z900">
        <v>-7.2512200000000001E-3</v>
      </c>
      <c r="AA900">
        <v>0.95844700000000005</v>
      </c>
      <c r="AB900">
        <v>32</v>
      </c>
      <c r="AC900">
        <v>20.149299999999901</v>
      </c>
      <c r="AD900">
        <v>-1.10955113438299</v>
      </c>
      <c r="AE900">
        <v>-6.2248999999999901</v>
      </c>
      <c r="AF900">
        <v>6.0938967553379104</v>
      </c>
      <c r="AG900">
        <v>-1.10955113438299</v>
      </c>
      <c r="AH900">
        <v>20.1284890471177</v>
      </c>
      <c r="AI900">
        <v>93.020042966113095</v>
      </c>
      <c r="AJ900">
        <v>73.156320441266601</v>
      </c>
      <c r="AK900">
        <v>21.0599798837621</v>
      </c>
      <c r="AL900">
        <v>79.375077812440693</v>
      </c>
      <c r="AM900">
        <v>80.156599226867499</v>
      </c>
      <c r="AN900">
        <v>1.0000000827450799</v>
      </c>
    </row>
    <row r="901" spans="1:40" x14ac:dyDescent="0.25">
      <c r="A901" t="str">
        <f>"20190312172629685"</f>
        <v>20190312172629685</v>
      </c>
      <c r="B901" t="str">
        <f>"1552382789680037"</f>
        <v>1552382789680037</v>
      </c>
      <c r="C901" t="s">
        <v>40</v>
      </c>
      <c r="D901">
        <v>3.4544739999999998</v>
      </c>
      <c r="E901">
        <v>0.5401454</v>
      </c>
      <c r="F901" t="s">
        <v>41</v>
      </c>
      <c r="G901">
        <v>-213.82849999999999</v>
      </c>
      <c r="H901" s="1">
        <v>-4.0839510000000003E-6</v>
      </c>
      <c r="I901">
        <v>362.10849999999999</v>
      </c>
      <c r="J901">
        <v>-233.62450000000001</v>
      </c>
      <c r="K901">
        <v>1.1094919999999999</v>
      </c>
      <c r="L901">
        <v>368.18329999999997</v>
      </c>
      <c r="M901">
        <v>0.99987510000000002</v>
      </c>
      <c r="N901">
        <v>0</v>
      </c>
      <c r="O901">
        <v>-6.5355919999999998E-3</v>
      </c>
      <c r="P901">
        <v>0.97017469999999995</v>
      </c>
      <c r="Q901">
        <v>0.17016789999999901</v>
      </c>
      <c r="R901">
        <v>-0.17263899999999999</v>
      </c>
      <c r="S901">
        <v>2.9618069999999999</v>
      </c>
      <c r="T901">
        <v>-0.16336249999999999</v>
      </c>
      <c r="U901">
        <v>-0.89480590000000004</v>
      </c>
      <c r="V901">
        <v>0.16662560000000001</v>
      </c>
      <c r="W901">
        <v>0.18383289999999999</v>
      </c>
      <c r="X901">
        <v>0.96873180000000003</v>
      </c>
      <c r="Y901">
        <v>0.28255720000000001</v>
      </c>
      <c r="Z901">
        <v>-7.2645549999999998E-3</v>
      </c>
      <c r="AA901">
        <v>0.95922289999999999</v>
      </c>
      <c r="AB901">
        <v>32</v>
      </c>
      <c r="AC901">
        <v>19.795999999999999</v>
      </c>
      <c r="AD901">
        <v>-1.109496083951</v>
      </c>
      <c r="AE901">
        <v>-6.0747999999999802</v>
      </c>
      <c r="AF901">
        <v>5.9282590485301796</v>
      </c>
      <c r="AG901">
        <v>-1.109496083951</v>
      </c>
      <c r="AH901">
        <v>19.778502321116601</v>
      </c>
      <c r="AI901">
        <v>93.075786986806193</v>
      </c>
      <c r="AJ901">
        <v>73.314820309337193</v>
      </c>
      <c r="AK901">
        <v>20.677630206897401</v>
      </c>
      <c r="AL901">
        <v>79.406904069664094</v>
      </c>
      <c r="AM901">
        <v>80.240404437144406</v>
      </c>
      <c r="AN901">
        <v>0.999999963014504</v>
      </c>
    </row>
    <row r="902" spans="1:40" x14ac:dyDescent="0.25">
      <c r="A902" t="str">
        <f>"20190312172629707"</f>
        <v>20190312172629707</v>
      </c>
      <c r="B902" t="str">
        <f>"1552382789699555"</f>
        <v>1552382789699555</v>
      </c>
      <c r="C902" t="s">
        <v>40</v>
      </c>
      <c r="D902">
        <v>3.4716809999999998</v>
      </c>
      <c r="E902">
        <v>0.53994409999999904</v>
      </c>
      <c r="F902" t="s">
        <v>41</v>
      </c>
      <c r="G902">
        <v>-213.91640000000001</v>
      </c>
      <c r="H902" s="1">
        <v>-4.0139319999999998E-6</v>
      </c>
      <c r="I902">
        <v>362.25920000000002</v>
      </c>
      <c r="J902">
        <v>-233.30779999999999</v>
      </c>
      <c r="K902">
        <v>1.1094329999999999</v>
      </c>
      <c r="L902">
        <v>368.18020000000001</v>
      </c>
      <c r="M902">
        <v>0.99986830000000004</v>
      </c>
      <c r="N902">
        <v>0</v>
      </c>
      <c r="O902">
        <v>-7.496834E-3</v>
      </c>
      <c r="P902">
        <v>0.97023789999999999</v>
      </c>
      <c r="Q902">
        <v>0.16951569999999999</v>
      </c>
      <c r="R902">
        <v>-0.1729253</v>
      </c>
      <c r="S902">
        <v>2.963028</v>
      </c>
      <c r="T902">
        <v>-0.16680739999999999</v>
      </c>
      <c r="U902">
        <v>-0.89065550000000004</v>
      </c>
      <c r="V902">
        <v>0.16600780000000001</v>
      </c>
      <c r="W902">
        <v>0.1831593</v>
      </c>
      <c r="X902">
        <v>0.96896550000000004</v>
      </c>
      <c r="Y902">
        <v>0.28028160000000002</v>
      </c>
      <c r="Z902">
        <v>-7.3005580000000004E-3</v>
      </c>
      <c r="AA902">
        <v>0.95989009999999997</v>
      </c>
      <c r="AB902">
        <v>32</v>
      </c>
      <c r="AC902">
        <v>19.391399999999901</v>
      </c>
      <c r="AD902">
        <v>-1.10943701393199</v>
      </c>
      <c r="AE902">
        <v>-5.9209999999999896</v>
      </c>
      <c r="AF902">
        <v>5.7582034622391003</v>
      </c>
      <c r="AG902">
        <v>-1.10943701393199</v>
      </c>
      <c r="AH902">
        <v>19.3772299094584</v>
      </c>
      <c r="AI902">
        <v>93.141395253388893</v>
      </c>
      <c r="AJ902">
        <v>73.449977787938806</v>
      </c>
      <c r="AK902">
        <v>20.2451178451605</v>
      </c>
      <c r="AL902">
        <v>79.446165854790806</v>
      </c>
      <c r="AM902">
        <v>80.278198649159805</v>
      </c>
      <c r="AN902">
        <v>1.0000000295137801</v>
      </c>
    </row>
    <row r="903" spans="1:40" x14ac:dyDescent="0.25">
      <c r="A903" t="str">
        <f>"20190312172629729"</f>
        <v>20190312172629729</v>
      </c>
      <c r="B903" t="str">
        <f>"1552382789720052"</f>
        <v>1552382789720052</v>
      </c>
      <c r="C903" t="s">
        <v>40</v>
      </c>
      <c r="D903">
        <v>3.4700329999999999</v>
      </c>
      <c r="E903">
        <v>0.539911699999999</v>
      </c>
      <c r="F903" t="s">
        <v>41</v>
      </c>
      <c r="G903">
        <v>-214.04769999999999</v>
      </c>
      <c r="H903" s="1">
        <v>-3.9317E-6</v>
      </c>
      <c r="I903">
        <v>362.40030000000002</v>
      </c>
      <c r="J903">
        <v>-232.9984</v>
      </c>
      <c r="K903">
        <v>1.1093679999999999</v>
      </c>
      <c r="L903">
        <v>368.17680000000001</v>
      </c>
      <c r="M903">
        <v>0.99985990000000002</v>
      </c>
      <c r="N903">
        <v>0</v>
      </c>
      <c r="O903">
        <v>-8.5432579999999998E-3</v>
      </c>
      <c r="P903">
        <v>0.96992999999999996</v>
      </c>
      <c r="Q903">
        <v>0.16971259999999999</v>
      </c>
      <c r="R903">
        <v>-0.174453</v>
      </c>
      <c r="S903">
        <v>2.9633639999999999</v>
      </c>
      <c r="T903">
        <v>-0.1706976</v>
      </c>
      <c r="U903">
        <v>-0.88928220000000002</v>
      </c>
      <c r="V903">
        <v>0.16655699999999901</v>
      </c>
      <c r="W903">
        <v>0.18332380000000001</v>
      </c>
      <c r="X903">
        <v>0.96884009999999998</v>
      </c>
      <c r="Y903">
        <v>0.27882400000000002</v>
      </c>
      <c r="Z903">
        <v>-7.3702860000000002E-3</v>
      </c>
      <c r="AA903">
        <v>0.96031390000000005</v>
      </c>
      <c r="AB903">
        <v>32</v>
      </c>
      <c r="AC903">
        <v>18.950700000000001</v>
      </c>
      <c r="AD903">
        <v>-1.1093719316999999</v>
      </c>
      <c r="AE903">
        <v>-5.7764999999999898</v>
      </c>
      <c r="AF903">
        <v>5.5968223627965603</v>
      </c>
      <c r="AG903">
        <v>-1.1093719316999999</v>
      </c>
      <c r="AH903">
        <v>18.939975679442799</v>
      </c>
      <c r="AI903">
        <v>93.215030743142293</v>
      </c>
      <c r="AJ903">
        <v>73.537424277012903</v>
      </c>
      <c r="AK903">
        <v>19.780743296990401</v>
      </c>
      <c r="AL903">
        <v>79.436577990450004</v>
      </c>
      <c r="AM903">
        <v>80.245414817707001</v>
      </c>
      <c r="AN903">
        <v>0.99999999463172395</v>
      </c>
    </row>
    <row r="904" spans="1:40" x14ac:dyDescent="0.25">
      <c r="A904" t="str">
        <f>"20190312172629752"</f>
        <v>20190312172629752</v>
      </c>
      <c r="B904" t="str">
        <f>"1552382789749961"</f>
        <v>1552382789749961</v>
      </c>
      <c r="C904" t="s">
        <v>40</v>
      </c>
      <c r="D904">
        <v>3.4555950000000002</v>
      </c>
      <c r="E904">
        <v>0.53982189999999997</v>
      </c>
      <c r="F904" t="s">
        <v>41</v>
      </c>
      <c r="G904">
        <v>-213.84209999999999</v>
      </c>
      <c r="H904" s="1">
        <v>-4.0019389999999998E-6</v>
      </c>
      <c r="I904">
        <v>362.39929999999998</v>
      </c>
      <c r="J904">
        <v>-232.6705</v>
      </c>
      <c r="K904">
        <v>1.1092959999999901</v>
      </c>
      <c r="L904">
        <v>368.17270000000002</v>
      </c>
      <c r="M904">
        <v>0.99984870000000003</v>
      </c>
      <c r="N904">
        <v>0</v>
      </c>
      <c r="O904">
        <v>-9.7630170000000006E-3</v>
      </c>
      <c r="P904">
        <v>0.96912779999999998</v>
      </c>
      <c r="Q904">
        <v>0.17113889999999901</v>
      </c>
      <c r="R904">
        <v>-0.17749010000000001</v>
      </c>
      <c r="S904">
        <v>2.962326</v>
      </c>
      <c r="T904">
        <v>-0.17155279999999901</v>
      </c>
      <c r="U904">
        <v>-0.89343259999999902</v>
      </c>
      <c r="V904">
        <v>0.16845789999999999</v>
      </c>
      <c r="W904">
        <v>0.18470410000000001</v>
      </c>
      <c r="X904">
        <v>0.96824909999999997</v>
      </c>
      <c r="Y904">
        <v>0.27897640000000001</v>
      </c>
      <c r="Z904">
        <v>-7.3434829999999996E-3</v>
      </c>
      <c r="AA904">
        <v>0.96026990000000001</v>
      </c>
      <c r="AB904">
        <v>32</v>
      </c>
      <c r="AC904">
        <v>18.828399999999998</v>
      </c>
      <c r="AD904">
        <v>-1.10930000193899</v>
      </c>
      <c r="AE904">
        <v>-5.7734000000000298</v>
      </c>
      <c r="AF904">
        <v>5.5716060776931604</v>
      </c>
      <c r="AG904">
        <v>-1.10930000193899</v>
      </c>
      <c r="AH904">
        <v>18.824148596291199</v>
      </c>
      <c r="AI904">
        <v>93.234141846584194</v>
      </c>
      <c r="AJ904">
        <v>73.512203139123699</v>
      </c>
      <c r="AK904">
        <v>19.662703556595201</v>
      </c>
      <c r="AL904">
        <v>79.356118660021806</v>
      </c>
      <c r="AM904">
        <v>80.130359030866302</v>
      </c>
      <c r="AN904">
        <v>0.99999999414001495</v>
      </c>
    </row>
    <row r="905" spans="1:40" x14ac:dyDescent="0.25">
      <c r="A905" t="str">
        <f>"20190312172629775"</f>
        <v>20190312172629775</v>
      </c>
      <c r="B905" t="str">
        <f>"1552382789769480"</f>
        <v>1552382789769480</v>
      </c>
      <c r="C905" t="s">
        <v>40</v>
      </c>
      <c r="D905">
        <v>3.4767480000000002</v>
      </c>
      <c r="E905">
        <v>0.53980530000000004</v>
      </c>
      <c r="F905" t="s">
        <v>41</v>
      </c>
      <c r="G905">
        <v>-213.38900000000001</v>
      </c>
      <c r="H905" s="1">
        <v>-4.1822179999999996E-6</v>
      </c>
      <c r="I905">
        <v>362.30119999999999</v>
      </c>
      <c r="J905">
        <v>-232.34700000000001</v>
      </c>
      <c r="K905">
        <v>1.1092299999999999</v>
      </c>
      <c r="L905">
        <v>368.16809999999998</v>
      </c>
      <c r="M905">
        <v>0.99983520000000004</v>
      </c>
      <c r="N905">
        <v>0</v>
      </c>
      <c r="O905">
        <v>-1.1054909999999999E-2</v>
      </c>
      <c r="P905">
        <v>0.968329</v>
      </c>
      <c r="Q905">
        <v>0.17189219999999999</v>
      </c>
      <c r="R905">
        <v>-0.1810861</v>
      </c>
      <c r="S905">
        <v>2.9605410000000001</v>
      </c>
      <c r="T905">
        <v>-0.1703249</v>
      </c>
      <c r="U905">
        <v>-0.90151979999999998</v>
      </c>
      <c r="V905">
        <v>0.17084269999999999</v>
      </c>
      <c r="W905">
        <v>0.185415</v>
      </c>
      <c r="X905">
        <v>0.96769519999999998</v>
      </c>
      <c r="Y905">
        <v>0.28030379999999999</v>
      </c>
      <c r="Z905">
        <v>-7.2571279999999998E-3</v>
      </c>
      <c r="AA905">
        <v>0.95988390000000001</v>
      </c>
      <c r="AB905">
        <v>32</v>
      </c>
      <c r="AC905">
        <v>18.957999999999998</v>
      </c>
      <c r="AD905">
        <v>-1.1092341822180001</v>
      </c>
      <c r="AE905">
        <v>-5.8668999999999798</v>
      </c>
      <c r="AF905">
        <v>5.6393222073872202</v>
      </c>
      <c r="AG905">
        <v>-1.1092341822180001</v>
      </c>
      <c r="AH905">
        <v>18.962463130823998</v>
      </c>
      <c r="AI905">
        <v>93.209177645580198</v>
      </c>
      <c r="AJ905">
        <v>73.437839583033906</v>
      </c>
      <c r="AK905">
        <v>19.814322179110501</v>
      </c>
      <c r="AL905">
        <v>79.314670975220906</v>
      </c>
      <c r="AM905">
        <v>79.987830933474399</v>
      </c>
      <c r="AN905">
        <v>0.99999997523566397</v>
      </c>
    </row>
    <row r="906" spans="1:40" x14ac:dyDescent="0.25">
      <c r="A906" t="str">
        <f>"20190312172629797"</f>
        <v>20190312172629797</v>
      </c>
      <c r="B906" t="str">
        <f>"1552382789789977"</f>
        <v>1552382789789977</v>
      </c>
      <c r="C906" t="s">
        <v>40</v>
      </c>
      <c r="D906">
        <v>3.5527510000000002</v>
      </c>
      <c r="E906">
        <v>0.53981789999999996</v>
      </c>
      <c r="F906" t="s">
        <v>41</v>
      </c>
      <c r="G906">
        <v>-212.99529999999999</v>
      </c>
      <c r="H906" s="1">
        <v>-4.3422060000000003E-6</v>
      </c>
      <c r="I906">
        <v>362.20339999999999</v>
      </c>
      <c r="J906">
        <v>-232.02809999999999</v>
      </c>
      <c r="K906">
        <v>1.109165</v>
      </c>
      <c r="L906">
        <v>368.16320000000002</v>
      </c>
      <c r="M906">
        <v>0.99981949999999997</v>
      </c>
      <c r="N906">
        <v>0</v>
      </c>
      <c r="O906">
        <v>-1.2400359999999999E-2</v>
      </c>
      <c r="P906">
        <v>0.96778450000000005</v>
      </c>
      <c r="Q906">
        <v>0.1716135</v>
      </c>
      <c r="R906">
        <v>-0.18423519999999999</v>
      </c>
      <c r="S906">
        <v>2.957748</v>
      </c>
      <c r="T906">
        <v>-0.1695371</v>
      </c>
      <c r="U906">
        <v>-0.91165160000000001</v>
      </c>
      <c r="V906">
        <v>0.1727175</v>
      </c>
      <c r="W906">
        <v>0.1851044</v>
      </c>
      <c r="X906">
        <v>0.96742189999999995</v>
      </c>
      <c r="Y906">
        <v>0.28227249999999998</v>
      </c>
      <c r="Z906">
        <v>-7.20643699999999E-3</v>
      </c>
      <c r="AA906">
        <v>0.95930720000000003</v>
      </c>
      <c r="AB906">
        <v>32</v>
      </c>
      <c r="AC906">
        <v>19.032800000000002</v>
      </c>
      <c r="AD906">
        <v>-1.1091693422059901</v>
      </c>
      <c r="AE906">
        <v>-5.9598000000000297</v>
      </c>
      <c r="AF906">
        <v>5.70565656198543</v>
      </c>
      <c r="AG906">
        <v>-1.1091693422059901</v>
      </c>
      <c r="AH906">
        <v>19.0463390220585</v>
      </c>
      <c r="AI906">
        <v>93.192989801524703</v>
      </c>
      <c r="AJ906">
        <v>73.323513793994394</v>
      </c>
      <c r="AK906">
        <v>19.9135080680478</v>
      </c>
      <c r="AL906">
        <v>79.332781369442202</v>
      </c>
      <c r="AM906">
        <v>79.877418152115396</v>
      </c>
      <c r="AN906">
        <v>1.0000000531526001</v>
      </c>
    </row>
    <row r="907" spans="1:40" x14ac:dyDescent="0.25">
      <c r="A907" t="str">
        <f>"20190312172629819"</f>
        <v>20190312172629819</v>
      </c>
      <c r="B907" t="str">
        <f>"1552382789809497"</f>
        <v>1552382789809497</v>
      </c>
      <c r="C907" t="s">
        <v>40</v>
      </c>
      <c r="D907">
        <v>3.483635</v>
      </c>
      <c r="E907">
        <v>0.53972489999999995</v>
      </c>
      <c r="F907" t="s">
        <v>41</v>
      </c>
      <c r="G907">
        <v>-212.90610000000001</v>
      </c>
      <c r="H907" s="1">
        <v>-4.3731199999999901E-6</v>
      </c>
      <c r="I907">
        <v>362.2013</v>
      </c>
      <c r="J907">
        <v>-231.714</v>
      </c>
      <c r="K907">
        <v>1.1091120000000001</v>
      </c>
      <c r="L907">
        <v>368.15789999999998</v>
      </c>
      <c r="M907">
        <v>0.9998013</v>
      </c>
      <c r="N907">
        <v>0</v>
      </c>
      <c r="O907">
        <v>-1.3775890000000001E-2</v>
      </c>
      <c r="P907">
        <v>0.96763719999999998</v>
      </c>
      <c r="Q907">
        <v>0.1703797</v>
      </c>
      <c r="R907">
        <v>-0.1861421</v>
      </c>
      <c r="S907">
        <v>2.9548649999999999</v>
      </c>
      <c r="T907">
        <v>-0.17139599999999999</v>
      </c>
      <c r="U907">
        <v>-0.92126459999999999</v>
      </c>
      <c r="V907">
        <v>0.17330719999999999</v>
      </c>
      <c r="W907">
        <v>0.18385299999999999</v>
      </c>
      <c r="X907">
        <v>0.96755500000000005</v>
      </c>
      <c r="Y907">
        <v>0.2840531</v>
      </c>
      <c r="Z907">
        <v>-7.2613E-3</v>
      </c>
      <c r="AA907">
        <v>0.95878110000000005</v>
      </c>
      <c r="AB907">
        <v>32</v>
      </c>
      <c r="AC907">
        <v>18.8079</v>
      </c>
      <c r="AD907">
        <v>-1.10911637312</v>
      </c>
      <c r="AE907">
        <v>-5.9565999999999804</v>
      </c>
      <c r="AF907">
        <v>5.6789636064567599</v>
      </c>
      <c r="AG907">
        <v>-1.10911637312</v>
      </c>
      <c r="AH907">
        <v>18.828672146945198</v>
      </c>
      <c r="AI907">
        <v>93.227853597573699</v>
      </c>
      <c r="AJ907">
        <v>73.216030438298205</v>
      </c>
      <c r="AK907">
        <v>19.697707013501201</v>
      </c>
      <c r="AL907">
        <v>79.405732793540693</v>
      </c>
      <c r="AM907">
        <v>79.844943509648104</v>
      </c>
      <c r="AN907">
        <v>0.99999999460291999</v>
      </c>
    </row>
    <row r="908" spans="1:40" x14ac:dyDescent="0.25">
      <c r="A908" t="str">
        <f>"20190312172629841"</f>
        <v>20190312172629841</v>
      </c>
      <c r="B908" t="str">
        <f>"1552382789829992"</f>
        <v>1552382789829992</v>
      </c>
      <c r="C908" t="s">
        <v>40</v>
      </c>
      <c r="D908">
        <v>3.4714849999999999</v>
      </c>
      <c r="E908">
        <v>0.53967149999999997</v>
      </c>
      <c r="F908" t="s">
        <v>41</v>
      </c>
      <c r="G908">
        <v>-213.0445</v>
      </c>
      <c r="H908" s="1">
        <v>-4.3000429999999996E-6</v>
      </c>
      <c r="I908">
        <v>362.29899999999998</v>
      </c>
      <c r="J908">
        <v>-231.40450000000001</v>
      </c>
      <c r="K908">
        <v>1.109078</v>
      </c>
      <c r="L908">
        <v>368.15219999999999</v>
      </c>
      <c r="M908">
        <v>0.99978129999999998</v>
      </c>
      <c r="N908">
        <v>0</v>
      </c>
      <c r="O908">
        <v>-1.516114E-2</v>
      </c>
      <c r="P908">
        <v>0.96767499999999995</v>
      </c>
      <c r="Q908">
        <v>0.1694369</v>
      </c>
      <c r="R908">
        <v>-0.18680469999999999</v>
      </c>
      <c r="S908">
        <v>2.9529570000000001</v>
      </c>
      <c r="T908">
        <v>-0.17542839999999901</v>
      </c>
      <c r="U908">
        <v>-0.92669679999999999</v>
      </c>
      <c r="V908">
        <v>0.17263499999999901</v>
      </c>
      <c r="W908">
        <v>0.18290380000000001</v>
      </c>
      <c r="X908">
        <v>0.96785500000000002</v>
      </c>
      <c r="Y908">
        <v>0.28448879999999999</v>
      </c>
      <c r="Z908">
        <v>-7.3668609999999997E-3</v>
      </c>
      <c r="AA908">
        <v>0.95865109999999998</v>
      </c>
      <c r="AB908">
        <v>32</v>
      </c>
      <c r="AC908">
        <v>18.36</v>
      </c>
      <c r="AD908">
        <v>-1.1090823000429999</v>
      </c>
      <c r="AE908">
        <v>-5.8531999999999504</v>
      </c>
      <c r="AF908">
        <v>5.5557367976376097</v>
      </c>
      <c r="AG908">
        <v>-1.1090823000429999</v>
      </c>
      <c r="AH908">
        <v>18.3857385344227</v>
      </c>
      <c r="AI908">
        <v>93.304830077703798</v>
      </c>
      <c r="AJ908">
        <v>73.186420606151302</v>
      </c>
      <c r="AK908">
        <v>19.238806001648001</v>
      </c>
      <c r="AL908">
        <v>79.461055861228203</v>
      </c>
      <c r="AM908">
        <v>79.886587473078094</v>
      </c>
      <c r="AN908">
        <v>0.99999997215221903</v>
      </c>
    </row>
    <row r="909" spans="1:40" x14ac:dyDescent="0.25">
      <c r="A909" t="str">
        <f>"20190312172629863"</f>
        <v>20190312172629863</v>
      </c>
      <c r="B909" t="str">
        <f>"1552382789859962"</f>
        <v>1552382789859962</v>
      </c>
      <c r="C909" t="s">
        <v>40</v>
      </c>
      <c r="D909">
        <v>3.4772699999999999</v>
      </c>
      <c r="E909">
        <v>0.5380722</v>
      </c>
      <c r="F909" t="s">
        <v>41</v>
      </c>
      <c r="G909">
        <v>-213.0609</v>
      </c>
      <c r="H909" s="1">
        <v>-4.2727830000000002E-6</v>
      </c>
      <c r="I909">
        <v>362.38040000000001</v>
      </c>
      <c r="J909">
        <v>-231.0848</v>
      </c>
      <c r="K909">
        <v>1.1090549999999999</v>
      </c>
      <c r="L909">
        <v>368.14589999999998</v>
      </c>
      <c r="M909">
        <v>0.99975849999999999</v>
      </c>
      <c r="N909">
        <v>0</v>
      </c>
      <c r="O909">
        <v>-1.660557E-2</v>
      </c>
      <c r="P909">
        <v>0.96758089999999997</v>
      </c>
      <c r="Q909">
        <v>0.16979610000000001</v>
      </c>
      <c r="R909">
        <v>-0.1869671</v>
      </c>
      <c r="S909">
        <v>2.9521790000000001</v>
      </c>
      <c r="T909">
        <v>-0.17849309999999999</v>
      </c>
      <c r="U909">
        <v>-0.928894</v>
      </c>
      <c r="V909">
        <v>0.17140610000000001</v>
      </c>
      <c r="W909">
        <v>0.18326010000000001</v>
      </c>
      <c r="X909">
        <v>0.96800600000000003</v>
      </c>
      <c r="Y909">
        <v>0.2838137</v>
      </c>
      <c r="Z909">
        <v>-7.3914100000000002E-3</v>
      </c>
      <c r="AA909">
        <v>0.95885089999999995</v>
      </c>
      <c r="AB909">
        <v>32</v>
      </c>
      <c r="AC909">
        <v>18.023900000000001</v>
      </c>
      <c r="AD909">
        <v>-1.109059272783</v>
      </c>
      <c r="AE909">
        <v>-5.7654999999999701</v>
      </c>
      <c r="AF909">
        <v>5.4466684566094496</v>
      </c>
      <c r="AG909">
        <v>-1.109059272783</v>
      </c>
      <c r="AH909">
        <v>18.055147632315599</v>
      </c>
      <c r="AI909">
        <v>93.365606132557403</v>
      </c>
      <c r="AJ909">
        <v>73.213093960429106</v>
      </c>
      <c r="AK909">
        <v>18.8913886671012</v>
      </c>
      <c r="AL909">
        <v>79.440290320217898</v>
      </c>
      <c r="AM909">
        <v>79.958643761729405</v>
      </c>
      <c r="AN909">
        <v>0.99999996570260896</v>
      </c>
    </row>
    <row r="910" spans="1:40" x14ac:dyDescent="0.25">
      <c r="A910" t="str">
        <f>"20190312172629886"</f>
        <v>20190312172629886</v>
      </c>
      <c r="B910" t="str">
        <f>"1552382789879481"</f>
        <v>1552382789879481</v>
      </c>
      <c r="C910" t="s">
        <v>40</v>
      </c>
      <c r="D910">
        <v>3.4484300000000001</v>
      </c>
      <c r="E910">
        <v>0.53750290000000001</v>
      </c>
      <c r="F910" t="s">
        <v>41</v>
      </c>
      <c r="G910">
        <v>-212.78909999999999</v>
      </c>
      <c r="H910" s="1">
        <v>-4.3431089999999996E-6</v>
      </c>
      <c r="I910">
        <v>362.47190000000001</v>
      </c>
      <c r="J910">
        <v>-230.7655</v>
      </c>
      <c r="K910">
        <v>1.109056</v>
      </c>
      <c r="L910">
        <v>368.13909999999998</v>
      </c>
      <c r="M910">
        <v>0.99973350000000005</v>
      </c>
      <c r="N910">
        <v>0</v>
      </c>
      <c r="O910">
        <v>-1.805234E-2</v>
      </c>
      <c r="P910">
        <v>0.96722300000000005</v>
      </c>
      <c r="Q910">
        <v>0.17164869999999999</v>
      </c>
      <c r="R910">
        <v>-0.1871273</v>
      </c>
      <c r="S910">
        <v>2.9548800000000002</v>
      </c>
      <c r="T910">
        <v>-0.17911949999999999</v>
      </c>
      <c r="U910">
        <v>-0.91638180000000002</v>
      </c>
      <c r="V910">
        <v>0.17017879999999999</v>
      </c>
      <c r="W910">
        <v>0.1851081</v>
      </c>
      <c r="X910">
        <v>0.96787100000000004</v>
      </c>
      <c r="Y910">
        <v>0.2784798</v>
      </c>
      <c r="Z910">
        <v>-7.1720730000000002E-3</v>
      </c>
      <c r="AA910">
        <v>0.96041529999999997</v>
      </c>
      <c r="AB910">
        <v>32</v>
      </c>
      <c r="AC910">
        <v>17.976400000000002</v>
      </c>
      <c r="AD910">
        <v>-1.109060343109</v>
      </c>
      <c r="AE910">
        <v>-5.6671999999999798</v>
      </c>
      <c r="AF910">
        <v>5.3232962160887496</v>
      </c>
      <c r="AG910">
        <v>-1.109060343109</v>
      </c>
      <c r="AH910">
        <v>18.013420483472402</v>
      </c>
      <c r="AI910">
        <v>93.379066943147706</v>
      </c>
      <c r="AJ910">
        <v>73.536623258518603</v>
      </c>
      <c r="AK910">
        <v>18.816238066182802</v>
      </c>
      <c r="AL910">
        <v>79.332565641620604</v>
      </c>
      <c r="AM910">
        <v>80.027731048213894</v>
      </c>
      <c r="AN910">
        <v>1.0000000526480199</v>
      </c>
    </row>
    <row r="911" spans="1:40" x14ac:dyDescent="0.25">
      <c r="A911" t="str">
        <f>"20190312172629908"</f>
        <v>20190312172629908</v>
      </c>
      <c r="B911" t="str">
        <f>"1552382789899980"</f>
        <v>1552382789899980</v>
      </c>
      <c r="C911" t="s">
        <v>40</v>
      </c>
      <c r="D911">
        <v>3.4969160000000001</v>
      </c>
      <c r="E911">
        <v>0.53702939999999999</v>
      </c>
      <c r="F911" t="s">
        <v>41</v>
      </c>
      <c r="G911">
        <v>-211.96549999999999</v>
      </c>
      <c r="H911" s="1">
        <v>-4.7199910000000001E-6</v>
      </c>
      <c r="I911">
        <v>362.339</v>
      </c>
      <c r="J911">
        <v>-230.44720000000001</v>
      </c>
      <c r="K911">
        <v>1.109059</v>
      </c>
      <c r="L911">
        <v>368.1318</v>
      </c>
      <c r="M911">
        <v>0.99970630000000005</v>
      </c>
      <c r="N911">
        <v>0</v>
      </c>
      <c r="O911">
        <v>-1.949269E-2</v>
      </c>
      <c r="P911">
        <v>0.96706930000000002</v>
      </c>
      <c r="Q911">
        <v>0.17262269999999999</v>
      </c>
      <c r="R911">
        <v>-0.18702530000000001</v>
      </c>
      <c r="S911">
        <v>2.9561459999999999</v>
      </c>
      <c r="T911">
        <v>-0.17438999999999999</v>
      </c>
      <c r="U911">
        <v>-0.91201779999999999</v>
      </c>
      <c r="V911">
        <v>0.16868759999999999</v>
      </c>
      <c r="W911">
        <v>0.1860832</v>
      </c>
      <c r="X911">
        <v>0.96794500000000006</v>
      </c>
      <c r="Y911">
        <v>0.27571410000000002</v>
      </c>
      <c r="Z911">
        <v>-6.819126E-3</v>
      </c>
      <c r="AA911">
        <v>0.9612155</v>
      </c>
      <c r="AB911">
        <v>32</v>
      </c>
      <c r="AC911">
        <v>18.4817</v>
      </c>
      <c r="AD911">
        <v>-1.1090637199910001</v>
      </c>
      <c r="AE911">
        <v>-5.7927999999999997</v>
      </c>
      <c r="AF911">
        <v>5.4136527716160696</v>
      </c>
      <c r="AG911">
        <v>-1.1090637199910001</v>
      </c>
      <c r="AH911">
        <v>18.530357052667402</v>
      </c>
      <c r="AI911">
        <v>93.288008625411607</v>
      </c>
      <c r="AJ911">
        <v>73.714251254855</v>
      </c>
      <c r="AK911">
        <v>19.336798886216101</v>
      </c>
      <c r="AL911">
        <v>79.275708063438003</v>
      </c>
      <c r="AM911">
        <v>80.114122848591805</v>
      </c>
      <c r="AN911">
        <v>0.99999999337050005</v>
      </c>
    </row>
    <row r="912" spans="1:40" x14ac:dyDescent="0.25">
      <c r="A912" t="str">
        <f>"20190312172629924"</f>
        <v>20190312172629924</v>
      </c>
      <c r="B912" t="str">
        <f>"1552382789919498"</f>
        <v>1552382789919498</v>
      </c>
      <c r="C912" t="s">
        <v>40</v>
      </c>
      <c r="D912">
        <v>3.5589599999999999</v>
      </c>
      <c r="E912">
        <v>0.536682199999999</v>
      </c>
      <c r="F912" t="s">
        <v>41</v>
      </c>
      <c r="G912">
        <v>-211.38579999999999</v>
      </c>
      <c r="H912" s="1">
        <v>-4.9777169999999996E-6</v>
      </c>
      <c r="I912">
        <v>362.28800000000001</v>
      </c>
      <c r="J912">
        <v>-230.21979999999999</v>
      </c>
      <c r="K912">
        <v>1.1090580000000001</v>
      </c>
      <c r="L912">
        <v>368.12630000000001</v>
      </c>
      <c r="M912">
        <v>0.99968590000000002</v>
      </c>
      <c r="N912">
        <v>0</v>
      </c>
      <c r="O912">
        <v>-2.0518600000000001E-2</v>
      </c>
      <c r="P912">
        <v>0.96700379999999997</v>
      </c>
      <c r="Q912">
        <v>0.1728179</v>
      </c>
      <c r="R912">
        <v>-0.18718360000000001</v>
      </c>
      <c r="S912">
        <v>2.9574889999999998</v>
      </c>
      <c r="T912">
        <v>-0.172077799999999</v>
      </c>
      <c r="U912">
        <v>-0.90670779999999995</v>
      </c>
      <c r="V912">
        <v>0.16785320000000001</v>
      </c>
      <c r="W912">
        <v>0.186279</v>
      </c>
      <c r="X912">
        <v>0.96805240000000004</v>
      </c>
      <c r="Y912">
        <v>0.27304349999999999</v>
      </c>
      <c r="Z912">
        <v>-6.5935669999999998E-3</v>
      </c>
      <c r="AA912">
        <v>0.96197909999999998</v>
      </c>
      <c r="AB912">
        <v>32</v>
      </c>
      <c r="AC912">
        <v>18.834</v>
      </c>
      <c r="AD912">
        <v>-1.109062977717</v>
      </c>
      <c r="AE912">
        <v>-5.8383000000000003</v>
      </c>
      <c r="AF912">
        <v>5.4333942496680798</v>
      </c>
      <c r="AG912">
        <v>-1.109062977717</v>
      </c>
      <c r="AH912">
        <v>18.890079757308801</v>
      </c>
      <c r="AI912">
        <v>93.229418043896302</v>
      </c>
      <c r="AJ912">
        <v>73.9530633776683</v>
      </c>
      <c r="AK912">
        <v>19.6872270012401</v>
      </c>
      <c r="AL912">
        <v>79.264290044108805</v>
      </c>
      <c r="AM912">
        <v>80.163134936881406</v>
      </c>
      <c r="AN912">
        <v>1.0000000058684999</v>
      </c>
    </row>
    <row r="913" spans="1:40" x14ac:dyDescent="0.25">
      <c r="A913" t="str">
        <f>"20190312172629941"</f>
        <v>20190312172629941</v>
      </c>
      <c r="B913" t="str">
        <f>"1552382789929258"</f>
        <v>1552382789929258</v>
      </c>
      <c r="C913" t="s">
        <v>40</v>
      </c>
      <c r="D913">
        <v>3.4882059999999999</v>
      </c>
      <c r="E913">
        <v>0.53650410000000004</v>
      </c>
      <c r="F913" t="s">
        <v>41</v>
      </c>
      <c r="G913">
        <v>-211.16650000000001</v>
      </c>
      <c r="H913" s="1">
        <v>-5.0693059999999996E-6</v>
      </c>
      <c r="I913">
        <v>362.30220000000003</v>
      </c>
      <c r="J913">
        <v>-229.97929999999999</v>
      </c>
      <c r="K913">
        <v>1.109062</v>
      </c>
      <c r="L913">
        <v>368.12029999999999</v>
      </c>
      <c r="M913">
        <v>0.99966310000000003</v>
      </c>
      <c r="N913">
        <v>0</v>
      </c>
      <c r="O913">
        <v>-2.1601349999999998E-2</v>
      </c>
      <c r="P913">
        <v>0.96711440000000004</v>
      </c>
      <c r="Q913">
        <v>0.17225979999999999</v>
      </c>
      <c r="R913">
        <v>-0.18712799999999999</v>
      </c>
      <c r="S913">
        <v>2.9581300000000001</v>
      </c>
      <c r="T913">
        <v>-0.17218739999999999</v>
      </c>
      <c r="U913">
        <v>-0.90423580000000003</v>
      </c>
      <c r="V913">
        <v>0.16674269999999999</v>
      </c>
      <c r="W913">
        <v>0.18572610000000001</v>
      </c>
      <c r="X913">
        <v>0.9683505</v>
      </c>
      <c r="Y913">
        <v>0.27121200000000001</v>
      </c>
      <c r="Z913">
        <v>-6.4836379999999999E-3</v>
      </c>
      <c r="AA913">
        <v>0.96249779999999996</v>
      </c>
      <c r="AB913">
        <v>32</v>
      </c>
      <c r="AC913">
        <v>18.8127999999999</v>
      </c>
      <c r="AD913">
        <v>-1.1090670693060001</v>
      </c>
      <c r="AE913">
        <v>-5.8180999999999496</v>
      </c>
      <c r="AF913">
        <v>5.3932106739214101</v>
      </c>
      <c r="AG913">
        <v>-1.1090670693060001</v>
      </c>
      <c r="AH913">
        <v>18.8742312789451</v>
      </c>
      <c r="AI913">
        <v>93.233749026902501</v>
      </c>
      <c r="AJ913">
        <v>74.052995491008801</v>
      </c>
      <c r="AK913">
        <v>19.660960238722499</v>
      </c>
      <c r="AL913">
        <v>79.296531471501794</v>
      </c>
      <c r="AM913">
        <v>80.2299061833601</v>
      </c>
      <c r="AN913">
        <v>1.00000000153737</v>
      </c>
    </row>
    <row r="914" spans="1:40" x14ac:dyDescent="0.25">
      <c r="A914" t="str">
        <f>"20190312172629965"</f>
        <v>20190312172629965</v>
      </c>
      <c r="B914" t="str">
        <f>"1552382789959114"</f>
        <v>1552382789959114</v>
      </c>
      <c r="C914" t="s">
        <v>40</v>
      </c>
      <c r="D914">
        <v>3.5040710000000002</v>
      </c>
      <c r="E914">
        <v>0.53607340000000003</v>
      </c>
      <c r="F914" t="s">
        <v>41</v>
      </c>
      <c r="G914">
        <v>-211.2141</v>
      </c>
      <c r="H914" s="1">
        <v>-5.0312649999999997E-6</v>
      </c>
      <c r="I914">
        <v>362.4015</v>
      </c>
      <c r="J914">
        <v>-229.6473</v>
      </c>
      <c r="K914">
        <v>1.1090629999999999</v>
      </c>
      <c r="L914">
        <v>368.11149999999998</v>
      </c>
      <c r="M914">
        <v>0.99962989999999996</v>
      </c>
      <c r="N914">
        <v>0</v>
      </c>
      <c r="O914">
        <v>-2.3092209999999998E-2</v>
      </c>
      <c r="P914">
        <v>0.96728069999999999</v>
      </c>
      <c r="Q914">
        <v>0.1712611</v>
      </c>
      <c r="R914">
        <v>-0.18718380000000001</v>
      </c>
      <c r="S914">
        <v>2.9586790000000001</v>
      </c>
      <c r="T914">
        <v>-0.17486380000000001</v>
      </c>
      <c r="U914">
        <v>-0.90167240000000004</v>
      </c>
      <c r="V914">
        <v>0.16534389999999999</v>
      </c>
      <c r="W914">
        <v>0.18473510000000001</v>
      </c>
      <c r="X914">
        <v>0.96877979999999997</v>
      </c>
      <c r="Y914">
        <v>0.2689569</v>
      </c>
      <c r="Z914">
        <v>-6.4328529999999997E-3</v>
      </c>
      <c r="AA914">
        <v>0.96313070000000001</v>
      </c>
      <c r="AB914">
        <v>32</v>
      </c>
      <c r="AC914">
        <v>18.433199999999999</v>
      </c>
      <c r="AD914">
        <v>-1.1090680312650001</v>
      </c>
      <c r="AE914">
        <v>-5.7099999999999804</v>
      </c>
      <c r="AF914">
        <v>5.2653776280012803</v>
      </c>
      <c r="AG914">
        <v>-1.1090680312650001</v>
      </c>
      <c r="AH914">
        <v>18.4990494939249</v>
      </c>
      <c r="AI914">
        <v>93.300160755891</v>
      </c>
      <c r="AJ914">
        <v>74.112076418656002</v>
      </c>
      <c r="AK914">
        <v>19.2657485097806</v>
      </c>
      <c r="AL914">
        <v>79.354311255644703</v>
      </c>
      <c r="AM914">
        <v>80.3145195115478</v>
      </c>
      <c r="AN914">
        <v>0.99999998166362902</v>
      </c>
    </row>
    <row r="915" spans="1:40" x14ac:dyDescent="0.25">
      <c r="A915" t="str">
        <f>"20190312172629989"</f>
        <v>20190312172629989</v>
      </c>
      <c r="B915" t="str">
        <f>"1552382789979610"</f>
        <v>1552382789979610</v>
      </c>
      <c r="C915" t="s">
        <v>40</v>
      </c>
      <c r="D915">
        <v>3.4926149999999998</v>
      </c>
      <c r="E915">
        <v>0.53588429999999998</v>
      </c>
      <c r="F915" t="s">
        <v>41</v>
      </c>
      <c r="G915">
        <v>-211.34110000000001</v>
      </c>
      <c r="H915" s="1">
        <v>-4.9491819999999999E-6</v>
      </c>
      <c r="I915">
        <v>362.55689999999998</v>
      </c>
      <c r="J915">
        <v>-229.32220000000001</v>
      </c>
      <c r="K915">
        <v>1.1090629999999999</v>
      </c>
      <c r="L915">
        <v>368.10250000000002</v>
      </c>
      <c r="M915">
        <v>0.99959509999999996</v>
      </c>
      <c r="N915">
        <v>0</v>
      </c>
      <c r="O915">
        <v>-2.4544130000000001E-2</v>
      </c>
      <c r="P915">
        <v>0.96736120000000003</v>
      </c>
      <c r="Q915">
        <v>0.17028589999999999</v>
      </c>
      <c r="R915">
        <v>-0.18765670000000001</v>
      </c>
      <c r="S915">
        <v>2.959457</v>
      </c>
      <c r="T915">
        <v>-0.17929639999999999</v>
      </c>
      <c r="U915">
        <v>-0.89797969999999905</v>
      </c>
      <c r="V915">
        <v>0.1643993</v>
      </c>
      <c r="W915">
        <v>0.18376680000000001</v>
      </c>
      <c r="X915">
        <v>0.96912469999999995</v>
      </c>
      <c r="Y915">
        <v>0.26637319999999998</v>
      </c>
      <c r="Z915">
        <v>-6.4328769999999896E-3</v>
      </c>
      <c r="AA915">
        <v>0.9638485</v>
      </c>
      <c r="AB915">
        <v>32</v>
      </c>
      <c r="AC915">
        <v>17.981099999999898</v>
      </c>
      <c r="AD915">
        <v>-1.1090679491819999</v>
      </c>
      <c r="AE915">
        <v>-5.5456000000000296</v>
      </c>
      <c r="AF915">
        <v>5.0848882248730503</v>
      </c>
      <c r="AG915">
        <v>-1.1090679491819999</v>
      </c>
      <c r="AH915">
        <v>18.049106485893599</v>
      </c>
      <c r="AI915">
        <v>93.384811223362306</v>
      </c>
      <c r="AJ915">
        <v>74.266133899140897</v>
      </c>
      <c r="AK915">
        <v>18.784471377030599</v>
      </c>
      <c r="AL915">
        <v>79.410757627964401</v>
      </c>
      <c r="AM915">
        <v>80.372176207451801</v>
      </c>
      <c r="AN915">
        <v>1.0000000253864001</v>
      </c>
    </row>
    <row r="916" spans="1:40" x14ac:dyDescent="0.25">
      <c r="A916" t="str">
        <f>"20190312172630008"</f>
        <v>20190312172630008</v>
      </c>
      <c r="B916" t="str">
        <f>"1552382789999130"</f>
        <v>1552382789999130</v>
      </c>
      <c r="C916" t="s">
        <v>40</v>
      </c>
      <c r="D916">
        <v>3.5215179999999999</v>
      </c>
      <c r="E916">
        <v>0.53576290000000004</v>
      </c>
      <c r="F916" t="s">
        <v>41</v>
      </c>
      <c r="G916">
        <v>-211.37129999999999</v>
      </c>
      <c r="H916" s="1">
        <v>-4.9193740000000004E-6</v>
      </c>
      <c r="I916">
        <v>362.65190000000001</v>
      </c>
      <c r="J916">
        <v>-229.02699999999999</v>
      </c>
      <c r="K916">
        <v>1.1090629999999999</v>
      </c>
      <c r="L916">
        <v>368.09379999999999</v>
      </c>
      <c r="M916">
        <v>0.99956230000000001</v>
      </c>
      <c r="N916">
        <v>0</v>
      </c>
      <c r="O916">
        <v>-2.5851969999999998E-2</v>
      </c>
      <c r="P916">
        <v>0.96743579999999996</v>
      </c>
      <c r="Q916">
        <v>0.169588299999999</v>
      </c>
      <c r="R916">
        <v>-0.1879044</v>
      </c>
      <c r="S916">
        <v>2.9591219999999998</v>
      </c>
      <c r="T916">
        <v>-0.1828243</v>
      </c>
      <c r="U916">
        <v>-0.89849849999999998</v>
      </c>
      <c r="V916">
        <v>0.16336800000000001</v>
      </c>
      <c r="W916">
        <v>0.18307680000000001</v>
      </c>
      <c r="X916">
        <v>0.9694296</v>
      </c>
      <c r="Y916">
        <v>0.2652852</v>
      </c>
      <c r="Z916">
        <v>-6.4481449999999997E-3</v>
      </c>
      <c r="AA916">
        <v>0.96414840000000002</v>
      </c>
      <c r="AB916">
        <v>31</v>
      </c>
      <c r="AC916">
        <v>17.6557</v>
      </c>
      <c r="AD916">
        <v>-1.1090679193739901</v>
      </c>
      <c r="AE916">
        <v>-5.4418999999999702</v>
      </c>
      <c r="AF916">
        <v>4.9657047842948101</v>
      </c>
      <c r="AG916">
        <v>-1.1090679193739901</v>
      </c>
      <c r="AH916">
        <v>17.726617406197398</v>
      </c>
      <c r="AI916">
        <v>93.4476726726528</v>
      </c>
      <c r="AJ916">
        <v>74.351004321115099</v>
      </c>
      <c r="AK916">
        <v>18.4423756691011</v>
      </c>
      <c r="AL916">
        <v>79.450973570298103</v>
      </c>
      <c r="AM916">
        <v>80.434406591456096</v>
      </c>
      <c r="AN916">
        <v>0.99999998373919996</v>
      </c>
    </row>
    <row r="917" spans="1:40" x14ac:dyDescent="0.25">
      <c r="A917" t="str">
        <f>"20190312172630030"</f>
        <v>20190312172630030</v>
      </c>
      <c r="B917" t="str">
        <f>"1552382790019625"</f>
        <v>1552382790019625</v>
      </c>
      <c r="C917" t="s">
        <v>40</v>
      </c>
      <c r="D917">
        <v>3.5382980000000002</v>
      </c>
      <c r="E917">
        <v>0.53571409999999997</v>
      </c>
      <c r="F917" t="s">
        <v>41</v>
      </c>
      <c r="G917">
        <v>-211.31460000000001</v>
      </c>
      <c r="H917" s="1">
        <v>-4.9334439999999996E-6</v>
      </c>
      <c r="I917">
        <v>362.7097</v>
      </c>
      <c r="J917">
        <v>-228.7251</v>
      </c>
      <c r="K917">
        <v>1.1090690000000001</v>
      </c>
      <c r="L917">
        <v>368.08460000000002</v>
      </c>
      <c r="M917">
        <v>0.99952719999999995</v>
      </c>
      <c r="N917">
        <v>0</v>
      </c>
      <c r="O917">
        <v>-2.7179419999999999E-2</v>
      </c>
      <c r="P917">
        <v>0.96735740000000003</v>
      </c>
      <c r="Q917">
        <v>0.16941609999999999</v>
      </c>
      <c r="R917">
        <v>-0.18846280000000001</v>
      </c>
      <c r="S917">
        <v>2.9587859999999999</v>
      </c>
      <c r="T917">
        <v>-0.18526480000000001</v>
      </c>
      <c r="U917">
        <v>-0.899383499999999</v>
      </c>
      <c r="V917">
        <v>0.16263229999999901</v>
      </c>
      <c r="W917">
        <v>0.18290989999999999</v>
      </c>
      <c r="X917">
        <v>0.96958480000000002</v>
      </c>
      <c r="Y917">
        <v>0.26429219999999998</v>
      </c>
      <c r="Z917">
        <v>-6.4230880000000004E-3</v>
      </c>
      <c r="AA917">
        <v>0.96442130000000004</v>
      </c>
      <c r="AB917">
        <v>31</v>
      </c>
      <c r="AC917">
        <v>17.4104999999999</v>
      </c>
      <c r="AD917">
        <v>-1.1090739334440001</v>
      </c>
      <c r="AE917">
        <v>-5.3749000000000198</v>
      </c>
      <c r="AF917">
        <v>4.8815725670826504</v>
      </c>
      <c r="AG917">
        <v>-1.1090739334440001</v>
      </c>
      <c r="AH917">
        <v>17.485388857425601</v>
      </c>
      <c r="AI917">
        <v>93.495994991542204</v>
      </c>
      <c r="AJ917">
        <v>74.401324521186496</v>
      </c>
      <c r="AK917">
        <v>18.1878701120533</v>
      </c>
      <c r="AL917">
        <v>79.460700554857596</v>
      </c>
      <c r="AM917">
        <v>80.478189334893699</v>
      </c>
      <c r="AN917">
        <v>0.99999999045617005</v>
      </c>
    </row>
    <row r="918" spans="1:40" x14ac:dyDescent="0.25">
      <c r="A918" t="str">
        <f>"20190312172630053"</f>
        <v>20190312172630053</v>
      </c>
      <c r="B918" t="str">
        <f>"1552382790049686"</f>
        <v>1552382790049686</v>
      </c>
      <c r="C918" t="s">
        <v>40</v>
      </c>
      <c r="D918">
        <v>3.5133679999999998</v>
      </c>
      <c r="E918">
        <v>0.53573079999999995</v>
      </c>
      <c r="F918" t="s">
        <v>41</v>
      </c>
      <c r="G918">
        <v>-211.1163</v>
      </c>
      <c r="H918" s="1">
        <v>-5.016011E-6</v>
      </c>
      <c r="I918">
        <v>362.72390000000001</v>
      </c>
      <c r="J918">
        <v>-228.4051</v>
      </c>
      <c r="K918">
        <v>1.1090789999999999</v>
      </c>
      <c r="L918">
        <v>368.07440000000003</v>
      </c>
      <c r="M918">
        <v>0.99948840000000005</v>
      </c>
      <c r="N918">
        <v>0</v>
      </c>
      <c r="O918">
        <v>-2.856947E-2</v>
      </c>
      <c r="P918">
        <v>0.96733919999999995</v>
      </c>
      <c r="Q918">
        <v>0.1689379</v>
      </c>
      <c r="R918">
        <v>-0.18898509999999999</v>
      </c>
      <c r="S918">
        <v>2.958405</v>
      </c>
      <c r="T918">
        <v>-0.18633150000000001</v>
      </c>
      <c r="U918">
        <v>-0.90063479999999996</v>
      </c>
      <c r="V918">
        <v>0.16179489999999999</v>
      </c>
      <c r="W918">
        <v>0.18244109999999999</v>
      </c>
      <c r="X918">
        <v>0.96981320000000004</v>
      </c>
      <c r="Y918">
        <v>0.26335819999999999</v>
      </c>
      <c r="Z918">
        <v>-6.3463369999999996E-3</v>
      </c>
      <c r="AA918">
        <v>0.96467729999999996</v>
      </c>
      <c r="AB918">
        <v>31</v>
      </c>
      <c r="AC918">
        <v>17.288799999999998</v>
      </c>
      <c r="AD918">
        <v>-1.109084016011</v>
      </c>
      <c r="AE918">
        <v>-5.35050000000001</v>
      </c>
      <c r="AF918">
        <v>4.8361699788610801</v>
      </c>
      <c r="AG918">
        <v>-1.109084016011</v>
      </c>
      <c r="AH918">
        <v>17.369386019612701</v>
      </c>
      <c r="AI918">
        <v>93.519997345422993</v>
      </c>
      <c r="AJ918">
        <v>74.441165951184104</v>
      </c>
      <c r="AK918">
        <v>18.064168348344399</v>
      </c>
      <c r="AL918">
        <v>79.488020557976796</v>
      </c>
      <c r="AM918">
        <v>80.528517248699899</v>
      </c>
      <c r="AN918">
        <v>0.99999999376473003</v>
      </c>
    </row>
    <row r="919" spans="1:40" x14ac:dyDescent="0.25">
      <c r="A919" t="str">
        <f>"20190312172630077"</f>
        <v>20190312172630077</v>
      </c>
      <c r="B919" t="str">
        <f>"1552382790069189"</f>
        <v>1552382790069189</v>
      </c>
      <c r="C919" t="s">
        <v>40</v>
      </c>
      <c r="D919">
        <v>3.5780750000000001</v>
      </c>
      <c r="E919">
        <v>0.53580130000000004</v>
      </c>
      <c r="F919" t="s">
        <v>41</v>
      </c>
      <c r="G919">
        <v>-211.01859999999999</v>
      </c>
      <c r="H919" s="1">
        <v>-5.0489570000000002E-6</v>
      </c>
      <c r="I919">
        <v>362.77440000000001</v>
      </c>
      <c r="J919">
        <v>-228.0746</v>
      </c>
      <c r="K919">
        <v>1.1090949999999999</v>
      </c>
      <c r="L919">
        <v>368.0634</v>
      </c>
      <c r="M919">
        <v>0.99944730000000004</v>
      </c>
      <c r="N919">
        <v>0</v>
      </c>
      <c r="O919">
        <v>-2.997464E-2</v>
      </c>
      <c r="P919">
        <v>0.96711000000000003</v>
      </c>
      <c r="Q919">
        <v>0.16919579999999901</v>
      </c>
      <c r="R919">
        <v>-0.1899247</v>
      </c>
      <c r="S919">
        <v>2.9580540000000002</v>
      </c>
      <c r="T919">
        <v>-0.18869379999999999</v>
      </c>
      <c r="U919">
        <v>-0.90170289999999997</v>
      </c>
      <c r="V919">
        <v>0.16136489999999901</v>
      </c>
      <c r="W919">
        <v>0.18270549999999999</v>
      </c>
      <c r="X919">
        <v>0.96983509999999995</v>
      </c>
      <c r="Y919">
        <v>0.26234619999999997</v>
      </c>
      <c r="Z919">
        <v>-6.3081619999999904E-3</v>
      </c>
      <c r="AA919">
        <v>0.96495319999999996</v>
      </c>
      <c r="AB919">
        <v>31</v>
      </c>
      <c r="AC919">
        <v>17.056000000000001</v>
      </c>
      <c r="AD919">
        <v>-1.109100048957</v>
      </c>
      <c r="AE919">
        <v>-5.2889999999999802</v>
      </c>
      <c r="AF919">
        <v>4.7569723323109603</v>
      </c>
      <c r="AG919">
        <v>-1.109100048957</v>
      </c>
      <c r="AH919">
        <v>17.140765097588801</v>
      </c>
      <c r="AI919">
        <v>93.567710070519396</v>
      </c>
      <c r="AJ919">
        <v>74.489392929345399</v>
      </c>
      <c r="AK919">
        <v>17.8231511473052</v>
      </c>
      <c r="AL919">
        <v>79.472612922761002</v>
      </c>
      <c r="AM919">
        <v>80.553444638381293</v>
      </c>
      <c r="AN919">
        <v>1.00000002593713</v>
      </c>
    </row>
    <row r="920" spans="1:40" x14ac:dyDescent="0.25">
      <c r="A920" t="str">
        <f>"20190312172630099"</f>
        <v>20190312172630099</v>
      </c>
      <c r="B920" t="str">
        <f>"1552382790089685"</f>
        <v>1552382790089685</v>
      </c>
      <c r="C920" t="s">
        <v>40</v>
      </c>
      <c r="D920">
        <v>3.5369609999999998</v>
      </c>
      <c r="E920">
        <v>0.53583619999999899</v>
      </c>
      <c r="F920" t="s">
        <v>41</v>
      </c>
      <c r="G920">
        <v>-210.6765</v>
      </c>
      <c r="H920" s="1">
        <v>-5.2012390000000003E-6</v>
      </c>
      <c r="I920">
        <v>362.74349999999998</v>
      </c>
      <c r="J920">
        <v>-227.7654</v>
      </c>
      <c r="K920">
        <v>1.109127</v>
      </c>
      <c r="L920">
        <v>368.05270000000002</v>
      </c>
      <c r="M920">
        <v>0.99940830000000003</v>
      </c>
      <c r="N920">
        <v>0</v>
      </c>
      <c r="O920">
        <v>-3.1250069999999998E-2</v>
      </c>
      <c r="P920">
        <v>0.96680350000000004</v>
      </c>
      <c r="Q920">
        <v>0.16895019999999999</v>
      </c>
      <c r="R920">
        <v>-0.19169549999999999</v>
      </c>
      <c r="S920">
        <v>2.9574129999999998</v>
      </c>
      <c r="T920">
        <v>-0.18852869999999999</v>
      </c>
      <c r="U920">
        <v>-0.90429689999999996</v>
      </c>
      <c r="V920">
        <v>0.1618897</v>
      </c>
      <c r="W920">
        <v>0.18246599999999999</v>
      </c>
      <c r="X920">
        <v>0.96979269999999995</v>
      </c>
      <c r="Y920">
        <v>0.2619513</v>
      </c>
      <c r="Z920">
        <v>-6.2116680000000001E-3</v>
      </c>
      <c r="AA920">
        <v>0.96506110000000001</v>
      </c>
      <c r="AB920">
        <v>31</v>
      </c>
      <c r="AC920">
        <v>17.088899999999899</v>
      </c>
      <c r="AD920">
        <v>-1.1091322012389999</v>
      </c>
      <c r="AE920">
        <v>-5.3092000000000299</v>
      </c>
      <c r="AF920">
        <v>4.7542576551096998</v>
      </c>
      <c r="AG920">
        <v>-1.1091322012389999</v>
      </c>
      <c r="AH920">
        <v>17.180480174812502</v>
      </c>
      <c r="AI920">
        <v>93.560317610417798</v>
      </c>
      <c r="AJ920">
        <v>74.531936230484206</v>
      </c>
      <c r="AK920">
        <v>17.860628184028599</v>
      </c>
      <c r="AL920">
        <v>79.486569587763299</v>
      </c>
      <c r="AM920">
        <v>80.522871594324997</v>
      </c>
      <c r="AN920">
        <v>0.99999999854768995</v>
      </c>
    </row>
    <row r="921" spans="1:40" x14ac:dyDescent="0.25">
      <c r="A921" t="str">
        <f>"20190312172630120"</f>
        <v>20190312172630120</v>
      </c>
      <c r="B921" t="str">
        <f>"1552382790109205"</f>
        <v>1552382790109205</v>
      </c>
      <c r="C921" t="s">
        <v>40</v>
      </c>
      <c r="D921">
        <v>3.5309689999999998</v>
      </c>
      <c r="E921">
        <v>0.53584509999999996</v>
      </c>
      <c r="F921" t="s">
        <v>41</v>
      </c>
      <c r="G921">
        <v>-210.55369999999999</v>
      </c>
      <c r="H921" s="1">
        <v>-5.2504130000000003E-6</v>
      </c>
      <c r="I921">
        <v>362.76319999999998</v>
      </c>
      <c r="J921">
        <v>-227.46680000000001</v>
      </c>
      <c r="K921">
        <v>1.109165</v>
      </c>
      <c r="L921">
        <v>368.0421</v>
      </c>
      <c r="M921">
        <v>0.9993708</v>
      </c>
      <c r="N921">
        <v>0</v>
      </c>
      <c r="O921">
        <v>-3.2431849999999998E-2</v>
      </c>
      <c r="P921">
        <v>0.9663543</v>
      </c>
      <c r="Q921">
        <v>0.16938249999999999</v>
      </c>
      <c r="R921">
        <v>-0.1935711</v>
      </c>
      <c r="S921">
        <v>2.9561609999999998</v>
      </c>
      <c r="T921">
        <v>-0.19049569999999999</v>
      </c>
      <c r="U921">
        <v>-0.9084778</v>
      </c>
      <c r="V921">
        <v>0.16261289999999901</v>
      </c>
      <c r="W921">
        <v>0.18290519999999999</v>
      </c>
      <c r="X921">
        <v>0.96958889999999998</v>
      </c>
      <c r="Y921">
        <v>0.26216479999999998</v>
      </c>
      <c r="Z921">
        <v>-6.2101860000000004E-3</v>
      </c>
      <c r="AA921">
        <v>0.9650031</v>
      </c>
      <c r="AB921">
        <v>31</v>
      </c>
      <c r="AC921">
        <v>16.9131</v>
      </c>
      <c r="AD921">
        <v>-1.1091702504130001</v>
      </c>
      <c r="AE921">
        <v>-5.2789000000000197</v>
      </c>
      <c r="AF921">
        <v>4.7090877566710798</v>
      </c>
      <c r="AG921">
        <v>-1.1091702504130001</v>
      </c>
      <c r="AH921">
        <v>17.0087654182859</v>
      </c>
      <c r="AI921">
        <v>93.596163278113593</v>
      </c>
      <c r="AJ921">
        <v>74.524590358482996</v>
      </c>
      <c r="AK921">
        <v>17.683434824680099</v>
      </c>
      <c r="AL921">
        <v>79.460974047614201</v>
      </c>
      <c r="AM921">
        <v>80.4793438958568</v>
      </c>
      <c r="AN921">
        <v>0.99999995121832796</v>
      </c>
    </row>
    <row r="922" spans="1:40" x14ac:dyDescent="0.25">
      <c r="A922" t="str">
        <f>"20190312172630144"</f>
        <v>20190312172630144</v>
      </c>
      <c r="B922" t="str">
        <f>"1552382790139460"</f>
        <v>1552382790139460</v>
      </c>
      <c r="C922" t="s">
        <v>40</v>
      </c>
      <c r="D922">
        <v>3.525944</v>
      </c>
      <c r="E922">
        <v>0.53618189999999999</v>
      </c>
      <c r="F922" t="s">
        <v>41</v>
      </c>
      <c r="G922">
        <v>-210.2159</v>
      </c>
      <c r="H922" s="1">
        <v>-5.4041950000000004E-6</v>
      </c>
      <c r="I922">
        <v>362.71319999999997</v>
      </c>
      <c r="J922">
        <v>-227.14529999999999</v>
      </c>
      <c r="K922">
        <v>1.109219</v>
      </c>
      <c r="L922">
        <v>368.03030000000001</v>
      </c>
      <c r="M922">
        <v>0.99933079999999996</v>
      </c>
      <c r="N922">
        <v>0</v>
      </c>
      <c r="O922">
        <v>-3.3637880000000002E-2</v>
      </c>
      <c r="P922">
        <v>0.96599440000000003</v>
      </c>
      <c r="Q922">
        <v>0.16977610000000001</v>
      </c>
      <c r="R922">
        <v>-0.19501579999999999</v>
      </c>
      <c r="S922">
        <v>2.9549099999999999</v>
      </c>
      <c r="T922">
        <v>-0.18998909999999999</v>
      </c>
      <c r="U922">
        <v>-0.91278079999999995</v>
      </c>
      <c r="V922">
        <v>0.16287270000000001</v>
      </c>
      <c r="W922">
        <v>0.18331449999999999</v>
      </c>
      <c r="X922">
        <v>0.96946810000000005</v>
      </c>
      <c r="Y922">
        <v>0.26240249999999998</v>
      </c>
      <c r="Z922">
        <v>-6.1268859999999998E-3</v>
      </c>
      <c r="AA922">
        <v>0.96493910000000005</v>
      </c>
      <c r="AB922">
        <v>31</v>
      </c>
      <c r="AC922">
        <v>16.929399999999902</v>
      </c>
      <c r="AD922">
        <v>-1.1092244041949999</v>
      </c>
      <c r="AE922">
        <v>-5.3171000000000301</v>
      </c>
      <c r="AF922">
        <v>4.7260952211635798</v>
      </c>
      <c r="AG922">
        <v>-1.1092244041949999</v>
      </c>
      <c r="AH922">
        <v>17.032138782668401</v>
      </c>
      <c r="AI922">
        <v>93.590845717530698</v>
      </c>
      <c r="AJ922">
        <v>74.491675267164197</v>
      </c>
      <c r="AK922">
        <v>17.710451895150701</v>
      </c>
      <c r="AL922">
        <v>79.437120721159303</v>
      </c>
      <c r="AM922">
        <v>80.4632458829591</v>
      </c>
      <c r="AN922">
        <v>1.0000000596165699</v>
      </c>
    </row>
    <row r="923" spans="1:40" x14ac:dyDescent="0.25">
      <c r="A923" t="str">
        <f>"20190312172630266"</f>
        <v>20190312172630266</v>
      </c>
      <c r="B923" t="str">
        <f>"1552382790259508"</f>
        <v>1552382790259508</v>
      </c>
      <c r="C923" t="s">
        <v>40</v>
      </c>
      <c r="D923">
        <v>3.33067</v>
      </c>
      <c r="E923">
        <v>0.53245810000000005</v>
      </c>
      <c r="F923" t="s">
        <v>46</v>
      </c>
      <c r="G923">
        <v>-209.8732</v>
      </c>
      <c r="H923" s="1">
        <v>-6.3301910000000004E-6</v>
      </c>
      <c r="I923">
        <v>362.6533</v>
      </c>
      <c r="J923">
        <v>-225.4444</v>
      </c>
      <c r="K923">
        <v>1.1094710000000001</v>
      </c>
      <c r="L923">
        <v>367.9633</v>
      </c>
      <c r="M923">
        <v>0.99914049999999999</v>
      </c>
      <c r="N923">
        <v>0</v>
      </c>
      <c r="O923">
        <v>-3.8888119999999998E-2</v>
      </c>
      <c r="P923">
        <v>0.96459119999999998</v>
      </c>
      <c r="Q923">
        <v>0.1691956</v>
      </c>
      <c r="R923">
        <v>-0.20232900000000001</v>
      </c>
      <c r="S923">
        <v>2.9533230000000001</v>
      </c>
      <c r="T923">
        <v>-0.18966450000000001</v>
      </c>
      <c r="U923">
        <v>-0.91940310000000003</v>
      </c>
      <c r="V923">
        <v>0.165008399999999</v>
      </c>
      <c r="W923">
        <v>0.1828082</v>
      </c>
      <c r="X923">
        <v>0.96920249999999997</v>
      </c>
      <c r="Y923">
        <v>0.25946859999999999</v>
      </c>
      <c r="Z923">
        <v>-5.6976419999999897E-3</v>
      </c>
      <c r="AA923">
        <v>0.96573469999999995</v>
      </c>
      <c r="AB923">
        <v>31</v>
      </c>
      <c r="AC923">
        <v>15.571199999999999</v>
      </c>
      <c r="AD923">
        <v>-1.1094773301909999</v>
      </c>
      <c r="AE923">
        <v>-5.31</v>
      </c>
      <c r="AF923">
        <v>4.6791051449618202</v>
      </c>
      <c r="AG923">
        <v>-1.1094773301909999</v>
      </c>
      <c r="AH923">
        <v>15.694558231211699</v>
      </c>
      <c r="AI923">
        <v>93.875590991066503</v>
      </c>
      <c r="AJ923">
        <v>73.3988127104233</v>
      </c>
      <c r="AK923">
        <v>16.414753210959699</v>
      </c>
      <c r="AL923">
        <v>79.466628081952905</v>
      </c>
      <c r="AM923">
        <v>80.337937454051598</v>
      </c>
      <c r="AN923">
        <v>1.0000000480320199</v>
      </c>
    </row>
    <row r="924" spans="1:40" x14ac:dyDescent="0.25">
      <c r="A924" t="str">
        <f>"20190312172630288"</f>
        <v>20190312172630288</v>
      </c>
      <c r="B924" t="str">
        <f>"1552382790280005"</f>
        <v>1552382790280005</v>
      </c>
      <c r="C924" t="s">
        <v>40</v>
      </c>
      <c r="D924">
        <v>3.355572</v>
      </c>
      <c r="E924">
        <v>0.53417289999999995</v>
      </c>
      <c r="F924" t="s">
        <v>44</v>
      </c>
      <c r="G924">
        <v>-224.73500000000001</v>
      </c>
      <c r="H924">
        <v>0.95737410000000001</v>
      </c>
      <c r="I924">
        <v>367.74169999999998</v>
      </c>
      <c r="J924">
        <v>-225.13810000000001</v>
      </c>
      <c r="K924">
        <v>1.1094850000000001</v>
      </c>
      <c r="L924">
        <v>367.95049999999998</v>
      </c>
      <c r="M924">
        <v>0.99910759999999998</v>
      </c>
      <c r="N924">
        <v>0</v>
      </c>
      <c r="O924">
        <v>-3.9726249999999998E-2</v>
      </c>
      <c r="P924">
        <v>0.9646325</v>
      </c>
      <c r="Q924">
        <v>0.16822860000000001</v>
      </c>
      <c r="R924">
        <v>-0.20293659999999999</v>
      </c>
      <c r="S924">
        <v>3.0260769999999999</v>
      </c>
      <c r="T924">
        <v>-0.64888239999999997</v>
      </c>
      <c r="U924">
        <v>-0.94326779999999999</v>
      </c>
      <c r="V924">
        <v>0.16478979999999999</v>
      </c>
      <c r="W924">
        <v>0.1818475</v>
      </c>
      <c r="X924">
        <v>0.96942030000000001</v>
      </c>
      <c r="Y924">
        <v>0.2549748</v>
      </c>
      <c r="Z924">
        <v>-1.8202550000000001E-2</v>
      </c>
      <c r="AA924">
        <v>0.96677639999999998</v>
      </c>
      <c r="AB924">
        <v>31</v>
      </c>
      <c r="AC924">
        <v>0.40309999999999402</v>
      </c>
      <c r="AD924">
        <v>-0.15211089999999999</v>
      </c>
      <c r="AE924">
        <v>-0.20879999999999599</v>
      </c>
      <c r="AF924">
        <v>0.17317698060540099</v>
      </c>
      <c r="AG924">
        <v>-0.15211089999999999</v>
      </c>
      <c r="AH924">
        <v>0.36958366735151499</v>
      </c>
      <c r="AI924">
        <v>110.439839385319</v>
      </c>
      <c r="AJ924">
        <v>64.893473409968294</v>
      </c>
      <c r="AK924">
        <v>0.43556868537971</v>
      </c>
      <c r="AL924">
        <v>79.522609537970098</v>
      </c>
      <c r="AM924">
        <v>80.352623953997096</v>
      </c>
      <c r="AN924">
        <v>0.99999995474618897</v>
      </c>
    </row>
    <row r="925" spans="1:40" x14ac:dyDescent="0.25">
      <c r="A925" t="str">
        <f>"20190312172630310"</f>
        <v>20190312172630310</v>
      </c>
      <c r="B925" t="str">
        <f>"1552382790299525"</f>
        <v>1552382790299525</v>
      </c>
      <c r="C925" t="s">
        <v>40</v>
      </c>
      <c r="D925">
        <v>3.4402529999999998</v>
      </c>
      <c r="E925">
        <v>0.53473819999999905</v>
      </c>
      <c r="F925" t="s">
        <v>41</v>
      </c>
      <c r="G925">
        <v>-214.89779999999999</v>
      </c>
      <c r="H925" s="1">
        <v>-3.0386239999999998E-6</v>
      </c>
      <c r="I925">
        <v>364.726</v>
      </c>
      <c r="J925">
        <v>-224.83019999999999</v>
      </c>
      <c r="K925">
        <v>1.109491</v>
      </c>
      <c r="L925">
        <v>367.93729999999999</v>
      </c>
      <c r="M925">
        <v>0.99907400000000002</v>
      </c>
      <c r="N925">
        <v>0</v>
      </c>
      <c r="O925">
        <v>-4.0567230000000003E-2</v>
      </c>
      <c r="P925">
        <v>0.9646285</v>
      </c>
      <c r="Q925">
        <v>0.16792360000000001</v>
      </c>
      <c r="R925">
        <v>-0.20320969999999999</v>
      </c>
      <c r="S925">
        <v>2.9694060000000002</v>
      </c>
      <c r="T925">
        <v>-0.32171880000000003</v>
      </c>
      <c r="U925">
        <v>-0.93499759999999998</v>
      </c>
      <c r="V925">
        <v>0.16423929999999901</v>
      </c>
      <c r="W925">
        <v>0.18154699999999999</v>
      </c>
      <c r="X925">
        <v>0.96957009999999999</v>
      </c>
      <c r="Y925">
        <v>0.26022800000000001</v>
      </c>
      <c r="Z925">
        <v>-9.4539810000000002E-3</v>
      </c>
      <c r="AA925">
        <v>0.9655009</v>
      </c>
      <c r="AB925">
        <v>31</v>
      </c>
      <c r="AC925">
        <v>9.9323999999999995</v>
      </c>
      <c r="AD925">
        <v>-1.109494038624</v>
      </c>
      <c r="AE925">
        <v>-3.2112999999999898</v>
      </c>
      <c r="AF925">
        <v>2.7743428674996</v>
      </c>
      <c r="AG925">
        <v>-1.109494038624</v>
      </c>
      <c r="AH925">
        <v>9.9421921341161408</v>
      </c>
      <c r="AI925">
        <v>96.135055893172805</v>
      </c>
      <c r="AJ925">
        <v>74.408378019603603</v>
      </c>
      <c r="AK925">
        <v>10.381480616938401</v>
      </c>
      <c r="AL925">
        <v>79.540119052000406</v>
      </c>
      <c r="AM925">
        <v>80.385707346900602</v>
      </c>
      <c r="AN925">
        <v>1.00000001984374</v>
      </c>
    </row>
    <row r="926" spans="1:40" x14ac:dyDescent="0.25">
      <c r="A926" t="str">
        <f>"20190312172630332"</f>
        <v>20190312172630332</v>
      </c>
      <c r="B926" t="str">
        <f>"1552382790329781"</f>
        <v>1552382790329781</v>
      </c>
      <c r="C926" t="s">
        <v>40</v>
      </c>
      <c r="D926">
        <v>3.4011260000000001</v>
      </c>
      <c r="E926">
        <v>0.53567480000000001</v>
      </c>
      <c r="F926" t="s">
        <v>41</v>
      </c>
      <c r="G926">
        <v>-210.8058</v>
      </c>
      <c r="H926" s="1">
        <v>-5.0113039999999999E-6</v>
      </c>
      <c r="I926">
        <v>363.50150000000002</v>
      </c>
      <c r="J926">
        <v>-224.52440000000001</v>
      </c>
      <c r="K926">
        <v>1.109497</v>
      </c>
      <c r="L926">
        <v>367.92399999999998</v>
      </c>
      <c r="M926">
        <v>0.99903960000000003</v>
      </c>
      <c r="N926">
        <v>0</v>
      </c>
      <c r="O926">
        <v>-4.1405409999999997E-2</v>
      </c>
      <c r="P926">
        <v>0.96471090000000004</v>
      </c>
      <c r="Q926">
        <v>0.16724739999999999</v>
      </c>
      <c r="R926">
        <v>-0.2033749</v>
      </c>
      <c r="S926">
        <v>2.9538570000000002</v>
      </c>
      <c r="T926">
        <v>-0.2336831</v>
      </c>
      <c r="U926">
        <v>-0.93426509999999996</v>
      </c>
      <c r="V926">
        <v>0.16358120000000001</v>
      </c>
      <c r="W926">
        <v>0.18087500000000001</v>
      </c>
      <c r="X926">
        <v>0.96980690000000003</v>
      </c>
      <c r="Y926">
        <v>0.26119930000000002</v>
      </c>
      <c r="Z926">
        <v>-6.883536E-3</v>
      </c>
      <c r="AA926">
        <v>0.96526029999999996</v>
      </c>
      <c r="AB926">
        <v>31</v>
      </c>
      <c r="AC926">
        <v>13.7186</v>
      </c>
      <c r="AD926">
        <v>-1.1095020113039999</v>
      </c>
      <c r="AE926">
        <v>-4.4225000000000101</v>
      </c>
      <c r="AF926">
        <v>3.8279429523538799</v>
      </c>
      <c r="AG926">
        <v>-1.1095020113039999</v>
      </c>
      <c r="AH926">
        <v>13.808152133032699</v>
      </c>
      <c r="AI926">
        <v>94.427629694784798</v>
      </c>
      <c r="AJ926">
        <v>74.505381130080295</v>
      </c>
      <c r="AK926">
        <v>14.371819901757</v>
      </c>
      <c r="AL926">
        <v>79.579269769256697</v>
      </c>
      <c r="AM926">
        <v>80.425811565225999</v>
      </c>
      <c r="AN926">
        <v>0.99999999895302505</v>
      </c>
    </row>
    <row r="927" spans="1:40" x14ac:dyDescent="0.25">
      <c r="A927" t="str">
        <f>"20190312172630355"</f>
        <v>20190312172630355</v>
      </c>
      <c r="B927" t="str">
        <f>"1552382790349300"</f>
        <v>1552382790349300</v>
      </c>
      <c r="C927" t="s">
        <v>40</v>
      </c>
      <c r="D927">
        <v>3.33521</v>
      </c>
      <c r="E927">
        <v>0.53580300000000003</v>
      </c>
      <c r="F927" t="s">
        <v>46</v>
      </c>
      <c r="G927">
        <v>-209.41220000000001</v>
      </c>
      <c r="H927" s="1">
        <v>-6.1058010000000003E-6</v>
      </c>
      <c r="I927">
        <v>363.10180000000003</v>
      </c>
      <c r="J927">
        <v>-224.21510000000001</v>
      </c>
      <c r="K927">
        <v>1.109505</v>
      </c>
      <c r="L927">
        <v>367.91019999999997</v>
      </c>
      <c r="M927">
        <v>0.9990038</v>
      </c>
      <c r="N927">
        <v>0</v>
      </c>
      <c r="O927">
        <v>-4.2258179999999999E-2</v>
      </c>
      <c r="P927">
        <v>0.96468869999999896</v>
      </c>
      <c r="Q927">
        <v>0.16736879999999901</v>
      </c>
      <c r="R927">
        <v>-0.2033808</v>
      </c>
      <c r="S927">
        <v>2.9489290000000001</v>
      </c>
      <c r="T927">
        <v>-0.21650269999999999</v>
      </c>
      <c r="U927">
        <v>-0.94097900000000001</v>
      </c>
      <c r="V927">
        <v>0.1627556</v>
      </c>
      <c r="W927">
        <v>0.18099779999999999</v>
      </c>
      <c r="X927">
        <v>0.96992290000000003</v>
      </c>
      <c r="Y927">
        <v>0.26291940000000003</v>
      </c>
      <c r="Z927">
        <v>-6.387556E-3</v>
      </c>
      <c r="AA927">
        <v>0.96479669999999895</v>
      </c>
      <c r="AB927">
        <v>31</v>
      </c>
      <c r="AC927">
        <v>14.8028999999999</v>
      </c>
      <c r="AD927">
        <v>-1.1095111058010001</v>
      </c>
      <c r="AE927">
        <v>-4.8083999999999403</v>
      </c>
      <c r="AF927">
        <v>4.1573696000858797</v>
      </c>
      <c r="AG927">
        <v>-1.1095111058010001</v>
      </c>
      <c r="AH927">
        <v>14.9170857622762</v>
      </c>
      <c r="AI927">
        <v>94.098126246454001</v>
      </c>
      <c r="AJ927">
        <v>74.426925427773895</v>
      </c>
      <c r="AK927">
        <v>15.5252756666256</v>
      </c>
      <c r="AL927">
        <v>79.572115890439406</v>
      </c>
      <c r="AM927">
        <v>80.4743634315018</v>
      </c>
      <c r="AN927">
        <v>1.0000000104403</v>
      </c>
    </row>
    <row r="928" spans="1:40" x14ac:dyDescent="0.25">
      <c r="A928" t="str">
        <f>"20190312172630378"</f>
        <v>20190312172630378</v>
      </c>
      <c r="B928" t="str">
        <f>"1552382790369797"</f>
        <v>1552382790369797</v>
      </c>
      <c r="C928" t="s">
        <v>40</v>
      </c>
      <c r="D928">
        <v>3.3782000000000001</v>
      </c>
      <c r="E928">
        <v>0.53606100000000001</v>
      </c>
      <c r="F928" t="s">
        <v>46</v>
      </c>
      <c r="G928">
        <v>-208.9025</v>
      </c>
      <c r="H928" s="1">
        <v>-5.94843399999999E-6</v>
      </c>
      <c r="I928">
        <v>363.01710000000003</v>
      </c>
      <c r="J928">
        <v>-223.89340000000001</v>
      </c>
      <c r="K928">
        <v>1.1095139999999999</v>
      </c>
      <c r="L928">
        <v>367.8956</v>
      </c>
      <c r="M928">
        <v>0.99896589999999996</v>
      </c>
      <c r="N928">
        <v>0</v>
      </c>
      <c r="O928">
        <v>-4.3150910000000001E-2</v>
      </c>
      <c r="P928">
        <v>0.96471620000000002</v>
      </c>
      <c r="Q928">
        <v>0.16718669999999999</v>
      </c>
      <c r="R928">
        <v>-0.203401</v>
      </c>
      <c r="S928">
        <v>2.948242</v>
      </c>
      <c r="T928">
        <v>-0.2136226</v>
      </c>
      <c r="U928">
        <v>-0.94210819999999995</v>
      </c>
      <c r="V928">
        <v>0.16190360000000001</v>
      </c>
      <c r="W928">
        <v>0.1808178</v>
      </c>
      <c r="X928">
        <v>0.97009900000000004</v>
      </c>
      <c r="Y928">
        <v>0.26247490000000001</v>
      </c>
      <c r="Z928">
        <v>-6.2253519999999904E-3</v>
      </c>
      <c r="AA928">
        <v>0.96491870000000002</v>
      </c>
      <c r="AB928">
        <v>31</v>
      </c>
      <c r="AC928">
        <v>14.9909</v>
      </c>
      <c r="AD928">
        <v>-1.1095199484339999</v>
      </c>
      <c r="AE928">
        <v>-4.8784999999999696</v>
      </c>
      <c r="AF928">
        <v>4.2061831350656798</v>
      </c>
      <c r="AG928">
        <v>-1.1095199484339999</v>
      </c>
      <c r="AH928">
        <v>15.112609719581499</v>
      </c>
      <c r="AI928">
        <v>94.045706398200807</v>
      </c>
      <c r="AJ928">
        <v>74.446905055992602</v>
      </c>
      <c r="AK928">
        <v>15.7262196225944</v>
      </c>
      <c r="AL928">
        <v>79.582601634106894</v>
      </c>
      <c r="AM928">
        <v>80.525010942471596</v>
      </c>
      <c r="AN928">
        <v>0.99999996114539902</v>
      </c>
    </row>
    <row r="929" spans="1:40" x14ac:dyDescent="0.25">
      <c r="A929" t="str">
        <f>"20190312172630401"</f>
        <v>20190312172630401</v>
      </c>
      <c r="B929" t="str">
        <f>"1552382790389317"</f>
        <v>1552382790389317</v>
      </c>
      <c r="C929" t="s">
        <v>40</v>
      </c>
      <c r="D929">
        <v>3.3730440000000002</v>
      </c>
      <c r="E929">
        <v>0.53644689999999995</v>
      </c>
      <c r="F929" t="s">
        <v>46</v>
      </c>
      <c r="G929">
        <v>-208.67060000000001</v>
      </c>
      <c r="H929" s="1">
        <v>-5.8705529999999999E-6</v>
      </c>
      <c r="I929">
        <v>363.01870000000002</v>
      </c>
      <c r="J929">
        <v>-223.59049999999999</v>
      </c>
      <c r="K929">
        <v>1.1095170000000001</v>
      </c>
      <c r="L929">
        <v>367.88159999999999</v>
      </c>
      <c r="M929">
        <v>0.99892890000000001</v>
      </c>
      <c r="N929">
        <v>0</v>
      </c>
      <c r="O929">
        <v>-4.3999839999999998E-2</v>
      </c>
      <c r="P929">
        <v>0.96488269999999998</v>
      </c>
      <c r="Q929">
        <v>0.16662750000000001</v>
      </c>
      <c r="R929">
        <v>-0.20306840000000001</v>
      </c>
      <c r="S929">
        <v>2.947845</v>
      </c>
      <c r="T929">
        <v>-0.21485509999999999</v>
      </c>
      <c r="U929">
        <v>-0.94439700000000004</v>
      </c>
      <c r="V929">
        <v>0.1607364</v>
      </c>
      <c r="W929">
        <v>0.18026200000000001</v>
      </c>
      <c r="X929">
        <v>0.9703965</v>
      </c>
      <c r="Y929">
        <v>0.26236859999999901</v>
      </c>
      <c r="Z929">
        <v>-6.1974519999999896E-3</v>
      </c>
      <c r="AA929">
        <v>0.96494780000000002</v>
      </c>
      <c r="AB929">
        <v>31</v>
      </c>
      <c r="AC929">
        <v>14.919899999999901</v>
      </c>
      <c r="AD929">
        <v>-1.109522870553</v>
      </c>
      <c r="AE929">
        <v>-4.8628999999999598</v>
      </c>
      <c r="AF929">
        <v>4.1807488733503897</v>
      </c>
      <c r="AG929">
        <v>-1.109522870553</v>
      </c>
      <c r="AH929">
        <v>15.044228440514001</v>
      </c>
      <c r="AI929">
        <v>94.064489722136202</v>
      </c>
      <c r="AJ929">
        <v>74.469537257645996</v>
      </c>
      <c r="AK929">
        <v>15.653705999304799</v>
      </c>
      <c r="AL929">
        <v>79.614978785582593</v>
      </c>
      <c r="AM929">
        <v>80.594925523737203</v>
      </c>
      <c r="AN929">
        <v>0.99999997307060395</v>
      </c>
    </row>
    <row r="930" spans="1:40" x14ac:dyDescent="0.25">
      <c r="A930" t="str">
        <f>"20190312172630422"</f>
        <v>20190312172630422</v>
      </c>
      <c r="B930" t="str">
        <f>"1552382790419573"</f>
        <v>1552382790419573</v>
      </c>
      <c r="C930" t="s">
        <v>40</v>
      </c>
      <c r="D930">
        <v>3.5516779999999999</v>
      </c>
      <c r="E930">
        <v>0.53671840000000004</v>
      </c>
      <c r="F930" t="s">
        <v>46</v>
      </c>
      <c r="G930">
        <v>-208.55189999999999</v>
      </c>
      <c r="H930" s="1">
        <v>-5.8248030000000004E-6</v>
      </c>
      <c r="I930">
        <v>363.0573</v>
      </c>
      <c r="J930">
        <v>-223.29470000000001</v>
      </c>
      <c r="K930">
        <v>1.1095200000000001</v>
      </c>
      <c r="L930">
        <v>367.86770000000001</v>
      </c>
      <c r="M930">
        <v>0.99889150000000004</v>
      </c>
      <c r="N930">
        <v>0</v>
      </c>
      <c r="O930">
        <v>-4.4840629999999999E-2</v>
      </c>
      <c r="P930">
        <v>0.96489440000000004</v>
      </c>
      <c r="Q930">
        <v>0.16681009999999999</v>
      </c>
      <c r="R930">
        <v>-0.20286360000000001</v>
      </c>
      <c r="S930">
        <v>2.9477229999999999</v>
      </c>
      <c r="T930">
        <v>-0.217478</v>
      </c>
      <c r="U930">
        <v>-0.94561770000000001</v>
      </c>
      <c r="V930">
        <v>0.1597141</v>
      </c>
      <c r="W930">
        <v>0.18044350000000001</v>
      </c>
      <c r="X930">
        <v>0.97053160000000005</v>
      </c>
      <c r="Y930">
        <v>0.26192090000000001</v>
      </c>
      <c r="Z930">
        <v>-6.1965060000000001E-3</v>
      </c>
      <c r="AA930">
        <v>0.96506950000000002</v>
      </c>
      <c r="AB930">
        <v>31</v>
      </c>
      <c r="AC930">
        <v>14.742800000000001</v>
      </c>
      <c r="AD930">
        <v>-1.109525824803</v>
      </c>
      <c r="AE930">
        <v>-4.8104000000000102</v>
      </c>
      <c r="AF930">
        <v>4.12330938466157</v>
      </c>
      <c r="AG930">
        <v>-1.109525824803</v>
      </c>
      <c r="AH930">
        <v>14.8675855897334</v>
      </c>
      <c r="AI930">
        <v>94.113219807247802</v>
      </c>
      <c r="AJ930">
        <v>74.499416739990707</v>
      </c>
      <c r="AK930">
        <v>15.468607859325701</v>
      </c>
      <c r="AL930">
        <v>79.604406710195306</v>
      </c>
      <c r="AM930">
        <v>80.654962051723999</v>
      </c>
      <c r="AN930">
        <v>1.0000000185148099</v>
      </c>
    </row>
    <row r="931" spans="1:40" x14ac:dyDescent="0.25">
      <c r="A931" t="str">
        <f>"20190312172630444"</f>
        <v>20190312172630444</v>
      </c>
      <c r="B931" t="str">
        <f>"1552382790439096"</f>
        <v>1552382790439096</v>
      </c>
      <c r="C931" t="s">
        <v>40</v>
      </c>
      <c r="D931">
        <v>3.422844</v>
      </c>
      <c r="E931">
        <v>0.53715419999999903</v>
      </c>
      <c r="F931" t="s">
        <v>46</v>
      </c>
      <c r="G931">
        <v>-208.12899999999999</v>
      </c>
      <c r="H931" s="1">
        <v>-5.6928120000000003E-6</v>
      </c>
      <c r="I931">
        <v>362.99590000000001</v>
      </c>
      <c r="J931">
        <v>-222.9872</v>
      </c>
      <c r="K931">
        <v>1.1095090000000001</v>
      </c>
      <c r="L931">
        <v>367.85300000000001</v>
      </c>
      <c r="M931">
        <v>0.99885109999999999</v>
      </c>
      <c r="N931">
        <v>0</v>
      </c>
      <c r="O931">
        <v>-4.5730510000000002E-2</v>
      </c>
      <c r="P931">
        <v>0.96491870000000002</v>
      </c>
      <c r="Q931">
        <v>0.1669322</v>
      </c>
      <c r="R931">
        <v>-0.20264660000000001</v>
      </c>
      <c r="S931">
        <v>2.9473880000000001</v>
      </c>
      <c r="T931">
        <v>-0.21563089999999999</v>
      </c>
      <c r="U931">
        <v>-0.94680790000000004</v>
      </c>
      <c r="V931">
        <v>0.15863360000000001</v>
      </c>
      <c r="W931">
        <v>0.18056359999999999</v>
      </c>
      <c r="X931">
        <v>0.97068639999999995</v>
      </c>
      <c r="Y931">
        <v>0.26145869999999999</v>
      </c>
      <c r="Z931">
        <v>-6.0646800000000002E-3</v>
      </c>
      <c r="AA931">
        <v>0.96519560000000004</v>
      </c>
      <c r="AB931">
        <v>31</v>
      </c>
      <c r="AC931">
        <v>14.858199999999901</v>
      </c>
      <c r="AD931">
        <v>-1.1095146928120001</v>
      </c>
      <c r="AE931">
        <v>-4.8571</v>
      </c>
      <c r="AF931">
        <v>4.1515600293643997</v>
      </c>
      <c r="AG931">
        <v>-1.1095146928120001</v>
      </c>
      <c r="AH931">
        <v>14.9892799025004</v>
      </c>
      <c r="AI931">
        <v>94.080282003677894</v>
      </c>
      <c r="AJ931">
        <v>74.518938788907505</v>
      </c>
      <c r="AK931">
        <v>15.593106987591799</v>
      </c>
      <c r="AL931">
        <v>79.597409954618101</v>
      </c>
      <c r="AM931">
        <v>80.718533649498397</v>
      </c>
      <c r="AN931">
        <v>0.99999995991943902</v>
      </c>
    </row>
    <row r="932" spans="1:40" x14ac:dyDescent="0.25">
      <c r="A932" t="str">
        <f>"20190312172630467"</f>
        <v>20190312172630467</v>
      </c>
      <c r="B932" t="str">
        <f>"1552382790459591"</f>
        <v>1552382790459591</v>
      </c>
      <c r="C932" t="s">
        <v>40</v>
      </c>
      <c r="D932">
        <v>3.4294709999999999</v>
      </c>
      <c r="E932">
        <v>0.53764049999999997</v>
      </c>
      <c r="F932" t="s">
        <v>46</v>
      </c>
      <c r="G932">
        <v>-207.74469999999999</v>
      </c>
      <c r="H932" s="1">
        <v>-5.572707E-6</v>
      </c>
      <c r="I932">
        <v>362.94119999999998</v>
      </c>
      <c r="J932">
        <v>-222.6798</v>
      </c>
      <c r="K932">
        <v>1.109499</v>
      </c>
      <c r="L932">
        <v>367.83800000000002</v>
      </c>
      <c r="M932">
        <v>0.99880930000000001</v>
      </c>
      <c r="N932">
        <v>0</v>
      </c>
      <c r="O932">
        <v>-4.663954E-2</v>
      </c>
      <c r="P932">
        <v>0.96479009999999998</v>
      </c>
      <c r="Q932">
        <v>0.1668152</v>
      </c>
      <c r="R932">
        <v>-0.2033556</v>
      </c>
      <c r="S932">
        <v>2.9467159999999999</v>
      </c>
      <c r="T932">
        <v>-0.2144943</v>
      </c>
      <c r="U932">
        <v>-0.94955440000000002</v>
      </c>
      <c r="V932">
        <v>0.1584672</v>
      </c>
      <c r="W932">
        <v>0.1804393</v>
      </c>
      <c r="X932">
        <v>0.97073670000000001</v>
      </c>
      <c r="Y932">
        <v>0.26146730000000001</v>
      </c>
      <c r="Z932">
        <v>-5.9694079999999998E-3</v>
      </c>
      <c r="AA932">
        <v>0.96519390000000005</v>
      </c>
      <c r="AB932">
        <v>31</v>
      </c>
      <c r="AC932">
        <v>14.9351</v>
      </c>
      <c r="AD932">
        <v>-1.1095045727069901</v>
      </c>
      <c r="AE932">
        <v>-4.8968000000000398</v>
      </c>
      <c r="AF932">
        <v>4.1740330675804804</v>
      </c>
      <c r="AG932">
        <v>-1.1095045727069901</v>
      </c>
      <c r="AH932">
        <v>15.0721461786273</v>
      </c>
      <c r="AI932">
        <v>94.057919990379105</v>
      </c>
      <c r="AJ932">
        <v>74.520627554823704</v>
      </c>
      <c r="AK932">
        <v>15.6787481284707</v>
      </c>
      <c r="AL932">
        <v>79.604650833118598</v>
      </c>
      <c r="AM932">
        <v>80.728572441762196</v>
      </c>
      <c r="AN932">
        <v>0.99999996759360898</v>
      </c>
    </row>
    <row r="933" spans="1:40" x14ac:dyDescent="0.25">
      <c r="A933" t="str">
        <f>"20190312172630489"</f>
        <v>20190312172630489</v>
      </c>
      <c r="B933" t="str">
        <f>"1552382790479109"</f>
        <v>1552382790479109</v>
      </c>
      <c r="C933" t="s">
        <v>40</v>
      </c>
      <c r="D933">
        <v>3.431314</v>
      </c>
      <c r="E933">
        <v>0.53809669999999998</v>
      </c>
      <c r="F933" t="s">
        <v>46</v>
      </c>
      <c r="G933">
        <v>-207.42769999999999</v>
      </c>
      <c r="H933" s="1">
        <v>-5.4742750000000002E-6</v>
      </c>
      <c r="I933">
        <v>362.892</v>
      </c>
      <c r="J933">
        <v>-222.37629999999999</v>
      </c>
      <c r="K933">
        <v>1.109478</v>
      </c>
      <c r="L933">
        <v>367.82279999999997</v>
      </c>
      <c r="M933">
        <v>0.99876580000000004</v>
      </c>
      <c r="N933">
        <v>0</v>
      </c>
      <c r="O933">
        <v>-4.7559949999999997E-2</v>
      </c>
      <c r="P933">
        <v>0.9647211</v>
      </c>
      <c r="Q933">
        <v>0.16697149999999999</v>
      </c>
      <c r="R933">
        <v>-0.2035534</v>
      </c>
      <c r="S933">
        <v>2.9452210000000001</v>
      </c>
      <c r="T933">
        <v>-0.21424760000000001</v>
      </c>
      <c r="U933">
        <v>-0.95507810000000004</v>
      </c>
      <c r="V933">
        <v>0.15777820000000001</v>
      </c>
      <c r="W933">
        <v>0.18058979999999999</v>
      </c>
      <c r="X933">
        <v>0.97082100000000005</v>
      </c>
      <c r="Y933">
        <v>0.26236100000000001</v>
      </c>
      <c r="Z933">
        <v>-5.9305360000000001E-3</v>
      </c>
      <c r="AA933">
        <v>0.96495160000000002</v>
      </c>
      <c r="AB933">
        <v>31</v>
      </c>
      <c r="AC933">
        <v>14.948600000000001</v>
      </c>
      <c r="AD933">
        <v>-1.1094834742749999</v>
      </c>
      <c r="AE933">
        <v>-4.9307999999999703</v>
      </c>
      <c r="AF933">
        <v>4.1933587000504096</v>
      </c>
      <c r="AG933">
        <v>-1.1094834742749999</v>
      </c>
      <c r="AH933">
        <v>15.0912389098484</v>
      </c>
      <c r="AI933">
        <v>94.051758697762494</v>
      </c>
      <c r="AJ933">
        <v>74.471138251513693</v>
      </c>
      <c r="AK933">
        <v>15.7022515137512</v>
      </c>
      <c r="AL933">
        <v>79.595884401364899</v>
      </c>
      <c r="AM933">
        <v>80.768975988288304</v>
      </c>
      <c r="AN933">
        <v>1.00000002515013</v>
      </c>
    </row>
    <row r="934" spans="1:40" x14ac:dyDescent="0.25">
      <c r="A934" t="str">
        <f>"20190312172630511"</f>
        <v>20190312172630511</v>
      </c>
      <c r="B934" t="str">
        <f>"1552382790499605"</f>
        <v>1552382790499605</v>
      </c>
      <c r="C934" t="s">
        <v>40</v>
      </c>
      <c r="D934">
        <v>3.419327</v>
      </c>
      <c r="E934">
        <v>0.53855259999999905</v>
      </c>
      <c r="F934" t="s">
        <v>46</v>
      </c>
      <c r="G934">
        <v>-207.15199999999999</v>
      </c>
      <c r="H934" s="1">
        <v>-5.3861109999999899E-6</v>
      </c>
      <c r="I934">
        <v>362.86559999999997</v>
      </c>
      <c r="J934">
        <v>-222.0805</v>
      </c>
      <c r="K934">
        <v>1.1094660000000001</v>
      </c>
      <c r="L934">
        <v>367.80759999999998</v>
      </c>
      <c r="M934">
        <v>0.99872179999999999</v>
      </c>
      <c r="N934">
        <v>0</v>
      </c>
      <c r="O934">
        <v>-4.847796E-2</v>
      </c>
      <c r="P934">
        <v>0.9645724</v>
      </c>
      <c r="Q934">
        <v>0.16707820000000001</v>
      </c>
      <c r="R934">
        <v>-0.2041685</v>
      </c>
      <c r="S934">
        <v>2.94455</v>
      </c>
      <c r="T934">
        <v>-0.21458650000000001</v>
      </c>
      <c r="U934">
        <v>-0.95877080000000003</v>
      </c>
      <c r="V934">
        <v>0.15751189999999901</v>
      </c>
      <c r="W934">
        <v>0.18068880000000001</v>
      </c>
      <c r="X934">
        <v>0.97084579999999998</v>
      </c>
      <c r="Y934">
        <v>0.26263309999999901</v>
      </c>
      <c r="Z934">
        <v>-5.8849030000000004E-3</v>
      </c>
      <c r="AA934">
        <v>0.96487780000000001</v>
      </c>
      <c r="AB934">
        <v>31</v>
      </c>
      <c r="AC934">
        <v>14.9284999999999</v>
      </c>
      <c r="AD934">
        <v>-1.1094713861109999</v>
      </c>
      <c r="AE934">
        <v>-4.9420000000000002</v>
      </c>
      <c r="AF934">
        <v>4.1915463108915798</v>
      </c>
      <c r="AG934">
        <v>-1.1094713861109999</v>
      </c>
      <c r="AH934">
        <v>15.0755040685521</v>
      </c>
      <c r="AI934">
        <v>94.055752414089696</v>
      </c>
      <c r="AJ934">
        <v>74.462107200374504</v>
      </c>
      <c r="AK934">
        <v>15.6866443241975</v>
      </c>
      <c r="AL934">
        <v>79.590117026057698</v>
      </c>
      <c r="AM934">
        <v>80.784520048834594</v>
      </c>
      <c r="AN934">
        <v>1.00000000423234</v>
      </c>
    </row>
    <row r="935" spans="1:40" x14ac:dyDescent="0.25">
      <c r="A935" t="str">
        <f>"20190312172630533"</f>
        <v>20190312172630533</v>
      </c>
      <c r="B935" t="str">
        <f>"1552382790529861"</f>
        <v>1552382790529861</v>
      </c>
      <c r="C935" t="s">
        <v>40</v>
      </c>
      <c r="D935">
        <v>3.4642210000000002</v>
      </c>
      <c r="E935">
        <v>0.53917559999999998</v>
      </c>
      <c r="F935" t="s">
        <v>46</v>
      </c>
      <c r="G935">
        <v>-206.8836</v>
      </c>
      <c r="H935" s="1">
        <v>-5.3013959999999996E-6</v>
      </c>
      <c r="I935">
        <v>362.83280000000002</v>
      </c>
      <c r="J935">
        <v>-221.77279999999999</v>
      </c>
      <c r="K935">
        <v>1.1094489999999999</v>
      </c>
      <c r="L935">
        <v>367.79169999999999</v>
      </c>
      <c r="M935">
        <v>0.99867419999999996</v>
      </c>
      <c r="N935">
        <v>0</v>
      </c>
      <c r="O935">
        <v>-4.9450040000000001E-2</v>
      </c>
      <c r="P935">
        <v>0.96448420000000001</v>
      </c>
      <c r="Q935">
        <v>0.1668589</v>
      </c>
      <c r="R935">
        <v>-0.20476449999999999</v>
      </c>
      <c r="S935">
        <v>2.943451</v>
      </c>
      <c r="T935">
        <v>-0.21489069999999999</v>
      </c>
      <c r="U935">
        <v>-0.96356200000000003</v>
      </c>
      <c r="V935">
        <v>0.157169</v>
      </c>
      <c r="W935">
        <v>0.18046409999999999</v>
      </c>
      <c r="X935">
        <v>0.97094320000000001</v>
      </c>
      <c r="Y935">
        <v>0.26321879999999998</v>
      </c>
      <c r="Z935">
        <v>-5.8459530000000001E-3</v>
      </c>
      <c r="AA935">
        <v>0.96471850000000003</v>
      </c>
      <c r="AB935">
        <v>31</v>
      </c>
      <c r="AC935">
        <v>14.889199999999899</v>
      </c>
      <c r="AD935">
        <v>-1.1094543013960001</v>
      </c>
      <c r="AE935">
        <v>-4.9588999999999697</v>
      </c>
      <c r="AF935">
        <v>4.1955162265392003</v>
      </c>
      <c r="AG935">
        <v>-1.1094543013960001</v>
      </c>
      <c r="AH935">
        <v>15.0410493407602</v>
      </c>
      <c r="AI935">
        <v>94.064006374951504</v>
      </c>
      <c r="AJ935">
        <v>74.414207646706501</v>
      </c>
      <c r="AK935">
        <v>15.6545971051709</v>
      </c>
      <c r="AL935">
        <v>79.603206962090695</v>
      </c>
      <c r="AM935">
        <v>80.805145552641306</v>
      </c>
      <c r="AN935">
        <v>1.0000000417880199</v>
      </c>
    </row>
    <row r="936" spans="1:40" x14ac:dyDescent="0.25">
      <c r="A936" t="str">
        <f>"20190312172630556"</f>
        <v>20190312172630556</v>
      </c>
      <c r="B936" t="str">
        <f>"1552382790549381"</f>
        <v>1552382790549381</v>
      </c>
      <c r="C936" t="s">
        <v>40</v>
      </c>
      <c r="D936">
        <v>3.4494899999999999</v>
      </c>
      <c r="E936">
        <v>0.53969829999999996</v>
      </c>
      <c r="F936" t="s">
        <v>46</v>
      </c>
      <c r="G936">
        <v>-206.67789999999999</v>
      </c>
      <c r="H936" s="1">
        <v>-5.2350230000000003E-6</v>
      </c>
      <c r="I936">
        <v>362.81700000000001</v>
      </c>
      <c r="J936">
        <v>-221.4657</v>
      </c>
      <c r="K936">
        <v>1.10944</v>
      </c>
      <c r="L936">
        <v>367.77539999999999</v>
      </c>
      <c r="M936">
        <v>0.99862499999999998</v>
      </c>
      <c r="N936">
        <v>0</v>
      </c>
      <c r="O936">
        <v>-5.0433970000000002E-2</v>
      </c>
      <c r="P936">
        <v>0.9644258</v>
      </c>
      <c r="Q936">
        <v>0.166075799999999</v>
      </c>
      <c r="R936">
        <v>-0.20567460000000001</v>
      </c>
      <c r="S936">
        <v>2.9420169999999999</v>
      </c>
      <c r="T936">
        <v>-0.21623410000000001</v>
      </c>
      <c r="U936">
        <v>-0.96957400000000005</v>
      </c>
      <c r="V936">
        <v>0.15712370000000001</v>
      </c>
      <c r="W936">
        <v>0.17967659999999999</v>
      </c>
      <c r="X936">
        <v>0.97109650000000003</v>
      </c>
      <c r="Y936">
        <v>0.26418029999999998</v>
      </c>
      <c r="Z936">
        <v>-5.8477030000000001E-3</v>
      </c>
      <c r="AA936">
        <v>0.96445559999999997</v>
      </c>
      <c r="AB936">
        <v>30</v>
      </c>
      <c r="AC936">
        <v>14.787800000000001</v>
      </c>
      <c r="AD936">
        <v>-1.109445235023</v>
      </c>
      <c r="AE936">
        <v>-4.9584000000000401</v>
      </c>
      <c r="AF936">
        <v>4.1850295226405496</v>
      </c>
      <c r="AG936">
        <v>-1.109445235023</v>
      </c>
      <c r="AH936">
        <v>14.9434637348119</v>
      </c>
      <c r="AI936">
        <v>94.089239274872895</v>
      </c>
      <c r="AJ936">
        <v>74.354697072030106</v>
      </c>
      <c r="AK936">
        <v>15.558034876825699</v>
      </c>
      <c r="AL936">
        <v>79.649076495915693</v>
      </c>
      <c r="AM936">
        <v>80.809176835809396</v>
      </c>
      <c r="AN936">
        <v>0.999999975000749</v>
      </c>
    </row>
    <row r="937" spans="1:40" x14ac:dyDescent="0.25">
      <c r="A937" t="str">
        <f>"20190312172630579"</f>
        <v>20190312172630579</v>
      </c>
      <c r="B937" t="str">
        <f>"1552382790569877"</f>
        <v>1552382790569877</v>
      </c>
      <c r="C937" t="s">
        <v>40</v>
      </c>
      <c r="D937">
        <v>3.4712710000000002</v>
      </c>
      <c r="E937">
        <v>0.54018650000000001</v>
      </c>
      <c r="F937" t="s">
        <v>46</v>
      </c>
      <c r="G937">
        <v>-206.5951</v>
      </c>
      <c r="H937" s="1">
        <v>-5.2013639999999997E-6</v>
      </c>
      <c r="I937">
        <v>362.83580000000001</v>
      </c>
      <c r="J937">
        <v>-221.1514</v>
      </c>
      <c r="K937">
        <v>1.1094269999999999</v>
      </c>
      <c r="L937">
        <v>367.75839999999999</v>
      </c>
      <c r="M937">
        <v>0.99857309999999999</v>
      </c>
      <c r="N937">
        <v>0</v>
      </c>
      <c r="O937">
        <v>-5.1451459999999997E-2</v>
      </c>
      <c r="P937">
        <v>0.96439240000000004</v>
      </c>
      <c r="Q937">
        <v>0.16539029999999999</v>
      </c>
      <c r="R937">
        <v>-0.20638239999999999</v>
      </c>
      <c r="S937">
        <v>2.9401250000000001</v>
      </c>
      <c r="T937">
        <v>-0.21935189999999999</v>
      </c>
      <c r="U937">
        <v>-0.97662349999999998</v>
      </c>
      <c r="V937">
        <v>0.15684139999999999</v>
      </c>
      <c r="W937">
        <v>0.17898839999999999</v>
      </c>
      <c r="X937">
        <v>0.97126920000000005</v>
      </c>
      <c r="Y937">
        <v>0.26545039999999998</v>
      </c>
      <c r="Z937">
        <v>-5.9059219999999897E-3</v>
      </c>
      <c r="AA937">
        <v>0.96410640000000003</v>
      </c>
      <c r="AB937">
        <v>30</v>
      </c>
      <c r="AC937">
        <v>14.556299999999901</v>
      </c>
      <c r="AD937">
        <v>-1.1094322013639999</v>
      </c>
      <c r="AE937">
        <v>-4.9225999999999797</v>
      </c>
      <c r="AF937">
        <v>4.1454497004053197</v>
      </c>
      <c r="AG937">
        <v>-1.1094322013639999</v>
      </c>
      <c r="AH937">
        <v>14.713617608585199</v>
      </c>
      <c r="AI937">
        <v>94.151033252632402</v>
      </c>
      <c r="AJ937">
        <v>74.265222003321796</v>
      </c>
      <c r="AK937">
        <v>15.326647910084001</v>
      </c>
      <c r="AL937">
        <v>79.689157121850599</v>
      </c>
      <c r="AM937">
        <v>80.827012261376694</v>
      </c>
      <c r="AN937">
        <v>0.99999996547857894</v>
      </c>
    </row>
    <row r="938" spans="1:40" x14ac:dyDescent="0.25">
      <c r="A938" t="str">
        <f>"20190312172630601"</f>
        <v>20190312172630601</v>
      </c>
      <c r="B938" t="str">
        <f>"1552382790589397"</f>
        <v>1552382790589397</v>
      </c>
      <c r="C938" t="s">
        <v>40</v>
      </c>
      <c r="D938">
        <v>3.4605730000000001</v>
      </c>
      <c r="E938">
        <v>0.54060339999999996</v>
      </c>
      <c r="F938" t="s">
        <v>46</v>
      </c>
      <c r="G938">
        <v>-206.45750000000001</v>
      </c>
      <c r="H938" s="1">
        <v>-5.1359009999999996E-6</v>
      </c>
      <c r="I938">
        <v>362.84210000000002</v>
      </c>
      <c r="J938">
        <v>-220.85409999999999</v>
      </c>
      <c r="K938">
        <v>1.1094189999999999</v>
      </c>
      <c r="L938">
        <v>367.74200000000002</v>
      </c>
      <c r="M938">
        <v>0.99852280000000004</v>
      </c>
      <c r="N938">
        <v>0</v>
      </c>
      <c r="O938">
        <v>-5.2422320000000001E-2</v>
      </c>
      <c r="P938">
        <v>0.96419999999999995</v>
      </c>
      <c r="Q938">
        <v>0.16490550000000001</v>
      </c>
      <c r="R938">
        <v>-0.20766570000000001</v>
      </c>
      <c r="S938">
        <v>2.9384160000000001</v>
      </c>
      <c r="T938">
        <v>-0.2218598</v>
      </c>
      <c r="U938">
        <v>-0.98315430000000004</v>
      </c>
      <c r="V938">
        <v>0.157187299999999</v>
      </c>
      <c r="W938">
        <v>0.17849909999999999</v>
      </c>
      <c r="X938">
        <v>0.97130340000000004</v>
      </c>
      <c r="Y938">
        <v>0.26659629999999901</v>
      </c>
      <c r="Z938">
        <v>-5.9457329999999999E-3</v>
      </c>
      <c r="AA938">
        <v>0.96378989999999998</v>
      </c>
      <c r="AB938">
        <v>30</v>
      </c>
      <c r="AC938">
        <v>14.3965999999999</v>
      </c>
      <c r="AD938">
        <v>-1.109424135901</v>
      </c>
      <c r="AE938">
        <v>-4.8998999999999402</v>
      </c>
      <c r="AF938">
        <v>4.1164732583988197</v>
      </c>
      <c r="AG938">
        <v>-1.109424135901</v>
      </c>
      <c r="AH938">
        <v>14.5562230124688</v>
      </c>
      <c r="AI938">
        <v>94.1945741830137</v>
      </c>
      <c r="AJ938">
        <v>74.209193927605597</v>
      </c>
      <c r="AK938">
        <v>15.1677223863426</v>
      </c>
      <c r="AL938">
        <v>79.717651547211005</v>
      </c>
      <c r="AM938">
        <v>80.8074452339673</v>
      </c>
      <c r="AN938">
        <v>1.0000000354168199</v>
      </c>
    </row>
    <row r="939" spans="1:40" x14ac:dyDescent="0.25">
      <c r="A939" t="str">
        <f>"20190312172630623"</f>
        <v>20190312172630623</v>
      </c>
      <c r="B939" t="str">
        <f>"1552382790619653"</f>
        <v>1552382790619653</v>
      </c>
      <c r="C939" t="s">
        <v>40</v>
      </c>
      <c r="D939">
        <v>3.4622890000000002</v>
      </c>
      <c r="E939">
        <v>0.54131169999999995</v>
      </c>
      <c r="F939" t="s">
        <v>46</v>
      </c>
      <c r="G939">
        <v>-206.31659999999999</v>
      </c>
      <c r="H939" s="1">
        <v>-5.0700349999999996E-6</v>
      </c>
      <c r="I939">
        <v>362.84309999999999</v>
      </c>
      <c r="J939">
        <v>-220.5531</v>
      </c>
      <c r="K939">
        <v>1.1094170000000001</v>
      </c>
      <c r="L939">
        <v>367.7251</v>
      </c>
      <c r="M939">
        <v>0.99846990000000002</v>
      </c>
      <c r="N939">
        <v>0</v>
      </c>
      <c r="O939">
        <v>-5.3417430000000002E-2</v>
      </c>
      <c r="P939">
        <v>0.96378920000000001</v>
      </c>
      <c r="Q939">
        <v>0.16572239999999999</v>
      </c>
      <c r="R939">
        <v>-0.2089174</v>
      </c>
      <c r="S939">
        <v>2.9365839999999999</v>
      </c>
      <c r="T939">
        <v>-0.2241052</v>
      </c>
      <c r="U939">
        <v>-0.98959350000000001</v>
      </c>
      <c r="V939">
        <v>0.15749340000000001</v>
      </c>
      <c r="W939">
        <v>0.17930650000000001</v>
      </c>
      <c r="X939">
        <v>0.971105</v>
      </c>
      <c r="Y939">
        <v>0.267704099999999</v>
      </c>
      <c r="Z939">
        <v>-5.9749769999999898E-3</v>
      </c>
      <c r="AA939">
        <v>0.96348259999999997</v>
      </c>
      <c r="AB939">
        <v>30</v>
      </c>
      <c r="AC939">
        <v>14.236499999999999</v>
      </c>
      <c r="AD939">
        <v>-1.1094220700349999</v>
      </c>
      <c r="AE939">
        <v>-4.8819999999999997</v>
      </c>
      <c r="AF939">
        <v>4.0922370590966501</v>
      </c>
      <c r="AG939">
        <v>-1.1094220700349999</v>
      </c>
      <c r="AH939">
        <v>14.3987408150682</v>
      </c>
      <c r="AI939">
        <v>94.238714181544594</v>
      </c>
      <c r="AJ939">
        <v>74.134427122178195</v>
      </c>
      <c r="AK939">
        <v>15.0100285988014</v>
      </c>
      <c r="AL939">
        <v>79.670631538944903</v>
      </c>
      <c r="AM939">
        <v>80.788001123541207</v>
      </c>
      <c r="AN939">
        <v>0.99999995650540396</v>
      </c>
    </row>
    <row r="940" spans="1:40" x14ac:dyDescent="0.25">
      <c r="A940" t="str">
        <f>"20190312172630646"</f>
        <v>20190312172630646</v>
      </c>
      <c r="B940" t="str">
        <f>"1552382790639173"</f>
        <v>1552382790639173</v>
      </c>
      <c r="C940" t="s">
        <v>40</v>
      </c>
      <c r="D940">
        <v>3.455943</v>
      </c>
      <c r="E940">
        <v>0.54177489999999995</v>
      </c>
      <c r="F940" t="s">
        <v>46</v>
      </c>
      <c r="G940">
        <v>-205.94980000000001</v>
      </c>
      <c r="H940" s="1">
        <v>-4.9188229999999998E-6</v>
      </c>
      <c r="I940">
        <v>362.7543</v>
      </c>
      <c r="J940">
        <v>-220.24680000000001</v>
      </c>
      <c r="K940">
        <v>1.1094040000000001</v>
      </c>
      <c r="L940">
        <v>367.70760000000001</v>
      </c>
      <c r="M940">
        <v>0.99841420000000003</v>
      </c>
      <c r="N940">
        <v>0</v>
      </c>
      <c r="O940">
        <v>-5.4451390000000002E-2</v>
      </c>
      <c r="P940">
        <v>0.96323720000000002</v>
      </c>
      <c r="Q940">
        <v>0.1672004</v>
      </c>
      <c r="R940">
        <v>-0.21028179999999999</v>
      </c>
      <c r="S940">
        <v>2.9345089999999998</v>
      </c>
      <c r="T940">
        <v>-0.22293579999999999</v>
      </c>
      <c r="U940">
        <v>-0.99887079999999995</v>
      </c>
      <c r="V940">
        <v>0.1578861</v>
      </c>
      <c r="W940">
        <v>0.18077090000000001</v>
      </c>
      <c r="X940">
        <v>0.97076980000000002</v>
      </c>
      <c r="Y940">
        <v>0.269648</v>
      </c>
      <c r="Z940">
        <v>-5.9408509999999996E-3</v>
      </c>
      <c r="AA940">
        <v>0.96294060000000004</v>
      </c>
      <c r="AB940">
        <v>30</v>
      </c>
      <c r="AC940">
        <v>14.296999999999899</v>
      </c>
      <c r="AD940">
        <v>-1.1094089188230001</v>
      </c>
      <c r="AE940">
        <v>-4.9533000000000103</v>
      </c>
      <c r="AF940">
        <v>4.1450946921870804</v>
      </c>
      <c r="AG940">
        <v>-1.1094089188230001</v>
      </c>
      <c r="AH940">
        <v>14.4677473214979</v>
      </c>
      <c r="AI940">
        <v>94.2159723223605</v>
      </c>
      <c r="AJ940">
        <v>74.012680828754597</v>
      </c>
      <c r="AK940">
        <v>15.0906696576087</v>
      </c>
      <c r="AL940">
        <v>79.585334994864596</v>
      </c>
      <c r="AM940">
        <v>80.7622931520267</v>
      </c>
      <c r="AN940">
        <v>1.00000007172602</v>
      </c>
    </row>
    <row r="941" spans="1:40" x14ac:dyDescent="0.25">
      <c r="A941" t="str">
        <f>"20190312172630668"</f>
        <v>20190312172630668</v>
      </c>
      <c r="B941" t="str">
        <f>"1552382790659677"</f>
        <v>1552382790659677</v>
      </c>
      <c r="C941" t="s">
        <v>40</v>
      </c>
      <c r="D941">
        <v>3.4678580000000001</v>
      </c>
      <c r="E941">
        <v>0.542296</v>
      </c>
      <c r="F941" t="s">
        <v>46</v>
      </c>
      <c r="G941">
        <v>-205.39</v>
      </c>
      <c r="H941" s="1">
        <v>-4.6900760000000004E-6</v>
      </c>
      <c r="I941">
        <v>362.61</v>
      </c>
      <c r="J941">
        <v>-219.94710000000001</v>
      </c>
      <c r="K941">
        <v>1.1093850000000001</v>
      </c>
      <c r="L941">
        <v>367.6902</v>
      </c>
      <c r="M941">
        <v>0.99835649999999998</v>
      </c>
      <c r="N941">
        <v>0</v>
      </c>
      <c r="O941">
        <v>-5.5499159999999999E-2</v>
      </c>
      <c r="P941">
        <v>0.96279930000000002</v>
      </c>
      <c r="Q941">
        <v>0.16826930000000001</v>
      </c>
      <c r="R941">
        <v>-0.21143149999999999</v>
      </c>
      <c r="S941">
        <v>2.9328460000000001</v>
      </c>
      <c r="T941">
        <v>-0.2190059</v>
      </c>
      <c r="U941">
        <v>-1.0063169999999999</v>
      </c>
      <c r="V941">
        <v>0.15804969999999999</v>
      </c>
      <c r="W941">
        <v>0.1818246</v>
      </c>
      <c r="X941">
        <v>0.97054629999999997</v>
      </c>
      <c r="Y941">
        <v>0.27101140000000001</v>
      </c>
      <c r="Z941">
        <v>-5.8111469999999896E-3</v>
      </c>
      <c r="AA941">
        <v>0.96255860000000004</v>
      </c>
      <c r="AB941">
        <v>30</v>
      </c>
      <c r="AC941">
        <v>14.5571</v>
      </c>
      <c r="AD941">
        <v>-1.1093896900759901</v>
      </c>
      <c r="AE941">
        <v>-5.0801999999999898</v>
      </c>
      <c r="AF941">
        <v>4.24241472557084</v>
      </c>
      <c r="AG941">
        <v>-1.1093896900759901</v>
      </c>
      <c r="AH941">
        <v>14.740318980275299</v>
      </c>
      <c r="AI941">
        <v>94.136787574244394</v>
      </c>
      <c r="AJ941">
        <v>73.943639748497304</v>
      </c>
      <c r="AK941">
        <v>15.378746107158801</v>
      </c>
      <c r="AL941">
        <v>79.523944405759195</v>
      </c>
      <c r="AM941">
        <v>80.750793752182801</v>
      </c>
      <c r="AN941">
        <v>1.0000000066394601</v>
      </c>
    </row>
    <row r="942" spans="1:40" x14ac:dyDescent="0.25">
      <c r="A942" t="str">
        <f>"20190312172630689"</f>
        <v>20190312172630689</v>
      </c>
      <c r="B942" t="str">
        <f>"1552382790679189"</f>
        <v>1552382790679189</v>
      </c>
      <c r="C942" t="s">
        <v>40</v>
      </c>
      <c r="D942">
        <v>3.5009929999999998</v>
      </c>
      <c r="E942">
        <v>0.55350269999999901</v>
      </c>
      <c r="F942" t="s">
        <v>46</v>
      </c>
      <c r="G942">
        <v>-204.88460000000001</v>
      </c>
      <c r="H942" s="1">
        <v>-4.4804980000000001E-6</v>
      </c>
      <c r="I942">
        <v>362.47399999999999</v>
      </c>
      <c r="J942">
        <v>-219.65539999999999</v>
      </c>
      <c r="K942">
        <v>1.1093500000000001</v>
      </c>
      <c r="L942">
        <v>367.6728</v>
      </c>
      <c r="M942">
        <v>0.99829599999999996</v>
      </c>
      <c r="N942">
        <v>0</v>
      </c>
      <c r="O942">
        <v>-5.65774E-2</v>
      </c>
      <c r="P942">
        <v>0.96253789999999995</v>
      </c>
      <c r="Q942">
        <v>0.1692372</v>
      </c>
      <c r="R942">
        <v>-0.21184839999999999</v>
      </c>
      <c r="S942">
        <v>2.930771</v>
      </c>
      <c r="T942">
        <v>-0.21585860000000001</v>
      </c>
      <c r="U942">
        <v>-1.014923</v>
      </c>
      <c r="V942">
        <v>0.1574489</v>
      </c>
      <c r="W942">
        <v>0.18277489999999999</v>
      </c>
      <c r="X942">
        <v>0.97046540000000003</v>
      </c>
      <c r="Y942">
        <v>0.27272049999999998</v>
      </c>
      <c r="Z942">
        <v>-5.7135519999999898E-3</v>
      </c>
      <c r="AA942">
        <v>0.9620763</v>
      </c>
      <c r="AB942">
        <v>30</v>
      </c>
      <c r="AC942">
        <v>14.7707999999999</v>
      </c>
      <c r="AD942">
        <v>-1.109354480498</v>
      </c>
      <c r="AE942">
        <v>-5.1988000000000003</v>
      </c>
      <c r="AF942">
        <v>4.3329453467884704</v>
      </c>
      <c r="AG942">
        <v>-1.109354480498</v>
      </c>
      <c r="AH942">
        <v>14.966185577088201</v>
      </c>
      <c r="AI942">
        <v>94.072594124758496</v>
      </c>
      <c r="AJ942">
        <v>73.853441268186401</v>
      </c>
      <c r="AK942">
        <v>15.6202366649645</v>
      </c>
      <c r="AL942">
        <v>79.468567751768902</v>
      </c>
      <c r="AM942">
        <v>80.784593863472196</v>
      </c>
      <c r="AN942">
        <v>0.99999995638918904</v>
      </c>
    </row>
    <row r="943" spans="1:40" x14ac:dyDescent="0.25">
      <c r="A943" t="str">
        <f>"20190312172630712"</f>
        <v>20190312172630712</v>
      </c>
      <c r="B943" t="str">
        <f>"1552382790709446"</f>
        <v>1552382790709446</v>
      </c>
      <c r="C943" t="s">
        <v>40</v>
      </c>
      <c r="D943">
        <v>3.4916659999999999</v>
      </c>
      <c r="E943">
        <v>0.55412980000000001</v>
      </c>
      <c r="F943" t="s">
        <v>46</v>
      </c>
      <c r="G943">
        <v>-205.08099999999999</v>
      </c>
      <c r="H943" s="1">
        <v>-4.6488740000000002E-6</v>
      </c>
      <c r="I943">
        <v>362.14659999999998</v>
      </c>
      <c r="J943">
        <v>-219.3544</v>
      </c>
      <c r="K943">
        <v>1.109307</v>
      </c>
      <c r="L943">
        <v>367.65440000000001</v>
      </c>
      <c r="M943">
        <v>0.99822900000000003</v>
      </c>
      <c r="N943">
        <v>0</v>
      </c>
      <c r="O943">
        <v>-5.7747590000000001E-2</v>
      </c>
      <c r="P943">
        <v>0.96238290000000004</v>
      </c>
      <c r="Q943">
        <v>0.1692631</v>
      </c>
      <c r="R943">
        <v>-0.21252969999999999</v>
      </c>
      <c r="S943">
        <v>2.912674</v>
      </c>
      <c r="T943">
        <v>-0.22170219999999999</v>
      </c>
      <c r="U943">
        <v>-1.104401</v>
      </c>
      <c r="V943">
        <v>0.1570183</v>
      </c>
      <c r="W943">
        <v>0.1827829</v>
      </c>
      <c r="X943">
        <v>0.97053370000000005</v>
      </c>
      <c r="Y943">
        <v>0.29933860000000001</v>
      </c>
      <c r="Z943">
        <v>-6.765531E-3</v>
      </c>
      <c r="AA943">
        <v>0.95412300000000005</v>
      </c>
      <c r="AB943">
        <v>30</v>
      </c>
      <c r="AC943">
        <v>14.273400000000001</v>
      </c>
      <c r="AD943">
        <v>-1.109311648874</v>
      </c>
      <c r="AE943">
        <v>-5.5078000000000298</v>
      </c>
      <c r="AF943">
        <v>4.6498223485907104</v>
      </c>
      <c r="AG943">
        <v>-1.109311648874</v>
      </c>
      <c r="AH943">
        <v>14.4914833417573</v>
      </c>
      <c r="AI943">
        <v>94.168858398810102</v>
      </c>
      <c r="AJ943">
        <v>72.210337466476702</v>
      </c>
      <c r="AK943">
        <v>15.2595710834941</v>
      </c>
      <c r="AL943">
        <v>79.468101984967106</v>
      </c>
      <c r="AM943">
        <v>80.810001737866997</v>
      </c>
      <c r="AN943">
        <v>0.99999999895149505</v>
      </c>
    </row>
    <row r="944" spans="1:40" x14ac:dyDescent="0.25">
      <c r="A944" t="str">
        <f>"20190312172630735"</f>
        <v>20190312172630735</v>
      </c>
      <c r="B944" t="str">
        <f>"1552382790729940"</f>
        <v>1552382790729940</v>
      </c>
      <c r="C944" t="s">
        <v>40</v>
      </c>
      <c r="D944">
        <v>3.460474</v>
      </c>
      <c r="E944">
        <v>0.55475180000000002</v>
      </c>
      <c r="F944" t="s">
        <v>46</v>
      </c>
      <c r="G944">
        <v>-204.83940000000001</v>
      </c>
      <c r="H944" s="1">
        <v>-4.537623E-6</v>
      </c>
      <c r="I944">
        <v>362.11369999999999</v>
      </c>
      <c r="J944">
        <v>-219.04490000000001</v>
      </c>
      <c r="K944">
        <v>1.109245</v>
      </c>
      <c r="L944">
        <v>367.63510000000002</v>
      </c>
      <c r="M944">
        <v>0.99815370000000003</v>
      </c>
      <c r="N944">
        <v>0</v>
      </c>
      <c r="O944">
        <v>-5.9038189999999997E-2</v>
      </c>
      <c r="P944">
        <v>0.96220760000000005</v>
      </c>
      <c r="Q944">
        <v>0.16873550000000001</v>
      </c>
      <c r="R944">
        <v>-0.21374199999999999</v>
      </c>
      <c r="S944">
        <v>2.9110260000000001</v>
      </c>
      <c r="T944">
        <v>-0.2224758</v>
      </c>
      <c r="U944">
        <v>-1.1112059999999999</v>
      </c>
      <c r="V944">
        <v>0.15700510000000001</v>
      </c>
      <c r="W944">
        <v>0.18223200000000001</v>
      </c>
      <c r="X944">
        <v>0.97063940000000004</v>
      </c>
      <c r="Y944">
        <v>0.30022929999999998</v>
      </c>
      <c r="Z944">
        <v>-6.7283100000000004E-3</v>
      </c>
      <c r="AA944">
        <v>0.95384340000000001</v>
      </c>
      <c r="AB944">
        <v>30</v>
      </c>
      <c r="AC944">
        <v>14.205500000000001</v>
      </c>
      <c r="AD944">
        <v>-1.109249537623</v>
      </c>
      <c r="AE944">
        <v>-5.5214000000000203</v>
      </c>
      <c r="AF944">
        <v>4.6483915063515502</v>
      </c>
      <c r="AG944">
        <v>-1.109249537623</v>
      </c>
      <c r="AH944">
        <v>14.430283841904499</v>
      </c>
      <c r="AI944">
        <v>94.184709224829803</v>
      </c>
      <c r="AJ944">
        <v>72.144821869781495</v>
      </c>
      <c r="AK944">
        <v>15.201022001528999</v>
      </c>
      <c r="AL944">
        <v>79.500205160140098</v>
      </c>
      <c r="AM944">
        <v>80.811744743123995</v>
      </c>
      <c r="AN944">
        <v>0.99999997404118401</v>
      </c>
    </row>
    <row r="945" spans="1:40" x14ac:dyDescent="0.25">
      <c r="A945" t="str">
        <f>"20190312172630757"</f>
        <v>20190312172630757</v>
      </c>
      <c r="B945" t="str">
        <f>"1552382790749461"</f>
        <v>1552382790749461</v>
      </c>
      <c r="C945" t="s">
        <v>40</v>
      </c>
      <c r="D945">
        <v>3.4816750000000001</v>
      </c>
      <c r="E945">
        <v>0.55535579999999996</v>
      </c>
      <c r="F945" t="s">
        <v>46</v>
      </c>
      <c r="G945">
        <v>-204.74510000000001</v>
      </c>
      <c r="H945" s="1">
        <v>-4.486018E-6</v>
      </c>
      <c r="I945">
        <v>362.13260000000002</v>
      </c>
      <c r="J945">
        <v>-218.74690000000001</v>
      </c>
      <c r="K945">
        <v>1.1091690000000001</v>
      </c>
      <c r="L945">
        <v>367.61610000000002</v>
      </c>
      <c r="M945">
        <v>0.99807230000000002</v>
      </c>
      <c r="N945">
        <v>0</v>
      </c>
      <c r="O945">
        <v>-6.0399019999999998E-2</v>
      </c>
      <c r="P945">
        <v>0.96173520000000001</v>
      </c>
      <c r="Q945">
        <v>0.16919600000000001</v>
      </c>
      <c r="R945">
        <v>-0.21549560000000001</v>
      </c>
      <c r="S945">
        <v>2.9087679999999998</v>
      </c>
      <c r="T945">
        <v>-0.22563720000000001</v>
      </c>
      <c r="U945">
        <v>-1.1192930000000001</v>
      </c>
      <c r="V945">
        <v>0.157492299999999</v>
      </c>
      <c r="W945">
        <v>0.18265770000000001</v>
      </c>
      <c r="X945">
        <v>0.97048040000000002</v>
      </c>
      <c r="Y945">
        <v>0.30147040000000003</v>
      </c>
      <c r="Z945">
        <v>-6.7707440000000004E-3</v>
      </c>
      <c r="AA945">
        <v>0.95345150000000001</v>
      </c>
      <c r="AB945">
        <v>30</v>
      </c>
      <c r="AC945">
        <v>14.001799999999999</v>
      </c>
      <c r="AD945">
        <v>-1.109173486018</v>
      </c>
      <c r="AE945">
        <v>-5.4834999999999896</v>
      </c>
      <c r="AF945">
        <v>4.6026635782136402</v>
      </c>
      <c r="AG945">
        <v>-1.109173486018</v>
      </c>
      <c r="AH945">
        <v>14.230041039204901</v>
      </c>
      <c r="AI945">
        <v>94.241461961508193</v>
      </c>
      <c r="AJ945">
        <v>72.076356620452799</v>
      </c>
      <c r="AK945">
        <v>14.9969612193189</v>
      </c>
      <c r="AL945">
        <v>79.475397551422503</v>
      </c>
      <c r="AM945">
        <v>80.782237311489993</v>
      </c>
      <c r="AN945">
        <v>0.99999993335636705</v>
      </c>
    </row>
    <row r="946" spans="1:40" x14ac:dyDescent="0.25">
      <c r="A946" t="str">
        <f>"20190312172630773"</f>
        <v>20190312172630773</v>
      </c>
      <c r="B946" t="str">
        <f>"1552382790769958"</f>
        <v>1552382790769958</v>
      </c>
      <c r="C946" t="s">
        <v>40</v>
      </c>
      <c r="D946">
        <v>3.4629439999999998</v>
      </c>
      <c r="E946">
        <v>0.55581930000000002</v>
      </c>
      <c r="F946" t="s">
        <v>46</v>
      </c>
      <c r="G946">
        <v>-204.40780000000001</v>
      </c>
      <c r="H946" s="1">
        <v>-4.3358749999999901E-6</v>
      </c>
      <c r="I946">
        <v>362.04419999999999</v>
      </c>
      <c r="J946">
        <v>-218.5359</v>
      </c>
      <c r="K946">
        <v>1.109102</v>
      </c>
      <c r="L946">
        <v>367.60219999999998</v>
      </c>
      <c r="M946">
        <v>0.99800809999999995</v>
      </c>
      <c r="N946">
        <v>0</v>
      </c>
      <c r="O946">
        <v>-6.1449690000000001E-2</v>
      </c>
      <c r="P946">
        <v>0.96142510000000003</v>
      </c>
      <c r="Q946">
        <v>0.169435</v>
      </c>
      <c r="R946">
        <v>-0.21668780000000001</v>
      </c>
      <c r="S946">
        <v>2.9058989999999998</v>
      </c>
      <c r="T946">
        <v>-0.22478090000000001</v>
      </c>
      <c r="U946">
        <v>-1.129181</v>
      </c>
      <c r="V946">
        <v>0.157708399999999</v>
      </c>
      <c r="W946">
        <v>0.18286769999999999</v>
      </c>
      <c r="X946">
        <v>0.97040579999999999</v>
      </c>
      <c r="Y946">
        <v>0.30360520000000002</v>
      </c>
      <c r="Z946">
        <v>-6.7492389999999998E-3</v>
      </c>
      <c r="AA946">
        <v>0.95277400000000001</v>
      </c>
      <c r="AB946">
        <v>30</v>
      </c>
      <c r="AC946">
        <v>14.1280999999999</v>
      </c>
      <c r="AD946">
        <v>-1.109106335875</v>
      </c>
      <c r="AE946">
        <v>-5.5579999999999901</v>
      </c>
      <c r="AF946">
        <v>4.65439855290452</v>
      </c>
      <c r="AG946">
        <v>-1.109106335875</v>
      </c>
      <c r="AH946">
        <v>14.366296309559701</v>
      </c>
      <c r="AI946">
        <v>94.200471404261194</v>
      </c>
      <c r="AJ946">
        <v>72.0486915436326</v>
      </c>
      <c r="AK946">
        <v>15.1421270767229</v>
      </c>
      <c r="AL946">
        <v>79.463159762265605</v>
      </c>
      <c r="AM946">
        <v>80.769109531859996</v>
      </c>
      <c r="AN946">
        <v>0.99999997590374401</v>
      </c>
    </row>
    <row r="947" spans="1:40" x14ac:dyDescent="0.25">
      <c r="A947" t="str">
        <f>"20190312172630792"</f>
        <v>20190312172630792</v>
      </c>
      <c r="B947" t="str">
        <f>"1552382790779717"</f>
        <v>1552382790779717</v>
      </c>
      <c r="C947" t="s">
        <v>40</v>
      </c>
      <c r="D947">
        <v>3.4541249999999999</v>
      </c>
      <c r="E947">
        <v>0.55604419999999899</v>
      </c>
      <c r="F947" t="s">
        <v>46</v>
      </c>
      <c r="G947">
        <v>-204.18369999999999</v>
      </c>
      <c r="H947" s="1">
        <v>-4.236079E-6</v>
      </c>
      <c r="I947">
        <v>361.98570000000001</v>
      </c>
      <c r="J947">
        <v>-218.2861</v>
      </c>
      <c r="K947">
        <v>1.1089960000000001</v>
      </c>
      <c r="L947">
        <v>367.58550000000002</v>
      </c>
      <c r="M947">
        <v>0.99792329999999996</v>
      </c>
      <c r="N947">
        <v>0</v>
      </c>
      <c r="O947">
        <v>-6.2812709999999994E-2</v>
      </c>
      <c r="P947">
        <v>0.96090850000000005</v>
      </c>
      <c r="Q947">
        <v>0.169963</v>
      </c>
      <c r="R947">
        <v>-0.21855930000000001</v>
      </c>
      <c r="S947">
        <v>2.9037630000000001</v>
      </c>
      <c r="T947">
        <v>-0.2243974</v>
      </c>
      <c r="U947">
        <v>-1.1363529999999999</v>
      </c>
      <c r="V947">
        <v>0.15832750000000001</v>
      </c>
      <c r="W947">
        <v>0.18335099999999999</v>
      </c>
      <c r="X947">
        <v>0.97021380000000002</v>
      </c>
      <c r="Y947">
        <v>0.30458600000000002</v>
      </c>
      <c r="Z947">
        <v>-6.6753209999999997E-3</v>
      </c>
      <c r="AA947">
        <v>0.95246149999999996</v>
      </c>
      <c r="AB947">
        <v>30</v>
      </c>
      <c r="AC947">
        <v>14.102399999999999</v>
      </c>
      <c r="AD947">
        <v>-1.1090002360789999</v>
      </c>
      <c r="AE947">
        <v>-5.5998000000000099</v>
      </c>
      <c r="AF947">
        <v>4.6778514801761997</v>
      </c>
      <c r="AG947">
        <v>-1.1090002360789999</v>
      </c>
      <c r="AH947">
        <v>14.3496675339261</v>
      </c>
      <c r="AI947">
        <v>94.202446218240198</v>
      </c>
      <c r="AJ947">
        <v>71.944537351138393</v>
      </c>
      <c r="AK947">
        <v>15.133576389222201</v>
      </c>
      <c r="AL947">
        <v>79.4349927538413</v>
      </c>
      <c r="AM947">
        <v>80.731698185852693</v>
      </c>
      <c r="AN947">
        <v>1.00000000208384</v>
      </c>
    </row>
    <row r="948" spans="1:40" x14ac:dyDescent="0.25">
      <c r="A948" t="str">
        <f>"20190312172630813"</f>
        <v>20190312172630813</v>
      </c>
      <c r="B948" t="str">
        <f>"1552382790809973"</f>
        <v>1552382790809973</v>
      </c>
      <c r="C948" t="s">
        <v>40</v>
      </c>
      <c r="D948">
        <v>3.4457010000000001</v>
      </c>
      <c r="E948">
        <v>0.55665200000000004</v>
      </c>
      <c r="F948" t="s">
        <v>46</v>
      </c>
      <c r="G948">
        <v>-203.8167</v>
      </c>
      <c r="H948" s="1">
        <v>-4.0756709999999996E-6</v>
      </c>
      <c r="I948">
        <v>361.87619999999998</v>
      </c>
      <c r="J948">
        <v>-217.99299999999999</v>
      </c>
      <c r="K948">
        <v>1.108843</v>
      </c>
      <c r="L948">
        <v>367.5652</v>
      </c>
      <c r="M948">
        <v>0.99780869999999999</v>
      </c>
      <c r="N948">
        <v>0</v>
      </c>
      <c r="O948">
        <v>-6.460639E-2</v>
      </c>
      <c r="P948">
        <v>0.96033800000000002</v>
      </c>
      <c r="Q948">
        <v>0.16973450000000001</v>
      </c>
      <c r="R948">
        <v>-0.22122700000000001</v>
      </c>
      <c r="S948">
        <v>2.9010159999999998</v>
      </c>
      <c r="T948">
        <v>-0.22234670000000001</v>
      </c>
      <c r="U948">
        <v>-1.144684</v>
      </c>
      <c r="V948">
        <v>0.15934400000000001</v>
      </c>
      <c r="W948">
        <v>0.18306040000000001</v>
      </c>
      <c r="X948">
        <v>0.97010229999999997</v>
      </c>
      <c r="Y948">
        <v>0.30556240000000001</v>
      </c>
      <c r="Z948">
        <v>-6.5217280000000001E-3</v>
      </c>
      <c r="AA948">
        <v>0.95214969999999999</v>
      </c>
      <c r="AB948">
        <v>30</v>
      </c>
      <c r="AC948">
        <v>14.1762999999999</v>
      </c>
      <c r="AD948">
        <v>-1.108847075671</v>
      </c>
      <c r="AE948">
        <v>-5.6890000000000196</v>
      </c>
      <c r="AF948">
        <v>4.7361820758089301</v>
      </c>
      <c r="AG948">
        <v>-1.108847075671</v>
      </c>
      <c r="AH948">
        <v>14.438178550846899</v>
      </c>
      <c r="AI948">
        <v>94.1736913098472</v>
      </c>
      <c r="AJ948">
        <v>71.838863170606203</v>
      </c>
      <c r="AK948">
        <v>15.2355492962536</v>
      </c>
      <c r="AL948">
        <v>79.451930042830298</v>
      </c>
      <c r="AM948">
        <v>80.672182731787004</v>
      </c>
      <c r="AN948">
        <v>1.0000000464247201</v>
      </c>
    </row>
    <row r="949" spans="1:40" x14ac:dyDescent="0.25">
      <c r="A949" t="str">
        <f>"20190312172630836"</f>
        <v>20190312172630836</v>
      </c>
      <c r="B949" t="str">
        <f>"1552382790829493"</f>
        <v>1552382790829493</v>
      </c>
      <c r="C949" t="s">
        <v>40</v>
      </c>
      <c r="D949">
        <v>3.4575559999999999</v>
      </c>
      <c r="E949">
        <v>0.56056049999999902</v>
      </c>
      <c r="F949" t="s">
        <v>46</v>
      </c>
      <c r="G949">
        <v>-203.5659</v>
      </c>
      <c r="H949" s="1">
        <v>-3.9667590000000002E-6</v>
      </c>
      <c r="I949">
        <v>361.79820000000001</v>
      </c>
      <c r="J949">
        <v>-217.69069999999999</v>
      </c>
      <c r="K949">
        <v>1.10867</v>
      </c>
      <c r="L949">
        <v>367.54340000000002</v>
      </c>
      <c r="M949">
        <v>0.99767240000000001</v>
      </c>
      <c r="N949">
        <v>0</v>
      </c>
      <c r="O949">
        <v>-6.6678390000000004E-2</v>
      </c>
      <c r="P949">
        <v>0.95960800000000002</v>
      </c>
      <c r="Q949">
        <v>0.16949639999999999</v>
      </c>
      <c r="R949">
        <v>-0.2245528</v>
      </c>
      <c r="S949">
        <v>2.896515</v>
      </c>
      <c r="T949">
        <v>-0.22262319999999999</v>
      </c>
      <c r="U949">
        <v>-1.157837</v>
      </c>
      <c r="V949">
        <v>0.16076670000000001</v>
      </c>
      <c r="W949">
        <v>0.18275</v>
      </c>
      <c r="X949">
        <v>0.96992599999999995</v>
      </c>
      <c r="Y949">
        <v>0.30782120000000002</v>
      </c>
      <c r="Z949">
        <v>-6.465663E-3</v>
      </c>
      <c r="AA949">
        <v>0.95142230000000005</v>
      </c>
      <c r="AB949">
        <v>30</v>
      </c>
      <c r="AC949">
        <v>14.124799999999899</v>
      </c>
      <c r="AD949">
        <v>-1.108673966759</v>
      </c>
      <c r="AE949">
        <v>-5.7452000000000103</v>
      </c>
      <c r="AF949">
        <v>4.7653057926887499</v>
      </c>
      <c r="AG949">
        <v>-1.108673966759</v>
      </c>
      <c r="AH949">
        <v>14.400354144291899</v>
      </c>
      <c r="AI949">
        <v>94.180392082623499</v>
      </c>
      <c r="AJ949">
        <v>71.689800594149503</v>
      </c>
      <c r="AK949">
        <v>15.208796689528899</v>
      </c>
      <c r="AL949">
        <v>79.470019001488794</v>
      </c>
      <c r="AM949">
        <v>80.588702761222507</v>
      </c>
      <c r="AN949">
        <v>0.999999969902444</v>
      </c>
    </row>
    <row r="950" spans="1:40" x14ac:dyDescent="0.25">
      <c r="A950" t="str">
        <f>"20190312172630857"</f>
        <v>20190312172630857</v>
      </c>
      <c r="B950" t="str">
        <f>"1552382790850005"</f>
        <v>1552382790850005</v>
      </c>
      <c r="C950" t="s">
        <v>40</v>
      </c>
      <c r="D950">
        <v>3.4152949999999902</v>
      </c>
      <c r="E950">
        <v>0.56080600000000003</v>
      </c>
      <c r="F950" t="s">
        <v>46</v>
      </c>
      <c r="G950">
        <v>-203.61580000000001</v>
      </c>
      <c r="H950" s="1">
        <v>-4.014591E-6</v>
      </c>
      <c r="I950">
        <v>361.69569999999999</v>
      </c>
      <c r="J950">
        <v>-217.3989</v>
      </c>
      <c r="K950">
        <v>1.1084989999999999</v>
      </c>
      <c r="L950">
        <v>367.5215</v>
      </c>
      <c r="M950">
        <v>0.99752090000000004</v>
      </c>
      <c r="N950">
        <v>0</v>
      </c>
      <c r="O950">
        <v>-6.8907040000000003E-2</v>
      </c>
      <c r="P950">
        <v>0.95866130000000005</v>
      </c>
      <c r="Q950">
        <v>0.16999610000000001</v>
      </c>
      <c r="R950">
        <v>-0.22818920000000001</v>
      </c>
      <c r="S950">
        <v>2.885834</v>
      </c>
      <c r="T950">
        <v>-0.22731670000000001</v>
      </c>
      <c r="U950">
        <v>-1.1989749999999999</v>
      </c>
      <c r="V950">
        <v>0.16236629999999999</v>
      </c>
      <c r="W950">
        <v>0.18317240000000001</v>
      </c>
      <c r="X950">
        <v>0.96957979999999999</v>
      </c>
      <c r="Y950">
        <v>0.31846570000000002</v>
      </c>
      <c r="Z950">
        <v>-6.8428029999999997E-3</v>
      </c>
      <c r="AA950">
        <v>0.94790969999999997</v>
      </c>
      <c r="AB950">
        <v>30</v>
      </c>
      <c r="AC950">
        <v>13.7830999999999</v>
      </c>
      <c r="AD950">
        <v>-1.108503014591</v>
      </c>
      <c r="AE950">
        <v>-5.8258000000000099</v>
      </c>
      <c r="AF950">
        <v>4.8355640085834297</v>
      </c>
      <c r="AG950">
        <v>-1.108503014591</v>
      </c>
      <c r="AH950">
        <v>14.0745741221722</v>
      </c>
      <c r="AI950">
        <v>94.259853034375396</v>
      </c>
      <c r="AJ950">
        <v>71.038952329935299</v>
      </c>
      <c r="AK950">
        <v>14.9233071044921</v>
      </c>
      <c r="AL950">
        <v>79.445401685674696</v>
      </c>
      <c r="AM950">
        <v>80.493430515871495</v>
      </c>
      <c r="AN950">
        <v>0.99999996603274399</v>
      </c>
    </row>
    <row r="951" spans="1:40" x14ac:dyDescent="0.25">
      <c r="A951" t="str">
        <f>"20190312172630879"</f>
        <v>20190312172630879</v>
      </c>
      <c r="B951" t="str">
        <f>"1552382790869509"</f>
        <v>1552382790869509</v>
      </c>
      <c r="C951" t="s">
        <v>40</v>
      </c>
      <c r="D951">
        <v>3.39438</v>
      </c>
      <c r="E951">
        <v>0.56074880000000005</v>
      </c>
      <c r="F951" t="s">
        <v>46</v>
      </c>
      <c r="G951">
        <v>-203.3338</v>
      </c>
      <c r="H951" s="1">
        <v>-3.8925560000000003E-6</v>
      </c>
      <c r="I951">
        <v>361.60590000000002</v>
      </c>
      <c r="J951">
        <v>-217.11060000000001</v>
      </c>
      <c r="K951">
        <v>1.1083229999999999</v>
      </c>
      <c r="L951">
        <v>367.4991</v>
      </c>
      <c r="M951">
        <v>0.99734940000000005</v>
      </c>
      <c r="N951">
        <v>0</v>
      </c>
      <c r="O951">
        <v>-7.1343630000000005E-2</v>
      </c>
      <c r="P951">
        <v>0.95758520000000003</v>
      </c>
      <c r="Q951">
        <v>0.17077679999999901</v>
      </c>
      <c r="R951">
        <v>-0.23208999999999999</v>
      </c>
      <c r="S951">
        <v>2.8811800000000001</v>
      </c>
      <c r="T951">
        <v>-0.22707189999999999</v>
      </c>
      <c r="U951">
        <v>-1.211792</v>
      </c>
      <c r="V951">
        <v>0.164041299999999</v>
      </c>
      <c r="W951">
        <v>0.1838737</v>
      </c>
      <c r="X951">
        <v>0.9691651</v>
      </c>
      <c r="Y951">
        <v>0.32028379999999901</v>
      </c>
      <c r="Z951">
        <v>-6.7264819999999998E-3</v>
      </c>
      <c r="AA951">
        <v>0.94729779999999997</v>
      </c>
      <c r="AB951">
        <v>30</v>
      </c>
      <c r="AC951">
        <v>13.7768</v>
      </c>
      <c r="AD951">
        <v>-1.1083268925559999</v>
      </c>
      <c r="AE951">
        <v>-5.89319999999997</v>
      </c>
      <c r="AF951">
        <v>4.8685569914027997</v>
      </c>
      <c r="AG951">
        <v>-1.1083268925559999</v>
      </c>
      <c r="AH951">
        <v>14.0851132590765</v>
      </c>
      <c r="AI951">
        <v>94.253280606061907</v>
      </c>
      <c r="AJ951">
        <v>70.932154727021199</v>
      </c>
      <c r="AK951">
        <v>14.943950321127</v>
      </c>
      <c r="AL951">
        <v>79.404526669639097</v>
      </c>
      <c r="AM951">
        <v>80.393143821414995</v>
      </c>
      <c r="AN951">
        <v>1.0000000383576899</v>
      </c>
    </row>
    <row r="952" spans="1:40" x14ac:dyDescent="0.25">
      <c r="A952" t="str">
        <f>"20190312172630902"</f>
        <v>20190312172630902</v>
      </c>
      <c r="B952" t="str">
        <f>"1552382790899765"</f>
        <v>1552382790899765</v>
      </c>
      <c r="C952" t="s">
        <v>40</v>
      </c>
      <c r="D952">
        <v>3.3947129999999999</v>
      </c>
      <c r="E952">
        <v>0.56128829999999996</v>
      </c>
      <c r="F952" t="s">
        <v>46</v>
      </c>
      <c r="G952">
        <v>-202.80709999999999</v>
      </c>
      <c r="H952" s="1">
        <v>-3.6694800000000001E-6</v>
      </c>
      <c r="I952">
        <v>361.41680000000002</v>
      </c>
      <c r="J952">
        <v>-216.80199999999999</v>
      </c>
      <c r="K952">
        <v>1.108133</v>
      </c>
      <c r="L952">
        <v>367.47399999999999</v>
      </c>
      <c r="M952">
        <v>0.99714029999999998</v>
      </c>
      <c r="N952">
        <v>0</v>
      </c>
      <c r="O952">
        <v>-7.4209440000000002E-2</v>
      </c>
      <c r="P952">
        <v>0.95639039999999997</v>
      </c>
      <c r="Q952">
        <v>0.171237</v>
      </c>
      <c r="R952">
        <v>-0.23663519999999999</v>
      </c>
      <c r="S952">
        <v>2.8761899999999998</v>
      </c>
      <c r="T952">
        <v>-0.2228667</v>
      </c>
      <c r="U952">
        <v>-1.2230529999999999</v>
      </c>
      <c r="V952">
        <v>0.16595650000000001</v>
      </c>
      <c r="W952">
        <v>0.18424679999999999</v>
      </c>
      <c r="X952">
        <v>0.96876810000000002</v>
      </c>
      <c r="Y952">
        <v>0.32132230000000001</v>
      </c>
      <c r="Z952">
        <v>-6.4360619999999898E-3</v>
      </c>
      <c r="AA952">
        <v>0.94694800000000001</v>
      </c>
      <c r="AB952">
        <v>30</v>
      </c>
      <c r="AC952">
        <v>13.994899999999999</v>
      </c>
      <c r="AD952">
        <v>-1.1081366694799999</v>
      </c>
      <c r="AE952">
        <v>-6.0571999999999599</v>
      </c>
      <c r="AF952">
        <v>4.97556168224415</v>
      </c>
      <c r="AG952">
        <v>-1.1081366694799999</v>
      </c>
      <c r="AH952">
        <v>14.330180280128999</v>
      </c>
      <c r="AI952">
        <v>94.178084326175195</v>
      </c>
      <c r="AJ952">
        <v>70.852559603231697</v>
      </c>
      <c r="AK952">
        <v>15.209807618542101</v>
      </c>
      <c r="AL952">
        <v>79.3827780284536</v>
      </c>
      <c r="AM952">
        <v>80.279203019055998</v>
      </c>
      <c r="AN952">
        <v>1.00000003739004</v>
      </c>
    </row>
    <row r="953" spans="1:40" x14ac:dyDescent="0.25">
      <c r="A953" t="str">
        <f>"20190312172630925"</f>
        <v>20190312172630925</v>
      </c>
      <c r="B953" t="str">
        <f>"1552382790919285"</f>
        <v>1552382790919285</v>
      </c>
      <c r="C953" t="s">
        <v>40</v>
      </c>
      <c r="D953">
        <v>3.3816120000000001</v>
      </c>
      <c r="E953">
        <v>0.56138449999999995</v>
      </c>
      <c r="F953" t="s">
        <v>46</v>
      </c>
      <c r="G953">
        <v>-202.52099999999999</v>
      </c>
      <c r="H953" s="1">
        <v>-3.5520949999999999E-6</v>
      </c>
      <c r="I953">
        <v>361.29689999999999</v>
      </c>
      <c r="J953">
        <v>-216.5035</v>
      </c>
      <c r="K953">
        <v>1.107953</v>
      </c>
      <c r="L953">
        <v>367.44869999999997</v>
      </c>
      <c r="M953">
        <v>0.9969112</v>
      </c>
      <c r="N953">
        <v>0</v>
      </c>
      <c r="O953">
        <v>-7.7225970000000005E-2</v>
      </c>
      <c r="P953">
        <v>0.95515039999999996</v>
      </c>
      <c r="Q953">
        <v>0.171261</v>
      </c>
      <c r="R953">
        <v>-0.24157310000000001</v>
      </c>
      <c r="S953">
        <v>2.8695529999999998</v>
      </c>
      <c r="T953">
        <v>-0.22266440000000001</v>
      </c>
      <c r="U953">
        <v>-1.2412110000000001</v>
      </c>
      <c r="V953">
        <v>0.16811799999999999</v>
      </c>
      <c r="W953">
        <v>0.1841854</v>
      </c>
      <c r="X953">
        <v>0.96840700000000002</v>
      </c>
      <c r="Y953">
        <v>0.3243048</v>
      </c>
      <c r="Z953">
        <v>-6.325593E-3</v>
      </c>
      <c r="AA953">
        <v>0.94593150000000004</v>
      </c>
      <c r="AB953">
        <v>30</v>
      </c>
      <c r="AC953">
        <v>13.9825</v>
      </c>
      <c r="AD953">
        <v>-1.1079565520950001</v>
      </c>
      <c r="AE953">
        <v>-6.1517999999999802</v>
      </c>
      <c r="AF953">
        <v>5.0270572847506596</v>
      </c>
      <c r="AG953">
        <v>-1.1079565520950001</v>
      </c>
      <c r="AH953">
        <v>14.340423530433901</v>
      </c>
      <c r="AI953">
        <v>94.170111579388504</v>
      </c>
      <c r="AJ953">
        <v>70.681807315456396</v>
      </c>
      <c r="AK953">
        <v>15.236358478905601</v>
      </c>
      <c r="AL953">
        <v>79.386357064166603</v>
      </c>
      <c r="AM953">
        <v>80.151457324792204</v>
      </c>
      <c r="AN953">
        <v>1.0000000205730799</v>
      </c>
    </row>
    <row r="954" spans="1:40" x14ac:dyDescent="0.25">
      <c r="A954" t="str">
        <f>"20190312172630947"</f>
        <v>20190312172630947</v>
      </c>
      <c r="B954" t="str">
        <f>"1552382790939784"</f>
        <v>1552382790939784</v>
      </c>
      <c r="C954" t="s">
        <v>40</v>
      </c>
      <c r="D954">
        <v>3.3758629999999998</v>
      </c>
      <c r="E954">
        <v>0.56144240000000001</v>
      </c>
      <c r="F954" t="s">
        <v>46</v>
      </c>
      <c r="G954">
        <v>-202.2407</v>
      </c>
      <c r="H954" s="1">
        <v>-3.43435E-6</v>
      </c>
      <c r="I954">
        <v>361.19159999999999</v>
      </c>
      <c r="J954">
        <v>-216.2064</v>
      </c>
      <c r="K954">
        <v>1.107777</v>
      </c>
      <c r="L954">
        <v>367.42230000000001</v>
      </c>
      <c r="M954">
        <v>0.99665610000000004</v>
      </c>
      <c r="N954">
        <v>0</v>
      </c>
      <c r="O954">
        <v>-8.0448290000000006E-2</v>
      </c>
      <c r="P954">
        <v>0.95387259999999996</v>
      </c>
      <c r="Q954">
        <v>0.17111889999999999</v>
      </c>
      <c r="R954">
        <v>-0.2466689</v>
      </c>
      <c r="S954">
        <v>2.8630979999999999</v>
      </c>
      <c r="T954">
        <v>-0.22241</v>
      </c>
      <c r="U954">
        <v>-1.2560420000000001</v>
      </c>
      <c r="V954">
        <v>0.17023759999999999</v>
      </c>
      <c r="W954">
        <v>0.18395990000000001</v>
      </c>
      <c r="X954">
        <v>0.96807949999999998</v>
      </c>
      <c r="Y954">
        <v>0.32614480000000001</v>
      </c>
      <c r="Z954">
        <v>-6.1572019999999996E-3</v>
      </c>
      <c r="AA954">
        <v>0.94529969999999996</v>
      </c>
      <c r="AB954">
        <v>30</v>
      </c>
      <c r="AC954">
        <v>13.965699999999901</v>
      </c>
      <c r="AD954">
        <v>-1.10778043435</v>
      </c>
      <c r="AE954">
        <v>-6.2307000000000103</v>
      </c>
      <c r="AF954">
        <v>5.0603154522721896</v>
      </c>
      <c r="AG954">
        <v>-1.10778043435</v>
      </c>
      <c r="AH954">
        <v>14.3464433166356</v>
      </c>
      <c r="AI954">
        <v>94.164886942095706</v>
      </c>
      <c r="AJ954">
        <v>70.571099863928794</v>
      </c>
      <c r="AK954">
        <v>15.2530130074248</v>
      </c>
      <c r="AL954">
        <v>79.399501670857404</v>
      </c>
      <c r="AM954">
        <v>80.026460000487504</v>
      </c>
      <c r="AN954">
        <v>1.00000000179101</v>
      </c>
    </row>
    <row r="955" spans="1:40" x14ac:dyDescent="0.25">
      <c r="A955" t="str">
        <f>"20190312172630970"</f>
        <v>20190312172630970</v>
      </c>
      <c r="B955" t="str">
        <f>"1552382790959301"</f>
        <v>1552382790959301</v>
      </c>
      <c r="C955" t="s">
        <v>40</v>
      </c>
      <c r="D955">
        <v>3.348719</v>
      </c>
      <c r="E955">
        <v>0.56153739999999996</v>
      </c>
      <c r="F955" t="s">
        <v>46</v>
      </c>
      <c r="G955">
        <v>-202.04519999999999</v>
      </c>
      <c r="H955" s="1">
        <v>-3.351677E-6</v>
      </c>
      <c r="I955">
        <v>361.12090000000001</v>
      </c>
      <c r="J955">
        <v>-215.9128</v>
      </c>
      <c r="K955">
        <v>1.107613</v>
      </c>
      <c r="L955">
        <v>367.39499999999998</v>
      </c>
      <c r="M955">
        <v>0.99637640000000005</v>
      </c>
      <c r="N955">
        <v>0</v>
      </c>
      <c r="O955">
        <v>-8.3841979999999997E-2</v>
      </c>
      <c r="P955">
        <v>0.95249760000000006</v>
      </c>
      <c r="Q955">
        <v>0.17066229999999999</v>
      </c>
      <c r="R955">
        <v>-0.25223590000000001</v>
      </c>
      <c r="S955">
        <v>2.8564449999999999</v>
      </c>
      <c r="T955">
        <v>-0.2234505</v>
      </c>
      <c r="U955">
        <v>-1.2710570000000001</v>
      </c>
      <c r="V955">
        <v>0.17266229999999999</v>
      </c>
      <c r="W955">
        <v>0.1834228</v>
      </c>
      <c r="X955">
        <v>0.9677519</v>
      </c>
      <c r="Y955">
        <v>0.32788869999999998</v>
      </c>
      <c r="Z955">
        <v>-6.0078249999999996E-3</v>
      </c>
      <c r="AA955">
        <v>0.94469729999999996</v>
      </c>
      <c r="AB955">
        <v>30</v>
      </c>
      <c r="AC955">
        <v>13.867599999999999</v>
      </c>
      <c r="AD955">
        <v>-1.1076163516769999</v>
      </c>
      <c r="AE955">
        <v>-6.2740999999999696</v>
      </c>
      <c r="AF955">
        <v>5.0623912865822396</v>
      </c>
      <c r="AG955">
        <v>-1.1076163516769999</v>
      </c>
      <c r="AH955">
        <v>14.269287993473499</v>
      </c>
      <c r="AI955">
        <v>94.184017442197401</v>
      </c>
      <c r="AJ955">
        <v>70.466570666642099</v>
      </c>
      <c r="AK955">
        <v>15.181146180761599</v>
      </c>
      <c r="AL955">
        <v>79.430807567429895</v>
      </c>
      <c r="AM955">
        <v>79.883965837030701</v>
      </c>
      <c r="AN955">
        <v>0.99999996667736901</v>
      </c>
    </row>
    <row r="956" spans="1:40" x14ac:dyDescent="0.25">
      <c r="A956" t="str">
        <f>"20190312172630993"</f>
        <v>20190312172630993</v>
      </c>
      <c r="B956" t="str">
        <f>"1552382790989557"</f>
        <v>1552382790989557</v>
      </c>
      <c r="C956" t="s">
        <v>40</v>
      </c>
      <c r="D956">
        <v>3.3498199999999998</v>
      </c>
      <c r="E956">
        <v>0.561716199999999</v>
      </c>
      <c r="F956" t="s">
        <v>46</v>
      </c>
      <c r="G956">
        <v>-201.9385</v>
      </c>
      <c r="H956" s="1">
        <v>-3.307098E-6</v>
      </c>
      <c r="I956">
        <v>361.0797</v>
      </c>
      <c r="J956">
        <v>-215.6063</v>
      </c>
      <c r="K956">
        <v>1.1074630000000001</v>
      </c>
      <c r="L956">
        <v>367.36520000000002</v>
      </c>
      <c r="M956">
        <v>0.99605540000000004</v>
      </c>
      <c r="N956">
        <v>0</v>
      </c>
      <c r="O956">
        <v>-8.7571109999999994E-2</v>
      </c>
      <c r="P956">
        <v>0.95100839999999998</v>
      </c>
      <c r="Q956">
        <v>0.17029849999999999</v>
      </c>
      <c r="R956">
        <v>-0.25803419999999999</v>
      </c>
      <c r="S956">
        <v>2.8491209999999998</v>
      </c>
      <c r="T956">
        <v>-0.22582389999999999</v>
      </c>
      <c r="U956">
        <v>-1.287598</v>
      </c>
      <c r="V956">
        <v>0.1749985</v>
      </c>
      <c r="W956">
        <v>0.18298210000000001</v>
      </c>
      <c r="X956">
        <v>0.96741569999999999</v>
      </c>
      <c r="Y956">
        <v>0.32980900000000002</v>
      </c>
      <c r="Z956">
        <v>-5.8735209999999996E-3</v>
      </c>
      <c r="AA956">
        <v>0.94402940000000002</v>
      </c>
      <c r="AB956">
        <v>30</v>
      </c>
      <c r="AC956">
        <v>13.6678</v>
      </c>
      <c r="AD956">
        <v>-1.10746630709799</v>
      </c>
      <c r="AE956">
        <v>-6.2855000000000096</v>
      </c>
      <c r="AF956">
        <v>5.0370234968725898</v>
      </c>
      <c r="AG956">
        <v>-1.10746630709799</v>
      </c>
      <c r="AH956">
        <v>14.089410744861601</v>
      </c>
      <c r="AI956">
        <v>94.233029746514205</v>
      </c>
      <c r="AJ956">
        <v>70.327816710985104</v>
      </c>
      <c r="AK956">
        <v>15.00365230425</v>
      </c>
      <c r="AL956">
        <v>79.456493209369199</v>
      </c>
      <c r="AM956">
        <v>79.746487687454504</v>
      </c>
      <c r="AN956">
        <v>1.00000003026457</v>
      </c>
    </row>
    <row r="957" spans="1:40" x14ac:dyDescent="0.25">
      <c r="A957" t="str">
        <f>"20190312172631014"</f>
        <v>20190312172631014</v>
      </c>
      <c r="B957" t="str">
        <f>"1552382791010054"</f>
        <v>1552382791010054</v>
      </c>
      <c r="C957" t="s">
        <v>40</v>
      </c>
      <c r="D957">
        <v>3.3456250000000001</v>
      </c>
      <c r="E957">
        <v>0.5617704</v>
      </c>
      <c r="F957" t="s">
        <v>46</v>
      </c>
      <c r="G957">
        <v>-201.81700000000001</v>
      </c>
      <c r="H957" s="1">
        <v>-3.2575289999999999E-6</v>
      </c>
      <c r="I957">
        <v>361.02760000000001</v>
      </c>
      <c r="J957">
        <v>-215.31039999999999</v>
      </c>
      <c r="K957">
        <v>1.1073409999999999</v>
      </c>
      <c r="L957">
        <v>367.33519999999999</v>
      </c>
      <c r="M957">
        <v>0.9957203</v>
      </c>
      <c r="N957">
        <v>0</v>
      </c>
      <c r="O957">
        <v>-9.1303620000000002E-2</v>
      </c>
      <c r="P957">
        <v>0.94953500000000002</v>
      </c>
      <c r="Q957">
        <v>0.1701259</v>
      </c>
      <c r="R957">
        <v>-0.26351639999999998</v>
      </c>
      <c r="S957">
        <v>2.84111</v>
      </c>
      <c r="T957">
        <v>-0.2281802</v>
      </c>
      <c r="U957">
        <v>-1.3057859999999999</v>
      </c>
      <c r="V957">
        <v>0.17700579999999999</v>
      </c>
      <c r="W957">
        <v>0.18274670000000001</v>
      </c>
      <c r="X957">
        <v>0.96709489999999998</v>
      </c>
      <c r="Y957">
        <v>0.33226</v>
      </c>
      <c r="Z957">
        <v>-5.7549539999999996E-3</v>
      </c>
      <c r="AA957">
        <v>0.94317019999999996</v>
      </c>
      <c r="AB957">
        <v>30</v>
      </c>
      <c r="AC957">
        <v>13.4933999999999</v>
      </c>
      <c r="AD957">
        <v>-1.107344257529</v>
      </c>
      <c r="AE957">
        <v>-6.3075999999999697</v>
      </c>
      <c r="AF957">
        <v>5.0213727682824798</v>
      </c>
      <c r="AG957">
        <v>-1.107344257529</v>
      </c>
      <c r="AH957">
        <v>13.9359691914199</v>
      </c>
      <c r="AI957">
        <v>94.275183741847101</v>
      </c>
      <c r="AJ957">
        <v>70.185023932325805</v>
      </c>
      <c r="AK957">
        <v>14.854347279060599</v>
      </c>
      <c r="AL957">
        <v>79.470211398181604</v>
      </c>
      <c r="AM957">
        <v>79.628048199735503</v>
      </c>
      <c r="AN957">
        <v>0.99999997760026904</v>
      </c>
    </row>
    <row r="958" spans="1:40" x14ac:dyDescent="0.25">
      <c r="A958" t="str">
        <f>"20190312172631037"</f>
        <v>20190312172631037</v>
      </c>
      <c r="B958" t="str">
        <f>"1552382791029576"</f>
        <v>1552382791029576</v>
      </c>
      <c r="C958" t="s">
        <v>40</v>
      </c>
      <c r="D958">
        <v>3.3165269999999998</v>
      </c>
      <c r="E958">
        <v>0.5618126</v>
      </c>
      <c r="F958" t="s">
        <v>46</v>
      </c>
      <c r="G958">
        <v>-201.6189</v>
      </c>
      <c r="H958" s="1">
        <v>-3.1759529999999999E-6</v>
      </c>
      <c r="I958">
        <v>360.94589999999999</v>
      </c>
      <c r="J958">
        <v>-215.0215</v>
      </c>
      <c r="K958">
        <v>1.107243</v>
      </c>
      <c r="L958">
        <v>367.30470000000003</v>
      </c>
      <c r="M958">
        <v>0.9953689</v>
      </c>
      <c r="N958">
        <v>0</v>
      </c>
      <c r="O958">
        <v>-9.5055210000000001E-2</v>
      </c>
      <c r="P958">
        <v>0.94801809999999997</v>
      </c>
      <c r="Q958">
        <v>0.169811299999999</v>
      </c>
      <c r="R958">
        <v>-0.26912019999999998</v>
      </c>
      <c r="S958">
        <v>2.8335569999999999</v>
      </c>
      <c r="T958">
        <v>-0.22917399999999999</v>
      </c>
      <c r="U958">
        <v>-1.322327</v>
      </c>
      <c r="V958">
        <v>0.17911160000000001</v>
      </c>
      <c r="W958">
        <v>0.18237639999999999</v>
      </c>
      <c r="X958">
        <v>0.96677709999999994</v>
      </c>
      <c r="Y958">
        <v>0.33418900000000001</v>
      </c>
      <c r="Z958">
        <v>-5.5774689999999998E-3</v>
      </c>
      <c r="AA958">
        <v>0.94248960000000004</v>
      </c>
      <c r="AB958">
        <v>30</v>
      </c>
      <c r="AC958">
        <v>13.4026</v>
      </c>
      <c r="AD958">
        <v>-1.1072461759529999</v>
      </c>
      <c r="AE958">
        <v>-6.3588000000000298</v>
      </c>
      <c r="AF958">
        <v>5.0278730370762297</v>
      </c>
      <c r="AG958">
        <v>-1.1072461759529999</v>
      </c>
      <c r="AH958">
        <v>13.869133639619699</v>
      </c>
      <c r="AI958">
        <v>94.292314614074002</v>
      </c>
      <c r="AJ958">
        <v>70.073279786989403</v>
      </c>
      <c r="AK958">
        <v>14.793862554612</v>
      </c>
      <c r="AL958">
        <v>79.491791328632004</v>
      </c>
      <c r="AM958">
        <v>79.5040076238312</v>
      </c>
      <c r="AN958">
        <v>1.00000003880796</v>
      </c>
    </row>
    <row r="959" spans="1:40" x14ac:dyDescent="0.25">
      <c r="A959" t="str">
        <f>"20190312172631058"</f>
        <v>20190312172631058</v>
      </c>
      <c r="B959" t="str">
        <f>"1552382791050069"</f>
        <v>1552382791050069</v>
      </c>
      <c r="C959" t="s">
        <v>40</v>
      </c>
      <c r="D959">
        <v>3.3029809999999999</v>
      </c>
      <c r="E959">
        <v>0.56187189999999998</v>
      </c>
      <c r="F959" t="s">
        <v>46</v>
      </c>
      <c r="G959">
        <v>-201.42670000000001</v>
      </c>
      <c r="H959" s="1">
        <v>-3.0980190000000001E-6</v>
      </c>
      <c r="I959">
        <v>360.8612</v>
      </c>
      <c r="J959">
        <v>-214.72819999999999</v>
      </c>
      <c r="K959">
        <v>1.107167</v>
      </c>
      <c r="L959">
        <v>367.27260000000001</v>
      </c>
      <c r="M959">
        <v>0.99498830000000005</v>
      </c>
      <c r="N959">
        <v>0</v>
      </c>
      <c r="O959">
        <v>-9.8959630000000007E-2</v>
      </c>
      <c r="P959">
        <v>0.94644170000000005</v>
      </c>
      <c r="Q959">
        <v>0.16960910000000001</v>
      </c>
      <c r="R959">
        <v>-0.27473769999999997</v>
      </c>
      <c r="S959">
        <v>2.8255309999999998</v>
      </c>
      <c r="T959">
        <v>-0.23013059999999999</v>
      </c>
      <c r="U959">
        <v>-1.3392329999999999</v>
      </c>
      <c r="V959">
        <v>0.18108630000000001</v>
      </c>
      <c r="W959">
        <v>0.18212420000000001</v>
      </c>
      <c r="X959">
        <v>0.96645669999999995</v>
      </c>
      <c r="Y959">
        <v>0.33613140000000002</v>
      </c>
      <c r="Z959">
        <v>-5.3866119999999998E-3</v>
      </c>
      <c r="AA959">
        <v>0.94179970000000002</v>
      </c>
      <c r="AB959">
        <v>30</v>
      </c>
      <c r="AC959">
        <v>13.3014999999999</v>
      </c>
      <c r="AD959">
        <v>-1.107170098019</v>
      </c>
      <c r="AE959">
        <v>-6.4114000000000102</v>
      </c>
      <c r="AF959">
        <v>5.0351678473397001</v>
      </c>
      <c r="AG959">
        <v>-1.107170098019</v>
      </c>
      <c r="AH959">
        <v>13.793183354211999</v>
      </c>
      <c r="AI959">
        <v>94.312078939567101</v>
      </c>
      <c r="AJ959">
        <v>69.945513556326603</v>
      </c>
      <c r="AK959">
        <v>14.7251705565586</v>
      </c>
      <c r="AL959">
        <v>79.506487174000597</v>
      </c>
      <c r="AM959">
        <v>79.387465457479195</v>
      </c>
      <c r="AN959">
        <v>1.0000000126241</v>
      </c>
    </row>
    <row r="960" spans="1:40" x14ac:dyDescent="0.25">
      <c r="A960" t="str">
        <f>"20190312172631081"</f>
        <v>20190312172631081</v>
      </c>
      <c r="B960" t="str">
        <f>"1552382791069590"</f>
        <v>1552382791069590</v>
      </c>
      <c r="C960" t="s">
        <v>40</v>
      </c>
      <c r="D960">
        <v>3.309561</v>
      </c>
      <c r="E960">
        <v>0.5619267</v>
      </c>
      <c r="F960" t="s">
        <v>46</v>
      </c>
      <c r="G960">
        <v>-201.2259</v>
      </c>
      <c r="H960" s="1">
        <v>-3.0162539999999998E-6</v>
      </c>
      <c r="I960">
        <v>360.77420000000001</v>
      </c>
      <c r="J960">
        <v>-214.43600000000001</v>
      </c>
      <c r="K960">
        <v>1.107092</v>
      </c>
      <c r="L960">
        <v>367.23930000000001</v>
      </c>
      <c r="M960">
        <v>0.99458500000000005</v>
      </c>
      <c r="N960">
        <v>0</v>
      </c>
      <c r="O960">
        <v>-0.1029342</v>
      </c>
      <c r="P960">
        <v>0.94479880000000005</v>
      </c>
      <c r="Q960">
        <v>0.1695711</v>
      </c>
      <c r="R960">
        <v>-0.28035860000000001</v>
      </c>
      <c r="S960">
        <v>2.8175349999999999</v>
      </c>
      <c r="T960">
        <v>-0.23103499999999999</v>
      </c>
      <c r="U960">
        <v>-1.3560179999999999</v>
      </c>
      <c r="V960">
        <v>0.18300459999999999</v>
      </c>
      <c r="W960">
        <v>0.18203839999999999</v>
      </c>
      <c r="X960">
        <v>0.96611150000000001</v>
      </c>
      <c r="Y960">
        <v>0.3379684</v>
      </c>
      <c r="Z960">
        <v>-5.1829830000000004E-3</v>
      </c>
      <c r="AA960">
        <v>0.94114319999999896</v>
      </c>
      <c r="AB960">
        <v>30</v>
      </c>
      <c r="AC960">
        <v>13.210099999999899</v>
      </c>
      <c r="AD960">
        <v>-1.1070950162540001</v>
      </c>
      <c r="AE960">
        <v>-6.4650999999999996</v>
      </c>
      <c r="AF960">
        <v>5.0422694243254798</v>
      </c>
      <c r="AG960">
        <v>-1.1070950162540001</v>
      </c>
      <c r="AH960">
        <v>13.727677848996199</v>
      </c>
      <c r="AI960">
        <v>94.329137279419399</v>
      </c>
      <c r="AJ960">
        <v>69.831372946868697</v>
      </c>
      <c r="AK960">
        <v>14.666263308979699</v>
      </c>
      <c r="AL960">
        <v>79.511487086961097</v>
      </c>
      <c r="AM960">
        <v>79.273894765691395</v>
      </c>
      <c r="AN960">
        <v>1.00000004656398</v>
      </c>
    </row>
    <row r="961" spans="1:40" x14ac:dyDescent="0.25">
      <c r="A961" t="str">
        <f>"20190312172631104"</f>
        <v>20190312172631104</v>
      </c>
      <c r="B961" t="str">
        <f>"1552382791099846"</f>
        <v>1552382791099846</v>
      </c>
      <c r="C961" t="s">
        <v>40</v>
      </c>
      <c r="D961">
        <v>3.3253189999999999</v>
      </c>
      <c r="E961">
        <v>0.56183050000000001</v>
      </c>
      <c r="F961" t="s">
        <v>46</v>
      </c>
      <c r="G961">
        <v>-200.99510000000001</v>
      </c>
      <c r="H961" s="1">
        <v>-2.9232420000000001E-6</v>
      </c>
      <c r="I961">
        <v>360.66980000000001</v>
      </c>
      <c r="J961">
        <v>-214.13220000000001</v>
      </c>
      <c r="K961">
        <v>1.107019</v>
      </c>
      <c r="L961">
        <v>367.20330000000001</v>
      </c>
      <c r="M961">
        <v>0.99413949999999995</v>
      </c>
      <c r="N961">
        <v>0</v>
      </c>
      <c r="O961">
        <v>-0.1071507</v>
      </c>
      <c r="P961">
        <v>0.94308380000000003</v>
      </c>
      <c r="Q961">
        <v>0.1694937</v>
      </c>
      <c r="R961">
        <v>-0.28612140000000003</v>
      </c>
      <c r="S961">
        <v>2.8093409999999999</v>
      </c>
      <c r="T961">
        <v>-0.2313981</v>
      </c>
      <c r="U961">
        <v>-1.373108</v>
      </c>
      <c r="V961">
        <v>0.18483949999999999</v>
      </c>
      <c r="W961">
        <v>0.18191360000000001</v>
      </c>
      <c r="X961">
        <v>0.96578560000000002</v>
      </c>
      <c r="Y961">
        <v>0.33968609999999999</v>
      </c>
      <c r="Z961">
        <v>-4.9426920000000003E-3</v>
      </c>
      <c r="AA961">
        <v>0.94052590000000003</v>
      </c>
      <c r="AB961">
        <v>30</v>
      </c>
      <c r="AC961">
        <v>13.1371</v>
      </c>
      <c r="AD961">
        <v>-1.107021923242</v>
      </c>
      <c r="AE961">
        <v>-6.5335000000000001</v>
      </c>
      <c r="AF961">
        <v>5.0592818132003998</v>
      </c>
      <c r="AG961">
        <v>-1.107021923242</v>
      </c>
      <c r="AH961">
        <v>13.6836933265421</v>
      </c>
      <c r="AI961">
        <v>94.339312997507307</v>
      </c>
      <c r="AJ961">
        <v>69.7090981477523</v>
      </c>
      <c r="AK961">
        <v>14.630970338934199</v>
      </c>
      <c r="AL961">
        <v>79.518758652096395</v>
      </c>
      <c r="AM961">
        <v>79.165312531152694</v>
      </c>
      <c r="AN961">
        <v>1.00000001189628</v>
      </c>
    </row>
    <row r="962" spans="1:40" x14ac:dyDescent="0.25">
      <c r="A962" t="str">
        <f>"20190312172631127"</f>
        <v>20190312172631127</v>
      </c>
      <c r="B962" t="str">
        <f>"1552382791119366"</f>
        <v>1552382791119366</v>
      </c>
      <c r="C962" t="s">
        <v>40</v>
      </c>
      <c r="D962">
        <v>3.317901</v>
      </c>
      <c r="E962">
        <v>0.56177200000000005</v>
      </c>
      <c r="F962" t="s">
        <v>46</v>
      </c>
      <c r="G962">
        <v>-200.7773</v>
      </c>
      <c r="H962" s="1">
        <v>-2.8343410000000002E-6</v>
      </c>
      <c r="I962">
        <v>360.57639999999998</v>
      </c>
      <c r="J962">
        <v>-213.8407</v>
      </c>
      <c r="K962">
        <v>1.106949</v>
      </c>
      <c r="L962">
        <v>367.16750000000002</v>
      </c>
      <c r="M962">
        <v>0.99368639999999997</v>
      </c>
      <c r="N962">
        <v>0</v>
      </c>
      <c r="O962">
        <v>-0.11127430000000001</v>
      </c>
      <c r="P962">
        <v>0.94161349999999999</v>
      </c>
      <c r="Q962">
        <v>0.16928460000000001</v>
      </c>
      <c r="R962">
        <v>-0.29104469999999999</v>
      </c>
      <c r="S962">
        <v>2.8010860000000002</v>
      </c>
      <c r="T962">
        <v>-0.23218929999999999</v>
      </c>
      <c r="U962">
        <v>-1.3899539999999999</v>
      </c>
      <c r="V962">
        <v>0.18590490000000001</v>
      </c>
      <c r="W962">
        <v>0.181667</v>
      </c>
      <c r="X962">
        <v>0.96562749999999997</v>
      </c>
      <c r="Y962">
        <v>0.34142800000000001</v>
      </c>
      <c r="Z962">
        <v>-4.7181419999999998E-3</v>
      </c>
      <c r="AA962">
        <v>0.93989610000000001</v>
      </c>
      <c r="AB962">
        <v>29</v>
      </c>
      <c r="AC962">
        <v>13.0634</v>
      </c>
      <c r="AD962">
        <v>-1.1069518343410001</v>
      </c>
      <c r="AE962">
        <v>-6.5911000000000399</v>
      </c>
      <c r="AF962">
        <v>5.0673866204930702</v>
      </c>
      <c r="AG962">
        <v>-1.1069518343410001</v>
      </c>
      <c r="AH962">
        <v>13.637697998072101</v>
      </c>
      <c r="AI962">
        <v>94.351015742758406</v>
      </c>
      <c r="AJ962">
        <v>69.616343923680603</v>
      </c>
      <c r="AK962">
        <v>14.5907695551579</v>
      </c>
      <c r="AL962">
        <v>79.533127081233502</v>
      </c>
      <c r="AM962">
        <v>79.102611660146806</v>
      </c>
      <c r="AN962">
        <v>0.99999999974462905</v>
      </c>
    </row>
    <row r="963" spans="1:40" x14ac:dyDescent="0.25">
      <c r="A963" t="str">
        <f>"20190312172631149"</f>
        <v>20190312172631149</v>
      </c>
      <c r="B963" t="str">
        <f>"1552382791139865"</f>
        <v>1552382791139865</v>
      </c>
      <c r="C963" t="s">
        <v>40</v>
      </c>
      <c r="D963">
        <v>3.285183</v>
      </c>
      <c r="E963">
        <v>0.56166260000000001</v>
      </c>
      <c r="F963" t="s">
        <v>46</v>
      </c>
      <c r="G963">
        <v>-200.50989999999999</v>
      </c>
      <c r="H963" s="1">
        <v>-2.7245919999999999E-6</v>
      </c>
      <c r="I963">
        <v>360.46460000000002</v>
      </c>
      <c r="J963">
        <v>-213.54570000000001</v>
      </c>
      <c r="K963">
        <v>1.106886</v>
      </c>
      <c r="L963">
        <v>367.12990000000002</v>
      </c>
      <c r="M963">
        <v>0.99320070000000005</v>
      </c>
      <c r="N963">
        <v>0</v>
      </c>
      <c r="O963">
        <v>-0.11553040000000001</v>
      </c>
      <c r="P963">
        <v>0.94014600000000004</v>
      </c>
      <c r="Q963">
        <v>0.1686935</v>
      </c>
      <c r="R963">
        <v>-0.29608830000000003</v>
      </c>
      <c r="S963">
        <v>2.7935490000000001</v>
      </c>
      <c r="T963">
        <v>-0.23196910000000001</v>
      </c>
      <c r="U963">
        <v>-1.404633</v>
      </c>
      <c r="V963">
        <v>0.1869595</v>
      </c>
      <c r="W963">
        <v>0.18103859999999999</v>
      </c>
      <c r="X963">
        <v>0.96554189999999995</v>
      </c>
      <c r="Y963">
        <v>0.34237109999999998</v>
      </c>
      <c r="Z963">
        <v>-4.4303149999999998E-3</v>
      </c>
      <c r="AA963">
        <v>0.93955440000000001</v>
      </c>
      <c r="AB963">
        <v>29</v>
      </c>
      <c r="AC963">
        <v>13.0358</v>
      </c>
      <c r="AD963">
        <v>-1.1068887245920001</v>
      </c>
      <c r="AE963">
        <v>-6.6653000000000002</v>
      </c>
      <c r="AF963">
        <v>5.0854074022223203</v>
      </c>
      <c r="AG963">
        <v>-1.1068887245920001</v>
      </c>
      <c r="AH963">
        <v>13.6406518026981</v>
      </c>
      <c r="AI963">
        <v>94.348073054058702</v>
      </c>
      <c r="AJ963">
        <v>69.553909029801702</v>
      </c>
      <c r="AK963">
        <v>14.599792899135799</v>
      </c>
      <c r="AL963">
        <v>79.569738792161004</v>
      </c>
      <c r="AM963">
        <v>79.0413374290424</v>
      </c>
      <c r="AN963">
        <v>0.99999999499291004</v>
      </c>
    </row>
    <row r="964" spans="1:40" x14ac:dyDescent="0.25">
      <c r="A964" t="str">
        <f>"20190312172631171"</f>
        <v>20190312172631171</v>
      </c>
      <c r="B964" t="str">
        <f>"1552382791159381"</f>
        <v>1552382791159381</v>
      </c>
      <c r="C964" t="s">
        <v>40</v>
      </c>
      <c r="D964">
        <v>3.271525</v>
      </c>
      <c r="E964">
        <v>0.56156099999999998</v>
      </c>
      <c r="F964" t="s">
        <v>46</v>
      </c>
      <c r="G964">
        <v>-200.34559999999999</v>
      </c>
      <c r="H964" s="1">
        <v>-2.6494590000000001E-6</v>
      </c>
      <c r="I964">
        <v>360.40730000000002</v>
      </c>
      <c r="J964">
        <v>-213.26499999999999</v>
      </c>
      <c r="K964">
        <v>1.106816</v>
      </c>
      <c r="L964">
        <v>367.09269999999998</v>
      </c>
      <c r="M964">
        <v>0.99271109999999896</v>
      </c>
      <c r="N964">
        <v>0</v>
      </c>
      <c r="O964">
        <v>-0.11966300000000001</v>
      </c>
      <c r="P964">
        <v>0.93873839999999997</v>
      </c>
      <c r="Q964">
        <v>0.16885320000000001</v>
      </c>
      <c r="R964">
        <v>-0.30043180000000003</v>
      </c>
      <c r="S964">
        <v>2.786041</v>
      </c>
      <c r="T964">
        <v>-0.23362160000000001</v>
      </c>
      <c r="U964">
        <v>-1.418884</v>
      </c>
      <c r="V964">
        <v>0.18743799999999999</v>
      </c>
      <c r="W964">
        <v>0.1811681</v>
      </c>
      <c r="X964">
        <v>0.96542479999999997</v>
      </c>
      <c r="Y964">
        <v>0.343300299999999</v>
      </c>
      <c r="Z964">
        <v>-4.1850769999999997E-3</v>
      </c>
      <c r="AA964">
        <v>0.93921639999999995</v>
      </c>
      <c r="AB964">
        <v>29</v>
      </c>
      <c r="AC964">
        <v>12.9193999999999</v>
      </c>
      <c r="AD964">
        <v>-1.106818649459</v>
      </c>
      <c r="AE964">
        <v>-6.6853999999999596</v>
      </c>
      <c r="AF964">
        <v>5.0619146764140401</v>
      </c>
      <c r="AG964">
        <v>-1.106818649459</v>
      </c>
      <c r="AH964">
        <v>13.548192046586101</v>
      </c>
      <c r="AI964">
        <v>94.3761982904402</v>
      </c>
      <c r="AJ964">
        <v>69.5131609180293</v>
      </c>
      <c r="AK964">
        <v>14.50522441899</v>
      </c>
      <c r="AL964">
        <v>79.562193909223794</v>
      </c>
      <c r="AM964">
        <v>79.012671530061795</v>
      </c>
      <c r="AN964">
        <v>0.99999996437832395</v>
      </c>
    </row>
    <row r="965" spans="1:40" x14ac:dyDescent="0.25">
      <c r="A965" t="str">
        <f>"20190312172631184"</f>
        <v>20190312172631184</v>
      </c>
      <c r="B965" t="str">
        <f>"1552382791179877"</f>
        <v>1552382791179877</v>
      </c>
      <c r="C965" t="s">
        <v>40</v>
      </c>
      <c r="D965">
        <v>3.2852589999999902</v>
      </c>
      <c r="E965">
        <v>0.56148699999999996</v>
      </c>
      <c r="F965" t="s">
        <v>46</v>
      </c>
      <c r="G965">
        <v>-200.0719</v>
      </c>
      <c r="H965" s="1">
        <v>-2.5160109999999998E-6</v>
      </c>
      <c r="I965">
        <v>360.3</v>
      </c>
      <c r="J965">
        <v>-213.07</v>
      </c>
      <c r="K965">
        <v>1.1067769999999999</v>
      </c>
      <c r="L965">
        <v>367.06619999999998</v>
      </c>
      <c r="M965">
        <v>0.99235620000000002</v>
      </c>
      <c r="N965">
        <v>0</v>
      </c>
      <c r="O965">
        <v>-0.122571</v>
      </c>
      <c r="P965">
        <v>0.93780450000000004</v>
      </c>
      <c r="Q965">
        <v>0.16858890000000001</v>
      </c>
      <c r="R965">
        <v>-0.30348130000000001</v>
      </c>
      <c r="S965">
        <v>2.779709</v>
      </c>
      <c r="T965">
        <v>-0.2332003</v>
      </c>
      <c r="U965">
        <v>-1.4311830000000001</v>
      </c>
      <c r="V965">
        <v>0.18775720000000001</v>
      </c>
      <c r="W965">
        <v>0.1808853</v>
      </c>
      <c r="X965">
        <v>0.96541580000000005</v>
      </c>
      <c r="Y965">
        <v>0.34470980000000001</v>
      </c>
      <c r="Z965">
        <v>-4.0134990000000002E-3</v>
      </c>
      <c r="AA965">
        <v>0.93870070000000005</v>
      </c>
      <c r="AB965">
        <v>29</v>
      </c>
      <c r="AC965">
        <v>12.9980999999999</v>
      </c>
      <c r="AD965">
        <v>-1.1067795160109899</v>
      </c>
      <c r="AE965">
        <v>-6.7661999999999596</v>
      </c>
      <c r="AF965">
        <v>5.0927645630157796</v>
      </c>
      <c r="AG965">
        <v>-1.1067795160109899</v>
      </c>
      <c r="AH965">
        <v>13.6516189069148</v>
      </c>
      <c r="AI965">
        <v>94.343827171277795</v>
      </c>
      <c r="AJ965">
        <v>69.541866120971207</v>
      </c>
      <c r="AK965">
        <v>14.612594245068401</v>
      </c>
      <c r="AL965">
        <v>79.578669339884797</v>
      </c>
      <c r="AM965">
        <v>78.994316906671102</v>
      </c>
      <c r="AN965">
        <v>0.99999996239878397</v>
      </c>
    </row>
    <row r="966" spans="1:40" x14ac:dyDescent="0.25">
      <c r="A966" t="str">
        <f>"20190312172631206"</f>
        <v>20190312172631206</v>
      </c>
      <c r="B966" t="str">
        <f>"1552382791199398"</f>
        <v>1552382791199398</v>
      </c>
      <c r="C966" t="s">
        <v>40</v>
      </c>
      <c r="D966">
        <v>3.2800699999999998</v>
      </c>
      <c r="E966">
        <v>0.56141839999999998</v>
      </c>
      <c r="F966" t="s">
        <v>46</v>
      </c>
      <c r="G966">
        <v>-199.95</v>
      </c>
      <c r="H966" s="1">
        <v>-1.024641E-5</v>
      </c>
      <c r="I966">
        <v>360.2636</v>
      </c>
      <c r="J966">
        <v>-212.80779999999999</v>
      </c>
      <c r="K966">
        <v>1.106724</v>
      </c>
      <c r="L966">
        <v>367.02960000000002</v>
      </c>
      <c r="M966">
        <v>0.99185909999999999</v>
      </c>
      <c r="N966">
        <v>0</v>
      </c>
      <c r="O966">
        <v>-0.1265308</v>
      </c>
      <c r="P966">
        <v>0.93660279999999996</v>
      </c>
      <c r="Q966">
        <v>0.16736119999999999</v>
      </c>
      <c r="R966">
        <v>-0.30784</v>
      </c>
      <c r="S966">
        <v>2.77536</v>
      </c>
      <c r="T966">
        <v>-0.234126</v>
      </c>
      <c r="U966">
        <v>-1.438995</v>
      </c>
      <c r="V966">
        <v>0.18837809999999999</v>
      </c>
      <c r="W966">
        <v>0.179635299999999</v>
      </c>
      <c r="X966">
        <v>0.96552819999999995</v>
      </c>
      <c r="Y966">
        <v>0.34365570000000001</v>
      </c>
      <c r="Z966">
        <v>-3.6839659999999999E-3</v>
      </c>
      <c r="AA966">
        <v>0.93908849999999999</v>
      </c>
      <c r="AB966">
        <v>29</v>
      </c>
      <c r="AC966">
        <v>12.8577999999999</v>
      </c>
      <c r="AD966">
        <v>-1.1067342464100001</v>
      </c>
      <c r="AE966">
        <v>-6.7660000000000098</v>
      </c>
      <c r="AF966">
        <v>5.0552019328149402</v>
      </c>
      <c r="AG966">
        <v>-1.1067342464100001</v>
      </c>
      <c r="AH966">
        <v>13.532115351346</v>
      </c>
      <c r="AI966">
        <v>94.381119001040005</v>
      </c>
      <c r="AJ966">
        <v>69.515784496684304</v>
      </c>
      <c r="AK966">
        <v>14.4878595091148</v>
      </c>
      <c r="AL966">
        <v>79.651481450316993</v>
      </c>
      <c r="AM966">
        <v>78.960068575656805</v>
      </c>
      <c r="AN966">
        <v>0.99999992728046705</v>
      </c>
    </row>
    <row r="967" spans="1:40" x14ac:dyDescent="0.25">
      <c r="A967" t="str">
        <f>"20190312172631226"</f>
        <v>20190312172631226</v>
      </c>
      <c r="B967" t="str">
        <f>"1552382791219893"</f>
        <v>1552382791219893</v>
      </c>
      <c r="C967" t="s">
        <v>40</v>
      </c>
      <c r="D967">
        <v>3.2907099999999998</v>
      </c>
      <c r="E967">
        <v>0.56136119999999901</v>
      </c>
      <c r="F967" t="s">
        <v>46</v>
      </c>
      <c r="G967">
        <v>-199.9442</v>
      </c>
      <c r="H967" s="1">
        <v>-1.0240710000000001E-5</v>
      </c>
      <c r="I967">
        <v>360.28859999999997</v>
      </c>
      <c r="J967">
        <v>-212.5284</v>
      </c>
      <c r="K967">
        <v>1.1066689999999999</v>
      </c>
      <c r="L967">
        <v>366.98930000000001</v>
      </c>
      <c r="M967">
        <v>0.99130240000000003</v>
      </c>
      <c r="N967">
        <v>0</v>
      </c>
      <c r="O967">
        <v>-0.1308194</v>
      </c>
      <c r="P967">
        <v>0.93539450000000002</v>
      </c>
      <c r="Q967">
        <v>0.16638069999999999</v>
      </c>
      <c r="R967">
        <v>-0.3120174</v>
      </c>
      <c r="S967">
        <v>2.7687379999999999</v>
      </c>
      <c r="T967">
        <v>-0.2382118</v>
      </c>
      <c r="U967">
        <v>-1.450928</v>
      </c>
      <c r="V967">
        <v>0.1885018</v>
      </c>
      <c r="W967">
        <v>0.17863609999999999</v>
      </c>
      <c r="X967">
        <v>0.96568949999999998</v>
      </c>
      <c r="Y967">
        <v>0.34368349999999998</v>
      </c>
      <c r="Z967">
        <v>-3.4157380000000002E-3</v>
      </c>
      <c r="AA967">
        <v>0.93907929999999995</v>
      </c>
      <c r="AB967">
        <v>29</v>
      </c>
      <c r="AC967">
        <v>12.584199999999999</v>
      </c>
      <c r="AD967">
        <v>-1.1066792407099999</v>
      </c>
      <c r="AE967">
        <v>-6.7007000000000403</v>
      </c>
      <c r="AF967">
        <v>4.9667499405168503</v>
      </c>
      <c r="AG967">
        <v>-1.1066792407099999</v>
      </c>
      <c r="AH967">
        <v>13.2727295422418</v>
      </c>
      <c r="AI967">
        <v>94.465245441239006</v>
      </c>
      <c r="AJ967">
        <v>69.483792874019699</v>
      </c>
      <c r="AK967">
        <v>14.2147350807161</v>
      </c>
      <c r="AL967">
        <v>79.709673411397702</v>
      </c>
      <c r="AM967">
        <v>78.954797202608205</v>
      </c>
      <c r="AN967">
        <v>0.99999999761834901</v>
      </c>
    </row>
    <row r="968" spans="1:40" x14ac:dyDescent="0.25">
      <c r="A968" t="str">
        <f>"20190312172631249"</f>
        <v>20190312172631249</v>
      </c>
      <c r="B968" t="str">
        <f>"1552382791239413"</f>
        <v>1552382791239413</v>
      </c>
      <c r="C968" t="s">
        <v>40</v>
      </c>
      <c r="D968">
        <v>3.2755480000000001</v>
      </c>
      <c r="E968">
        <v>0.56124719999999995</v>
      </c>
      <c r="F968" t="s">
        <v>46</v>
      </c>
      <c r="G968">
        <v>-199.8304</v>
      </c>
      <c r="H968" s="1">
        <v>-1.0203539999999999E-5</v>
      </c>
      <c r="I968">
        <v>360.25920000000002</v>
      </c>
      <c r="J968">
        <v>-212.2415</v>
      </c>
      <c r="K968">
        <v>1.106606</v>
      </c>
      <c r="L968">
        <v>366.94659999999999</v>
      </c>
      <c r="M968">
        <v>0.99070020000000003</v>
      </c>
      <c r="N968">
        <v>0</v>
      </c>
      <c r="O968">
        <v>-0.13530529999999999</v>
      </c>
      <c r="P968">
        <v>0.93381420000000004</v>
      </c>
      <c r="Q968">
        <v>0.16539799999999999</v>
      </c>
      <c r="R968">
        <v>-0.3172297</v>
      </c>
      <c r="S968">
        <v>2.761765</v>
      </c>
      <c r="T968">
        <v>-0.2406973</v>
      </c>
      <c r="U968">
        <v>-1.463776</v>
      </c>
      <c r="V968">
        <v>0.1895097</v>
      </c>
      <c r="W968">
        <v>0.17762349999999999</v>
      </c>
      <c r="X968">
        <v>0.96567899999999995</v>
      </c>
      <c r="Y968">
        <v>0.34382410000000002</v>
      </c>
      <c r="Z968">
        <v>-3.1041480000000002E-3</v>
      </c>
      <c r="AA968">
        <v>0.93902890000000006</v>
      </c>
      <c r="AB968">
        <v>29</v>
      </c>
      <c r="AC968">
        <v>12.411099999999999</v>
      </c>
      <c r="AD968">
        <v>-1.10661620354</v>
      </c>
      <c r="AE968">
        <v>-6.6873999999999603</v>
      </c>
      <c r="AF968">
        <v>4.9161396000025199</v>
      </c>
      <c r="AG968">
        <v>-1.10661620354</v>
      </c>
      <c r="AH968">
        <v>13.1210344636567</v>
      </c>
      <c r="AI968">
        <v>94.515707676215698</v>
      </c>
      <c r="AJ968">
        <v>69.460220583420295</v>
      </c>
      <c r="AK968">
        <v>14.055410822352901</v>
      </c>
      <c r="AL968">
        <v>79.768633923311697</v>
      </c>
      <c r="AM968">
        <v>78.897085528932905</v>
      </c>
      <c r="AN968">
        <v>0.99999998259366896</v>
      </c>
    </row>
    <row r="969" spans="1:40" x14ac:dyDescent="0.25">
      <c r="A969" t="str">
        <f>"20190312172631394"</f>
        <v>20190312172631394</v>
      </c>
      <c r="B969" t="str">
        <f>"1552382791389718"</f>
        <v>1552382791389718</v>
      </c>
      <c r="C969" t="s">
        <v>40</v>
      </c>
      <c r="D969">
        <v>3.1247739999999999</v>
      </c>
      <c r="E969">
        <v>0.62904780000000005</v>
      </c>
      <c r="F969" t="s">
        <v>46</v>
      </c>
      <c r="G969">
        <v>-199.74029999999999</v>
      </c>
      <c r="H969" s="1">
        <v>-1.017425E-5</v>
      </c>
      <c r="I969">
        <v>360.23509999999999</v>
      </c>
      <c r="J969">
        <v>-210.3663</v>
      </c>
      <c r="K969">
        <v>1.106233</v>
      </c>
      <c r="L969">
        <v>366.63099999999997</v>
      </c>
      <c r="M969">
        <v>0.9859213</v>
      </c>
      <c r="N969">
        <v>0</v>
      </c>
      <c r="O969">
        <v>-0.16659179999999901</v>
      </c>
      <c r="P969">
        <v>0.91951430000000001</v>
      </c>
      <c r="Q969">
        <v>0.164911</v>
      </c>
      <c r="R969">
        <v>-0.35678910000000003</v>
      </c>
      <c r="S969">
        <v>2.7536160000000001</v>
      </c>
      <c r="T969">
        <v>-0.24375160000000001</v>
      </c>
      <c r="U969">
        <v>-1.4783329999999999</v>
      </c>
      <c r="V969">
        <v>0.20032369999999999</v>
      </c>
      <c r="W969">
        <v>0.17684830000000001</v>
      </c>
      <c r="X969">
        <v>0.96363639999999995</v>
      </c>
      <c r="Y969">
        <v>0.31915209999999999</v>
      </c>
      <c r="Z969">
        <v>3.9238860000000001E-4</v>
      </c>
      <c r="AA969">
        <v>0.94770350000000003</v>
      </c>
      <c r="AB969">
        <v>29</v>
      </c>
      <c r="AC969">
        <v>10.625999999999999</v>
      </c>
      <c r="AD969">
        <v>-1.1062431742500001</v>
      </c>
      <c r="AE969">
        <v>-6.3958999999999797</v>
      </c>
      <c r="AF969">
        <v>4.5003135362995099</v>
      </c>
      <c r="AG969">
        <v>-1.1062431742500001</v>
      </c>
      <c r="AH969">
        <v>11.4519843212022</v>
      </c>
      <c r="AI969">
        <v>95.137397166119101</v>
      </c>
      <c r="AJ969">
        <v>68.546544066000607</v>
      </c>
      <c r="AK969">
        <v>12.3541305148779</v>
      </c>
      <c r="AL969">
        <v>79.813764365347296</v>
      </c>
      <c r="AM969">
        <v>78.256437954390506</v>
      </c>
      <c r="AN969">
        <v>1.00000000869976</v>
      </c>
    </row>
    <row r="970" spans="1:40" x14ac:dyDescent="0.25">
      <c r="A970" t="str">
        <f>"20190312172631417"</f>
        <v>20190312172631417</v>
      </c>
      <c r="B970" t="str">
        <f>"1552382791409238"</f>
        <v>1552382791409238</v>
      </c>
      <c r="C970" t="s">
        <v>40</v>
      </c>
      <c r="D970">
        <v>3.2272669999999999</v>
      </c>
      <c r="E970">
        <v>0.63346269999999905</v>
      </c>
      <c r="F970" t="s">
        <v>46</v>
      </c>
      <c r="G970">
        <v>-203.1317</v>
      </c>
      <c r="H970" s="1">
        <v>-4.026127E-6</v>
      </c>
      <c r="I970">
        <v>360.54489999999998</v>
      </c>
      <c r="J970">
        <v>-210.0805</v>
      </c>
      <c r="K970">
        <v>1.1061650000000001</v>
      </c>
      <c r="L970">
        <v>366.577</v>
      </c>
      <c r="M970">
        <v>0.98504159999999996</v>
      </c>
      <c r="N970">
        <v>0</v>
      </c>
      <c r="O970">
        <v>-0.17171639999999999</v>
      </c>
      <c r="P970">
        <v>0.9169699</v>
      </c>
      <c r="Q970">
        <v>0.1649436</v>
      </c>
      <c r="R970">
        <v>-0.363263</v>
      </c>
      <c r="S970">
        <v>2.5116420000000002</v>
      </c>
      <c r="T970">
        <v>-0.38405509999999998</v>
      </c>
      <c r="U970">
        <v>-2.1129150000000001</v>
      </c>
      <c r="V970">
        <v>0.20214299999999999</v>
      </c>
      <c r="W970">
        <v>0.1768276</v>
      </c>
      <c r="X970">
        <v>0.96326020000000001</v>
      </c>
      <c r="Y970">
        <v>0.50059370000000003</v>
      </c>
      <c r="Z970">
        <v>-1.0803399999999999E-2</v>
      </c>
      <c r="AA970">
        <v>0.86561499999999902</v>
      </c>
      <c r="AB970">
        <v>29</v>
      </c>
      <c r="AC970">
        <v>6.9488000000000003</v>
      </c>
      <c r="AD970">
        <v>-1.1061690261270001</v>
      </c>
      <c r="AE970">
        <v>-6.0321000000000096</v>
      </c>
      <c r="AF970">
        <v>4.6814840412326397</v>
      </c>
      <c r="AG970">
        <v>-1.1061690261270001</v>
      </c>
      <c r="AH970">
        <v>7.7692073583649801</v>
      </c>
      <c r="AI970">
        <v>96.952901186540998</v>
      </c>
      <c r="AJ970">
        <v>58.928133199997902</v>
      </c>
      <c r="AK970">
        <v>9.1378600186231402</v>
      </c>
      <c r="AL970">
        <v>79.814969317636496</v>
      </c>
      <c r="AM970">
        <v>78.148290289609903</v>
      </c>
      <c r="AN970">
        <v>1.0000000027373901</v>
      </c>
    </row>
    <row r="971" spans="1:40" x14ac:dyDescent="0.25">
      <c r="A971" t="str">
        <f>"20190312172631439"</f>
        <v>20190312172631439</v>
      </c>
      <c r="B971" t="str">
        <f>"1552382791429737"</f>
        <v>1552382791429737</v>
      </c>
      <c r="C971" t="s">
        <v>40</v>
      </c>
      <c r="D971">
        <v>3.2738179999999999</v>
      </c>
      <c r="E971">
        <v>0.63512159999999995</v>
      </c>
      <c r="F971" t="s">
        <v>46</v>
      </c>
      <c r="G971">
        <v>-200.01439999999999</v>
      </c>
      <c r="H971" s="1">
        <v>-6.2378720000000001E-6</v>
      </c>
      <c r="I971">
        <v>357.78960000000001</v>
      </c>
      <c r="J971">
        <v>-209.79839999999999</v>
      </c>
      <c r="K971">
        <v>1.106088</v>
      </c>
      <c r="L971">
        <v>366.52210000000002</v>
      </c>
      <c r="M971">
        <v>0.98412469999999996</v>
      </c>
      <c r="N971">
        <v>0</v>
      </c>
      <c r="O971">
        <v>-0.17689479999999999</v>
      </c>
      <c r="P971">
        <v>0.9143867</v>
      </c>
      <c r="Q971">
        <v>0.165878</v>
      </c>
      <c r="R971">
        <v>-0.36929859999999998</v>
      </c>
      <c r="S971">
        <v>2.4671630000000002</v>
      </c>
      <c r="T971">
        <v>-0.27111800000000003</v>
      </c>
      <c r="U971">
        <v>-2.153778</v>
      </c>
      <c r="V971">
        <v>0.2035004</v>
      </c>
      <c r="W971">
        <v>0.17770939999999999</v>
      </c>
      <c r="X971">
        <v>0.962812</v>
      </c>
      <c r="Y971">
        <v>0.51288049999999996</v>
      </c>
      <c r="Z971">
        <v>-7.8286999999999992E-3</v>
      </c>
      <c r="AA971">
        <v>0.85842430000000003</v>
      </c>
      <c r="AB971">
        <v>29</v>
      </c>
      <c r="AC971">
        <v>9.78399999999999</v>
      </c>
      <c r="AD971">
        <v>-1.106094237872</v>
      </c>
      <c r="AE971">
        <v>-8.7325000000000106</v>
      </c>
      <c r="AF971">
        <v>6.8153572892246803</v>
      </c>
      <c r="AG971">
        <v>-1.106094237872</v>
      </c>
      <c r="AH971">
        <v>11.095633947039101</v>
      </c>
      <c r="AI971">
        <v>94.855220794158299</v>
      </c>
      <c r="AJ971">
        <v>58.4401832304344</v>
      </c>
      <c r="AK971">
        <v>13.0684976997942</v>
      </c>
      <c r="AL971">
        <v>79.763632782814</v>
      </c>
      <c r="AM971">
        <v>78.065584340980806</v>
      </c>
      <c r="AN971">
        <v>0.99999999549625995</v>
      </c>
    </row>
    <row r="972" spans="1:40" x14ac:dyDescent="0.25">
      <c r="A972" t="str">
        <f>"20190312172631459"</f>
        <v>20190312172631459</v>
      </c>
      <c r="B972" t="str">
        <f>"1552382791449254"</f>
        <v>1552382791449254</v>
      </c>
      <c r="C972" t="s">
        <v>40</v>
      </c>
      <c r="D972">
        <v>3.3162519999999902</v>
      </c>
      <c r="E972">
        <v>0.63510049999999996</v>
      </c>
      <c r="F972" t="s">
        <v>46</v>
      </c>
      <c r="G972">
        <v>-197.66050000000001</v>
      </c>
      <c r="H972" s="1">
        <v>-5.166537E-6</v>
      </c>
      <c r="I972">
        <v>355.69479999999999</v>
      </c>
      <c r="J972">
        <v>-209.5301</v>
      </c>
      <c r="K972">
        <v>1.1060080000000001</v>
      </c>
      <c r="L972">
        <v>366.46839999999997</v>
      </c>
      <c r="M972">
        <v>0.98320370000000001</v>
      </c>
      <c r="N972">
        <v>0</v>
      </c>
      <c r="O972">
        <v>-0.1819441</v>
      </c>
      <c r="P972">
        <v>0.91202559999999999</v>
      </c>
      <c r="Q972">
        <v>0.16628689999999999</v>
      </c>
      <c r="R972">
        <v>-0.37491089999999999</v>
      </c>
      <c r="S972">
        <v>2.441605</v>
      </c>
      <c r="T972">
        <v>-0.22249650000000001</v>
      </c>
      <c r="U972">
        <v>-2.1779790000000001</v>
      </c>
      <c r="V972">
        <v>0.20453099999999999</v>
      </c>
      <c r="W972">
        <v>0.17806839999999999</v>
      </c>
      <c r="X972">
        <v>0.96252729999999997</v>
      </c>
      <c r="Y972">
        <v>0.51801819999999998</v>
      </c>
      <c r="Z972">
        <v>-6.2892979999999996E-3</v>
      </c>
      <c r="AA972">
        <v>0.85534639999999995</v>
      </c>
      <c r="AB972">
        <v>29</v>
      </c>
      <c r="AC972">
        <v>11.869599999999901</v>
      </c>
      <c r="AD972">
        <v>-1.1060131665369899</v>
      </c>
      <c r="AE972">
        <v>-10.773599999999901</v>
      </c>
      <c r="AF972">
        <v>8.3939519549068997</v>
      </c>
      <c r="AG972">
        <v>-1.1060131665369899</v>
      </c>
      <c r="AH972">
        <v>13.5672495930907</v>
      </c>
      <c r="AI972">
        <v>93.965703698309596</v>
      </c>
      <c r="AJ972">
        <v>58.255243042448498</v>
      </c>
      <c r="AK972">
        <v>15.992246748567201</v>
      </c>
      <c r="AL972">
        <v>79.742730718222603</v>
      </c>
      <c r="AM972">
        <v>78.003445338681601</v>
      </c>
      <c r="AN972">
        <v>1.0000000441424199</v>
      </c>
    </row>
    <row r="973" spans="1:40" x14ac:dyDescent="0.25">
      <c r="A973" t="str">
        <f>"20190312172631483"</f>
        <v>20190312172631483</v>
      </c>
      <c r="B973" t="str">
        <f>"1552382791479510"</f>
        <v>1552382791479510</v>
      </c>
      <c r="C973" t="s">
        <v>40</v>
      </c>
      <c r="D973">
        <v>3.3117749999999999</v>
      </c>
      <c r="E973">
        <v>0.63383979999999995</v>
      </c>
      <c r="F973" t="s">
        <v>46</v>
      </c>
      <c r="G973">
        <v>-196.22730000000001</v>
      </c>
      <c r="H973" s="1">
        <v>-4.2642800000000003E-6</v>
      </c>
      <c r="I973">
        <v>354.452</v>
      </c>
      <c r="J973">
        <v>-209.23400000000001</v>
      </c>
      <c r="K973">
        <v>1.105907</v>
      </c>
      <c r="L973">
        <v>366.40719999999999</v>
      </c>
      <c r="M973">
        <v>0.98212739999999998</v>
      </c>
      <c r="N973">
        <v>0</v>
      </c>
      <c r="O973">
        <v>-0.187666</v>
      </c>
      <c r="P973">
        <v>0.90964599999999995</v>
      </c>
      <c r="Q973">
        <v>0.16619110000000001</v>
      </c>
      <c r="R973">
        <v>-0.38068970000000002</v>
      </c>
      <c r="S973">
        <v>2.4255070000000001</v>
      </c>
      <c r="T973">
        <v>-0.201659</v>
      </c>
      <c r="U973">
        <v>-2.1909480000000001</v>
      </c>
      <c r="V973">
        <v>0.20507510000000001</v>
      </c>
      <c r="W973">
        <v>0.17792149999999901</v>
      </c>
      <c r="X973">
        <v>0.96243860000000003</v>
      </c>
      <c r="Y973">
        <v>0.51851759999999902</v>
      </c>
      <c r="Z973">
        <v>-5.3547789999999996E-3</v>
      </c>
      <c r="AA973">
        <v>0.85505019999999998</v>
      </c>
      <c r="AB973">
        <v>29</v>
      </c>
      <c r="AC973">
        <v>13.006699999999899</v>
      </c>
      <c r="AD973">
        <v>-1.10591126428</v>
      </c>
      <c r="AE973">
        <v>-11.9551999999999</v>
      </c>
      <c r="AF973">
        <v>9.2652699315651805</v>
      </c>
      <c r="AG973">
        <v>-1.10591126428</v>
      </c>
      <c r="AH973">
        <v>14.960750285444901</v>
      </c>
      <c r="AI973">
        <v>93.596028140966098</v>
      </c>
      <c r="AJ973">
        <v>58.229853047634997</v>
      </c>
      <c r="AK973">
        <v>17.632138716918799</v>
      </c>
      <c r="AL973">
        <v>79.751283158023895</v>
      </c>
      <c r="AM973">
        <v>77.971383662196402</v>
      </c>
      <c r="AN973">
        <v>0.99999995778610895</v>
      </c>
    </row>
    <row r="974" spans="1:40" x14ac:dyDescent="0.25">
      <c r="A974" t="str">
        <f>"20190312172631505"</f>
        <v>20190312172631505</v>
      </c>
      <c r="B974" t="str">
        <f>"1552382791500013"</f>
        <v>1552382791500013</v>
      </c>
      <c r="C974" t="s">
        <v>40</v>
      </c>
      <c r="D974">
        <v>3.3117139999999998</v>
      </c>
      <c r="E974">
        <v>0.63312609999999903</v>
      </c>
      <c r="F974" t="s">
        <v>46</v>
      </c>
      <c r="G974">
        <v>-195.2457</v>
      </c>
      <c r="H974" s="1">
        <v>-3.6572450000000001E-6</v>
      </c>
      <c r="I974">
        <v>353.6782</v>
      </c>
      <c r="J974">
        <v>-208.95179999999999</v>
      </c>
      <c r="K974">
        <v>1.1057939999999999</v>
      </c>
      <c r="L974">
        <v>366.34710000000001</v>
      </c>
      <c r="M974">
        <v>0.98103790000000002</v>
      </c>
      <c r="N974">
        <v>0</v>
      </c>
      <c r="O974">
        <v>-0.19328029999999999</v>
      </c>
      <c r="P974">
        <v>0.90701560000000003</v>
      </c>
      <c r="Q974">
        <v>0.1663616</v>
      </c>
      <c r="R974">
        <v>-0.38684210000000002</v>
      </c>
      <c r="S974">
        <v>2.4136350000000002</v>
      </c>
      <c r="T974">
        <v>-0.19082080000000001</v>
      </c>
      <c r="U974">
        <v>-2.1963499999999998</v>
      </c>
      <c r="V974">
        <v>0.20614740000000001</v>
      </c>
      <c r="W974">
        <v>0.17802989999999999</v>
      </c>
      <c r="X974">
        <v>0.96218950000000003</v>
      </c>
      <c r="Y974">
        <v>0.51683619999999997</v>
      </c>
      <c r="Z974">
        <v>-4.6688019999999997E-3</v>
      </c>
      <c r="AA974">
        <v>0.85607160000000004</v>
      </c>
      <c r="AB974">
        <v>29</v>
      </c>
      <c r="AC974">
        <v>13.7060999999999</v>
      </c>
      <c r="AD974">
        <v>-1.1057976572449999</v>
      </c>
      <c r="AE974">
        <v>-12.668900000000001</v>
      </c>
      <c r="AF974">
        <v>9.7463549174914093</v>
      </c>
      <c r="AG974">
        <v>-1.1057976572449999</v>
      </c>
      <c r="AH974">
        <v>15.840896749386999</v>
      </c>
      <c r="AI974">
        <v>93.402484121426795</v>
      </c>
      <c r="AJ974">
        <v>58.3974543435492</v>
      </c>
      <c r="AK974">
        <v>18.631914353098999</v>
      </c>
      <c r="AL974">
        <v>79.744972121040604</v>
      </c>
      <c r="AM974">
        <v>77.907296187491596</v>
      </c>
      <c r="AN974">
        <v>1.0000000148655099</v>
      </c>
    </row>
    <row r="975" spans="1:40" x14ac:dyDescent="0.25">
      <c r="A975" t="str">
        <f>"20190312172631527"</f>
        <v>20190312172631527</v>
      </c>
      <c r="B975" t="str">
        <f>"1552382791519525"</f>
        <v>1552382791519525</v>
      </c>
      <c r="C975" t="s">
        <v>40</v>
      </c>
      <c r="D975">
        <v>3.2900809999999998</v>
      </c>
      <c r="E975">
        <v>0.63260399999999894</v>
      </c>
      <c r="F975" t="s">
        <v>46</v>
      </c>
      <c r="G975">
        <v>-194.65539999999999</v>
      </c>
      <c r="H975" s="1">
        <v>-3.2858010000000002E-6</v>
      </c>
      <c r="I975">
        <v>353.2002</v>
      </c>
      <c r="J975">
        <v>-208.6738</v>
      </c>
      <c r="K975">
        <v>1.1056870000000001</v>
      </c>
      <c r="L975">
        <v>366.28609999999998</v>
      </c>
      <c r="M975">
        <v>0.97989850000000001</v>
      </c>
      <c r="N975">
        <v>0</v>
      </c>
      <c r="O975">
        <v>-0.19897580000000001</v>
      </c>
      <c r="P975">
        <v>0.90464290000000003</v>
      </c>
      <c r="Q975">
        <v>0.166024</v>
      </c>
      <c r="R975">
        <v>-0.39250170000000001</v>
      </c>
      <c r="S975">
        <v>2.400223</v>
      </c>
      <c r="T975">
        <v>-0.18565229999999999</v>
      </c>
      <c r="U975">
        <v>-2.2072449999999999</v>
      </c>
      <c r="V975">
        <v>0.2066067</v>
      </c>
      <c r="W975">
        <v>0.17763760000000001</v>
      </c>
      <c r="X975">
        <v>0.9621634</v>
      </c>
      <c r="Y975">
        <v>0.51638649999999997</v>
      </c>
      <c r="Z975">
        <v>-4.1881369999999998E-3</v>
      </c>
      <c r="AA975">
        <v>0.85634539999999904</v>
      </c>
      <c r="AB975">
        <v>29</v>
      </c>
      <c r="AC975">
        <v>14.0184</v>
      </c>
      <c r="AD975">
        <v>-1.105690285801</v>
      </c>
      <c r="AE975">
        <v>-13.085899999999899</v>
      </c>
      <c r="AF975">
        <v>10.001324959382201</v>
      </c>
      <c r="AG975">
        <v>-1.105690285801</v>
      </c>
      <c r="AH975">
        <v>16.287935816315201</v>
      </c>
      <c r="AI975">
        <v>93.310805403413994</v>
      </c>
      <c r="AJ975">
        <v>58.448715031736697</v>
      </c>
      <c r="AK975">
        <v>19.145388612083099</v>
      </c>
      <c r="AL975">
        <v>79.7678124214017</v>
      </c>
      <c r="AM975">
        <v>77.880829985316097</v>
      </c>
      <c r="AN975">
        <v>0.999999926859102</v>
      </c>
    </row>
    <row r="976" spans="1:40" x14ac:dyDescent="0.25">
      <c r="A976" t="str">
        <f>"20190312172631550"</f>
        <v>20190312172631550</v>
      </c>
      <c r="B976" t="str">
        <f>"1552382791539045"</f>
        <v>1552382791539045</v>
      </c>
      <c r="C976" t="s">
        <v>40</v>
      </c>
      <c r="D976">
        <v>3.2991890000000001</v>
      </c>
      <c r="E976">
        <v>0.63217900000000005</v>
      </c>
      <c r="F976" t="s">
        <v>46</v>
      </c>
      <c r="G976">
        <v>-194.21350000000001</v>
      </c>
      <c r="H976" s="1">
        <v>-3.009733E-6</v>
      </c>
      <c r="I976">
        <v>352.84629999999999</v>
      </c>
      <c r="J976">
        <v>-208.39060000000001</v>
      </c>
      <c r="K976">
        <v>1.1055600000000001</v>
      </c>
      <c r="L976">
        <v>366.22190000000001</v>
      </c>
      <c r="M976">
        <v>0.97866089999999994</v>
      </c>
      <c r="N976">
        <v>0</v>
      </c>
      <c r="O976">
        <v>-0.20497489999999999</v>
      </c>
      <c r="P976">
        <v>0.90206330000000001</v>
      </c>
      <c r="Q976">
        <v>0.16514679999999901</v>
      </c>
      <c r="R976">
        <v>-0.39875880000000002</v>
      </c>
      <c r="S976">
        <v>2.3871000000000002</v>
      </c>
      <c r="T976">
        <v>-0.18252740000000001</v>
      </c>
      <c r="U976">
        <v>-2.218658</v>
      </c>
      <c r="V976">
        <v>0.20739199999999999</v>
      </c>
      <c r="W976">
        <v>0.17669760000000001</v>
      </c>
      <c r="X976">
        <v>0.96216760000000001</v>
      </c>
      <c r="Y976">
        <v>0.51570870000000002</v>
      </c>
      <c r="Z976">
        <v>-3.7416770000000001E-3</v>
      </c>
      <c r="AA976">
        <v>0.85675590000000001</v>
      </c>
      <c r="AB976">
        <v>29</v>
      </c>
      <c r="AC976">
        <v>14.1770999999999</v>
      </c>
      <c r="AD976">
        <v>-1.105563009733</v>
      </c>
      <c r="AE976">
        <v>-13.3756</v>
      </c>
      <c r="AF976">
        <v>10.152622316712201</v>
      </c>
      <c r="AG976">
        <v>-1.105563009733</v>
      </c>
      <c r="AH976">
        <v>16.564670470899902</v>
      </c>
      <c r="AI976">
        <v>93.256868530267795</v>
      </c>
      <c r="AJ976">
        <v>58.495526219954002</v>
      </c>
      <c r="AK976">
        <v>19.459864266838999</v>
      </c>
      <c r="AL976">
        <v>79.822536770407694</v>
      </c>
      <c r="AM976">
        <v>77.836186456350404</v>
      </c>
      <c r="AN976">
        <v>0.99999998699975901</v>
      </c>
    </row>
    <row r="977" spans="1:40" x14ac:dyDescent="0.25">
      <c r="A977" t="str">
        <f>"20190312172631573"</f>
        <v>20190312172631573</v>
      </c>
      <c r="B977" t="str">
        <f>"1552382791569301"</f>
        <v>1552382791569301</v>
      </c>
      <c r="C977" t="s">
        <v>40</v>
      </c>
      <c r="D977">
        <v>3.3079160000000001</v>
      </c>
      <c r="E977">
        <v>0.63152819999999898</v>
      </c>
      <c r="F977" t="s">
        <v>46</v>
      </c>
      <c r="G977">
        <v>-193.99379999999999</v>
      </c>
      <c r="H977" s="1">
        <v>-2.875598E-6</v>
      </c>
      <c r="I977">
        <v>352.67649999999998</v>
      </c>
      <c r="J977">
        <v>-208.11019999999999</v>
      </c>
      <c r="K977">
        <v>1.1054310000000001</v>
      </c>
      <c r="L977">
        <v>366.15620000000001</v>
      </c>
      <c r="M977">
        <v>0.97735799999999995</v>
      </c>
      <c r="N977">
        <v>0</v>
      </c>
      <c r="O977">
        <v>-0.21109929999999999</v>
      </c>
      <c r="P977">
        <v>0.89905550000000001</v>
      </c>
      <c r="Q977">
        <v>0.16503389999999901</v>
      </c>
      <c r="R977">
        <v>-0.40554030000000002</v>
      </c>
      <c r="S977">
        <v>2.3723909999999999</v>
      </c>
      <c r="T977">
        <v>-0.1821815</v>
      </c>
      <c r="U977">
        <v>-2.2320859999999998</v>
      </c>
      <c r="V977">
        <v>0.2086654</v>
      </c>
      <c r="W977">
        <v>0.17651320000000001</v>
      </c>
      <c r="X977">
        <v>0.96192610000000001</v>
      </c>
      <c r="Y977">
        <v>0.51557559999999902</v>
      </c>
      <c r="Z977">
        <v>-3.3692459999999998E-3</v>
      </c>
      <c r="AA977">
        <v>0.85683750000000003</v>
      </c>
      <c r="AB977">
        <v>29</v>
      </c>
      <c r="AC977">
        <v>14.116400000000001</v>
      </c>
      <c r="AD977">
        <v>-1.105433875598</v>
      </c>
      <c r="AE977">
        <v>-13.479699999999999</v>
      </c>
      <c r="AF977">
        <v>10.1629950583572</v>
      </c>
      <c r="AG977">
        <v>-1.105433875598</v>
      </c>
      <c r="AH977">
        <v>16.590850879465101</v>
      </c>
      <c r="AI977">
        <v>93.251855499946899</v>
      </c>
      <c r="AJ977">
        <v>58.5097710418245</v>
      </c>
      <c r="AK977">
        <v>19.487554631460601</v>
      </c>
      <c r="AL977">
        <v>79.833270868056601</v>
      </c>
      <c r="AM977">
        <v>77.760764207483703</v>
      </c>
      <c r="AN977">
        <v>0.99999999039630405</v>
      </c>
    </row>
    <row r="978" spans="1:40" x14ac:dyDescent="0.25">
      <c r="A978" t="str">
        <f>"20190312172631595"</f>
        <v>20190312172631595</v>
      </c>
      <c r="B978" t="str">
        <f>"1552382791589798"</f>
        <v>1552382791589798</v>
      </c>
      <c r="C978" t="s">
        <v>40</v>
      </c>
      <c r="D978">
        <v>3.3187220000000002</v>
      </c>
      <c r="E978">
        <v>0.63114349999999997</v>
      </c>
      <c r="F978" t="s">
        <v>46</v>
      </c>
      <c r="G978">
        <v>-193.4939</v>
      </c>
      <c r="H978" s="1">
        <v>-2.4822339999999998E-6</v>
      </c>
      <c r="I978">
        <v>352.22570000000002</v>
      </c>
      <c r="J978">
        <v>-207.8201</v>
      </c>
      <c r="K978">
        <v>1.105315</v>
      </c>
      <c r="L978">
        <v>366.08620000000002</v>
      </c>
      <c r="M978">
        <v>0.97592999999999996</v>
      </c>
      <c r="N978">
        <v>0</v>
      </c>
      <c r="O978">
        <v>-0.21760479999999999</v>
      </c>
      <c r="P978">
        <v>0.89561250000000003</v>
      </c>
      <c r="Q978">
        <v>0.1659495</v>
      </c>
      <c r="R978">
        <v>-0.41272150000000002</v>
      </c>
      <c r="S978">
        <v>2.3564759999999998</v>
      </c>
      <c r="T978">
        <v>-0.1782202</v>
      </c>
      <c r="U978">
        <v>-2.245911</v>
      </c>
      <c r="V978">
        <v>0.21005940000000001</v>
      </c>
      <c r="W978">
        <v>0.1773556</v>
      </c>
      <c r="X978">
        <v>0.96146759999999998</v>
      </c>
      <c r="Y978">
        <v>0.51541789999999998</v>
      </c>
      <c r="Z978">
        <v>-2.9151889999999999E-3</v>
      </c>
      <c r="AA978">
        <v>0.85693399999999997</v>
      </c>
      <c r="AB978">
        <v>29</v>
      </c>
      <c r="AC978">
        <v>14.3262</v>
      </c>
      <c r="AD978">
        <v>-1.1053174822339999</v>
      </c>
      <c r="AE978">
        <v>-13.8605</v>
      </c>
      <c r="AF978">
        <v>10.378604044648601</v>
      </c>
      <c r="AG978">
        <v>-1.1053174822339999</v>
      </c>
      <c r="AH978">
        <v>16.947147679241201</v>
      </c>
      <c r="AI978">
        <v>93.183517069665697</v>
      </c>
      <c r="AJ978">
        <v>58.516277348265199</v>
      </c>
      <c r="AK978">
        <v>19.903340501386701</v>
      </c>
      <c r="AL978">
        <v>79.784230799940801</v>
      </c>
      <c r="AM978">
        <v>77.6757930620888</v>
      </c>
      <c r="AN978">
        <v>0.99999995311473899</v>
      </c>
    </row>
    <row r="979" spans="1:40" x14ac:dyDescent="0.25">
      <c r="A979" t="str">
        <f>"20190312172631618"</f>
        <v>20190312172631618</v>
      </c>
      <c r="B979" t="str">
        <f>"1552382791609317"</f>
        <v>1552382791609317</v>
      </c>
      <c r="C979" t="s">
        <v>40</v>
      </c>
      <c r="D979">
        <v>3.3072819999999998</v>
      </c>
      <c r="E979">
        <v>0.63088429999999995</v>
      </c>
      <c r="F979" t="s">
        <v>46</v>
      </c>
      <c r="G979">
        <v>-192.7542</v>
      </c>
      <c r="H979" s="1">
        <v>-1.861114E-6</v>
      </c>
      <c r="I979">
        <v>351.50889999999998</v>
      </c>
      <c r="J979">
        <v>-207.5378</v>
      </c>
      <c r="K979">
        <v>1.105202</v>
      </c>
      <c r="L979">
        <v>366.01600000000002</v>
      </c>
      <c r="M979">
        <v>0.97445709999999996</v>
      </c>
      <c r="N979">
        <v>0</v>
      </c>
      <c r="O979">
        <v>-0.2241071</v>
      </c>
      <c r="P979">
        <v>0.89167890000000005</v>
      </c>
      <c r="Q979">
        <v>0.16637360000000001</v>
      </c>
      <c r="R979">
        <v>-0.4209849</v>
      </c>
      <c r="S979">
        <v>2.3386840000000002</v>
      </c>
      <c r="T979">
        <v>-0.17157819999999999</v>
      </c>
      <c r="U979">
        <v>-2.262848</v>
      </c>
      <c r="V979">
        <v>0.2126169</v>
      </c>
      <c r="W979">
        <v>0.1776925</v>
      </c>
      <c r="X979">
        <v>0.96084309999999995</v>
      </c>
      <c r="Y979">
        <v>0.51620379999999999</v>
      </c>
      <c r="Z979">
        <v>-2.468792E-3</v>
      </c>
      <c r="AA979">
        <v>0.85646219999999995</v>
      </c>
      <c r="AB979">
        <v>29</v>
      </c>
      <c r="AC979">
        <v>14.7836</v>
      </c>
      <c r="AD979">
        <v>-1.105203861114</v>
      </c>
      <c r="AE979">
        <v>-14.5070999999999</v>
      </c>
      <c r="AF979">
        <v>10.793837973462701</v>
      </c>
      <c r="AG979">
        <v>-1.105203861114</v>
      </c>
      <c r="AH979">
        <v>17.6088410714232</v>
      </c>
      <c r="AI979">
        <v>93.0630330011669</v>
      </c>
      <c r="AJ979">
        <v>58.492605345652997</v>
      </c>
      <c r="AK979">
        <v>20.683319309304</v>
      </c>
      <c r="AL979">
        <v>79.764616961743002</v>
      </c>
      <c r="AM979">
        <v>77.522559934860595</v>
      </c>
      <c r="AN979">
        <v>1.00000001676973</v>
      </c>
    </row>
    <row r="980" spans="1:40" x14ac:dyDescent="0.25">
      <c r="A980" t="str">
        <f>"20190312172631640"</f>
        <v>20190312172631640</v>
      </c>
      <c r="B980" t="str">
        <f>"1552382791629814"</f>
        <v>1552382791629814</v>
      </c>
      <c r="C980" t="s">
        <v>40</v>
      </c>
      <c r="D980">
        <v>3.3042579999999999</v>
      </c>
      <c r="E980">
        <v>0.63057640000000004</v>
      </c>
      <c r="F980" t="s">
        <v>46</v>
      </c>
      <c r="G980">
        <v>-192.3673</v>
      </c>
      <c r="H980" s="1">
        <v>-1.4996959999999999E-6</v>
      </c>
      <c r="I980">
        <v>351.07220000000001</v>
      </c>
      <c r="J980">
        <v>-207.2653</v>
      </c>
      <c r="K980">
        <v>1.105081</v>
      </c>
      <c r="L980">
        <v>365.94600000000003</v>
      </c>
      <c r="M980">
        <v>0.97295010000000004</v>
      </c>
      <c r="N980">
        <v>0</v>
      </c>
      <c r="O980">
        <v>-0.2305613</v>
      </c>
      <c r="P980">
        <v>0.88783670000000003</v>
      </c>
      <c r="Q980">
        <v>0.16591059999999999</v>
      </c>
      <c r="R980">
        <v>-0.42920809999999998</v>
      </c>
      <c r="S980">
        <v>2.3179780000000001</v>
      </c>
      <c r="T980">
        <v>-0.16886880000000001</v>
      </c>
      <c r="U980">
        <v>-2.283325</v>
      </c>
      <c r="V980">
        <v>0.2151584</v>
      </c>
      <c r="W980">
        <v>0.17714299999999999</v>
      </c>
      <c r="X980">
        <v>0.96037870000000003</v>
      </c>
      <c r="Y980">
        <v>0.51820699999999997</v>
      </c>
      <c r="Z980">
        <v>-2.1373299999999998E-3</v>
      </c>
      <c r="AA980">
        <v>0.85525260000000003</v>
      </c>
      <c r="AB980">
        <v>29</v>
      </c>
      <c r="AC980">
        <v>14.8979999999999</v>
      </c>
      <c r="AD980">
        <v>-1.105082499696</v>
      </c>
      <c r="AE980">
        <v>-14.8737999999999</v>
      </c>
      <c r="AF980">
        <v>11.0073882549086</v>
      </c>
      <c r="AG980">
        <v>-1.105082499696</v>
      </c>
      <c r="AH980">
        <v>17.876951024380599</v>
      </c>
      <c r="AI980">
        <v>93.013155489961804</v>
      </c>
      <c r="AJ980">
        <v>58.378115835421198</v>
      </c>
      <c r="AK980">
        <v>21.023063084468401</v>
      </c>
      <c r="AL980">
        <v>79.796608484357904</v>
      </c>
      <c r="AM980">
        <v>77.372255985150105</v>
      </c>
      <c r="AN980">
        <v>1.00000001347662</v>
      </c>
    </row>
    <row r="981" spans="1:40" x14ac:dyDescent="0.25">
      <c r="A981" t="str">
        <f>"20190312172631661"</f>
        <v>20190312172631661</v>
      </c>
      <c r="B981" t="str">
        <f>"1552382791649334"</f>
        <v>1552382791649334</v>
      </c>
      <c r="C981" t="s">
        <v>40</v>
      </c>
      <c r="D981">
        <v>3.2792690000000002</v>
      </c>
      <c r="E981">
        <v>0.63034579999999996</v>
      </c>
      <c r="F981" t="s">
        <v>46</v>
      </c>
      <c r="G981">
        <v>-192.27420000000001</v>
      </c>
      <c r="H981" s="1">
        <v>-1.387353E-6</v>
      </c>
      <c r="I981">
        <v>350.92419999999998</v>
      </c>
      <c r="J981">
        <v>-206.9913</v>
      </c>
      <c r="K981">
        <v>1.104956</v>
      </c>
      <c r="L981">
        <v>365.87369999999999</v>
      </c>
      <c r="M981">
        <v>0.97134419999999999</v>
      </c>
      <c r="N981">
        <v>0</v>
      </c>
      <c r="O981">
        <v>-0.2372359</v>
      </c>
      <c r="P981">
        <v>0.88391540000000002</v>
      </c>
      <c r="Q981">
        <v>0.165553799999999</v>
      </c>
      <c r="R981">
        <v>-0.43736219999999998</v>
      </c>
      <c r="S981">
        <v>2.2976230000000002</v>
      </c>
      <c r="T981">
        <v>-0.16937160000000001</v>
      </c>
      <c r="U981">
        <v>-2.3023380000000002</v>
      </c>
      <c r="V981">
        <v>0.21744469999999999</v>
      </c>
      <c r="W981">
        <v>0.17669760000000001</v>
      </c>
      <c r="X981">
        <v>0.95994570000000001</v>
      </c>
      <c r="Y981">
        <v>0.51965600000000001</v>
      </c>
      <c r="Z981">
        <v>-1.8198349999999999E-3</v>
      </c>
      <c r="AA981">
        <v>0.85437369999999901</v>
      </c>
      <c r="AB981">
        <v>28</v>
      </c>
      <c r="AC981">
        <v>14.717099999999901</v>
      </c>
      <c r="AD981">
        <v>-1.1049573873530001</v>
      </c>
      <c r="AE981">
        <v>-14.9495</v>
      </c>
      <c r="AF981">
        <v>11.000323019405499</v>
      </c>
      <c r="AG981">
        <v>-1.1049573873530001</v>
      </c>
      <c r="AH981">
        <v>17.794429994396999</v>
      </c>
      <c r="AI981">
        <v>93.0234437867623</v>
      </c>
      <c r="AJ981">
        <v>58.276094352133697</v>
      </c>
      <c r="AK981">
        <v>20.949218987461698</v>
      </c>
      <c r="AL981">
        <v>79.822536833937406</v>
      </c>
      <c r="AM981">
        <v>77.236875319380104</v>
      </c>
      <c r="AN981">
        <v>0.99999999317617005</v>
      </c>
    </row>
    <row r="982" spans="1:40" x14ac:dyDescent="0.25">
      <c r="A982" t="str">
        <f>"20190312172631686"</f>
        <v>20190312172631686</v>
      </c>
      <c r="B982" t="str">
        <f>"1552382791679501"</f>
        <v>1552382791679501</v>
      </c>
      <c r="C982" t="s">
        <v>40</v>
      </c>
      <c r="D982">
        <v>3.2699379999999998</v>
      </c>
      <c r="E982">
        <v>0.63001890000000005</v>
      </c>
      <c r="F982" t="s">
        <v>46</v>
      </c>
      <c r="G982">
        <v>-192.10890000000001</v>
      </c>
      <c r="H982" s="1">
        <v>-1.2090580000000001E-6</v>
      </c>
      <c r="I982">
        <v>350.69729999999998</v>
      </c>
      <c r="J982">
        <v>-206.69730000000001</v>
      </c>
      <c r="K982">
        <v>1.1047990000000001</v>
      </c>
      <c r="L982">
        <v>365.79349999999999</v>
      </c>
      <c r="M982">
        <v>0.96951290000000001</v>
      </c>
      <c r="N982">
        <v>0</v>
      </c>
      <c r="O982">
        <v>-0.24461069999999999</v>
      </c>
      <c r="P982">
        <v>0.87978609999999902</v>
      </c>
      <c r="Q982">
        <v>0.16508439999999999</v>
      </c>
      <c r="R982">
        <v>-0.44578400000000001</v>
      </c>
      <c r="S982">
        <v>2.2768099999999998</v>
      </c>
      <c r="T982">
        <v>-0.16904369999999999</v>
      </c>
      <c r="U982">
        <v>-2.321777</v>
      </c>
      <c r="V982">
        <v>0.2193601</v>
      </c>
      <c r="W982">
        <v>0.17613489999999901</v>
      </c>
      <c r="X982">
        <v>0.9596133</v>
      </c>
      <c r="Y982">
        <v>0.52065070000000002</v>
      </c>
      <c r="Z982">
        <v>-1.4385719999999999E-3</v>
      </c>
      <c r="AA982">
        <v>0.85376849999999904</v>
      </c>
      <c r="AB982">
        <v>28</v>
      </c>
      <c r="AC982">
        <v>14.5884</v>
      </c>
      <c r="AD982">
        <v>-1.104800209058</v>
      </c>
      <c r="AE982">
        <v>-15.0962</v>
      </c>
      <c r="AF982">
        <v>11.038075649344</v>
      </c>
      <c r="AG982">
        <v>-1.104800209058</v>
      </c>
      <c r="AH982">
        <v>17.788942970528399</v>
      </c>
      <c r="AI982">
        <v>93.020821792348599</v>
      </c>
      <c r="AJ982">
        <v>58.180313483033203</v>
      </c>
      <c r="AK982">
        <v>20.9644029142565</v>
      </c>
      <c r="AL982">
        <v>79.855291181103993</v>
      </c>
      <c r="AM982">
        <v>77.123868294196797</v>
      </c>
      <c r="AN982">
        <v>1.0000000210034501</v>
      </c>
    </row>
    <row r="983" spans="1:40" x14ac:dyDescent="0.25">
      <c r="A983" t="str">
        <f>"20190312172631706"</f>
        <v>20190312172631706</v>
      </c>
      <c r="B983" t="str">
        <f>"1552382791700009"</f>
        <v>1552382791700009</v>
      </c>
      <c r="C983" t="s">
        <v>40</v>
      </c>
      <c r="D983">
        <v>3.2526320000000002</v>
      </c>
      <c r="E983">
        <v>0.62987040000000005</v>
      </c>
      <c r="F983" t="s">
        <v>46</v>
      </c>
      <c r="G983">
        <v>-191.9564</v>
      </c>
      <c r="H983" s="1">
        <v>-1.0434409999999999E-6</v>
      </c>
      <c r="I983">
        <v>350.48599999999999</v>
      </c>
      <c r="J983">
        <v>-206.4365</v>
      </c>
      <c r="K983">
        <v>1.104654</v>
      </c>
      <c r="L983">
        <v>365.72019999999998</v>
      </c>
      <c r="M983">
        <v>0.96778609999999998</v>
      </c>
      <c r="N983">
        <v>0</v>
      </c>
      <c r="O983">
        <v>-0.2513553</v>
      </c>
      <c r="P983">
        <v>0.87599199999999999</v>
      </c>
      <c r="Q983">
        <v>0.16433539999999999</v>
      </c>
      <c r="R983">
        <v>-0.4534667</v>
      </c>
      <c r="S983">
        <v>2.2550509999999999</v>
      </c>
      <c r="T983">
        <v>-0.16901240000000001</v>
      </c>
      <c r="U983">
        <v>-2.341736</v>
      </c>
      <c r="V983">
        <v>0.22109780000000001</v>
      </c>
      <c r="W983">
        <v>0.17529790000000001</v>
      </c>
      <c r="X983">
        <v>0.95936770000000005</v>
      </c>
      <c r="Y983">
        <v>0.52246110000000001</v>
      </c>
      <c r="Z983">
        <v>-1.1205880000000001E-3</v>
      </c>
      <c r="AA983">
        <v>0.85266239999999904</v>
      </c>
      <c r="AB983">
        <v>28</v>
      </c>
      <c r="AC983">
        <v>14.480099999999901</v>
      </c>
      <c r="AD983">
        <v>-1.1046550434410001</v>
      </c>
      <c r="AE983">
        <v>-15.2341999999999</v>
      </c>
      <c r="AF983">
        <v>11.074375536275699</v>
      </c>
      <c r="AG983">
        <v>-1.1046550434410001</v>
      </c>
      <c r="AH983">
        <v>17.795558483083099</v>
      </c>
      <c r="AI983">
        <v>93.016861574276405</v>
      </c>
      <c r="AJ983">
        <v>58.105532752078901</v>
      </c>
      <c r="AK983">
        <v>20.989139048762599</v>
      </c>
      <c r="AL983">
        <v>79.904005363447894</v>
      </c>
      <c r="AM983">
        <v>77.022097254802205</v>
      </c>
      <c r="AN983">
        <v>0.99999998735627005</v>
      </c>
    </row>
    <row r="984" spans="1:40" x14ac:dyDescent="0.25">
      <c r="A984" t="str">
        <f>"20190312172631729"</f>
        <v>20190312172631729</v>
      </c>
      <c r="B984" t="str">
        <f>"1552382791719516"</f>
        <v>1552382791719516</v>
      </c>
      <c r="C984" t="s">
        <v>40</v>
      </c>
      <c r="D984">
        <v>3.2953939999999999</v>
      </c>
      <c r="E984">
        <v>0.62964469999999995</v>
      </c>
      <c r="F984" t="s">
        <v>46</v>
      </c>
      <c r="G984">
        <v>-191.85390000000001</v>
      </c>
      <c r="H984" s="1">
        <v>-9.125919E-7</v>
      </c>
      <c r="I984">
        <v>350.31099999999998</v>
      </c>
      <c r="J984">
        <v>-206.16630000000001</v>
      </c>
      <c r="K984">
        <v>1.1044940000000001</v>
      </c>
      <c r="L984">
        <v>365.64179999999999</v>
      </c>
      <c r="M984">
        <v>0.96588540000000001</v>
      </c>
      <c r="N984">
        <v>0</v>
      </c>
      <c r="O984">
        <v>-0.25856170000000001</v>
      </c>
      <c r="P984">
        <v>0.87149900000000002</v>
      </c>
      <c r="Q984">
        <v>0.16431889999999999</v>
      </c>
      <c r="R984">
        <v>-0.46204889999999998</v>
      </c>
      <c r="S984">
        <v>2.234283</v>
      </c>
      <c r="T984">
        <v>-0.1692514</v>
      </c>
      <c r="U984">
        <v>-2.3609309999999999</v>
      </c>
      <c r="V984">
        <v>0.22344240000000001</v>
      </c>
      <c r="W984">
        <v>0.17517439999999901</v>
      </c>
      <c r="X984">
        <v>0.95884689999999995</v>
      </c>
      <c r="Y984">
        <v>0.52352860000000001</v>
      </c>
      <c r="Z984">
        <v>-7.5337940000000001E-4</v>
      </c>
      <c r="AA984">
        <v>0.85200769999999904</v>
      </c>
      <c r="AB984">
        <v>28</v>
      </c>
      <c r="AC984">
        <v>14.312399999999901</v>
      </c>
      <c r="AD984">
        <v>-1.1044949125918999</v>
      </c>
      <c r="AE984">
        <v>-15.3308</v>
      </c>
      <c r="AF984">
        <v>11.077609345178001</v>
      </c>
      <c r="AG984">
        <v>-1.1044949125918999</v>
      </c>
      <c r="AH984">
        <v>17.7407747195188</v>
      </c>
      <c r="AI984">
        <v>93.0228713241072</v>
      </c>
      <c r="AJ984">
        <v>58.018717853393497</v>
      </c>
      <c r="AK984">
        <v>20.9444127505413</v>
      </c>
      <c r="AL984">
        <v>79.911192499897396</v>
      </c>
      <c r="AM984">
        <v>76.882330399074903</v>
      </c>
      <c r="AN984">
        <v>0.99999997708636401</v>
      </c>
    </row>
    <row r="985" spans="1:40" x14ac:dyDescent="0.25">
      <c r="A985" t="str">
        <f>"20190312172631751"</f>
        <v>20190312172631751</v>
      </c>
      <c r="B985" t="str">
        <f>"1552382791739040"</f>
        <v>1552382791739040</v>
      </c>
      <c r="C985" t="s">
        <v>40</v>
      </c>
      <c r="D985">
        <v>3.2552449999999999</v>
      </c>
      <c r="E985">
        <v>0.62933569999999905</v>
      </c>
      <c r="F985" t="s">
        <v>46</v>
      </c>
      <c r="G985">
        <v>-191.61330000000001</v>
      </c>
      <c r="H985" s="1">
        <v>-6.4273959999999998E-7</v>
      </c>
      <c r="I985">
        <v>349.9633</v>
      </c>
      <c r="J985">
        <v>-205.89179999999999</v>
      </c>
      <c r="K985">
        <v>1.104336</v>
      </c>
      <c r="L985">
        <v>365.55959999999999</v>
      </c>
      <c r="M985">
        <v>0.96382909999999999</v>
      </c>
      <c r="N985">
        <v>0</v>
      </c>
      <c r="O985">
        <v>-0.26612340000000001</v>
      </c>
      <c r="P985">
        <v>0.86688330000000002</v>
      </c>
      <c r="Q985">
        <v>0.1641736</v>
      </c>
      <c r="R985">
        <v>-0.47070220000000002</v>
      </c>
      <c r="S985">
        <v>2.2110439999999998</v>
      </c>
      <c r="T985">
        <v>-0.16780699999999901</v>
      </c>
      <c r="U985">
        <v>-2.38205</v>
      </c>
      <c r="V985">
        <v>0.22553980000000001</v>
      </c>
      <c r="W985">
        <v>0.1749242</v>
      </c>
      <c r="X985">
        <v>0.95840139999999996</v>
      </c>
      <c r="Y985">
        <v>0.52509399999999995</v>
      </c>
      <c r="Z985">
        <v>-3.7622079999999997E-4</v>
      </c>
      <c r="AA985">
        <v>0.85104419999999903</v>
      </c>
      <c r="AB985">
        <v>28</v>
      </c>
      <c r="AC985">
        <v>14.2784999999999</v>
      </c>
      <c r="AD985">
        <v>-1.1043366427396</v>
      </c>
      <c r="AE985">
        <v>-15.5962999999999</v>
      </c>
      <c r="AF985">
        <v>11.202957478701</v>
      </c>
      <c r="AG985">
        <v>-1.1043366427396</v>
      </c>
      <c r="AH985">
        <v>17.865741071281899</v>
      </c>
      <c r="AI985">
        <v>92.997770763643899</v>
      </c>
      <c r="AJ985">
        <v>57.909668700732098</v>
      </c>
      <c r="AK985">
        <v>21.116593468553798</v>
      </c>
      <c r="AL985">
        <v>79.925752548296401</v>
      </c>
      <c r="AM985">
        <v>76.757577443205605</v>
      </c>
      <c r="AN985">
        <v>0.99999996032581895</v>
      </c>
    </row>
    <row r="986" spans="1:40" x14ac:dyDescent="0.25">
      <c r="A986" t="str">
        <f>"20190312172631773"</f>
        <v>20190312172631773</v>
      </c>
      <c r="B986" t="str">
        <f>"1552382791769904"</f>
        <v>1552382791769904</v>
      </c>
      <c r="C986" t="s">
        <v>40</v>
      </c>
      <c r="D986">
        <v>3.2506849999999998</v>
      </c>
      <c r="E986">
        <v>0.62885749999999996</v>
      </c>
      <c r="F986" t="s">
        <v>46</v>
      </c>
      <c r="G986">
        <v>-191.48089999999999</v>
      </c>
      <c r="H986" s="1">
        <v>-4.747356E-7</v>
      </c>
      <c r="I986">
        <v>349.73899999999998</v>
      </c>
      <c r="J986">
        <v>-205.62020000000001</v>
      </c>
      <c r="K986">
        <v>1.104187</v>
      </c>
      <c r="L986">
        <v>365.47570000000002</v>
      </c>
      <c r="M986">
        <v>0.96167550000000002</v>
      </c>
      <c r="N986">
        <v>0</v>
      </c>
      <c r="O986">
        <v>-0.2738022</v>
      </c>
      <c r="P986">
        <v>0.86229489999999998</v>
      </c>
      <c r="Q986">
        <v>0.16512460000000001</v>
      </c>
      <c r="R986">
        <v>-0.47872910000000002</v>
      </c>
      <c r="S986">
        <v>2.1880950000000001</v>
      </c>
      <c r="T986">
        <v>-0.16767789999999999</v>
      </c>
      <c r="U986">
        <v>-2.4021300000000001</v>
      </c>
      <c r="V986">
        <v>0.2269234</v>
      </c>
      <c r="W986">
        <v>0.17578750000000001</v>
      </c>
      <c r="X986">
        <v>0.95791669999999995</v>
      </c>
      <c r="Y986">
        <v>0.52629749999999997</v>
      </c>
      <c r="Z986" s="1">
        <v>1.363177E-5</v>
      </c>
      <c r="AA986">
        <v>0.85030049999999902</v>
      </c>
      <c r="AB986">
        <v>28</v>
      </c>
      <c r="AC986">
        <v>14.1393</v>
      </c>
      <c r="AD986">
        <v>-1.1041874747356</v>
      </c>
      <c r="AE986">
        <v>-15.7366999999999</v>
      </c>
      <c r="AF986">
        <v>11.2328247980625</v>
      </c>
      <c r="AG986">
        <v>-1.1041874747356</v>
      </c>
      <c r="AH986">
        <v>17.859413386302901</v>
      </c>
      <c r="AI986">
        <v>92.995873936880997</v>
      </c>
      <c r="AJ986">
        <v>57.831822525136701</v>
      </c>
      <c r="AK986">
        <v>21.127097042097098</v>
      </c>
      <c r="AL986">
        <v>79.875510390775304</v>
      </c>
      <c r="AM986">
        <v>76.672728036006902</v>
      </c>
      <c r="AN986">
        <v>0.99999993938134801</v>
      </c>
    </row>
    <row r="987" spans="1:40" x14ac:dyDescent="0.25">
      <c r="A987" t="str">
        <f>"20190312172631796"</f>
        <v>20190312172631796</v>
      </c>
      <c r="B987" t="str">
        <f>"1552382791789423"</f>
        <v>1552382791789423</v>
      </c>
      <c r="C987" t="s">
        <v>40</v>
      </c>
      <c r="D987">
        <v>3.25956</v>
      </c>
      <c r="E987">
        <v>0.62852350000000001</v>
      </c>
      <c r="F987" t="s">
        <v>41</v>
      </c>
      <c r="G987">
        <v>-191.06960000000001</v>
      </c>
      <c r="H987" s="1">
        <v>-4.3567899999999997E-6</v>
      </c>
      <c r="I987">
        <v>349.2319</v>
      </c>
      <c r="J987">
        <v>-205.3467</v>
      </c>
      <c r="K987">
        <v>1.104044</v>
      </c>
      <c r="L987">
        <v>365.3886</v>
      </c>
      <c r="M987">
        <v>0.95937879999999998</v>
      </c>
      <c r="N987">
        <v>0</v>
      </c>
      <c r="O987">
        <v>-0.28174310000000002</v>
      </c>
      <c r="P987">
        <v>0.85706959999999999</v>
      </c>
      <c r="Q987">
        <v>0.16567190000000001</v>
      </c>
      <c r="R987">
        <v>-0.48783650000000001</v>
      </c>
      <c r="S987">
        <v>2.1673279999999999</v>
      </c>
      <c r="T987">
        <v>-0.16447000000000001</v>
      </c>
      <c r="U987">
        <v>-2.4195250000000001</v>
      </c>
      <c r="V987">
        <v>0.2292556</v>
      </c>
      <c r="W987">
        <v>0.176233</v>
      </c>
      <c r="X987">
        <v>0.9572794</v>
      </c>
      <c r="Y987">
        <v>0.52637460000000003</v>
      </c>
      <c r="Z987">
        <v>4.4593029999999997E-4</v>
      </c>
      <c r="AA987">
        <v>0.85025260000000003</v>
      </c>
      <c r="AB987">
        <v>28</v>
      </c>
      <c r="AC987">
        <v>14.2770999999999</v>
      </c>
      <c r="AD987">
        <v>-1.1040483567899999</v>
      </c>
      <c r="AE987">
        <v>-16.156700000000001</v>
      </c>
      <c r="AF987">
        <v>11.4491243246745</v>
      </c>
      <c r="AG987">
        <v>-1.1040483567899999</v>
      </c>
      <c r="AH987">
        <v>18.203400801935</v>
      </c>
      <c r="AI987">
        <v>92.938995760228906</v>
      </c>
      <c r="AJ987">
        <v>57.831944730998103</v>
      </c>
      <c r="AK987">
        <v>21.5328858105892</v>
      </c>
      <c r="AL987">
        <v>79.8495811860695</v>
      </c>
      <c r="AM987">
        <v>76.532082911744794</v>
      </c>
      <c r="AN987">
        <v>1.00000002504235</v>
      </c>
    </row>
    <row r="988" spans="1:40" x14ac:dyDescent="0.25">
      <c r="A988" t="str">
        <f>"20190312172631811"</f>
        <v>20190312172631811</v>
      </c>
      <c r="B988" t="str">
        <f>"1552382791800159"</f>
        <v>1552382791800159</v>
      </c>
      <c r="C988" t="s">
        <v>40</v>
      </c>
      <c r="D988">
        <v>3.2116709999999999</v>
      </c>
      <c r="E988">
        <v>0.62835589999999997</v>
      </c>
      <c r="F988" t="s">
        <v>41</v>
      </c>
      <c r="G988">
        <v>-190.74420000000001</v>
      </c>
      <c r="H988" s="1">
        <v>-4.1282919999999997E-6</v>
      </c>
      <c r="I988">
        <v>348.75069999999999</v>
      </c>
      <c r="J988">
        <v>-205.16419999999999</v>
      </c>
      <c r="K988">
        <v>1.10395</v>
      </c>
      <c r="L988">
        <v>365.32920000000001</v>
      </c>
      <c r="M988">
        <v>0.95777310000000004</v>
      </c>
      <c r="N988">
        <v>0</v>
      </c>
      <c r="O988">
        <v>-0.2871533</v>
      </c>
      <c r="P988">
        <v>0.85358480000000003</v>
      </c>
      <c r="Q988">
        <v>0.16608139999999999</v>
      </c>
      <c r="R988">
        <v>-0.49377109999999902</v>
      </c>
      <c r="S988">
        <v>2.1422729999999999</v>
      </c>
      <c r="T988">
        <v>-0.161970899999999</v>
      </c>
      <c r="U988">
        <v>-2.440887</v>
      </c>
      <c r="V988">
        <v>0.23056679999999999</v>
      </c>
      <c r="W988">
        <v>0.17657790000000001</v>
      </c>
      <c r="X988">
        <v>0.9569008</v>
      </c>
      <c r="Y988">
        <v>0.53019830000000001</v>
      </c>
      <c r="Z988">
        <v>6.1542910000000005E-4</v>
      </c>
      <c r="AA988">
        <v>0.8478734</v>
      </c>
      <c r="AB988">
        <v>28</v>
      </c>
      <c r="AC988">
        <v>14.4199999999999</v>
      </c>
      <c r="AD988">
        <v>-1.103954128292</v>
      </c>
      <c r="AE988">
        <v>-16.578499999999998</v>
      </c>
      <c r="AF988">
        <v>11.709386335883201</v>
      </c>
      <c r="AG988">
        <v>-1.103954128292</v>
      </c>
      <c r="AH988">
        <v>18.5268751515997</v>
      </c>
      <c r="AI988">
        <v>92.883538120294403</v>
      </c>
      <c r="AJ988">
        <v>57.706226812579601</v>
      </c>
      <c r="AK988">
        <v>21.944784026353599</v>
      </c>
      <c r="AL988">
        <v>79.829504489890596</v>
      </c>
      <c r="AM988">
        <v>76.452723464239497</v>
      </c>
      <c r="AN988">
        <v>0.99999997253564399</v>
      </c>
    </row>
    <row r="989" spans="1:40" x14ac:dyDescent="0.25">
      <c r="A989" t="str">
        <f>"20190312172631831"</f>
        <v>20190312172631831</v>
      </c>
      <c r="B989" t="str">
        <f>"1552382791819679"</f>
        <v>1552382791819679</v>
      </c>
      <c r="C989" t="s">
        <v>40</v>
      </c>
      <c r="D989">
        <v>3.2658330000000002</v>
      </c>
      <c r="E989">
        <v>0.62809469999999901</v>
      </c>
      <c r="F989" t="s">
        <v>41</v>
      </c>
      <c r="G989">
        <v>-190.53229999999999</v>
      </c>
      <c r="H989" s="1">
        <v>-3.9345859999999996E-6</v>
      </c>
      <c r="I989">
        <v>348.43049999999999</v>
      </c>
      <c r="J989">
        <v>-204.92439999999999</v>
      </c>
      <c r="K989">
        <v>1.103817</v>
      </c>
      <c r="L989">
        <v>365.24889999999999</v>
      </c>
      <c r="M989">
        <v>0.95556129999999995</v>
      </c>
      <c r="N989">
        <v>0</v>
      </c>
      <c r="O989">
        <v>-0.29442879999999999</v>
      </c>
      <c r="P989">
        <v>0.84867899999999996</v>
      </c>
      <c r="Q989">
        <v>0.16642939999999901</v>
      </c>
      <c r="R989">
        <v>-0.50204099999999996</v>
      </c>
      <c r="S989">
        <v>2.1256710000000001</v>
      </c>
      <c r="T989">
        <v>-0.16037960000000001</v>
      </c>
      <c r="U989">
        <v>-2.454987</v>
      </c>
      <c r="V989">
        <v>0.23267280000000001</v>
      </c>
      <c r="W989">
        <v>0.1768323</v>
      </c>
      <c r="X989">
        <v>0.95634390000000002</v>
      </c>
      <c r="Y989">
        <v>0.52945109999999995</v>
      </c>
      <c r="Z989">
        <v>1.022411E-3</v>
      </c>
      <c r="AA989">
        <v>0.84833989999999904</v>
      </c>
      <c r="AB989">
        <v>28</v>
      </c>
      <c r="AC989">
        <v>14.392099999999999</v>
      </c>
      <c r="AD989">
        <v>-1.1038209345859999</v>
      </c>
      <c r="AE989">
        <v>-16.818399999999901</v>
      </c>
      <c r="AF989">
        <v>11.805475802391101</v>
      </c>
      <c r="AG989">
        <v>-1.1038209345859999</v>
      </c>
      <c r="AH989">
        <v>18.659959269397099</v>
      </c>
      <c r="AI989">
        <v>92.861833489414394</v>
      </c>
      <c r="AJ989">
        <v>57.679954907581099</v>
      </c>
      <c r="AK989">
        <v>22.108409248791101</v>
      </c>
      <c r="AL989">
        <v>79.814695426511705</v>
      </c>
      <c r="AM989">
        <v>76.325943406355506</v>
      </c>
      <c r="AN989">
        <v>0.99999997462516899</v>
      </c>
    </row>
    <row r="990" spans="1:40" x14ac:dyDescent="0.25">
      <c r="A990" t="str">
        <f>"20190312172631851"</f>
        <v>20190312172631851</v>
      </c>
      <c r="B990" t="str">
        <f>"1552382791849934"</f>
        <v>1552382791849934</v>
      </c>
      <c r="C990" t="s">
        <v>40</v>
      </c>
      <c r="D990">
        <v>3.2637839999999998</v>
      </c>
      <c r="E990">
        <v>0.62773659999999998</v>
      </c>
      <c r="F990" t="s">
        <v>41</v>
      </c>
      <c r="G990">
        <v>-190.2715</v>
      </c>
      <c r="H990" s="1">
        <v>-3.6783450000000002E-6</v>
      </c>
      <c r="I990">
        <v>347.995</v>
      </c>
      <c r="J990">
        <v>-204.67250000000001</v>
      </c>
      <c r="K990">
        <v>1.1036729999999999</v>
      </c>
      <c r="L990">
        <v>365.16219999999998</v>
      </c>
      <c r="M990">
        <v>0.95310870000000003</v>
      </c>
      <c r="N990">
        <v>0</v>
      </c>
      <c r="O990">
        <v>-0.30227270000000001</v>
      </c>
      <c r="P990">
        <v>0.84363319999999997</v>
      </c>
      <c r="Q990">
        <v>0.16629949999999999</v>
      </c>
      <c r="R990">
        <v>-0.51051709999999995</v>
      </c>
      <c r="S990">
        <v>2.1018680000000001</v>
      </c>
      <c r="T990">
        <v>-0.1583368</v>
      </c>
      <c r="U990">
        <v>-2.4749759999999998</v>
      </c>
      <c r="V990">
        <v>0.23444999999999999</v>
      </c>
      <c r="W990">
        <v>0.1766085</v>
      </c>
      <c r="X990">
        <v>0.9559512</v>
      </c>
      <c r="Y990">
        <v>0.53061210000000003</v>
      </c>
      <c r="Z990">
        <v>1.3916390000000001E-3</v>
      </c>
      <c r="AA990">
        <v>0.84761359999999997</v>
      </c>
      <c r="AB990">
        <v>28</v>
      </c>
      <c r="AC990">
        <v>14.401</v>
      </c>
      <c r="AD990">
        <v>-1.1036766783449901</v>
      </c>
      <c r="AE990">
        <v>-17.167199999999902</v>
      </c>
      <c r="AF990">
        <v>11.981402867059201</v>
      </c>
      <c r="AG990">
        <v>-1.1036766783449901</v>
      </c>
      <c r="AH990">
        <v>18.871146614406999</v>
      </c>
      <c r="AI990">
        <v>92.826627015352798</v>
      </c>
      <c r="AJ990">
        <v>57.588293905359599</v>
      </c>
      <c r="AK990">
        <v>22.3806231239335</v>
      </c>
      <c r="AL990">
        <v>79.827723843553102</v>
      </c>
      <c r="AM990">
        <v>76.220019450386005</v>
      </c>
      <c r="AN990">
        <v>1.00000003077684</v>
      </c>
    </row>
    <row r="991" spans="1:40" x14ac:dyDescent="0.25">
      <c r="A991" t="str">
        <f>"20190312172631865"</f>
        <v>20190312172631865</v>
      </c>
      <c r="B991" t="str">
        <f>"1552382791859294"</f>
        <v>1552382791859294</v>
      </c>
      <c r="C991" t="s">
        <v>40</v>
      </c>
      <c r="D991">
        <v>3.2490779999999999</v>
      </c>
      <c r="E991">
        <v>0.61687950000000003</v>
      </c>
      <c r="F991" t="s">
        <v>41</v>
      </c>
      <c r="G991">
        <v>-190.05959999999999</v>
      </c>
      <c r="H991" s="1">
        <v>-3.4591649999999999E-6</v>
      </c>
      <c r="I991">
        <v>347.6155</v>
      </c>
      <c r="J991">
        <v>-204.51410000000001</v>
      </c>
      <c r="K991">
        <v>1.1035790000000001</v>
      </c>
      <c r="L991">
        <v>365.10640000000001</v>
      </c>
      <c r="M991">
        <v>0.95149870000000003</v>
      </c>
      <c r="N991">
        <v>0</v>
      </c>
      <c r="O991">
        <v>-0.30730269999999998</v>
      </c>
      <c r="P991">
        <v>0.84032240000000002</v>
      </c>
      <c r="Q991">
        <v>0.1661772</v>
      </c>
      <c r="R991">
        <v>-0.51598820000000001</v>
      </c>
      <c r="S991">
        <v>2.0774379999999999</v>
      </c>
      <c r="T991">
        <v>-0.1569036</v>
      </c>
      <c r="U991">
        <v>-2.494507</v>
      </c>
      <c r="V991">
        <v>0.23564760000000001</v>
      </c>
      <c r="W991">
        <v>0.17642349999999901</v>
      </c>
      <c r="X991">
        <v>0.95569079999999995</v>
      </c>
      <c r="Y991">
        <v>0.53429850000000001</v>
      </c>
      <c r="Z991">
        <v>1.536307E-3</v>
      </c>
      <c r="AA991">
        <v>0.84529449999999995</v>
      </c>
      <c r="AB991">
        <v>28</v>
      </c>
      <c r="AC991">
        <v>14.454499999999999</v>
      </c>
      <c r="AD991">
        <v>-1.1035824591650001</v>
      </c>
      <c r="AE991">
        <v>-17.4909</v>
      </c>
      <c r="AF991">
        <v>12.173179934922199</v>
      </c>
      <c r="AG991">
        <v>-1.1035824591650001</v>
      </c>
      <c r="AH991">
        <v>19.085352245424701</v>
      </c>
      <c r="AI991">
        <v>92.791023449050499</v>
      </c>
      <c r="AJ991">
        <v>57.469112112336603</v>
      </c>
      <c r="AK991">
        <v>22.663955398475899</v>
      </c>
      <c r="AL991">
        <v>79.8384920734579</v>
      </c>
      <c r="AM991">
        <v>76.148704547424103</v>
      </c>
      <c r="AN991">
        <v>0.99999997397132401</v>
      </c>
    </row>
    <row r="992" spans="1:40" x14ac:dyDescent="0.25">
      <c r="A992" t="str">
        <f>"20190312172631877"</f>
        <v>20190312172631877</v>
      </c>
      <c r="B992" t="str">
        <f>"1552382791870014"</f>
        <v>1552382791870014</v>
      </c>
      <c r="C992" t="s">
        <v>40</v>
      </c>
      <c r="D992">
        <v>3.3405239999999998</v>
      </c>
      <c r="E992">
        <v>0.61577179999999998</v>
      </c>
      <c r="F992" t="s">
        <v>46</v>
      </c>
      <c r="G992">
        <v>-191.4684</v>
      </c>
      <c r="H992" s="1">
        <v>-6.4176679999999999E-7</v>
      </c>
      <c r="I992">
        <v>350.02690000000001</v>
      </c>
      <c r="J992">
        <v>-204.36770000000001</v>
      </c>
      <c r="K992">
        <v>1.103486</v>
      </c>
      <c r="L992">
        <v>365.05380000000002</v>
      </c>
      <c r="M992">
        <v>0.94995510000000005</v>
      </c>
      <c r="N992">
        <v>0</v>
      </c>
      <c r="O992">
        <v>-0.31204120000000002</v>
      </c>
      <c r="P992">
        <v>0.83702540000000003</v>
      </c>
      <c r="Q992">
        <v>0.16627400000000001</v>
      </c>
      <c r="R992">
        <v>-0.5212888</v>
      </c>
      <c r="S992">
        <v>2.1086879999999999</v>
      </c>
      <c r="T992">
        <v>-0.1783805</v>
      </c>
      <c r="U992">
        <v>-2.4374389999999999</v>
      </c>
      <c r="V992">
        <v>0.23697470000000001</v>
      </c>
      <c r="W992">
        <v>0.1764559</v>
      </c>
      <c r="X992">
        <v>0.95535669999999995</v>
      </c>
      <c r="Y992">
        <v>0.51401869999999905</v>
      </c>
      <c r="Z992">
        <v>2.7214969999999998E-3</v>
      </c>
      <c r="AA992">
        <v>0.857774699999999</v>
      </c>
      <c r="AB992">
        <v>28</v>
      </c>
      <c r="AC992">
        <v>12.8993</v>
      </c>
      <c r="AD992">
        <v>-1.1034866417667999</v>
      </c>
      <c r="AE992">
        <v>-15.026899999999999</v>
      </c>
      <c r="AF992">
        <v>10.2191444206659</v>
      </c>
      <c r="AG992">
        <v>-1.1034866417667999</v>
      </c>
      <c r="AH992">
        <v>16.892148499003898</v>
      </c>
      <c r="AI992">
        <v>93.199121604248603</v>
      </c>
      <c r="AJ992">
        <v>58.827565093627904</v>
      </c>
      <c r="AK992">
        <v>19.7735499182971</v>
      </c>
      <c r="AL992">
        <v>79.836606971861599</v>
      </c>
      <c r="AM992">
        <v>76.069045699011795</v>
      </c>
      <c r="AN992">
        <v>1.0000000586598901</v>
      </c>
    </row>
    <row r="993" spans="1:40" x14ac:dyDescent="0.25">
      <c r="A993" t="str">
        <f>"20190312172631890"</f>
        <v>20190312172631890</v>
      </c>
      <c r="B993" t="str">
        <f>"1552382791879775"</f>
        <v>1552382791879775</v>
      </c>
      <c r="C993" t="s">
        <v>40</v>
      </c>
      <c r="D993">
        <v>3.3148599999999999</v>
      </c>
      <c r="E993">
        <v>0.61666860000000001</v>
      </c>
      <c r="F993" t="s">
        <v>41</v>
      </c>
      <c r="G993">
        <v>-190.8511</v>
      </c>
      <c r="H993" s="1">
        <v>-4.3426819999999999E-6</v>
      </c>
      <c r="I993">
        <v>349.30439999999999</v>
      </c>
      <c r="J993">
        <v>-204.21639999999999</v>
      </c>
      <c r="K993">
        <v>1.1033900000000001</v>
      </c>
      <c r="L993">
        <v>364.99869999999999</v>
      </c>
      <c r="M993">
        <v>0.94831650000000001</v>
      </c>
      <c r="N993">
        <v>0</v>
      </c>
      <c r="O993">
        <v>-0.31698500000000002</v>
      </c>
      <c r="P993">
        <v>0.83376620000000001</v>
      </c>
      <c r="Q993">
        <v>0.16599229999999901</v>
      </c>
      <c r="R993">
        <v>-0.52657469999999995</v>
      </c>
      <c r="S993">
        <v>2.0966490000000002</v>
      </c>
      <c r="T993">
        <v>-0.1711694</v>
      </c>
      <c r="U993">
        <v>-2.442993</v>
      </c>
      <c r="V993">
        <v>0.2380659</v>
      </c>
      <c r="W993">
        <v>0.176112299999999</v>
      </c>
      <c r="X993">
        <v>0.95514869999999996</v>
      </c>
      <c r="Y993">
        <v>0.51297519999999996</v>
      </c>
      <c r="Z993">
        <v>2.9343519999999999E-3</v>
      </c>
      <c r="AA993">
        <v>0.85839840000000001</v>
      </c>
      <c r="AB993">
        <v>28</v>
      </c>
      <c r="AC993">
        <v>13.3652999999999</v>
      </c>
      <c r="AD993">
        <v>-1.1033943426820001</v>
      </c>
      <c r="AE993">
        <v>-15.694299999999901</v>
      </c>
      <c r="AF993">
        <v>10.6172967347546</v>
      </c>
      <c r="AG993">
        <v>-1.1033943426820001</v>
      </c>
      <c r="AH993">
        <v>17.600874212454102</v>
      </c>
      <c r="AI993">
        <v>93.072658406290998</v>
      </c>
      <c r="AJ993">
        <v>58.900547520346201</v>
      </c>
      <c r="AK993">
        <v>20.584830387251799</v>
      </c>
      <c r="AL993">
        <v>79.856606177961297</v>
      </c>
      <c r="AM993">
        <v>76.004485244781606</v>
      </c>
      <c r="AN993">
        <v>0.99999997703289401</v>
      </c>
    </row>
    <row r="994" spans="1:40" x14ac:dyDescent="0.25">
      <c r="A994" t="str">
        <f>"20190312172631909"</f>
        <v>20190312172631909</v>
      </c>
      <c r="B994" t="str">
        <f>"1552382791899294"</f>
        <v>1552382791899294</v>
      </c>
      <c r="C994" t="s">
        <v>40</v>
      </c>
      <c r="D994">
        <v>3.2550340000000002</v>
      </c>
      <c r="E994">
        <v>0.61713989999999996</v>
      </c>
      <c r="F994" t="s">
        <v>41</v>
      </c>
      <c r="G994">
        <v>-191.0986</v>
      </c>
      <c r="H994" s="1">
        <v>-4.4358659999999997E-6</v>
      </c>
      <c r="I994">
        <v>349.44920000000002</v>
      </c>
      <c r="J994">
        <v>-203.99279999999999</v>
      </c>
      <c r="K994">
        <v>1.103232</v>
      </c>
      <c r="L994">
        <v>364.9153</v>
      </c>
      <c r="M994">
        <v>0.94578059999999997</v>
      </c>
      <c r="N994">
        <v>0</v>
      </c>
      <c r="O994">
        <v>-0.32447199999999998</v>
      </c>
      <c r="P994">
        <v>0.82821939999999905</v>
      </c>
      <c r="Q994">
        <v>0.16605420000000001</v>
      </c>
      <c r="R994">
        <v>-0.53523719999999997</v>
      </c>
      <c r="S994">
        <v>2.0775760000000001</v>
      </c>
      <c r="T994">
        <v>-0.1747532</v>
      </c>
      <c r="U994">
        <v>-2.4627080000000001</v>
      </c>
      <c r="V994">
        <v>0.2405487</v>
      </c>
      <c r="W994">
        <v>0.17605789999999999</v>
      </c>
      <c r="X994">
        <v>0.95453650000000001</v>
      </c>
      <c r="Y994">
        <v>0.51346420000000004</v>
      </c>
      <c r="Z994">
        <v>3.4212779999999998E-3</v>
      </c>
      <c r="AA994">
        <v>0.85810419999999998</v>
      </c>
      <c r="AB994">
        <v>28</v>
      </c>
      <c r="AC994">
        <v>12.8941999999999</v>
      </c>
      <c r="AD994">
        <v>-1.1032364358660001</v>
      </c>
      <c r="AE994">
        <v>-15.4660999999999</v>
      </c>
      <c r="AF994">
        <v>10.413603648697</v>
      </c>
      <c r="AG994">
        <v>-1.1032364358660001</v>
      </c>
      <c r="AH994">
        <v>17.163745449130701</v>
      </c>
      <c r="AI994">
        <v>93.145444347446798</v>
      </c>
      <c r="AJ994">
        <v>58.753934982668603</v>
      </c>
      <c r="AK994">
        <v>20.106079414648001</v>
      </c>
      <c r="AL994">
        <v>79.859772732590898</v>
      </c>
      <c r="AM994">
        <v>75.855645974385993</v>
      </c>
      <c r="AN994">
        <v>0.99999999552817498</v>
      </c>
    </row>
    <row r="995" spans="1:40" x14ac:dyDescent="0.25">
      <c r="A995" t="str">
        <f>"20190312172631921"</f>
        <v>20190312172631921</v>
      </c>
      <c r="B995" t="str">
        <f>"1552382791910031"</f>
        <v>1552382791910031</v>
      </c>
      <c r="C995" t="s">
        <v>40</v>
      </c>
      <c r="D995">
        <v>3.2570760000000001</v>
      </c>
      <c r="E995">
        <v>0.61688929999999997</v>
      </c>
      <c r="F995" t="s">
        <v>41</v>
      </c>
      <c r="G995">
        <v>-191.3458</v>
      </c>
      <c r="H995" s="1">
        <v>-4.5193939999999997E-6</v>
      </c>
      <c r="I995">
        <v>349.56569999999999</v>
      </c>
      <c r="J995">
        <v>-203.8443</v>
      </c>
      <c r="K995">
        <v>1.1031230000000001</v>
      </c>
      <c r="L995">
        <v>364.85849999999999</v>
      </c>
      <c r="M995">
        <v>0.94401449999999998</v>
      </c>
      <c r="N995">
        <v>0</v>
      </c>
      <c r="O995">
        <v>-0.32957429999999999</v>
      </c>
      <c r="P995">
        <v>0.82464780000000004</v>
      </c>
      <c r="Q995">
        <v>0.16644979999999901</v>
      </c>
      <c r="R995">
        <v>-0.54060249999999999</v>
      </c>
      <c r="S995">
        <v>2.0500949999999998</v>
      </c>
      <c r="T995">
        <v>-0.17883599999999999</v>
      </c>
      <c r="U995">
        <v>-2.4881899999999999</v>
      </c>
      <c r="V995">
        <v>0.2416721</v>
      </c>
      <c r="W995">
        <v>0.1763855</v>
      </c>
      <c r="X995">
        <v>0.95419219999999905</v>
      </c>
      <c r="Y995">
        <v>0.51877139999999999</v>
      </c>
      <c r="Z995">
        <v>3.6341820000000001E-3</v>
      </c>
      <c r="AA995">
        <v>0.85490529999999998</v>
      </c>
      <c r="AB995">
        <v>28</v>
      </c>
      <c r="AC995">
        <v>12.4985</v>
      </c>
      <c r="AD995">
        <v>-1.10312751939399</v>
      </c>
      <c r="AE995">
        <v>-15.2928</v>
      </c>
      <c r="AF995">
        <v>10.2864728579129</v>
      </c>
      <c r="AG995">
        <v>-1.10312751939399</v>
      </c>
      <c r="AH995">
        <v>16.788337348799399</v>
      </c>
      <c r="AI995">
        <v>93.206779960241803</v>
      </c>
      <c r="AJ995">
        <v>58.503556813026101</v>
      </c>
      <c r="AK995">
        <v>19.719956519164</v>
      </c>
      <c r="AL995">
        <v>79.840704284115802</v>
      </c>
      <c r="AM995">
        <v>75.787339707248705</v>
      </c>
      <c r="AN995">
        <v>1.0000000015347399</v>
      </c>
    </row>
    <row r="996" spans="1:40" x14ac:dyDescent="0.25">
      <c r="A996" t="str">
        <f>"20190312172631934"</f>
        <v>20190312172631934</v>
      </c>
      <c r="B996" t="str">
        <f>"1552382791929551"</f>
        <v>1552382791929551</v>
      </c>
      <c r="C996" t="s">
        <v>40</v>
      </c>
      <c r="D996">
        <v>3.2561550000000001</v>
      </c>
      <c r="E996">
        <v>0.61624860000000004</v>
      </c>
      <c r="F996" t="s">
        <v>41</v>
      </c>
      <c r="G996">
        <v>-191.2491</v>
      </c>
      <c r="H996" s="1">
        <v>-4.4390280000000001E-6</v>
      </c>
      <c r="I996">
        <v>349.38</v>
      </c>
      <c r="J996">
        <v>-203.70050000000001</v>
      </c>
      <c r="K996">
        <v>1.1030219999999999</v>
      </c>
      <c r="L996">
        <v>364.80270000000002</v>
      </c>
      <c r="M996">
        <v>0.94225639999999999</v>
      </c>
      <c r="N996">
        <v>0</v>
      </c>
      <c r="O996">
        <v>-0.33456639999999999</v>
      </c>
      <c r="P996">
        <v>0.82108999999999999</v>
      </c>
      <c r="Q996">
        <v>0.166483299999999</v>
      </c>
      <c r="R996">
        <v>-0.54598029999999997</v>
      </c>
      <c r="S996">
        <v>2.0346829999999998</v>
      </c>
      <c r="T996">
        <v>-0.178203799999999</v>
      </c>
      <c r="U996">
        <v>-2.5004580000000001</v>
      </c>
      <c r="V996">
        <v>0.24290709999999999</v>
      </c>
      <c r="W996">
        <v>0.1763517</v>
      </c>
      <c r="X996">
        <v>0.95388479999999998</v>
      </c>
      <c r="Y996">
        <v>0.51947659999999996</v>
      </c>
      <c r="Z996">
        <v>3.9014330000000002E-3</v>
      </c>
      <c r="AA996">
        <v>0.85447569999999995</v>
      </c>
      <c r="AB996">
        <v>28</v>
      </c>
      <c r="AC996">
        <v>12.4514</v>
      </c>
      <c r="AD996">
        <v>-1.103026439028</v>
      </c>
      <c r="AE996">
        <v>-15.422700000000001</v>
      </c>
      <c r="AF996">
        <v>10.3354435384206</v>
      </c>
      <c r="AG996">
        <v>-1.103026439028</v>
      </c>
      <c r="AH996">
        <v>16.842017865435999</v>
      </c>
      <c r="AI996">
        <v>93.194931130912906</v>
      </c>
      <c r="AJ996">
        <v>58.463802060407197</v>
      </c>
      <c r="AK996">
        <v>19.7912007276148</v>
      </c>
      <c r="AL996">
        <v>79.8426716709358</v>
      </c>
      <c r="AM996">
        <v>75.713259952643796</v>
      </c>
      <c r="AN996">
        <v>0.99999999649716997</v>
      </c>
    </row>
    <row r="997" spans="1:40" x14ac:dyDescent="0.25">
      <c r="A997" t="str">
        <f>"20190312172631952"</f>
        <v>20190312172631952</v>
      </c>
      <c r="B997" t="str">
        <f>"1552382791950047"</f>
        <v>1552382791950047</v>
      </c>
      <c r="C997" t="s">
        <v>40</v>
      </c>
      <c r="D997">
        <v>3.2989359999999999</v>
      </c>
      <c r="E997">
        <v>0.62305699999999997</v>
      </c>
      <c r="F997" t="s">
        <v>41</v>
      </c>
      <c r="G997">
        <v>-191.24610000000001</v>
      </c>
      <c r="H997" s="1">
        <v>-4.4226779999999998E-6</v>
      </c>
      <c r="I997">
        <v>349.33350000000002</v>
      </c>
      <c r="J997">
        <v>-203.47479999999999</v>
      </c>
      <c r="K997">
        <v>1.102867</v>
      </c>
      <c r="L997">
        <v>364.71319999999997</v>
      </c>
      <c r="M997">
        <v>0.93938060000000001</v>
      </c>
      <c r="N997">
        <v>0</v>
      </c>
      <c r="O997">
        <v>-0.34255679999999999</v>
      </c>
      <c r="P997">
        <v>0.81487010000000004</v>
      </c>
      <c r="Q997">
        <v>0.1665432</v>
      </c>
      <c r="R997">
        <v>-0.55520290000000005</v>
      </c>
      <c r="S997">
        <v>2.0208889999999999</v>
      </c>
      <c r="T997">
        <v>-0.17898</v>
      </c>
      <c r="U997">
        <v>-2.5100709999999999</v>
      </c>
      <c r="V997">
        <v>0.24563889999999999</v>
      </c>
      <c r="W997">
        <v>0.17628929999999901</v>
      </c>
      <c r="X997">
        <v>0.9531965</v>
      </c>
      <c r="Y997">
        <v>0.51667529999999995</v>
      </c>
      <c r="Z997">
        <v>4.5000860000000004E-3</v>
      </c>
      <c r="AA997">
        <v>0.85616959999999998</v>
      </c>
      <c r="AB997">
        <v>28</v>
      </c>
      <c r="AC997">
        <v>12.2286999999999</v>
      </c>
      <c r="AD997">
        <v>-1.1028714226780001</v>
      </c>
      <c r="AE997">
        <v>-15.3796999999999</v>
      </c>
      <c r="AF997">
        <v>10.227269772182099</v>
      </c>
      <c r="AG997">
        <v>-1.1028714226780001</v>
      </c>
      <c r="AH997">
        <v>16.705029959871499</v>
      </c>
      <c r="AI997">
        <v>93.222691368036706</v>
      </c>
      <c r="AJ997">
        <v>58.523908052400898</v>
      </c>
      <c r="AK997">
        <v>19.618139522598899</v>
      </c>
      <c r="AL997">
        <v>79.846303633814799</v>
      </c>
      <c r="AM997">
        <v>75.549279679848198</v>
      </c>
      <c r="AN997">
        <v>0.99999997704997401</v>
      </c>
    </row>
    <row r="998" spans="1:40" x14ac:dyDescent="0.25">
      <c r="A998" t="str">
        <f>"20190312172631966"</f>
        <v>20190312172631966</v>
      </c>
      <c r="B998" t="str">
        <f>"1552382791959489"</f>
        <v>1552382791959489</v>
      </c>
      <c r="C998" t="s">
        <v>40</v>
      </c>
      <c r="D998">
        <v>3.2893029999999999</v>
      </c>
      <c r="E998">
        <v>0.62305699999999997</v>
      </c>
      <c r="F998" t="s">
        <v>41</v>
      </c>
      <c r="G998">
        <v>-190.85830000000001</v>
      </c>
      <c r="H998" s="1">
        <v>-3.8901939999999999E-6</v>
      </c>
      <c r="I998">
        <v>348.12490000000003</v>
      </c>
      <c r="J998">
        <v>-203.3124</v>
      </c>
      <c r="K998">
        <v>1.1027559999999901</v>
      </c>
      <c r="L998">
        <v>364.6474</v>
      </c>
      <c r="M998">
        <v>0.93722320000000003</v>
      </c>
      <c r="N998">
        <v>0</v>
      </c>
      <c r="O998">
        <v>-0.34841499999999997</v>
      </c>
      <c r="P998">
        <v>0.81034319999999904</v>
      </c>
      <c r="Q998">
        <v>0.1668055</v>
      </c>
      <c r="R998">
        <v>-0.56171190000000004</v>
      </c>
      <c r="S998">
        <v>1.9604189999999999</v>
      </c>
      <c r="T998">
        <v>-0.17136989999999999</v>
      </c>
      <c r="U998">
        <v>-2.5775760000000001</v>
      </c>
      <c r="V998">
        <v>0.2473987</v>
      </c>
      <c r="W998">
        <v>0.17646529999999999</v>
      </c>
      <c r="X998">
        <v>0.95270869999999996</v>
      </c>
      <c r="Y998">
        <v>0.53486400000000001</v>
      </c>
      <c r="Z998">
        <v>4.0567559999999999E-3</v>
      </c>
      <c r="AA998">
        <v>0.84492839999999902</v>
      </c>
      <c r="AB998">
        <v>28</v>
      </c>
      <c r="AC998">
        <v>12.454099999999899</v>
      </c>
      <c r="AD998">
        <v>-1.1027598901939999</v>
      </c>
      <c r="AE998">
        <v>-16.522499999999901</v>
      </c>
      <c r="AF998">
        <v>11.1157234711804</v>
      </c>
      <c r="AG998">
        <v>-1.1027598901939999</v>
      </c>
      <c r="AH998">
        <v>17.3814979305366</v>
      </c>
      <c r="AI998">
        <v>93.059504302566495</v>
      </c>
      <c r="AJ998">
        <v>57.4004870991498</v>
      </c>
      <c r="AK998">
        <v>20.661361474317701</v>
      </c>
      <c r="AL998">
        <v>79.836059130410604</v>
      </c>
      <c r="AM998">
        <v>75.442998015694201</v>
      </c>
      <c r="AN998">
        <v>0.99999999296073405</v>
      </c>
    </row>
    <row r="999" spans="1:40" x14ac:dyDescent="0.25">
      <c r="A999" t="str">
        <f>"20190312172631978"</f>
        <v>20190312172631978</v>
      </c>
      <c r="B999" t="str">
        <f>"1552382791970213"</f>
        <v>1552382791970213</v>
      </c>
      <c r="C999" t="s">
        <v>40</v>
      </c>
      <c r="D999">
        <v>3.5148760000000001</v>
      </c>
      <c r="E999">
        <v>0.67619050000000003</v>
      </c>
      <c r="F999" t="s">
        <v>41</v>
      </c>
      <c r="G999">
        <v>-190.71459999999999</v>
      </c>
      <c r="H999" s="1">
        <v>-3.7105310000000001E-6</v>
      </c>
      <c r="I999">
        <v>347.79520000000002</v>
      </c>
      <c r="J999">
        <v>-203.17230000000001</v>
      </c>
      <c r="K999">
        <v>1.1026609999999999</v>
      </c>
      <c r="L999">
        <v>364.58920000000001</v>
      </c>
      <c r="M999">
        <v>0.935284</v>
      </c>
      <c r="N999">
        <v>0</v>
      </c>
      <c r="O999">
        <v>-0.35358699999999998</v>
      </c>
      <c r="P999">
        <v>0.80614909999999995</v>
      </c>
      <c r="Q999">
        <v>0.167073</v>
      </c>
      <c r="R999">
        <v>-0.56763569999999997</v>
      </c>
      <c r="S999">
        <v>1.939041</v>
      </c>
      <c r="T999">
        <v>-0.16973579999999999</v>
      </c>
      <c r="U999">
        <v>-2.5938720000000002</v>
      </c>
      <c r="V999">
        <v>0.2491882</v>
      </c>
      <c r="W999">
        <v>0.17665349999999999</v>
      </c>
      <c r="X999">
        <v>0.95220729999999998</v>
      </c>
      <c r="Y999">
        <v>0.53721540000000001</v>
      </c>
      <c r="Z999">
        <v>4.2443130000000004E-3</v>
      </c>
      <c r="AA999">
        <v>0.84343449999999998</v>
      </c>
      <c r="AB999">
        <v>28</v>
      </c>
      <c r="AC999">
        <v>12.457700000000001</v>
      </c>
      <c r="AD999">
        <v>-1.1026647105309999</v>
      </c>
      <c r="AE999">
        <v>-16.793999999999901</v>
      </c>
      <c r="AF999">
        <v>11.272176597199399</v>
      </c>
      <c r="AG999">
        <v>-1.1026647105309999</v>
      </c>
      <c r="AH999">
        <v>17.542779911410701</v>
      </c>
      <c r="AI999">
        <v>93.026993456997005</v>
      </c>
      <c r="AJ999">
        <v>57.277080996909199</v>
      </c>
      <c r="AK999">
        <v>20.8812586240029</v>
      </c>
      <c r="AL999">
        <v>79.825103826750706</v>
      </c>
      <c r="AM999">
        <v>75.334836942112602</v>
      </c>
      <c r="AN999">
        <v>0.999999980127389</v>
      </c>
    </row>
    <row r="1000" spans="1:40" x14ac:dyDescent="0.25">
      <c r="A1000" t="str">
        <f>"20190312172631999"</f>
        <v>20190312172631999</v>
      </c>
      <c r="B1000" t="str">
        <f>"1552382791989733"</f>
        <v>1552382791989733</v>
      </c>
      <c r="C1000" t="s">
        <v>40</v>
      </c>
      <c r="D1000">
        <v>3.2948940000000002</v>
      </c>
      <c r="E1000">
        <v>0.67984869999999997</v>
      </c>
      <c r="F1000" t="s">
        <v>41</v>
      </c>
      <c r="G1000">
        <v>-184.6121</v>
      </c>
      <c r="H1000" s="1">
        <v>-2.1750200000000001E-6</v>
      </c>
      <c r="I1000">
        <v>331.82679999999999</v>
      </c>
      <c r="J1000">
        <v>-202.94049999999999</v>
      </c>
      <c r="K1000">
        <v>1.102506</v>
      </c>
      <c r="L1000">
        <v>364.49110000000002</v>
      </c>
      <c r="M1000">
        <v>0.93195240000000001</v>
      </c>
      <c r="N1000">
        <v>0</v>
      </c>
      <c r="O1000">
        <v>-0.36227599999999999</v>
      </c>
      <c r="P1000">
        <v>0.79843209999999998</v>
      </c>
      <c r="Q1000">
        <v>0.16786429999999899</v>
      </c>
      <c r="R1000">
        <v>-0.57821109999999998</v>
      </c>
      <c r="S1000">
        <v>1.66832</v>
      </c>
      <c r="T1000">
        <v>-9.9115250000000002E-2</v>
      </c>
      <c r="U1000">
        <v>-2.9449160000000001</v>
      </c>
      <c r="V1000">
        <v>0.25302819999999998</v>
      </c>
      <c r="W1000">
        <v>0.17729039999999999</v>
      </c>
      <c r="X1000">
        <v>0.95107560000000002</v>
      </c>
      <c r="Y1000">
        <v>0.63226729999999998</v>
      </c>
      <c r="Z1000">
        <v>8.8609479999999998E-4</v>
      </c>
      <c r="AA1000">
        <v>0.77474980000000004</v>
      </c>
      <c r="AB1000">
        <v>28</v>
      </c>
      <c r="AC1000">
        <v>18.328399999999899</v>
      </c>
      <c r="AD1000">
        <v>-1.1025081750200001</v>
      </c>
      <c r="AE1000">
        <v>-32.664299999999997</v>
      </c>
      <c r="AF1000">
        <v>23.783654531885901</v>
      </c>
      <c r="AG1000">
        <v>-1.1025081750200001</v>
      </c>
      <c r="AH1000">
        <v>28.8928473071581</v>
      </c>
      <c r="AI1000">
        <v>91.687499581881099</v>
      </c>
      <c r="AJ1000">
        <v>50.539896501042797</v>
      </c>
      <c r="AK1000">
        <v>37.438941927929001</v>
      </c>
      <c r="AL1000">
        <v>79.788026879269594</v>
      </c>
      <c r="AM1000">
        <v>75.101881936216799</v>
      </c>
      <c r="AN1000">
        <v>0.99999997642137906</v>
      </c>
    </row>
    <row r="1001" spans="1:40" x14ac:dyDescent="0.25">
      <c r="A1001" t="str">
        <f>"20190312172632014"</f>
        <v>20190312172632014</v>
      </c>
      <c r="B1001" t="str">
        <f>"1552382792010230"</f>
        <v>1552382792010230</v>
      </c>
      <c r="C1001" t="s">
        <v>40</v>
      </c>
      <c r="D1001">
        <v>3.2948499999999998</v>
      </c>
      <c r="E1001">
        <v>0.68006099999999903</v>
      </c>
      <c r="F1001" t="s">
        <v>41</v>
      </c>
      <c r="G1001">
        <v>-179.98929999999999</v>
      </c>
      <c r="H1001" s="1">
        <v>-3.4246589999999999E-6</v>
      </c>
      <c r="I1001">
        <v>321.88459999999998</v>
      </c>
      <c r="J1001">
        <v>-202.77289999999999</v>
      </c>
      <c r="K1001">
        <v>1.10239</v>
      </c>
      <c r="L1001">
        <v>364.41860000000003</v>
      </c>
      <c r="M1001">
        <v>0.92943450000000005</v>
      </c>
      <c r="N1001">
        <v>0</v>
      </c>
      <c r="O1001">
        <v>-0.36868630000000002</v>
      </c>
      <c r="P1001">
        <v>0.79326739999999996</v>
      </c>
      <c r="Q1001">
        <v>0.16793359999999999</v>
      </c>
      <c r="R1001">
        <v>-0.5852562</v>
      </c>
      <c r="S1001">
        <v>1.60965</v>
      </c>
      <c r="T1001">
        <v>-7.7323080000000002E-2</v>
      </c>
      <c r="U1001">
        <v>-2.988159</v>
      </c>
      <c r="V1001">
        <v>0.25495889999999999</v>
      </c>
      <c r="W1001">
        <v>0.17726689999999901</v>
      </c>
      <c r="X1001">
        <v>0.95056430000000003</v>
      </c>
      <c r="Y1001">
        <v>0.64342409999999906</v>
      </c>
      <c r="Z1001">
        <v>6.8257979999999897E-4</v>
      </c>
      <c r="AA1001">
        <v>0.76550959999999901</v>
      </c>
      <c r="AB1001">
        <v>28</v>
      </c>
      <c r="AC1001">
        <v>22.7836</v>
      </c>
      <c r="AD1001">
        <v>-1.1023934246589999</v>
      </c>
      <c r="AE1001">
        <v>-42.533999999999999</v>
      </c>
      <c r="AF1001">
        <v>31.119777287663201</v>
      </c>
      <c r="AG1001">
        <v>-1.1023934246589999</v>
      </c>
      <c r="AH1001">
        <v>36.842426707365703</v>
      </c>
      <c r="AI1001">
        <v>91.3094742931128</v>
      </c>
      <c r="AJ1001">
        <v>49.813146106848301</v>
      </c>
      <c r="AK1001">
        <v>48.239197913979801</v>
      </c>
      <c r="AL1001">
        <v>79.789395671608006</v>
      </c>
      <c r="AM1001">
        <v>74.985606135212095</v>
      </c>
      <c r="AN1001">
        <v>1.0000000414796499</v>
      </c>
    </row>
    <row r="1002" spans="1:40" x14ac:dyDescent="0.25">
      <c r="A1002" t="str">
        <f>"20190312172632032"</f>
        <v>20190312172632032</v>
      </c>
      <c r="B1002" t="str">
        <f>"1552382792019990"</f>
        <v>1552382792019990</v>
      </c>
      <c r="C1002" t="s">
        <v>40</v>
      </c>
      <c r="D1002">
        <v>3.289644</v>
      </c>
      <c r="E1002">
        <v>0.67994619999999995</v>
      </c>
      <c r="F1002" t="s">
        <v>41</v>
      </c>
      <c r="G1002">
        <v>-179.93599999999901</v>
      </c>
      <c r="H1002">
        <v>7.1721579999999993E-2</v>
      </c>
      <c r="I1002">
        <v>321.05070000000001</v>
      </c>
      <c r="J1002">
        <v>-202.55510000000001</v>
      </c>
      <c r="K1002">
        <v>1.1022379999999901</v>
      </c>
      <c r="L1002">
        <v>364.322</v>
      </c>
      <c r="M1002">
        <v>0.92602030000000002</v>
      </c>
      <c r="N1002">
        <v>0</v>
      </c>
      <c r="O1002">
        <v>-0.37717889999999998</v>
      </c>
      <c r="P1002">
        <v>0.78551890000000002</v>
      </c>
      <c r="Q1002">
        <v>0.168543</v>
      </c>
      <c r="R1002">
        <v>-0.59544439999999998</v>
      </c>
      <c r="S1002">
        <v>1.5813600000000001</v>
      </c>
      <c r="T1002">
        <v>-7.1369650000000007E-2</v>
      </c>
      <c r="U1002">
        <v>-3.0030519999999998</v>
      </c>
      <c r="V1002">
        <v>0.2586582</v>
      </c>
      <c r="W1002">
        <v>0.17772679999999999</v>
      </c>
      <c r="X1002">
        <v>0.9494783</v>
      </c>
      <c r="Y1002">
        <v>0.64363859999999995</v>
      </c>
      <c r="Z1002">
        <v>8.3172740000000002E-4</v>
      </c>
      <c r="AA1002">
        <v>0.76532919999999904</v>
      </c>
      <c r="AB1002">
        <v>28</v>
      </c>
      <c r="AC1002">
        <v>22.6191</v>
      </c>
      <c r="AD1002">
        <v>-1.0305164200000001</v>
      </c>
      <c r="AE1002">
        <v>-43.271299999999897</v>
      </c>
      <c r="AF1002">
        <v>31.528119738790799</v>
      </c>
      <c r="AG1002">
        <v>-1.0305164200000001</v>
      </c>
      <c r="AH1002">
        <v>37.254318465967899</v>
      </c>
      <c r="AI1002">
        <v>91.209624727391798</v>
      </c>
      <c r="AJ1002">
        <v>49.758950192012598</v>
      </c>
      <c r="AK1002">
        <v>48.815658786081897</v>
      </c>
      <c r="AL1002">
        <v>79.762619352806894</v>
      </c>
      <c r="AM1002">
        <v>74.761194930941997</v>
      </c>
      <c r="AN1002">
        <v>0.999999961018184</v>
      </c>
    </row>
    <row r="1003" spans="1:40" x14ac:dyDescent="0.25">
      <c r="A1003" t="str">
        <f>"20190312172632055"</f>
        <v>20190312172632055</v>
      </c>
      <c r="B1003" t="str">
        <f>"1552382792050245"</f>
        <v>1552382792050245</v>
      </c>
      <c r="C1003" t="s">
        <v>40</v>
      </c>
      <c r="D1003">
        <v>3.5699730000000001</v>
      </c>
      <c r="E1003">
        <v>0.67717550000000004</v>
      </c>
      <c r="F1003" t="s">
        <v>41</v>
      </c>
      <c r="G1003">
        <v>-179.92830000000001</v>
      </c>
      <c r="H1003">
        <v>7.9482899999999995E-2</v>
      </c>
      <c r="I1003">
        <v>319.98450000000003</v>
      </c>
      <c r="J1003">
        <v>-202.3021</v>
      </c>
      <c r="K1003">
        <v>1.1020760000000001</v>
      </c>
      <c r="L1003">
        <v>364.2063</v>
      </c>
      <c r="M1003">
        <v>0.92184200000000005</v>
      </c>
      <c r="N1003">
        <v>0</v>
      </c>
      <c r="O1003">
        <v>-0.38727640000000002</v>
      </c>
      <c r="P1003">
        <v>0.7767309</v>
      </c>
      <c r="Q1003">
        <v>0.1689784</v>
      </c>
      <c r="R1003">
        <v>-0.60674150000000004</v>
      </c>
      <c r="S1003">
        <v>1.542664</v>
      </c>
      <c r="T1003">
        <v>-6.9729799999999995E-2</v>
      </c>
      <c r="U1003">
        <v>-3.0228579999999998</v>
      </c>
      <c r="V1003">
        <v>0.26213890000000001</v>
      </c>
      <c r="W1003">
        <v>0.17800969999999999</v>
      </c>
      <c r="X1003">
        <v>0.94847020000000004</v>
      </c>
      <c r="Y1003">
        <v>0.64507959999999998</v>
      </c>
      <c r="Z1003">
        <v>1.0312229999999999E-3</v>
      </c>
      <c r="AA1003">
        <v>0.76411470000000004</v>
      </c>
      <c r="AB1003">
        <v>28</v>
      </c>
      <c r="AC1003">
        <v>22.3737999999999</v>
      </c>
      <c r="AD1003">
        <v>-1.0225930999999999</v>
      </c>
      <c r="AE1003">
        <v>-44.221799999999902</v>
      </c>
      <c r="AF1003">
        <v>32.0906063763669</v>
      </c>
      <c r="AG1003">
        <v>-1.0225930999999999</v>
      </c>
      <c r="AH1003">
        <v>37.739335521770798</v>
      </c>
      <c r="AI1003">
        <v>91.182553595911699</v>
      </c>
      <c r="AJ1003">
        <v>49.624737549620797</v>
      </c>
      <c r="AK1003">
        <v>49.549068203911503</v>
      </c>
      <c r="AL1003">
        <v>79.746148006719693</v>
      </c>
      <c r="AM1003">
        <v>74.550226035207203</v>
      </c>
      <c r="AN1003">
        <v>0.999999988237669</v>
      </c>
    </row>
    <row r="1004" spans="1:40" x14ac:dyDescent="0.25">
      <c r="A1004" t="str">
        <f>"20190312172632078"</f>
        <v>20190312172632078</v>
      </c>
      <c r="B1004" t="str">
        <f>"1552382792069765"</f>
        <v>1552382792069765</v>
      </c>
      <c r="C1004" t="s">
        <v>40</v>
      </c>
      <c r="D1004">
        <v>3.3085589999999998</v>
      </c>
      <c r="E1004">
        <v>0.67651430000000001</v>
      </c>
      <c r="F1004" t="s">
        <v>41</v>
      </c>
      <c r="G1004">
        <v>-179.95779999999999</v>
      </c>
      <c r="H1004">
        <v>3.4784019999999999E-2</v>
      </c>
      <c r="I1004">
        <v>319.47609999999997</v>
      </c>
      <c r="J1004">
        <v>-202.0378</v>
      </c>
      <c r="K1004">
        <v>1.1019099999999999</v>
      </c>
      <c r="L1004">
        <v>364.08159999999998</v>
      </c>
      <c r="M1004">
        <v>0.91723560000000004</v>
      </c>
      <c r="N1004">
        <v>0</v>
      </c>
      <c r="O1004">
        <v>-0.39806229999999998</v>
      </c>
      <c r="P1004">
        <v>0.76728369999999901</v>
      </c>
      <c r="Q1004">
        <v>0.1689591</v>
      </c>
      <c r="R1004">
        <v>-0.6186507</v>
      </c>
      <c r="S1004">
        <v>1.5126500000000001</v>
      </c>
      <c r="T1004">
        <v>-7.2252629999999998E-2</v>
      </c>
      <c r="U1004">
        <v>-3.0281069999999999</v>
      </c>
      <c r="V1004">
        <v>0.26572249999999997</v>
      </c>
      <c r="W1004">
        <v>0.17783660000000001</v>
      </c>
      <c r="X1004">
        <v>0.94750500000000004</v>
      </c>
      <c r="Y1004">
        <v>0.64268599999999998</v>
      </c>
      <c r="Z1004">
        <v>1.3721979999999901E-3</v>
      </c>
      <c r="AA1004">
        <v>0.76612840000000004</v>
      </c>
      <c r="AB1004">
        <v>28</v>
      </c>
      <c r="AC1004">
        <v>22.08</v>
      </c>
      <c r="AD1004">
        <v>-1.0671259799999999</v>
      </c>
      <c r="AE1004">
        <v>-44.605499999999999</v>
      </c>
      <c r="AF1004">
        <v>32.113393238949797</v>
      </c>
      <c r="AG1004">
        <v>-1.0671259799999999</v>
      </c>
      <c r="AH1004">
        <v>37.995145199282099</v>
      </c>
      <c r="AI1004">
        <v>91.2288328322973</v>
      </c>
      <c r="AJ1004">
        <v>49.795596250392599</v>
      </c>
      <c r="AK1004">
        <v>49.759821562091098</v>
      </c>
      <c r="AL1004">
        <v>79.756226986789102</v>
      </c>
      <c r="AM1004">
        <v>74.334143523186398</v>
      </c>
      <c r="AN1004">
        <v>1.0000000141654</v>
      </c>
    </row>
    <row r="1005" spans="1:40" x14ac:dyDescent="0.25">
      <c r="A1005" t="str">
        <f>"20190312172632100"</f>
        <v>20190312172632100</v>
      </c>
      <c r="B1005" t="str">
        <f>"1552382792089286"</f>
        <v>1552382792089286</v>
      </c>
      <c r="C1005" t="s">
        <v>40</v>
      </c>
      <c r="D1005">
        <v>3.28905</v>
      </c>
      <c r="E1005">
        <v>0.67559669999999905</v>
      </c>
      <c r="F1005" t="s">
        <v>41</v>
      </c>
      <c r="G1005">
        <v>-179.95779999999999</v>
      </c>
      <c r="H1005">
        <v>2.3791670000000001E-2</v>
      </c>
      <c r="I1005">
        <v>318.26440000000002</v>
      </c>
      <c r="J1005">
        <v>-201.7902</v>
      </c>
      <c r="K1005">
        <v>1.101756</v>
      </c>
      <c r="L1005">
        <v>363.96120000000002</v>
      </c>
      <c r="M1005">
        <v>0.91269100000000003</v>
      </c>
      <c r="N1005">
        <v>0</v>
      </c>
      <c r="O1005">
        <v>-0.40837319999999999</v>
      </c>
      <c r="P1005">
        <v>0.75854029999999995</v>
      </c>
      <c r="Q1005">
        <v>0.16906009999999999</v>
      </c>
      <c r="R1005">
        <v>-0.62931369999999998</v>
      </c>
      <c r="S1005">
        <v>1.4685969999999999</v>
      </c>
      <c r="T1005">
        <v>-7.1708439999999998E-2</v>
      </c>
      <c r="U1005">
        <v>-3.0474239999999999</v>
      </c>
      <c r="V1005">
        <v>0.26836729999999998</v>
      </c>
      <c r="W1005">
        <v>0.177814</v>
      </c>
      <c r="X1005">
        <v>0.94676349999999998</v>
      </c>
      <c r="Y1005">
        <v>0.64493199999999995</v>
      </c>
      <c r="Z1005">
        <v>1.5841519999999999E-3</v>
      </c>
      <c r="AA1005">
        <v>0.76423830000000004</v>
      </c>
      <c r="AB1005">
        <v>28</v>
      </c>
      <c r="AC1005">
        <v>21.8324</v>
      </c>
      <c r="AD1005">
        <v>-1.0779643299999999</v>
      </c>
      <c r="AE1005">
        <v>-45.696800000000003</v>
      </c>
      <c r="AF1005">
        <v>32.780153693002802</v>
      </c>
      <c r="AG1005">
        <v>-1.0779643299999999</v>
      </c>
      <c r="AH1005">
        <v>38.574477417844001</v>
      </c>
      <c r="AI1005">
        <v>91.219907816692896</v>
      </c>
      <c r="AJ1005">
        <v>49.642493806719997</v>
      </c>
      <c r="AK1005">
        <v>50.632902260224</v>
      </c>
      <c r="AL1005">
        <v>79.757542444342207</v>
      </c>
      <c r="AM1005">
        <v>74.174215941996195</v>
      </c>
      <c r="AN1005">
        <v>0.99999997561876897</v>
      </c>
    </row>
    <row r="1006" spans="1:40" x14ac:dyDescent="0.25">
      <c r="A1006" t="str">
        <f>"20190312172632122"</f>
        <v>20190312172632122</v>
      </c>
      <c r="B1006" t="str">
        <f>"1552382792109784"</f>
        <v>1552382792109784</v>
      </c>
      <c r="C1006" t="s">
        <v>40</v>
      </c>
      <c r="D1006">
        <v>3.3395100000000002</v>
      </c>
      <c r="E1006">
        <v>0.67420150000000001</v>
      </c>
      <c r="F1006" t="s">
        <v>41</v>
      </c>
      <c r="G1006">
        <v>-179.95779999999999</v>
      </c>
      <c r="H1006">
        <v>8.9494799999999992E-3</v>
      </c>
      <c r="I1006">
        <v>317.22210000000001</v>
      </c>
      <c r="J1006">
        <v>-201.53809999999999</v>
      </c>
      <c r="K1006">
        <v>1.1016109999999999</v>
      </c>
      <c r="L1006">
        <v>363.8347</v>
      </c>
      <c r="M1006">
        <v>0.90782229999999997</v>
      </c>
      <c r="N1006">
        <v>0</v>
      </c>
      <c r="O1006">
        <v>-0.41908410000000001</v>
      </c>
      <c r="P1006">
        <v>0.7499654</v>
      </c>
      <c r="Q1006">
        <v>0.16883689999999901</v>
      </c>
      <c r="R1006">
        <v>-0.63956749999999996</v>
      </c>
      <c r="S1006">
        <v>1.4304049999999999</v>
      </c>
      <c r="T1006">
        <v>-7.1597809999999998E-2</v>
      </c>
      <c r="U1006">
        <v>-3.0622250000000002</v>
      </c>
      <c r="V1006">
        <v>0.27013819999999999</v>
      </c>
      <c r="W1006">
        <v>0.177490799999999</v>
      </c>
      <c r="X1006">
        <v>0.94632039999999995</v>
      </c>
      <c r="Y1006">
        <v>0.64517440000000004</v>
      </c>
      <c r="Z1006">
        <v>1.844252E-3</v>
      </c>
      <c r="AA1006">
        <v>0.76403310000000002</v>
      </c>
      <c r="AB1006">
        <v>28</v>
      </c>
      <c r="AC1006">
        <v>21.580299999999902</v>
      </c>
      <c r="AD1006">
        <v>-1.0926615200000001</v>
      </c>
      <c r="AE1006">
        <v>-46.612599999999901</v>
      </c>
      <c r="AF1006">
        <v>33.260726646289797</v>
      </c>
      <c r="AG1006">
        <v>-1.0926615200000001</v>
      </c>
      <c r="AH1006">
        <v>39.112423744748597</v>
      </c>
      <c r="AI1006">
        <v>91.2191728364227</v>
      </c>
      <c r="AJ1006">
        <v>49.622567579430203</v>
      </c>
      <c r="AK1006">
        <v>51.3541774096838</v>
      </c>
      <c r="AL1006">
        <v>79.776359655830703</v>
      </c>
      <c r="AM1006">
        <v>74.067986540105906</v>
      </c>
      <c r="AN1006">
        <v>0.999999965320019</v>
      </c>
    </row>
    <row r="1007" spans="1:40" x14ac:dyDescent="0.25">
      <c r="A1007" t="str">
        <f>"20190312172632143"</f>
        <v>20190312172632143</v>
      </c>
      <c r="B1007" t="str">
        <f>"1552382792140038"</f>
        <v>1552382792140038</v>
      </c>
      <c r="C1007" t="s">
        <v>40</v>
      </c>
      <c r="D1007">
        <v>3.3721030000000001</v>
      </c>
      <c r="E1007">
        <v>0.67149689999999995</v>
      </c>
      <c r="F1007" t="s">
        <v>41</v>
      </c>
      <c r="G1007">
        <v>-181.24260000000001</v>
      </c>
      <c r="H1007" s="1">
        <v>-6.0418210000000003E-6</v>
      </c>
      <c r="I1007">
        <v>319.12630000000001</v>
      </c>
      <c r="J1007">
        <v>-201.30359999999999</v>
      </c>
      <c r="K1007">
        <v>1.101486</v>
      </c>
      <c r="L1007">
        <v>363.71339999999998</v>
      </c>
      <c r="M1007">
        <v>0.90306520000000001</v>
      </c>
      <c r="N1007">
        <v>0</v>
      </c>
      <c r="O1007">
        <v>-0.42923739999999999</v>
      </c>
      <c r="P1007">
        <v>0.74224199999999996</v>
      </c>
      <c r="Q1007">
        <v>0.16859959999999999</v>
      </c>
      <c r="R1007">
        <v>-0.64857580000000004</v>
      </c>
      <c r="S1007">
        <v>1.395554</v>
      </c>
      <c r="T1007">
        <v>-7.5749040000000004E-2</v>
      </c>
      <c r="U1007">
        <v>-3.0742189999999998</v>
      </c>
      <c r="V1007">
        <v>0.27098270000000002</v>
      </c>
      <c r="W1007">
        <v>0.1771829</v>
      </c>
      <c r="X1007">
        <v>0.94613670000000005</v>
      </c>
      <c r="Y1007">
        <v>0.64489739999999995</v>
      </c>
      <c r="Z1007">
        <v>2.2242820000000002E-3</v>
      </c>
      <c r="AA1007">
        <v>0.76426590000000005</v>
      </c>
      <c r="AB1007">
        <v>28</v>
      </c>
      <c r="AC1007">
        <v>20.0609999999999</v>
      </c>
      <c r="AD1007">
        <v>-1.1014920418209999</v>
      </c>
      <c r="AE1007">
        <v>-44.5870999999999</v>
      </c>
      <c r="AF1007">
        <v>31.641684113732801</v>
      </c>
      <c r="AG1007">
        <v>-1.1014920418209999</v>
      </c>
      <c r="AH1007">
        <v>37.240197510142401</v>
      </c>
      <c r="AI1007">
        <v>91.291251117531303</v>
      </c>
      <c r="AJ1007">
        <v>49.646615844506499</v>
      </c>
      <c r="AK1007">
        <v>48.879870794283597</v>
      </c>
      <c r="AL1007">
        <v>79.794285803381598</v>
      </c>
      <c r="AM1007">
        <v>74.017775273144693</v>
      </c>
      <c r="AN1007">
        <v>1.0000000294192899</v>
      </c>
    </row>
    <row r="1008" spans="1:40" x14ac:dyDescent="0.25">
      <c r="A1008" t="str">
        <f>"20190312172632157"</f>
        <v>20190312172632157</v>
      </c>
      <c r="B1008" t="str">
        <f>"1552382792149799"</f>
        <v>1552382792149799</v>
      </c>
      <c r="C1008" t="s">
        <v>40</v>
      </c>
      <c r="D1008">
        <v>3.377586</v>
      </c>
      <c r="E1008">
        <v>0.67149689999999995</v>
      </c>
      <c r="F1008" t="s">
        <v>41</v>
      </c>
      <c r="G1008">
        <v>-183.57069999999999</v>
      </c>
      <c r="H1008" s="1">
        <v>-3.1870659999999999E-6</v>
      </c>
      <c r="I1008">
        <v>323.98649999999998</v>
      </c>
      <c r="J1008">
        <v>-201.14349999999999</v>
      </c>
      <c r="K1008">
        <v>1.1013999999999999</v>
      </c>
      <c r="L1008">
        <v>363.6284</v>
      </c>
      <c r="M1008">
        <v>0.89968479999999995</v>
      </c>
      <c r="N1008">
        <v>0</v>
      </c>
      <c r="O1008">
        <v>-0.43627759999999999</v>
      </c>
      <c r="P1008">
        <v>0.73671969999999898</v>
      </c>
      <c r="Q1008">
        <v>0.1688588</v>
      </c>
      <c r="R1008">
        <v>-0.65477569999999996</v>
      </c>
      <c r="S1008">
        <v>1.373154</v>
      </c>
      <c r="T1008">
        <v>-8.5294129999999996E-2</v>
      </c>
      <c r="U1008">
        <v>-3.076263</v>
      </c>
      <c r="V1008">
        <v>0.27159460000000002</v>
      </c>
      <c r="W1008">
        <v>0.1773931</v>
      </c>
      <c r="X1008">
        <v>0.94592180000000003</v>
      </c>
      <c r="Y1008">
        <v>0.64373429999999998</v>
      </c>
      <c r="Z1008">
        <v>2.739076E-3</v>
      </c>
      <c r="AA1008">
        <v>0.76524419999999904</v>
      </c>
      <c r="AB1008">
        <v>28</v>
      </c>
      <c r="AC1008">
        <v>17.572800000000001</v>
      </c>
      <c r="AD1008">
        <v>-1.1014031870659999</v>
      </c>
      <c r="AE1008">
        <v>-39.6419</v>
      </c>
      <c r="AF1008">
        <v>27.983749809441399</v>
      </c>
      <c r="AG1008">
        <v>-1.1014031870659999</v>
      </c>
      <c r="AH1008">
        <v>33.087300433749</v>
      </c>
      <c r="AI1008">
        <v>91.455941410784007</v>
      </c>
      <c r="AJ1008">
        <v>49.776961596061597</v>
      </c>
      <c r="AK1008">
        <v>43.348273234017697</v>
      </c>
      <c r="AL1008">
        <v>79.782048024538696</v>
      </c>
      <c r="AM1008">
        <v>73.980083116059802</v>
      </c>
      <c r="AN1008">
        <v>0.99999999519600502</v>
      </c>
    </row>
    <row r="1009" spans="1:40" x14ac:dyDescent="0.25">
      <c r="A1009" t="str">
        <f>"20190312172632171"</f>
        <v>20190312172632171</v>
      </c>
      <c r="B1009" t="str">
        <f>"1552382792159558"</f>
        <v>1552382792159558</v>
      </c>
      <c r="C1009" t="s">
        <v>40</v>
      </c>
      <c r="D1009">
        <v>3.3459270000000001</v>
      </c>
      <c r="E1009">
        <v>0.65098639999999997</v>
      </c>
      <c r="F1009" t="s">
        <v>41</v>
      </c>
      <c r="G1009">
        <v>-183.48439999999999</v>
      </c>
      <c r="H1009" s="1">
        <v>-2.9267400000000001E-6</v>
      </c>
      <c r="I1009">
        <v>323.15410000000003</v>
      </c>
      <c r="J1009">
        <v>-200.99889999999999</v>
      </c>
      <c r="K1009">
        <v>1.1013280000000001</v>
      </c>
      <c r="L1009">
        <v>363.55059999999997</v>
      </c>
      <c r="M1009">
        <v>0.89654820000000002</v>
      </c>
      <c r="N1009">
        <v>0</v>
      </c>
      <c r="O1009">
        <v>-0.44268649999999998</v>
      </c>
      <c r="P1009">
        <v>0.73173429999999995</v>
      </c>
      <c r="Q1009">
        <v>0.16888699999999901</v>
      </c>
      <c r="R1009">
        <v>-0.6603348</v>
      </c>
      <c r="S1009">
        <v>1.347137</v>
      </c>
      <c r="T1009">
        <v>-8.4021209999999999E-2</v>
      </c>
      <c r="U1009">
        <v>-3.0876160000000001</v>
      </c>
      <c r="V1009">
        <v>0.27204420000000001</v>
      </c>
      <c r="W1009">
        <v>0.1773805</v>
      </c>
      <c r="X1009">
        <v>0.94579500000000005</v>
      </c>
      <c r="Y1009">
        <v>0.64472410000000002</v>
      </c>
      <c r="Z1009">
        <v>2.870278E-3</v>
      </c>
      <c r="AA1009">
        <v>0.76441000000000003</v>
      </c>
      <c r="AB1009">
        <v>27</v>
      </c>
      <c r="AC1009">
        <v>17.514499999999899</v>
      </c>
      <c r="AD1009">
        <v>-1.10133092674</v>
      </c>
      <c r="AE1009">
        <v>-40.396499999999897</v>
      </c>
      <c r="AF1009">
        <v>28.449450670916502</v>
      </c>
      <c r="AG1009">
        <v>-1.10133092674</v>
      </c>
      <c r="AH1009">
        <v>33.568438959184398</v>
      </c>
      <c r="AI1009">
        <v>91.433749981568894</v>
      </c>
      <c r="AJ1009">
        <v>49.718526632880199</v>
      </c>
      <c r="AK1009">
        <v>44.016181881708</v>
      </c>
      <c r="AL1009">
        <v>79.7827819986789</v>
      </c>
      <c r="AM1009">
        <v>73.952887081988095</v>
      </c>
      <c r="AN1009">
        <v>1.00000003527944</v>
      </c>
    </row>
    <row r="1010" spans="1:40" x14ac:dyDescent="0.25">
      <c r="A1010" t="str">
        <f>"20190312172632188"</f>
        <v>20190312172632188</v>
      </c>
      <c r="B1010" t="str">
        <f>"1552382792180053"</f>
        <v>1552382792180053</v>
      </c>
      <c r="C1010" t="s">
        <v>40</v>
      </c>
      <c r="D1010">
        <v>3.4191280000000002</v>
      </c>
      <c r="E1010">
        <v>0.65000080000000005</v>
      </c>
      <c r="F1010" t="s">
        <v>41</v>
      </c>
      <c r="G1010">
        <v>-190.06649999999999</v>
      </c>
      <c r="H1010" s="1">
        <v>-5.5763969999999998E-7</v>
      </c>
      <c r="I1010">
        <v>340.84769999999997</v>
      </c>
      <c r="J1010">
        <v>-200.80690000000001</v>
      </c>
      <c r="K1010">
        <v>1.101227</v>
      </c>
      <c r="L1010">
        <v>363.44479999999999</v>
      </c>
      <c r="M1010">
        <v>0.89223969999999897</v>
      </c>
      <c r="N1010">
        <v>0</v>
      </c>
      <c r="O1010">
        <v>-0.4513065</v>
      </c>
      <c r="P1010">
        <v>0.72473619999999905</v>
      </c>
      <c r="Q1010">
        <v>0.1697041</v>
      </c>
      <c r="R1010">
        <v>-0.66780139999999999</v>
      </c>
      <c r="S1010">
        <v>1.438156</v>
      </c>
      <c r="T1010">
        <v>-0.14487910000000001</v>
      </c>
      <c r="U1010">
        <v>-2.986542</v>
      </c>
      <c r="V1010">
        <v>0.27277289999999998</v>
      </c>
      <c r="W1010">
        <v>0.17813970000000001</v>
      </c>
      <c r="X1010">
        <v>0.94544229999999996</v>
      </c>
      <c r="Y1010">
        <v>0.60800279999999995</v>
      </c>
      <c r="Z1010">
        <v>6.5057240000000001E-3</v>
      </c>
      <c r="AA1010">
        <v>0.79390819999999995</v>
      </c>
      <c r="AB1010">
        <v>27</v>
      </c>
      <c r="AC1010">
        <v>10.740399999999999</v>
      </c>
      <c r="AD1010">
        <v>-1.1012275576396999</v>
      </c>
      <c r="AE1010">
        <v>-22.597100000000001</v>
      </c>
      <c r="AF1010">
        <v>15.2869697415332</v>
      </c>
      <c r="AG1010">
        <v>-1.1012275576396999</v>
      </c>
      <c r="AH1010">
        <v>19.745260247889799</v>
      </c>
      <c r="AI1010">
        <v>92.525090398938502</v>
      </c>
      <c r="AJ1010">
        <v>52.252620125383601</v>
      </c>
      <c r="AK1010">
        <v>24.995588576169901</v>
      </c>
      <c r="AL1010">
        <v>79.738578437162701</v>
      </c>
      <c r="AM1010">
        <v>73.906433368166901</v>
      </c>
      <c r="AN1010">
        <v>0.99999997515989403</v>
      </c>
    </row>
    <row r="1011" spans="1:40" x14ac:dyDescent="0.25">
      <c r="A1011" t="str">
        <f>"20190312172632212"</f>
        <v>20190312172632212</v>
      </c>
      <c r="B1011" t="str">
        <f>"1552382792199573"</f>
        <v>1552382792199573</v>
      </c>
      <c r="C1011" t="s">
        <v>40</v>
      </c>
      <c r="D1011">
        <v>3.3208679999999999</v>
      </c>
      <c r="E1011">
        <v>0.64941969999999904</v>
      </c>
      <c r="F1011" t="s">
        <v>41</v>
      </c>
      <c r="G1011">
        <v>-190.21180000000001</v>
      </c>
      <c r="H1011" s="1">
        <v>-6.5456000000000001E-7</v>
      </c>
      <c r="I1011">
        <v>340.98360000000002</v>
      </c>
      <c r="J1011">
        <v>-200.55449999999999</v>
      </c>
      <c r="K1011">
        <v>1.1011120000000001</v>
      </c>
      <c r="L1011">
        <v>363.3014</v>
      </c>
      <c r="M1011">
        <v>0.88632489999999997</v>
      </c>
      <c r="N1011">
        <v>0</v>
      </c>
      <c r="O1011">
        <v>-0.46281349999999999</v>
      </c>
      <c r="P1011">
        <v>0.71540800000000004</v>
      </c>
      <c r="Q1011">
        <v>0.17064179999999901</v>
      </c>
      <c r="R1011">
        <v>-0.67754919999999996</v>
      </c>
      <c r="S1011">
        <v>1.4132229999999999</v>
      </c>
      <c r="T1011">
        <v>-0.14688660000000001</v>
      </c>
      <c r="U1011">
        <v>-2.9959720000000001</v>
      </c>
      <c r="V1011">
        <v>0.27351350000000002</v>
      </c>
      <c r="W1011">
        <v>0.17901329999999999</v>
      </c>
      <c r="X1011">
        <v>0.94506330000000005</v>
      </c>
      <c r="Y1011">
        <v>0.60409419999999903</v>
      </c>
      <c r="Z1011">
        <v>7.3065219999999898E-3</v>
      </c>
      <c r="AA1011">
        <v>0.79687940000000002</v>
      </c>
      <c r="AB1011">
        <v>27</v>
      </c>
      <c r="AC1011">
        <v>10.342699999999899</v>
      </c>
      <c r="AD1011">
        <v>-1.1011126545600001</v>
      </c>
      <c r="AE1011">
        <v>-22.317799999999899</v>
      </c>
      <c r="AF1011">
        <v>14.965829568109401</v>
      </c>
      <c r="AG1011">
        <v>-1.1011126545600001</v>
      </c>
      <c r="AH1011">
        <v>19.459238336456998</v>
      </c>
      <c r="AI1011">
        <v>92.568237165433004</v>
      </c>
      <c r="AJ1011">
        <v>52.436616165787598</v>
      </c>
      <c r="AK1011">
        <v>24.573368926029801</v>
      </c>
      <c r="AL1011">
        <v>79.687707590583798</v>
      </c>
      <c r="AM1011">
        <v>73.858875261031997</v>
      </c>
      <c r="AN1011">
        <v>1.00000001863301</v>
      </c>
    </row>
    <row r="1012" spans="1:40" x14ac:dyDescent="0.25">
      <c r="A1012" t="str">
        <f>"20190312172632234"</f>
        <v>20190312172632234</v>
      </c>
      <c r="B1012" t="str">
        <f>"1552382792229829"</f>
        <v>1552382792229829</v>
      </c>
      <c r="C1012" t="s">
        <v>40</v>
      </c>
      <c r="D1012">
        <v>3.3147989999999998</v>
      </c>
      <c r="E1012">
        <v>0.64773009999999998</v>
      </c>
      <c r="F1012" t="s">
        <v>41</v>
      </c>
      <c r="G1012">
        <v>-189.4778</v>
      </c>
      <c r="H1012" s="1">
        <v>-4.1266889999999997E-6</v>
      </c>
      <c r="I1012">
        <v>339.03629999999998</v>
      </c>
      <c r="J1012">
        <v>-200.31020000000001</v>
      </c>
      <c r="K1012">
        <v>1.1010150000000001</v>
      </c>
      <c r="L1012">
        <v>363.1583</v>
      </c>
      <c r="M1012">
        <v>0.8803377</v>
      </c>
      <c r="N1012">
        <v>0</v>
      </c>
      <c r="O1012">
        <v>-0.47410210000000003</v>
      </c>
      <c r="P1012">
        <v>0.70608959999999998</v>
      </c>
      <c r="Q1012">
        <v>0.17119200000000001</v>
      </c>
      <c r="R1012">
        <v>-0.68711820000000001</v>
      </c>
      <c r="S1012">
        <v>1.3744510000000001</v>
      </c>
      <c r="T1012">
        <v>-0.13663129999999901</v>
      </c>
      <c r="U1012">
        <v>-3.0109249999999999</v>
      </c>
      <c r="V1012">
        <v>0.2742791</v>
      </c>
      <c r="W1012">
        <v>0.17950820000000001</v>
      </c>
      <c r="X1012">
        <v>0.94474740000000001</v>
      </c>
      <c r="Y1012">
        <v>0.6039158</v>
      </c>
      <c r="Z1012">
        <v>7.3559139999999999E-3</v>
      </c>
      <c r="AA1012">
        <v>0.79701420000000001</v>
      </c>
      <c r="AB1012">
        <v>27</v>
      </c>
      <c r="AC1012">
        <v>10.8324</v>
      </c>
      <c r="AD1012">
        <v>-1.1010191266889999</v>
      </c>
      <c r="AE1012">
        <v>-24.122</v>
      </c>
      <c r="AF1012">
        <v>16.073848535332701</v>
      </c>
      <c r="AG1012">
        <v>-1.1010191266889999</v>
      </c>
      <c r="AH1012">
        <v>20.938600033070198</v>
      </c>
      <c r="AI1012">
        <v>92.388436844189499</v>
      </c>
      <c r="AJ1012">
        <v>52.487781194241897</v>
      </c>
      <c r="AK1012">
        <v>26.419799794832599</v>
      </c>
      <c r="AL1012">
        <v>79.658884147197597</v>
      </c>
      <c r="AM1012">
        <v>73.810928160985796</v>
      </c>
      <c r="AN1012">
        <v>0.99999993418540201</v>
      </c>
    </row>
    <row r="1013" spans="1:40" x14ac:dyDescent="0.25">
      <c r="A1013" t="str">
        <f>"20190312172632256"</f>
        <v>20190312172632256</v>
      </c>
      <c r="B1013" t="str">
        <f>"1552382792250326"</f>
        <v>1552382792250326</v>
      </c>
      <c r="C1013" t="s">
        <v>40</v>
      </c>
      <c r="D1013">
        <v>3.314943</v>
      </c>
      <c r="E1013">
        <v>0.64645319999999995</v>
      </c>
      <c r="F1013" t="s">
        <v>41</v>
      </c>
      <c r="G1013">
        <v>-188.8877</v>
      </c>
      <c r="H1013" s="1">
        <v>-3.5627970000000001E-6</v>
      </c>
      <c r="I1013">
        <v>337.4778</v>
      </c>
      <c r="J1013">
        <v>-200.08189999999999</v>
      </c>
      <c r="K1013">
        <v>1.100938</v>
      </c>
      <c r="L1013">
        <v>363.02069999999998</v>
      </c>
      <c r="M1013">
        <v>0.87450450000000002</v>
      </c>
      <c r="N1013">
        <v>0</v>
      </c>
      <c r="O1013">
        <v>-0.48477589999999998</v>
      </c>
      <c r="P1013">
        <v>0.69753180000000004</v>
      </c>
      <c r="Q1013">
        <v>0.17197270000000001</v>
      </c>
      <c r="R1013">
        <v>-0.69561090000000003</v>
      </c>
      <c r="S1013">
        <v>1.3426359999999999</v>
      </c>
      <c r="T1013">
        <v>-0.1294167</v>
      </c>
      <c r="U1013">
        <v>-3.0185550000000001</v>
      </c>
      <c r="V1013">
        <v>0.27436329999999998</v>
      </c>
      <c r="W1013">
        <v>0.18026010000000001</v>
      </c>
      <c r="X1013">
        <v>0.94457979999999997</v>
      </c>
      <c r="Y1013">
        <v>0.60198339999999995</v>
      </c>
      <c r="Z1013">
        <v>7.5215830000000001E-3</v>
      </c>
      <c r="AA1013">
        <v>0.79847309999999905</v>
      </c>
      <c r="AB1013">
        <v>27</v>
      </c>
      <c r="AC1013">
        <v>11.194199999999899</v>
      </c>
      <c r="AD1013">
        <v>-1.1009415627970001</v>
      </c>
      <c r="AE1013">
        <v>-25.5428999999999</v>
      </c>
      <c r="AF1013">
        <v>16.8863669579363</v>
      </c>
      <c r="AG1013">
        <v>-1.1009415627970001</v>
      </c>
      <c r="AH1013">
        <v>22.140053645301599</v>
      </c>
      <c r="AI1013">
        <v>92.264211888825201</v>
      </c>
      <c r="AJ1013">
        <v>52.666991818975902</v>
      </c>
      <c r="AK1013">
        <v>27.866528968990899</v>
      </c>
      <c r="AL1013">
        <v>79.615089336998395</v>
      </c>
      <c r="AM1013">
        <v>73.8034960804208</v>
      </c>
      <c r="AN1013">
        <v>0.99999996130346902</v>
      </c>
    </row>
    <row r="1014" spans="1:40" x14ac:dyDescent="0.25">
      <c r="A1014" t="str">
        <f>"20190312172632269"</f>
        <v>20190312172632269</v>
      </c>
      <c r="B1014" t="str">
        <f>"1552382792260086"</f>
        <v>1552382792260086</v>
      </c>
      <c r="C1014" t="s">
        <v>40</v>
      </c>
      <c r="D1014">
        <v>3.3244020000000001</v>
      </c>
      <c r="E1014">
        <v>0.64602009999999999</v>
      </c>
      <c r="F1014" t="s">
        <v>41</v>
      </c>
      <c r="G1014">
        <v>-188.7259</v>
      </c>
      <c r="H1014" s="1">
        <v>-3.308402E-6</v>
      </c>
      <c r="I1014">
        <v>336.81790000000001</v>
      </c>
      <c r="J1014">
        <v>-199.9332</v>
      </c>
      <c r="K1014">
        <v>1.100884</v>
      </c>
      <c r="L1014">
        <v>362.92919999999998</v>
      </c>
      <c r="M1014">
        <v>0.87058559999999996</v>
      </c>
      <c r="N1014">
        <v>0</v>
      </c>
      <c r="O1014">
        <v>-0.49177880000000002</v>
      </c>
      <c r="P1014">
        <v>0.69206119999999904</v>
      </c>
      <c r="Q1014">
        <v>0.17222029999999999</v>
      </c>
      <c r="R1014">
        <v>-0.70099339999999999</v>
      </c>
      <c r="S1014">
        <v>1.3123929999999999</v>
      </c>
      <c r="T1014">
        <v>-0.1272336</v>
      </c>
      <c r="U1014">
        <v>-3.0281980000000002</v>
      </c>
      <c r="V1014">
        <v>0.27415539999999999</v>
      </c>
      <c r="W1014">
        <v>0.1804993</v>
      </c>
      <c r="X1014">
        <v>0.94459459999999995</v>
      </c>
      <c r="Y1014">
        <v>0.60321389999999997</v>
      </c>
      <c r="Z1014">
        <v>7.69391E-3</v>
      </c>
      <c r="AA1014">
        <v>0.79754239999999998</v>
      </c>
      <c r="AB1014">
        <v>27</v>
      </c>
      <c r="AC1014">
        <v>11.2073</v>
      </c>
      <c r="AD1014">
        <v>-1.1008873084020001</v>
      </c>
      <c r="AE1014">
        <v>-26.1112999999999</v>
      </c>
      <c r="AF1014">
        <v>17.1968139236035</v>
      </c>
      <c r="AG1014">
        <v>-1.1008873084020001</v>
      </c>
      <c r="AH1014">
        <v>22.566672169980801</v>
      </c>
      <c r="AI1014">
        <v>92.222049687314197</v>
      </c>
      <c r="AJ1014">
        <v>52.690977463664403</v>
      </c>
      <c r="AK1014">
        <v>28.393609400994301</v>
      </c>
      <c r="AL1014">
        <v>79.601156769770697</v>
      </c>
      <c r="AM1014">
        <v>73.815366602087195</v>
      </c>
      <c r="AN1014">
        <v>1.0000000694994</v>
      </c>
    </row>
    <row r="1015" spans="1:40" x14ac:dyDescent="0.25">
      <c r="A1015" t="str">
        <f>"20190312172632289"</f>
        <v>20190312172632289</v>
      </c>
      <c r="B1015" t="str">
        <f>"1552382792279608"</f>
        <v>1552382792279608</v>
      </c>
      <c r="C1015" t="s">
        <v>40</v>
      </c>
      <c r="D1015">
        <v>3.3260190000000001</v>
      </c>
      <c r="E1015">
        <v>0.64486690000000002</v>
      </c>
      <c r="F1015" t="s">
        <v>41</v>
      </c>
      <c r="G1015">
        <v>-188.8099</v>
      </c>
      <c r="H1015" s="1">
        <v>-3.2800299999999999E-6</v>
      </c>
      <c r="I1015">
        <v>336.78649999999999</v>
      </c>
      <c r="J1015">
        <v>-199.72489999999999</v>
      </c>
      <c r="K1015">
        <v>1.100822</v>
      </c>
      <c r="L1015">
        <v>362.79770000000002</v>
      </c>
      <c r="M1015">
        <v>0.86491180000000001</v>
      </c>
      <c r="N1015">
        <v>0</v>
      </c>
      <c r="O1015">
        <v>-0.50168939999999995</v>
      </c>
      <c r="P1015">
        <v>0.6839691</v>
      </c>
      <c r="Q1015">
        <v>0.17267750000000001</v>
      </c>
      <c r="R1015">
        <v>-0.70877979999999996</v>
      </c>
      <c r="S1015">
        <v>1.2916719999999999</v>
      </c>
      <c r="T1015">
        <v>-0.12783839999999999</v>
      </c>
      <c r="U1015">
        <v>-3.0357669999999999</v>
      </c>
      <c r="V1015">
        <v>0.27415099999999998</v>
      </c>
      <c r="W1015">
        <v>0.18093970000000001</v>
      </c>
      <c r="X1015">
        <v>0.94451149999999995</v>
      </c>
      <c r="Y1015">
        <v>0.59942830000000002</v>
      </c>
      <c r="Z1015">
        <v>8.2791529999999992E-3</v>
      </c>
      <c r="AA1015">
        <v>0.80038569999999998</v>
      </c>
      <c r="AB1015">
        <v>27</v>
      </c>
      <c r="AC1015">
        <v>10.9149999999999</v>
      </c>
      <c r="AD1015">
        <v>-1.10082528003</v>
      </c>
      <c r="AE1015">
        <v>-26.011199999999999</v>
      </c>
      <c r="AF1015">
        <v>16.997571229285999</v>
      </c>
      <c r="AG1015">
        <v>-1.10082528003</v>
      </c>
      <c r="AH1015">
        <v>22.458499847996599</v>
      </c>
      <c r="AI1015">
        <v>92.238210140921097</v>
      </c>
      <c r="AJ1015">
        <v>52.879976631199497</v>
      </c>
      <c r="AK1015">
        <v>28.1871151311068</v>
      </c>
      <c r="AL1015">
        <v>79.575500127178799</v>
      </c>
      <c r="AM1015">
        <v>73.814263374379905</v>
      </c>
      <c r="AN1015">
        <v>0.99999995973466904</v>
      </c>
    </row>
    <row r="1016" spans="1:40" x14ac:dyDescent="0.25">
      <c r="A1016" t="str">
        <f>"20190312172632311"</f>
        <v>20190312172632311</v>
      </c>
      <c r="B1016" t="str">
        <f>"1552382792300102"</f>
        <v>1552382792300102</v>
      </c>
      <c r="C1016" t="s">
        <v>40</v>
      </c>
      <c r="D1016">
        <v>3.3041390000000002</v>
      </c>
      <c r="E1016">
        <v>0.63574809999999904</v>
      </c>
      <c r="F1016" t="s">
        <v>41</v>
      </c>
      <c r="G1016">
        <v>-188.99279999999999</v>
      </c>
      <c r="H1016" s="1">
        <v>-3.3153860000000001E-6</v>
      </c>
      <c r="I1016">
        <v>336.94459999999998</v>
      </c>
      <c r="J1016">
        <v>-199.49719999999999</v>
      </c>
      <c r="K1016">
        <v>1.100768</v>
      </c>
      <c r="L1016">
        <v>362.6499</v>
      </c>
      <c r="M1016">
        <v>0.85847459999999898</v>
      </c>
      <c r="N1016">
        <v>0</v>
      </c>
      <c r="O1016">
        <v>-0.51262609999999997</v>
      </c>
      <c r="P1016">
        <v>0.67558629999999997</v>
      </c>
      <c r="Q1016">
        <v>0.17227879999999901</v>
      </c>
      <c r="R1016">
        <v>-0.71687049999999997</v>
      </c>
      <c r="S1016">
        <v>1.263855</v>
      </c>
      <c r="T1016">
        <v>-0.12963830000000001</v>
      </c>
      <c r="U1016">
        <v>-3.0445859999999998</v>
      </c>
      <c r="V1016">
        <v>0.27336840000000001</v>
      </c>
      <c r="W1016">
        <v>0.1805495</v>
      </c>
      <c r="X1016">
        <v>0.94481300000000001</v>
      </c>
      <c r="Y1016">
        <v>0.59632289999999999</v>
      </c>
      <c r="Z1016">
        <v>8.9890709999999995E-3</v>
      </c>
      <c r="AA1016">
        <v>0.80269440000000003</v>
      </c>
      <c r="AB1016">
        <v>27</v>
      </c>
      <c r="AC1016">
        <v>10.5044</v>
      </c>
      <c r="AD1016">
        <v>-1.1007713153859999</v>
      </c>
      <c r="AE1016">
        <v>-25.705300000000001</v>
      </c>
      <c r="AF1016">
        <v>16.658308598650802</v>
      </c>
      <c r="AG1016">
        <v>-1.1007713153859999</v>
      </c>
      <c r="AH1016">
        <v>22.162759919869199</v>
      </c>
      <c r="AI1016">
        <v>92.273614756493799</v>
      </c>
      <c r="AJ1016">
        <v>53.070190881217599</v>
      </c>
      <c r="AK1016">
        <v>27.7470515572812</v>
      </c>
      <c r="AL1016">
        <v>79.598231793762295</v>
      </c>
      <c r="AM1016">
        <v>73.862941077424793</v>
      </c>
      <c r="AN1016">
        <v>1.0000000045188999</v>
      </c>
    </row>
    <row r="1017" spans="1:40" x14ac:dyDescent="0.25">
      <c r="A1017" t="str">
        <f>"20190312172632334"</f>
        <v>20190312172632334</v>
      </c>
      <c r="B1017" t="str">
        <f>"1552382792329382"</f>
        <v>1552382792329382</v>
      </c>
      <c r="C1017" t="s">
        <v>40</v>
      </c>
      <c r="D1017">
        <v>3.3282069999999999</v>
      </c>
      <c r="E1017">
        <v>0.63432489999999997</v>
      </c>
      <c r="F1017" t="s">
        <v>41</v>
      </c>
      <c r="G1017">
        <v>-189.7133</v>
      </c>
      <c r="H1017" s="1">
        <v>-8.084363E-8</v>
      </c>
      <c r="I1017">
        <v>339.66140000000001</v>
      </c>
      <c r="J1017">
        <v>-199.26820000000001</v>
      </c>
      <c r="K1017">
        <v>1.100714</v>
      </c>
      <c r="L1017">
        <v>362.49700000000001</v>
      </c>
      <c r="M1017">
        <v>0.8517536</v>
      </c>
      <c r="N1017">
        <v>0</v>
      </c>
      <c r="O1017">
        <v>-0.52371659999999998</v>
      </c>
      <c r="P1017">
        <v>0.66687869999999905</v>
      </c>
      <c r="Q1017">
        <v>0.1719947</v>
      </c>
      <c r="R1017">
        <v>-0.72504550000000001</v>
      </c>
      <c r="S1017">
        <v>1.2817540000000001</v>
      </c>
      <c r="T1017">
        <v>-0.14420720000000001</v>
      </c>
      <c r="U1017">
        <v>-3.0116269999999998</v>
      </c>
      <c r="V1017">
        <v>0.2725977</v>
      </c>
      <c r="W1017">
        <v>0.18027699999999999</v>
      </c>
      <c r="X1017">
        <v>0.94508769999999998</v>
      </c>
      <c r="Y1017">
        <v>0.57861680000000004</v>
      </c>
      <c r="Z1017">
        <v>1.1109559999999999E-2</v>
      </c>
      <c r="AA1017">
        <v>0.81552389999999997</v>
      </c>
      <c r="AB1017">
        <v>27</v>
      </c>
      <c r="AC1017">
        <v>9.5548999999999999</v>
      </c>
      <c r="AD1017">
        <v>-1.10071408084362</v>
      </c>
      <c r="AE1017">
        <v>-22.8355999999999</v>
      </c>
      <c r="AF1017">
        <v>14.4194443657405</v>
      </c>
      <c r="AG1017">
        <v>-1.10071408084362</v>
      </c>
      <c r="AH1017">
        <v>20.0605181976902</v>
      </c>
      <c r="AI1017">
        <v>92.551070273457</v>
      </c>
      <c r="AJ1017">
        <v>54.291525364718296</v>
      </c>
      <c r="AK1017">
        <v>24.729665134496098</v>
      </c>
      <c r="AL1017">
        <v>79.614105650446106</v>
      </c>
      <c r="AM1017">
        <v>73.910513001704004</v>
      </c>
      <c r="AN1017">
        <v>1.00000003173278</v>
      </c>
    </row>
    <row r="1018" spans="1:40" x14ac:dyDescent="0.25">
      <c r="A1018" t="str">
        <f>"20190312172632356"</f>
        <v>20190312172632356</v>
      </c>
      <c r="B1018" t="str">
        <f>"1552382792349881"</f>
        <v>1552382792349881</v>
      </c>
      <c r="C1018" t="s">
        <v>40</v>
      </c>
      <c r="D1018">
        <v>3.289209</v>
      </c>
      <c r="E1018">
        <v>0.63375190000000003</v>
      </c>
      <c r="F1018" t="s">
        <v>41</v>
      </c>
      <c r="G1018">
        <v>-190.15020000000001</v>
      </c>
      <c r="H1018" s="1">
        <v>-4.372077E-7</v>
      </c>
      <c r="I1018">
        <v>340.51510000000002</v>
      </c>
      <c r="J1018">
        <v>-199.03659999999999</v>
      </c>
      <c r="K1018">
        <v>1.100671</v>
      </c>
      <c r="L1018">
        <v>362.33780000000002</v>
      </c>
      <c r="M1018">
        <v>0.84470249999999902</v>
      </c>
      <c r="N1018">
        <v>0</v>
      </c>
      <c r="O1018">
        <v>-0.5350144</v>
      </c>
      <c r="P1018">
        <v>0.65802510000000003</v>
      </c>
      <c r="Q1018">
        <v>0.17268420000000001</v>
      </c>
      <c r="R1018">
        <v>-0.73292800000000002</v>
      </c>
      <c r="S1018">
        <v>1.2531129999999999</v>
      </c>
      <c r="T1018">
        <v>-0.15127409999999999</v>
      </c>
      <c r="U1018">
        <v>-3.0210270000000001</v>
      </c>
      <c r="V1018">
        <v>0.2713815</v>
      </c>
      <c r="W1018">
        <v>0.18099219999999999</v>
      </c>
      <c r="X1018">
        <v>0.94530099999999995</v>
      </c>
      <c r="Y1018">
        <v>0.57523999999999997</v>
      </c>
      <c r="Z1018">
        <v>1.237682E-2</v>
      </c>
      <c r="AA1018">
        <v>0.81789109999999998</v>
      </c>
      <c r="AB1018">
        <v>27</v>
      </c>
      <c r="AC1018">
        <v>8.8863999999999805</v>
      </c>
      <c r="AD1018">
        <v>-1.1006714372077</v>
      </c>
      <c r="AE1018">
        <v>-21.822700000000001</v>
      </c>
      <c r="AF1018">
        <v>13.6511727608457</v>
      </c>
      <c r="AG1018">
        <v>-1.1006714372077</v>
      </c>
      <c r="AH1018">
        <v>19.142329399216798</v>
      </c>
      <c r="AI1018">
        <v>92.680315449415602</v>
      </c>
      <c r="AJ1018">
        <v>54.505789377003701</v>
      </c>
      <c r="AK1018">
        <v>23.537093494891401</v>
      </c>
      <c r="AL1018">
        <v>79.572442423560503</v>
      </c>
      <c r="AM1018">
        <v>73.982034834736695</v>
      </c>
      <c r="AN1018">
        <v>1.0000000378020399</v>
      </c>
    </row>
    <row r="1019" spans="1:40" x14ac:dyDescent="0.25">
      <c r="A1019" t="str">
        <f>"20190312172632382"</f>
        <v>20190312172632382</v>
      </c>
      <c r="B1019" t="str">
        <f>"1552382792380134"</f>
        <v>1552382792380134</v>
      </c>
      <c r="C1019" t="s">
        <v>40</v>
      </c>
      <c r="D1019">
        <v>3.3103440000000002</v>
      </c>
      <c r="E1019">
        <v>0.65187729999999999</v>
      </c>
      <c r="F1019" t="s">
        <v>41</v>
      </c>
      <c r="G1019">
        <v>-189.9948</v>
      </c>
      <c r="H1019" s="1">
        <v>-1.1392420000000001E-7</v>
      </c>
      <c r="I1019">
        <v>339.85789999999997</v>
      </c>
      <c r="J1019">
        <v>-198.7792</v>
      </c>
      <c r="K1019">
        <v>1.100643</v>
      </c>
      <c r="L1019">
        <v>362.15539999999999</v>
      </c>
      <c r="M1019">
        <v>0.83656160000000002</v>
      </c>
      <c r="N1019">
        <v>0</v>
      </c>
      <c r="O1019">
        <v>-0.54765529999999996</v>
      </c>
      <c r="P1019">
        <v>0.64736819999999995</v>
      </c>
      <c r="Q1019">
        <v>0.17303470000000001</v>
      </c>
      <c r="R1019">
        <v>-0.74227569999999998</v>
      </c>
      <c r="S1019">
        <v>1.219894</v>
      </c>
      <c r="T1019">
        <v>-0.14849970000000001</v>
      </c>
      <c r="U1019">
        <v>-3.0329280000000001</v>
      </c>
      <c r="V1019">
        <v>0.27077669999999998</v>
      </c>
      <c r="W1019">
        <v>0.18135660000000001</v>
      </c>
      <c r="X1019">
        <v>0.94540449999999998</v>
      </c>
      <c r="Y1019">
        <v>0.57176629999999995</v>
      </c>
      <c r="Z1019">
        <v>1.293512E-2</v>
      </c>
      <c r="AA1019">
        <v>0.82031449999999995</v>
      </c>
      <c r="AB1019">
        <v>27</v>
      </c>
      <c r="AC1019">
        <v>8.7843999999999998</v>
      </c>
      <c r="AD1019">
        <v>-1.1006431139241999</v>
      </c>
      <c r="AE1019">
        <v>-22.297499999999999</v>
      </c>
      <c r="AF1019">
        <v>13.814920469652501</v>
      </c>
      <c r="AG1019">
        <v>-1.1006431139241999</v>
      </c>
      <c r="AH1019">
        <v>19.5211929810425</v>
      </c>
      <c r="AI1019">
        <v>92.635067499387802</v>
      </c>
      <c r="AJ1019">
        <v>54.713402859846397</v>
      </c>
      <c r="AK1019">
        <v>23.940351255780602</v>
      </c>
      <c r="AL1019">
        <v>79.5512116132345</v>
      </c>
      <c r="AM1019">
        <v>74.017567523340404</v>
      </c>
      <c r="AN1019">
        <v>0.99999995312334899</v>
      </c>
    </row>
    <row r="1020" spans="1:40" x14ac:dyDescent="0.25">
      <c r="A1020" t="str">
        <f>"20190312172632401"</f>
        <v>20190312172632401</v>
      </c>
      <c r="B1020" t="str">
        <f>"1552382792389893"</f>
        <v>1552382792389893</v>
      </c>
      <c r="C1020" t="s">
        <v>40</v>
      </c>
      <c r="D1020">
        <v>3.3102930000000002</v>
      </c>
      <c r="E1020">
        <v>0.68320599999999998</v>
      </c>
      <c r="F1020" t="s">
        <v>41</v>
      </c>
      <c r="G1020">
        <v>-187.16579999999999</v>
      </c>
      <c r="H1020" s="1">
        <v>-4.05242399999999E-6</v>
      </c>
      <c r="I1020">
        <v>327.90719999999999</v>
      </c>
      <c r="J1020">
        <v>-198.59289999999999</v>
      </c>
      <c r="K1020">
        <v>1.1006279999999999</v>
      </c>
      <c r="L1020">
        <v>362.01960000000003</v>
      </c>
      <c r="M1020">
        <v>0.83046509999999996</v>
      </c>
      <c r="N1020">
        <v>0</v>
      </c>
      <c r="O1020">
        <v>-0.55685669999999898</v>
      </c>
      <c r="P1020">
        <v>0.63951740000000001</v>
      </c>
      <c r="Q1020">
        <v>0.17345070000000001</v>
      </c>
      <c r="R1020">
        <v>-0.74895459999999903</v>
      </c>
      <c r="S1020">
        <v>1.063828</v>
      </c>
      <c r="T1020">
        <v>-0.10082240000000001</v>
      </c>
      <c r="U1020">
        <v>-3.137238</v>
      </c>
      <c r="V1020">
        <v>0.27023059999999899</v>
      </c>
      <c r="W1020">
        <v>0.1817889</v>
      </c>
      <c r="X1020">
        <v>0.94547780000000003</v>
      </c>
      <c r="Y1020">
        <v>0.60768100000000003</v>
      </c>
      <c r="Z1020">
        <v>8.3859380000000008E-3</v>
      </c>
      <c r="AA1020">
        <v>0.79413690000000003</v>
      </c>
      <c r="AB1020">
        <v>27</v>
      </c>
      <c r="AC1020">
        <v>11.4270999999999</v>
      </c>
      <c r="AD1020">
        <v>-1.1006320524240001</v>
      </c>
      <c r="AE1020">
        <v>-34.112400000000001</v>
      </c>
      <c r="AF1020">
        <v>21.947975459385798</v>
      </c>
      <c r="AG1020">
        <v>-1.1006320524240001</v>
      </c>
      <c r="AH1020">
        <v>28.462280950143999</v>
      </c>
      <c r="AI1020">
        <v>91.753997294608098</v>
      </c>
      <c r="AJ1020">
        <v>52.363286376704202</v>
      </c>
      <c r="AK1020">
        <v>35.958677041370102</v>
      </c>
      <c r="AL1020">
        <v>79.526024734998202</v>
      </c>
      <c r="AM1020">
        <v>74.049332968481394</v>
      </c>
      <c r="AN1020">
        <v>1.0000000258162001</v>
      </c>
    </row>
    <row r="1021" spans="1:40" x14ac:dyDescent="0.25">
      <c r="A1021" t="str">
        <f>"20190312172632425"</f>
        <v>20190312172632425</v>
      </c>
      <c r="B1021" t="str">
        <f>"1552382792420150"</f>
        <v>1552382792420150</v>
      </c>
      <c r="C1021" t="s">
        <v>40</v>
      </c>
      <c r="D1021">
        <v>3.2817460000000001</v>
      </c>
      <c r="E1021">
        <v>0.68211049999999995</v>
      </c>
      <c r="F1021" t="s">
        <v>47</v>
      </c>
      <c r="G1021">
        <v>-179.95769999999999</v>
      </c>
      <c r="H1021">
        <v>2.2678220000000001E-3</v>
      </c>
      <c r="I1021">
        <v>288.57650000000001</v>
      </c>
      <c r="J1021">
        <v>-198.3655</v>
      </c>
      <c r="K1021">
        <v>1.100617</v>
      </c>
      <c r="L1021">
        <v>361.84949999999998</v>
      </c>
      <c r="M1021">
        <v>0.82279059999999904</v>
      </c>
      <c r="N1021">
        <v>0</v>
      </c>
      <c r="O1021">
        <v>-0.56813449999999999</v>
      </c>
      <c r="P1021">
        <v>0.62953019999999904</v>
      </c>
      <c r="Q1021">
        <v>0.17377770000000001</v>
      </c>
      <c r="R1021">
        <v>-0.75729349999999995</v>
      </c>
      <c r="S1021">
        <v>0.83773799999999898</v>
      </c>
      <c r="T1021">
        <v>-4.9376370000000003E-2</v>
      </c>
      <c r="U1021">
        <v>-3.3016049999999999</v>
      </c>
      <c r="V1021">
        <v>0.26981939999999999</v>
      </c>
      <c r="W1021">
        <v>0.18213170000000001</v>
      </c>
      <c r="X1021">
        <v>0.94552930000000002</v>
      </c>
      <c r="Y1021">
        <v>0.65785490000000002</v>
      </c>
      <c r="Z1021">
        <v>3.76027E-3</v>
      </c>
      <c r="AA1021">
        <v>0.75313529999999995</v>
      </c>
      <c r="AB1021">
        <v>27</v>
      </c>
      <c r="AC1021">
        <v>18.407800000000002</v>
      </c>
      <c r="AD1021">
        <v>-1.0983491780000001</v>
      </c>
      <c r="AE1021">
        <v>-73.272999999999897</v>
      </c>
      <c r="AF1021">
        <v>49.825649712309399</v>
      </c>
      <c r="AG1021">
        <v>-1.0983491780000001</v>
      </c>
      <c r="AH1021">
        <v>56.769466119179498</v>
      </c>
      <c r="AI1021">
        <v>90.833087536137597</v>
      </c>
      <c r="AJ1021">
        <v>48.727094262411804</v>
      </c>
      <c r="AK1021">
        <v>75.541869341625699</v>
      </c>
      <c r="AL1021">
        <v>79.506050659283304</v>
      </c>
      <c r="AM1021">
        <v>74.073195917777198</v>
      </c>
      <c r="AN1021">
        <v>1.00000006095986</v>
      </c>
    </row>
    <row r="1022" spans="1:40" x14ac:dyDescent="0.25">
      <c r="A1022" t="str">
        <f>"20190312172632448"</f>
        <v>20190312172632448</v>
      </c>
      <c r="B1022" t="str">
        <f>"1552382792439669"</f>
        <v>1552382792439669</v>
      </c>
      <c r="C1022" t="s">
        <v>40</v>
      </c>
      <c r="D1022">
        <v>3.2675399999999999</v>
      </c>
      <c r="E1022">
        <v>0.68124229999999997</v>
      </c>
      <c r="F1022" t="s">
        <v>47</v>
      </c>
      <c r="G1022">
        <v>-181.11340000000001</v>
      </c>
      <c r="H1022" s="1">
        <v>1.804704E-6</v>
      </c>
      <c r="I1022">
        <v>290.53289999999998</v>
      </c>
      <c r="J1022">
        <v>-198.1277</v>
      </c>
      <c r="K1022">
        <v>1.100614</v>
      </c>
      <c r="L1022">
        <v>361.66640000000001</v>
      </c>
      <c r="M1022">
        <v>0.81448790000000004</v>
      </c>
      <c r="N1022">
        <v>0</v>
      </c>
      <c r="O1022">
        <v>-0.57997449999999995</v>
      </c>
      <c r="P1022">
        <v>0.618865</v>
      </c>
      <c r="Q1022">
        <v>0.17436479999999999</v>
      </c>
      <c r="R1022">
        <v>-0.76590040000000004</v>
      </c>
      <c r="S1022">
        <v>0.800216699999999</v>
      </c>
      <c r="T1022">
        <v>-5.1050539999999998E-2</v>
      </c>
      <c r="U1022">
        <v>-3.307922</v>
      </c>
      <c r="V1022">
        <v>0.26928970000000002</v>
      </c>
      <c r="W1022">
        <v>0.1827416</v>
      </c>
      <c r="X1022">
        <v>0.94556249999999997</v>
      </c>
      <c r="Y1022">
        <v>0.65535089999999996</v>
      </c>
      <c r="Z1022">
        <v>4.1385199999999997E-3</v>
      </c>
      <c r="AA1022">
        <v>0.75531319999999902</v>
      </c>
      <c r="AB1022">
        <v>27</v>
      </c>
      <c r="AC1022">
        <v>17.014299999999899</v>
      </c>
      <c r="AD1022">
        <v>-1.100612195296</v>
      </c>
      <c r="AE1022">
        <v>-71.133499999999998</v>
      </c>
      <c r="AF1022">
        <v>48.064377366202798</v>
      </c>
      <c r="AG1022">
        <v>-1.100612195296</v>
      </c>
      <c r="AH1022">
        <v>55.107667192367202</v>
      </c>
      <c r="AI1022">
        <v>90.862318036876204</v>
      </c>
      <c r="AJ1022">
        <v>48.905375933870701</v>
      </c>
      <c r="AK1022">
        <v>73.131735260349799</v>
      </c>
      <c r="AL1022">
        <v>79.470508191471794</v>
      </c>
      <c r="AM1022">
        <v>74.103411250726495</v>
      </c>
      <c r="AN1022">
        <v>0.99999993815144805</v>
      </c>
    </row>
    <row r="1023" spans="1:40" x14ac:dyDescent="0.25">
      <c r="A1023" t="str">
        <f>"20190312172632468"</f>
        <v>20190312172632468</v>
      </c>
      <c r="B1023" t="str">
        <f>"1552382792460165"</f>
        <v>1552382792460165</v>
      </c>
      <c r="C1023" t="s">
        <v>40</v>
      </c>
      <c r="D1023">
        <v>3.2438099999999999</v>
      </c>
      <c r="E1023">
        <v>0.68098840000000005</v>
      </c>
      <c r="F1023" t="s">
        <v>47</v>
      </c>
      <c r="G1023">
        <v>-181.8665</v>
      </c>
      <c r="H1023" s="1">
        <v>1.911115E-6</v>
      </c>
      <c r="I1023">
        <v>290.68720000000002</v>
      </c>
      <c r="J1023">
        <v>-197.93199999999999</v>
      </c>
      <c r="K1023">
        <v>1.100624</v>
      </c>
      <c r="L1023">
        <v>361.51139999999998</v>
      </c>
      <c r="M1023">
        <v>0.80743809999999905</v>
      </c>
      <c r="N1023">
        <v>0</v>
      </c>
      <c r="O1023">
        <v>-0.58974930000000003</v>
      </c>
      <c r="P1023">
        <v>0.60991809999999902</v>
      </c>
      <c r="Q1023">
        <v>0.1745747</v>
      </c>
      <c r="R1023">
        <v>-0.77299659999999903</v>
      </c>
      <c r="S1023">
        <v>0.75946040000000004</v>
      </c>
      <c r="T1023">
        <v>-5.140281E-2</v>
      </c>
      <c r="U1023">
        <v>-3.3150019999999998</v>
      </c>
      <c r="V1023">
        <v>0.2688509</v>
      </c>
      <c r="W1023">
        <v>0.18297269999999999</v>
      </c>
      <c r="X1023">
        <v>0.94564269999999995</v>
      </c>
      <c r="Y1023">
        <v>0.65541499999999997</v>
      </c>
      <c r="Z1023">
        <v>4.3570129999999999E-3</v>
      </c>
      <c r="AA1023">
        <v>0.75525640000000005</v>
      </c>
      <c r="AB1023">
        <v>27</v>
      </c>
      <c r="AC1023">
        <v>16.0655</v>
      </c>
      <c r="AD1023">
        <v>-1.100622088885</v>
      </c>
      <c r="AE1023">
        <v>-70.824199999999905</v>
      </c>
      <c r="AF1023">
        <v>47.706296891211402</v>
      </c>
      <c r="AG1023">
        <v>-1.100622088885</v>
      </c>
      <c r="AH1023">
        <v>54.734403525364002</v>
      </c>
      <c r="AI1023">
        <v>90.868461098505193</v>
      </c>
      <c r="AJ1023">
        <v>48.924717781164503</v>
      </c>
      <c r="AK1023">
        <v>72.615129699893302</v>
      </c>
      <c r="AL1023">
        <v>79.457040350335404</v>
      </c>
      <c r="AM1023">
        <v>74.129286614818298</v>
      </c>
      <c r="AN1023">
        <v>0.99999996571969396</v>
      </c>
    </row>
    <row r="1024" spans="1:40" x14ac:dyDescent="0.25">
      <c r="A1024" t="str">
        <f>"20190312172632493"</f>
        <v>20190312172632493</v>
      </c>
      <c r="B1024" t="str">
        <f>"1552382792489446"</f>
        <v>1552382792489446</v>
      </c>
      <c r="C1024" t="s">
        <v>40</v>
      </c>
      <c r="D1024">
        <v>3.2834099999999999</v>
      </c>
      <c r="E1024">
        <v>0.67393419999999904</v>
      </c>
      <c r="F1024" t="s">
        <v>47</v>
      </c>
      <c r="G1024">
        <v>-182.2056</v>
      </c>
      <c r="H1024" s="1">
        <v>2.198869E-6</v>
      </c>
      <c r="I1024">
        <v>289.1703</v>
      </c>
      <c r="J1024">
        <v>-197.70660000000001</v>
      </c>
      <c r="K1024">
        <v>1.100638</v>
      </c>
      <c r="L1024">
        <v>361.32769999999999</v>
      </c>
      <c r="M1024">
        <v>0.79906359999999999</v>
      </c>
      <c r="N1024">
        <v>0</v>
      </c>
      <c r="O1024">
        <v>-0.6010472</v>
      </c>
      <c r="P1024">
        <v>0.59927369999999902</v>
      </c>
      <c r="Q1024">
        <v>0.17540069999999999</v>
      </c>
      <c r="R1024">
        <v>-0.78109280000000003</v>
      </c>
      <c r="S1024">
        <v>0.72228999999999999</v>
      </c>
      <c r="T1024">
        <v>-5.0549749999999997E-2</v>
      </c>
      <c r="U1024">
        <v>-3.3225099999999999</v>
      </c>
      <c r="V1024">
        <v>0.26836789999999999</v>
      </c>
      <c r="W1024">
        <v>0.1838244</v>
      </c>
      <c r="X1024">
        <v>0.94561479999999998</v>
      </c>
      <c r="Y1024">
        <v>0.65321130000000005</v>
      </c>
      <c r="Z1024">
        <v>4.5198640000000002E-3</v>
      </c>
      <c r="AA1024">
        <v>0.75716219999999901</v>
      </c>
      <c r="AB1024">
        <v>27</v>
      </c>
      <c r="AC1024">
        <v>15.500999999999999</v>
      </c>
      <c r="AD1024">
        <v>-1.100635801131</v>
      </c>
      <c r="AE1024">
        <v>-72.157399999999996</v>
      </c>
      <c r="AF1024">
        <v>48.336562172818198</v>
      </c>
      <c r="AG1024">
        <v>-1.100635801131</v>
      </c>
      <c r="AH1024">
        <v>55.750570783991797</v>
      </c>
      <c r="AI1024">
        <v>90.854580719354402</v>
      </c>
      <c r="AJ1024">
        <v>49.074232513606503</v>
      </c>
      <c r="AK1024">
        <v>73.795398126132099</v>
      </c>
      <c r="AL1024">
        <v>79.407400404456894</v>
      </c>
      <c r="AM1024">
        <v>74.155922326441498</v>
      </c>
      <c r="AN1024">
        <v>1.0000000448824</v>
      </c>
    </row>
    <row r="1025" spans="1:40" x14ac:dyDescent="0.25">
      <c r="A1025" t="str">
        <f>"20190312172632513"</f>
        <v>20190312172632513</v>
      </c>
      <c r="B1025" t="str">
        <f>"1552382792509941"</f>
        <v>1552382792509941</v>
      </c>
      <c r="C1025" t="s">
        <v>40</v>
      </c>
      <c r="D1025">
        <v>3.3246859999999998</v>
      </c>
      <c r="E1025">
        <v>0.67323980000000005</v>
      </c>
      <c r="F1025" t="s">
        <v>47</v>
      </c>
      <c r="G1025">
        <v>-183.7928</v>
      </c>
      <c r="H1025" s="1">
        <v>6.4721419999999997E-7</v>
      </c>
      <c r="I1025">
        <v>297.78550000000001</v>
      </c>
      <c r="J1025">
        <v>-197.51660000000001</v>
      </c>
      <c r="K1025">
        <v>1.1006590000000001</v>
      </c>
      <c r="L1025">
        <v>361.1687</v>
      </c>
      <c r="M1025">
        <v>0.791799699999999</v>
      </c>
      <c r="N1025">
        <v>0</v>
      </c>
      <c r="O1025">
        <v>-0.61058469999999998</v>
      </c>
      <c r="P1025">
        <v>0.59025269999999996</v>
      </c>
      <c r="Q1025">
        <v>0.1755794</v>
      </c>
      <c r="R1025">
        <v>-0.78789200000000004</v>
      </c>
      <c r="S1025">
        <v>0.72245789999999999</v>
      </c>
      <c r="T1025">
        <v>-5.7149169999999999E-2</v>
      </c>
      <c r="U1025">
        <v>-3.299347</v>
      </c>
      <c r="V1025">
        <v>0.26786840000000001</v>
      </c>
      <c r="W1025">
        <v>0.18402979999999999</v>
      </c>
      <c r="X1025">
        <v>0.94571640000000001</v>
      </c>
      <c r="Y1025">
        <v>0.6429319</v>
      </c>
      <c r="Z1025">
        <v>5.4537450000000003E-3</v>
      </c>
      <c r="AA1025">
        <v>0.76590400000000003</v>
      </c>
      <c r="AB1025">
        <v>27</v>
      </c>
      <c r="AC1025">
        <v>13.723800000000001</v>
      </c>
      <c r="AD1025">
        <v>-1.1006583527858</v>
      </c>
      <c r="AE1025">
        <v>-63.383199999999903</v>
      </c>
      <c r="AF1025">
        <v>41.800224679716798</v>
      </c>
      <c r="AG1025">
        <v>-1.1006583527858</v>
      </c>
      <c r="AH1025">
        <v>49.558975919977399</v>
      </c>
      <c r="AI1025">
        <v>90.972603048321901</v>
      </c>
      <c r="AJ1025">
        <v>49.8542408222402</v>
      </c>
      <c r="AK1025">
        <v>64.842596542097695</v>
      </c>
      <c r="AL1025">
        <v>79.395426878170497</v>
      </c>
      <c r="AM1025">
        <v>74.185549609644198</v>
      </c>
      <c r="AN1025">
        <v>0.99999997811777896</v>
      </c>
    </row>
    <row r="1026" spans="1:40" x14ac:dyDescent="0.25">
      <c r="A1026" t="str">
        <f>"20190312172632539"</f>
        <v>20190312172632539</v>
      </c>
      <c r="B1026" t="str">
        <f>"1552382792529462"</f>
        <v>1552382792529462</v>
      </c>
      <c r="C1026" t="s">
        <v>40</v>
      </c>
      <c r="D1026">
        <v>3.3031280000000001</v>
      </c>
      <c r="E1026">
        <v>0.66468850000000002</v>
      </c>
      <c r="F1026" t="s">
        <v>47</v>
      </c>
      <c r="G1026">
        <v>-184.45930000000001</v>
      </c>
      <c r="H1026" s="1">
        <v>3.8612550000000001E-7</v>
      </c>
      <c r="I1026">
        <v>298.524</v>
      </c>
      <c r="J1026">
        <v>-197.27109999999999</v>
      </c>
      <c r="K1026">
        <v>1.1006830000000001</v>
      </c>
      <c r="L1026">
        <v>360.95749999999998</v>
      </c>
      <c r="M1026">
        <v>0.78212209999999904</v>
      </c>
      <c r="N1026">
        <v>0</v>
      </c>
      <c r="O1026">
        <v>-0.62293269999999901</v>
      </c>
      <c r="P1026">
        <v>0.5783973</v>
      </c>
      <c r="Q1026">
        <v>0.17621809999999999</v>
      </c>
      <c r="R1026">
        <v>-0.79649479999999995</v>
      </c>
      <c r="S1026">
        <v>0.68878169999999905</v>
      </c>
      <c r="T1026">
        <v>-5.8060769999999998E-2</v>
      </c>
      <c r="U1026">
        <v>-3.3045650000000002</v>
      </c>
      <c r="V1026">
        <v>0.26707259999999999</v>
      </c>
      <c r="W1026">
        <v>0.18470739999999999</v>
      </c>
      <c r="X1026">
        <v>0.94580940000000002</v>
      </c>
      <c r="Y1026">
        <v>0.63862229999999998</v>
      </c>
      <c r="Z1026">
        <v>5.8596019999999898E-3</v>
      </c>
      <c r="AA1026">
        <v>0.76949799999999902</v>
      </c>
      <c r="AB1026">
        <v>27</v>
      </c>
      <c r="AC1026">
        <v>12.8117999999999</v>
      </c>
      <c r="AD1026">
        <v>-1.1006826138744901</v>
      </c>
      <c r="AE1026">
        <v>-62.433499999999903</v>
      </c>
      <c r="AF1026">
        <v>40.842450082476603</v>
      </c>
      <c r="AG1026">
        <v>-1.1006826138744901</v>
      </c>
      <c r="AH1026">
        <v>48.903542733275202</v>
      </c>
      <c r="AI1026">
        <v>90.989684100074001</v>
      </c>
      <c r="AJ1026">
        <v>50.132602148557197</v>
      </c>
      <c r="AK1026">
        <v>63.724985075097102</v>
      </c>
      <c r="AL1026">
        <v>79.3559264359683</v>
      </c>
      <c r="AM1026">
        <v>74.231665384095706</v>
      </c>
      <c r="AN1026">
        <v>1.0000000092069401</v>
      </c>
    </row>
    <row r="1027" spans="1:40" x14ac:dyDescent="0.25">
      <c r="A1027" t="str">
        <f>"20190312172632559"</f>
        <v>20190312172632559</v>
      </c>
      <c r="B1027" t="str">
        <f>"1552382792549961"</f>
        <v>1552382792549961</v>
      </c>
      <c r="C1027" t="s">
        <v>40</v>
      </c>
      <c r="D1027">
        <v>3.2679930000000001</v>
      </c>
      <c r="E1027">
        <v>0.66362569999999999</v>
      </c>
      <c r="F1027" t="s">
        <v>41</v>
      </c>
      <c r="G1027">
        <v>-189.21809999999999</v>
      </c>
      <c r="H1027" s="1">
        <v>-1.59164E-6</v>
      </c>
      <c r="I1027">
        <v>323.01960000000003</v>
      </c>
      <c r="J1027">
        <v>-197.08949999999999</v>
      </c>
      <c r="K1027">
        <v>1.1007070000000001</v>
      </c>
      <c r="L1027">
        <v>360.79689999999999</v>
      </c>
      <c r="M1027">
        <v>0.77475059999999996</v>
      </c>
      <c r="N1027">
        <v>0</v>
      </c>
      <c r="O1027">
        <v>-0.63207720000000001</v>
      </c>
      <c r="P1027">
        <v>0.56932660000000002</v>
      </c>
      <c r="Q1027">
        <v>0.17599690000000001</v>
      </c>
      <c r="R1027">
        <v>-0.80305219999999999</v>
      </c>
      <c r="S1027">
        <v>0.69662480000000004</v>
      </c>
      <c r="T1027">
        <v>-9.521425E-2</v>
      </c>
      <c r="U1027">
        <v>-3.2817989999999999</v>
      </c>
      <c r="V1027">
        <v>0.26671159999999999</v>
      </c>
      <c r="W1027">
        <v>0.18451110000000001</v>
      </c>
      <c r="X1027">
        <v>0.94594959999999995</v>
      </c>
      <c r="Y1027">
        <v>0.62666309999999903</v>
      </c>
      <c r="Z1027">
        <v>1.0192980000000001E-2</v>
      </c>
      <c r="AA1027">
        <v>0.77922369999999996</v>
      </c>
      <c r="AB1027">
        <v>27</v>
      </c>
      <c r="AC1027">
        <v>7.8713999999999897</v>
      </c>
      <c r="AD1027">
        <v>-1.1007085916399999</v>
      </c>
      <c r="AE1027">
        <v>-37.777299999999897</v>
      </c>
      <c r="AF1027">
        <v>24.275816577016201</v>
      </c>
      <c r="AG1027">
        <v>-1.1007085916399999</v>
      </c>
      <c r="AH1027">
        <v>29.955765689287599</v>
      </c>
      <c r="AI1027">
        <v>91.635199565261402</v>
      </c>
      <c r="AJ1027">
        <v>50.979079265154098</v>
      </c>
      <c r="AK1027">
        <v>38.5729792460493</v>
      </c>
      <c r="AL1027">
        <v>79.367370568333996</v>
      </c>
      <c r="AM1027">
        <v>74.254139586823598</v>
      </c>
      <c r="AN1027">
        <v>1.0000000346689599</v>
      </c>
    </row>
    <row r="1028" spans="1:40" x14ac:dyDescent="0.25">
      <c r="A1028" t="str">
        <f>"20190312172632581"</f>
        <v>20190312172632581</v>
      </c>
      <c r="B1028" t="str">
        <f>"1552382792569477"</f>
        <v>1552382792569477</v>
      </c>
      <c r="C1028" t="s">
        <v>40</v>
      </c>
      <c r="D1028">
        <v>3.3566539999999998</v>
      </c>
      <c r="E1028">
        <v>0.65452219999999905</v>
      </c>
      <c r="F1028" t="s">
        <v>41</v>
      </c>
      <c r="G1028">
        <v>-189.1729</v>
      </c>
      <c r="H1028" s="1">
        <v>-1.0684579999999999E-6</v>
      </c>
      <c r="I1028">
        <v>321.78140000000002</v>
      </c>
      <c r="J1028">
        <v>-196.9</v>
      </c>
      <c r="K1028">
        <v>1.100722</v>
      </c>
      <c r="L1028">
        <v>360.62509999999997</v>
      </c>
      <c r="M1028">
        <v>0.76685479999999995</v>
      </c>
      <c r="N1028">
        <v>0</v>
      </c>
      <c r="O1028">
        <v>-0.64163359999999903</v>
      </c>
      <c r="P1028">
        <v>0.55971300000000002</v>
      </c>
      <c r="Q1028">
        <v>0.1760639</v>
      </c>
      <c r="R1028">
        <v>-0.80976719999999902</v>
      </c>
      <c r="S1028">
        <v>0.6662903</v>
      </c>
      <c r="T1028">
        <v>-9.2639799999999994E-2</v>
      </c>
      <c r="U1028">
        <v>-3.2836910000000001</v>
      </c>
      <c r="V1028">
        <v>0.26623950000000002</v>
      </c>
      <c r="W1028">
        <v>0.1846053</v>
      </c>
      <c r="X1028">
        <v>0.94606420000000002</v>
      </c>
      <c r="Y1028">
        <v>0.62399419999999906</v>
      </c>
      <c r="Z1028">
        <v>1.031202E-2</v>
      </c>
      <c r="AA1028">
        <v>0.78136090000000002</v>
      </c>
      <c r="AB1028">
        <v>27</v>
      </c>
      <c r="AC1028">
        <v>7.7271000000000001</v>
      </c>
      <c r="AD1028">
        <v>-1.1007230684580001</v>
      </c>
      <c r="AE1028">
        <v>-38.843699999999899</v>
      </c>
      <c r="AF1028">
        <v>24.813324762129401</v>
      </c>
      <c r="AG1028">
        <v>-1.1007230684580001</v>
      </c>
      <c r="AH1028">
        <v>30.828876731546199</v>
      </c>
      <c r="AI1028">
        <v>91.593221380639505</v>
      </c>
      <c r="AJ1028">
        <v>51.170357117199899</v>
      </c>
      <c r="AK1028">
        <v>39.589548084730801</v>
      </c>
      <c r="AL1028">
        <v>79.361878911728695</v>
      </c>
      <c r="AM1028">
        <v>74.282442185704099</v>
      </c>
      <c r="AN1028">
        <v>1.00000002933498</v>
      </c>
    </row>
    <row r="1029" spans="1:40" x14ac:dyDescent="0.25">
      <c r="A1029" t="str">
        <f>"20190312172632602"</f>
        <v>20190312172632602</v>
      </c>
      <c r="B1029" t="str">
        <f>"1552382792599733"</f>
        <v>1552382792599733</v>
      </c>
      <c r="C1029" t="s">
        <v>40</v>
      </c>
      <c r="D1029">
        <v>3.3364310000000001</v>
      </c>
      <c r="E1029">
        <v>0.65234789999999998</v>
      </c>
      <c r="F1029" t="s">
        <v>41</v>
      </c>
      <c r="G1029">
        <v>-191.32929999999999</v>
      </c>
      <c r="H1029" s="1">
        <v>-2.3599379999999998E-6</v>
      </c>
      <c r="I1029">
        <v>334.26569999999998</v>
      </c>
      <c r="J1029">
        <v>-196.70580000000001</v>
      </c>
      <c r="K1029">
        <v>1.100751</v>
      </c>
      <c r="L1029">
        <v>360.44459999999998</v>
      </c>
      <c r="M1029">
        <v>0.75854809999999995</v>
      </c>
      <c r="N1029">
        <v>0</v>
      </c>
      <c r="O1029">
        <v>-0.65143300000000004</v>
      </c>
      <c r="P1029">
        <v>0.54947590000000002</v>
      </c>
      <c r="Q1029">
        <v>0.1756318</v>
      </c>
      <c r="R1029">
        <v>-0.81684179999999995</v>
      </c>
      <c r="S1029">
        <v>0.68859859999999995</v>
      </c>
      <c r="T1029">
        <v>-0.1360625</v>
      </c>
      <c r="U1029">
        <v>-3.2583310000000001</v>
      </c>
      <c r="V1029">
        <v>0.266041799999999</v>
      </c>
      <c r="W1029">
        <v>0.18419469999999999</v>
      </c>
      <c r="X1029">
        <v>0.94619980000000004</v>
      </c>
      <c r="Y1029">
        <v>0.60748619999999898</v>
      </c>
      <c r="Z1029">
        <v>1.611491E-2</v>
      </c>
      <c r="AA1029">
        <v>0.794166699999999</v>
      </c>
      <c r="AB1029">
        <v>27</v>
      </c>
      <c r="AC1029">
        <v>5.3765000000000196</v>
      </c>
      <c r="AD1029">
        <v>-1.1007533599379999</v>
      </c>
      <c r="AE1029">
        <v>-26.178899999999999</v>
      </c>
      <c r="AF1029">
        <v>16.329784656087899</v>
      </c>
      <c r="AG1029">
        <v>-1.1007533599379999</v>
      </c>
      <c r="AH1029">
        <v>21.098875021498198</v>
      </c>
      <c r="AI1029">
        <v>92.362544423729005</v>
      </c>
      <c r="AJ1029">
        <v>52.261393444002898</v>
      </c>
      <c r="AK1029">
        <v>26.7027349169784</v>
      </c>
      <c r="AL1029">
        <v>79.385814654693107</v>
      </c>
      <c r="AM1029">
        <v>74.295677140167001</v>
      </c>
      <c r="AN1029">
        <v>0.99999999418768404</v>
      </c>
    </row>
    <row r="1030" spans="1:40" x14ac:dyDescent="0.25">
      <c r="A1030" t="str">
        <f>"20190312172632626"</f>
        <v>20190312172632626</v>
      </c>
      <c r="B1030" t="str">
        <f>"1552382792620230"</f>
        <v>1552382792620230</v>
      </c>
      <c r="C1030" t="s">
        <v>40</v>
      </c>
      <c r="D1030">
        <v>3.2510110000000001</v>
      </c>
      <c r="E1030">
        <v>0.65058199999999999</v>
      </c>
      <c r="F1030" t="s">
        <v>41</v>
      </c>
      <c r="G1030">
        <v>-191.4539</v>
      </c>
      <c r="H1030" s="1">
        <v>-2.5287559999999999E-6</v>
      </c>
      <c r="I1030">
        <v>334.58190000000002</v>
      </c>
      <c r="J1030">
        <v>-196.49940000000001</v>
      </c>
      <c r="K1030">
        <v>1.100779</v>
      </c>
      <c r="L1030">
        <v>360.24770000000001</v>
      </c>
      <c r="M1030">
        <v>0.7494653</v>
      </c>
      <c r="N1030">
        <v>0</v>
      </c>
      <c r="O1030">
        <v>-0.66186259999999997</v>
      </c>
      <c r="P1030">
        <v>0.5384835</v>
      </c>
      <c r="Q1030">
        <v>0.17535580000000001</v>
      </c>
      <c r="R1030">
        <v>-0.82418849999999999</v>
      </c>
      <c r="S1030">
        <v>0.66149899999999995</v>
      </c>
      <c r="T1030">
        <v>-0.1386442</v>
      </c>
      <c r="U1030">
        <v>-3.2575069999999999</v>
      </c>
      <c r="V1030">
        <v>0.26565490000000003</v>
      </c>
      <c r="W1030">
        <v>0.1839459</v>
      </c>
      <c r="X1030">
        <v>0.94635689999999995</v>
      </c>
      <c r="Y1030">
        <v>0.60278699999999996</v>
      </c>
      <c r="Z1030">
        <v>1.7116929999999999E-2</v>
      </c>
      <c r="AA1030">
        <v>0.7977185</v>
      </c>
      <c r="AB1030">
        <v>27</v>
      </c>
      <c r="AC1030">
        <v>5.0454999999999997</v>
      </c>
      <c r="AD1030">
        <v>-1.1007815287559899</v>
      </c>
      <c r="AE1030">
        <v>-25.665799999999901</v>
      </c>
      <c r="AF1030">
        <v>15.8699977516166</v>
      </c>
      <c r="AG1030">
        <v>-1.1007815287559899</v>
      </c>
      <c r="AH1030">
        <v>20.734428231930899</v>
      </c>
      <c r="AI1030">
        <v>92.414052241160803</v>
      </c>
      <c r="AJ1030">
        <v>52.569789549645002</v>
      </c>
      <c r="AK1030">
        <v>26.133982909527202</v>
      </c>
      <c r="AL1030">
        <v>79.400317730487302</v>
      </c>
      <c r="AM1030">
        <v>74.319866517922506</v>
      </c>
      <c r="AN1030">
        <v>1.0000000010992101</v>
      </c>
    </row>
    <row r="1031" spans="1:40" x14ac:dyDescent="0.25">
      <c r="A1031" t="str">
        <f>"20190312172632650"</f>
        <v>20190312172632650</v>
      </c>
      <c r="B1031" t="str">
        <f>"1552382792639749"</f>
        <v>1552382792639749</v>
      </c>
      <c r="C1031" t="s">
        <v>40</v>
      </c>
      <c r="D1031">
        <v>3.2804760000000002</v>
      </c>
      <c r="E1031">
        <v>0.64939979999999997</v>
      </c>
      <c r="F1031" t="s">
        <v>41</v>
      </c>
      <c r="G1031">
        <v>-191.4477</v>
      </c>
      <c r="H1031" s="1">
        <v>-2.314176E-6</v>
      </c>
      <c r="I1031">
        <v>334.0856</v>
      </c>
      <c r="J1031">
        <v>-196.2929</v>
      </c>
      <c r="K1031">
        <v>1.100811</v>
      </c>
      <c r="L1031">
        <v>360.04489999999998</v>
      </c>
      <c r="M1031">
        <v>0.74010129999999996</v>
      </c>
      <c r="N1031">
        <v>0</v>
      </c>
      <c r="O1031">
        <v>-0.672317099999999</v>
      </c>
      <c r="P1031">
        <v>0.52658430000000001</v>
      </c>
      <c r="Q1031">
        <v>0.17529210000000001</v>
      </c>
      <c r="R1031">
        <v>-0.83185419999999999</v>
      </c>
      <c r="S1031">
        <v>0.62911989999999995</v>
      </c>
      <c r="T1031">
        <v>-0.1370857</v>
      </c>
      <c r="U1031">
        <v>-3.2580870000000002</v>
      </c>
      <c r="V1031">
        <v>0.26596690000000001</v>
      </c>
      <c r="W1031">
        <v>0.1838891</v>
      </c>
      <c r="X1031">
        <v>0.94628029999999996</v>
      </c>
      <c r="Y1031">
        <v>0.59924379999999999</v>
      </c>
      <c r="Z1031">
        <v>1.7590359999999999E-2</v>
      </c>
      <c r="AA1031">
        <v>0.80037329999999995</v>
      </c>
      <c r="AB1031">
        <v>27</v>
      </c>
      <c r="AC1031">
        <v>4.8452000000000002</v>
      </c>
      <c r="AD1031">
        <v>-1.1008133141759999</v>
      </c>
      <c r="AE1031">
        <v>-25.959299999999899</v>
      </c>
      <c r="AF1031">
        <v>15.9292341796624</v>
      </c>
      <c r="AG1031">
        <v>-1.1008133141759999</v>
      </c>
      <c r="AH1031">
        <v>21.004843264723899</v>
      </c>
      <c r="AI1031">
        <v>92.391162989406297</v>
      </c>
      <c r="AJ1031">
        <v>52.824772984486302</v>
      </c>
      <c r="AK1031">
        <v>26.384763256069</v>
      </c>
      <c r="AL1031">
        <v>79.403628592499302</v>
      </c>
      <c r="AM1031">
        <v>74.301150159414206</v>
      </c>
      <c r="AN1031">
        <v>0.99999999958125396</v>
      </c>
    </row>
    <row r="1032" spans="1:40" x14ac:dyDescent="0.25">
      <c r="A1032" t="str">
        <f>"20190312172632670"</f>
        <v>20190312172632670</v>
      </c>
      <c r="B1032" t="str">
        <f>"1552382792660246"</f>
        <v>1552382792660246</v>
      </c>
      <c r="C1032" t="s">
        <v>40</v>
      </c>
      <c r="D1032">
        <v>3.2662840000000002</v>
      </c>
      <c r="E1032">
        <v>0.64832909999999999</v>
      </c>
      <c r="F1032" t="s">
        <v>41</v>
      </c>
      <c r="G1032">
        <v>-191.55279999999999</v>
      </c>
      <c r="H1032" s="1">
        <v>-2.2433260000000001E-6</v>
      </c>
      <c r="I1032">
        <v>333.8553</v>
      </c>
      <c r="J1032">
        <v>-196.11340000000001</v>
      </c>
      <c r="K1032">
        <v>1.10084</v>
      </c>
      <c r="L1032">
        <v>359.86369999999999</v>
      </c>
      <c r="M1032">
        <v>0.73173089999999996</v>
      </c>
      <c r="N1032">
        <v>0</v>
      </c>
      <c r="O1032">
        <v>-0.68141779999999996</v>
      </c>
      <c r="P1032">
        <v>0.51590389999999997</v>
      </c>
      <c r="Q1032">
        <v>0.17578769999999999</v>
      </c>
      <c r="R1032">
        <v>-0.83841659999999996</v>
      </c>
      <c r="S1032">
        <v>0.59031679999999997</v>
      </c>
      <c r="T1032">
        <v>-0.13709279999999999</v>
      </c>
      <c r="U1032">
        <v>-3.2615970000000001</v>
      </c>
      <c r="V1032">
        <v>0.266291</v>
      </c>
      <c r="W1032">
        <v>0.1843883</v>
      </c>
      <c r="X1032">
        <v>0.94609200000000004</v>
      </c>
      <c r="Y1032">
        <v>0.59870789999999996</v>
      </c>
      <c r="Z1032">
        <v>1.8113299999999999E-2</v>
      </c>
      <c r="AA1032">
        <v>0.80076269999999905</v>
      </c>
      <c r="AB1032">
        <v>26</v>
      </c>
      <c r="AC1032">
        <v>4.5606000000000204</v>
      </c>
      <c r="AD1032">
        <v>-1.1008422433259999</v>
      </c>
      <c r="AE1032">
        <v>-26.008399999999899</v>
      </c>
      <c r="AF1032">
        <v>15.897752860982701</v>
      </c>
      <c r="AG1032">
        <v>-1.1008422433259999</v>
      </c>
      <c r="AH1032">
        <v>21.025698416340202</v>
      </c>
      <c r="AI1032">
        <v>92.391441282039494</v>
      </c>
      <c r="AJ1032">
        <v>52.906688380407303</v>
      </c>
      <c r="AK1032">
        <v>26.382387942877099</v>
      </c>
      <c r="AL1032">
        <v>79.374529024312096</v>
      </c>
      <c r="AM1032">
        <v>74.279991247913102</v>
      </c>
      <c r="AN1032">
        <v>1.0000000071609401</v>
      </c>
    </row>
    <row r="1033" spans="1:40" x14ac:dyDescent="0.25">
      <c r="A1033" t="str">
        <f>"20190312172632692"</f>
        <v>20190312172632692</v>
      </c>
      <c r="B1033" t="str">
        <f>"1552382792689526"</f>
        <v>1552382792689526</v>
      </c>
      <c r="C1033" t="s">
        <v>40</v>
      </c>
      <c r="D1033">
        <v>3.2670189999999999</v>
      </c>
      <c r="E1033">
        <v>0.64741959999999998</v>
      </c>
      <c r="F1033" t="s">
        <v>41</v>
      </c>
      <c r="G1033">
        <v>-191.54509999999999</v>
      </c>
      <c r="H1033" s="1">
        <v>-1.8951789999999999E-6</v>
      </c>
      <c r="I1033">
        <v>333.04849999999999</v>
      </c>
      <c r="J1033">
        <v>-195.9324</v>
      </c>
      <c r="K1033">
        <v>1.100873</v>
      </c>
      <c r="L1033">
        <v>359.6764</v>
      </c>
      <c r="M1033">
        <v>0.72306230000000005</v>
      </c>
      <c r="N1033">
        <v>0</v>
      </c>
      <c r="O1033">
        <v>-0.69060929999999998</v>
      </c>
      <c r="P1033">
        <v>0.50540359999999995</v>
      </c>
      <c r="Q1033">
        <v>0.17614179999999999</v>
      </c>
      <c r="R1033">
        <v>-0.84471399999999996</v>
      </c>
      <c r="S1033">
        <v>0.55607600000000001</v>
      </c>
      <c r="T1033">
        <v>-0.13400049999999999</v>
      </c>
      <c r="U1033">
        <v>-3.2640989999999999</v>
      </c>
      <c r="V1033">
        <v>0.26608229999999999</v>
      </c>
      <c r="W1033">
        <v>0.1847599</v>
      </c>
      <c r="X1033">
        <v>0.94607819999999998</v>
      </c>
      <c r="Y1033">
        <v>0.59684720000000002</v>
      </c>
      <c r="Z1033">
        <v>1.8249620000000001E-2</v>
      </c>
      <c r="AA1033">
        <v>0.80214730000000001</v>
      </c>
      <c r="AB1033">
        <v>26</v>
      </c>
      <c r="AC1033">
        <v>4.3872999999999998</v>
      </c>
      <c r="AD1033">
        <v>-1.1008748951789999</v>
      </c>
      <c r="AE1033">
        <v>-26.6279</v>
      </c>
      <c r="AF1033">
        <v>16.1987095814805</v>
      </c>
      <c r="AG1033">
        <v>-1.1008748951789999</v>
      </c>
      <c r="AH1033">
        <v>21.528526500605398</v>
      </c>
      <c r="AI1033">
        <v>92.339849705370298</v>
      </c>
      <c r="AJ1033">
        <v>53.0410991850515</v>
      </c>
      <c r="AK1033">
        <v>26.964561389484</v>
      </c>
      <c r="AL1033">
        <v>79.352865476117699</v>
      </c>
      <c r="AM1033">
        <v>74.291485288734705</v>
      </c>
      <c r="AN1033">
        <v>0.99999998576826898</v>
      </c>
    </row>
    <row r="1034" spans="1:40" x14ac:dyDescent="0.25">
      <c r="A1034" t="str">
        <f>"20190312172632714"</f>
        <v>20190312172632714</v>
      </c>
      <c r="B1034" t="str">
        <f>"1552382792710022"</f>
        <v>1552382792710022</v>
      </c>
      <c r="C1034" t="s">
        <v>40</v>
      </c>
      <c r="D1034">
        <v>3.2507519999999999</v>
      </c>
      <c r="E1034">
        <v>0.63881659999999996</v>
      </c>
      <c r="F1034" t="s">
        <v>41</v>
      </c>
      <c r="G1034">
        <v>-191.6105</v>
      </c>
      <c r="H1034" s="1">
        <v>-1.7293309999999999E-6</v>
      </c>
      <c r="I1034">
        <v>332.62130000000002</v>
      </c>
      <c r="J1034">
        <v>-195.7482</v>
      </c>
      <c r="K1034">
        <v>1.1009070000000001</v>
      </c>
      <c r="L1034">
        <v>359.48079999999999</v>
      </c>
      <c r="M1034">
        <v>0.71399619999999997</v>
      </c>
      <c r="N1034">
        <v>0</v>
      </c>
      <c r="O1034">
        <v>-0.69997849999999995</v>
      </c>
      <c r="P1034">
        <v>0.4943342</v>
      </c>
      <c r="Q1034">
        <v>0.17684629999999901</v>
      </c>
      <c r="R1034">
        <v>-0.85109319999999899</v>
      </c>
      <c r="S1034">
        <v>0.52188109999999999</v>
      </c>
      <c r="T1034">
        <v>-0.13293339999999901</v>
      </c>
      <c r="U1034">
        <v>-3.2669679999999999</v>
      </c>
      <c r="V1034">
        <v>0.26599590000000001</v>
      </c>
      <c r="W1034">
        <v>0.1854778</v>
      </c>
      <c r="X1034">
        <v>0.94596210000000003</v>
      </c>
      <c r="Y1034">
        <v>0.59467760000000003</v>
      </c>
      <c r="Z1034">
        <v>1.865909E-2</v>
      </c>
      <c r="AA1034">
        <v>0.80374780000000001</v>
      </c>
      <c r="AB1034">
        <v>26</v>
      </c>
      <c r="AC1034">
        <v>4.1376999999999899</v>
      </c>
      <c r="AD1034">
        <v>-1.100908729331</v>
      </c>
      <c r="AE1034">
        <v>-26.859499999999901</v>
      </c>
      <c r="AF1034">
        <v>16.2565523868791</v>
      </c>
      <c r="AG1034">
        <v>-1.100908729331</v>
      </c>
      <c r="AH1034">
        <v>21.7223332031061</v>
      </c>
      <c r="AI1034">
        <v>92.323576431565201</v>
      </c>
      <c r="AJ1034">
        <v>53.189565228264698</v>
      </c>
      <c r="AK1034">
        <v>27.1541388249458</v>
      </c>
      <c r="AL1034">
        <v>79.311010244497893</v>
      </c>
      <c r="AM1034">
        <v>74.294502105435299</v>
      </c>
      <c r="AN1034">
        <v>1.00000006387302</v>
      </c>
    </row>
    <row r="1035" spans="1:40" x14ac:dyDescent="0.25">
      <c r="A1035" t="str">
        <f>"20190312172632738"</f>
        <v>20190312172632738</v>
      </c>
      <c r="B1035" t="str">
        <f>"1552382792729554"</f>
        <v>1552382792729554</v>
      </c>
      <c r="C1035" t="s">
        <v>40</v>
      </c>
      <c r="D1035">
        <v>3.3535810000000001</v>
      </c>
      <c r="E1035">
        <v>0.64693459999999903</v>
      </c>
      <c r="F1035" t="s">
        <v>41</v>
      </c>
      <c r="G1035">
        <v>-191.55459999999999</v>
      </c>
      <c r="H1035" s="1">
        <v>-2.4153739999999999E-6</v>
      </c>
      <c r="I1035">
        <v>334.2552</v>
      </c>
      <c r="J1035">
        <v>-195.5565</v>
      </c>
      <c r="K1035">
        <v>1.10094</v>
      </c>
      <c r="L1035">
        <v>359.27179999999998</v>
      </c>
      <c r="M1035">
        <v>0.70429439999999999</v>
      </c>
      <c r="N1035">
        <v>0</v>
      </c>
      <c r="O1035">
        <v>-0.70973949999999997</v>
      </c>
      <c r="P1035">
        <v>0.48252919999999999</v>
      </c>
      <c r="Q1035">
        <v>0.17765839999999999</v>
      </c>
      <c r="R1035">
        <v>-0.85767329999999997</v>
      </c>
      <c r="S1035">
        <v>0.53884889999999996</v>
      </c>
      <c r="T1035">
        <v>-0.14146020000000001</v>
      </c>
      <c r="U1035">
        <v>-3.241333</v>
      </c>
      <c r="V1035">
        <v>0.2659318</v>
      </c>
      <c r="W1035">
        <v>0.18630330000000001</v>
      </c>
      <c r="X1035">
        <v>0.94581780000000004</v>
      </c>
      <c r="Y1035">
        <v>0.57841109999999996</v>
      </c>
      <c r="Z1035">
        <v>2.0884199999999999E-2</v>
      </c>
      <c r="AA1035">
        <v>0.81547799999999904</v>
      </c>
      <c r="AB1035">
        <v>26</v>
      </c>
      <c r="AC1035">
        <v>4.0019</v>
      </c>
      <c r="AD1035">
        <v>-1.1009424153739999</v>
      </c>
      <c r="AE1035">
        <v>-25.016599999999901</v>
      </c>
      <c r="AF1035">
        <v>14.7526537200274</v>
      </c>
      <c r="AG1035">
        <v>-1.1009424153739999</v>
      </c>
      <c r="AH1035">
        <v>20.537463048088899</v>
      </c>
      <c r="AI1035">
        <v>92.492970646804906</v>
      </c>
      <c r="AJ1035">
        <v>54.309219652998202</v>
      </c>
      <c r="AK1035">
        <v>25.3108722575226</v>
      </c>
      <c r="AL1035">
        <v>79.262872628812005</v>
      </c>
      <c r="AM1035">
        <v>74.295822741409197</v>
      </c>
      <c r="AN1035">
        <v>0.99999997631948401</v>
      </c>
    </row>
    <row r="1036" spans="1:40" x14ac:dyDescent="0.25">
      <c r="A1036" t="str">
        <f>"20190312172632759"</f>
        <v>20190312172632759</v>
      </c>
      <c r="B1036" t="str">
        <f>"1552382792750038"</f>
        <v>1552382792750038</v>
      </c>
      <c r="C1036" t="s">
        <v>40</v>
      </c>
      <c r="D1036">
        <v>3.2979069999999999</v>
      </c>
      <c r="E1036">
        <v>0.65871759999999902</v>
      </c>
      <c r="F1036" t="s">
        <v>41</v>
      </c>
      <c r="G1036">
        <v>-191.36</v>
      </c>
      <c r="H1036" s="1">
        <v>-3.9198680000000003E-6</v>
      </c>
      <c r="I1036">
        <v>327.88299999999998</v>
      </c>
      <c r="J1036">
        <v>-195.38560000000001</v>
      </c>
      <c r="K1036">
        <v>1.1009690000000001</v>
      </c>
      <c r="L1036">
        <v>359.0804</v>
      </c>
      <c r="M1036">
        <v>0.69539799999999996</v>
      </c>
      <c r="N1036">
        <v>0</v>
      </c>
      <c r="O1036">
        <v>-0.7184585</v>
      </c>
      <c r="P1036">
        <v>0.47187630000000003</v>
      </c>
      <c r="Q1036">
        <v>0.1780069</v>
      </c>
      <c r="R1036">
        <v>-0.86350830000000001</v>
      </c>
      <c r="S1036">
        <v>0.43789670000000003</v>
      </c>
      <c r="T1036">
        <v>-0.1148791</v>
      </c>
      <c r="U1036">
        <v>-3.275299</v>
      </c>
      <c r="V1036">
        <v>0.26580169999999997</v>
      </c>
      <c r="W1036">
        <v>0.18666640000000001</v>
      </c>
      <c r="X1036">
        <v>0.94578280000000003</v>
      </c>
      <c r="Y1036">
        <v>0.59410350000000001</v>
      </c>
      <c r="Z1036">
        <v>1.701136E-2</v>
      </c>
      <c r="AA1036">
        <v>0.80420879999999995</v>
      </c>
      <c r="AB1036">
        <v>26</v>
      </c>
      <c r="AC1036">
        <v>4.0255999999999901</v>
      </c>
      <c r="AD1036">
        <v>-1.1009729198680001</v>
      </c>
      <c r="AE1036">
        <v>-31.197399999999899</v>
      </c>
      <c r="AF1036">
        <v>18.781622414703399</v>
      </c>
      <c r="AG1036">
        <v>-1.1009729198680001</v>
      </c>
      <c r="AH1036">
        <v>25.185592037813699</v>
      </c>
      <c r="AI1036">
        <v>92.007007831769798</v>
      </c>
      <c r="AJ1036">
        <v>53.287044043985702</v>
      </c>
      <c r="AK1036">
        <v>31.436849845268501</v>
      </c>
      <c r="AL1036">
        <v>79.241697287242999</v>
      </c>
      <c r="AM1036">
        <v>74.302574557084498</v>
      </c>
      <c r="AN1036">
        <v>0.99999999669384498</v>
      </c>
    </row>
    <row r="1037" spans="1:40" x14ac:dyDescent="0.25">
      <c r="A1037" t="str">
        <f>"20190312172632782"</f>
        <v>20190312172632782</v>
      </c>
      <c r="B1037" t="str">
        <f>"1552382792779318"</f>
        <v>1552382792779318</v>
      </c>
      <c r="C1037" t="s">
        <v>40</v>
      </c>
      <c r="D1037">
        <v>3.3019720000000001</v>
      </c>
      <c r="E1037">
        <v>0.66685569999999905</v>
      </c>
      <c r="F1037" t="s">
        <v>41</v>
      </c>
      <c r="G1037">
        <v>-191.5959</v>
      </c>
      <c r="H1037" s="1">
        <v>-4.7914600000000004E-6</v>
      </c>
      <c r="I1037">
        <v>319.02620000000002</v>
      </c>
      <c r="J1037">
        <v>-195.20910000000001</v>
      </c>
      <c r="K1037">
        <v>1.101002</v>
      </c>
      <c r="L1037">
        <v>358.87759999999997</v>
      </c>
      <c r="M1037">
        <v>0.6859596</v>
      </c>
      <c r="N1037">
        <v>0</v>
      </c>
      <c r="O1037">
        <v>-0.72747550000000005</v>
      </c>
      <c r="P1037">
        <v>0.46050029999999997</v>
      </c>
      <c r="Q1037">
        <v>0.1780697</v>
      </c>
      <c r="R1037">
        <v>-0.86961540000000004</v>
      </c>
      <c r="S1037">
        <v>0.3142395</v>
      </c>
      <c r="T1037">
        <v>-9.1292499999999999E-2</v>
      </c>
      <c r="U1037">
        <v>-3.3212890000000002</v>
      </c>
      <c r="V1037">
        <v>0.26585049999999999</v>
      </c>
      <c r="W1037">
        <v>0.1867404</v>
      </c>
      <c r="X1037">
        <v>0.94575450000000005</v>
      </c>
      <c r="Y1037">
        <v>0.61443899999999996</v>
      </c>
      <c r="Z1037">
        <v>1.3457739999999999E-2</v>
      </c>
      <c r="AA1037">
        <v>0.78884960000000004</v>
      </c>
      <c r="AB1037">
        <v>26</v>
      </c>
      <c r="AC1037">
        <v>3.6132</v>
      </c>
      <c r="AD1037">
        <v>-1.1010067914599999</v>
      </c>
      <c r="AE1037">
        <v>-39.851399999999899</v>
      </c>
      <c r="AF1037">
        <v>24.6921931065433</v>
      </c>
      <c r="AG1037">
        <v>-1.1010067914599999</v>
      </c>
      <c r="AH1037">
        <v>31.449375419999399</v>
      </c>
      <c r="AI1037">
        <v>91.577285212438895</v>
      </c>
      <c r="AJ1037">
        <v>51.863089246159497</v>
      </c>
      <c r="AK1037">
        <v>39.999747882627098</v>
      </c>
      <c r="AL1037">
        <v>79.237381764089704</v>
      </c>
      <c r="AM1037">
        <v>74.299388050853295</v>
      </c>
      <c r="AN1037">
        <v>1.0000000198063299</v>
      </c>
    </row>
    <row r="1038" spans="1:40" x14ac:dyDescent="0.25">
      <c r="A1038" t="str">
        <f>"20190312172632804"</f>
        <v>20190312172632804</v>
      </c>
      <c r="B1038" t="str">
        <f>"1552382792799814"</f>
        <v>1552382792799814</v>
      </c>
      <c r="C1038" t="s">
        <v>40</v>
      </c>
      <c r="D1038">
        <v>3.3300779999999999</v>
      </c>
      <c r="E1038">
        <v>0.66976369999999996</v>
      </c>
      <c r="F1038" t="s">
        <v>41</v>
      </c>
      <c r="G1038">
        <v>-192.17850000000001</v>
      </c>
      <c r="H1038" s="1">
        <v>-1.300552E-6</v>
      </c>
      <c r="I1038">
        <v>311.11669999999998</v>
      </c>
      <c r="J1038">
        <v>-195.0403</v>
      </c>
      <c r="K1038">
        <v>1.101037</v>
      </c>
      <c r="L1038">
        <v>358.67869999999999</v>
      </c>
      <c r="M1038">
        <v>0.67668689999999998</v>
      </c>
      <c r="N1038">
        <v>0</v>
      </c>
      <c r="O1038">
        <v>-0.73610880000000001</v>
      </c>
      <c r="P1038">
        <v>0.44987149999999998</v>
      </c>
      <c r="Q1038">
        <v>0.1775612</v>
      </c>
      <c r="R1038">
        <v>-0.87526459999999995</v>
      </c>
      <c r="S1038">
        <v>0.21275330000000001</v>
      </c>
      <c r="T1038">
        <v>-7.729316E-2</v>
      </c>
      <c r="U1038">
        <v>-3.3529360000000001</v>
      </c>
      <c r="V1038">
        <v>0.26543430000000001</v>
      </c>
      <c r="W1038">
        <v>0.186256</v>
      </c>
      <c r="X1038">
        <v>0.9459668</v>
      </c>
      <c r="Y1038">
        <v>0.62877139999999998</v>
      </c>
      <c r="Z1038">
        <v>1.142725E-2</v>
      </c>
      <c r="AA1038">
        <v>0.77750629999999998</v>
      </c>
      <c r="AB1038">
        <v>26</v>
      </c>
      <c r="AC1038">
        <v>2.8617999999999801</v>
      </c>
      <c r="AD1038">
        <v>-1.1010383005519999</v>
      </c>
      <c r="AE1038">
        <v>-47.561999999999998</v>
      </c>
      <c r="AF1038">
        <v>30.0655222084794</v>
      </c>
      <c r="AG1038">
        <v>-1.1010383005519999</v>
      </c>
      <c r="AH1038">
        <v>36.932038766842503</v>
      </c>
      <c r="AI1038">
        <v>91.324447292783603</v>
      </c>
      <c r="AJ1038">
        <v>50.851758276172603</v>
      </c>
      <c r="AK1038">
        <v>47.635316714423197</v>
      </c>
      <c r="AL1038">
        <v>79.265630452318007</v>
      </c>
      <c r="AM1038">
        <v>74.326103992782194</v>
      </c>
      <c r="AN1038">
        <v>0.99999992592736198</v>
      </c>
    </row>
    <row r="1039" spans="1:40" x14ac:dyDescent="0.25">
      <c r="A1039" t="str">
        <f>"20190312172632829"</f>
        <v>20190312172632829</v>
      </c>
      <c r="B1039" t="str">
        <f>"1552382792819334"</f>
        <v>1552382792819334</v>
      </c>
      <c r="C1039" t="s">
        <v>40</v>
      </c>
      <c r="D1039">
        <v>3.2963209999999998</v>
      </c>
      <c r="E1039">
        <v>0.67137029999999998</v>
      </c>
      <c r="F1039" t="s">
        <v>41</v>
      </c>
      <c r="G1039">
        <v>-192.8169</v>
      </c>
      <c r="H1039" s="1">
        <v>-4.6456650000000004E-6</v>
      </c>
      <c r="I1039">
        <v>309.17</v>
      </c>
      <c r="J1039">
        <v>-194.8527</v>
      </c>
      <c r="K1039">
        <v>1.1010719999999901</v>
      </c>
      <c r="L1039">
        <v>358.45150000000001</v>
      </c>
      <c r="M1039">
        <v>0.66607869999999902</v>
      </c>
      <c r="N1039">
        <v>0</v>
      </c>
      <c r="O1039">
        <v>-0.74572130000000003</v>
      </c>
      <c r="P1039">
        <v>0.43791629999999998</v>
      </c>
      <c r="Q1039">
        <v>0.17718139999999999</v>
      </c>
      <c r="R1039">
        <v>-0.88138320000000003</v>
      </c>
      <c r="S1039">
        <v>0.15112300000000001</v>
      </c>
      <c r="T1039">
        <v>-7.4835180000000001E-2</v>
      </c>
      <c r="U1039">
        <v>-3.3649900000000001</v>
      </c>
      <c r="V1039">
        <v>0.26479380000000002</v>
      </c>
      <c r="W1039">
        <v>0.18590699999999999</v>
      </c>
      <c r="X1039">
        <v>0.94621500000000003</v>
      </c>
      <c r="Y1039">
        <v>0.63200880000000004</v>
      </c>
      <c r="Z1039">
        <v>1.129756E-2</v>
      </c>
      <c r="AA1039">
        <v>0.77487890000000004</v>
      </c>
      <c r="AB1039">
        <v>26</v>
      </c>
      <c r="AC1039">
        <v>2.0357999999999898</v>
      </c>
      <c r="AD1039">
        <v>-1.1010766456650001</v>
      </c>
      <c r="AE1039">
        <v>-49.281500000000001</v>
      </c>
      <c r="AF1039">
        <v>31.295362708094299</v>
      </c>
      <c r="AG1039">
        <v>-1.1010766456650001</v>
      </c>
      <c r="AH1039">
        <v>38.091837296425403</v>
      </c>
      <c r="AI1039">
        <v>91.279470264493995</v>
      </c>
      <c r="AJ1039">
        <v>50.594274923280103</v>
      </c>
      <c r="AK1039">
        <v>49.311257998839899</v>
      </c>
      <c r="AL1039">
        <v>79.285982915207995</v>
      </c>
      <c r="AM1039">
        <v>74.365974292874697</v>
      </c>
      <c r="AN1039">
        <v>0.99999999769621895</v>
      </c>
    </row>
    <row r="1040" spans="1:40" x14ac:dyDescent="0.25">
      <c r="A1040" t="str">
        <f>"20190312172632851"</f>
        <v>20190312172632851</v>
      </c>
      <c r="B1040" t="str">
        <f>"1552382792839831"</f>
        <v>1552382792839831</v>
      </c>
      <c r="C1040" t="s">
        <v>40</v>
      </c>
      <c r="D1040">
        <v>3.320424</v>
      </c>
      <c r="E1040">
        <v>0.67228750000000004</v>
      </c>
      <c r="F1040" t="s">
        <v>41</v>
      </c>
      <c r="G1040">
        <v>-193.44730000000001</v>
      </c>
      <c r="H1040" s="1">
        <v>-4.3095619999999996E-6</v>
      </c>
      <c r="I1040">
        <v>307.8537</v>
      </c>
      <c r="J1040">
        <v>-194.68379999999999</v>
      </c>
      <c r="K1040">
        <v>1.101105</v>
      </c>
      <c r="L1040">
        <v>358.2407</v>
      </c>
      <c r="M1040">
        <v>0.65623199999999904</v>
      </c>
      <c r="N1040">
        <v>0</v>
      </c>
      <c r="O1040">
        <v>-0.75440119999999999</v>
      </c>
      <c r="P1040">
        <v>0.42709740000000002</v>
      </c>
      <c r="Q1040">
        <v>0.1774095</v>
      </c>
      <c r="R1040">
        <v>-0.88663049999999999</v>
      </c>
      <c r="S1040">
        <v>9.3658450000000004E-2</v>
      </c>
      <c r="T1040">
        <v>-7.3379520000000004E-2</v>
      </c>
      <c r="U1040">
        <v>-3.3720089999999998</v>
      </c>
      <c r="V1040">
        <v>0.26391209999999998</v>
      </c>
      <c r="W1040">
        <v>0.18617030000000001</v>
      </c>
      <c r="X1040">
        <v>0.94640959999999996</v>
      </c>
      <c r="Y1040">
        <v>0.63509110000000002</v>
      </c>
      <c r="Z1040">
        <v>1.129469E-2</v>
      </c>
      <c r="AA1040">
        <v>0.77235469999999995</v>
      </c>
      <c r="AB1040">
        <v>26</v>
      </c>
      <c r="AC1040">
        <v>1.23649999999997</v>
      </c>
      <c r="AD1040">
        <v>-1.1011093095619999</v>
      </c>
      <c r="AE1040">
        <v>-50.387</v>
      </c>
      <c r="AF1040">
        <v>32.1212450280482</v>
      </c>
      <c r="AG1040">
        <v>-1.1011093095619999</v>
      </c>
      <c r="AH1040">
        <v>38.809549991594601</v>
      </c>
      <c r="AI1040">
        <v>91.252108366850706</v>
      </c>
      <c r="AJ1040">
        <v>50.386686057349003</v>
      </c>
      <c r="AK1040">
        <v>50.3901577137202</v>
      </c>
      <c r="AL1040">
        <v>79.270629504213503</v>
      </c>
      <c r="AM1040">
        <v>74.418546835780901</v>
      </c>
      <c r="AN1040">
        <v>1.00000005405032</v>
      </c>
    </row>
    <row r="1041" spans="1:40" x14ac:dyDescent="0.25">
      <c r="A1041" t="str">
        <f>"20190312172632872"</f>
        <v>20190312172632872</v>
      </c>
      <c r="B1041" t="str">
        <f>"1552382792870087"</f>
        <v>1552382792870087</v>
      </c>
      <c r="C1041" t="s">
        <v>40</v>
      </c>
      <c r="D1041">
        <v>3.3380920000000001</v>
      </c>
      <c r="E1041">
        <v>0.67250030000000005</v>
      </c>
      <c r="F1041" t="s">
        <v>41</v>
      </c>
      <c r="G1041">
        <v>-193.97399999999999</v>
      </c>
      <c r="H1041" s="1">
        <v>-3.5118009999999998E-6</v>
      </c>
      <c r="I1041">
        <v>305.31040000000002</v>
      </c>
      <c r="J1041">
        <v>-194.53059999999999</v>
      </c>
      <c r="K1041">
        <v>1.1011359999999999</v>
      </c>
      <c r="L1041">
        <v>358.0444</v>
      </c>
      <c r="M1041">
        <v>0.64705009999999996</v>
      </c>
      <c r="N1041">
        <v>0</v>
      </c>
      <c r="O1041">
        <v>-0.76229119999999995</v>
      </c>
      <c r="P1041">
        <v>0.4175664</v>
      </c>
      <c r="Q1041">
        <v>0.17842920000000001</v>
      </c>
      <c r="R1041">
        <v>-0.89095559999999996</v>
      </c>
      <c r="S1041">
        <v>4.527283E-2</v>
      </c>
      <c r="T1041">
        <v>-7.0228579999999999E-2</v>
      </c>
      <c r="U1041">
        <v>-3.3758849999999998</v>
      </c>
      <c r="V1041">
        <v>0.26247700000000002</v>
      </c>
      <c r="W1041">
        <v>0.18723509999999999</v>
      </c>
      <c r="X1041">
        <v>0.94659859999999896</v>
      </c>
      <c r="Y1041">
        <v>0.63682879999999997</v>
      </c>
      <c r="Z1041">
        <v>1.1016069999999999E-2</v>
      </c>
      <c r="AA1041">
        <v>0.77092660000000002</v>
      </c>
      <c r="AB1041">
        <v>26</v>
      </c>
      <c r="AC1041">
        <v>0.556599999999974</v>
      </c>
      <c r="AD1041">
        <v>-1.1011395118009999</v>
      </c>
      <c r="AE1041">
        <v>-52.733999999999902</v>
      </c>
      <c r="AF1041">
        <v>33.686578064360702</v>
      </c>
      <c r="AG1041">
        <v>-1.1011395118009999</v>
      </c>
      <c r="AH1041">
        <v>40.545968805157798</v>
      </c>
      <c r="AI1041">
        <v>91.196674992689097</v>
      </c>
      <c r="AJ1041">
        <v>50.279372272250299</v>
      </c>
      <c r="AK1041">
        <v>52.725455296844501</v>
      </c>
      <c r="AL1041">
        <v>79.208528791351895</v>
      </c>
      <c r="AM1041">
        <v>74.502137239864993</v>
      </c>
      <c r="AN1041">
        <v>1.0000000338614801</v>
      </c>
    </row>
    <row r="1042" spans="1:40" x14ac:dyDescent="0.25">
      <c r="A1042" t="str">
        <f>"20190312172632894"</f>
        <v>20190312172632894</v>
      </c>
      <c r="B1042" t="str">
        <f>"1552382792889606"</f>
        <v>1552382792889606</v>
      </c>
      <c r="C1042" t="s">
        <v>40</v>
      </c>
      <c r="D1042">
        <v>3.3501539999999999</v>
      </c>
      <c r="E1042">
        <v>0.67228290000000002</v>
      </c>
      <c r="F1042" t="s">
        <v>41</v>
      </c>
      <c r="G1042">
        <v>-194.4083</v>
      </c>
      <c r="H1042" s="1">
        <v>-3.175456E-6</v>
      </c>
      <c r="I1042">
        <v>304.25700000000001</v>
      </c>
      <c r="J1042">
        <v>-194.375</v>
      </c>
      <c r="K1042">
        <v>1.101164</v>
      </c>
      <c r="L1042">
        <v>357.84010000000001</v>
      </c>
      <c r="M1042">
        <v>0.6374765</v>
      </c>
      <c r="N1042">
        <v>0</v>
      </c>
      <c r="O1042">
        <v>-0.77031519999999898</v>
      </c>
      <c r="P1042">
        <v>0.40676030000000002</v>
      </c>
      <c r="Q1042">
        <v>0.17943629999999999</v>
      </c>
      <c r="R1042">
        <v>-0.89573930000000002</v>
      </c>
      <c r="S1042">
        <v>7.6751709999999997E-3</v>
      </c>
      <c r="T1042">
        <v>-6.9143179999999999E-2</v>
      </c>
      <c r="U1042">
        <v>-3.3774410000000001</v>
      </c>
      <c r="V1042">
        <v>0.26198139999999998</v>
      </c>
      <c r="W1042">
        <v>0.18826309999999999</v>
      </c>
      <c r="X1042">
        <v>0.94653200000000004</v>
      </c>
      <c r="Y1042">
        <v>0.63578310000000005</v>
      </c>
      <c r="Z1042">
        <v>1.1086520000000001E-2</v>
      </c>
      <c r="AA1042">
        <v>0.77178819999999904</v>
      </c>
      <c r="AB1042">
        <v>26</v>
      </c>
      <c r="AC1042">
        <v>-3.3299999999996999E-2</v>
      </c>
      <c r="AD1042">
        <v>-1.101167175456</v>
      </c>
      <c r="AE1042">
        <v>-53.583100000000002</v>
      </c>
      <c r="AF1042">
        <v>34.173258267969402</v>
      </c>
      <c r="AG1042">
        <v>-1.101167175456</v>
      </c>
      <c r="AH1042">
        <v>41.242145082402601</v>
      </c>
      <c r="AI1042">
        <v>91.177796250651895</v>
      </c>
      <c r="AJ1042">
        <v>50.354840529871701</v>
      </c>
      <c r="AK1042">
        <v>53.571808638458201</v>
      </c>
      <c r="AL1042">
        <v>79.148562391358794</v>
      </c>
      <c r="AM1042">
        <v>74.528960589968904</v>
      </c>
      <c r="AN1042">
        <v>1.0000000378957801</v>
      </c>
    </row>
    <row r="1043" spans="1:40" x14ac:dyDescent="0.25">
      <c r="A1043" t="str">
        <f>"20190312172632917"</f>
        <v>20190312172632917</v>
      </c>
      <c r="B1043" t="str">
        <f>"1552382792910102"</f>
        <v>1552382792910102</v>
      </c>
      <c r="C1043" t="s">
        <v>40</v>
      </c>
      <c r="D1043">
        <v>3.3685260000000001</v>
      </c>
      <c r="E1043">
        <v>0.67193649999999905</v>
      </c>
      <c r="F1043" t="s">
        <v>41</v>
      </c>
      <c r="G1043">
        <v>-194.87379999999999</v>
      </c>
      <c r="H1043" s="1">
        <v>-3.1241089999999999E-6</v>
      </c>
      <c r="I1043">
        <v>303.84859999999998</v>
      </c>
      <c r="J1043">
        <v>-194.21029999999999</v>
      </c>
      <c r="K1043">
        <v>1.101189</v>
      </c>
      <c r="L1043">
        <v>357.61779999999999</v>
      </c>
      <c r="M1043">
        <v>0.62704769999999999</v>
      </c>
      <c r="N1043">
        <v>0</v>
      </c>
      <c r="O1043">
        <v>-0.77882810000000002</v>
      </c>
      <c r="P1043">
        <v>0.39510040000000002</v>
      </c>
      <c r="Q1043">
        <v>0.17991480000000001</v>
      </c>
      <c r="R1043">
        <v>-0.90084750000000002</v>
      </c>
      <c r="S1043">
        <v>-3.1204220000000001E-2</v>
      </c>
      <c r="T1043">
        <v>-6.887865E-2</v>
      </c>
      <c r="U1043">
        <v>-3.3771969999999998</v>
      </c>
      <c r="V1043">
        <v>0.26146039999999998</v>
      </c>
      <c r="W1043">
        <v>0.18876419999999999</v>
      </c>
      <c r="X1043">
        <v>0.94657619999999998</v>
      </c>
      <c r="Y1043">
        <v>0.63427489999999997</v>
      </c>
      <c r="Z1043">
        <v>1.1308459999999999E-2</v>
      </c>
      <c r="AA1043">
        <v>0.77302490000000001</v>
      </c>
      <c r="AB1043">
        <v>26</v>
      </c>
      <c r="AC1043">
        <v>-0.66349999999999898</v>
      </c>
      <c r="AD1043">
        <v>-1.1011921241089999</v>
      </c>
      <c r="AE1043">
        <v>-53.769199999999998</v>
      </c>
      <c r="AF1043">
        <v>34.222327902091202</v>
      </c>
      <c r="AG1043">
        <v>-1.1011921241089999</v>
      </c>
      <c r="AH1043">
        <v>41.448469819881701</v>
      </c>
      <c r="AI1043">
        <v>91.173654943328799</v>
      </c>
      <c r="AJ1043">
        <v>50.454888228485302</v>
      </c>
      <c r="AK1043">
        <v>53.762031225969302</v>
      </c>
      <c r="AL1043">
        <v>79.119326706131105</v>
      </c>
      <c r="AM1043">
        <v>74.558944630810302</v>
      </c>
      <c r="AN1043">
        <v>0.999999983188119</v>
      </c>
    </row>
    <row r="1044" spans="1:40" x14ac:dyDescent="0.25">
      <c r="A1044" t="str">
        <f>"20190312172632940"</f>
        <v>20190312172632940</v>
      </c>
      <c r="B1044" t="str">
        <f>"1552382792929625"</f>
        <v>1552382792929625</v>
      </c>
      <c r="C1044" t="s">
        <v>40</v>
      </c>
      <c r="D1044">
        <v>3.356004</v>
      </c>
      <c r="E1044">
        <v>0.67132150000000002</v>
      </c>
      <c r="F1044" t="s">
        <v>41</v>
      </c>
      <c r="G1044">
        <v>-195.3425</v>
      </c>
      <c r="H1044" s="1">
        <v>-3.5246180000000002E-6</v>
      </c>
      <c r="I1044">
        <v>304.55930000000001</v>
      </c>
      <c r="J1044">
        <v>-194.0504</v>
      </c>
      <c r="K1044">
        <v>1.101207</v>
      </c>
      <c r="L1044">
        <v>357.39580000000001</v>
      </c>
      <c r="M1044">
        <v>0.61661140000000003</v>
      </c>
      <c r="N1044">
        <v>0</v>
      </c>
      <c r="O1044">
        <v>-0.78711679999999995</v>
      </c>
      <c r="P1044">
        <v>0.38355099999999998</v>
      </c>
      <c r="Q1044">
        <v>0.17976679999999901</v>
      </c>
      <c r="R1044">
        <v>-0.90585490000000002</v>
      </c>
      <c r="S1044">
        <v>-7.2036740000000002E-2</v>
      </c>
      <c r="T1044">
        <v>-7.0062280000000005E-2</v>
      </c>
      <c r="U1044">
        <v>-3.3757929999999998</v>
      </c>
      <c r="V1044">
        <v>0.26094919999999999</v>
      </c>
      <c r="W1044">
        <v>0.18863830000000001</v>
      </c>
      <c r="X1044">
        <v>0.94674239999999998</v>
      </c>
      <c r="Y1044">
        <v>0.63332040000000001</v>
      </c>
      <c r="Z1044">
        <v>1.176369E-2</v>
      </c>
      <c r="AA1044">
        <v>0.7738003</v>
      </c>
      <c r="AB1044">
        <v>26</v>
      </c>
      <c r="AC1044">
        <v>-1.2921</v>
      </c>
      <c r="AD1044">
        <v>-1.101210524618</v>
      </c>
      <c r="AE1044">
        <v>-52.836500000000001</v>
      </c>
      <c r="AF1044">
        <v>33.586032100315002</v>
      </c>
      <c r="AG1044">
        <v>-1.101210524618</v>
      </c>
      <c r="AH1044">
        <v>40.778915527529001</v>
      </c>
      <c r="AI1044">
        <v>91.194138581713801</v>
      </c>
      <c r="AJ1044">
        <v>50.524697227231002</v>
      </c>
      <c r="AK1044">
        <v>52.840838074961198</v>
      </c>
      <c r="AL1044">
        <v>79.126672753886496</v>
      </c>
      <c r="AM1044">
        <v>74.590274856282207</v>
      </c>
      <c r="AN1044">
        <v>1.0000000325826399</v>
      </c>
    </row>
    <row r="1045" spans="1:40" x14ac:dyDescent="0.25">
      <c r="A1045" t="str">
        <f>"20190312172632961"</f>
        <v>20190312172632961</v>
      </c>
      <c r="B1045" t="str">
        <f>"1552382792950118"</f>
        <v>1552382792950118</v>
      </c>
      <c r="C1045" t="s">
        <v>40</v>
      </c>
      <c r="D1045">
        <v>3.377729</v>
      </c>
      <c r="E1045">
        <v>0.67060069999999905</v>
      </c>
      <c r="F1045" t="s">
        <v>41</v>
      </c>
      <c r="G1045">
        <v>-195.73009999999999</v>
      </c>
      <c r="H1045" s="1">
        <v>-4.1634569999999999E-6</v>
      </c>
      <c r="I1045">
        <v>306.23450000000003</v>
      </c>
      <c r="J1045">
        <v>-193.90600000000001</v>
      </c>
      <c r="K1045">
        <v>1.101226</v>
      </c>
      <c r="L1045">
        <v>357.18979999999999</v>
      </c>
      <c r="M1045">
        <v>0.60690180000000005</v>
      </c>
      <c r="N1045">
        <v>0</v>
      </c>
      <c r="O1045">
        <v>-0.79462719999999998</v>
      </c>
      <c r="P1045">
        <v>0.37353310000000001</v>
      </c>
      <c r="Q1045">
        <v>0.1800725</v>
      </c>
      <c r="R1045">
        <v>-0.90997079999999997</v>
      </c>
      <c r="S1045">
        <v>-0.11074829999999999</v>
      </c>
      <c r="T1045">
        <v>-7.2603109999999998E-2</v>
      </c>
      <c r="U1045">
        <v>-3.3730769999999999</v>
      </c>
      <c r="V1045">
        <v>0.25973239999999997</v>
      </c>
      <c r="W1045">
        <v>0.1889796</v>
      </c>
      <c r="X1045">
        <v>0.94700879999999998</v>
      </c>
      <c r="Y1045">
        <v>0.63270559999999998</v>
      </c>
      <c r="Z1045">
        <v>1.2438100000000001E-2</v>
      </c>
      <c r="AA1045">
        <v>0.77429250000000005</v>
      </c>
      <c r="AB1045">
        <v>26</v>
      </c>
      <c r="AC1045">
        <v>-1.82410000000001</v>
      </c>
      <c r="AD1045">
        <v>-1.1012301634569901</v>
      </c>
      <c r="AE1045">
        <v>-50.955299999999902</v>
      </c>
      <c r="AF1045">
        <v>32.363096726463098</v>
      </c>
      <c r="AG1045">
        <v>-1.1012301634569901</v>
      </c>
      <c r="AH1045">
        <v>39.369736974469099</v>
      </c>
      <c r="AI1045">
        <v>91.237850600342298</v>
      </c>
      <c r="AJ1045">
        <v>50.578776629464102</v>
      </c>
      <c r="AK1045">
        <v>50.976062294357298</v>
      </c>
      <c r="AL1045">
        <v>79.106758500333299</v>
      </c>
      <c r="AM1045">
        <v>74.662849624851603</v>
      </c>
      <c r="AN1045">
        <v>0.99999993805167797</v>
      </c>
    </row>
    <row r="1046" spans="1:40" x14ac:dyDescent="0.25">
      <c r="A1046" t="str">
        <f>"20190312172632985"</f>
        <v>20190312172632985</v>
      </c>
      <c r="B1046" t="str">
        <f>"1552382792979398"</f>
        <v>1552382792979398</v>
      </c>
      <c r="C1046" t="s">
        <v>40</v>
      </c>
      <c r="D1046">
        <v>3.4034710000000001</v>
      </c>
      <c r="E1046">
        <v>0.66888019999999904</v>
      </c>
      <c r="F1046" t="s">
        <v>41</v>
      </c>
      <c r="G1046">
        <v>-196.0744</v>
      </c>
      <c r="H1046" s="1">
        <v>-4.1850029999999996E-6</v>
      </c>
      <c r="I1046">
        <v>306.11829999999998</v>
      </c>
      <c r="J1046">
        <v>-193.75030000000001</v>
      </c>
      <c r="K1046">
        <v>1.1012420000000001</v>
      </c>
      <c r="L1046">
        <v>356.96179999999998</v>
      </c>
      <c r="M1046">
        <v>0.59610830000000004</v>
      </c>
      <c r="N1046">
        <v>0</v>
      </c>
      <c r="O1046">
        <v>-0.80275600000000003</v>
      </c>
      <c r="P1046">
        <v>0.36189909999999997</v>
      </c>
      <c r="Q1046">
        <v>0.18114469999999999</v>
      </c>
      <c r="R1046">
        <v>-0.91444800000000004</v>
      </c>
      <c r="S1046">
        <v>-0.14308170000000001</v>
      </c>
      <c r="T1046">
        <v>-7.2664259999999994E-2</v>
      </c>
      <c r="U1046">
        <v>-3.3699340000000002</v>
      </c>
      <c r="V1046">
        <v>0.25890340000000001</v>
      </c>
      <c r="W1046">
        <v>0.19007189999999999</v>
      </c>
      <c r="X1046">
        <v>0.94701729999999995</v>
      </c>
      <c r="Y1046">
        <v>0.62967850000000003</v>
      </c>
      <c r="Z1046">
        <v>1.2741890000000001E-2</v>
      </c>
      <c r="AA1046">
        <v>0.77675130000000003</v>
      </c>
      <c r="AB1046">
        <v>26</v>
      </c>
      <c r="AC1046">
        <v>-2.3240999999999801</v>
      </c>
      <c r="AD1046">
        <v>-1.101246185003</v>
      </c>
      <c r="AE1046">
        <v>-50.843499999999999</v>
      </c>
      <c r="AF1046">
        <v>32.162684925009501</v>
      </c>
      <c r="AG1046">
        <v>-1.101246185003</v>
      </c>
      <c r="AH1046">
        <v>39.415743648374097</v>
      </c>
      <c r="AI1046">
        <v>91.240091715516996</v>
      </c>
      <c r="AJ1046">
        <v>50.786045175408802</v>
      </c>
      <c r="AK1046">
        <v>50.884692119534002</v>
      </c>
      <c r="AL1046">
        <v>79.043020126929903</v>
      </c>
      <c r="AM1046">
        <v>74.709637992780102</v>
      </c>
      <c r="AN1046">
        <v>1.00000003210022</v>
      </c>
    </row>
    <row r="1047" spans="1:40" x14ac:dyDescent="0.25">
      <c r="A1047" t="str">
        <f>"20190312172633006"</f>
        <v>20190312172633006</v>
      </c>
      <c r="B1047" t="str">
        <f>"1552382792999894"</f>
        <v>1552382792999894</v>
      </c>
      <c r="C1047" t="s">
        <v>40</v>
      </c>
      <c r="D1047">
        <v>3.2234069999999999</v>
      </c>
      <c r="E1047">
        <v>0.64898449999999996</v>
      </c>
      <c r="F1047" t="s">
        <v>41</v>
      </c>
      <c r="G1047">
        <v>-196.27440000000001</v>
      </c>
      <c r="H1047" s="1">
        <v>-4.8390559999999996E-6</v>
      </c>
      <c r="I1047">
        <v>307.93599999999998</v>
      </c>
      <c r="J1047">
        <v>-193.6095</v>
      </c>
      <c r="K1047">
        <v>1.1012489999999999</v>
      </c>
      <c r="L1047">
        <v>356.74930000000001</v>
      </c>
      <c r="M1047">
        <v>0.58600869999999905</v>
      </c>
      <c r="N1047">
        <v>0</v>
      </c>
      <c r="O1047">
        <v>-0.81015819999999905</v>
      </c>
      <c r="P1047">
        <v>0.35060049999999998</v>
      </c>
      <c r="Q1047">
        <v>0.18258840000000001</v>
      </c>
      <c r="R1047">
        <v>-0.91855370000000003</v>
      </c>
      <c r="S1047">
        <v>-0.17320250000000001</v>
      </c>
      <c r="T1047">
        <v>-7.556736E-2</v>
      </c>
      <c r="U1047">
        <v>-3.3641359999999998</v>
      </c>
      <c r="V1047">
        <v>0.2585827</v>
      </c>
      <c r="W1047">
        <v>0.19151589999999999</v>
      </c>
      <c r="X1047">
        <v>0.94681389999999999</v>
      </c>
      <c r="Y1047">
        <v>0.62694039999999995</v>
      </c>
      <c r="Z1047">
        <v>1.354027E-2</v>
      </c>
      <c r="AA1047">
        <v>0.77894960000000002</v>
      </c>
      <c r="AB1047">
        <v>26</v>
      </c>
      <c r="AC1047">
        <v>-2.66490000000001</v>
      </c>
      <c r="AD1047">
        <v>-1.1012538390559901</v>
      </c>
      <c r="AE1047">
        <v>-48.813299999999998</v>
      </c>
      <c r="AF1047">
        <v>30.752057263846702</v>
      </c>
      <c r="AG1047">
        <v>-1.1012538390559901</v>
      </c>
      <c r="AH1047">
        <v>37.970083591640702</v>
      </c>
      <c r="AI1047">
        <v>91.291137429706396</v>
      </c>
      <c r="AJ1047">
        <v>50.995908417918301</v>
      </c>
      <c r="AK1047">
        <v>48.873602628956299</v>
      </c>
      <c r="AL1047">
        <v>78.958735899814698</v>
      </c>
      <c r="AM1047">
        <v>74.724565353948094</v>
      </c>
      <c r="AN1047">
        <v>0.99999995696265398</v>
      </c>
    </row>
    <row r="1048" spans="1:40" x14ac:dyDescent="0.25">
      <c r="A1048" t="str">
        <f>"20190312172633032"</f>
        <v>20190312172633032</v>
      </c>
      <c r="B1048" t="str">
        <f>"1552382793019414"</f>
        <v>1552382793019414</v>
      </c>
      <c r="C1048" t="s">
        <v>40</v>
      </c>
      <c r="D1048">
        <v>3.3443209999999999</v>
      </c>
      <c r="E1048">
        <v>0.64863119999999996</v>
      </c>
      <c r="F1048" t="s">
        <v>41</v>
      </c>
      <c r="G1048">
        <v>-194.18360000000001</v>
      </c>
      <c r="H1048" s="1">
        <v>-4.4603329999999997E-6</v>
      </c>
      <c r="I1048">
        <v>327.91300000000001</v>
      </c>
      <c r="J1048">
        <v>-193.45230000000001</v>
      </c>
      <c r="K1048">
        <v>1.1012420000000001</v>
      </c>
      <c r="L1048">
        <v>356.50470000000001</v>
      </c>
      <c r="M1048">
        <v>0.57431180000000004</v>
      </c>
      <c r="N1048">
        <v>0</v>
      </c>
      <c r="O1048">
        <v>-0.81849159999999999</v>
      </c>
      <c r="P1048">
        <v>0.33748820000000002</v>
      </c>
      <c r="Q1048">
        <v>0.18433840000000001</v>
      </c>
      <c r="R1048">
        <v>-0.92310429999999999</v>
      </c>
      <c r="S1048">
        <v>-6.6024780000000005E-2</v>
      </c>
      <c r="T1048">
        <v>-0.12665180000000001</v>
      </c>
      <c r="U1048">
        <v>-3.316376</v>
      </c>
      <c r="V1048">
        <v>0.25830950000000003</v>
      </c>
      <c r="W1048">
        <v>0.1932594</v>
      </c>
      <c r="X1048">
        <v>0.94653419999999999</v>
      </c>
      <c r="Y1048">
        <v>0.59050879999999994</v>
      </c>
      <c r="Z1048">
        <v>2.4073399999999998E-2</v>
      </c>
      <c r="AA1048">
        <v>0.80667199999999994</v>
      </c>
      <c r="AB1048">
        <v>26</v>
      </c>
      <c r="AC1048">
        <v>-0.73130000000000395</v>
      </c>
      <c r="AD1048">
        <v>-1.1012464603329899</v>
      </c>
      <c r="AE1048">
        <v>-28.591699999999999</v>
      </c>
      <c r="AF1048">
        <v>16.995937534842099</v>
      </c>
      <c r="AG1048">
        <v>-1.1012464603329899</v>
      </c>
      <c r="AH1048">
        <v>22.950775837068001</v>
      </c>
      <c r="AI1048">
        <v>92.208276399230897</v>
      </c>
      <c r="AJ1048">
        <v>53.478620349645396</v>
      </c>
      <c r="AK1048">
        <v>28.5799361087109</v>
      </c>
      <c r="AL1048">
        <v>78.856939424752696</v>
      </c>
      <c r="AM1048">
        <v>74.735652453945406</v>
      </c>
      <c r="AN1048">
        <v>0.99999999262412498</v>
      </c>
    </row>
    <row r="1049" spans="1:40" x14ac:dyDescent="0.25">
      <c r="A1049" t="str">
        <f>"20190312172633053"</f>
        <v>20190312172633053</v>
      </c>
      <c r="B1049" t="str">
        <f>"1552382793049670"</f>
        <v>1552382793049670</v>
      </c>
      <c r="C1049" t="s">
        <v>40</v>
      </c>
      <c r="D1049">
        <v>3.3409559999999998</v>
      </c>
      <c r="E1049">
        <v>0.64652759999999998</v>
      </c>
      <c r="F1049" t="s">
        <v>41</v>
      </c>
      <c r="G1049">
        <v>-194.4674</v>
      </c>
      <c r="H1049" s="1">
        <v>-3.8555120000000001E-6</v>
      </c>
      <c r="I1049">
        <v>325.98779999999999</v>
      </c>
      <c r="J1049">
        <v>-193.31819999999999</v>
      </c>
      <c r="K1049">
        <v>1.101227</v>
      </c>
      <c r="L1049">
        <v>356.28949999999998</v>
      </c>
      <c r="M1049">
        <v>0.56396169999999901</v>
      </c>
      <c r="N1049">
        <v>0</v>
      </c>
      <c r="O1049">
        <v>-0.82565689999999903</v>
      </c>
      <c r="P1049">
        <v>0.32619979999999998</v>
      </c>
      <c r="Q1049">
        <v>0.1860647</v>
      </c>
      <c r="R1049">
        <v>-0.92680850000000004</v>
      </c>
      <c r="S1049">
        <v>-0.11022949999999999</v>
      </c>
      <c r="T1049">
        <v>-0.1195914</v>
      </c>
      <c r="U1049">
        <v>-3.3140260000000001</v>
      </c>
      <c r="V1049">
        <v>0.25779439999999998</v>
      </c>
      <c r="W1049">
        <v>0.19498550000000001</v>
      </c>
      <c r="X1049">
        <v>0.94632059999999996</v>
      </c>
      <c r="Y1049">
        <v>0.5911187</v>
      </c>
      <c r="Z1049">
        <v>2.311264E-2</v>
      </c>
      <c r="AA1049">
        <v>0.80625340000000001</v>
      </c>
      <c r="AB1049">
        <v>26</v>
      </c>
      <c r="AC1049">
        <v>-1.1492</v>
      </c>
      <c r="AD1049">
        <v>-1.1012308555120001</v>
      </c>
      <c r="AE1049">
        <v>-30.301699999999901</v>
      </c>
      <c r="AF1049">
        <v>18.016228123709102</v>
      </c>
      <c r="AG1049">
        <v>-1.1012308555120001</v>
      </c>
      <c r="AH1049">
        <v>24.3414991051635</v>
      </c>
      <c r="AI1049">
        <v>92.082586183624201</v>
      </c>
      <c r="AJ1049">
        <v>53.4932073316564</v>
      </c>
      <c r="AK1049">
        <v>30.303560251055298</v>
      </c>
      <c r="AL1049">
        <v>78.7561233183349</v>
      </c>
      <c r="AM1049">
        <v>74.761396427071205</v>
      </c>
      <c r="AN1049">
        <v>0.99999998793298495</v>
      </c>
    </row>
    <row r="1050" spans="1:40" x14ac:dyDescent="0.25">
      <c r="A1050" t="str">
        <f>"20190312172633075"</f>
        <v>20190312172633075</v>
      </c>
      <c r="B1050" t="str">
        <f>"1552382793070167"</f>
        <v>1552382793070167</v>
      </c>
      <c r="C1050" t="s">
        <v>40</v>
      </c>
      <c r="D1050">
        <v>3.3453719999999998</v>
      </c>
      <c r="E1050">
        <v>0.64518989999999998</v>
      </c>
      <c r="F1050" t="s">
        <v>41</v>
      </c>
      <c r="G1050">
        <v>-194.62950000000001</v>
      </c>
      <c r="H1050" s="1">
        <v>-3.1271780000000001E-6</v>
      </c>
      <c r="I1050">
        <v>324.00729999999999</v>
      </c>
      <c r="J1050">
        <v>-193.18469999999999</v>
      </c>
      <c r="K1050">
        <v>1.1012139999999999</v>
      </c>
      <c r="L1050">
        <v>356.06880000000001</v>
      </c>
      <c r="M1050">
        <v>0.55328900000000003</v>
      </c>
      <c r="N1050">
        <v>0</v>
      </c>
      <c r="O1050">
        <v>-0.83284650000000005</v>
      </c>
      <c r="P1050">
        <v>0.31504729999999997</v>
      </c>
      <c r="Q1050">
        <v>0.18680649999999999</v>
      </c>
      <c r="R1050">
        <v>-0.93050980000000005</v>
      </c>
      <c r="S1050">
        <v>-0.1343231</v>
      </c>
      <c r="T1050">
        <v>-0.11280229999999999</v>
      </c>
      <c r="U1050">
        <v>-3.3067630000000001</v>
      </c>
      <c r="V1050">
        <v>0.25691969999999997</v>
      </c>
      <c r="W1050">
        <v>0.19574030000000001</v>
      </c>
      <c r="X1050">
        <v>0.94640270000000004</v>
      </c>
      <c r="Y1050">
        <v>0.58666099999999999</v>
      </c>
      <c r="Z1050">
        <v>2.2265210000000001E-2</v>
      </c>
      <c r="AA1050">
        <v>0.80952650000000004</v>
      </c>
      <c r="AB1050">
        <v>26</v>
      </c>
      <c r="AC1050">
        <v>-1.4448000000000101</v>
      </c>
      <c r="AD1050">
        <v>-1.101217127178</v>
      </c>
      <c r="AE1050">
        <v>-32.061500000000002</v>
      </c>
      <c r="AF1050">
        <v>18.922548337212199</v>
      </c>
      <c r="AG1050">
        <v>-1.101217127178</v>
      </c>
      <c r="AH1050">
        <v>25.875535005881101</v>
      </c>
      <c r="AI1050">
        <v>91.967485285724294</v>
      </c>
      <c r="AJ1050">
        <v>53.822327764866202</v>
      </c>
      <c r="AK1050">
        <v>32.0752057916377</v>
      </c>
      <c r="AL1050">
        <v>78.712027292767601</v>
      </c>
      <c r="AM1050">
        <v>74.811965543401101</v>
      </c>
      <c r="AN1050">
        <v>1.0000000339297299</v>
      </c>
    </row>
    <row r="1051" spans="1:40" x14ac:dyDescent="0.25">
      <c r="A1051" t="str">
        <f>"20190312172633098"</f>
        <v>20190312172633098</v>
      </c>
      <c r="B1051" t="str">
        <f>"1552382793089686"</f>
        <v>1552382793089686</v>
      </c>
      <c r="C1051" t="s">
        <v>40</v>
      </c>
      <c r="D1051">
        <v>3.3480989999999999</v>
      </c>
      <c r="E1051">
        <v>0.64442739999999998</v>
      </c>
      <c r="F1051" t="s">
        <v>41</v>
      </c>
      <c r="G1051">
        <v>-194.77070000000001</v>
      </c>
      <c r="H1051" s="1">
        <v>-3.1728369999999999E-6</v>
      </c>
      <c r="I1051">
        <v>324.02620000000002</v>
      </c>
      <c r="J1051">
        <v>-193.0496</v>
      </c>
      <c r="K1051">
        <v>1.101202</v>
      </c>
      <c r="L1051">
        <v>355.83890000000002</v>
      </c>
      <c r="M1051">
        <v>0.54210159999999996</v>
      </c>
      <c r="N1051">
        <v>0</v>
      </c>
      <c r="O1051">
        <v>-0.84017149999999996</v>
      </c>
      <c r="P1051">
        <v>0.30312060000000002</v>
      </c>
      <c r="Q1051">
        <v>0.18628040000000001</v>
      </c>
      <c r="R1051">
        <v>-0.93456819999999896</v>
      </c>
      <c r="S1051">
        <v>-0.16345209999999999</v>
      </c>
      <c r="T1051">
        <v>-0.1134878</v>
      </c>
      <c r="U1051">
        <v>-3.302216</v>
      </c>
      <c r="V1051">
        <v>0.2564186</v>
      </c>
      <c r="W1051">
        <v>0.19522310000000001</v>
      </c>
      <c r="X1051">
        <v>0.94664539999999997</v>
      </c>
      <c r="Y1051">
        <v>0.58299639999999997</v>
      </c>
      <c r="Z1051">
        <v>2.2844320000000001E-2</v>
      </c>
      <c r="AA1051">
        <v>0.81215349999999997</v>
      </c>
      <c r="AB1051">
        <v>26</v>
      </c>
      <c r="AC1051">
        <v>-1.7211000000000001</v>
      </c>
      <c r="AD1051">
        <v>-1.101205172837</v>
      </c>
      <c r="AE1051">
        <v>-31.8127</v>
      </c>
      <c r="AF1051">
        <v>18.671649309623</v>
      </c>
      <c r="AG1051">
        <v>-1.101205172837</v>
      </c>
      <c r="AH1051">
        <v>25.767394364228199</v>
      </c>
      <c r="AI1051">
        <v>91.981987787045199</v>
      </c>
      <c r="AJ1051">
        <v>54.072045189489799</v>
      </c>
      <c r="AK1051">
        <v>31.840253659415001</v>
      </c>
      <c r="AL1051">
        <v>78.742243637652805</v>
      </c>
      <c r="AM1051">
        <v>74.8439318071445</v>
      </c>
      <c r="AN1051">
        <v>1.00000003527036</v>
      </c>
    </row>
    <row r="1052" spans="1:40" x14ac:dyDescent="0.25">
      <c r="A1052" t="str">
        <f>"20190312172633120"</f>
        <v>20190312172633120</v>
      </c>
      <c r="B1052" t="str">
        <f>"1552382793110183"</f>
        <v>1552382793110183</v>
      </c>
      <c r="C1052" t="s">
        <v>40</v>
      </c>
      <c r="D1052">
        <v>3.3209909999999998</v>
      </c>
      <c r="E1052">
        <v>0.63818090000000005</v>
      </c>
      <c r="F1052" t="s">
        <v>41</v>
      </c>
      <c r="G1052">
        <v>-194.90350000000001</v>
      </c>
      <c r="H1052" s="1">
        <v>-3.6381150000000001E-6</v>
      </c>
      <c r="I1052">
        <v>325.1216</v>
      </c>
      <c r="J1052">
        <v>-192.916</v>
      </c>
      <c r="K1052">
        <v>1.1011979999999999</v>
      </c>
      <c r="L1052">
        <v>355.60410000000002</v>
      </c>
      <c r="M1052">
        <v>0.53061709999999995</v>
      </c>
      <c r="N1052">
        <v>0</v>
      </c>
      <c r="O1052">
        <v>-0.84747119999999998</v>
      </c>
      <c r="P1052">
        <v>0.29102850000000002</v>
      </c>
      <c r="Q1052">
        <v>0.18573290000000001</v>
      </c>
      <c r="R1052">
        <v>-0.93851249999999997</v>
      </c>
      <c r="S1052">
        <v>-0.1990662</v>
      </c>
      <c r="T1052">
        <v>-0.11824129999999999</v>
      </c>
      <c r="U1052">
        <v>-3.2982480000000001</v>
      </c>
      <c r="V1052">
        <v>0.2558067</v>
      </c>
      <c r="W1052">
        <v>0.1946899</v>
      </c>
      <c r="X1052">
        <v>0.94692069999999995</v>
      </c>
      <c r="Y1052">
        <v>0.58072449999999998</v>
      </c>
      <c r="Z1052">
        <v>2.4236890000000001E-2</v>
      </c>
      <c r="AA1052">
        <v>0.81373930000000005</v>
      </c>
      <c r="AB1052">
        <v>26</v>
      </c>
      <c r="AC1052">
        <v>-1.98750000000001</v>
      </c>
      <c r="AD1052">
        <v>-1.1012016381149901</v>
      </c>
      <c r="AE1052">
        <v>-30.482500000000002</v>
      </c>
      <c r="AF1052">
        <v>17.837829867843499</v>
      </c>
      <c r="AG1052">
        <v>-1.1012016381149901</v>
      </c>
      <c r="AH1052">
        <v>24.749226603668301</v>
      </c>
      <c r="AI1052">
        <v>92.067251054993704</v>
      </c>
      <c r="AJ1052">
        <v>54.218089017760597</v>
      </c>
      <c r="AK1052">
        <v>30.5274472716216</v>
      </c>
      <c r="AL1052">
        <v>78.773391222913403</v>
      </c>
      <c r="AM1052">
        <v>74.882636229180207</v>
      </c>
      <c r="AN1052">
        <v>1.00000001850769</v>
      </c>
    </row>
    <row r="1053" spans="1:40" x14ac:dyDescent="0.25">
      <c r="A1053" t="str">
        <f>"20190312172633142"</f>
        <v>20190312172633142</v>
      </c>
      <c r="B1053" t="str">
        <f>"1552382793139462"</f>
        <v>1552382793139462</v>
      </c>
      <c r="C1053" t="s">
        <v>40</v>
      </c>
      <c r="D1053">
        <v>3.3466269999999998</v>
      </c>
      <c r="E1053">
        <v>0.6330884</v>
      </c>
      <c r="F1053" t="s">
        <v>41</v>
      </c>
      <c r="G1053">
        <v>-194.3545</v>
      </c>
      <c r="H1053" s="1">
        <v>-1.840578E-6</v>
      </c>
      <c r="I1053">
        <v>331.17869999999999</v>
      </c>
      <c r="J1053">
        <v>-192.79339999999999</v>
      </c>
      <c r="K1053">
        <v>1.1011930000000001</v>
      </c>
      <c r="L1053">
        <v>355.38189999999997</v>
      </c>
      <c r="M1053">
        <v>0.51969579999999904</v>
      </c>
      <c r="N1053">
        <v>0</v>
      </c>
      <c r="O1053">
        <v>-0.85421199999999997</v>
      </c>
      <c r="P1053">
        <v>0.27942600000000001</v>
      </c>
      <c r="Q1053">
        <v>0.18577959999999999</v>
      </c>
      <c r="R1053">
        <v>-0.94202319999999995</v>
      </c>
      <c r="S1053">
        <v>-0.19352720000000001</v>
      </c>
      <c r="T1053">
        <v>-0.14814079999999999</v>
      </c>
      <c r="U1053">
        <v>-3.2858580000000002</v>
      </c>
      <c r="V1053">
        <v>0.2553337</v>
      </c>
      <c r="W1053">
        <v>0.19474929999999999</v>
      </c>
      <c r="X1053">
        <v>0.94703610000000005</v>
      </c>
      <c r="Y1053">
        <v>0.56900530000000005</v>
      </c>
      <c r="Z1053">
        <v>3.111678E-2</v>
      </c>
      <c r="AA1053">
        <v>0.8217449</v>
      </c>
      <c r="AB1053">
        <v>26</v>
      </c>
      <c r="AC1053">
        <v>-1.5611000000000099</v>
      </c>
      <c r="AD1053">
        <v>-1.1011948405779901</v>
      </c>
      <c r="AE1053">
        <v>-24.203199999999899</v>
      </c>
      <c r="AF1053">
        <v>13.8848451055986</v>
      </c>
      <c r="AG1053">
        <v>-1.1011948405779901</v>
      </c>
      <c r="AH1053">
        <v>19.8248636458875</v>
      </c>
      <c r="AI1053">
        <v>92.604998520503997</v>
      </c>
      <c r="AJ1053">
        <v>54.993550183929798</v>
      </c>
      <c r="AK1053">
        <v>24.2286353776149</v>
      </c>
      <c r="AL1053">
        <v>78.769921016831404</v>
      </c>
      <c r="AM1053">
        <v>74.911068025911007</v>
      </c>
      <c r="AN1053">
        <v>0.99999998145469404</v>
      </c>
    </row>
    <row r="1054" spans="1:40" x14ac:dyDescent="0.25">
      <c r="A1054" t="str">
        <f>"20190312172633164"</f>
        <v>20190312172633164</v>
      </c>
      <c r="B1054" t="str">
        <f>"1552382793159958"</f>
        <v>1552382793159958</v>
      </c>
      <c r="C1054" t="s">
        <v>40</v>
      </c>
      <c r="D1054">
        <v>3.3383940000000001</v>
      </c>
      <c r="E1054">
        <v>0.63186589999999998</v>
      </c>
      <c r="F1054" t="s">
        <v>41</v>
      </c>
      <c r="G1054">
        <v>-194.25700000000001</v>
      </c>
      <c r="H1054" s="1">
        <v>-1.6181499999999999E-6</v>
      </c>
      <c r="I1054">
        <v>330.72070000000002</v>
      </c>
      <c r="J1054">
        <v>-192.67349999999999</v>
      </c>
      <c r="K1054">
        <v>1.1011949999999999</v>
      </c>
      <c r="L1054">
        <v>355.15780000000001</v>
      </c>
      <c r="M1054">
        <v>0.50864100000000001</v>
      </c>
      <c r="N1054">
        <v>0</v>
      </c>
      <c r="O1054">
        <v>-0.86084050000000001</v>
      </c>
      <c r="P1054">
        <v>0.268229299999999</v>
      </c>
      <c r="Q1054">
        <v>0.18543850000000001</v>
      </c>
      <c r="R1054">
        <v>-0.94533909999999999</v>
      </c>
      <c r="S1054">
        <v>-0.19413759999999999</v>
      </c>
      <c r="T1054">
        <v>-0.1460612</v>
      </c>
      <c r="U1054">
        <v>-3.2710270000000001</v>
      </c>
      <c r="V1054">
        <v>0.25438519999999998</v>
      </c>
      <c r="W1054">
        <v>0.19443730000000001</v>
      </c>
      <c r="X1054">
        <v>0.94735539999999996</v>
      </c>
      <c r="Y1054">
        <v>0.55873640000000002</v>
      </c>
      <c r="Z1054">
        <v>3.1421869999999998E-2</v>
      </c>
      <c r="AA1054">
        <v>0.82874989999999904</v>
      </c>
      <c r="AB1054">
        <v>26</v>
      </c>
      <c r="AC1054">
        <v>-1.5835000000000099</v>
      </c>
      <c r="AD1054">
        <v>-1.1011966181499999</v>
      </c>
      <c r="AE1054">
        <v>-24.437099999999901</v>
      </c>
      <c r="AF1054">
        <v>13.7666552570718</v>
      </c>
      <c r="AG1054">
        <v>-1.1011966181499999</v>
      </c>
      <c r="AH1054">
        <v>20.192587755482599</v>
      </c>
      <c r="AI1054">
        <v>92.579951947965796</v>
      </c>
      <c r="AJ1054">
        <v>55.715095347562297</v>
      </c>
      <c r="AK1054">
        <v>24.4637288903747</v>
      </c>
      <c r="AL1054">
        <v>78.788145595549807</v>
      </c>
      <c r="AM1054">
        <v>74.969415387629695</v>
      </c>
      <c r="AN1054">
        <v>0.99999997375974403</v>
      </c>
    </row>
    <row r="1055" spans="1:40" x14ac:dyDescent="0.25">
      <c r="A1055" t="str">
        <f>"20190312172633186"</f>
        <v>20190312172633186</v>
      </c>
      <c r="B1055" t="str">
        <f>"1552382793179479"</f>
        <v>1552382793179479</v>
      </c>
      <c r="C1055" t="s">
        <v>40</v>
      </c>
      <c r="D1055">
        <v>3.339483</v>
      </c>
      <c r="E1055">
        <v>0.62541380000000002</v>
      </c>
      <c r="F1055" t="s">
        <v>41</v>
      </c>
      <c r="G1055">
        <v>-194.2972</v>
      </c>
      <c r="H1055" s="1">
        <v>-1.9337990000000002E-6</v>
      </c>
      <c r="I1055">
        <v>331.4316</v>
      </c>
      <c r="J1055">
        <v>-192.5557</v>
      </c>
      <c r="K1055">
        <v>1.1012029999999999</v>
      </c>
      <c r="L1055">
        <v>354.93040000000002</v>
      </c>
      <c r="M1055">
        <v>0.49738329999999997</v>
      </c>
      <c r="N1055">
        <v>0</v>
      </c>
      <c r="O1055">
        <v>-0.86739339999999998</v>
      </c>
      <c r="P1055">
        <v>0.25692749999999998</v>
      </c>
      <c r="Q1055">
        <v>0.1853969</v>
      </c>
      <c r="R1055">
        <v>-0.94848109999999997</v>
      </c>
      <c r="S1055">
        <v>-0.2235413</v>
      </c>
      <c r="T1055">
        <v>-0.151610299999999</v>
      </c>
      <c r="U1055">
        <v>-3.2665709999999999</v>
      </c>
      <c r="V1055">
        <v>0.2533475</v>
      </c>
      <c r="W1055">
        <v>0.19442889999999999</v>
      </c>
      <c r="X1055">
        <v>0.94763520000000001</v>
      </c>
      <c r="Y1055">
        <v>0.55541850000000004</v>
      </c>
      <c r="Z1055">
        <v>3.3151180000000002E-2</v>
      </c>
      <c r="AA1055">
        <v>0.83090989999999998</v>
      </c>
      <c r="AB1055">
        <v>26</v>
      </c>
      <c r="AC1055">
        <v>-1.7415</v>
      </c>
      <c r="AD1055">
        <v>-1.101204933799</v>
      </c>
      <c r="AE1055">
        <v>-23.498799999999999</v>
      </c>
      <c r="AF1055">
        <v>13.171283796270201</v>
      </c>
      <c r="AG1055">
        <v>-1.101204933799</v>
      </c>
      <c r="AH1055">
        <v>19.476301617762999</v>
      </c>
      <c r="AI1055">
        <v>92.681550342970695</v>
      </c>
      <c r="AJ1055">
        <v>55.930598723299497</v>
      </c>
      <c r="AK1055">
        <v>23.537665429141299</v>
      </c>
      <c r="AL1055">
        <v>78.788636684790902</v>
      </c>
      <c r="AM1055">
        <v>75.032192586755798</v>
      </c>
      <c r="AN1055">
        <v>1.00000001259525</v>
      </c>
    </row>
    <row r="1056" spans="1:40" x14ac:dyDescent="0.25">
      <c r="A1056" t="str">
        <f>"20190312172633209"</f>
        <v>20190312172633209</v>
      </c>
      <c r="B1056" t="str">
        <f>"1552382793199974"</f>
        <v>1552382793199974</v>
      </c>
      <c r="C1056" t="s">
        <v>40</v>
      </c>
      <c r="D1056">
        <v>3.3665519999999902</v>
      </c>
      <c r="E1056">
        <v>0.62471580000000004</v>
      </c>
      <c r="F1056" t="s">
        <v>41</v>
      </c>
      <c r="G1056">
        <v>-194.0044</v>
      </c>
      <c r="H1056" s="1">
        <v>-2.4085069999999999E-6</v>
      </c>
      <c r="I1056">
        <v>332.71980000000002</v>
      </c>
      <c r="J1056">
        <v>-192.43450000000001</v>
      </c>
      <c r="K1056">
        <v>1.10121</v>
      </c>
      <c r="L1056">
        <v>354.6884</v>
      </c>
      <c r="M1056">
        <v>0.48536790000000002</v>
      </c>
      <c r="N1056">
        <v>0</v>
      </c>
      <c r="O1056">
        <v>-0.8741738</v>
      </c>
      <c r="P1056">
        <v>0.24498239999999999</v>
      </c>
      <c r="Q1056">
        <v>0.1849779</v>
      </c>
      <c r="R1056">
        <v>-0.95171799999999995</v>
      </c>
      <c r="S1056">
        <v>-0.21211240000000001</v>
      </c>
      <c r="T1056">
        <v>-0.16123199999999999</v>
      </c>
      <c r="U1056">
        <v>-3.2519529999999999</v>
      </c>
      <c r="V1056">
        <v>0.2522084</v>
      </c>
      <c r="W1056">
        <v>0.1940482</v>
      </c>
      <c r="X1056">
        <v>0.948017</v>
      </c>
      <c r="Y1056">
        <v>0.54120330000000005</v>
      </c>
      <c r="Z1056">
        <v>3.6153200000000003E-2</v>
      </c>
      <c r="AA1056">
        <v>0.84011420000000003</v>
      </c>
      <c r="AB1056">
        <v>26</v>
      </c>
      <c r="AC1056">
        <v>-1.5698999999999901</v>
      </c>
      <c r="AD1056">
        <v>-1.1012124085070001</v>
      </c>
      <c r="AE1056">
        <v>-21.968599999999899</v>
      </c>
      <c r="AF1056">
        <v>12.006636588220299</v>
      </c>
      <c r="AG1056">
        <v>-1.1012124085070001</v>
      </c>
      <c r="AH1056">
        <v>18.3985971410311</v>
      </c>
      <c r="AI1056">
        <v>92.869500433698093</v>
      </c>
      <c r="AJ1056">
        <v>56.872162227786603</v>
      </c>
      <c r="AK1056">
        <v>21.997280915790402</v>
      </c>
      <c r="AL1056">
        <v>78.810872619920403</v>
      </c>
      <c r="AM1056">
        <v>75.102224940244199</v>
      </c>
      <c r="AN1056">
        <v>1.0000000066214001</v>
      </c>
    </row>
    <row r="1057" spans="1:40" x14ac:dyDescent="0.25">
      <c r="A1057" t="str">
        <f>"20190312172633233"</f>
        <v>20190312172633233</v>
      </c>
      <c r="B1057" t="str">
        <f>"1552382793230230"</f>
        <v>1552382793230230</v>
      </c>
      <c r="C1057" t="s">
        <v>40</v>
      </c>
      <c r="D1057">
        <v>3.3580510000000001</v>
      </c>
      <c r="E1057">
        <v>0.61773429999999996</v>
      </c>
      <c r="F1057" t="s">
        <v>41</v>
      </c>
      <c r="G1057">
        <v>-194.0566</v>
      </c>
      <c r="H1057" s="1">
        <v>-2.7174320000000001E-6</v>
      </c>
      <c r="I1057">
        <v>333.40750000000003</v>
      </c>
      <c r="J1057">
        <v>-192.31479999999999</v>
      </c>
      <c r="K1057">
        <v>1.1012249999999999</v>
      </c>
      <c r="L1057">
        <v>354.44029999999998</v>
      </c>
      <c r="M1057">
        <v>0.47301749999999998</v>
      </c>
      <c r="N1057">
        <v>0</v>
      </c>
      <c r="O1057">
        <v>-0.88091779999999997</v>
      </c>
      <c r="P1057">
        <v>0.2327099</v>
      </c>
      <c r="Q1057">
        <v>0.18510499999999999</v>
      </c>
      <c r="R1057">
        <v>-0.95476839999999996</v>
      </c>
      <c r="S1057">
        <v>-0.2476196</v>
      </c>
      <c r="T1057">
        <v>-0.168103799999999</v>
      </c>
      <c r="U1057">
        <v>-3.248596</v>
      </c>
      <c r="V1057">
        <v>0.25105379999999999</v>
      </c>
      <c r="W1057">
        <v>0.1942123</v>
      </c>
      <c r="X1057">
        <v>0.94828979999999996</v>
      </c>
      <c r="Y1057">
        <v>0.53855129999999996</v>
      </c>
      <c r="Z1057">
        <v>3.8276209999999998E-2</v>
      </c>
      <c r="AA1057">
        <v>0.84172289999999905</v>
      </c>
      <c r="AB1057">
        <v>25</v>
      </c>
      <c r="AC1057">
        <v>-1.74180000000001</v>
      </c>
      <c r="AD1057">
        <v>-1.101227717432</v>
      </c>
      <c r="AE1057">
        <v>-21.032799999999899</v>
      </c>
      <c r="AF1057">
        <v>11.453449690812</v>
      </c>
      <c r="AG1057">
        <v>-1.101227717432</v>
      </c>
      <c r="AH1057">
        <v>17.658298268689599</v>
      </c>
      <c r="AI1057">
        <v>92.995046339335005</v>
      </c>
      <c r="AJ1057">
        <v>57.031924415738203</v>
      </c>
      <c r="AK1057">
        <v>21.076283117561601</v>
      </c>
      <c r="AL1057">
        <v>78.801287813622807</v>
      </c>
      <c r="AM1057">
        <v>75.171492335878497</v>
      </c>
      <c r="AN1057">
        <v>0.99999998637488496</v>
      </c>
    </row>
    <row r="1058" spans="1:40" x14ac:dyDescent="0.25">
      <c r="A1058" t="str">
        <f>"20190312172633256"</f>
        <v>20190312172633256</v>
      </c>
      <c r="B1058" t="str">
        <f>"1552382793249751"</f>
        <v>1552382793249751</v>
      </c>
      <c r="C1058" t="s">
        <v>40</v>
      </c>
      <c r="D1058">
        <v>3.3357990000000002</v>
      </c>
      <c r="E1058">
        <v>0.61775839999999904</v>
      </c>
      <c r="F1058" t="s">
        <v>41</v>
      </c>
      <c r="G1058">
        <v>-193.77940000000001</v>
      </c>
      <c r="H1058" s="1">
        <v>-3.0071069999999898E-6</v>
      </c>
      <c r="I1058">
        <v>334.25459999999998</v>
      </c>
      <c r="J1058">
        <v>-192.203</v>
      </c>
      <c r="K1058">
        <v>1.101234</v>
      </c>
      <c r="L1058">
        <v>354.20030000000003</v>
      </c>
      <c r="M1058">
        <v>0.46103490000000003</v>
      </c>
      <c r="N1058">
        <v>0</v>
      </c>
      <c r="O1058">
        <v>-0.88724780000000003</v>
      </c>
      <c r="P1058">
        <v>0.2208743</v>
      </c>
      <c r="Q1058">
        <v>0.18537410000000001</v>
      </c>
      <c r="R1058">
        <v>-0.95752329999999997</v>
      </c>
      <c r="S1058">
        <v>-0.2346191</v>
      </c>
      <c r="T1058">
        <v>-0.17640629999999999</v>
      </c>
      <c r="U1058">
        <v>-3.2335509999999998</v>
      </c>
      <c r="V1058">
        <v>0.2499121</v>
      </c>
      <c r="W1058">
        <v>0.19451779999999999</v>
      </c>
      <c r="X1058">
        <v>0.94852879999999995</v>
      </c>
      <c r="Y1058">
        <v>0.52397510000000003</v>
      </c>
      <c r="Z1058">
        <v>4.1126269999999999E-2</v>
      </c>
      <c r="AA1058">
        <v>0.85074019999999995</v>
      </c>
      <c r="AB1058">
        <v>25</v>
      </c>
      <c r="AC1058">
        <v>-1.5764</v>
      </c>
      <c r="AD1058">
        <v>-1.1012370071069999</v>
      </c>
      <c r="AE1058">
        <v>-19.945699999999999</v>
      </c>
      <c r="AF1058">
        <v>10.5635815821622</v>
      </c>
      <c r="AG1058">
        <v>-1.1012370071069999</v>
      </c>
      <c r="AH1058">
        <v>16.920764193306098</v>
      </c>
      <c r="AI1058">
        <v>93.159912089084898</v>
      </c>
      <c r="AJ1058">
        <v>58.023592376322398</v>
      </c>
      <c r="AK1058">
        <v>19.977843719337901</v>
      </c>
      <c r="AL1058">
        <v>78.783444469037207</v>
      </c>
      <c r="AM1058">
        <v>75.239532602770595</v>
      </c>
      <c r="AN1058">
        <v>1.00000005833634</v>
      </c>
    </row>
    <row r="1059" spans="1:40" x14ac:dyDescent="0.25">
      <c r="A1059" t="str">
        <f>"20190312172633277"</f>
        <v>20190312172633277</v>
      </c>
      <c r="B1059" t="str">
        <f>"1552382793270246"</f>
        <v>1552382793270246</v>
      </c>
      <c r="C1059" t="s">
        <v>40</v>
      </c>
      <c r="D1059">
        <v>3.3628149999999999</v>
      </c>
      <c r="E1059">
        <v>0.6130736</v>
      </c>
      <c r="F1059" t="s">
        <v>41</v>
      </c>
      <c r="G1059">
        <v>-193.93780000000001</v>
      </c>
      <c r="H1059" s="1">
        <v>-2.8390019999999999E-6</v>
      </c>
      <c r="I1059">
        <v>333.76459999999997</v>
      </c>
      <c r="J1059">
        <v>-192.10210000000001</v>
      </c>
      <c r="K1059">
        <v>1.10124</v>
      </c>
      <c r="L1059">
        <v>353.976</v>
      </c>
      <c r="M1059">
        <v>0.44980959999999998</v>
      </c>
      <c r="N1059">
        <v>0</v>
      </c>
      <c r="O1059">
        <v>-0.89299110000000004</v>
      </c>
      <c r="P1059">
        <v>0.21008019999999999</v>
      </c>
      <c r="Q1059">
        <v>0.18602630000000001</v>
      </c>
      <c r="R1059">
        <v>-0.95982330000000005</v>
      </c>
      <c r="S1059">
        <v>-0.27420040000000001</v>
      </c>
      <c r="T1059">
        <v>-0.1740582</v>
      </c>
      <c r="U1059">
        <v>-3.2300110000000002</v>
      </c>
      <c r="V1059">
        <v>0.24857879999999999</v>
      </c>
      <c r="W1059">
        <v>0.19520850000000001</v>
      </c>
      <c r="X1059">
        <v>0.9487371</v>
      </c>
      <c r="Y1059">
        <v>0.52366629999999903</v>
      </c>
      <c r="Z1059">
        <v>4.1068390000000003E-2</v>
      </c>
      <c r="AA1059">
        <v>0.85093299999999905</v>
      </c>
      <c r="AB1059">
        <v>25</v>
      </c>
      <c r="AC1059">
        <v>-1.8357000000000001</v>
      </c>
      <c r="AD1059">
        <v>-1.1012428390019999</v>
      </c>
      <c r="AE1059">
        <v>-20.211400000000001</v>
      </c>
      <c r="AF1059">
        <v>10.7003172041652</v>
      </c>
      <c r="AG1059">
        <v>-1.1012428390019999</v>
      </c>
      <c r="AH1059">
        <v>17.17436739008</v>
      </c>
      <c r="AI1059">
        <v>93.1151148218364</v>
      </c>
      <c r="AJ1059">
        <v>58.075444371398902</v>
      </c>
      <c r="AK1059">
        <v>20.264955448005601</v>
      </c>
      <c r="AL1059">
        <v>78.743095383809603</v>
      </c>
      <c r="AM1059">
        <v>75.317953487112604</v>
      </c>
      <c r="AN1059">
        <v>0.99999993159904699</v>
      </c>
    </row>
    <row r="1060" spans="1:40" x14ac:dyDescent="0.25">
      <c r="A1060" t="str">
        <f>"20190312172633299"</f>
        <v>20190312172633299</v>
      </c>
      <c r="B1060" t="str">
        <f>"1552382793289766"</f>
        <v>1552382793289766</v>
      </c>
      <c r="C1060" t="s">
        <v>40</v>
      </c>
      <c r="D1060">
        <v>3.3220339999999902</v>
      </c>
      <c r="E1060">
        <v>0.61179479999999997</v>
      </c>
      <c r="F1060" t="s">
        <v>41</v>
      </c>
      <c r="G1060">
        <v>-193.83019999999999</v>
      </c>
      <c r="H1060" s="1">
        <v>-2.7353680000000001E-6</v>
      </c>
      <c r="I1060">
        <v>333.58969999999999</v>
      </c>
      <c r="J1060">
        <v>-192.00040000000001</v>
      </c>
      <c r="K1060">
        <v>1.1012470000000001</v>
      </c>
      <c r="L1060">
        <v>353.74180000000001</v>
      </c>
      <c r="M1060">
        <v>0.43805630000000001</v>
      </c>
      <c r="N1060">
        <v>0</v>
      </c>
      <c r="O1060">
        <v>-0.89881499999999903</v>
      </c>
      <c r="P1060">
        <v>0.19886319999999999</v>
      </c>
      <c r="Q1060">
        <v>0.18659100000000001</v>
      </c>
      <c r="R1060">
        <v>-0.96210059999999997</v>
      </c>
      <c r="S1060">
        <v>-0.27287289999999997</v>
      </c>
      <c r="T1060">
        <v>-0.1738864</v>
      </c>
      <c r="U1060">
        <v>-3.2189939999999999</v>
      </c>
      <c r="V1060">
        <v>0.24716299999999999</v>
      </c>
      <c r="W1060">
        <v>0.19581280000000001</v>
      </c>
      <c r="X1060">
        <v>0.94898249999999995</v>
      </c>
      <c r="Y1060">
        <v>0.51234360000000001</v>
      </c>
      <c r="Z1060">
        <v>4.1827950000000003E-2</v>
      </c>
      <c r="AA1060">
        <v>0.85776129999999995</v>
      </c>
      <c r="AB1060">
        <v>25</v>
      </c>
      <c r="AC1060">
        <v>-1.8297999999999699</v>
      </c>
      <c r="AD1060">
        <v>-1.101249735368</v>
      </c>
      <c r="AE1060">
        <v>-20.152100000000001</v>
      </c>
      <c r="AF1060">
        <v>10.442723993474999</v>
      </c>
      <c r="AG1060">
        <v>-1.101249735368</v>
      </c>
      <c r="AH1060">
        <v>17.262388296485199</v>
      </c>
      <c r="AI1060">
        <v>93.124344094307503</v>
      </c>
      <c r="AJ1060">
        <v>58.828542468946303</v>
      </c>
      <c r="AK1060">
        <v>20.2052786440122</v>
      </c>
      <c r="AL1060">
        <v>78.707790912425693</v>
      </c>
      <c r="AM1060">
        <v>75.4016072089575</v>
      </c>
      <c r="AN1060">
        <v>0.99999999325954403</v>
      </c>
    </row>
    <row r="1061" spans="1:40" x14ac:dyDescent="0.25">
      <c r="A1061" t="str">
        <f>"20190312172633321"</f>
        <v>20190312172633321</v>
      </c>
      <c r="B1061" t="str">
        <f>"1552382793309286"</f>
        <v>1552382793309286</v>
      </c>
      <c r="C1061" t="s">
        <v>40</v>
      </c>
      <c r="D1061">
        <v>3.3697539999999999</v>
      </c>
      <c r="E1061">
        <v>0.61018109999999903</v>
      </c>
      <c r="F1061" t="s">
        <v>41</v>
      </c>
      <c r="G1061">
        <v>-193.84270000000001</v>
      </c>
      <c r="H1061" s="1">
        <v>-2.9105100000000002E-6</v>
      </c>
      <c r="I1061">
        <v>333.99020000000002</v>
      </c>
      <c r="J1061">
        <v>-191.89879999999999</v>
      </c>
      <c r="K1061">
        <v>1.1012550000000001</v>
      </c>
      <c r="L1061">
        <v>353.49930000000001</v>
      </c>
      <c r="M1061">
        <v>0.42584670000000002</v>
      </c>
      <c r="N1061">
        <v>0</v>
      </c>
      <c r="O1061">
        <v>-0.90466360000000001</v>
      </c>
      <c r="P1061">
        <v>0.18785109999999999</v>
      </c>
      <c r="Q1061">
        <v>0.18694450000000001</v>
      </c>
      <c r="R1061">
        <v>-0.96424259999999995</v>
      </c>
      <c r="S1061">
        <v>-0.29988100000000001</v>
      </c>
      <c r="T1061">
        <v>-0.17924689999999999</v>
      </c>
      <c r="U1061">
        <v>-3.2149049999999999</v>
      </c>
      <c r="V1061">
        <v>0.24513219999999999</v>
      </c>
      <c r="W1061">
        <v>0.1962228</v>
      </c>
      <c r="X1061">
        <v>0.94942439999999995</v>
      </c>
      <c r="Y1061">
        <v>0.50794289999999997</v>
      </c>
      <c r="Z1061">
        <v>4.3711510000000002E-2</v>
      </c>
      <c r="AA1061">
        <v>0.86028099999999996</v>
      </c>
      <c r="AB1061">
        <v>25</v>
      </c>
      <c r="AC1061">
        <v>-1.94390000000001</v>
      </c>
      <c r="AD1061">
        <v>-1.10125791050999</v>
      </c>
      <c r="AE1061">
        <v>-19.509099999999901</v>
      </c>
      <c r="AF1061">
        <v>10.0359967867336</v>
      </c>
      <c r="AG1061">
        <v>-1.10125791050999</v>
      </c>
      <c r="AH1061">
        <v>16.770461879919399</v>
      </c>
      <c r="AI1061">
        <v>93.225063405002302</v>
      </c>
      <c r="AJ1061">
        <v>59.102308227839401</v>
      </c>
      <c r="AK1061">
        <v>19.575045137997002</v>
      </c>
      <c r="AL1061">
        <v>78.683834259124794</v>
      </c>
      <c r="AM1061">
        <v>75.522947551758804</v>
      </c>
      <c r="AN1061">
        <v>0.99999993701601797</v>
      </c>
    </row>
    <row r="1062" spans="1:40" x14ac:dyDescent="0.25">
      <c r="A1062" t="str">
        <f>"20190312172633344"</f>
        <v>20190312172633344</v>
      </c>
      <c r="B1062" t="str">
        <f>"1552382793339543"</f>
        <v>1552382793339543</v>
      </c>
      <c r="C1062" t="s">
        <v>40</v>
      </c>
      <c r="D1062">
        <v>3.4371230000000002</v>
      </c>
      <c r="E1062">
        <v>0.60843879999999995</v>
      </c>
      <c r="F1062" t="s">
        <v>41</v>
      </c>
      <c r="G1062">
        <v>-193.869</v>
      </c>
      <c r="H1062" s="1">
        <v>-2.9220780000000002E-6</v>
      </c>
      <c r="I1062">
        <v>334.0009</v>
      </c>
      <c r="J1062">
        <v>-191.8032</v>
      </c>
      <c r="K1062">
        <v>1.101272</v>
      </c>
      <c r="L1062">
        <v>353.26220000000001</v>
      </c>
      <c r="M1062">
        <v>0.41388209999999998</v>
      </c>
      <c r="N1062">
        <v>0</v>
      </c>
      <c r="O1062">
        <v>-0.9101996</v>
      </c>
      <c r="P1062">
        <v>0.1776846</v>
      </c>
      <c r="Q1062">
        <v>0.18692020000000001</v>
      </c>
      <c r="R1062">
        <v>-0.96617240000000004</v>
      </c>
      <c r="S1062">
        <v>-0.3243103</v>
      </c>
      <c r="T1062">
        <v>-0.1812725</v>
      </c>
      <c r="U1062">
        <v>-3.2095340000000001</v>
      </c>
      <c r="V1062">
        <v>0.2426034</v>
      </c>
      <c r="W1062">
        <v>0.1962691</v>
      </c>
      <c r="X1062">
        <v>0.95006420000000003</v>
      </c>
      <c r="Y1062">
        <v>0.50319519999999995</v>
      </c>
      <c r="Z1062">
        <v>4.4806930000000002E-2</v>
      </c>
      <c r="AA1062">
        <v>0.86301039999999996</v>
      </c>
      <c r="AB1062">
        <v>25</v>
      </c>
      <c r="AC1062">
        <v>-2.0658000000000198</v>
      </c>
      <c r="AD1062">
        <v>-1.101274922078</v>
      </c>
      <c r="AE1062">
        <v>-19.261299999999999</v>
      </c>
      <c r="AF1062">
        <v>9.8216295234507704</v>
      </c>
      <c r="AG1062">
        <v>-1.101274922078</v>
      </c>
      <c r="AH1062">
        <v>16.6248878594422</v>
      </c>
      <c r="AI1062">
        <v>93.264226774165905</v>
      </c>
      <c r="AJ1062">
        <v>59.426311086387599</v>
      </c>
      <c r="AK1062">
        <v>19.340737040995801</v>
      </c>
      <c r="AL1062">
        <v>78.681129312288306</v>
      </c>
      <c r="AM1062">
        <v>75.6753654347647</v>
      </c>
      <c r="AN1062">
        <v>0.99999997671400398</v>
      </c>
    </row>
    <row r="1063" spans="1:40" x14ac:dyDescent="0.25">
      <c r="A1063" t="str">
        <f>"20190312172633365"</f>
        <v>20190312172633365</v>
      </c>
      <c r="B1063" t="str">
        <f>"1552382793360038"</f>
        <v>1552382793360038</v>
      </c>
      <c r="C1063" t="s">
        <v>40</v>
      </c>
      <c r="D1063">
        <v>3.3822920000000001</v>
      </c>
      <c r="E1063">
        <v>0.60612790000000005</v>
      </c>
      <c r="F1063" t="s">
        <v>41</v>
      </c>
      <c r="G1063">
        <v>-193.84299999999999</v>
      </c>
      <c r="H1063" s="1">
        <v>-3.0514480000000002E-6</v>
      </c>
      <c r="I1063">
        <v>334.3186</v>
      </c>
      <c r="J1063">
        <v>-191.71199999999999</v>
      </c>
      <c r="K1063">
        <v>1.1012900000000001</v>
      </c>
      <c r="L1063">
        <v>353.02710000000002</v>
      </c>
      <c r="M1063">
        <v>0.40199420000000002</v>
      </c>
      <c r="N1063">
        <v>0</v>
      </c>
      <c r="O1063">
        <v>-0.9155122</v>
      </c>
      <c r="P1063">
        <v>0.16919890000000001</v>
      </c>
      <c r="Q1063">
        <v>0.18767130000000001</v>
      </c>
      <c r="R1063">
        <v>-0.96754929999999995</v>
      </c>
      <c r="S1063">
        <v>-0.34504699999999999</v>
      </c>
      <c r="T1063">
        <v>-0.18628990000000001</v>
      </c>
      <c r="U1063">
        <v>-3.2044679999999999</v>
      </c>
      <c r="V1063">
        <v>0.2385072</v>
      </c>
      <c r="W1063">
        <v>0.19713169999999999</v>
      </c>
      <c r="X1063">
        <v>0.95092239999999995</v>
      </c>
      <c r="Y1063">
        <v>0.49758360000000001</v>
      </c>
      <c r="Z1063">
        <v>4.665644E-2</v>
      </c>
      <c r="AA1063">
        <v>0.86616029999999999</v>
      </c>
      <c r="AB1063">
        <v>25</v>
      </c>
      <c r="AC1063">
        <v>-2.13099999999997</v>
      </c>
      <c r="AD1063">
        <v>-1.1012930514479999</v>
      </c>
      <c r="AE1063">
        <v>-18.708500000000001</v>
      </c>
      <c r="AF1063">
        <v>9.4404984900649396</v>
      </c>
      <c r="AG1063">
        <v>-1.1012930514479999</v>
      </c>
      <c r="AH1063">
        <v>16.217669961275199</v>
      </c>
      <c r="AI1063">
        <v>93.358710390801207</v>
      </c>
      <c r="AJ1063">
        <v>59.795806358772303</v>
      </c>
      <c r="AK1063">
        <v>18.797571042529299</v>
      </c>
      <c r="AL1063">
        <v>78.630721460739906</v>
      </c>
      <c r="AM1063">
        <v>75.919725134482604</v>
      </c>
      <c r="AN1063">
        <v>1.00000000120924</v>
      </c>
    </row>
    <row r="1064" spans="1:40" x14ac:dyDescent="0.25">
      <c r="A1064" t="str">
        <f>"20190312172633400"</f>
        <v>20190312172633400</v>
      </c>
      <c r="B1064" t="str">
        <f>"1552382793389319"</f>
        <v>1552382793389319</v>
      </c>
      <c r="C1064" t="s">
        <v>40</v>
      </c>
      <c r="D1064">
        <v>3.385653</v>
      </c>
      <c r="E1064">
        <v>0.5830573</v>
      </c>
      <c r="F1064" t="s">
        <v>41</v>
      </c>
      <c r="G1064">
        <v>-193.82749999999999</v>
      </c>
      <c r="H1064" s="1">
        <v>-2.8699470000000001E-6</v>
      </c>
      <c r="I1064">
        <v>333.9051</v>
      </c>
      <c r="J1064">
        <v>-191.5778</v>
      </c>
      <c r="K1064">
        <v>1.101315</v>
      </c>
      <c r="L1064">
        <v>352.66219999999998</v>
      </c>
      <c r="M1064">
        <v>0.38350020000000001</v>
      </c>
      <c r="N1064">
        <v>0</v>
      </c>
      <c r="O1064">
        <v>-0.9234118</v>
      </c>
      <c r="P1064">
        <v>0.1553155</v>
      </c>
      <c r="Q1064">
        <v>0.18580269999999999</v>
      </c>
      <c r="R1064">
        <v>-0.97023429999999999</v>
      </c>
      <c r="S1064">
        <v>-0.35382079999999999</v>
      </c>
      <c r="T1064">
        <v>-0.18419430000000001</v>
      </c>
      <c r="U1064">
        <v>-3.1982119999999998</v>
      </c>
      <c r="V1064">
        <v>0.23307230000000001</v>
      </c>
      <c r="W1064">
        <v>0.19542129999999999</v>
      </c>
      <c r="X1064">
        <v>0.95262150000000001</v>
      </c>
      <c r="Y1064">
        <v>0.48259879999999999</v>
      </c>
      <c r="Z1064">
        <v>4.7142719999999999E-2</v>
      </c>
      <c r="AA1064">
        <v>0.87457189999999996</v>
      </c>
      <c r="AB1064">
        <v>25</v>
      </c>
      <c r="AC1064">
        <v>-2.24969999999999</v>
      </c>
      <c r="AD1064">
        <v>-1.1013178699470001</v>
      </c>
      <c r="AE1064">
        <v>-18.757099999999902</v>
      </c>
      <c r="AF1064">
        <v>9.2404517282316494</v>
      </c>
      <c r="AG1064">
        <v>-1.1013178699470001</v>
      </c>
      <c r="AH1064">
        <v>16.403978502125401</v>
      </c>
      <c r="AI1064">
        <v>93.3477037199969</v>
      </c>
      <c r="AJ1064">
        <v>60.607198524623797</v>
      </c>
      <c r="AK1064">
        <v>18.8597285211277</v>
      </c>
      <c r="AL1064">
        <v>78.730663640108205</v>
      </c>
      <c r="AM1064">
        <v>76.251855546178504</v>
      </c>
      <c r="AN1064">
        <v>0.99999995189161395</v>
      </c>
    </row>
    <row r="1065" spans="1:40" x14ac:dyDescent="0.25">
      <c r="A1065" t="str">
        <f>"20190312172633422"</f>
        <v>20190312172633422</v>
      </c>
      <c r="B1065" t="str">
        <f>"1552382793419574"</f>
        <v>1552382793419574</v>
      </c>
      <c r="C1065" t="s">
        <v>40</v>
      </c>
      <c r="D1065">
        <v>3.3897119999999998</v>
      </c>
      <c r="E1065">
        <v>0.58121659999999997</v>
      </c>
      <c r="F1065" t="s">
        <v>41</v>
      </c>
      <c r="G1065">
        <v>-193.57060000000001</v>
      </c>
      <c r="H1065" s="1">
        <v>-2.5269010000000001E-6</v>
      </c>
      <c r="I1065">
        <v>323.26479999999998</v>
      </c>
      <c r="J1065">
        <v>-191.4932</v>
      </c>
      <c r="K1065">
        <v>1.101343</v>
      </c>
      <c r="L1065">
        <v>352.42020000000002</v>
      </c>
      <c r="M1065">
        <v>0.37120779999999998</v>
      </c>
      <c r="N1065">
        <v>0</v>
      </c>
      <c r="O1065">
        <v>-0.92842170000000002</v>
      </c>
      <c r="P1065">
        <v>0.14666609999999999</v>
      </c>
      <c r="Q1065">
        <v>0.18525520000000001</v>
      </c>
      <c r="R1065">
        <v>-0.97168379999999999</v>
      </c>
      <c r="S1065">
        <v>-0.21345520000000001</v>
      </c>
      <c r="T1065">
        <v>-0.11796379999999999</v>
      </c>
      <c r="U1065">
        <v>-3.1488040000000002</v>
      </c>
      <c r="V1065">
        <v>0.22891300000000001</v>
      </c>
      <c r="W1065">
        <v>0.19499340000000001</v>
      </c>
      <c r="X1065">
        <v>0.95371709999999998</v>
      </c>
      <c r="Y1065">
        <v>0.43315310000000001</v>
      </c>
      <c r="Z1065">
        <v>3.1523469999999998E-2</v>
      </c>
      <c r="AA1065">
        <v>0.90076889999999998</v>
      </c>
      <c r="AB1065">
        <v>25</v>
      </c>
      <c r="AC1065">
        <v>-2.0774000000000101</v>
      </c>
      <c r="AD1065">
        <v>-1.101345526901</v>
      </c>
      <c r="AE1065">
        <v>-29.1554</v>
      </c>
      <c r="AF1065">
        <v>12.734852063969401</v>
      </c>
      <c r="AG1065">
        <v>-1.101345526901</v>
      </c>
      <c r="AH1065">
        <v>26.263200783824999</v>
      </c>
      <c r="AI1065">
        <v>92.160915223767404</v>
      </c>
      <c r="AJ1065">
        <v>64.131560774231303</v>
      </c>
      <c r="AK1065">
        <v>29.208648282183798</v>
      </c>
      <c r="AL1065">
        <v>78.755661359701705</v>
      </c>
      <c r="AM1065">
        <v>76.503079741337203</v>
      </c>
      <c r="AN1065">
        <v>0.99999994722248298</v>
      </c>
    </row>
    <row r="1066" spans="1:40" x14ac:dyDescent="0.25">
      <c r="A1066" t="str">
        <f>"20190312172633445"</f>
        <v>20190312172633445</v>
      </c>
      <c r="B1066" t="str">
        <f>"1552382793440071"</f>
        <v>1552382793440071</v>
      </c>
      <c r="C1066" t="s">
        <v>40</v>
      </c>
      <c r="D1066">
        <v>3.3775719999999998</v>
      </c>
      <c r="E1066">
        <v>0.58030950000000003</v>
      </c>
      <c r="F1066" t="s">
        <v>41</v>
      </c>
      <c r="G1066">
        <v>-193.4924</v>
      </c>
      <c r="H1066" s="1">
        <v>-3.1043660000000002E-6</v>
      </c>
      <c r="I1066">
        <v>324.65940000000001</v>
      </c>
      <c r="J1066">
        <v>-191.41030000000001</v>
      </c>
      <c r="K1066">
        <v>1.1013839999999999</v>
      </c>
      <c r="L1066">
        <v>352.17250000000001</v>
      </c>
      <c r="M1066">
        <v>0.35861959999999998</v>
      </c>
      <c r="N1066">
        <v>0</v>
      </c>
      <c r="O1066">
        <v>-0.93335650000000003</v>
      </c>
      <c r="P1066">
        <v>0.1372757</v>
      </c>
      <c r="Q1066">
        <v>0.1850463</v>
      </c>
      <c r="R1066">
        <v>-0.97309509999999999</v>
      </c>
      <c r="S1066">
        <v>-0.22651669999999999</v>
      </c>
      <c r="T1066">
        <v>-0.1247886</v>
      </c>
      <c r="U1066">
        <v>-3.1454469999999999</v>
      </c>
      <c r="V1066">
        <v>0.2252103</v>
      </c>
      <c r="W1066">
        <v>0.19489200000000001</v>
      </c>
      <c r="X1066">
        <v>0.954619</v>
      </c>
      <c r="Y1066">
        <v>0.42472769999999999</v>
      </c>
      <c r="Z1066">
        <v>3.374829E-2</v>
      </c>
      <c r="AA1066">
        <v>0.90469189999999999</v>
      </c>
      <c r="AB1066">
        <v>25</v>
      </c>
      <c r="AC1066">
        <v>-2.0820999999999898</v>
      </c>
      <c r="AD1066">
        <v>-1.101387104366</v>
      </c>
      <c r="AE1066">
        <v>-27.513100000000001</v>
      </c>
      <c r="AF1066">
        <v>11.7926916262987</v>
      </c>
      <c r="AG1066">
        <v>-1.101387104366</v>
      </c>
      <c r="AH1066">
        <v>24.896142580938498</v>
      </c>
      <c r="AI1066">
        <v>92.289513733831996</v>
      </c>
      <c r="AJ1066">
        <v>64.654233854263893</v>
      </c>
      <c r="AK1066">
        <v>27.569884743267501</v>
      </c>
      <c r="AL1066">
        <v>78.761585430661199</v>
      </c>
      <c r="AM1066">
        <v>76.725699745211202</v>
      </c>
      <c r="AN1066">
        <v>1.00000000302554</v>
      </c>
    </row>
    <row r="1067" spans="1:40" x14ac:dyDescent="0.25">
      <c r="A1067" t="str">
        <f>"20190312172633469"</f>
        <v>20190312172633469</v>
      </c>
      <c r="B1067" t="str">
        <f>"1552382793459590"</f>
        <v>1552382793459590</v>
      </c>
      <c r="C1067" t="s">
        <v>40</v>
      </c>
      <c r="D1067">
        <v>3.4265599999999998</v>
      </c>
      <c r="E1067">
        <v>0.57881700000000003</v>
      </c>
      <c r="F1067" t="s">
        <v>41</v>
      </c>
      <c r="G1067">
        <v>-193.596</v>
      </c>
      <c r="H1067" s="1">
        <v>-3.1058809999999999E-6</v>
      </c>
      <c r="I1067">
        <v>324.59870000000001</v>
      </c>
      <c r="J1067">
        <v>-191.33009999999999</v>
      </c>
      <c r="K1067">
        <v>1.101415</v>
      </c>
      <c r="L1067">
        <v>351.92189999999999</v>
      </c>
      <c r="M1067">
        <v>0.34588380000000002</v>
      </c>
      <c r="N1067">
        <v>0</v>
      </c>
      <c r="O1067">
        <v>-0.93815079999999995</v>
      </c>
      <c r="P1067">
        <v>0.12755659999999999</v>
      </c>
      <c r="Q1067">
        <v>0.18517120000000001</v>
      </c>
      <c r="R1067">
        <v>-0.97439279999999995</v>
      </c>
      <c r="S1067">
        <v>-0.249054</v>
      </c>
      <c r="T1067">
        <v>-0.12550020000000001</v>
      </c>
      <c r="U1067">
        <v>-3.1419679999999999</v>
      </c>
      <c r="V1067">
        <v>0.22171199999999999</v>
      </c>
      <c r="W1067">
        <v>0.19511919999999999</v>
      </c>
      <c r="X1067">
        <v>0.9553912</v>
      </c>
      <c r="Y1067">
        <v>0.4189214</v>
      </c>
      <c r="Z1067">
        <v>3.4309350000000002E-2</v>
      </c>
      <c r="AA1067">
        <v>0.90737409999999996</v>
      </c>
      <c r="AB1067">
        <v>25</v>
      </c>
      <c r="AC1067">
        <v>-2.2658999999999798</v>
      </c>
      <c r="AD1067">
        <v>-1.101418105881</v>
      </c>
      <c r="AE1067">
        <v>-27.3231999999999</v>
      </c>
      <c r="AF1067">
        <v>11.5591281640651</v>
      </c>
      <c r="AG1067">
        <v>-1.101418105881</v>
      </c>
      <c r="AH1067">
        <v>24.812451193851</v>
      </c>
      <c r="AI1067">
        <v>92.304204976730205</v>
      </c>
      <c r="AJ1067">
        <v>65.021072140816401</v>
      </c>
      <c r="AK1067">
        <v>27.394968516216299</v>
      </c>
      <c r="AL1067">
        <v>78.748313324837596</v>
      </c>
      <c r="AM1067">
        <v>76.934963828982603</v>
      </c>
      <c r="AN1067">
        <v>1.0000000290950299</v>
      </c>
    </row>
    <row r="1068" spans="1:40" x14ac:dyDescent="0.25">
      <c r="A1068" t="str">
        <f>"20190312172633512"</f>
        <v>20190312172633512</v>
      </c>
      <c r="B1068" t="str">
        <f>"1552382793499610"</f>
        <v>1552382793499610</v>
      </c>
      <c r="C1068" t="s">
        <v>40</v>
      </c>
      <c r="D1068">
        <v>3.429027</v>
      </c>
      <c r="E1068">
        <v>0.56914240000000005</v>
      </c>
      <c r="F1068" t="s">
        <v>41</v>
      </c>
      <c r="G1068">
        <v>-193.65170000000001</v>
      </c>
      <c r="H1068" s="1">
        <v>-3.164242E-6</v>
      </c>
      <c r="I1068">
        <v>324.7002</v>
      </c>
      <c r="J1068">
        <v>-191.18809999999999</v>
      </c>
      <c r="K1068">
        <v>1.1015250000000001</v>
      </c>
      <c r="L1068">
        <v>351.44490000000002</v>
      </c>
      <c r="M1068">
        <v>0.32172050000000002</v>
      </c>
      <c r="N1068">
        <v>0</v>
      </c>
      <c r="O1068">
        <v>-0.94670949999999998</v>
      </c>
      <c r="P1068">
        <v>0.1083247</v>
      </c>
      <c r="Q1068">
        <v>0.1863436</v>
      </c>
      <c r="R1068">
        <v>-0.9764948</v>
      </c>
      <c r="S1068">
        <v>-0.26762390000000003</v>
      </c>
      <c r="T1068">
        <v>-0.12696640000000001</v>
      </c>
      <c r="U1068">
        <v>-3.1379999999999999</v>
      </c>
      <c r="V1068">
        <v>0.2159353</v>
      </c>
      <c r="W1068">
        <v>0.19647020000000001</v>
      </c>
      <c r="X1068">
        <v>0.95643679999999998</v>
      </c>
      <c r="Y1068">
        <v>0.40098489999999998</v>
      </c>
      <c r="Z1068">
        <v>3.5427979999999998E-2</v>
      </c>
      <c r="AA1068">
        <v>0.91539939999999997</v>
      </c>
      <c r="AB1068">
        <v>25</v>
      </c>
      <c r="AC1068">
        <v>-2.4636000000000098</v>
      </c>
      <c r="AD1068">
        <v>-1.1015281642420001</v>
      </c>
      <c r="AE1068">
        <v>-26.744700000000002</v>
      </c>
      <c r="AF1068">
        <v>10.9195606786539</v>
      </c>
      <c r="AG1068">
        <v>-1.1015281642420001</v>
      </c>
      <c r="AH1068">
        <v>24.488586693796101</v>
      </c>
      <c r="AI1068">
        <v>92.352510050127194</v>
      </c>
      <c r="AJ1068">
        <v>65.967712792281901</v>
      </c>
      <c r="AK1068">
        <v>26.835443875050601</v>
      </c>
      <c r="AL1068">
        <v>78.669378294003707</v>
      </c>
      <c r="AM1068">
        <v>77.277599400437495</v>
      </c>
      <c r="AN1068">
        <v>0.99999997283418396</v>
      </c>
    </row>
    <row r="1069" spans="1:40" x14ac:dyDescent="0.25">
      <c r="A1069" t="str">
        <f>"20190312172633533"</f>
        <v>20190312172633533</v>
      </c>
      <c r="B1069" t="str">
        <f>"1552382793529863"</f>
        <v>1552382793529863</v>
      </c>
      <c r="C1069" t="s">
        <v>40</v>
      </c>
      <c r="D1069">
        <v>3.4199039999999998</v>
      </c>
      <c r="E1069">
        <v>0.56733440000000002</v>
      </c>
      <c r="F1069" t="s">
        <v>41</v>
      </c>
      <c r="G1069">
        <v>-193.25399999999999</v>
      </c>
      <c r="H1069" s="1">
        <v>-3.4431379999999999E-6</v>
      </c>
      <c r="I1069">
        <v>325.59690000000001</v>
      </c>
      <c r="J1069">
        <v>-191.12110000000001</v>
      </c>
      <c r="K1069">
        <v>1.1016030000000001</v>
      </c>
      <c r="L1069">
        <v>351.20299999999997</v>
      </c>
      <c r="M1069">
        <v>0.3095348</v>
      </c>
      <c r="N1069">
        <v>0</v>
      </c>
      <c r="O1069">
        <v>-0.95076380000000005</v>
      </c>
      <c r="P1069">
        <v>9.9081390000000005E-2</v>
      </c>
      <c r="Q1069">
        <v>0.18686420000000001</v>
      </c>
      <c r="R1069">
        <v>-0.97737660000000004</v>
      </c>
      <c r="S1069">
        <v>-0.24978639999999999</v>
      </c>
      <c r="T1069">
        <v>-0.1331859</v>
      </c>
      <c r="U1069">
        <v>-3.1252749999999998</v>
      </c>
      <c r="V1069">
        <v>0.2126364</v>
      </c>
      <c r="W1069">
        <v>0.1970943</v>
      </c>
      <c r="X1069">
        <v>0.95704730000000005</v>
      </c>
      <c r="Y1069">
        <v>0.3842737</v>
      </c>
      <c r="Z1069">
        <v>3.7732549999999997E-2</v>
      </c>
      <c r="AA1069">
        <v>0.92244780000000004</v>
      </c>
      <c r="AB1069">
        <v>25</v>
      </c>
      <c r="AC1069">
        <v>-2.1328999999999998</v>
      </c>
      <c r="AD1069">
        <v>-1.1016064431379999</v>
      </c>
      <c r="AE1069">
        <v>-25.606100000000001</v>
      </c>
      <c r="AF1069">
        <v>9.9367753905182994</v>
      </c>
      <c r="AG1069">
        <v>-1.1016064431379999</v>
      </c>
      <c r="AH1069">
        <v>23.644485959716</v>
      </c>
      <c r="AI1069">
        <v>92.459432499433802</v>
      </c>
      <c r="AJ1069">
        <v>67.205048223280301</v>
      </c>
      <c r="AK1069">
        <v>25.671282753621401</v>
      </c>
      <c r="AL1069">
        <v>78.632906823759697</v>
      </c>
      <c r="AM1069">
        <v>77.473518682316197</v>
      </c>
      <c r="AN1069">
        <v>0.99999996806736902</v>
      </c>
    </row>
    <row r="1070" spans="1:40" x14ac:dyDescent="0.25">
      <c r="A1070" t="str">
        <f>"20190312172633556"</f>
        <v>20190312172633556</v>
      </c>
      <c r="B1070" t="str">
        <f>"1552382793549382"</f>
        <v>1552382793549382</v>
      </c>
      <c r="C1070" t="s">
        <v>40</v>
      </c>
      <c r="D1070">
        <v>3.4328099999999999</v>
      </c>
      <c r="E1070">
        <v>0.56670120000000002</v>
      </c>
      <c r="F1070" t="s">
        <v>41</v>
      </c>
      <c r="G1070">
        <v>-193.3082</v>
      </c>
      <c r="H1070" s="1">
        <v>-3.366145E-6</v>
      </c>
      <c r="I1070">
        <v>325.38380000000001</v>
      </c>
      <c r="J1070">
        <v>-191.05590000000001</v>
      </c>
      <c r="K1070">
        <v>1.1016980000000001</v>
      </c>
      <c r="L1070">
        <v>350.95530000000002</v>
      </c>
      <c r="M1070">
        <v>0.29712539999999998</v>
      </c>
      <c r="N1070">
        <v>0</v>
      </c>
      <c r="O1070">
        <v>-0.95471479999999997</v>
      </c>
      <c r="P1070">
        <v>8.9139540000000003E-2</v>
      </c>
      <c r="Q1070">
        <v>0.18826229999999999</v>
      </c>
      <c r="R1070">
        <v>-0.97806539999999997</v>
      </c>
      <c r="S1070">
        <v>-0.26443480000000003</v>
      </c>
      <c r="T1070">
        <v>-0.13319120000000001</v>
      </c>
      <c r="U1070">
        <v>-3.1217039999999998</v>
      </c>
      <c r="V1070">
        <v>0.2098014</v>
      </c>
      <c r="W1070">
        <v>0.19858490000000001</v>
      </c>
      <c r="X1070">
        <v>0.95736489999999996</v>
      </c>
      <c r="Y1070">
        <v>0.37661929999999999</v>
      </c>
      <c r="Z1070">
        <v>3.8089770000000002E-2</v>
      </c>
      <c r="AA1070">
        <v>0.92558470000000004</v>
      </c>
      <c r="AB1070">
        <v>25</v>
      </c>
      <c r="AC1070">
        <v>-2.2522999999999902</v>
      </c>
      <c r="AD1070">
        <v>-1.1017013661449999</v>
      </c>
      <c r="AE1070">
        <v>-25.5715</v>
      </c>
      <c r="AF1070">
        <v>9.7314734074829996</v>
      </c>
      <c r="AG1070">
        <v>-1.1017013661449999</v>
      </c>
      <c r="AH1070">
        <v>23.703419401349301</v>
      </c>
      <c r="AI1070">
        <v>92.461977037139704</v>
      </c>
      <c r="AJ1070">
        <v>67.679326811827195</v>
      </c>
      <c r="AK1070">
        <v>25.646976661918199</v>
      </c>
      <c r="AL1070">
        <v>78.545780794776107</v>
      </c>
      <c r="AM1070">
        <v>77.639335086322902</v>
      </c>
      <c r="AN1070">
        <v>1.00000007085098</v>
      </c>
    </row>
    <row r="1071" spans="1:40" x14ac:dyDescent="0.25">
      <c r="A1071" t="str">
        <f>"20190312172633578"</f>
        <v>20190312172633578</v>
      </c>
      <c r="B1071" t="str">
        <f>"1552382793569736"</f>
        <v>1552382793569736</v>
      </c>
      <c r="C1071" t="s">
        <v>40</v>
      </c>
      <c r="D1071">
        <v>3.452753</v>
      </c>
      <c r="E1071">
        <v>0.56065880000000001</v>
      </c>
      <c r="F1071" t="s">
        <v>41</v>
      </c>
      <c r="G1071">
        <v>-193.52359999999999</v>
      </c>
      <c r="H1071" s="1">
        <v>-3.0546099999999998E-6</v>
      </c>
      <c r="I1071">
        <v>324.524</v>
      </c>
      <c r="J1071">
        <v>-190.99379999999999</v>
      </c>
      <c r="K1071">
        <v>1.1018159999999999</v>
      </c>
      <c r="L1071">
        <v>350.70710000000003</v>
      </c>
      <c r="M1071">
        <v>0.28483330000000001</v>
      </c>
      <c r="N1071">
        <v>0</v>
      </c>
      <c r="O1071">
        <v>-0.95845420000000003</v>
      </c>
      <c r="P1071">
        <v>7.947005E-2</v>
      </c>
      <c r="Q1071">
        <v>0.1886891</v>
      </c>
      <c r="R1071">
        <v>-0.97881629999999997</v>
      </c>
      <c r="S1071">
        <v>-0.29118349999999998</v>
      </c>
      <c r="T1071">
        <v>-0.12999740000000001</v>
      </c>
      <c r="U1071">
        <v>-3.118805</v>
      </c>
      <c r="V1071">
        <v>0.20687720000000001</v>
      </c>
      <c r="W1071">
        <v>0.1991213</v>
      </c>
      <c r="X1071">
        <v>0.95788960000000001</v>
      </c>
      <c r="Y1071">
        <v>0.37266440000000001</v>
      </c>
      <c r="Z1071">
        <v>3.7464860000000003E-2</v>
      </c>
      <c r="AA1071">
        <v>0.92720959999999997</v>
      </c>
      <c r="AB1071">
        <v>25</v>
      </c>
      <c r="AC1071">
        <v>-2.5297999999999901</v>
      </c>
      <c r="AD1071">
        <v>-1.10181905461</v>
      </c>
      <c r="AE1071">
        <v>-26.1831</v>
      </c>
      <c r="AF1071">
        <v>9.8663701397607309</v>
      </c>
      <c r="AG1071">
        <v>-1.10181905461</v>
      </c>
      <c r="AH1071">
        <v>24.334907402853698</v>
      </c>
      <c r="AI1071">
        <v>92.402706419030594</v>
      </c>
      <c r="AJ1071">
        <v>67.930346996425598</v>
      </c>
      <c r="AK1071">
        <v>26.282065810535698</v>
      </c>
      <c r="AL1071">
        <v>78.514419971099301</v>
      </c>
      <c r="AM1071">
        <v>77.812907159044997</v>
      </c>
      <c r="AN1071">
        <v>0.99999997689084397</v>
      </c>
    </row>
    <row r="1072" spans="1:40" x14ac:dyDescent="0.25">
      <c r="A1072" t="str">
        <f>"20190312172633601"</f>
        <v>20190312172633601</v>
      </c>
      <c r="B1072" t="str">
        <f>"1552382793589238"</f>
        <v>1552382793589238</v>
      </c>
      <c r="C1072" t="s">
        <v>40</v>
      </c>
      <c r="D1072">
        <v>3.446831</v>
      </c>
      <c r="E1072">
        <v>0.55947910000000001</v>
      </c>
      <c r="F1072" t="s">
        <v>41</v>
      </c>
      <c r="G1072">
        <v>-193.15649999999999</v>
      </c>
      <c r="H1072" s="1">
        <v>-3.6591459999999998E-6</v>
      </c>
      <c r="I1072">
        <v>326.16090000000003</v>
      </c>
      <c r="J1072">
        <v>-190.93450000000001</v>
      </c>
      <c r="K1072">
        <v>1.101972</v>
      </c>
      <c r="L1072">
        <v>350.45760000000001</v>
      </c>
      <c r="M1072">
        <v>0.2726711</v>
      </c>
      <c r="N1072">
        <v>0</v>
      </c>
      <c r="O1072">
        <v>-0.96198530000000004</v>
      </c>
      <c r="P1072">
        <v>6.9838899999999995E-2</v>
      </c>
      <c r="Q1072">
        <v>0.18648529999999999</v>
      </c>
      <c r="R1072">
        <v>-0.97997239999999997</v>
      </c>
      <c r="S1072">
        <v>-0.2743835</v>
      </c>
      <c r="T1072">
        <v>-0.1397861</v>
      </c>
      <c r="U1072">
        <v>-3.1141359999999998</v>
      </c>
      <c r="V1072">
        <v>0.20414589999999999</v>
      </c>
      <c r="W1072">
        <v>0.1970401</v>
      </c>
      <c r="X1072">
        <v>0.95890549999999997</v>
      </c>
      <c r="Y1072">
        <v>0.35600850000000001</v>
      </c>
      <c r="Z1072">
        <v>4.0735470000000003E-2</v>
      </c>
      <c r="AA1072">
        <v>0.93359440000000005</v>
      </c>
      <c r="AB1072">
        <v>25</v>
      </c>
      <c r="AC1072">
        <v>-2.22199999999998</v>
      </c>
      <c r="AD1072">
        <v>-1.1019756591459999</v>
      </c>
      <c r="AE1072">
        <v>-24.296699999999898</v>
      </c>
      <c r="AF1072">
        <v>8.7457265846865901</v>
      </c>
      <c r="AG1072">
        <v>-1.1019756591459999</v>
      </c>
      <c r="AH1072">
        <v>22.723509684593498</v>
      </c>
      <c r="AI1072">
        <v>92.591358857456896</v>
      </c>
      <c r="AJ1072">
        <v>68.949497412790095</v>
      </c>
      <c r="AK1072">
        <v>24.373345610179499</v>
      </c>
      <c r="AL1072">
        <v>78.636075356994994</v>
      </c>
      <c r="AM1072">
        <v>77.981464785439002</v>
      </c>
      <c r="AN1072">
        <v>1.00000005371253</v>
      </c>
    </row>
    <row r="1073" spans="1:40" x14ac:dyDescent="0.25">
      <c r="A1073" t="str">
        <f>"20190312172633624"</f>
        <v>20190312172633624</v>
      </c>
      <c r="B1073" t="str">
        <f>"1552382793619495"</f>
        <v>1552382793619495</v>
      </c>
      <c r="C1073" t="s">
        <v>40</v>
      </c>
      <c r="D1073">
        <v>3.4290240000000001</v>
      </c>
      <c r="E1073">
        <v>0.55846209999999996</v>
      </c>
      <c r="F1073" t="s">
        <v>41</v>
      </c>
      <c r="G1073">
        <v>-193.14410000000001</v>
      </c>
      <c r="H1073" s="1">
        <v>-4.0432069999999997E-6</v>
      </c>
      <c r="I1073">
        <v>327.22910000000002</v>
      </c>
      <c r="J1073">
        <v>-190.8792</v>
      </c>
      <c r="K1073">
        <v>1.102168</v>
      </c>
      <c r="L1073">
        <v>350.21280000000002</v>
      </c>
      <c r="M1073">
        <v>0.26097530000000002</v>
      </c>
      <c r="N1073">
        <v>0</v>
      </c>
      <c r="O1073">
        <v>-0.96522450000000004</v>
      </c>
      <c r="P1073">
        <v>6.2513399999999997E-2</v>
      </c>
      <c r="Q1073">
        <v>0.18344679999999999</v>
      </c>
      <c r="R1073">
        <v>-0.98104009999999997</v>
      </c>
      <c r="S1073">
        <v>-0.29588320000000001</v>
      </c>
      <c r="T1073">
        <v>-0.14756320000000001</v>
      </c>
      <c r="U1073">
        <v>-3.110474</v>
      </c>
      <c r="V1073">
        <v>0.19964779999999999</v>
      </c>
      <c r="W1073">
        <v>0.1941754</v>
      </c>
      <c r="X1073">
        <v>0.9604357</v>
      </c>
      <c r="Y1073">
        <v>0.35114640000000003</v>
      </c>
      <c r="Z1073">
        <v>4.3307459999999999E-2</v>
      </c>
      <c r="AA1073">
        <v>0.93531850000000005</v>
      </c>
      <c r="AB1073">
        <v>25</v>
      </c>
      <c r="AC1073">
        <v>-2.2649000000000101</v>
      </c>
      <c r="AD1073">
        <v>-1.1021720432069999</v>
      </c>
      <c r="AE1073">
        <v>-22.983699999999999</v>
      </c>
      <c r="AF1073">
        <v>8.1666711513365797</v>
      </c>
      <c r="AG1073">
        <v>-1.1021720432069999</v>
      </c>
      <c r="AH1073">
        <v>21.546796247233601</v>
      </c>
      <c r="AI1073">
        <v>92.738486925410598</v>
      </c>
      <c r="AJ1073">
        <v>69.2422795218624</v>
      </c>
      <c r="AK1073">
        <v>23.0688909448785</v>
      </c>
      <c r="AL1073">
        <v>78.803443573474297</v>
      </c>
      <c r="AM1073">
        <v>78.257040033263905</v>
      </c>
      <c r="AN1073">
        <v>1.00000003192224</v>
      </c>
    </row>
    <row r="1074" spans="1:40" x14ac:dyDescent="0.25">
      <c r="A1074" t="str">
        <f>"20190312172633646"</f>
        <v>20190312172633646</v>
      </c>
      <c r="B1074" t="str">
        <f>"1552382793639990"</f>
        <v>1552382793639990</v>
      </c>
      <c r="C1074" t="s">
        <v>40</v>
      </c>
      <c r="D1074">
        <v>3.4240870000000001</v>
      </c>
      <c r="E1074">
        <v>0.55298559999999997</v>
      </c>
      <c r="F1074" t="s">
        <v>41</v>
      </c>
      <c r="G1074">
        <v>-193.05840000000001</v>
      </c>
      <c r="H1074" s="1">
        <v>-4.4438760000000001E-6</v>
      </c>
      <c r="I1074">
        <v>328.4511</v>
      </c>
      <c r="J1074">
        <v>-190.82499999999999</v>
      </c>
      <c r="K1074">
        <v>1.1024160000000001</v>
      </c>
      <c r="L1074">
        <v>349.95940000000002</v>
      </c>
      <c r="M1074">
        <v>0.2491563</v>
      </c>
      <c r="N1074">
        <v>0</v>
      </c>
      <c r="O1074">
        <v>-0.96834359999999997</v>
      </c>
      <c r="P1074">
        <v>5.5127959999999997E-2</v>
      </c>
      <c r="Q1074">
        <v>0.18220890000000001</v>
      </c>
      <c r="R1074">
        <v>-0.98171350000000002</v>
      </c>
      <c r="S1074">
        <v>-0.31115720000000002</v>
      </c>
      <c r="T1074">
        <v>-0.15737370000000001</v>
      </c>
      <c r="U1074">
        <v>-3.1072389999999999</v>
      </c>
      <c r="V1074">
        <v>0.1950344</v>
      </c>
      <c r="W1074">
        <v>0.19311809999999999</v>
      </c>
      <c r="X1074">
        <v>0.96159609999999995</v>
      </c>
      <c r="Y1074">
        <v>0.34432210000000002</v>
      </c>
      <c r="Z1074">
        <v>4.651715E-2</v>
      </c>
      <c r="AA1074">
        <v>0.93769849999999999</v>
      </c>
      <c r="AB1074">
        <v>25</v>
      </c>
      <c r="AC1074">
        <v>-2.2334000000000098</v>
      </c>
      <c r="AD1074">
        <v>-1.1024204438759999</v>
      </c>
      <c r="AE1074">
        <v>-21.508299999999998</v>
      </c>
      <c r="AF1074">
        <v>7.5029978763555896</v>
      </c>
      <c r="AG1074">
        <v>-1.1024204438759999</v>
      </c>
      <c r="AH1074">
        <v>20.220752934750099</v>
      </c>
      <c r="AI1074">
        <v>92.9260683390238</v>
      </c>
      <c r="AJ1074">
        <v>69.642410129673607</v>
      </c>
      <c r="AK1074">
        <v>21.5960449438289</v>
      </c>
      <c r="AL1074">
        <v>78.865191279186803</v>
      </c>
      <c r="AM1074">
        <v>78.534593301041099</v>
      </c>
      <c r="AN1074">
        <v>1.0000000386330801</v>
      </c>
    </row>
    <row r="1075" spans="1:40" x14ac:dyDescent="0.25">
      <c r="A1075" t="str">
        <f>"20190312172633670"</f>
        <v>20190312172633670</v>
      </c>
      <c r="B1075" t="str">
        <f>"1552382793659511"</f>
        <v>1552382793659511</v>
      </c>
      <c r="C1075" t="s">
        <v>40</v>
      </c>
      <c r="D1075">
        <v>3.4550329999999998</v>
      </c>
      <c r="E1075">
        <v>0.55189449999999995</v>
      </c>
      <c r="F1075" t="s">
        <v>41</v>
      </c>
      <c r="G1075">
        <v>-192.71289999999999</v>
      </c>
      <c r="H1075" s="1">
        <v>-7.8223249999999995E-7</v>
      </c>
      <c r="I1075">
        <v>329.72989999999999</v>
      </c>
      <c r="J1075">
        <v>-190.7732</v>
      </c>
      <c r="K1075">
        <v>1.102706</v>
      </c>
      <c r="L1075">
        <v>349.70350000000002</v>
      </c>
      <c r="M1075">
        <v>0.23759520000000001</v>
      </c>
      <c r="N1075">
        <v>0</v>
      </c>
      <c r="O1075">
        <v>-0.97124580000000005</v>
      </c>
      <c r="P1075">
        <v>4.7613129999999997E-2</v>
      </c>
      <c r="Q1075">
        <v>0.182896</v>
      </c>
      <c r="R1075">
        <v>-0.98197900000000005</v>
      </c>
      <c r="S1075">
        <v>-0.28964230000000002</v>
      </c>
      <c r="T1075">
        <v>-0.169131</v>
      </c>
      <c r="U1075">
        <v>-3.103577</v>
      </c>
      <c r="V1075">
        <v>0.19076570000000001</v>
      </c>
      <c r="W1075">
        <v>0.1939747</v>
      </c>
      <c r="X1075">
        <v>0.96227969999999896</v>
      </c>
      <c r="Y1075">
        <v>0.32672299999999999</v>
      </c>
      <c r="Z1075">
        <v>5.0466400000000002E-2</v>
      </c>
      <c r="AA1075">
        <v>0.94377180000000005</v>
      </c>
      <c r="AB1075">
        <v>25</v>
      </c>
      <c r="AC1075">
        <v>-1.93969999999998</v>
      </c>
      <c r="AD1075">
        <v>-1.1027067822325001</v>
      </c>
      <c r="AE1075">
        <v>-19.973600000000001</v>
      </c>
      <c r="AF1075">
        <v>6.6103600969563603</v>
      </c>
      <c r="AG1075">
        <v>-1.1027067822325001</v>
      </c>
      <c r="AH1075">
        <v>18.883572714169802</v>
      </c>
      <c r="AI1075">
        <v>93.154700986131203</v>
      </c>
      <c r="AJ1075">
        <v>70.706954418000507</v>
      </c>
      <c r="AK1075">
        <v>20.0375183421089</v>
      </c>
      <c r="AL1075">
        <v>78.815165110792805</v>
      </c>
      <c r="AM1075">
        <v>78.786869152583293</v>
      </c>
      <c r="AN1075">
        <v>0.999999978784334</v>
      </c>
    </row>
    <row r="1076" spans="1:40" x14ac:dyDescent="0.25">
      <c r="A1076" t="str">
        <f>"20190312172633694"</f>
        <v>20190312172633694</v>
      </c>
      <c r="B1076" t="str">
        <f>"1552382793690166"</f>
        <v>1552382793690166</v>
      </c>
      <c r="C1076" t="s">
        <v>40</v>
      </c>
      <c r="D1076">
        <v>3.4642770000000001</v>
      </c>
      <c r="E1076">
        <v>0.55075109999999905</v>
      </c>
      <c r="F1076" t="s">
        <v>41</v>
      </c>
      <c r="G1076">
        <v>-192.7679</v>
      </c>
      <c r="H1076" s="1">
        <v>-4.6735990000000002E-6</v>
      </c>
      <c r="I1076">
        <v>329.27760000000001</v>
      </c>
      <c r="J1076">
        <v>-190.72409999999999</v>
      </c>
      <c r="K1076">
        <v>1.103002</v>
      </c>
      <c r="L1076">
        <v>349.44749999999999</v>
      </c>
      <c r="M1076">
        <v>0.22641900000000001</v>
      </c>
      <c r="N1076">
        <v>0</v>
      </c>
      <c r="O1076">
        <v>-0.97391280000000002</v>
      </c>
      <c r="P1076">
        <v>3.9914890000000001E-2</v>
      </c>
      <c r="Q1076">
        <v>0.18349840000000001</v>
      </c>
      <c r="R1076">
        <v>-0.98220960000000002</v>
      </c>
      <c r="S1076">
        <v>-0.30282589999999998</v>
      </c>
      <c r="T1076">
        <v>-0.1674079</v>
      </c>
      <c r="U1076">
        <v>-3.1009519999999999</v>
      </c>
      <c r="V1076">
        <v>0.1870851</v>
      </c>
      <c r="W1076">
        <v>0.1947287</v>
      </c>
      <c r="X1076">
        <v>0.96284990000000004</v>
      </c>
      <c r="Y1076">
        <v>0.31990689999999999</v>
      </c>
      <c r="Z1076">
        <v>5.0264089999999997E-2</v>
      </c>
      <c r="AA1076">
        <v>0.94611480000000003</v>
      </c>
      <c r="AB1076">
        <v>25</v>
      </c>
      <c r="AC1076">
        <v>-2.0438000000000001</v>
      </c>
      <c r="AD1076">
        <v>-1.1030066735990001</v>
      </c>
      <c r="AE1076">
        <v>-20.169899999999899</v>
      </c>
      <c r="AF1076">
        <v>6.5387246527868603</v>
      </c>
      <c r="AG1076">
        <v>-1.1030066735990001</v>
      </c>
      <c r="AH1076">
        <v>19.126541207659098</v>
      </c>
      <c r="AI1076">
        <v>93.1234314369526</v>
      </c>
      <c r="AJ1076">
        <v>71.126157773714098</v>
      </c>
      <c r="AK1076">
        <v>20.243421706204899</v>
      </c>
      <c r="AL1076">
        <v>78.771124735822497</v>
      </c>
      <c r="AM1076">
        <v>79.0042409922779</v>
      </c>
      <c r="AN1076">
        <v>1.0000000155878499</v>
      </c>
    </row>
    <row r="1077" spans="1:40" x14ac:dyDescent="0.25">
      <c r="A1077" t="str">
        <f>"20190312172633713"</f>
        <v>20190312172633713</v>
      </c>
      <c r="B1077" t="str">
        <f>"1552382793709686"</f>
        <v>1552382793709686</v>
      </c>
      <c r="C1077" t="s">
        <v>40</v>
      </c>
      <c r="D1077">
        <v>3.4704899999999999</v>
      </c>
      <c r="E1077">
        <v>0.55040730000000004</v>
      </c>
      <c r="F1077" t="s">
        <v>41</v>
      </c>
      <c r="G1077">
        <v>-192.78980000000001</v>
      </c>
      <c r="H1077" s="1">
        <v>-4.6587900000000003E-6</v>
      </c>
      <c r="I1077">
        <v>329.22269999999997</v>
      </c>
      <c r="J1077">
        <v>-190.68430000000001</v>
      </c>
      <c r="K1077">
        <v>1.1032280000000001</v>
      </c>
      <c r="L1077">
        <v>349.22890000000001</v>
      </c>
      <c r="M1077">
        <v>0.2171343</v>
      </c>
      <c r="N1077">
        <v>0</v>
      </c>
      <c r="O1077">
        <v>-0.97602560000000005</v>
      </c>
      <c r="P1077">
        <v>3.4261949999999999E-2</v>
      </c>
      <c r="Q1077">
        <v>0.1837965</v>
      </c>
      <c r="R1077">
        <v>-0.98236699999999999</v>
      </c>
      <c r="S1077">
        <v>-0.3164978</v>
      </c>
      <c r="T1077">
        <v>-0.16899749999999999</v>
      </c>
      <c r="U1077">
        <v>-3.0987550000000001</v>
      </c>
      <c r="V1077">
        <v>0.18332770000000001</v>
      </c>
      <c r="W1077">
        <v>0.1951562</v>
      </c>
      <c r="X1077">
        <v>0.96348579999999995</v>
      </c>
      <c r="Y1077">
        <v>0.315075299999999</v>
      </c>
      <c r="Z1077">
        <v>5.0981190000000003E-2</v>
      </c>
      <c r="AA1077">
        <v>0.94769639999999999</v>
      </c>
      <c r="AB1077">
        <v>25</v>
      </c>
      <c r="AC1077">
        <v>-2.1055000000000001</v>
      </c>
      <c r="AD1077">
        <v>-1.1032326587899901</v>
      </c>
      <c r="AE1077">
        <v>-20.0062</v>
      </c>
      <c r="AF1077">
        <v>6.3805893548572596</v>
      </c>
      <c r="AG1077">
        <v>-1.1032326587899901</v>
      </c>
      <c r="AH1077">
        <v>19.0143614560677</v>
      </c>
      <c r="AI1077">
        <v>93.148473381981702</v>
      </c>
      <c r="AJ1077">
        <v>71.449954546723603</v>
      </c>
      <c r="AK1077">
        <v>20.086686745123799</v>
      </c>
      <c r="AL1077">
        <v>78.746150782661303</v>
      </c>
      <c r="AM1077">
        <v>79.226801107742503</v>
      </c>
      <c r="AN1077">
        <v>0.99999993739368298</v>
      </c>
    </row>
    <row r="1078" spans="1:40" x14ac:dyDescent="0.25">
      <c r="A1078" t="str">
        <f>"20190312172633737"</f>
        <v>20190312172633737</v>
      </c>
      <c r="B1078" t="str">
        <f>"1552382793730182"</f>
        <v>1552382793730182</v>
      </c>
      <c r="C1078" t="s">
        <v>40</v>
      </c>
      <c r="D1078">
        <v>3.472601</v>
      </c>
      <c r="E1078">
        <v>0.54580240000000002</v>
      </c>
      <c r="F1078" t="s">
        <v>41</v>
      </c>
      <c r="G1078">
        <v>-192.8338</v>
      </c>
      <c r="H1078" s="1">
        <v>-4.6072499999999998E-6</v>
      </c>
      <c r="I1078">
        <v>329.04829999999998</v>
      </c>
      <c r="J1078">
        <v>-190.6395</v>
      </c>
      <c r="K1078">
        <v>1.103478</v>
      </c>
      <c r="L1078">
        <v>348.97019999999998</v>
      </c>
      <c r="M1078">
        <v>0.20648900000000001</v>
      </c>
      <c r="N1078">
        <v>0</v>
      </c>
      <c r="O1078">
        <v>-0.97833409999999998</v>
      </c>
      <c r="P1078">
        <v>2.7325249999999999E-2</v>
      </c>
      <c r="Q1078">
        <v>0.18288170000000001</v>
      </c>
      <c r="R1078">
        <v>-0.98275559999999995</v>
      </c>
      <c r="S1078">
        <v>-0.3298798</v>
      </c>
      <c r="T1078">
        <v>-0.16930889999999901</v>
      </c>
      <c r="U1078">
        <v>-3.0970460000000002</v>
      </c>
      <c r="V1078">
        <v>0.1795195</v>
      </c>
      <c r="W1078">
        <v>0.19437370000000001</v>
      </c>
      <c r="X1078">
        <v>0.96436069999999996</v>
      </c>
      <c r="Y1078">
        <v>0.30883249999999901</v>
      </c>
      <c r="Z1078">
        <v>5.1336300000000001E-2</v>
      </c>
      <c r="AA1078">
        <v>0.94972999999999996</v>
      </c>
      <c r="AB1078">
        <v>25</v>
      </c>
      <c r="AC1078">
        <v>-2.1942999999999899</v>
      </c>
      <c r="AD1078">
        <v>-1.1034826072499999</v>
      </c>
      <c r="AE1078">
        <v>-19.921899999999901</v>
      </c>
      <c r="AF1078">
        <v>6.2421930343268697</v>
      </c>
      <c r="AG1078">
        <v>-1.1034826072499999</v>
      </c>
      <c r="AH1078">
        <v>18.981774400652998</v>
      </c>
      <c r="AI1078">
        <v>93.160911868341003</v>
      </c>
      <c r="AJ1078">
        <v>71.796450271104803</v>
      </c>
      <c r="AK1078">
        <v>20.012256422992099</v>
      </c>
      <c r="AL1078">
        <v>78.791860473069093</v>
      </c>
      <c r="AM1078">
        <v>79.454869637928297</v>
      </c>
      <c r="AN1078">
        <v>0.99999997291821396</v>
      </c>
    </row>
    <row r="1079" spans="1:40" x14ac:dyDescent="0.25">
      <c r="A1079" t="str">
        <f>"20190312172633758"</f>
        <v>20190312172633758</v>
      </c>
      <c r="B1079" t="str">
        <f>"1552382793749702"</f>
        <v>1552382793749702</v>
      </c>
      <c r="C1079" t="s">
        <v>40</v>
      </c>
      <c r="D1079">
        <v>3.4423750000000002</v>
      </c>
      <c r="E1079">
        <v>0.54505909999999902</v>
      </c>
      <c r="F1079" t="s">
        <v>41</v>
      </c>
      <c r="G1079">
        <v>-192.5609</v>
      </c>
      <c r="H1079" s="1">
        <v>-8.7369449999999995E-7</v>
      </c>
      <c r="I1079">
        <v>330.03739999999999</v>
      </c>
      <c r="J1079">
        <v>-190.6002</v>
      </c>
      <c r="K1079">
        <v>1.1037129999999999</v>
      </c>
      <c r="L1079">
        <v>348.72989999999999</v>
      </c>
      <c r="M1079">
        <v>0.19694809999999999</v>
      </c>
      <c r="N1079">
        <v>0</v>
      </c>
      <c r="O1079">
        <v>-0.9802999</v>
      </c>
      <c r="P1079">
        <v>2.1491529999999998E-2</v>
      </c>
      <c r="Q1079">
        <v>0.18192340000000001</v>
      </c>
      <c r="R1079">
        <v>-0.98307789999999995</v>
      </c>
      <c r="S1079">
        <v>-0.3140869</v>
      </c>
      <c r="T1079">
        <v>-0.1803873</v>
      </c>
      <c r="U1079">
        <v>-3.0949710000000001</v>
      </c>
      <c r="V1079">
        <v>0.1757435</v>
      </c>
      <c r="W1079">
        <v>0.1935364</v>
      </c>
      <c r="X1079">
        <v>0.96522430000000004</v>
      </c>
      <c r="Y1079">
        <v>0.29478670000000001</v>
      </c>
      <c r="Z1079">
        <v>5.5036509999999997E-2</v>
      </c>
      <c r="AA1079">
        <v>0.95397679999999996</v>
      </c>
      <c r="AB1079">
        <v>25</v>
      </c>
      <c r="AC1079">
        <v>-1.9607000000000001</v>
      </c>
      <c r="AD1079">
        <v>-1.1037138736945</v>
      </c>
      <c r="AE1079">
        <v>-18.6924999999999</v>
      </c>
      <c r="AF1079">
        <v>5.5848934986049601</v>
      </c>
      <c r="AG1079">
        <v>-1.1037138736945</v>
      </c>
      <c r="AH1079">
        <v>17.878451880013401</v>
      </c>
      <c r="AI1079">
        <v>93.372320276026301</v>
      </c>
      <c r="AJ1079">
        <v>72.6521730917067</v>
      </c>
      <c r="AK1079">
        <v>18.7629491640227</v>
      </c>
      <c r="AL1079">
        <v>78.8407635430287</v>
      </c>
      <c r="AM1079">
        <v>79.680894036574202</v>
      </c>
      <c r="AN1079">
        <v>1.0000000326138401</v>
      </c>
    </row>
    <row r="1080" spans="1:40" x14ac:dyDescent="0.25">
      <c r="A1080" t="str">
        <f>"20190312172633780"</f>
        <v>20190312172633780</v>
      </c>
      <c r="B1080" t="str">
        <f>"1552382793770197"</f>
        <v>1552382793770197</v>
      </c>
      <c r="C1080" t="s">
        <v>40</v>
      </c>
      <c r="D1080">
        <v>3.468836</v>
      </c>
      <c r="E1080">
        <v>0.54476559999999996</v>
      </c>
      <c r="F1080" t="s">
        <v>41</v>
      </c>
      <c r="G1080">
        <v>-192.5086</v>
      </c>
      <c r="H1080" s="1">
        <v>-1.076317E-6</v>
      </c>
      <c r="I1080">
        <v>330.5421</v>
      </c>
      <c r="J1080">
        <v>-190.5617</v>
      </c>
      <c r="K1080">
        <v>1.10397099999999</v>
      </c>
      <c r="L1080">
        <v>348.48160000000001</v>
      </c>
      <c r="M1080">
        <v>0.18744659999999999</v>
      </c>
      <c r="N1080">
        <v>0</v>
      </c>
      <c r="O1080">
        <v>-0.98216199999999998</v>
      </c>
      <c r="P1080">
        <v>1.501707E-2</v>
      </c>
      <c r="Q1080">
        <v>0.1816893</v>
      </c>
      <c r="R1080">
        <v>-0.98324160000000005</v>
      </c>
      <c r="S1080">
        <v>-0.32460020000000001</v>
      </c>
      <c r="T1080">
        <v>-0.18772949999999999</v>
      </c>
      <c r="U1080">
        <v>-3.0935359999999998</v>
      </c>
      <c r="V1080">
        <v>0.17262759999999999</v>
      </c>
      <c r="W1080">
        <v>0.19340869999999999</v>
      </c>
      <c r="X1080">
        <v>0.965812</v>
      </c>
      <c r="Y1080">
        <v>0.28876619999999997</v>
      </c>
      <c r="Z1080">
        <v>5.7509749999999998E-2</v>
      </c>
      <c r="AA1080">
        <v>0.95567080000000004</v>
      </c>
      <c r="AB1080">
        <v>25</v>
      </c>
      <c r="AC1080">
        <v>-1.9469000000000001</v>
      </c>
      <c r="AD1080">
        <v>-1.10397207631699</v>
      </c>
      <c r="AE1080">
        <v>-17.939499999999999</v>
      </c>
      <c r="AF1080">
        <v>5.2557820108546398</v>
      </c>
      <c r="AG1080">
        <v>-1.10397207631699</v>
      </c>
      <c r="AH1080">
        <v>17.192118651843099</v>
      </c>
      <c r="AI1080">
        <v>93.5140284783391</v>
      </c>
      <c r="AJ1080">
        <v>73.001146405807006</v>
      </c>
      <c r="AK1080">
        <v>18.0114114557955</v>
      </c>
      <c r="AL1080">
        <v>78.848220936819104</v>
      </c>
      <c r="AM1080">
        <v>79.866062754442396</v>
      </c>
      <c r="AN1080">
        <v>1.0000000164307199</v>
      </c>
    </row>
    <row r="1081" spans="1:40" x14ac:dyDescent="0.25">
      <c r="A1081" t="str">
        <f>"20190312172633803"</f>
        <v>20190312172633803</v>
      </c>
      <c r="B1081" t="str">
        <f>"1552382793799478"</f>
        <v>1552382793799478</v>
      </c>
      <c r="C1081" t="s">
        <v>40</v>
      </c>
      <c r="D1081">
        <v>3.461468</v>
      </c>
      <c r="E1081">
        <v>0.53897119999999998</v>
      </c>
      <c r="F1081" t="s">
        <v>41</v>
      </c>
      <c r="G1081">
        <v>-192.55719999999999</v>
      </c>
      <c r="H1081" s="1">
        <v>-1.05206E-6</v>
      </c>
      <c r="I1081">
        <v>330.4554</v>
      </c>
      <c r="J1081">
        <v>-190.5258</v>
      </c>
      <c r="K1081">
        <v>1.1042419999999999</v>
      </c>
      <c r="L1081">
        <v>348.23689999999999</v>
      </c>
      <c r="M1081">
        <v>0.17843390000000001</v>
      </c>
      <c r="N1081">
        <v>0</v>
      </c>
      <c r="O1081">
        <v>-0.9838401</v>
      </c>
      <c r="P1081">
        <v>8.3696450000000002E-3</v>
      </c>
      <c r="Q1081">
        <v>0.18287030000000001</v>
      </c>
      <c r="R1081">
        <v>-0.98310140000000001</v>
      </c>
      <c r="S1081">
        <v>-0.34220889999999998</v>
      </c>
      <c r="T1081">
        <v>-0.18932199999999999</v>
      </c>
      <c r="U1081">
        <v>-3.0913390000000001</v>
      </c>
      <c r="V1081">
        <v>0.17014499999999999</v>
      </c>
      <c r="W1081">
        <v>0.19468150000000001</v>
      </c>
      <c r="X1081">
        <v>0.96599679999999999</v>
      </c>
      <c r="Y1081">
        <v>0.28543469999999999</v>
      </c>
      <c r="Z1081">
        <v>5.820322E-2</v>
      </c>
      <c r="AA1081">
        <v>0.95662919999999996</v>
      </c>
      <c r="AB1081">
        <v>25</v>
      </c>
      <c r="AC1081">
        <v>-2.0313999999999899</v>
      </c>
      <c r="AD1081">
        <v>-1.10424305206</v>
      </c>
      <c r="AE1081">
        <v>-17.781499999999902</v>
      </c>
      <c r="AF1081">
        <v>5.1523501075959599</v>
      </c>
      <c r="AG1081">
        <v>-1.10424305206</v>
      </c>
      <c r="AH1081">
        <v>17.0685900508748</v>
      </c>
      <c r="AI1081">
        <v>93.544042772922893</v>
      </c>
      <c r="AJ1081">
        <v>73.202956611289906</v>
      </c>
      <c r="AK1081">
        <v>17.863449573754998</v>
      </c>
      <c r="AL1081">
        <v>78.773881828272906</v>
      </c>
      <c r="AM1081">
        <v>80.010717043164405</v>
      </c>
      <c r="AN1081">
        <v>1.00000001253874</v>
      </c>
    </row>
    <row r="1082" spans="1:40" x14ac:dyDescent="0.25">
      <c r="A1082" t="str">
        <f>"20190312172633825"</f>
        <v>20190312172633825</v>
      </c>
      <c r="B1082" t="str">
        <f>"1552382793819973"</f>
        <v>1552382793819973</v>
      </c>
      <c r="C1082" t="s">
        <v>40</v>
      </c>
      <c r="D1082">
        <v>3.4711460000000001</v>
      </c>
      <c r="E1082">
        <v>0.53799049999999904</v>
      </c>
      <c r="F1082" t="s">
        <v>41</v>
      </c>
      <c r="G1082">
        <v>-192.36420000000001</v>
      </c>
      <c r="H1082" s="1">
        <v>-9.050997E-7</v>
      </c>
      <c r="I1082">
        <v>330.23259999999999</v>
      </c>
      <c r="J1082">
        <v>-190.49109999999999</v>
      </c>
      <c r="K1082">
        <v>1.104549</v>
      </c>
      <c r="L1082">
        <v>347.98790000000002</v>
      </c>
      <c r="M1082">
        <v>0.1696385</v>
      </c>
      <c r="N1082">
        <v>0</v>
      </c>
      <c r="O1082">
        <v>-0.98539580000000004</v>
      </c>
      <c r="P1082">
        <v>2.0341980000000001E-3</v>
      </c>
      <c r="Q1082">
        <v>0.18362680000000001</v>
      </c>
      <c r="R1082">
        <v>-0.98299420000000004</v>
      </c>
      <c r="S1082">
        <v>-0.31547550000000002</v>
      </c>
      <c r="T1082">
        <v>-0.1894883</v>
      </c>
      <c r="U1082">
        <v>-3.0895389999999998</v>
      </c>
      <c r="V1082">
        <v>0.1675796</v>
      </c>
      <c r="W1082">
        <v>0.1955373</v>
      </c>
      <c r="X1082">
        <v>0.96627240000000003</v>
      </c>
      <c r="Y1082">
        <v>0.26870650000000001</v>
      </c>
      <c r="Z1082">
        <v>5.8604969999999999E-2</v>
      </c>
      <c r="AA1082">
        <v>0.9614376</v>
      </c>
      <c r="AB1082">
        <v>24</v>
      </c>
      <c r="AC1082">
        <v>-1.87310000000002</v>
      </c>
      <c r="AD1082">
        <v>-1.1045499050996901</v>
      </c>
      <c r="AE1082">
        <v>-17.755299999999998</v>
      </c>
      <c r="AF1082">
        <v>4.8397328900174399</v>
      </c>
      <c r="AG1082">
        <v>-1.1045499050996901</v>
      </c>
      <c r="AH1082">
        <v>17.114614920737999</v>
      </c>
      <c r="AI1082">
        <v>93.553679755734606</v>
      </c>
      <c r="AJ1082">
        <v>74.209965557151705</v>
      </c>
      <c r="AK1082">
        <v>17.820019327282399</v>
      </c>
      <c r="AL1082">
        <v>78.723887757601304</v>
      </c>
      <c r="AM1082">
        <v>80.161117931288501</v>
      </c>
      <c r="AN1082">
        <v>1.0000000545145999</v>
      </c>
    </row>
    <row r="1083" spans="1:40" x14ac:dyDescent="0.25">
      <c r="A1083" t="str">
        <f>"20190312172633849"</f>
        <v>20190312172633849</v>
      </c>
      <c r="B1083" t="str">
        <f>"1552382793839494"</f>
        <v>1552382793839494</v>
      </c>
      <c r="C1083" t="s">
        <v>40</v>
      </c>
      <c r="D1083">
        <v>3.5010159999999999</v>
      </c>
      <c r="E1083">
        <v>0.53316339999999995</v>
      </c>
      <c r="F1083" t="s">
        <v>41</v>
      </c>
      <c r="G1083">
        <v>-192.3854</v>
      </c>
      <c r="H1083" s="1">
        <v>-8.1811269999999996E-7</v>
      </c>
      <c r="I1083">
        <v>330.01670000000001</v>
      </c>
      <c r="J1083">
        <v>-190.4579</v>
      </c>
      <c r="K1083">
        <v>1.1048819999999999</v>
      </c>
      <c r="L1083">
        <v>347.73669999999998</v>
      </c>
      <c r="M1083">
        <v>0.16118499999999999</v>
      </c>
      <c r="N1083">
        <v>0</v>
      </c>
      <c r="O1083">
        <v>-0.98681470000000004</v>
      </c>
      <c r="P1083">
        <v>-2.7556859999999998E-3</v>
      </c>
      <c r="Q1083">
        <v>0.18358379999999999</v>
      </c>
      <c r="R1083">
        <v>-0.98300030000000005</v>
      </c>
      <c r="S1083">
        <v>-0.32550050000000003</v>
      </c>
      <c r="T1083">
        <v>-0.18979599999999999</v>
      </c>
      <c r="U1083">
        <v>-3.0880130000000001</v>
      </c>
      <c r="V1083">
        <v>0.1638414</v>
      </c>
      <c r="W1083">
        <v>0.19562009999999999</v>
      </c>
      <c r="X1083">
        <v>0.96689650000000005</v>
      </c>
      <c r="Y1083">
        <v>0.2635807</v>
      </c>
      <c r="Z1083">
        <v>5.8892559999999997E-2</v>
      </c>
      <c r="AA1083">
        <v>0.96283790000000002</v>
      </c>
      <c r="AB1083">
        <v>24</v>
      </c>
      <c r="AC1083">
        <v>-1.9275</v>
      </c>
      <c r="AD1083">
        <v>-1.1048828181126999</v>
      </c>
      <c r="AE1083">
        <v>-17.719999999999899</v>
      </c>
      <c r="AF1083">
        <v>4.7405828906148804</v>
      </c>
      <c r="AG1083">
        <v>-1.1048828181126999</v>
      </c>
      <c r="AH1083">
        <v>17.111779512838002</v>
      </c>
      <c r="AI1083">
        <v>93.56062996432</v>
      </c>
      <c r="AJ1083">
        <v>74.515340559973694</v>
      </c>
      <c r="AK1083">
        <v>17.7906405247404</v>
      </c>
      <c r="AL1083">
        <v>78.719050019959894</v>
      </c>
      <c r="AM1083">
        <v>80.382539611412</v>
      </c>
      <c r="AN1083">
        <v>1.0000000347950999</v>
      </c>
    </row>
    <row r="1084" spans="1:40" x14ac:dyDescent="0.25">
      <c r="A1084" t="str">
        <f>"20190312172633870"</f>
        <v>20190312172633870</v>
      </c>
      <c r="B1084" t="str">
        <f>"1552382793859989"</f>
        <v>1552382793859989</v>
      </c>
      <c r="C1084" t="s">
        <v>40</v>
      </c>
      <c r="D1084">
        <v>3.5209570000000001</v>
      </c>
      <c r="E1084">
        <v>0.53147900000000003</v>
      </c>
      <c r="F1084" t="s">
        <v>41</v>
      </c>
      <c r="G1084">
        <v>-192.32980000000001</v>
      </c>
      <c r="H1084" s="1">
        <v>-4.3311480000000004E-6</v>
      </c>
      <c r="I1084">
        <v>328.49970000000002</v>
      </c>
      <c r="J1084">
        <v>-190.42760000000001</v>
      </c>
      <c r="K1084">
        <v>1.1052</v>
      </c>
      <c r="L1084">
        <v>347.49430000000001</v>
      </c>
      <c r="M1084">
        <v>0.15346770000000001</v>
      </c>
      <c r="N1084">
        <v>0</v>
      </c>
      <c r="O1084">
        <v>-0.98804550000000002</v>
      </c>
      <c r="P1084">
        <v>-5.5737759999999999E-3</v>
      </c>
      <c r="Q1084">
        <v>0.18284919999999999</v>
      </c>
      <c r="R1084">
        <v>-0.98312540000000004</v>
      </c>
      <c r="S1084">
        <v>-0.30010989999999999</v>
      </c>
      <c r="T1084">
        <v>-0.1771402</v>
      </c>
      <c r="U1084">
        <v>-3.0841669999999999</v>
      </c>
      <c r="V1084">
        <v>0.1589016</v>
      </c>
      <c r="W1084">
        <v>0.1950257</v>
      </c>
      <c r="X1084">
        <v>0.96784049999999999</v>
      </c>
      <c r="Y1084">
        <v>0.24831049999999999</v>
      </c>
      <c r="Z1084">
        <v>5.529129E-2</v>
      </c>
      <c r="AA1084">
        <v>0.96710119999999999</v>
      </c>
      <c r="AB1084">
        <v>24</v>
      </c>
      <c r="AC1084">
        <v>-1.9021999999999899</v>
      </c>
      <c r="AD1084">
        <v>-1.105204331148</v>
      </c>
      <c r="AE1084">
        <v>-18.994599999999899</v>
      </c>
      <c r="AF1084">
        <v>4.7790114638195798</v>
      </c>
      <c r="AG1084">
        <v>-1.105204331148</v>
      </c>
      <c r="AH1084">
        <v>18.415849650204802</v>
      </c>
      <c r="AI1084">
        <v>93.324556046933793</v>
      </c>
      <c r="AJ1084">
        <v>75.4523339242444</v>
      </c>
      <c r="AK1084">
        <v>19.057910313669101</v>
      </c>
      <c r="AL1084">
        <v>78.753774942574793</v>
      </c>
      <c r="AM1084">
        <v>80.676269097698807</v>
      </c>
      <c r="AN1084">
        <v>0.999999987791649</v>
      </c>
    </row>
    <row r="1085" spans="1:40" x14ac:dyDescent="0.25">
      <c r="A1085" t="str">
        <f>"20190312172633914"</f>
        <v>20190312172633914</v>
      </c>
      <c r="B1085" t="str">
        <f>"1552382793909766"</f>
        <v>1552382793909766</v>
      </c>
      <c r="C1085" t="s">
        <v>40</v>
      </c>
      <c r="D1085">
        <v>3.5076849999999999</v>
      </c>
      <c r="E1085">
        <v>0.5295029</v>
      </c>
      <c r="F1085" t="s">
        <v>41</v>
      </c>
      <c r="G1085">
        <v>-192.31880000000001</v>
      </c>
      <c r="H1085" s="1">
        <v>-4.0797610000000003E-6</v>
      </c>
      <c r="I1085">
        <v>327.76670000000001</v>
      </c>
      <c r="J1085">
        <v>-190.3725</v>
      </c>
      <c r="K1085">
        <v>1.10572</v>
      </c>
      <c r="L1085">
        <v>347.02010000000001</v>
      </c>
      <c r="M1085">
        <v>0.13935839999999999</v>
      </c>
      <c r="N1085">
        <v>0</v>
      </c>
      <c r="O1085">
        <v>-0.99013549999999995</v>
      </c>
      <c r="P1085">
        <v>-1.397906E-2</v>
      </c>
      <c r="Q1085">
        <v>0.18112439999999999</v>
      </c>
      <c r="R1085">
        <v>-0.98336109999999999</v>
      </c>
      <c r="S1085">
        <v>-0.2954407</v>
      </c>
      <c r="T1085">
        <v>-0.17266010000000001</v>
      </c>
      <c r="U1085">
        <v>-3.0819399999999999</v>
      </c>
      <c r="V1085">
        <v>0.15312590000000001</v>
      </c>
      <c r="W1085">
        <v>0.19347610000000001</v>
      </c>
      <c r="X1085">
        <v>0.96908179999999999</v>
      </c>
      <c r="Y1085">
        <v>0.2330855</v>
      </c>
      <c r="Z1085">
        <v>5.4220659999999997E-2</v>
      </c>
      <c r="AA1085">
        <v>0.97094349999999996</v>
      </c>
      <c r="AB1085">
        <v>24</v>
      </c>
      <c r="AC1085">
        <v>-1.9462999999999999</v>
      </c>
      <c r="AD1085">
        <v>-1.105724079761</v>
      </c>
      <c r="AE1085">
        <v>-19.253399999999999</v>
      </c>
      <c r="AF1085">
        <v>4.5957057439306697</v>
      </c>
      <c r="AG1085">
        <v>-1.105724079761</v>
      </c>
      <c r="AH1085">
        <v>18.733063167411199</v>
      </c>
      <c r="AI1085">
        <v>93.280913381432796</v>
      </c>
      <c r="AJ1085">
        <v>76.2160848385668</v>
      </c>
      <c r="AK1085">
        <v>19.320217200114001</v>
      </c>
      <c r="AL1085">
        <v>78.844285108015796</v>
      </c>
      <c r="AM1085">
        <v>81.020855936333504</v>
      </c>
      <c r="AN1085">
        <v>1.0000000388066199</v>
      </c>
    </row>
    <row r="1086" spans="1:40" x14ac:dyDescent="0.25">
      <c r="A1086" t="str">
        <f>"20190312172633937"</f>
        <v>20190312172633937</v>
      </c>
      <c r="B1086" t="str">
        <f>"1552382793929285"</f>
        <v>1552382793929285</v>
      </c>
      <c r="C1086" t="s">
        <v>40</v>
      </c>
      <c r="D1086">
        <v>3.4999169999999999</v>
      </c>
      <c r="E1086">
        <v>0.52879900000000002</v>
      </c>
      <c r="F1086" t="s">
        <v>41</v>
      </c>
      <c r="G1086">
        <v>-192.26480000000001</v>
      </c>
      <c r="H1086" s="1">
        <v>-4.0646430000000001E-6</v>
      </c>
      <c r="I1086">
        <v>327.75040000000001</v>
      </c>
      <c r="J1086">
        <v>-190.3467</v>
      </c>
      <c r="K1086">
        <v>1.105942</v>
      </c>
      <c r="L1086">
        <v>346.78</v>
      </c>
      <c r="M1086">
        <v>0.1327149</v>
      </c>
      <c r="N1086">
        <v>0</v>
      </c>
      <c r="O1086">
        <v>-0.9910487</v>
      </c>
      <c r="P1086">
        <v>-1.8615759999999999E-2</v>
      </c>
      <c r="Q1086">
        <v>0.17996500000000001</v>
      </c>
      <c r="R1086">
        <v>-0.98349690000000001</v>
      </c>
      <c r="S1086">
        <v>-0.30235289999999998</v>
      </c>
      <c r="T1086">
        <v>-0.1766779</v>
      </c>
      <c r="U1086">
        <v>-3.0790099999999998</v>
      </c>
      <c r="V1086">
        <v>0.15109719999999999</v>
      </c>
      <c r="W1086">
        <v>0.1923793</v>
      </c>
      <c r="X1086">
        <v>0.96961839999999999</v>
      </c>
      <c r="Y1086">
        <v>0.22880120000000001</v>
      </c>
      <c r="Z1086">
        <v>5.5632170000000002E-2</v>
      </c>
      <c r="AA1086">
        <v>0.97188220000000003</v>
      </c>
      <c r="AB1086">
        <v>24</v>
      </c>
      <c r="AC1086">
        <v>-1.9180999999999999</v>
      </c>
      <c r="AD1086">
        <v>-1.1059460646429999</v>
      </c>
      <c r="AE1086">
        <v>-19.029599999999899</v>
      </c>
      <c r="AF1086">
        <v>4.4121525007085802</v>
      </c>
      <c r="AG1086">
        <v>-1.1059460646429999</v>
      </c>
      <c r="AH1086">
        <v>18.544640065872802</v>
      </c>
      <c r="AI1086">
        <v>93.3204352452221</v>
      </c>
      <c r="AJ1086">
        <v>76.616970058535301</v>
      </c>
      <c r="AK1086">
        <v>19.094341611068501</v>
      </c>
      <c r="AL1086">
        <v>78.908329906574494</v>
      </c>
      <c r="AM1086">
        <v>81.142742807101996</v>
      </c>
      <c r="AN1086">
        <v>1.0000000002674401</v>
      </c>
    </row>
    <row r="1087" spans="1:40" x14ac:dyDescent="0.25">
      <c r="A1087" t="str">
        <f>"20190312172633959"</f>
        <v>20190312172633959</v>
      </c>
      <c r="B1087" t="str">
        <f>"1552382793949781"</f>
        <v>1552382793949781</v>
      </c>
      <c r="C1087" t="s">
        <v>40</v>
      </c>
      <c r="D1087">
        <v>3.4744660000000001</v>
      </c>
      <c r="E1087">
        <v>0.52810760000000001</v>
      </c>
      <c r="F1087" t="s">
        <v>41</v>
      </c>
      <c r="G1087">
        <v>-192.19579999999999</v>
      </c>
      <c r="H1087" s="1">
        <v>-4.2810229999999998E-6</v>
      </c>
      <c r="I1087">
        <v>328.42219999999998</v>
      </c>
      <c r="J1087">
        <v>-190.32069999999999</v>
      </c>
      <c r="K1087">
        <v>1.106169</v>
      </c>
      <c r="L1087">
        <v>346.52620000000002</v>
      </c>
      <c r="M1087">
        <v>0.12604499999999999</v>
      </c>
      <c r="N1087">
        <v>0</v>
      </c>
      <c r="O1087">
        <v>-0.99191989999999997</v>
      </c>
      <c r="P1087">
        <v>-2.1953980000000001E-2</v>
      </c>
      <c r="Q1087">
        <v>0.17733499999999999</v>
      </c>
      <c r="R1087">
        <v>-0.9839059</v>
      </c>
      <c r="S1087">
        <v>-0.31008909999999901</v>
      </c>
      <c r="T1087">
        <v>-0.18545690000000001</v>
      </c>
      <c r="U1087">
        <v>-3.07843</v>
      </c>
      <c r="V1087">
        <v>0.1477791</v>
      </c>
      <c r="W1087">
        <v>0.18983030000000001</v>
      </c>
      <c r="X1087">
        <v>0.97063169999999999</v>
      </c>
      <c r="Y1087">
        <v>0.2246705</v>
      </c>
      <c r="Z1087">
        <v>5.8497800000000003E-2</v>
      </c>
      <c r="AA1087">
        <v>0.97267740000000003</v>
      </c>
      <c r="AB1087">
        <v>24</v>
      </c>
      <c r="AC1087">
        <v>-1.8751</v>
      </c>
      <c r="AD1087">
        <v>-1.1061732810230001</v>
      </c>
      <c r="AE1087">
        <v>-18.103999999999999</v>
      </c>
      <c r="AF1087">
        <v>4.1270534639428398</v>
      </c>
      <c r="AG1087">
        <v>-1.1061732810230001</v>
      </c>
      <c r="AH1087">
        <v>17.657986852568499</v>
      </c>
      <c r="AI1087">
        <v>93.490740791134101</v>
      </c>
      <c r="AJ1087">
        <v>76.844880490077799</v>
      </c>
      <c r="AK1087">
        <v>18.167572466000401</v>
      </c>
      <c r="AL1087">
        <v>79.057119696779196</v>
      </c>
      <c r="AM1087">
        <v>81.3431730197359</v>
      </c>
      <c r="AN1087">
        <v>1.0000000511198901</v>
      </c>
    </row>
    <row r="1088" spans="1:40" x14ac:dyDescent="0.25">
      <c r="A1088" t="str">
        <f>"20190312172633983"</f>
        <v>20190312172633983</v>
      </c>
      <c r="B1088" t="str">
        <f>"1552382793980038"</f>
        <v>1552382793980038</v>
      </c>
      <c r="C1088" t="s">
        <v>40</v>
      </c>
      <c r="D1088">
        <v>3.4807519999999998</v>
      </c>
      <c r="E1088">
        <v>0.52201549999999997</v>
      </c>
      <c r="F1088" t="s">
        <v>41</v>
      </c>
      <c r="G1088">
        <v>-192.10470000000001</v>
      </c>
      <c r="H1088" s="1">
        <v>-4.5180889999999999E-6</v>
      </c>
      <c r="I1088">
        <v>329.16640000000001</v>
      </c>
      <c r="J1088">
        <v>-190.29570000000001</v>
      </c>
      <c r="K1088">
        <v>1.1064430000000001</v>
      </c>
      <c r="L1088">
        <v>346.26909999999998</v>
      </c>
      <c r="M1088">
        <v>0.1197309</v>
      </c>
      <c r="N1088">
        <v>0</v>
      </c>
      <c r="O1088">
        <v>-0.99270250000000004</v>
      </c>
      <c r="P1088">
        <v>-2.4917089999999999E-2</v>
      </c>
      <c r="Q1088">
        <v>0.17586689999999999</v>
      </c>
      <c r="R1088">
        <v>-0.98409869999999999</v>
      </c>
      <c r="S1088">
        <v>-0.31623839999999998</v>
      </c>
      <c r="T1088">
        <v>-0.19608890000000001</v>
      </c>
      <c r="U1088">
        <v>-3.0773320000000002</v>
      </c>
      <c r="V1088">
        <v>0.14440449999999999</v>
      </c>
      <c r="W1088">
        <v>0.1884509</v>
      </c>
      <c r="X1088">
        <v>0.9714081</v>
      </c>
      <c r="Y1088">
        <v>0.2204052</v>
      </c>
      <c r="Z1088">
        <v>6.1959420000000001E-2</v>
      </c>
      <c r="AA1088">
        <v>0.97343860000000004</v>
      </c>
      <c r="AB1088">
        <v>24</v>
      </c>
      <c r="AC1088">
        <v>-1.8089999999999899</v>
      </c>
      <c r="AD1088">
        <v>-1.1064475180889899</v>
      </c>
      <c r="AE1088">
        <v>-17.102699999999899</v>
      </c>
      <c r="AF1088">
        <v>3.82807235193129</v>
      </c>
      <c r="AG1088">
        <v>-1.1064475180889899</v>
      </c>
      <c r="AH1088">
        <v>16.6939317138885</v>
      </c>
      <c r="AI1088">
        <v>93.696269532164294</v>
      </c>
      <c r="AJ1088">
        <v>77.084831760992103</v>
      </c>
      <c r="AK1088">
        <v>17.162917004690101</v>
      </c>
      <c r="AL1088">
        <v>79.137606256738195</v>
      </c>
      <c r="AM1088">
        <v>81.544626158679705</v>
      </c>
      <c r="AN1088">
        <v>1.0000000490383301</v>
      </c>
    </row>
    <row r="1089" spans="1:40" x14ac:dyDescent="0.25">
      <c r="A1089" t="str">
        <f>"20190312172634004"</f>
        <v>20190312172634004</v>
      </c>
      <c r="B1089" t="str">
        <f>"1552382793999558"</f>
        <v>1552382793999558</v>
      </c>
      <c r="C1089" t="s">
        <v>40</v>
      </c>
      <c r="D1089">
        <v>3.5180389999999999</v>
      </c>
      <c r="E1089">
        <v>0.52162449999999905</v>
      </c>
      <c r="F1089" t="s">
        <v>41</v>
      </c>
      <c r="G1089">
        <v>-191.75739999999999</v>
      </c>
      <c r="H1089" s="1">
        <v>-6.7705239999999996E-7</v>
      </c>
      <c r="I1089">
        <v>330.07740000000001</v>
      </c>
      <c r="J1089">
        <v>-190.2739</v>
      </c>
      <c r="K1089">
        <v>1.106749</v>
      </c>
      <c r="L1089">
        <v>346.03519999999997</v>
      </c>
      <c r="M1089">
        <v>0.1144133</v>
      </c>
      <c r="N1089">
        <v>0</v>
      </c>
      <c r="O1089">
        <v>-0.99333020000000005</v>
      </c>
      <c r="P1089">
        <v>-2.868238E-2</v>
      </c>
      <c r="Q1089">
        <v>0.17677329999999999</v>
      </c>
      <c r="R1089">
        <v>-0.98383379999999998</v>
      </c>
      <c r="S1089">
        <v>-0.27795409999999998</v>
      </c>
      <c r="T1089">
        <v>-0.21040110000000001</v>
      </c>
      <c r="U1089">
        <v>-3.0790099999999998</v>
      </c>
      <c r="V1089">
        <v>0.142764</v>
      </c>
      <c r="W1089">
        <v>0.18942909999999999</v>
      </c>
      <c r="X1089">
        <v>0.97146030000000005</v>
      </c>
      <c r="Y1089">
        <v>0.20307529999999999</v>
      </c>
      <c r="Z1089">
        <v>6.665712E-2</v>
      </c>
      <c r="AA1089">
        <v>0.97689159999999997</v>
      </c>
      <c r="AB1089">
        <v>24</v>
      </c>
      <c r="AC1089">
        <v>-1.48349999999999</v>
      </c>
      <c r="AD1089">
        <v>-1.1067496770523999</v>
      </c>
      <c r="AE1089">
        <v>-15.957799999999899</v>
      </c>
      <c r="AF1089">
        <v>3.2840663825162899</v>
      </c>
      <c r="AG1089">
        <v>-1.1067496770523999</v>
      </c>
      <c r="AH1089">
        <v>15.60880151456</v>
      </c>
      <c r="AI1089">
        <v>93.969182679081996</v>
      </c>
      <c r="AJ1089">
        <v>78.118361824129707</v>
      </c>
      <c r="AK1089">
        <v>15.9888921308939</v>
      </c>
      <c r="AL1089">
        <v>79.080531310756299</v>
      </c>
      <c r="AM1089">
        <v>81.639760512576601</v>
      </c>
      <c r="AN1089">
        <v>1.00000002904944</v>
      </c>
    </row>
    <row r="1090" spans="1:40" x14ac:dyDescent="0.25">
      <c r="A1090" t="str">
        <f>"20190312172634026"</f>
        <v>20190312172634026</v>
      </c>
      <c r="B1090" t="str">
        <f>"1552382794020054"</f>
        <v>1552382794020054</v>
      </c>
      <c r="C1090" t="s">
        <v>40</v>
      </c>
      <c r="D1090">
        <v>3.5184120000000001</v>
      </c>
      <c r="E1090">
        <v>0.52112599999999998</v>
      </c>
      <c r="F1090" t="s">
        <v>41</v>
      </c>
      <c r="G1090">
        <v>-191.76830000000001</v>
      </c>
      <c r="H1090" s="1">
        <v>-5.9445570000000001E-7</v>
      </c>
      <c r="I1090">
        <v>329.87810000000002</v>
      </c>
      <c r="J1090">
        <v>-190.25239999999999</v>
      </c>
      <c r="K1090">
        <v>1.1071</v>
      </c>
      <c r="L1090">
        <v>345.79660000000001</v>
      </c>
      <c r="M1090">
        <v>0.10942639999999999</v>
      </c>
      <c r="N1090">
        <v>0</v>
      </c>
      <c r="O1090">
        <v>-0.99389280000000002</v>
      </c>
      <c r="P1090">
        <v>-3.1408980000000003E-2</v>
      </c>
      <c r="Q1090">
        <v>0.17801520000000001</v>
      </c>
      <c r="R1090">
        <v>-0.98352649999999997</v>
      </c>
      <c r="S1090">
        <v>-0.28477479999999999</v>
      </c>
      <c r="T1090">
        <v>-0.2109008</v>
      </c>
      <c r="U1090">
        <v>-3.0788880000000001</v>
      </c>
      <c r="V1090">
        <v>0.14039660000000001</v>
      </c>
      <c r="W1090">
        <v>0.19076280000000001</v>
      </c>
      <c r="X1090">
        <v>0.97154430000000003</v>
      </c>
      <c r="Y1090">
        <v>0.20030880000000001</v>
      </c>
      <c r="Z1090">
        <v>6.6887619999999995E-2</v>
      </c>
      <c r="AA1090">
        <v>0.97744690000000001</v>
      </c>
      <c r="AB1090">
        <v>24</v>
      </c>
      <c r="AC1090">
        <v>-1.51590000000001</v>
      </c>
      <c r="AD1090">
        <v>-1.1071005944557</v>
      </c>
      <c r="AE1090">
        <v>-15.9184999999999</v>
      </c>
      <c r="AF1090">
        <v>3.2333768979110702</v>
      </c>
      <c r="AG1090">
        <v>-1.1071005944557</v>
      </c>
      <c r="AH1090">
        <v>15.5822989027352</v>
      </c>
      <c r="AI1090">
        <v>93.9794670758058</v>
      </c>
      <c r="AJ1090">
        <v>78.277303208725101</v>
      </c>
      <c r="AK1090">
        <v>15.952693721888201</v>
      </c>
      <c r="AL1090">
        <v>79.002696204749398</v>
      </c>
      <c r="AM1090">
        <v>81.777184673583506</v>
      </c>
      <c r="AN1090">
        <v>0.99999998900894405</v>
      </c>
    </row>
    <row r="1091" spans="1:40" x14ac:dyDescent="0.25">
      <c r="A1091" t="str">
        <f>"20190312172634049"</f>
        <v>20190312172634049</v>
      </c>
      <c r="B1091" t="str">
        <f>"1552382794039574"</f>
        <v>1552382794039574</v>
      </c>
      <c r="C1091" t="s">
        <v>40</v>
      </c>
      <c r="D1091">
        <v>3.5207320000000002</v>
      </c>
      <c r="E1091">
        <v>0.52075919999999998</v>
      </c>
      <c r="F1091" t="s">
        <v>41</v>
      </c>
      <c r="G1091">
        <v>-191.7792</v>
      </c>
      <c r="H1091" s="1">
        <v>-4.5517169999999998E-6</v>
      </c>
      <c r="I1091">
        <v>329.4348</v>
      </c>
      <c r="J1091">
        <v>-190.23179999999999</v>
      </c>
      <c r="K1091">
        <v>1.107456</v>
      </c>
      <c r="L1091">
        <v>345.55970000000002</v>
      </c>
      <c r="M1091">
        <v>0.1049359</v>
      </c>
      <c r="N1091">
        <v>0</v>
      </c>
      <c r="O1091">
        <v>-0.99437759999999997</v>
      </c>
      <c r="P1091">
        <v>-3.2345539999999999E-2</v>
      </c>
      <c r="Q1091">
        <v>0.176623</v>
      </c>
      <c r="R1091">
        <v>-0.98374720000000004</v>
      </c>
      <c r="S1091">
        <v>-0.28729250000000001</v>
      </c>
      <c r="T1091">
        <v>-0.20832780000000001</v>
      </c>
      <c r="U1091">
        <v>-3.0788570000000002</v>
      </c>
      <c r="V1091">
        <v>0.1367698</v>
      </c>
      <c r="W1091">
        <v>0.18948390000000001</v>
      </c>
      <c r="X1091">
        <v>0.97231160000000005</v>
      </c>
      <c r="Y1091">
        <v>0.19668040000000001</v>
      </c>
      <c r="Z1091">
        <v>6.6147239999999996E-2</v>
      </c>
      <c r="AA1091">
        <v>0.97823380000000004</v>
      </c>
      <c r="AB1091">
        <v>24</v>
      </c>
      <c r="AC1091">
        <v>-1.5474000000000101</v>
      </c>
      <c r="AD1091">
        <v>-1.107460551717</v>
      </c>
      <c r="AE1091">
        <v>-16.1249</v>
      </c>
      <c r="AF1091">
        <v>3.21607489761467</v>
      </c>
      <c r="AG1091">
        <v>-1.107460551717</v>
      </c>
      <c r="AH1091">
        <v>15.7996158808615</v>
      </c>
      <c r="AI1091">
        <v>93.929224820342696</v>
      </c>
      <c r="AJ1091">
        <v>78.494405101917906</v>
      </c>
      <c r="AK1091">
        <v>16.1616047657233</v>
      </c>
      <c r="AL1091">
        <v>79.077333123870005</v>
      </c>
      <c r="AM1091">
        <v>81.9930475285082</v>
      </c>
      <c r="AN1091">
        <v>0.99999998702290405</v>
      </c>
    </row>
    <row r="1092" spans="1:40" x14ac:dyDescent="0.25">
      <c r="A1092" t="str">
        <f>"20190312172634073"</f>
        <v>20190312172634073</v>
      </c>
      <c r="B1092" t="str">
        <f>"1552382794069830"</f>
        <v>1552382794069830</v>
      </c>
      <c r="C1092" t="s">
        <v>40</v>
      </c>
      <c r="D1092">
        <v>3.5309170000000001</v>
      </c>
      <c r="E1092">
        <v>0.51820449999999996</v>
      </c>
      <c r="F1092" t="s">
        <v>41</v>
      </c>
      <c r="G1092">
        <v>-191.73410000000001</v>
      </c>
      <c r="H1092" s="1">
        <v>-4.5620349999999996E-6</v>
      </c>
      <c r="I1092">
        <v>329.48860000000002</v>
      </c>
      <c r="J1092">
        <v>-190.20859999999999</v>
      </c>
      <c r="K1092">
        <v>1.107853</v>
      </c>
      <c r="L1092">
        <v>345.2869</v>
      </c>
      <c r="M1092">
        <v>0.100387</v>
      </c>
      <c r="N1092">
        <v>0</v>
      </c>
      <c r="O1092">
        <v>-0.99484779999999995</v>
      </c>
      <c r="P1092">
        <v>-3.3332800000000003E-2</v>
      </c>
      <c r="Q1092">
        <v>0.17557039999999999</v>
      </c>
      <c r="R1092">
        <v>-0.98390250000000001</v>
      </c>
      <c r="S1092">
        <v>-0.28775020000000001</v>
      </c>
      <c r="T1092">
        <v>-0.2121161</v>
      </c>
      <c r="U1092">
        <v>-3.0781559999999999</v>
      </c>
      <c r="V1092">
        <v>0.1331193</v>
      </c>
      <c r="W1092">
        <v>0.18854360000000001</v>
      </c>
      <c r="X1092">
        <v>0.9730008</v>
      </c>
      <c r="Y1092">
        <v>0.19235140000000001</v>
      </c>
      <c r="Z1092">
        <v>6.7437109999999995E-2</v>
      </c>
      <c r="AA1092">
        <v>0.97900620000000005</v>
      </c>
      <c r="AB1092">
        <v>24</v>
      </c>
      <c r="AC1092">
        <v>-1.5255000000000201</v>
      </c>
      <c r="AD1092">
        <v>-1.107857562035</v>
      </c>
      <c r="AE1092">
        <v>-15.7982999999999</v>
      </c>
      <c r="AF1092">
        <v>3.0888459615918298</v>
      </c>
      <c r="AG1092">
        <v>-1.107857562035</v>
      </c>
      <c r="AH1092">
        <v>15.4898544371875</v>
      </c>
      <c r="AI1092">
        <v>94.012185467830804</v>
      </c>
      <c r="AJ1092">
        <v>78.722525428860095</v>
      </c>
      <c r="AK1092">
        <v>15.8336321871344</v>
      </c>
      <c r="AL1092">
        <v>79.1321974153078</v>
      </c>
      <c r="AM1092">
        <v>82.209550701594097</v>
      </c>
      <c r="AN1092">
        <v>0.999999996967045</v>
      </c>
    </row>
    <row r="1093" spans="1:40" x14ac:dyDescent="0.25">
      <c r="A1093" t="str">
        <f>"20190312172634097"</f>
        <v>20190312172634097</v>
      </c>
      <c r="B1093" t="str">
        <f>"1552382794089349"</f>
        <v>1552382794089349</v>
      </c>
      <c r="C1093" t="s">
        <v>40</v>
      </c>
      <c r="D1093">
        <v>3.564047</v>
      </c>
      <c r="E1093">
        <v>0.51809589999999905</v>
      </c>
      <c r="F1093" t="s">
        <v>41</v>
      </c>
      <c r="G1093">
        <v>-191.6352</v>
      </c>
      <c r="H1093" s="1">
        <v>-4.4303870000000002E-6</v>
      </c>
      <c r="I1093">
        <v>329.15339999999998</v>
      </c>
      <c r="J1093">
        <v>-190.18819999999999</v>
      </c>
      <c r="K1093">
        <v>1.108142</v>
      </c>
      <c r="L1093">
        <v>345.0401</v>
      </c>
      <c r="M1093">
        <v>9.6702259999999998E-2</v>
      </c>
      <c r="N1093">
        <v>0</v>
      </c>
      <c r="O1093">
        <v>-0.99521329999999997</v>
      </c>
      <c r="P1093">
        <v>-3.4498670000000002E-2</v>
      </c>
      <c r="Q1093">
        <v>0.1756664</v>
      </c>
      <c r="R1093">
        <v>-0.98384539999999998</v>
      </c>
      <c r="S1093">
        <v>-0.27212520000000001</v>
      </c>
      <c r="T1093">
        <v>-0.21133080000000001</v>
      </c>
      <c r="U1093">
        <v>-3.0775760000000001</v>
      </c>
      <c r="V1093">
        <v>0.13052849999999999</v>
      </c>
      <c r="W1093">
        <v>0.1887094</v>
      </c>
      <c r="X1093">
        <v>0.97331959999999995</v>
      </c>
      <c r="Y1093">
        <v>0.18379889999999999</v>
      </c>
      <c r="Z1093">
        <v>6.7310049999999996E-2</v>
      </c>
      <c r="AA1093">
        <v>0.98065659999999999</v>
      </c>
      <c r="AB1093">
        <v>24</v>
      </c>
      <c r="AC1093">
        <v>-1.4470000000000001</v>
      </c>
      <c r="AD1093">
        <v>-1.1081464303869999</v>
      </c>
      <c r="AE1093">
        <v>-15.886699999999999</v>
      </c>
      <c r="AF1093">
        <v>2.9623551382897499</v>
      </c>
      <c r="AG1093">
        <v>-1.1081464303869999</v>
      </c>
      <c r="AH1093">
        <v>15.5970248460125</v>
      </c>
      <c r="AI1093">
        <v>93.992812022716706</v>
      </c>
      <c r="AJ1093">
        <v>79.245860634802696</v>
      </c>
      <c r="AK1093">
        <v>15.914481472032399</v>
      </c>
      <c r="AL1093">
        <v>79.122524001019698</v>
      </c>
      <c r="AM1093">
        <v>82.361834774989703</v>
      </c>
      <c r="AN1093">
        <v>0.99999998535238399</v>
      </c>
    </row>
    <row r="1094" spans="1:40" x14ac:dyDescent="0.25">
      <c r="A1094" t="str">
        <f>"20190312172634141"</f>
        <v>20190312172634141</v>
      </c>
      <c r="B1094" t="str">
        <f>"1552382794129366"</f>
        <v>1552382794129366</v>
      </c>
      <c r="C1094" t="s">
        <v>40</v>
      </c>
      <c r="D1094">
        <v>3.5533009999999998</v>
      </c>
      <c r="E1094">
        <v>0.51767280000000004</v>
      </c>
      <c r="F1094" t="s">
        <v>41</v>
      </c>
      <c r="G1094">
        <v>-191.6294</v>
      </c>
      <c r="H1094" s="1">
        <v>-4.3294049999999999E-6</v>
      </c>
      <c r="I1094">
        <v>328.8596</v>
      </c>
      <c r="J1094">
        <v>-190.15049999999999</v>
      </c>
      <c r="K1094">
        <v>1.108587</v>
      </c>
      <c r="L1094">
        <v>344.56819999999999</v>
      </c>
      <c r="M1094">
        <v>9.080117E-2</v>
      </c>
      <c r="N1094">
        <v>0</v>
      </c>
      <c r="O1094">
        <v>-0.99577000000000004</v>
      </c>
      <c r="P1094">
        <v>-3.5199290000000001E-2</v>
      </c>
      <c r="Q1094">
        <v>0.17624110000000001</v>
      </c>
      <c r="R1094">
        <v>-0.98371750000000002</v>
      </c>
      <c r="S1094">
        <v>-0.27409359999999999</v>
      </c>
      <c r="T1094">
        <v>-0.21075179999999999</v>
      </c>
      <c r="U1094">
        <v>-3.0772710000000001</v>
      </c>
      <c r="V1094">
        <v>0.1252239</v>
      </c>
      <c r="W1094">
        <v>0.1893851</v>
      </c>
      <c r="X1094">
        <v>0.97388509999999995</v>
      </c>
      <c r="Y1094">
        <v>0.17860139999999999</v>
      </c>
      <c r="Z1094">
        <v>6.7220779999999994E-2</v>
      </c>
      <c r="AA1094">
        <v>0.98162260000000001</v>
      </c>
      <c r="AB1094">
        <v>24</v>
      </c>
      <c r="AC1094">
        <v>-1.4789000000000101</v>
      </c>
      <c r="AD1094">
        <v>-1.108591329405</v>
      </c>
      <c r="AE1094">
        <v>-15.708599999999899</v>
      </c>
      <c r="AF1094">
        <v>2.8850469013281201</v>
      </c>
      <c r="AG1094">
        <v>-1.108591329405</v>
      </c>
      <c r="AH1094">
        <v>15.433207579676701</v>
      </c>
      <c r="AI1094">
        <v>94.038861483854703</v>
      </c>
      <c r="AJ1094">
        <v>79.411476251138495</v>
      </c>
      <c r="AK1094">
        <v>15.739643152113899</v>
      </c>
      <c r="AL1094">
        <v>79.0830980879783</v>
      </c>
      <c r="AM1094">
        <v>82.673008715780995</v>
      </c>
      <c r="AN1094">
        <v>0.99999996461761398</v>
      </c>
    </row>
    <row r="1095" spans="1:40" x14ac:dyDescent="0.25">
      <c r="A1095" t="str">
        <f>"20190312172634184"</f>
        <v>20190312172634184</v>
      </c>
      <c r="B1095" t="str">
        <f>"1552382794180118"</f>
        <v>1552382794180118</v>
      </c>
      <c r="C1095" t="s">
        <v>40</v>
      </c>
      <c r="D1095">
        <v>3.6132270000000002</v>
      </c>
      <c r="E1095">
        <v>0.51696759999999997</v>
      </c>
      <c r="F1095" t="s">
        <v>41</v>
      </c>
      <c r="G1095">
        <v>-191.57089999999999</v>
      </c>
      <c r="H1095" s="1">
        <v>-4.1811800000000002E-6</v>
      </c>
      <c r="I1095">
        <v>328.45460000000003</v>
      </c>
      <c r="J1095">
        <v>-190.11439999999999</v>
      </c>
      <c r="K1095">
        <v>1.109016</v>
      </c>
      <c r="L1095">
        <v>344.10160000000002</v>
      </c>
      <c r="M1095">
        <v>8.6199799999999993E-2</v>
      </c>
      <c r="N1095">
        <v>0</v>
      </c>
      <c r="O1095">
        <v>-0.99617990000000001</v>
      </c>
      <c r="P1095">
        <v>-3.3055479999999998E-2</v>
      </c>
      <c r="Q1095">
        <v>0.17949000000000001</v>
      </c>
      <c r="R1095">
        <v>-0.98320439999999998</v>
      </c>
      <c r="S1095">
        <v>-0.27131650000000002</v>
      </c>
      <c r="T1095">
        <v>-0.2117511</v>
      </c>
      <c r="U1095">
        <v>-3.0778500000000002</v>
      </c>
      <c r="V1095">
        <v>0.11835179999999999</v>
      </c>
      <c r="W1095">
        <v>0.1927256</v>
      </c>
      <c r="X1095">
        <v>0.97408910000000004</v>
      </c>
      <c r="Y1095">
        <v>0.1731559</v>
      </c>
      <c r="Z1095">
        <v>6.7603510000000006E-2</v>
      </c>
      <c r="AA1095">
        <v>0.98257150000000004</v>
      </c>
      <c r="AB1095">
        <v>24</v>
      </c>
      <c r="AC1095">
        <v>-1.4564999999999999</v>
      </c>
      <c r="AD1095">
        <v>-1.10902018117999</v>
      </c>
      <c r="AE1095">
        <v>-15.646999999999901</v>
      </c>
      <c r="AF1095">
        <v>2.7861015077507099</v>
      </c>
      <c r="AG1095">
        <v>-1.10902018117999</v>
      </c>
      <c r="AH1095">
        <v>15.386553988509601</v>
      </c>
      <c r="AI1095">
        <v>94.056846464558305</v>
      </c>
      <c r="AJ1095">
        <v>79.736445124459905</v>
      </c>
      <c r="AK1095">
        <v>15.6760432193547</v>
      </c>
      <c r="AL1095">
        <v>78.888109319330198</v>
      </c>
      <c r="AM1095">
        <v>83.072519518243993</v>
      </c>
      <c r="AN1095">
        <v>0.99999994009870297</v>
      </c>
    </row>
    <row r="1096" spans="1:40" x14ac:dyDescent="0.25">
      <c r="A1096" t="str">
        <f>"20190312172634204"</f>
        <v>20190312172634204</v>
      </c>
      <c r="B1096" t="str">
        <f>"1552382794199638"</f>
        <v>1552382794199638</v>
      </c>
      <c r="C1096" t="s">
        <v>40</v>
      </c>
      <c r="D1096">
        <v>3.5866560000000001</v>
      </c>
      <c r="E1096">
        <v>0.49436360000000001</v>
      </c>
      <c r="F1096" t="s">
        <v>41</v>
      </c>
      <c r="G1096">
        <v>-191.54509999999999</v>
      </c>
      <c r="H1096" s="1">
        <v>-3.604518E-6</v>
      </c>
      <c r="I1096">
        <v>327.03309999999999</v>
      </c>
      <c r="J1096">
        <v>-190.09780000000001</v>
      </c>
      <c r="K1096">
        <v>1.1092150000000001</v>
      </c>
      <c r="L1096">
        <v>343.88279999999997</v>
      </c>
      <c r="M1096">
        <v>8.4399899999999903E-2</v>
      </c>
      <c r="N1096">
        <v>0</v>
      </c>
      <c r="O1096">
        <v>-0.99633439999999995</v>
      </c>
      <c r="P1096">
        <v>-3.1263060000000002E-2</v>
      </c>
      <c r="Q1096">
        <v>0.18091660000000001</v>
      </c>
      <c r="R1096">
        <v>-0.98300149999999997</v>
      </c>
      <c r="S1096">
        <v>-0.25808720000000002</v>
      </c>
      <c r="T1096">
        <v>-0.20006309999999999</v>
      </c>
      <c r="U1096">
        <v>-3.0791019999999998</v>
      </c>
      <c r="V1096">
        <v>0.1146995</v>
      </c>
      <c r="W1096">
        <v>0.19419500000000001</v>
      </c>
      <c r="X1096">
        <v>0.97423419999999905</v>
      </c>
      <c r="Y1096">
        <v>0.1671685</v>
      </c>
      <c r="Z1096">
        <v>6.3922519999999997E-2</v>
      </c>
      <c r="AA1096">
        <v>0.98385389999999995</v>
      </c>
      <c r="AB1096">
        <v>24</v>
      </c>
      <c r="AC1096">
        <v>-1.44729999999998</v>
      </c>
      <c r="AD1096">
        <v>-1.1092186045179999</v>
      </c>
      <c r="AE1096">
        <v>-16.849699999999899</v>
      </c>
      <c r="AF1096">
        <v>2.8521167905035298</v>
      </c>
      <c r="AG1096">
        <v>-1.1092186045179999</v>
      </c>
      <c r="AH1096">
        <v>16.5960101653904</v>
      </c>
      <c r="AI1096">
        <v>93.768675254566801</v>
      </c>
      <c r="AJ1096">
        <v>80.248656362981095</v>
      </c>
      <c r="AK1096">
        <v>16.8757959666803</v>
      </c>
      <c r="AL1096">
        <v>78.802298138139193</v>
      </c>
      <c r="AM1096">
        <v>83.285307270830501</v>
      </c>
      <c r="AN1096">
        <v>0.99999997488744397</v>
      </c>
    </row>
    <row r="1097" spans="1:40" x14ac:dyDescent="0.25">
      <c r="A1097" t="str">
        <f>"20190312172634226"</f>
        <v>20190312172634226</v>
      </c>
      <c r="B1097" t="str">
        <f>"1552382794220134"</f>
        <v>1552382794220134</v>
      </c>
      <c r="C1097" t="s">
        <v>40</v>
      </c>
      <c r="D1097">
        <v>3.6630479999999999</v>
      </c>
      <c r="E1097">
        <v>0.48797560000000001</v>
      </c>
      <c r="F1097" t="s">
        <v>41</v>
      </c>
      <c r="G1097">
        <v>-190.5455</v>
      </c>
      <c r="H1097" s="1">
        <v>-2.2450859999999999E-6</v>
      </c>
      <c r="I1097">
        <v>324.48410000000001</v>
      </c>
      <c r="J1097">
        <v>-190.0797</v>
      </c>
      <c r="K1097">
        <v>1.109421</v>
      </c>
      <c r="L1097">
        <v>343.64389999999997</v>
      </c>
      <c r="M1097">
        <v>8.2698209999999994E-2</v>
      </c>
      <c r="N1097">
        <v>0</v>
      </c>
      <c r="O1097">
        <v>-0.99647730000000001</v>
      </c>
      <c r="P1097">
        <v>-2.8096889999999999E-2</v>
      </c>
      <c r="Q1097">
        <v>0.18054429999999999</v>
      </c>
      <c r="R1097">
        <v>-0.98316559999999997</v>
      </c>
      <c r="S1097">
        <v>-7.1136469999999993E-2</v>
      </c>
      <c r="T1097">
        <v>-0.1762331</v>
      </c>
      <c r="U1097">
        <v>-3.0820620000000001</v>
      </c>
      <c r="V1097">
        <v>0.1097923</v>
      </c>
      <c r="W1097">
        <v>0.19387560000000001</v>
      </c>
      <c r="X1097">
        <v>0.97486309999999998</v>
      </c>
      <c r="Y1097">
        <v>0.10564229999999999</v>
      </c>
      <c r="Z1097">
        <v>5.6626410000000002E-2</v>
      </c>
      <c r="AA1097">
        <v>0.99279059999999997</v>
      </c>
      <c r="AB1097">
        <v>24</v>
      </c>
      <c r="AC1097">
        <v>-0.46580000000000099</v>
      </c>
      <c r="AD1097">
        <v>-1.109423245086</v>
      </c>
      <c r="AE1097">
        <v>-19.159799999999901</v>
      </c>
      <c r="AF1097">
        <v>2.0419965941191398</v>
      </c>
      <c r="AG1097">
        <v>-1.109423245086</v>
      </c>
      <c r="AH1097">
        <v>18.9919939336</v>
      </c>
      <c r="AI1097">
        <v>93.324036724250206</v>
      </c>
      <c r="AJ1097">
        <v>83.863201220172797</v>
      </c>
      <c r="AK1097">
        <v>19.133645852294599</v>
      </c>
      <c r="AL1097">
        <v>78.820954150642805</v>
      </c>
      <c r="AM1097">
        <v>83.574237052685305</v>
      </c>
      <c r="AN1097">
        <v>1.00000008057812</v>
      </c>
    </row>
    <row r="1098" spans="1:40" x14ac:dyDescent="0.25">
      <c r="A1098" t="str">
        <f>"20190312172634249"</f>
        <v>20190312172634249</v>
      </c>
      <c r="B1098" t="str">
        <f>"1552382794239654"</f>
        <v>1552382794239654</v>
      </c>
      <c r="C1098" t="s">
        <v>40</v>
      </c>
      <c r="D1098">
        <v>3.6058789999999998</v>
      </c>
      <c r="E1098">
        <v>0.48571110000000001</v>
      </c>
      <c r="F1098" t="s">
        <v>41</v>
      </c>
      <c r="G1098">
        <v>-190.1482</v>
      </c>
      <c r="H1098" s="1">
        <v>-2.3360749999999999E-6</v>
      </c>
      <c r="I1098">
        <v>324.9427</v>
      </c>
      <c r="J1098">
        <v>-190.0615</v>
      </c>
      <c r="K1098">
        <v>1.109626</v>
      </c>
      <c r="L1098">
        <v>343.40280000000001</v>
      </c>
      <c r="M1098">
        <v>8.1283229999999998E-2</v>
      </c>
      <c r="N1098">
        <v>0</v>
      </c>
      <c r="O1098">
        <v>-0.99659379999999997</v>
      </c>
      <c r="P1098">
        <v>-2.4791190000000001E-2</v>
      </c>
      <c r="Q1098">
        <v>0.1801971</v>
      </c>
      <c r="R1098">
        <v>-0.98331789999999997</v>
      </c>
      <c r="S1098">
        <v>-1.1291499999999999E-2</v>
      </c>
      <c r="T1098">
        <v>-0.18299319999999999</v>
      </c>
      <c r="U1098">
        <v>-3.0846559999999998</v>
      </c>
      <c r="V1098">
        <v>0.1050283</v>
      </c>
      <c r="W1098">
        <v>0.19357659999999999</v>
      </c>
      <c r="X1098">
        <v>0.97544719999999996</v>
      </c>
      <c r="Y1098">
        <v>8.4932359999999998E-2</v>
      </c>
      <c r="Z1098">
        <v>5.8818559999999999E-2</v>
      </c>
      <c r="AA1098">
        <v>0.99464909999999995</v>
      </c>
      <c r="AB1098">
        <v>24</v>
      </c>
      <c r="AC1098">
        <v>-8.6700000000007493E-2</v>
      </c>
      <c r="AD1098">
        <v>-1.1096283360750001</v>
      </c>
      <c r="AE1098">
        <v>-18.460100000000001</v>
      </c>
      <c r="AF1098">
        <v>1.58134154574835</v>
      </c>
      <c r="AG1098">
        <v>-1.1096283360750001</v>
      </c>
      <c r="AH1098">
        <v>18.3257441814151</v>
      </c>
      <c r="AI1098">
        <v>93.452245243035094</v>
      </c>
      <c r="AJ1098">
        <v>85.068123139973693</v>
      </c>
      <c r="AK1098">
        <v>18.427284551208299</v>
      </c>
      <c r="AL1098">
        <v>78.838415961263294</v>
      </c>
      <c r="AM1098">
        <v>83.854527504807194</v>
      </c>
      <c r="AN1098">
        <v>1.0000000419281401</v>
      </c>
    </row>
    <row r="1099" spans="1:40" x14ac:dyDescent="0.25">
      <c r="A1099" t="str">
        <f>"20190312172634273"</f>
        <v>20190312172634273</v>
      </c>
      <c r="B1099" t="str">
        <f>"1552382794269910"</f>
        <v>1552382794269910</v>
      </c>
      <c r="C1099" t="s">
        <v>40</v>
      </c>
      <c r="D1099">
        <v>3.534697</v>
      </c>
      <c r="E1099">
        <v>0.48433939999999998</v>
      </c>
      <c r="F1099" t="s">
        <v>44</v>
      </c>
      <c r="G1099">
        <v>-190.05690000000001</v>
      </c>
      <c r="H1099">
        <v>1.0527759999999999</v>
      </c>
      <c r="I1099">
        <v>342.46140000000003</v>
      </c>
      <c r="J1099">
        <v>-190.0419</v>
      </c>
      <c r="K1099">
        <v>1.109818</v>
      </c>
      <c r="L1099">
        <v>343.14179999999999</v>
      </c>
      <c r="M1099">
        <v>8.0055200000000007E-2</v>
      </c>
      <c r="N1099">
        <v>0</v>
      </c>
      <c r="O1099">
        <v>-0.99669379999999996</v>
      </c>
      <c r="P1099">
        <v>-2.3259459999999999E-2</v>
      </c>
      <c r="Q1099">
        <v>0.18127280000000001</v>
      </c>
      <c r="R1099">
        <v>-0.98315790000000003</v>
      </c>
      <c r="S1099">
        <v>1.5655519999999999E-2</v>
      </c>
      <c r="T1099">
        <v>-0.1865233</v>
      </c>
      <c r="U1099">
        <v>-3.08548</v>
      </c>
      <c r="V1099">
        <v>0.10219739999999999</v>
      </c>
      <c r="W1099">
        <v>0.1946843</v>
      </c>
      <c r="X1099">
        <v>0.97552740000000004</v>
      </c>
      <c r="Y1099">
        <v>7.5013270000000007E-2</v>
      </c>
      <c r="Z1099">
        <v>5.9966060000000002E-2</v>
      </c>
      <c r="AA1099">
        <v>0.99537779999999998</v>
      </c>
      <c r="AB1099">
        <v>24</v>
      </c>
      <c r="AC1099">
        <v>-1.5000000000014699E-2</v>
      </c>
      <c r="AD1099">
        <v>-5.7042000000000002E-2</v>
      </c>
      <c r="AE1099">
        <v>-0.68039999999996303</v>
      </c>
      <c r="AF1099">
        <v>6.8942328578648099E-2</v>
      </c>
      <c r="AG1099">
        <v>-5.7042000000000002E-2</v>
      </c>
      <c r="AH1099">
        <v>0.67229195536957298</v>
      </c>
      <c r="AI1099">
        <v>94.824581935263396</v>
      </c>
      <c r="AJ1099">
        <v>84.144888192103906</v>
      </c>
      <c r="AK1099">
        <v>0.67822069246558003</v>
      </c>
      <c r="AL1099">
        <v>78.773718090406305</v>
      </c>
      <c r="AM1099">
        <v>84.0194416400725</v>
      </c>
      <c r="AN1099">
        <v>0.99999999669200501</v>
      </c>
    </row>
    <row r="1100" spans="1:40" x14ac:dyDescent="0.25">
      <c r="A1100" t="str">
        <f>"20190312172634298"</f>
        <v>20190312172634298</v>
      </c>
      <c r="B1100" t="str">
        <f>"1552382794289430"</f>
        <v>1552382794289430</v>
      </c>
      <c r="C1100" t="s">
        <v>40</v>
      </c>
      <c r="D1100">
        <v>3.5773920000000001</v>
      </c>
      <c r="E1100">
        <v>0.4837977</v>
      </c>
      <c r="F1100" t="s">
        <v>41</v>
      </c>
      <c r="G1100">
        <v>-189.83920000000001</v>
      </c>
      <c r="H1100" s="1">
        <v>-1.9145000000000001E-6</v>
      </c>
      <c r="I1100">
        <v>324.02910000000003</v>
      </c>
      <c r="J1100">
        <v>-190.02330000000001</v>
      </c>
      <c r="K1100">
        <v>1.1099600000000001</v>
      </c>
      <c r="L1100">
        <v>342.89389999999997</v>
      </c>
      <c r="M1100">
        <v>7.9088729999999996E-2</v>
      </c>
      <c r="N1100">
        <v>0</v>
      </c>
      <c r="O1100">
        <v>-0.99677130000000003</v>
      </c>
      <c r="P1100">
        <v>-2.2069689999999999E-2</v>
      </c>
      <c r="Q1100">
        <v>0.18290229999999999</v>
      </c>
      <c r="R1100">
        <v>-0.98288370000000003</v>
      </c>
      <c r="S1100">
        <v>3.2714840000000002E-2</v>
      </c>
      <c r="T1100">
        <v>-0.17914679999999999</v>
      </c>
      <c r="U1100">
        <v>-3.085175</v>
      </c>
      <c r="V1100">
        <v>9.9980319999999998E-2</v>
      </c>
      <c r="W1100">
        <v>0.19633039999999999</v>
      </c>
      <c r="X1100">
        <v>0.9754273</v>
      </c>
      <c r="Y1100">
        <v>6.8539329999999996E-2</v>
      </c>
      <c r="Z1100">
        <v>5.7627339999999999E-2</v>
      </c>
      <c r="AA1100">
        <v>0.99598260000000005</v>
      </c>
      <c r="AB1100">
        <v>24</v>
      </c>
      <c r="AC1100">
        <v>0.18410000000000001</v>
      </c>
      <c r="AD1100">
        <v>-1.1099619144999999</v>
      </c>
      <c r="AE1100">
        <v>-18.864799999999899</v>
      </c>
      <c r="AF1100">
        <v>1.3040988752814699</v>
      </c>
      <c r="AG1100">
        <v>-1.1099619144999999</v>
      </c>
      <c r="AH1100">
        <v>18.7553353027273</v>
      </c>
      <c r="AI1100">
        <v>93.378739704190707</v>
      </c>
      <c r="AJ1100">
        <v>86.022502782411806</v>
      </c>
      <c r="AK1100">
        <v>18.833355825393401</v>
      </c>
      <c r="AL1100">
        <v>78.677548277096804</v>
      </c>
      <c r="AM1100">
        <v>84.147677875243701</v>
      </c>
      <c r="AN1100">
        <v>1.00000005396837</v>
      </c>
    </row>
    <row r="1101" spans="1:40" x14ac:dyDescent="0.25">
      <c r="A1101" t="str">
        <f>"20190312172634318"</f>
        <v>20190312172634318</v>
      </c>
      <c r="B1101" t="str">
        <f>"1552382794309926"</f>
        <v>1552382794309926</v>
      </c>
      <c r="C1101" t="s">
        <v>40</v>
      </c>
      <c r="D1101">
        <v>3.562214</v>
      </c>
      <c r="E1101">
        <v>0.48348190000000002</v>
      </c>
      <c r="F1101" t="s">
        <v>41</v>
      </c>
      <c r="G1101">
        <v>-189.74709999999999</v>
      </c>
      <c r="H1101" s="1">
        <v>-1.5506100000000001E-6</v>
      </c>
      <c r="I1101">
        <v>323.14269999999999</v>
      </c>
      <c r="J1101">
        <v>-190.00620000000001</v>
      </c>
      <c r="K1101">
        <v>1.110047</v>
      </c>
      <c r="L1101">
        <v>342.6671</v>
      </c>
      <c r="M1101">
        <v>7.8354430000000003E-2</v>
      </c>
      <c r="N1101">
        <v>0</v>
      </c>
      <c r="O1101">
        <v>-0.99682939999999998</v>
      </c>
      <c r="P1101">
        <v>-2.028456E-2</v>
      </c>
      <c r="Q1101">
        <v>0.18302450000000001</v>
      </c>
      <c r="R1101">
        <v>-0.98289939999999998</v>
      </c>
      <c r="S1101">
        <v>4.3136599999999997E-2</v>
      </c>
      <c r="T1101">
        <v>-0.17339370000000001</v>
      </c>
      <c r="U1101">
        <v>-3.0854490000000001</v>
      </c>
      <c r="V1101">
        <v>9.7439960000000006E-2</v>
      </c>
      <c r="W1101">
        <v>0.196465</v>
      </c>
      <c r="X1101">
        <v>0.9756572</v>
      </c>
      <c r="Y1101">
        <v>6.4439699999999905E-2</v>
      </c>
      <c r="Z1101">
        <v>5.5789079999999998E-2</v>
      </c>
      <c r="AA1101">
        <v>0.99636100000000005</v>
      </c>
      <c r="AB1101">
        <v>24</v>
      </c>
      <c r="AC1101">
        <v>0.25910000000001698</v>
      </c>
      <c r="AD1101">
        <v>-1.11004855061</v>
      </c>
      <c r="AE1101">
        <v>-19.5244</v>
      </c>
      <c r="AF1101">
        <v>1.26757004551309</v>
      </c>
      <c r="AG1101">
        <v>-1.11004855061</v>
      </c>
      <c r="AH1101">
        <v>19.421896778194</v>
      </c>
      <c r="AI1101">
        <v>93.264222548515804</v>
      </c>
      <c r="AJ1101">
        <v>86.265886925017</v>
      </c>
      <c r="AK1101">
        <v>19.494845884690001</v>
      </c>
      <c r="AL1101">
        <v>78.669682546105406</v>
      </c>
      <c r="AM1101">
        <v>84.296719130053603</v>
      </c>
      <c r="AN1101">
        <v>1.0000000069708199</v>
      </c>
    </row>
    <row r="1102" spans="1:40" x14ac:dyDescent="0.25">
      <c r="A1102" t="str">
        <f>"20190312172634339"</f>
        <v>20190312172634339</v>
      </c>
      <c r="B1102" t="str">
        <f>"1552382794329447"</f>
        <v>1552382794329447</v>
      </c>
      <c r="C1102" t="s">
        <v>40</v>
      </c>
      <c r="D1102">
        <v>3.6528800000000001</v>
      </c>
      <c r="E1102">
        <v>0.483178</v>
      </c>
      <c r="F1102" t="s">
        <v>41</v>
      </c>
      <c r="G1102">
        <v>-189.6773</v>
      </c>
      <c r="H1102" s="1">
        <v>-1.4719419999999999E-6</v>
      </c>
      <c r="I1102">
        <v>322.93049999999999</v>
      </c>
      <c r="J1102">
        <v>-189.99019999999999</v>
      </c>
      <c r="K1102">
        <v>1.1101080000000001</v>
      </c>
      <c r="L1102">
        <v>342.45310000000001</v>
      </c>
      <c r="M1102">
        <v>7.7779840000000003E-2</v>
      </c>
      <c r="N1102">
        <v>0</v>
      </c>
      <c r="O1102">
        <v>-0.99687460000000006</v>
      </c>
      <c r="P1102">
        <v>-1.7840760000000001E-2</v>
      </c>
      <c r="Q1102">
        <v>0.18191299999999999</v>
      </c>
      <c r="R1102">
        <v>-0.9831529</v>
      </c>
      <c r="S1102">
        <v>5.1422120000000002E-2</v>
      </c>
      <c r="T1102">
        <v>-0.17354240000000001</v>
      </c>
      <c r="U1102">
        <v>-3.0855709999999998</v>
      </c>
      <c r="V1102">
        <v>9.4428369999999998E-2</v>
      </c>
      <c r="W1102">
        <v>0.1953657</v>
      </c>
      <c r="X1102">
        <v>0.97617390000000004</v>
      </c>
      <c r="Y1102">
        <v>6.1189899999999998E-2</v>
      </c>
      <c r="Z1102">
        <v>5.5842969999999999E-2</v>
      </c>
      <c r="AA1102">
        <v>0.99656279999999997</v>
      </c>
      <c r="AB1102">
        <v>24</v>
      </c>
      <c r="AC1102">
        <v>0.31289999999998402</v>
      </c>
      <c r="AD1102">
        <v>-1.1101094719419999</v>
      </c>
      <c r="AE1102">
        <v>-19.522600000000001</v>
      </c>
      <c r="AF1102">
        <v>1.2027700715649801</v>
      </c>
      <c r="AG1102">
        <v>-1.1101094719419999</v>
      </c>
      <c r="AH1102">
        <v>19.424993558865498</v>
      </c>
      <c r="AI1102">
        <v>93.264572339206097</v>
      </c>
      <c r="AJ1102">
        <v>86.456844077381504</v>
      </c>
      <c r="AK1102">
        <v>19.4938291171004</v>
      </c>
      <c r="AL1102">
        <v>78.733912198757096</v>
      </c>
      <c r="AM1102">
        <v>84.474790026477706</v>
      </c>
      <c r="AN1102">
        <v>0.99999997841927801</v>
      </c>
    </row>
    <row r="1103" spans="1:40" x14ac:dyDescent="0.25">
      <c r="A1103" t="str">
        <f>"20190312172634362"</f>
        <v>20190312172634362</v>
      </c>
      <c r="B1103" t="str">
        <f>"1552382794359703"</f>
        <v>1552382794359703</v>
      </c>
      <c r="C1103" t="s">
        <v>40</v>
      </c>
      <c r="D1103">
        <v>3.5615489999999999</v>
      </c>
      <c r="E1103">
        <v>0.48274590000000001</v>
      </c>
      <c r="F1103" t="s">
        <v>41</v>
      </c>
      <c r="G1103">
        <v>-189.6191</v>
      </c>
      <c r="H1103" s="1">
        <v>-1.645901E-6</v>
      </c>
      <c r="I1103">
        <v>323.31189999999998</v>
      </c>
      <c r="J1103">
        <v>-189.9717</v>
      </c>
      <c r="K1103">
        <v>1.1101730000000001</v>
      </c>
      <c r="L1103">
        <v>342.20530000000002</v>
      </c>
      <c r="M1103">
        <v>7.7228669999999999E-2</v>
      </c>
      <c r="N1103">
        <v>0</v>
      </c>
      <c r="O1103">
        <v>-0.99691779999999997</v>
      </c>
      <c r="P1103">
        <v>-1.5996349999999999E-2</v>
      </c>
      <c r="Q1103">
        <v>0.18174080000000001</v>
      </c>
      <c r="R1103">
        <v>-0.9832166</v>
      </c>
      <c r="S1103">
        <v>5.9829710000000001E-2</v>
      </c>
      <c r="T1103">
        <v>-0.1789502</v>
      </c>
      <c r="U1103">
        <v>-3.0855709999999998</v>
      </c>
      <c r="V1103">
        <v>9.2023250000000001E-2</v>
      </c>
      <c r="W1103">
        <v>0.1952006</v>
      </c>
      <c r="X1103">
        <v>0.97643659999999999</v>
      </c>
      <c r="Y1103">
        <v>5.7925079999999997E-2</v>
      </c>
      <c r="Z1103">
        <v>5.7585329999999997E-2</v>
      </c>
      <c r="AA1103">
        <v>0.99665870000000001</v>
      </c>
      <c r="AB1103">
        <v>24</v>
      </c>
      <c r="AC1103">
        <v>0.35259999999999497</v>
      </c>
      <c r="AD1103">
        <v>-1.11017464590099</v>
      </c>
      <c r="AE1103">
        <v>-18.8934</v>
      </c>
      <c r="AF1103">
        <v>1.1038944046930099</v>
      </c>
      <c r="AG1103">
        <v>-1.11017464590099</v>
      </c>
      <c r="AH1103">
        <v>18.799309439079199</v>
      </c>
      <c r="AI1103">
        <v>93.373822570682407</v>
      </c>
      <c r="AJ1103">
        <v>86.639453891993099</v>
      </c>
      <c r="AK1103">
        <v>18.864387241237502</v>
      </c>
      <c r="AL1103">
        <v>78.743557602483804</v>
      </c>
      <c r="AM1103">
        <v>84.616121112189305</v>
      </c>
      <c r="AN1103">
        <v>0.99999999330024103</v>
      </c>
    </row>
    <row r="1104" spans="1:40" x14ac:dyDescent="0.25">
      <c r="A1104" t="str">
        <f>"20190312172634384"</f>
        <v>20190312172634384</v>
      </c>
      <c r="B1104" t="str">
        <f>"1552382794380198"</f>
        <v>1552382794380198</v>
      </c>
      <c r="C1104" t="s">
        <v>40</v>
      </c>
      <c r="D1104">
        <v>3.693784</v>
      </c>
      <c r="E1104">
        <v>0.48267890000000002</v>
      </c>
      <c r="F1104" t="s">
        <v>41</v>
      </c>
      <c r="G1104">
        <v>-189.5558</v>
      </c>
      <c r="H1104" s="1">
        <v>-1.6598439999999999E-6</v>
      </c>
      <c r="I1104">
        <v>323.31830000000002</v>
      </c>
      <c r="J1104">
        <v>-189.95500000000001</v>
      </c>
      <c r="K1104">
        <v>1.1102270000000001</v>
      </c>
      <c r="L1104">
        <v>341.98099999999999</v>
      </c>
      <c r="M1104">
        <v>7.6809509999999998E-2</v>
      </c>
      <c r="N1104">
        <v>0</v>
      </c>
      <c r="O1104">
        <v>-0.99695</v>
      </c>
      <c r="P1104">
        <v>-1.541758E-2</v>
      </c>
      <c r="Q1104">
        <v>0.182089</v>
      </c>
      <c r="R1104">
        <v>-0.98316130000000002</v>
      </c>
      <c r="S1104">
        <v>6.7947389999999996E-2</v>
      </c>
      <c r="T1104">
        <v>-0.1813835</v>
      </c>
      <c r="U1104">
        <v>-3.0858150000000002</v>
      </c>
      <c r="V1104">
        <v>9.1005130000000004E-2</v>
      </c>
      <c r="W1104">
        <v>0.1955518</v>
      </c>
      <c r="X1104">
        <v>0.97646180000000005</v>
      </c>
      <c r="Y1104">
        <v>5.4886879999999999E-2</v>
      </c>
      <c r="Z1104">
        <v>5.8367389999999998E-2</v>
      </c>
      <c r="AA1104">
        <v>0.99678520000000004</v>
      </c>
      <c r="AB1104">
        <v>24</v>
      </c>
      <c r="AC1104">
        <v>0.39920000000000699</v>
      </c>
      <c r="AD1104">
        <v>-1.1102286598440001</v>
      </c>
      <c r="AE1104">
        <v>-18.662699999999901</v>
      </c>
      <c r="AF1104">
        <v>1.03193898123414</v>
      </c>
      <c r="AG1104">
        <v>-1.1102286598440001</v>
      </c>
      <c r="AH1104">
        <v>18.572523726294101</v>
      </c>
      <c r="AI1104">
        <v>93.415701264188698</v>
      </c>
      <c r="AJ1104">
        <v>86.819763585740901</v>
      </c>
      <c r="AK1104">
        <v>18.634273350519699</v>
      </c>
      <c r="AL1104">
        <v>78.723040488920901</v>
      </c>
      <c r="AM1104">
        <v>84.675479232274796</v>
      </c>
      <c r="AN1104">
        <v>1.0000000435143901</v>
      </c>
    </row>
    <row r="1105" spans="1:40" x14ac:dyDescent="0.25">
      <c r="A1105" t="str">
        <f>"20190312172634406"</f>
        <v>20190312172634406</v>
      </c>
      <c r="B1105" t="str">
        <f>"1552382794399718"</f>
        <v>1552382794399718</v>
      </c>
      <c r="C1105" t="s">
        <v>40</v>
      </c>
      <c r="D1105">
        <v>3.7046999999999999</v>
      </c>
      <c r="E1105">
        <v>0.4826376</v>
      </c>
      <c r="F1105" t="s">
        <v>41</v>
      </c>
      <c r="G1105">
        <v>-189.5128</v>
      </c>
      <c r="H1105" s="1">
        <v>-1.509297E-6</v>
      </c>
      <c r="I1105">
        <v>322.9495</v>
      </c>
      <c r="J1105">
        <v>-189.93700000000001</v>
      </c>
      <c r="K1105">
        <v>1.110279</v>
      </c>
      <c r="L1105">
        <v>341.74160000000001</v>
      </c>
      <c r="M1105">
        <v>7.6426980000000005E-2</v>
      </c>
      <c r="N1105">
        <v>0</v>
      </c>
      <c r="O1105">
        <v>-0.99697970000000002</v>
      </c>
      <c r="P1105">
        <v>-1.486111E-2</v>
      </c>
      <c r="Q1105">
        <v>0.18215899999999999</v>
      </c>
      <c r="R1105">
        <v>-0.98315699999999995</v>
      </c>
      <c r="S1105">
        <v>7.1701050000000002E-2</v>
      </c>
      <c r="T1105">
        <v>-0.18001679999999901</v>
      </c>
      <c r="U1105">
        <v>-3.0858460000000001</v>
      </c>
      <c r="V1105">
        <v>9.0048600000000006E-2</v>
      </c>
      <c r="W1105">
        <v>0.1956252</v>
      </c>
      <c r="X1105">
        <v>0.97653570000000001</v>
      </c>
      <c r="Y1105">
        <v>5.3291440000000002E-2</v>
      </c>
      <c r="Z1105">
        <v>5.7932820000000003E-2</v>
      </c>
      <c r="AA1105">
        <v>0.99689709999999998</v>
      </c>
      <c r="AB1105">
        <v>24</v>
      </c>
      <c r="AC1105">
        <v>0.42420000000001301</v>
      </c>
      <c r="AD1105">
        <v>-1.1102805092970001</v>
      </c>
      <c r="AE1105">
        <v>-18.792100000000001</v>
      </c>
      <c r="AF1105">
        <v>1.00987773639555</v>
      </c>
      <c r="AG1105">
        <v>-1.1102805092970001</v>
      </c>
      <c r="AH1105">
        <v>18.704291280795399</v>
      </c>
      <c r="AI1105">
        <v>93.392143139836705</v>
      </c>
      <c r="AJ1105">
        <v>86.909500342325899</v>
      </c>
      <c r="AK1105">
        <v>18.764410147101099</v>
      </c>
      <c r="AL1105">
        <v>78.718751328937699</v>
      </c>
      <c r="AM1105">
        <v>84.731523659855597</v>
      </c>
      <c r="AN1105">
        <v>0.99999997130574403</v>
      </c>
    </row>
    <row r="1106" spans="1:40" x14ac:dyDescent="0.25">
      <c r="A1106" t="str">
        <f>"20190312172634428"</f>
        <v>20190312172634428</v>
      </c>
      <c r="B1106" t="str">
        <f>"1552382794420214"</f>
        <v>1552382794420214</v>
      </c>
      <c r="C1106" t="s">
        <v>40</v>
      </c>
      <c r="D1106">
        <v>3.6873629999999999</v>
      </c>
      <c r="E1106">
        <v>0.48262250000000001</v>
      </c>
      <c r="F1106" t="s">
        <v>41</v>
      </c>
      <c r="G1106">
        <v>-189.4692</v>
      </c>
      <c r="H1106" s="1">
        <v>-1.4000290000000001E-6</v>
      </c>
      <c r="I1106">
        <v>322.67680000000001</v>
      </c>
      <c r="J1106">
        <v>-189.92</v>
      </c>
      <c r="K1106">
        <v>1.1103240000000001</v>
      </c>
      <c r="L1106">
        <v>341.5138</v>
      </c>
      <c r="M1106">
        <v>7.6126799999999994E-2</v>
      </c>
      <c r="N1106">
        <v>0</v>
      </c>
      <c r="O1106">
        <v>-0.99700279999999997</v>
      </c>
      <c r="P1106">
        <v>-1.475183E-2</v>
      </c>
      <c r="Q1106">
        <v>0.18091979999999999</v>
      </c>
      <c r="R1106">
        <v>-0.98338749999999997</v>
      </c>
      <c r="S1106">
        <v>7.5729370000000004E-2</v>
      </c>
      <c r="T1106">
        <v>-0.17971089999999901</v>
      </c>
      <c r="U1106">
        <v>-3.0858460000000001</v>
      </c>
      <c r="V1106">
        <v>8.9639800000000006E-2</v>
      </c>
      <c r="W1106">
        <v>0.19439200000000001</v>
      </c>
      <c r="X1106">
        <v>0.97681960000000001</v>
      </c>
      <c r="Y1106">
        <v>5.1689939999999997E-2</v>
      </c>
      <c r="Z1106">
        <v>5.7838260000000002E-2</v>
      </c>
      <c r="AA1106">
        <v>0.99698690000000001</v>
      </c>
      <c r="AB1106">
        <v>24</v>
      </c>
      <c r="AC1106">
        <v>0.45079999999998599</v>
      </c>
      <c r="AD1106">
        <v>-1.1103254000289999</v>
      </c>
      <c r="AE1106">
        <v>-18.8369999999999</v>
      </c>
      <c r="AF1106">
        <v>0.98123803718429303</v>
      </c>
      <c r="AG1106">
        <v>-1.1103254000289999</v>
      </c>
      <c r="AH1106">
        <v>18.7515359339871</v>
      </c>
      <c r="AI1106">
        <v>93.384050658871701</v>
      </c>
      <c r="AJ1106">
        <v>87.004535158831999</v>
      </c>
      <c r="AK1106">
        <v>18.809990708747701</v>
      </c>
      <c r="AL1106">
        <v>78.790792301385594</v>
      </c>
      <c r="AM1106">
        <v>84.756823457221202</v>
      </c>
      <c r="AN1106">
        <v>1.00000003717609</v>
      </c>
    </row>
    <row r="1107" spans="1:40" x14ac:dyDescent="0.25">
      <c r="A1107" t="str">
        <f>"20190312172634452"</f>
        <v>20190312172634452</v>
      </c>
      <c r="B1107" t="str">
        <f>"1552382794439734"</f>
        <v>1552382794439734</v>
      </c>
      <c r="C1107" t="s">
        <v>40</v>
      </c>
      <c r="D1107">
        <v>3.65618</v>
      </c>
      <c r="E1107">
        <v>0.48263820000000002</v>
      </c>
      <c r="F1107" t="s">
        <v>41</v>
      </c>
      <c r="G1107">
        <v>-189.4522</v>
      </c>
      <c r="H1107" s="1">
        <v>-1.484409E-6</v>
      </c>
      <c r="I1107">
        <v>322.86649999999997</v>
      </c>
      <c r="J1107">
        <v>-189.90129999999999</v>
      </c>
      <c r="K1107">
        <v>1.1103590000000001</v>
      </c>
      <c r="L1107">
        <v>341.26409999999998</v>
      </c>
      <c r="M1107">
        <v>7.588027E-2</v>
      </c>
      <c r="N1107">
        <v>0</v>
      </c>
      <c r="O1107">
        <v>-0.99702190000000002</v>
      </c>
      <c r="P1107">
        <v>-1.5113150000000001E-2</v>
      </c>
      <c r="Q1107">
        <v>0.17969560000000001</v>
      </c>
      <c r="R1107">
        <v>-0.9836066</v>
      </c>
      <c r="S1107">
        <v>7.7407840000000006E-2</v>
      </c>
      <c r="T1107">
        <v>-0.1837271</v>
      </c>
      <c r="U1107">
        <v>-3.0856020000000002</v>
      </c>
      <c r="V1107">
        <v>8.9753730000000004E-2</v>
      </c>
      <c r="W1107">
        <v>0.19317239999999999</v>
      </c>
      <c r="X1107">
        <v>0.977051</v>
      </c>
      <c r="Y1107">
        <v>5.0900939999999999E-2</v>
      </c>
      <c r="Z1107">
        <v>5.9133499999999999E-2</v>
      </c>
      <c r="AA1107">
        <v>0.99695149999999999</v>
      </c>
      <c r="AB1107">
        <v>24</v>
      </c>
      <c r="AC1107">
        <v>0.44909999999998701</v>
      </c>
      <c r="AD1107">
        <v>-1.110360484409</v>
      </c>
      <c r="AE1107">
        <v>-18.397600000000001</v>
      </c>
      <c r="AF1107">
        <v>0.94490238165487195</v>
      </c>
      <c r="AG1107">
        <v>-1.110360484409</v>
      </c>
      <c r="AH1107">
        <v>18.311966985384299</v>
      </c>
      <c r="AI1107">
        <v>93.465327034189798</v>
      </c>
      <c r="AJ1107">
        <v>87.046142268028703</v>
      </c>
      <c r="AK1107">
        <v>18.3699176859887</v>
      </c>
      <c r="AL1107">
        <v>78.862019777108799</v>
      </c>
      <c r="AM1107">
        <v>84.751433112415199</v>
      </c>
      <c r="AN1107">
        <v>0.99999998238583598</v>
      </c>
    </row>
    <row r="1108" spans="1:40" x14ac:dyDescent="0.25">
      <c r="A1108" t="str">
        <f>"20190312172634474"</f>
        <v>20190312172634474</v>
      </c>
      <c r="B1108" t="str">
        <f>"1552382794469992"</f>
        <v>1552382794469992</v>
      </c>
      <c r="C1108" t="s">
        <v>40</v>
      </c>
      <c r="D1108">
        <v>3.741228</v>
      </c>
      <c r="E1108">
        <v>0.482435</v>
      </c>
      <c r="F1108" t="s">
        <v>41</v>
      </c>
      <c r="G1108">
        <v>-189.44470000000001</v>
      </c>
      <c r="H1108" s="1">
        <v>-1.5681530000000001E-6</v>
      </c>
      <c r="I1108">
        <v>323.05860000000001</v>
      </c>
      <c r="J1108">
        <v>-189.88300000000001</v>
      </c>
      <c r="K1108">
        <v>1.110385</v>
      </c>
      <c r="L1108">
        <v>341.02080000000001</v>
      </c>
      <c r="M1108">
        <v>7.5709440000000003E-2</v>
      </c>
      <c r="N1108">
        <v>0</v>
      </c>
      <c r="O1108">
        <v>-0.99703470000000005</v>
      </c>
      <c r="P1108">
        <v>-1.6585519999999999E-2</v>
      </c>
      <c r="Q1108">
        <v>0.1784838</v>
      </c>
      <c r="R1108">
        <v>-0.98380310000000004</v>
      </c>
      <c r="S1108">
        <v>7.7377319999999999E-2</v>
      </c>
      <c r="T1108">
        <v>-0.1881882</v>
      </c>
      <c r="U1108">
        <v>-3.0855410000000001</v>
      </c>
      <c r="V1108">
        <v>9.1052900000000006E-2</v>
      </c>
      <c r="W1108">
        <v>0.19196189999999999</v>
      </c>
      <c r="X1108">
        <v>0.97716939999999997</v>
      </c>
      <c r="Y1108">
        <v>5.0741359999999999E-2</v>
      </c>
      <c r="Z1108">
        <v>6.0566700000000001E-2</v>
      </c>
      <c r="AA1108">
        <v>0.99687360000000003</v>
      </c>
      <c r="AB1108">
        <v>24</v>
      </c>
      <c r="AC1108">
        <v>0.43829999999996899</v>
      </c>
      <c r="AD1108">
        <v>-1.1103865681530001</v>
      </c>
      <c r="AE1108">
        <v>-17.9621999999999</v>
      </c>
      <c r="AF1108">
        <v>0.91948375139522798</v>
      </c>
      <c r="AG1108">
        <v>-1.1103865681530001</v>
      </c>
      <c r="AH1108">
        <v>17.8755538039252</v>
      </c>
      <c r="AI1108">
        <v>93.549828345390594</v>
      </c>
      <c r="AJ1108">
        <v>87.055411613768101</v>
      </c>
      <c r="AK1108">
        <v>17.933595080095898</v>
      </c>
      <c r="AL1108">
        <v>78.932699584274403</v>
      </c>
      <c r="AM1108">
        <v>84.676535884436603</v>
      </c>
      <c r="AN1108">
        <v>1.0000000189731799</v>
      </c>
    </row>
    <row r="1109" spans="1:40" x14ac:dyDescent="0.25">
      <c r="A1109" t="str">
        <f>"20190312172634498"</f>
        <v>20190312172634498</v>
      </c>
      <c r="B1109" t="str">
        <f>"1552382794489510"</f>
        <v>1552382794489510</v>
      </c>
      <c r="C1109" t="s">
        <v>40</v>
      </c>
      <c r="D1109">
        <v>3.6962799999999998</v>
      </c>
      <c r="E1109">
        <v>0.48243330000000001</v>
      </c>
      <c r="F1109" t="s">
        <v>41</v>
      </c>
      <c r="G1109">
        <v>-189.44390000000001</v>
      </c>
      <c r="H1109" s="1">
        <v>-1.7095549999999999E-6</v>
      </c>
      <c r="I1109">
        <v>323.3879</v>
      </c>
      <c r="J1109">
        <v>-189.8648</v>
      </c>
      <c r="K1109">
        <v>1.1103940000000001</v>
      </c>
      <c r="L1109">
        <v>340.77929999999998</v>
      </c>
      <c r="M1109">
        <v>7.5590630000000006E-2</v>
      </c>
      <c r="N1109">
        <v>0</v>
      </c>
      <c r="O1109">
        <v>-0.99704389999999998</v>
      </c>
      <c r="P1109">
        <v>-1.798319E-2</v>
      </c>
      <c r="Q1109">
        <v>0.176624799999999</v>
      </c>
      <c r="R1109">
        <v>-0.98411420000000005</v>
      </c>
      <c r="S1109">
        <v>7.6843259999999997E-2</v>
      </c>
      <c r="T1109">
        <v>-0.1943289</v>
      </c>
      <c r="U1109">
        <v>-3.0859380000000001</v>
      </c>
      <c r="V1109">
        <v>9.2342289999999994E-2</v>
      </c>
      <c r="W1109">
        <v>0.19010460000000001</v>
      </c>
      <c r="X1109">
        <v>0.97741140000000004</v>
      </c>
      <c r="Y1109">
        <v>5.0800959999999999E-2</v>
      </c>
      <c r="Z1109">
        <v>6.2528239999999999E-2</v>
      </c>
      <c r="AA1109">
        <v>0.99674949999999995</v>
      </c>
      <c r="AB1109">
        <v>24</v>
      </c>
      <c r="AC1109">
        <v>0.42089999999998801</v>
      </c>
      <c r="AD1109">
        <v>-1.1103957095550001</v>
      </c>
      <c r="AE1109">
        <v>-17.391399999999901</v>
      </c>
      <c r="AF1109">
        <v>0.89142416855199402</v>
      </c>
      <c r="AG1109">
        <v>-1.1103957095550001</v>
      </c>
      <c r="AH1109">
        <v>17.302957691180001</v>
      </c>
      <c r="AI1109">
        <v>93.667000197582198</v>
      </c>
      <c r="AJ1109">
        <v>87.050808982584996</v>
      </c>
      <c r="AK1109">
        <v>17.361450415873701</v>
      </c>
      <c r="AL1109">
        <v>79.041110861729905</v>
      </c>
      <c r="AM1109">
        <v>84.602921890449295</v>
      </c>
      <c r="AN1109">
        <v>0.99999995115677998</v>
      </c>
    </row>
    <row r="1110" spans="1:40" x14ac:dyDescent="0.25">
      <c r="A1110" t="str">
        <f>"20190312172634629"</f>
        <v>20190312172634629</v>
      </c>
      <c r="B1110" t="str">
        <f>"1552382794620294"</f>
        <v>1552382794620294</v>
      </c>
      <c r="C1110" t="s">
        <v>40</v>
      </c>
      <c r="D1110">
        <v>3.7803680000000002</v>
      </c>
      <c r="E1110">
        <v>0.48306880000000002</v>
      </c>
      <c r="F1110" t="s">
        <v>41</v>
      </c>
      <c r="G1110">
        <v>-189.4554</v>
      </c>
      <c r="H1110" s="1">
        <v>-1.8423469999999999E-6</v>
      </c>
      <c r="I1110">
        <v>323.7022</v>
      </c>
      <c r="J1110">
        <v>-189.762</v>
      </c>
      <c r="K1110">
        <v>1.110349</v>
      </c>
      <c r="L1110">
        <v>339.41320000000002</v>
      </c>
      <c r="M1110">
        <v>7.5247820000000007E-2</v>
      </c>
      <c r="N1110">
        <v>0</v>
      </c>
      <c r="O1110">
        <v>-0.99707009999999996</v>
      </c>
      <c r="P1110">
        <v>-2.3815780000000002E-2</v>
      </c>
      <c r="Q1110">
        <v>0.1729154</v>
      </c>
      <c r="R1110">
        <v>-0.98464890000000005</v>
      </c>
      <c r="S1110">
        <v>7.3974609999999996E-2</v>
      </c>
      <c r="T1110">
        <v>-0.20064370000000001</v>
      </c>
      <c r="U1110">
        <v>-3.0857540000000001</v>
      </c>
      <c r="V1110">
        <v>9.7864729999999997E-2</v>
      </c>
      <c r="W1110">
        <v>0.18636839999999999</v>
      </c>
      <c r="X1110">
        <v>0.97759359999999995</v>
      </c>
      <c r="Y1110">
        <v>5.1385239999999999E-2</v>
      </c>
      <c r="Z1110">
        <v>6.4557790000000004E-2</v>
      </c>
      <c r="AA1110">
        <v>0.99659010000000003</v>
      </c>
      <c r="AB1110">
        <v>23</v>
      </c>
      <c r="AC1110">
        <v>0.30660000000000298</v>
      </c>
      <c r="AD1110">
        <v>-1.1103508423469901</v>
      </c>
      <c r="AE1110">
        <v>-15.711</v>
      </c>
      <c r="AF1110">
        <v>0.87224466584358196</v>
      </c>
      <c r="AG1110">
        <v>-1.1103508423469901</v>
      </c>
      <c r="AH1110">
        <v>15.611575844158001</v>
      </c>
      <c r="AI1110">
        <v>94.061915483915598</v>
      </c>
      <c r="AJ1110">
        <v>86.802114443769099</v>
      </c>
      <c r="AK1110">
        <v>15.675298724046399</v>
      </c>
      <c r="AL1110">
        <v>79.259076074342701</v>
      </c>
      <c r="AM1110">
        <v>84.283292442704493</v>
      </c>
      <c r="AN1110">
        <v>0.99999996632874499</v>
      </c>
    </row>
    <row r="1111" spans="1:40" x14ac:dyDescent="0.25">
      <c r="A1111" t="str">
        <f>"20190312172634651"</f>
        <v>20190312172634651</v>
      </c>
      <c r="B1111" t="str">
        <f>"1552382794639814"</f>
        <v>1552382794639814</v>
      </c>
      <c r="C1111" t="s">
        <v>40</v>
      </c>
      <c r="D1111">
        <v>3.6765789999999998</v>
      </c>
      <c r="E1111">
        <v>0.48373660000000002</v>
      </c>
      <c r="F1111" t="s">
        <v>44</v>
      </c>
      <c r="G1111">
        <v>-189.74619999999999</v>
      </c>
      <c r="H1111">
        <v>1.038257</v>
      </c>
      <c r="I1111">
        <v>338.488</v>
      </c>
      <c r="J1111">
        <v>-189.74440000000001</v>
      </c>
      <c r="K1111">
        <v>1.110325</v>
      </c>
      <c r="L1111">
        <v>339.17910000000001</v>
      </c>
      <c r="M1111">
        <v>7.5149610000000006E-2</v>
      </c>
      <c r="N1111">
        <v>0</v>
      </c>
      <c r="O1111">
        <v>-0.99707780000000001</v>
      </c>
      <c r="P1111">
        <v>-2.4245269999999999E-2</v>
      </c>
      <c r="Q1111">
        <v>0.17230709999999999</v>
      </c>
      <c r="R1111">
        <v>-0.98474499999999998</v>
      </c>
      <c r="S1111">
        <v>5.2932739999999999E-2</v>
      </c>
      <c r="T1111">
        <v>-0.24082480000000001</v>
      </c>
      <c r="U1111">
        <v>-3.0903019999999999</v>
      </c>
      <c r="V1111">
        <v>9.821291E-2</v>
      </c>
      <c r="W1111">
        <v>0.1857529</v>
      </c>
      <c r="X1111">
        <v>0.97767590000000004</v>
      </c>
      <c r="Y1111">
        <v>5.811914E-2</v>
      </c>
      <c r="Z1111">
        <v>7.7293249999999994E-2</v>
      </c>
      <c r="AA1111">
        <v>0.995313</v>
      </c>
      <c r="AB1111">
        <v>23</v>
      </c>
      <c r="AC1111">
        <v>-1.79999999997448E-3</v>
      </c>
      <c r="AD1111">
        <v>-7.2067999999999993E-2</v>
      </c>
      <c r="AE1111">
        <v>-0.69109999999994898</v>
      </c>
      <c r="AF1111">
        <v>5.3157646836198703E-2</v>
      </c>
      <c r="AG1111">
        <v>-7.2067999999999993E-2</v>
      </c>
      <c r="AH1111">
        <v>0.68159822029816197</v>
      </c>
      <c r="AI1111">
        <v>96.017539340911995</v>
      </c>
      <c r="AJ1111">
        <v>85.5405455994497</v>
      </c>
      <c r="AK1111">
        <v>0.68745593746420097</v>
      </c>
      <c r="AL1111">
        <v>79.294969173724994</v>
      </c>
      <c r="AM1111">
        <v>84.2635688600881</v>
      </c>
      <c r="AN1111">
        <v>1.0000000404949401</v>
      </c>
    </row>
    <row r="1112" spans="1:40" x14ac:dyDescent="0.25">
      <c r="A1112" t="str">
        <f>"20190312172634677"</f>
        <v>20190312172634677</v>
      </c>
      <c r="B1112" t="str">
        <f>"1552382794670071"</f>
        <v>1552382794670071</v>
      </c>
      <c r="C1112" t="s">
        <v>40</v>
      </c>
      <c r="D1112">
        <v>3.6734779999999998</v>
      </c>
      <c r="E1112">
        <v>0.48484569999999999</v>
      </c>
      <c r="F1112" t="s">
        <v>44</v>
      </c>
      <c r="G1112">
        <v>-189.7312</v>
      </c>
      <c r="H1112">
        <v>1.0430410000000001</v>
      </c>
      <c r="I1112">
        <v>338.27850000000001</v>
      </c>
      <c r="J1112">
        <v>-189.72489999999999</v>
      </c>
      <c r="K1112">
        <v>1.11029</v>
      </c>
      <c r="L1112">
        <v>338.91840000000002</v>
      </c>
      <c r="M1112">
        <v>7.499053E-2</v>
      </c>
      <c r="N1112">
        <v>0</v>
      </c>
      <c r="O1112">
        <v>-0.99708960000000002</v>
      </c>
      <c r="P1112">
        <v>-2.469242E-2</v>
      </c>
      <c r="Q1112">
        <v>0.1719792</v>
      </c>
      <c r="R1112">
        <v>-0.98479119999999998</v>
      </c>
      <c r="S1112">
        <v>4.6081539999999997E-2</v>
      </c>
      <c r="T1112">
        <v>-0.230985</v>
      </c>
      <c r="U1112">
        <v>-3.0879819999999998</v>
      </c>
      <c r="V1112">
        <v>9.8520670000000005E-2</v>
      </c>
      <c r="W1112">
        <v>0.18541360000000001</v>
      </c>
      <c r="X1112">
        <v>0.9777093</v>
      </c>
      <c r="Y1112">
        <v>6.0151160000000002E-2</v>
      </c>
      <c r="Z1112">
        <v>7.4206579999999994E-2</v>
      </c>
      <c r="AA1112">
        <v>0.99542710000000001</v>
      </c>
      <c r="AB1112">
        <v>23</v>
      </c>
      <c r="AC1112">
        <v>-6.3000000000101803E-3</v>
      </c>
      <c r="AD1112">
        <v>-6.72490000000001E-2</v>
      </c>
      <c r="AE1112">
        <v>-0.63990000000001102</v>
      </c>
      <c r="AF1112">
        <v>5.3680409200237103E-2</v>
      </c>
      <c r="AG1112">
        <v>-6.72490000000001E-2</v>
      </c>
      <c r="AH1112">
        <v>0.63066069431774996</v>
      </c>
      <c r="AI1112">
        <v>96.064833197201907</v>
      </c>
      <c r="AJ1112">
        <v>85.134839876103499</v>
      </c>
      <c r="AK1112">
        <v>0.63650367295896404</v>
      </c>
      <c r="AL1112">
        <v>79.314752876721599</v>
      </c>
      <c r="AM1112">
        <v>84.245908877549994</v>
      </c>
      <c r="AN1112">
        <v>1.0000000003943399</v>
      </c>
    </row>
    <row r="1113" spans="1:40" x14ac:dyDescent="0.25">
      <c r="A1113" t="str">
        <f>"20190312172634700"</f>
        <v>20190312172634700</v>
      </c>
      <c r="B1113" t="str">
        <f>"1552382794689591"</f>
        <v>1552382794689591</v>
      </c>
      <c r="C1113" t="s">
        <v>40</v>
      </c>
      <c r="D1113">
        <v>3.6397040000000001</v>
      </c>
      <c r="E1113">
        <v>0.48535600000000001</v>
      </c>
      <c r="F1113" t="s">
        <v>44</v>
      </c>
      <c r="G1113">
        <v>-189.71549999999999</v>
      </c>
      <c r="H1113">
        <v>1.04861</v>
      </c>
      <c r="I1113">
        <v>338.06689999999998</v>
      </c>
      <c r="J1113">
        <v>-189.7071</v>
      </c>
      <c r="K1113">
        <v>1.110247</v>
      </c>
      <c r="L1113">
        <v>338.67829999999998</v>
      </c>
      <c r="M1113">
        <v>7.4770279999999995E-2</v>
      </c>
      <c r="N1113">
        <v>0</v>
      </c>
      <c r="O1113">
        <v>-0.9971063</v>
      </c>
      <c r="P1113">
        <v>-2.526457E-2</v>
      </c>
      <c r="Q1113">
        <v>0.1717023</v>
      </c>
      <c r="R1113">
        <v>-0.98482519999999996</v>
      </c>
      <c r="S1113">
        <v>3.4515379999999998E-2</v>
      </c>
      <c r="T1113">
        <v>-0.22367119999999999</v>
      </c>
      <c r="U1113">
        <v>-3.086182</v>
      </c>
      <c r="V1113">
        <v>9.8898280000000005E-2</v>
      </c>
      <c r="W1113">
        <v>0.18512210000000001</v>
      </c>
      <c r="X1113">
        <v>0.9777264</v>
      </c>
      <c r="Y1113">
        <v>6.3649650000000002E-2</v>
      </c>
      <c r="Z1113">
        <v>7.1906719999999993E-2</v>
      </c>
      <c r="AA1113">
        <v>0.9953784</v>
      </c>
      <c r="AB1113">
        <v>23</v>
      </c>
      <c r="AC1113">
        <v>-8.3999999999946305E-3</v>
      </c>
      <c r="AD1113">
        <v>-6.16369999999999E-2</v>
      </c>
      <c r="AE1113">
        <v>-0.61140000000000305</v>
      </c>
      <c r="AF1113">
        <v>5.3551188208056502E-2</v>
      </c>
      <c r="AG1113">
        <v>-6.16369999999999E-2</v>
      </c>
      <c r="AH1113">
        <v>0.60293350673169799</v>
      </c>
      <c r="AI1113">
        <v>95.814255263358106</v>
      </c>
      <c r="AJ1113">
        <v>84.924437043831901</v>
      </c>
      <c r="AK1113">
        <v>0.60843706582297996</v>
      </c>
      <c r="AL1113">
        <v>79.331748689990206</v>
      </c>
      <c r="AM1113">
        <v>84.2241037705748</v>
      </c>
      <c r="AN1113">
        <v>0.99999998747616403</v>
      </c>
    </row>
    <row r="1114" spans="1:40" x14ac:dyDescent="0.25">
      <c r="A1114" t="str">
        <f>"20190312172634719"</f>
        <v>20190312172634719</v>
      </c>
      <c r="B1114" t="str">
        <f>"1552382794710086"</f>
        <v>1552382794710086</v>
      </c>
      <c r="C1114" t="s">
        <v>40</v>
      </c>
      <c r="D1114">
        <v>3.6595309999999999</v>
      </c>
      <c r="E1114">
        <v>0.48591380000000001</v>
      </c>
      <c r="F1114" t="s">
        <v>44</v>
      </c>
      <c r="G1114">
        <v>-189.7</v>
      </c>
      <c r="H1114">
        <v>1.0517700000000001</v>
      </c>
      <c r="I1114">
        <v>337.85739999999998</v>
      </c>
      <c r="J1114">
        <v>-189.69210000000001</v>
      </c>
      <c r="K1114">
        <v>1.1101909999999999</v>
      </c>
      <c r="L1114">
        <v>338.47539999999998</v>
      </c>
      <c r="M1114">
        <v>7.4496199999999999E-2</v>
      </c>
      <c r="N1114">
        <v>0</v>
      </c>
      <c r="O1114">
        <v>-0.99712670000000003</v>
      </c>
      <c r="P1114">
        <v>-2.6205869999999999E-2</v>
      </c>
      <c r="Q1114">
        <v>0.17208029999999999</v>
      </c>
      <c r="R1114">
        <v>-0.98473449999999996</v>
      </c>
      <c r="S1114">
        <v>2.7374269999999999E-2</v>
      </c>
      <c r="T1114">
        <v>-0.22012580000000001</v>
      </c>
      <c r="U1114">
        <v>-3.0853269999999999</v>
      </c>
      <c r="V1114">
        <v>9.9587869999999995E-2</v>
      </c>
      <c r="W1114">
        <v>0.18548110000000001</v>
      </c>
      <c r="X1114">
        <v>0.97758840000000002</v>
      </c>
      <c r="Y1114">
        <v>6.5675040000000004E-2</v>
      </c>
      <c r="Z1114">
        <v>7.0790569999999997E-2</v>
      </c>
      <c r="AA1114">
        <v>0.99532679999999996</v>
      </c>
      <c r="AB1114">
        <v>23</v>
      </c>
      <c r="AC1114">
        <v>-7.8999999999780305E-3</v>
      </c>
      <c r="AD1114">
        <v>-5.8420999999999799E-2</v>
      </c>
      <c r="AE1114">
        <v>-0.617999999999995</v>
      </c>
      <c r="AF1114">
        <v>5.3443526187339302E-2</v>
      </c>
      <c r="AG1114">
        <v>-5.8420999999999799E-2</v>
      </c>
      <c r="AH1114">
        <v>0.61024141129908105</v>
      </c>
      <c r="AI1114">
        <v>95.447776654000705</v>
      </c>
      <c r="AJ1114">
        <v>84.994938592715101</v>
      </c>
      <c r="AK1114">
        <v>0.61535664764153697</v>
      </c>
      <c r="AL1114">
        <v>79.310817474828397</v>
      </c>
      <c r="AM1114">
        <v>84.183289827124796</v>
      </c>
      <c r="AN1114">
        <v>1.0000000310614501</v>
      </c>
    </row>
    <row r="1115" spans="1:40" x14ac:dyDescent="0.25">
      <c r="A1115" t="str">
        <f>"20190312172634743"</f>
        <v>20190312172634743</v>
      </c>
      <c r="B1115" t="str">
        <f>"1552382794739366"</f>
        <v>1552382794739366</v>
      </c>
      <c r="C1115" t="s">
        <v>40</v>
      </c>
      <c r="D1115">
        <v>3.6715779999999998</v>
      </c>
      <c r="E1115">
        <v>0.48642770000000002</v>
      </c>
      <c r="F1115" t="s">
        <v>44</v>
      </c>
      <c r="G1115">
        <v>-189.68729999999999</v>
      </c>
      <c r="H1115">
        <v>1.0523659999999999</v>
      </c>
      <c r="I1115">
        <v>337.65039999999999</v>
      </c>
      <c r="J1115">
        <v>-189.67439999999999</v>
      </c>
      <c r="K1115">
        <v>1.110085</v>
      </c>
      <c r="L1115">
        <v>338.23259999999999</v>
      </c>
      <c r="M1115">
        <v>7.402214E-2</v>
      </c>
      <c r="N1115">
        <v>0</v>
      </c>
      <c r="O1115">
        <v>-0.9971622</v>
      </c>
      <c r="P1115">
        <v>-2.7360369999999998E-2</v>
      </c>
      <c r="Q1115">
        <v>0.17210139999999999</v>
      </c>
      <c r="R1115">
        <v>-0.98469949999999995</v>
      </c>
      <c r="S1115">
        <v>1.8569950000000002E-2</v>
      </c>
      <c r="T1115">
        <v>-0.21639159999999999</v>
      </c>
      <c r="U1115">
        <v>-3.0848080000000002</v>
      </c>
      <c r="V1115">
        <v>0.1003174</v>
      </c>
      <c r="W1115">
        <v>0.1854731</v>
      </c>
      <c r="X1115">
        <v>0.97751529999999998</v>
      </c>
      <c r="Y1115">
        <v>6.8039039999999995E-2</v>
      </c>
      <c r="Z1115">
        <v>6.9606100000000004E-2</v>
      </c>
      <c r="AA1115">
        <v>0.99525160000000001</v>
      </c>
      <c r="AB1115">
        <v>23</v>
      </c>
      <c r="AC1115">
        <v>-1.29000000000019E-2</v>
      </c>
      <c r="AD1115">
        <v>-5.7718999999999999E-2</v>
      </c>
      <c r="AE1115">
        <v>-0.58220000000000005</v>
      </c>
      <c r="AF1115">
        <v>5.5419915911253698E-2</v>
      </c>
      <c r="AG1115">
        <v>-5.7718999999999999E-2</v>
      </c>
      <c r="AH1115">
        <v>0.57400856277714496</v>
      </c>
      <c r="AI1115">
        <v>95.715632416135705</v>
      </c>
      <c r="AJ1115">
        <v>84.485246689763102</v>
      </c>
      <c r="AK1115">
        <v>0.579559039427472</v>
      </c>
      <c r="AL1115">
        <v>79.311283670794893</v>
      </c>
      <c r="AM1115">
        <v>84.140539836417105</v>
      </c>
      <c r="AN1115">
        <v>1.0000000066502299</v>
      </c>
    </row>
    <row r="1116" spans="1:40" x14ac:dyDescent="0.25">
      <c r="A1116" t="str">
        <f>"20190312172634764"</f>
        <v>20190312172634764</v>
      </c>
      <c r="B1116" t="str">
        <f>"1552382794759862"</f>
        <v>1552382794759862</v>
      </c>
      <c r="C1116" t="s">
        <v>40</v>
      </c>
      <c r="D1116">
        <v>3.6123940000000001</v>
      </c>
      <c r="E1116">
        <v>0.48672389999999999</v>
      </c>
      <c r="F1116" t="s">
        <v>41</v>
      </c>
      <c r="G1116">
        <v>-189.62360000000001</v>
      </c>
      <c r="H1116" s="1">
        <v>-1.179702E-6</v>
      </c>
      <c r="I1116">
        <v>322.22710000000001</v>
      </c>
      <c r="J1116">
        <v>-189.6593</v>
      </c>
      <c r="K1116">
        <v>1.109966</v>
      </c>
      <c r="L1116">
        <v>338.02120000000002</v>
      </c>
      <c r="M1116">
        <v>7.3434879999999994E-2</v>
      </c>
      <c r="N1116">
        <v>0</v>
      </c>
      <c r="O1116">
        <v>-0.99720549999999997</v>
      </c>
      <c r="P1116">
        <v>-2.886644E-2</v>
      </c>
      <c r="Q1116">
        <v>0.172485</v>
      </c>
      <c r="R1116">
        <v>-0.98458950000000001</v>
      </c>
      <c r="S1116">
        <v>9.7961430000000002E-3</v>
      </c>
      <c r="T1116">
        <v>-0.21391650000000001</v>
      </c>
      <c r="U1116">
        <v>-3.08432</v>
      </c>
      <c r="V1116">
        <v>0.1012899</v>
      </c>
      <c r="W1116">
        <v>0.18582170000000001</v>
      </c>
      <c r="X1116">
        <v>0.97734880000000002</v>
      </c>
      <c r="Y1116">
        <v>7.0281239999999995E-2</v>
      </c>
      <c r="Z1116">
        <v>6.8824189999999993E-2</v>
      </c>
      <c r="AA1116">
        <v>0.99515010000000004</v>
      </c>
      <c r="AB1116">
        <v>23</v>
      </c>
      <c r="AC1116">
        <v>3.5699999999991398E-2</v>
      </c>
      <c r="AD1116">
        <v>-1.1099671797020001</v>
      </c>
      <c r="AE1116">
        <v>-15.7941</v>
      </c>
      <c r="AF1116">
        <v>1.11881787651009</v>
      </c>
      <c r="AG1116">
        <v>-1.1099671797020001</v>
      </c>
      <c r="AH1116">
        <v>15.676644940891601</v>
      </c>
      <c r="AI1116">
        <v>94.039763354675998</v>
      </c>
      <c r="AJ1116">
        <v>85.9178103588699</v>
      </c>
      <c r="AK1116">
        <v>15.755664923563099</v>
      </c>
      <c r="AL1116">
        <v>79.290957074939001</v>
      </c>
      <c r="AM1116">
        <v>84.083137147703695</v>
      </c>
      <c r="AN1116">
        <v>1.00000001244717</v>
      </c>
    </row>
    <row r="1117" spans="1:40" x14ac:dyDescent="0.25">
      <c r="A1117" t="str">
        <f>"20190312172634787"</f>
        <v>20190312172634787</v>
      </c>
      <c r="B1117" t="str">
        <f>"1552382794780359"</f>
        <v>1552382794780359</v>
      </c>
      <c r="C1117" t="s">
        <v>40</v>
      </c>
      <c r="D1117">
        <v>3.610757</v>
      </c>
      <c r="E1117">
        <v>0.48699880000000001</v>
      </c>
      <c r="F1117" t="s">
        <v>41</v>
      </c>
      <c r="G1117">
        <v>-189.64660000000001</v>
      </c>
      <c r="H1117" s="1">
        <v>-9.8914310000000005E-7</v>
      </c>
      <c r="I1117">
        <v>321.79239999999999</v>
      </c>
      <c r="J1117">
        <v>-189.6431</v>
      </c>
      <c r="K1117">
        <v>1.109802</v>
      </c>
      <c r="L1117">
        <v>337.78919999999999</v>
      </c>
      <c r="M1117">
        <v>7.2571670000000005E-2</v>
      </c>
      <c r="N1117">
        <v>0</v>
      </c>
      <c r="O1117">
        <v>-0.99726890000000001</v>
      </c>
      <c r="P1117">
        <v>-3.0604019999999999E-2</v>
      </c>
      <c r="Q1117">
        <v>0.1724695</v>
      </c>
      <c r="R1117">
        <v>-0.98453950000000001</v>
      </c>
      <c r="S1117">
        <v>2.4108889999999998E-3</v>
      </c>
      <c r="T1117">
        <v>-0.2109308</v>
      </c>
      <c r="U1117">
        <v>-3.084015</v>
      </c>
      <c r="V1117">
        <v>0.1022462</v>
      </c>
      <c r="W1117">
        <v>0.18576219999999999</v>
      </c>
      <c r="X1117">
        <v>0.97726049999999998</v>
      </c>
      <c r="Y1117">
        <v>7.1800409999999995E-2</v>
      </c>
      <c r="Z1117">
        <v>6.7877690000000004E-2</v>
      </c>
      <c r="AA1117">
        <v>0.99510670000000001</v>
      </c>
      <c r="AB1117">
        <v>23</v>
      </c>
      <c r="AC1117">
        <v>-3.5000000000024998E-3</v>
      </c>
      <c r="AD1117">
        <v>-1.1098029891431</v>
      </c>
      <c r="AE1117">
        <v>-15.9968</v>
      </c>
      <c r="AF1117">
        <v>1.15893637100893</v>
      </c>
      <c r="AG1117">
        <v>-1.1098029891431</v>
      </c>
      <c r="AH1117">
        <v>15.877935462575101</v>
      </c>
      <c r="AI1117">
        <v>93.987665065960201</v>
      </c>
      <c r="AJ1117">
        <v>85.8253629888966</v>
      </c>
      <c r="AK1117">
        <v>15.958810442525399</v>
      </c>
      <c r="AL1117">
        <v>79.294426257803593</v>
      </c>
      <c r="AM1117">
        <v>84.027140926832899</v>
      </c>
      <c r="AN1117">
        <v>0.99999998261176404</v>
      </c>
    </row>
    <row r="1118" spans="1:40" x14ac:dyDescent="0.25">
      <c r="A1118" t="str">
        <f>"20190312172634807"</f>
        <v>20190312172634807</v>
      </c>
      <c r="B1118" t="str">
        <f>"1552382794799878"</f>
        <v>1552382794799878</v>
      </c>
      <c r="C1118" t="s">
        <v>40</v>
      </c>
      <c r="D1118">
        <v>3.6113729999999999</v>
      </c>
      <c r="E1118">
        <v>0.48725000000000002</v>
      </c>
      <c r="F1118" t="s">
        <v>41</v>
      </c>
      <c r="G1118">
        <v>-189.67189999999999</v>
      </c>
      <c r="H1118" s="1">
        <v>-8.5114449999999995E-7</v>
      </c>
      <c r="I1118">
        <v>321.48110000000003</v>
      </c>
      <c r="J1118">
        <v>-189.6283</v>
      </c>
      <c r="K1118">
        <v>1.109623</v>
      </c>
      <c r="L1118">
        <v>337.57010000000002</v>
      </c>
      <c r="M1118">
        <v>7.1498069999999997E-2</v>
      </c>
      <c r="N1118">
        <v>0</v>
      </c>
      <c r="O1118">
        <v>-0.99734619999999996</v>
      </c>
      <c r="P1118">
        <v>-3.3095689999999997E-2</v>
      </c>
      <c r="Q1118">
        <v>0.1725479</v>
      </c>
      <c r="R1118">
        <v>-0.98444540000000003</v>
      </c>
      <c r="S1118">
        <v>-5.4473880000000001E-3</v>
      </c>
      <c r="T1118">
        <v>-0.20985470000000001</v>
      </c>
      <c r="U1118">
        <v>-3.08371</v>
      </c>
      <c r="V1118">
        <v>0.10375089999999999</v>
      </c>
      <c r="W1118">
        <v>0.18579180000000001</v>
      </c>
      <c r="X1118">
        <v>0.97709630000000003</v>
      </c>
      <c r="Y1118">
        <v>7.3262419999999995E-2</v>
      </c>
      <c r="Z1118">
        <v>6.7543870000000006E-2</v>
      </c>
      <c r="AA1118">
        <v>0.99502279999999999</v>
      </c>
      <c r="AB1118">
        <v>23</v>
      </c>
      <c r="AC1118">
        <v>-4.35999999999978E-2</v>
      </c>
      <c r="AD1118">
        <v>-1.1096238511445</v>
      </c>
      <c r="AE1118">
        <v>-16.088999999999999</v>
      </c>
      <c r="AF1118">
        <v>1.1882772486249999</v>
      </c>
      <c r="AG1118">
        <v>-1.1096238511445</v>
      </c>
      <c r="AH1118">
        <v>15.9687428384031</v>
      </c>
      <c r="AI1118">
        <v>93.964011490620507</v>
      </c>
      <c r="AJ1118">
        <v>85.744309799985302</v>
      </c>
      <c r="AK1118">
        <v>16.051293273430598</v>
      </c>
      <c r="AL1118">
        <v>79.292700562121794</v>
      </c>
      <c r="AM1118">
        <v>83.938880296404307</v>
      </c>
      <c r="AN1118">
        <v>1.00000001083587</v>
      </c>
    </row>
    <row r="1119" spans="1:40" x14ac:dyDescent="0.25">
      <c r="A1119" t="str">
        <f>"20190312172634831"</f>
        <v>20190312172634831</v>
      </c>
      <c r="B1119" t="str">
        <f>"1552382794820375"</f>
        <v>1552382794820375</v>
      </c>
      <c r="C1119" t="s">
        <v>40</v>
      </c>
      <c r="D1119">
        <v>3.6083050000000001</v>
      </c>
      <c r="E1119">
        <v>0.48750080000000001</v>
      </c>
      <c r="F1119" t="s">
        <v>41</v>
      </c>
      <c r="G1119">
        <v>-189.7141</v>
      </c>
      <c r="H1119" s="1">
        <v>-7.3633820000000002E-7</v>
      </c>
      <c r="I1119">
        <v>321.23099999999999</v>
      </c>
      <c r="J1119">
        <v>-189.61250000000001</v>
      </c>
      <c r="K1119">
        <v>1.109418</v>
      </c>
      <c r="L1119">
        <v>337.32769999999999</v>
      </c>
      <c r="M1119">
        <v>6.9965890000000003E-2</v>
      </c>
      <c r="N1119">
        <v>0</v>
      </c>
      <c r="O1119">
        <v>-0.99745479999999997</v>
      </c>
      <c r="P1119">
        <v>-3.6690760000000003E-2</v>
      </c>
      <c r="Q1119">
        <v>0.17278679999999999</v>
      </c>
      <c r="R1119">
        <v>-0.98427560000000003</v>
      </c>
      <c r="S1119">
        <v>-1.6189579999999999E-2</v>
      </c>
      <c r="T1119">
        <v>-0.2094125</v>
      </c>
      <c r="U1119">
        <v>-3.0835880000000002</v>
      </c>
      <c r="V1119">
        <v>0.105916</v>
      </c>
      <c r="W1119">
        <v>0.18597159999999999</v>
      </c>
      <c r="X1119">
        <v>0.97682979999999997</v>
      </c>
      <c r="Y1119">
        <v>7.5196620000000006E-2</v>
      </c>
      <c r="Z1119">
        <v>6.7410570000000003E-2</v>
      </c>
      <c r="AA1119">
        <v>0.99488759999999998</v>
      </c>
      <c r="AB1119">
        <v>23</v>
      </c>
      <c r="AC1119">
        <v>-0.10159999999999</v>
      </c>
      <c r="AD1119">
        <v>-1.1094187363382</v>
      </c>
      <c r="AE1119">
        <v>-16.096699999999998</v>
      </c>
      <c r="AF1119">
        <v>1.22187320073491</v>
      </c>
      <c r="AG1119">
        <v>-1.1094187363382</v>
      </c>
      <c r="AH1119">
        <v>15.974257677195901</v>
      </c>
      <c r="AI1119">
        <v>93.961301694576306</v>
      </c>
      <c r="AJ1119">
        <v>85.625955023156493</v>
      </c>
      <c r="AK1119">
        <v>16.059286795765999</v>
      </c>
      <c r="AL1119">
        <v>79.2822164465274</v>
      </c>
      <c r="AM1119">
        <v>83.811691504343898</v>
      </c>
      <c r="AN1119">
        <v>1.0000000466152901</v>
      </c>
    </row>
    <row r="1120" spans="1:40" x14ac:dyDescent="0.25">
      <c r="A1120" t="str">
        <f>"20190312172634852"</f>
        <v>20190312172634852</v>
      </c>
      <c r="B1120" t="str">
        <f>"1552382794849655"</f>
        <v>1552382794849655</v>
      </c>
      <c r="C1120" t="s">
        <v>40</v>
      </c>
      <c r="D1120">
        <v>3.5893329999999999</v>
      </c>
      <c r="E1120">
        <v>0.48781049999999998</v>
      </c>
      <c r="F1120" t="s">
        <v>44</v>
      </c>
      <c r="G1120">
        <v>-189.62110000000001</v>
      </c>
      <c r="H1120">
        <v>1.0479240000000001</v>
      </c>
      <c r="I1120">
        <v>336.41829999999999</v>
      </c>
      <c r="J1120">
        <v>-189.59889999999999</v>
      </c>
      <c r="K1120">
        <v>1.109229</v>
      </c>
      <c r="L1120">
        <v>337.10770000000002</v>
      </c>
      <c r="M1120">
        <v>6.8292980000000003E-2</v>
      </c>
      <c r="N1120">
        <v>0</v>
      </c>
      <c r="O1120">
        <v>-0.99757079999999998</v>
      </c>
      <c r="P1120">
        <v>-4.0615770000000002E-2</v>
      </c>
      <c r="Q1120">
        <v>0.17189979999999999</v>
      </c>
      <c r="R1120">
        <v>-0.98427710000000002</v>
      </c>
      <c r="S1120">
        <v>-2.9266360000000002E-2</v>
      </c>
      <c r="T1120">
        <v>-0.20845350000000001</v>
      </c>
      <c r="U1120">
        <v>-3.0834350000000001</v>
      </c>
      <c r="V1120">
        <v>0.1082721</v>
      </c>
      <c r="W1120">
        <v>0.18503130000000001</v>
      </c>
      <c r="X1120">
        <v>0.97675000000000001</v>
      </c>
      <c r="Y1120">
        <v>7.7743569999999998E-2</v>
      </c>
      <c r="Z1120">
        <v>6.7110660000000003E-2</v>
      </c>
      <c r="AA1120">
        <v>0.99471209999999999</v>
      </c>
      <c r="AB1120">
        <v>23</v>
      </c>
      <c r="AC1120">
        <v>-2.22000000000264E-2</v>
      </c>
      <c r="AD1120">
        <v>-6.1304999999999901E-2</v>
      </c>
      <c r="AE1120">
        <v>-0.68940000000003399</v>
      </c>
      <c r="AF1120">
        <v>6.8691154936997803E-2</v>
      </c>
      <c r="AG1120">
        <v>-6.1304999999999901E-2</v>
      </c>
      <c r="AH1120">
        <v>0.68089518745769895</v>
      </c>
      <c r="AI1120">
        <v>95.118959952714107</v>
      </c>
      <c r="AJ1120">
        <v>84.239286195261499</v>
      </c>
      <c r="AK1120">
        <v>0.68709172174800204</v>
      </c>
      <c r="AL1120">
        <v>79.337042696672398</v>
      </c>
      <c r="AM1120">
        <v>83.6746237376137</v>
      </c>
      <c r="AN1120">
        <v>0.99999999605904999</v>
      </c>
    </row>
    <row r="1121" spans="1:40" x14ac:dyDescent="0.25">
      <c r="A1121" t="str">
        <f>"20190312172634876"</f>
        <v>20190312172634876</v>
      </c>
      <c r="B1121" t="str">
        <f>"1552382794870152"</f>
        <v>1552382794870152</v>
      </c>
      <c r="C1121" t="s">
        <v>40</v>
      </c>
      <c r="D1121">
        <v>3.600698</v>
      </c>
      <c r="E1121">
        <v>0.48799199999999998</v>
      </c>
      <c r="F1121" t="s">
        <v>44</v>
      </c>
      <c r="G1121">
        <v>-189.61189999999999</v>
      </c>
      <c r="H1121">
        <v>1.048165</v>
      </c>
      <c r="I1121">
        <v>336.21269999999998</v>
      </c>
      <c r="J1121">
        <v>-189.5849</v>
      </c>
      <c r="K1121">
        <v>1.109038</v>
      </c>
      <c r="L1121">
        <v>336.86849999999998</v>
      </c>
      <c r="M1121">
        <v>6.6214469999999997E-2</v>
      </c>
      <c r="N1121">
        <v>0</v>
      </c>
      <c r="O1121">
        <v>-0.99771069999999995</v>
      </c>
      <c r="P1121">
        <v>-4.5282570000000001E-2</v>
      </c>
      <c r="Q1121">
        <v>0.17036970000000001</v>
      </c>
      <c r="R1121">
        <v>-0.98433910000000002</v>
      </c>
      <c r="S1121">
        <v>-4.3807980000000003E-2</v>
      </c>
      <c r="T1121">
        <v>-0.21053340000000001</v>
      </c>
      <c r="U1121">
        <v>-3.0828859999999998</v>
      </c>
      <c r="V1121">
        <v>0.1109668</v>
      </c>
      <c r="W1121">
        <v>0.1834499</v>
      </c>
      <c r="X1121">
        <v>0.9767458</v>
      </c>
      <c r="Y1121">
        <v>8.0358449999999998E-2</v>
      </c>
      <c r="Z1121">
        <v>6.7794510000000002E-2</v>
      </c>
      <c r="AA1121">
        <v>0.99445779999999995</v>
      </c>
      <c r="AB1121">
        <v>23</v>
      </c>
      <c r="AC1121">
        <v>-2.6999999999986798E-2</v>
      </c>
      <c r="AD1121">
        <v>-6.0872999999999899E-2</v>
      </c>
      <c r="AE1121">
        <v>-0.65579999999999905</v>
      </c>
      <c r="AF1121">
        <v>6.9768181871909807E-2</v>
      </c>
      <c r="AG1121">
        <v>-6.0872999999999899E-2</v>
      </c>
      <c r="AH1121">
        <v>0.64700736476242005</v>
      </c>
      <c r="AI1121">
        <v>95.343992275104995</v>
      </c>
      <c r="AJ1121">
        <v>83.845455110932306</v>
      </c>
      <c r="AK1121">
        <v>0.65359899891869799</v>
      </c>
      <c r="AL1121">
        <v>79.429227627367098</v>
      </c>
      <c r="AM1121">
        <v>83.518492306087396</v>
      </c>
      <c r="AN1121">
        <v>0.99999992716494202</v>
      </c>
    </row>
    <row r="1122" spans="1:40" x14ac:dyDescent="0.25">
      <c r="A1122" t="str">
        <f>"20190312172634900"</f>
        <v>20190312172634900</v>
      </c>
      <c r="B1122" t="str">
        <f>"1552382794889744"</f>
        <v>1552382794889744</v>
      </c>
      <c r="C1122" t="s">
        <v>40</v>
      </c>
      <c r="D1122">
        <v>3.6394790000000001</v>
      </c>
      <c r="E1122">
        <v>0.4880697</v>
      </c>
      <c r="F1122" t="s">
        <v>44</v>
      </c>
      <c r="G1122">
        <v>-189.60149999999999</v>
      </c>
      <c r="H1122">
        <v>1.0489219999999999</v>
      </c>
      <c r="I1122">
        <v>336.00689999999997</v>
      </c>
      <c r="J1122">
        <v>-189.5712</v>
      </c>
      <c r="K1122">
        <v>1.1088789999999999</v>
      </c>
      <c r="L1122">
        <v>336.62310000000002</v>
      </c>
      <c r="M1122">
        <v>6.38378E-2</v>
      </c>
      <c r="N1122">
        <v>0</v>
      </c>
      <c r="O1122">
        <v>-0.99786569999999997</v>
      </c>
      <c r="P1122">
        <v>-5.053295E-2</v>
      </c>
      <c r="Q1122">
        <v>0.16874900000000001</v>
      </c>
      <c r="R1122">
        <v>-0.98436279999999998</v>
      </c>
      <c r="S1122">
        <v>-5.9082030000000001E-2</v>
      </c>
      <c r="T1122">
        <v>-0.21523010000000001</v>
      </c>
      <c r="U1122">
        <v>-3.082306</v>
      </c>
      <c r="V1122">
        <v>0.11393499999999999</v>
      </c>
      <c r="W1122">
        <v>0.18178140000000001</v>
      </c>
      <c r="X1122">
        <v>0.97671609999999998</v>
      </c>
      <c r="Y1122">
        <v>8.2911159999999998E-2</v>
      </c>
      <c r="Z1122">
        <v>6.9318679999999994E-2</v>
      </c>
      <c r="AA1122">
        <v>0.9941432</v>
      </c>
      <c r="AB1122">
        <v>23</v>
      </c>
      <c r="AC1122">
        <v>-3.0299999999982601E-2</v>
      </c>
      <c r="AD1122">
        <v>-5.9957000000000198E-2</v>
      </c>
      <c r="AE1122">
        <v>-0.61620000000004804</v>
      </c>
      <c r="AF1122">
        <v>6.8927749882901096E-2</v>
      </c>
      <c r="AG1122">
        <v>-5.9957000000000198E-2</v>
      </c>
      <c r="AH1122">
        <v>0.60727292082870699</v>
      </c>
      <c r="AI1122">
        <v>95.602882536672695</v>
      </c>
      <c r="AJ1122">
        <v>83.524428117628602</v>
      </c>
      <c r="AK1122">
        <v>0.61410607953736196</v>
      </c>
      <c r="AL1122">
        <v>79.526461469587304</v>
      </c>
      <c r="AM1122">
        <v>83.346455314398995</v>
      </c>
      <c r="AN1122">
        <v>1.00000000080508</v>
      </c>
    </row>
    <row r="1123" spans="1:40" x14ac:dyDescent="0.25">
      <c r="A1123" t="str">
        <f>"20190312172634921"</f>
        <v>20190312172634921</v>
      </c>
      <c r="B1123" t="str">
        <f>"1552382794910240"</f>
        <v>1552382794910240</v>
      </c>
      <c r="C1123" t="s">
        <v>40</v>
      </c>
      <c r="D1123">
        <v>3.661467</v>
      </c>
      <c r="E1123">
        <v>0.488151</v>
      </c>
      <c r="F1123" t="s">
        <v>44</v>
      </c>
      <c r="G1123">
        <v>-189.5915</v>
      </c>
      <c r="H1123">
        <v>1.050475</v>
      </c>
      <c r="I1123">
        <v>335.8005</v>
      </c>
      <c r="J1123">
        <v>-189.55940000000001</v>
      </c>
      <c r="K1123">
        <v>1.10876</v>
      </c>
      <c r="L1123">
        <v>336.39830000000001</v>
      </c>
      <c r="M1123">
        <v>6.1472400000000003E-2</v>
      </c>
      <c r="N1123">
        <v>0</v>
      </c>
      <c r="O1123">
        <v>-0.99801419999999996</v>
      </c>
      <c r="P1123">
        <v>-5.6412749999999998E-2</v>
      </c>
      <c r="Q1123">
        <v>0.16572509999999999</v>
      </c>
      <c r="R1123">
        <v>-0.98455740000000003</v>
      </c>
      <c r="S1123">
        <v>-7.5317380000000003E-2</v>
      </c>
      <c r="T1123">
        <v>-0.21886</v>
      </c>
      <c r="U1123">
        <v>-3.0812680000000001</v>
      </c>
      <c r="V1123">
        <v>0.1175297</v>
      </c>
      <c r="W1123">
        <v>0.17871819999999999</v>
      </c>
      <c r="X1123">
        <v>0.97685549999999999</v>
      </c>
      <c r="Y1123">
        <v>8.5788729999999994E-2</v>
      </c>
      <c r="Z1123">
        <v>7.0508639999999997E-2</v>
      </c>
      <c r="AA1123">
        <v>0.99381529999999996</v>
      </c>
      <c r="AB1123">
        <v>23</v>
      </c>
      <c r="AC1123">
        <v>-3.2099999999985501E-2</v>
      </c>
      <c r="AD1123">
        <v>-5.8284999999999899E-2</v>
      </c>
      <c r="AE1123">
        <v>-0.59780000000000599</v>
      </c>
      <c r="AF1123">
        <v>6.8145020691656705E-2</v>
      </c>
      <c r="AG1123">
        <v>-5.8284999999999899E-2</v>
      </c>
      <c r="AH1123">
        <v>0.58911172042287896</v>
      </c>
      <c r="AI1123">
        <v>95.613102670602004</v>
      </c>
      <c r="AJ1123">
        <v>83.401682508278299</v>
      </c>
      <c r="AK1123">
        <v>0.59589722621411001</v>
      </c>
      <c r="AL1123">
        <v>79.7048930023293</v>
      </c>
      <c r="AM1123">
        <v>83.139473991709096</v>
      </c>
      <c r="AN1123">
        <v>1.00000004663678</v>
      </c>
    </row>
    <row r="1124" spans="1:40" x14ac:dyDescent="0.25">
      <c r="A1124" t="str">
        <f>"20190312172634943"</f>
        <v>20190312172634943</v>
      </c>
      <c r="B1124" t="str">
        <f>"1552382794940496"</f>
        <v>1552382794940496</v>
      </c>
      <c r="C1124" t="s">
        <v>40</v>
      </c>
      <c r="D1124">
        <v>3.6204830000000001</v>
      </c>
      <c r="E1124">
        <v>0.48819560000000001</v>
      </c>
      <c r="F1124" t="s">
        <v>44</v>
      </c>
      <c r="G1124">
        <v>-189.58349999999999</v>
      </c>
      <c r="H1124">
        <v>1.0497749999999999</v>
      </c>
      <c r="I1124">
        <v>335.59620000000001</v>
      </c>
      <c r="J1124">
        <v>-189.5487</v>
      </c>
      <c r="K1124">
        <v>1.1086689999999999</v>
      </c>
      <c r="L1124">
        <v>336.18040000000002</v>
      </c>
      <c r="M1124">
        <v>5.904537E-2</v>
      </c>
      <c r="N1124">
        <v>0</v>
      </c>
      <c r="O1124">
        <v>-0.99816059999999995</v>
      </c>
      <c r="P1124">
        <v>-6.2465890000000003E-2</v>
      </c>
      <c r="Q1124">
        <v>0.1629671</v>
      </c>
      <c r="R1124">
        <v>-0.98465210000000003</v>
      </c>
      <c r="S1124">
        <v>-9.2361449999999998E-2</v>
      </c>
      <c r="T1124">
        <v>-0.226545</v>
      </c>
      <c r="U1124">
        <v>-3.079895</v>
      </c>
      <c r="V1124">
        <v>0.1212197</v>
      </c>
      <c r="W1124">
        <v>0.17592459999999999</v>
      </c>
      <c r="X1124">
        <v>0.97691159999999999</v>
      </c>
      <c r="Y1124">
        <v>8.8866699999999896E-2</v>
      </c>
      <c r="Z1124">
        <v>7.3004459999999993E-2</v>
      </c>
      <c r="AA1124">
        <v>0.99336449999999998</v>
      </c>
      <c r="AB1124">
        <v>23</v>
      </c>
      <c r="AC1124">
        <v>-3.4799999999989902E-2</v>
      </c>
      <c r="AD1124">
        <v>-5.8894000000000203E-2</v>
      </c>
      <c r="AE1124">
        <v>-0.58420000000000905</v>
      </c>
      <c r="AF1124">
        <v>6.8542707563296501E-2</v>
      </c>
      <c r="AG1124">
        <v>-5.8894000000000203E-2</v>
      </c>
      <c r="AH1124">
        <v>0.57529952395338901</v>
      </c>
      <c r="AI1124">
        <v>95.804298290017002</v>
      </c>
      <c r="AJ1124">
        <v>83.205656923530697</v>
      </c>
      <c r="AK1124">
        <v>0.58235397161614999</v>
      </c>
      <c r="AL1124">
        <v>79.867531172979497</v>
      </c>
      <c r="AM1124">
        <v>82.926630252249495</v>
      </c>
      <c r="AN1124">
        <v>0.999999977383904</v>
      </c>
    </row>
    <row r="1125" spans="1:40" x14ac:dyDescent="0.25">
      <c r="A1125" t="str">
        <f>"20190312172634965"</f>
        <v>20190312172634965</v>
      </c>
      <c r="B1125" t="str">
        <f>"1552382794960016"</f>
        <v>1552382794960016</v>
      </c>
      <c r="C1125" t="s">
        <v>40</v>
      </c>
      <c r="D1125">
        <v>3.6570930000000001</v>
      </c>
      <c r="E1125">
        <v>0.48817969999999999</v>
      </c>
      <c r="F1125" t="s">
        <v>44</v>
      </c>
      <c r="G1125">
        <v>-189.5772</v>
      </c>
      <c r="H1125">
        <v>1.0490699999999999</v>
      </c>
      <c r="I1125">
        <v>335.3922</v>
      </c>
      <c r="J1125">
        <v>-189.53800000000001</v>
      </c>
      <c r="K1125">
        <v>1.108608</v>
      </c>
      <c r="L1125">
        <v>335.94909999999999</v>
      </c>
      <c r="M1125">
        <v>5.6373380000000001E-2</v>
      </c>
      <c r="N1125">
        <v>0</v>
      </c>
      <c r="O1125">
        <v>-0.99831510000000001</v>
      </c>
      <c r="P1125">
        <v>-6.8703089999999994E-2</v>
      </c>
      <c r="Q1125">
        <v>0.16113</v>
      </c>
      <c r="R1125">
        <v>-0.98453919999999995</v>
      </c>
      <c r="S1125">
        <v>-0.11062619999999999</v>
      </c>
      <c r="T1125">
        <v>-0.2328856</v>
      </c>
      <c r="U1125">
        <v>-3.0782470000000002</v>
      </c>
      <c r="V1125">
        <v>0.1248373</v>
      </c>
      <c r="W1125">
        <v>0.1740546</v>
      </c>
      <c r="X1125">
        <v>0.97679099999999996</v>
      </c>
      <c r="Y1125">
        <v>9.2098219999999995E-2</v>
      </c>
      <c r="Z1125">
        <v>7.5075279999999994E-2</v>
      </c>
      <c r="AA1125">
        <v>0.99291569999999996</v>
      </c>
      <c r="AB1125">
        <v>23</v>
      </c>
      <c r="AC1125">
        <v>-3.92000000000223E-2</v>
      </c>
      <c r="AD1125">
        <v>-5.9537999999999799E-2</v>
      </c>
      <c r="AE1125">
        <v>-0.55689999999998396</v>
      </c>
      <c r="AF1125">
        <v>6.9741757346016495E-2</v>
      </c>
      <c r="AG1125">
        <v>-5.9537999999999799E-2</v>
      </c>
      <c r="AH1125">
        <v>0.54757641441863003</v>
      </c>
      <c r="AI1125">
        <v>96.156051104388595</v>
      </c>
      <c r="AJ1125">
        <v>82.741635077237703</v>
      </c>
      <c r="AK1125">
        <v>0.55520141911676801</v>
      </c>
      <c r="AL1125">
        <v>79.976353691572399</v>
      </c>
      <c r="AM1125">
        <v>82.716881592903505</v>
      </c>
      <c r="AN1125">
        <v>1.00000000646672</v>
      </c>
    </row>
    <row r="1126" spans="1:40" x14ac:dyDescent="0.25">
      <c r="A1126" t="str">
        <f>"20190312172634989"</f>
        <v>20190312172634989</v>
      </c>
      <c r="B1126" t="str">
        <f>"1552382794979536"</f>
        <v>1552382794979536</v>
      </c>
      <c r="C1126" t="s">
        <v>40</v>
      </c>
      <c r="D1126">
        <v>3.642404</v>
      </c>
      <c r="E1126">
        <v>0.48814760000000001</v>
      </c>
      <c r="F1126" t="s">
        <v>44</v>
      </c>
      <c r="G1126">
        <v>-189.57</v>
      </c>
      <c r="H1126">
        <v>1.049871</v>
      </c>
      <c r="I1126">
        <v>335.18699999999899</v>
      </c>
      <c r="J1126">
        <v>-189.52770000000001</v>
      </c>
      <c r="K1126">
        <v>1.108571</v>
      </c>
      <c r="L1126">
        <v>335.70940000000002</v>
      </c>
      <c r="M1126">
        <v>5.3545769999999999E-2</v>
      </c>
      <c r="N1126">
        <v>0</v>
      </c>
      <c r="O1126">
        <v>-0.99847070000000004</v>
      </c>
      <c r="P1126">
        <v>-7.5448710000000002E-2</v>
      </c>
      <c r="Q1126">
        <v>0.1606571</v>
      </c>
      <c r="R1126">
        <v>-0.98412259999999996</v>
      </c>
      <c r="S1126">
        <v>-0.12911989999999901</v>
      </c>
      <c r="T1126">
        <v>-0.2370592</v>
      </c>
      <c r="U1126">
        <v>-3.0769039999999999</v>
      </c>
      <c r="V1126">
        <v>0.12878999999999999</v>
      </c>
      <c r="W1126">
        <v>0.173549799999999</v>
      </c>
      <c r="X1126">
        <v>0.97636750000000005</v>
      </c>
      <c r="Y1126">
        <v>9.5247670000000006E-2</v>
      </c>
      <c r="Z1126">
        <v>7.6443650000000002E-2</v>
      </c>
      <c r="AA1126">
        <v>0.99251409999999995</v>
      </c>
      <c r="AB1126">
        <v>23</v>
      </c>
      <c r="AC1126">
        <v>-4.2299999999983101E-2</v>
      </c>
      <c r="AD1126">
        <v>-5.8699999999999898E-2</v>
      </c>
      <c r="AE1126">
        <v>-0.52240000000006104</v>
      </c>
      <c r="AF1126">
        <v>6.9344412746697198E-2</v>
      </c>
      <c r="AG1126">
        <v>-5.8699999999999898E-2</v>
      </c>
      <c r="AH1126">
        <v>0.51295083012643194</v>
      </c>
      <c r="AI1126">
        <v>96.469949177084104</v>
      </c>
      <c r="AJ1126">
        <v>82.301015816867405</v>
      </c>
      <c r="AK1126">
        <v>0.520934632853854</v>
      </c>
      <c r="AL1126">
        <v>80.005722984704306</v>
      </c>
      <c r="AM1126">
        <v>82.485650139067303</v>
      </c>
      <c r="AN1126">
        <v>0.99999994611814302</v>
      </c>
    </row>
    <row r="1127" spans="1:40" x14ac:dyDescent="0.25">
      <c r="A1127" t="str">
        <f>"20190312172635009"</f>
        <v>20190312172635009</v>
      </c>
      <c r="B1127" t="str">
        <f>"1552382795000032"</f>
        <v>1552382795000032</v>
      </c>
      <c r="C1127" t="s">
        <v>40</v>
      </c>
      <c r="D1127">
        <v>3.6587130000000001</v>
      </c>
      <c r="E1127">
        <v>0.4880987</v>
      </c>
      <c r="F1127" t="s">
        <v>44</v>
      </c>
      <c r="G1127">
        <v>-189.57249999999999</v>
      </c>
      <c r="H1127">
        <v>1.0374159999999999</v>
      </c>
      <c r="I1127">
        <v>334.78660000000002</v>
      </c>
      <c r="J1127">
        <v>-189.51949999999999</v>
      </c>
      <c r="K1127">
        <v>1.108562</v>
      </c>
      <c r="L1127">
        <v>335.50349999999997</v>
      </c>
      <c r="M1127">
        <v>5.1100329999999999E-2</v>
      </c>
      <c r="N1127">
        <v>0</v>
      </c>
      <c r="O1127">
        <v>-0.99859900000000001</v>
      </c>
      <c r="P1127">
        <v>-8.0855730000000001E-2</v>
      </c>
      <c r="Q1127">
        <v>0.1610753</v>
      </c>
      <c r="R1127">
        <v>-0.98362490000000002</v>
      </c>
      <c r="S1127">
        <v>-0.1489868</v>
      </c>
      <c r="T1127">
        <v>-0.2372956</v>
      </c>
      <c r="U1127">
        <v>-3.0757140000000001</v>
      </c>
      <c r="V1127">
        <v>0.1317719</v>
      </c>
      <c r="W1127">
        <v>0.1739462</v>
      </c>
      <c r="X1127">
        <v>0.97589899999999996</v>
      </c>
      <c r="Y1127">
        <v>9.9222619999999997E-2</v>
      </c>
      <c r="Z1127">
        <v>7.6537560000000004E-2</v>
      </c>
      <c r="AA1127">
        <v>0.99211729999999998</v>
      </c>
      <c r="AB1127">
        <v>23</v>
      </c>
      <c r="AC1127">
        <v>-5.2999999999997202E-2</v>
      </c>
      <c r="AD1127">
        <v>-7.1146000000000098E-2</v>
      </c>
      <c r="AE1127">
        <v>-0.71689999999995202</v>
      </c>
      <c r="AF1127">
        <v>8.8699195923087407E-2</v>
      </c>
      <c r="AG1127">
        <v>-7.1146000000000098E-2</v>
      </c>
      <c r="AH1127">
        <v>0.70633588374303402</v>
      </c>
      <c r="AI1127">
        <v>95.707219395751196</v>
      </c>
      <c r="AJ1127">
        <v>82.842462490304101</v>
      </c>
      <c r="AK1127">
        <v>0.71542971795729604</v>
      </c>
      <c r="AL1127">
        <v>79.982660559273796</v>
      </c>
      <c r="AM1127">
        <v>82.310079889256201</v>
      </c>
      <c r="AN1127">
        <v>0.99999998616252495</v>
      </c>
    </row>
    <row r="1128" spans="1:40" x14ac:dyDescent="0.25">
      <c r="A1128" t="str">
        <f>"20190312172635031"</f>
        <v>20190312172635031</v>
      </c>
      <c r="B1128" t="str">
        <f>"1552382795019552"</f>
        <v>1552382795019552</v>
      </c>
      <c r="C1128" t="s">
        <v>40</v>
      </c>
      <c r="D1128">
        <v>3.658582</v>
      </c>
      <c r="E1128">
        <v>0.48803580000000002</v>
      </c>
      <c r="F1128" t="s">
        <v>44</v>
      </c>
      <c r="G1128">
        <v>-189.56899999999999</v>
      </c>
      <c r="H1128">
        <v>1.0383180000000001</v>
      </c>
      <c r="I1128">
        <v>334.58249999999998</v>
      </c>
      <c r="J1128">
        <v>-189.5111</v>
      </c>
      <c r="K1128">
        <v>1.1085780000000001</v>
      </c>
      <c r="L1128">
        <v>335.27940000000001</v>
      </c>
      <c r="M1128">
        <v>4.8439339999999997E-2</v>
      </c>
      <c r="N1128">
        <v>0</v>
      </c>
      <c r="O1128">
        <v>-0.99873160000000005</v>
      </c>
      <c r="P1128">
        <v>-8.6307739999999994E-2</v>
      </c>
      <c r="Q1128">
        <v>0.161990299999999</v>
      </c>
      <c r="R1128">
        <v>-0.98301070000000002</v>
      </c>
      <c r="S1128">
        <v>-0.1649475</v>
      </c>
      <c r="T1128">
        <v>-0.23456840000000001</v>
      </c>
      <c r="U1128">
        <v>-3.0748289999999998</v>
      </c>
      <c r="V1128">
        <v>0.13457920000000001</v>
      </c>
      <c r="W1128">
        <v>0.1748458</v>
      </c>
      <c r="X1128">
        <v>0.97535499999999997</v>
      </c>
      <c r="Y1128">
        <v>0.1017247</v>
      </c>
      <c r="Z1128">
        <v>7.5680200000000003E-2</v>
      </c>
      <c r="AA1128">
        <v>0.99192970000000003</v>
      </c>
      <c r="AB1128">
        <v>23</v>
      </c>
      <c r="AC1128">
        <v>-5.7900000000017798E-2</v>
      </c>
      <c r="AD1128">
        <v>-7.0259999999999906E-2</v>
      </c>
      <c r="AE1128">
        <v>-0.69690000000002705</v>
      </c>
      <c r="AF1128">
        <v>9.0677235607637505E-2</v>
      </c>
      <c r="AG1128">
        <v>-7.0259999999999906E-2</v>
      </c>
      <c r="AH1128">
        <v>0.686348476568164</v>
      </c>
      <c r="AI1128">
        <v>95.794877090062599</v>
      </c>
      <c r="AJ1128">
        <v>82.473928439923199</v>
      </c>
      <c r="AK1128">
        <v>0.695868565136322</v>
      </c>
      <c r="AL1128">
        <v>79.930315205051201</v>
      </c>
      <c r="AM1128">
        <v>82.143949885240602</v>
      </c>
      <c r="AN1128">
        <v>0.99999999543763995</v>
      </c>
    </row>
    <row r="1129" spans="1:40" x14ac:dyDescent="0.25">
      <c r="A1129" t="str">
        <f>"20190312172635053"</f>
        <v>20190312172635053</v>
      </c>
      <c r="B1129" t="str">
        <f>"1552382795049810"</f>
        <v>1552382795049810</v>
      </c>
      <c r="C1129" t="s">
        <v>40</v>
      </c>
      <c r="D1129">
        <v>3.652946</v>
      </c>
      <c r="E1129">
        <v>0.48788599999999999</v>
      </c>
      <c r="F1129" t="s">
        <v>44</v>
      </c>
      <c r="G1129">
        <v>-189.56440000000001</v>
      </c>
      <c r="H1129">
        <v>1.0410239999999999</v>
      </c>
      <c r="I1129">
        <v>334.3777</v>
      </c>
      <c r="J1129">
        <v>-189.50319999999999</v>
      </c>
      <c r="K1129">
        <v>1.1086020000000001</v>
      </c>
      <c r="L1129">
        <v>335.05160000000001</v>
      </c>
      <c r="M1129">
        <v>4.5749379999999999E-2</v>
      </c>
      <c r="N1129">
        <v>0</v>
      </c>
      <c r="O1129">
        <v>-0.99885840000000004</v>
      </c>
      <c r="P1129">
        <v>-9.0613479999999996E-2</v>
      </c>
      <c r="Q1129">
        <v>0.1617316</v>
      </c>
      <c r="R1129">
        <v>-0.98266589999999998</v>
      </c>
      <c r="S1129">
        <v>-0.1813507</v>
      </c>
      <c r="T1129">
        <v>-0.23038110000000001</v>
      </c>
      <c r="U1129">
        <v>-3.0738829999999999</v>
      </c>
      <c r="V1129">
        <v>0.1362187</v>
      </c>
      <c r="W1129">
        <v>0.1745843</v>
      </c>
      <c r="X1129">
        <v>0.97517419999999999</v>
      </c>
      <c r="Y1129">
        <v>0.1043439</v>
      </c>
      <c r="Z1129">
        <v>7.4352550000000003E-2</v>
      </c>
      <c r="AA1129">
        <v>0.99175800000000003</v>
      </c>
      <c r="AB1129">
        <v>23</v>
      </c>
      <c r="AC1129">
        <v>-6.1200000000013598E-2</v>
      </c>
      <c r="AD1129">
        <v>-6.7578000000000096E-2</v>
      </c>
      <c r="AE1129">
        <v>-0.67390000000000305</v>
      </c>
      <c r="AF1129">
        <v>9.1061119034089005E-2</v>
      </c>
      <c r="AG1129">
        <v>-6.7578000000000096E-2</v>
      </c>
      <c r="AH1129">
        <v>0.66377390567558103</v>
      </c>
      <c r="AI1129">
        <v>95.7596047982572</v>
      </c>
      <c r="AJ1129">
        <v>82.188527737611494</v>
      </c>
      <c r="AK1129">
        <v>0.67339045979250101</v>
      </c>
      <c r="AL1129">
        <v>79.9455318048999</v>
      </c>
      <c r="AM1129">
        <v>82.048005620747304</v>
      </c>
      <c r="AN1129">
        <v>0.99999996619090903</v>
      </c>
    </row>
    <row r="1130" spans="1:40" x14ac:dyDescent="0.25">
      <c r="A1130" t="str">
        <f>"20190312172635078"</f>
        <v>20190312172635078</v>
      </c>
      <c r="B1130" t="str">
        <f>"1552382795070304"</f>
        <v>1552382795070304</v>
      </c>
      <c r="C1130" t="s">
        <v>40</v>
      </c>
      <c r="D1130">
        <v>3.600142</v>
      </c>
      <c r="E1130">
        <v>0.48773440000000001</v>
      </c>
      <c r="F1130" t="s">
        <v>44</v>
      </c>
      <c r="G1130">
        <v>-189.55869999999999</v>
      </c>
      <c r="H1130">
        <v>1.043145</v>
      </c>
      <c r="I1130">
        <v>334.17309999999998</v>
      </c>
      <c r="J1130">
        <v>-189.49539999999999</v>
      </c>
      <c r="K1130">
        <v>1.1086400000000001</v>
      </c>
      <c r="L1130">
        <v>334.80549999999999</v>
      </c>
      <c r="M1130">
        <v>4.286715E-2</v>
      </c>
      <c r="N1130">
        <v>0</v>
      </c>
      <c r="O1130">
        <v>-0.99898620000000005</v>
      </c>
      <c r="P1130">
        <v>-9.5277470000000003E-2</v>
      </c>
      <c r="Q1130">
        <v>0.16260079999999999</v>
      </c>
      <c r="R1130">
        <v>-0.98208110000000004</v>
      </c>
      <c r="S1130">
        <v>-0.19361880000000001</v>
      </c>
      <c r="T1130">
        <v>-0.2290285</v>
      </c>
      <c r="U1130">
        <v>-3.0727540000000002</v>
      </c>
      <c r="V1130">
        <v>0.1380217</v>
      </c>
      <c r="W1130">
        <v>0.17545039999999901</v>
      </c>
      <c r="X1130">
        <v>0.9747652</v>
      </c>
      <c r="Y1130">
        <v>0.1054426</v>
      </c>
      <c r="Z1130">
        <v>7.3946369999999997E-2</v>
      </c>
      <c r="AA1130">
        <v>0.9916722</v>
      </c>
      <c r="AB1130">
        <v>23</v>
      </c>
      <c r="AC1130">
        <v>-6.3299999999998094E-2</v>
      </c>
      <c r="AD1130">
        <v>-6.5494999999999998E-2</v>
      </c>
      <c r="AE1130">
        <v>-0.63240000000001795</v>
      </c>
      <c r="AF1130">
        <v>8.9404125171882801E-2</v>
      </c>
      <c r="AG1130">
        <v>-6.5494999999999998E-2</v>
      </c>
      <c r="AH1130">
        <v>0.62249426699844801</v>
      </c>
      <c r="AI1130">
        <v>95.945645234802299</v>
      </c>
      <c r="AJ1130">
        <v>81.826932761333097</v>
      </c>
      <c r="AK1130">
        <v>0.63228301026414202</v>
      </c>
      <c r="AL1130">
        <v>79.895130478866193</v>
      </c>
      <c r="AM1130">
        <v>81.940789569648999</v>
      </c>
      <c r="AN1130">
        <v>1.0000000138310401</v>
      </c>
    </row>
    <row r="1131" spans="1:40" x14ac:dyDescent="0.25">
      <c r="A1131" t="str">
        <f>"20190312172635102"</f>
        <v>20190312172635102</v>
      </c>
      <c r="B1131" t="str">
        <f>"1552382795089824"</f>
        <v>1552382795089824</v>
      </c>
      <c r="C1131" t="s">
        <v>40</v>
      </c>
      <c r="D1131">
        <v>3.6503700000000001</v>
      </c>
      <c r="E1131">
        <v>0.48765029999999998</v>
      </c>
      <c r="F1131" t="s">
        <v>44</v>
      </c>
      <c r="G1131">
        <v>-189.5521</v>
      </c>
      <c r="H1131">
        <v>1.0473330000000001</v>
      </c>
      <c r="I1131">
        <v>333.9667</v>
      </c>
      <c r="J1131">
        <v>-189.48830000000001</v>
      </c>
      <c r="K1131">
        <v>1.108673</v>
      </c>
      <c r="L1131">
        <v>334.56400000000002</v>
      </c>
      <c r="M1131">
        <v>4.0068100000000002E-2</v>
      </c>
      <c r="N1131">
        <v>0</v>
      </c>
      <c r="O1131">
        <v>-0.99910239999999995</v>
      </c>
      <c r="P1131">
        <v>-9.8526440000000007E-2</v>
      </c>
      <c r="Q1131">
        <v>0.16304260000000001</v>
      </c>
      <c r="R1131">
        <v>-0.98168719999999998</v>
      </c>
      <c r="S1131">
        <v>-0.20738219999999999</v>
      </c>
      <c r="T1131">
        <v>-0.22464719999999999</v>
      </c>
      <c r="U1131">
        <v>-3.0718079999999999</v>
      </c>
      <c r="V1131">
        <v>0.13850270000000001</v>
      </c>
      <c r="W1131">
        <v>0.17589639999999901</v>
      </c>
      <c r="X1131">
        <v>0.97461660000000006</v>
      </c>
      <c r="Y1131">
        <v>0.1071069</v>
      </c>
      <c r="Z1131">
        <v>7.255723E-2</v>
      </c>
      <c r="AA1131">
        <v>0.99159649999999999</v>
      </c>
      <c r="AB1131">
        <v>23</v>
      </c>
      <c r="AC1131">
        <v>-6.3799999999986298E-2</v>
      </c>
      <c r="AD1131">
        <v>-6.1339999999999902E-2</v>
      </c>
      <c r="AE1131">
        <v>-0.59730000000001804</v>
      </c>
      <c r="AF1131">
        <v>8.6778816661287506E-2</v>
      </c>
      <c r="AG1131">
        <v>-6.1339999999999902E-2</v>
      </c>
      <c r="AH1131">
        <v>0.58813099098828803</v>
      </c>
      <c r="AI1131">
        <v>95.890897182747395</v>
      </c>
      <c r="AJ1131">
        <v>81.606560737927794</v>
      </c>
      <c r="AK1131">
        <v>0.59765476755565095</v>
      </c>
      <c r="AL1131">
        <v>79.869173039382801</v>
      </c>
      <c r="AM1131">
        <v>81.911857743815801</v>
      </c>
      <c r="AN1131">
        <v>1.0000000292179001</v>
      </c>
    </row>
    <row r="1132" spans="1:40" x14ac:dyDescent="0.25">
      <c r="A1132" t="str">
        <f>"20190312172635145"</f>
        <v>20190312172635145</v>
      </c>
      <c r="B1132" t="str">
        <f>"1552382795139600"</f>
        <v>1552382795139600</v>
      </c>
      <c r="C1132" t="s">
        <v>40</v>
      </c>
      <c r="D1132">
        <v>3.76918</v>
      </c>
      <c r="E1132">
        <v>0.53096999999999905</v>
      </c>
      <c r="F1132" t="s">
        <v>44</v>
      </c>
      <c r="G1132">
        <v>-189.5453</v>
      </c>
      <c r="H1132">
        <v>1.0506610000000001</v>
      </c>
      <c r="I1132">
        <v>333.76139999999998</v>
      </c>
      <c r="J1132">
        <v>-189.47720000000001</v>
      </c>
      <c r="K1132">
        <v>1.1087309999999999</v>
      </c>
      <c r="L1132">
        <v>334.1266</v>
      </c>
      <c r="M1132">
        <v>3.505751E-2</v>
      </c>
      <c r="N1132">
        <v>0</v>
      </c>
      <c r="O1132">
        <v>-0.99929109999999999</v>
      </c>
      <c r="P1132">
        <v>-0.1025621</v>
      </c>
      <c r="Q1132">
        <v>0.16360829999999901</v>
      </c>
      <c r="R1132">
        <v>-0.98117989999999999</v>
      </c>
      <c r="S1132">
        <v>-0.21719359999999999</v>
      </c>
      <c r="T1132">
        <v>-0.22211539999999999</v>
      </c>
      <c r="U1132">
        <v>-3.0710449999999998</v>
      </c>
      <c r="V1132">
        <v>0.137601</v>
      </c>
      <c r="W1132">
        <v>0.17647699999999999</v>
      </c>
      <c r="X1132">
        <v>0.97463940000000004</v>
      </c>
      <c r="Y1132">
        <v>0.1052946</v>
      </c>
      <c r="Z1132">
        <v>7.1780949999999996E-2</v>
      </c>
      <c r="AA1132">
        <v>0.99184700000000003</v>
      </c>
      <c r="AB1132">
        <v>23</v>
      </c>
      <c r="AC1132">
        <v>-6.8099999999986893E-2</v>
      </c>
      <c r="AD1132">
        <v>-5.8069999999999802E-2</v>
      </c>
      <c r="AE1132">
        <v>-0.36520000000001501</v>
      </c>
      <c r="AF1132">
        <v>7.8933661427588106E-2</v>
      </c>
      <c r="AG1132">
        <v>-5.8069999999999802E-2</v>
      </c>
      <c r="AH1132">
        <v>0.35393961110556699</v>
      </c>
      <c r="AI1132">
        <v>99.097745665149702</v>
      </c>
      <c r="AJ1132">
        <v>77.427942191744606</v>
      </c>
      <c r="AK1132">
        <v>0.36725453859132201</v>
      </c>
      <c r="AL1132">
        <v>79.835378804675102</v>
      </c>
      <c r="AM1132">
        <v>81.964009779866799</v>
      </c>
      <c r="AN1132">
        <v>1.0000000633811701</v>
      </c>
    </row>
    <row r="1133" spans="1:40" x14ac:dyDescent="0.25">
      <c r="A1133" t="str">
        <f>"20190312172635166"</f>
        <v>20190312172635166</v>
      </c>
      <c r="B1133" t="str">
        <f>"1552382795160096"</f>
        <v>1552382795160096</v>
      </c>
      <c r="C1133" t="s">
        <v>40</v>
      </c>
      <c r="D1133">
        <v>3.7581600000000002</v>
      </c>
      <c r="E1133">
        <v>0.53175399999999995</v>
      </c>
      <c r="F1133" t="s">
        <v>41</v>
      </c>
      <c r="G1133">
        <v>-193.13589999999999</v>
      </c>
      <c r="H1133" s="1">
        <v>-3.3001150000000002E-6</v>
      </c>
      <c r="I1133">
        <v>314.80779999999999</v>
      </c>
      <c r="J1133">
        <v>-189.4726</v>
      </c>
      <c r="K1133">
        <v>1.1087499999999999</v>
      </c>
      <c r="L1133">
        <v>333.9119</v>
      </c>
      <c r="M1133">
        <v>3.2611370000000001E-2</v>
      </c>
      <c r="N1133">
        <v>0</v>
      </c>
      <c r="O1133">
        <v>-0.99937370000000003</v>
      </c>
      <c r="P1133">
        <v>-0.104033399999999</v>
      </c>
      <c r="Q1133">
        <v>0.16444929999999999</v>
      </c>
      <c r="R1133">
        <v>-0.98088439999999999</v>
      </c>
      <c r="S1133">
        <v>-0.57319639999999905</v>
      </c>
      <c r="T1133">
        <v>-0.17370389999999999</v>
      </c>
      <c r="U1133">
        <v>-3.0266419999999998</v>
      </c>
      <c r="V1133">
        <v>0.13666679999999901</v>
      </c>
      <c r="W1133">
        <v>0.1773246</v>
      </c>
      <c r="X1133">
        <v>0.97461690000000001</v>
      </c>
      <c r="Y1133">
        <v>0.21772849999999999</v>
      </c>
      <c r="Z1133">
        <v>5.6067470000000001E-2</v>
      </c>
      <c r="AA1133">
        <v>0.97439759999999997</v>
      </c>
      <c r="AB1133">
        <v>23</v>
      </c>
      <c r="AC1133">
        <v>-3.6632999999999898</v>
      </c>
      <c r="AD1133">
        <v>-1.1087533001149901</v>
      </c>
      <c r="AE1133">
        <v>-19.104099999999999</v>
      </c>
      <c r="AF1133">
        <v>4.2705463030096604</v>
      </c>
      <c r="AG1133">
        <v>-1.1087533001149901</v>
      </c>
      <c r="AH1133">
        <v>18.913014048849501</v>
      </c>
      <c r="AI1133">
        <v>93.272847475511696</v>
      </c>
      <c r="AJ1133">
        <v>77.276031397421704</v>
      </c>
      <c r="AK1133">
        <v>19.420839323228101</v>
      </c>
      <c r="AL1133">
        <v>79.786035696981202</v>
      </c>
      <c r="AM1133">
        <v>82.017680237677297</v>
      </c>
      <c r="AN1133">
        <v>0.999999964876504</v>
      </c>
    </row>
    <row r="1134" spans="1:40" x14ac:dyDescent="0.25">
      <c r="A1134" t="str">
        <f>"20190312172635189"</f>
        <v>20190312172635189</v>
      </c>
      <c r="B1134" t="str">
        <f>"1552382795179616"</f>
        <v>1552382795179616</v>
      </c>
      <c r="C1134" t="s">
        <v>40</v>
      </c>
      <c r="D1134">
        <v>3.7432590000000001</v>
      </c>
      <c r="E1134">
        <v>0.53195939999999997</v>
      </c>
      <c r="F1134" t="s">
        <v>41</v>
      </c>
      <c r="G1134">
        <v>-193.23689999999999</v>
      </c>
      <c r="H1134" s="1">
        <v>-3.1467459999999999E-6</v>
      </c>
      <c r="I1134">
        <v>314.42649999999998</v>
      </c>
      <c r="J1134">
        <v>-189.4682</v>
      </c>
      <c r="K1134">
        <v>1.1087629999999999</v>
      </c>
      <c r="L1134">
        <v>333.68079999999998</v>
      </c>
      <c r="M1134">
        <v>2.998031E-2</v>
      </c>
      <c r="N1134">
        <v>0</v>
      </c>
      <c r="O1134">
        <v>-0.99945620000000002</v>
      </c>
      <c r="P1134">
        <v>-0.10603559999999999</v>
      </c>
      <c r="Q1134">
        <v>0.1647274</v>
      </c>
      <c r="R1134">
        <v>-0.98062320000000003</v>
      </c>
      <c r="S1134">
        <v>-0.58445740000000002</v>
      </c>
      <c r="T1134">
        <v>-0.1721491</v>
      </c>
      <c r="U1134">
        <v>-3.02536</v>
      </c>
      <c r="V1134">
        <v>0.13608319999999999</v>
      </c>
      <c r="W1134">
        <v>0.17760709999999999</v>
      </c>
      <c r="X1134">
        <v>0.97464720000000005</v>
      </c>
      <c r="Y1134">
        <v>0.21873880000000001</v>
      </c>
      <c r="Z1134">
        <v>5.5571679999999998E-2</v>
      </c>
      <c r="AA1134">
        <v>0.97419979999999995</v>
      </c>
      <c r="AB1134">
        <v>23</v>
      </c>
      <c r="AC1134">
        <v>-3.7686999999999902</v>
      </c>
      <c r="AD1134">
        <v>-1.1087661467459999</v>
      </c>
      <c r="AE1134">
        <v>-19.254300000000001</v>
      </c>
      <c r="AF1134">
        <v>4.3304795631665396</v>
      </c>
      <c r="AG1134">
        <v>-1.1087661467459999</v>
      </c>
      <c r="AH1134">
        <v>19.071736128533701</v>
      </c>
      <c r="AI1134">
        <v>93.244824454677499</v>
      </c>
      <c r="AJ1134">
        <v>77.207178044803499</v>
      </c>
      <c r="AK1134">
        <v>19.588607264723802</v>
      </c>
      <c r="AL1134">
        <v>79.769589369008898</v>
      </c>
      <c r="AM1134">
        <v>82.051574018685102</v>
      </c>
      <c r="AN1134">
        <v>1.0000000418802399</v>
      </c>
    </row>
    <row r="1135" spans="1:40" x14ac:dyDescent="0.25">
      <c r="A1135" t="str">
        <f>"20190312172635209"</f>
        <v>20190312172635209</v>
      </c>
      <c r="B1135" t="str">
        <f>"1552382795200113"</f>
        <v>1552382795200113</v>
      </c>
      <c r="C1135" t="s">
        <v>40</v>
      </c>
      <c r="D1135">
        <v>3.7723420000000001</v>
      </c>
      <c r="E1135">
        <v>0.53227669999999905</v>
      </c>
      <c r="F1135" t="s">
        <v>41</v>
      </c>
      <c r="G1135">
        <v>-193.29640000000001</v>
      </c>
      <c r="H1135" s="1">
        <v>-3.0227569999999898E-6</v>
      </c>
      <c r="I1135">
        <v>314.13080000000002</v>
      </c>
      <c r="J1135">
        <v>-189.46469999999999</v>
      </c>
      <c r="K1135">
        <v>1.108771</v>
      </c>
      <c r="L1135">
        <v>333.471</v>
      </c>
      <c r="M1135">
        <v>2.7588109999999999E-2</v>
      </c>
      <c r="N1135">
        <v>0</v>
      </c>
      <c r="O1135">
        <v>-0.9995252</v>
      </c>
      <c r="P1135">
        <v>-0.10845929999999999</v>
      </c>
      <c r="Q1135">
        <v>0.16504240000000001</v>
      </c>
      <c r="R1135">
        <v>-0.98030519999999999</v>
      </c>
      <c r="S1135">
        <v>-0.5921478</v>
      </c>
      <c r="T1135">
        <v>-0.1715045</v>
      </c>
      <c r="U1135">
        <v>-3.0240170000000002</v>
      </c>
      <c r="V1135">
        <v>0.13615569999999999</v>
      </c>
      <c r="W1135">
        <v>0.17792149999999901</v>
      </c>
      <c r="X1135">
        <v>0.97457969999999905</v>
      </c>
      <c r="Y1135">
        <v>0.21887329999999999</v>
      </c>
      <c r="Z1135">
        <v>5.5379999999999999E-2</v>
      </c>
      <c r="AA1135">
        <v>0.9741805</v>
      </c>
      <c r="AB1135">
        <v>22</v>
      </c>
      <c r="AC1135">
        <v>-3.8317000000000099</v>
      </c>
      <c r="AD1135">
        <v>-1.108774022757</v>
      </c>
      <c r="AE1135">
        <v>-19.3401999999999</v>
      </c>
      <c r="AF1135">
        <v>4.3500935101792697</v>
      </c>
      <c r="AG1135">
        <v>-1.108774022757</v>
      </c>
      <c r="AH1135">
        <v>19.166502101554698</v>
      </c>
      <c r="AI1135">
        <v>93.228906905519494</v>
      </c>
      <c r="AJ1135">
        <v>77.212590485402501</v>
      </c>
      <c r="AK1135">
        <v>19.685210087518598</v>
      </c>
      <c r="AL1135">
        <v>79.7512837323751</v>
      </c>
      <c r="AM1135">
        <v>82.046849806073993</v>
      </c>
      <c r="AN1135">
        <v>1.0000000132284099</v>
      </c>
    </row>
    <row r="1136" spans="1:40" x14ac:dyDescent="0.25">
      <c r="A1136" t="str">
        <f>"20190312172635233"</f>
        <v>20190312172635233</v>
      </c>
      <c r="B1136" t="str">
        <f>"1552382795229392"</f>
        <v>1552382795229392</v>
      </c>
      <c r="C1136" t="s">
        <v>40</v>
      </c>
      <c r="D1136">
        <v>3.7247050000000002</v>
      </c>
      <c r="E1136">
        <v>0.53230149999999998</v>
      </c>
      <c r="F1136" t="s">
        <v>41</v>
      </c>
      <c r="G1136">
        <v>-193.32210000000001</v>
      </c>
      <c r="H1136" s="1">
        <v>-3.0210660000000001E-6</v>
      </c>
      <c r="I1136">
        <v>314.11270000000002</v>
      </c>
      <c r="J1136">
        <v>-189.4614</v>
      </c>
      <c r="K1136">
        <v>1.108781</v>
      </c>
      <c r="L1136">
        <v>333.23660000000001</v>
      </c>
      <c r="M1136">
        <v>2.490997E-2</v>
      </c>
      <c r="N1136">
        <v>0</v>
      </c>
      <c r="O1136">
        <v>-0.99959540000000002</v>
      </c>
      <c r="P1136">
        <v>-0.1110003</v>
      </c>
      <c r="Q1136">
        <v>0.16603770000000001</v>
      </c>
      <c r="R1136">
        <v>-0.97985239999999996</v>
      </c>
      <c r="S1136">
        <v>-0.60232540000000001</v>
      </c>
      <c r="T1136">
        <v>-0.17313299999999901</v>
      </c>
      <c r="U1136">
        <v>-3.0227659999999998</v>
      </c>
      <c r="V1136">
        <v>0.13606670000000001</v>
      </c>
      <c r="W1136">
        <v>0.1789152</v>
      </c>
      <c r="X1136">
        <v>0.9744102</v>
      </c>
      <c r="Y1136">
        <v>0.21948619999999999</v>
      </c>
      <c r="Z1136">
        <v>5.5910899999999999E-2</v>
      </c>
      <c r="AA1136">
        <v>0.97401219999999999</v>
      </c>
      <c r="AB1136">
        <v>22</v>
      </c>
      <c r="AC1136">
        <v>-3.8607</v>
      </c>
      <c r="AD1136">
        <v>-1.108784021066</v>
      </c>
      <c r="AE1136">
        <v>-19.1238999999999</v>
      </c>
      <c r="AF1136">
        <v>4.32196286089723</v>
      </c>
      <c r="AG1136">
        <v>-1.108784021066</v>
      </c>
      <c r="AH1136">
        <v>18.960544566387</v>
      </c>
      <c r="AI1136">
        <v>93.263243206398002</v>
      </c>
      <c r="AJ1136">
        <v>77.1591083419342</v>
      </c>
      <c r="AK1136">
        <v>19.478475690625601</v>
      </c>
      <c r="AL1136">
        <v>79.693420519098098</v>
      </c>
      <c r="AM1136">
        <v>82.050617136396795</v>
      </c>
      <c r="AN1136">
        <v>1.00000001675198</v>
      </c>
    </row>
    <row r="1137" spans="1:40" x14ac:dyDescent="0.25">
      <c r="A1137" t="str">
        <f>"20190312172635266"</f>
        <v>20190312172635266</v>
      </c>
      <c r="B1137" t="str">
        <f>"1552382795259648"</f>
        <v>1552382795259648</v>
      </c>
      <c r="C1137" t="s">
        <v>40</v>
      </c>
      <c r="D1137">
        <v>3.713101</v>
      </c>
      <c r="E1137">
        <v>0.53224799999999906</v>
      </c>
      <c r="F1137" t="s">
        <v>41</v>
      </c>
      <c r="G1137">
        <v>-193.38239999999999</v>
      </c>
      <c r="H1137" s="1">
        <v>-2.9090220000000002E-6</v>
      </c>
      <c r="I1137">
        <v>313.8417</v>
      </c>
      <c r="J1137">
        <v>-189.45779999999999</v>
      </c>
      <c r="K1137">
        <v>1.1087880000000001</v>
      </c>
      <c r="L1137">
        <v>332.90589999999997</v>
      </c>
      <c r="M1137">
        <v>2.1124589999999999E-2</v>
      </c>
      <c r="N1137">
        <v>0</v>
      </c>
      <c r="O1137">
        <v>-0.99968250000000003</v>
      </c>
      <c r="P1137">
        <v>-0.1152199</v>
      </c>
      <c r="Q1137">
        <v>0.16758709999999999</v>
      </c>
      <c r="R1137">
        <v>-0.9791012</v>
      </c>
      <c r="S1137">
        <v>-0.61090089999999997</v>
      </c>
      <c r="T1137">
        <v>-0.1727525</v>
      </c>
      <c r="U1137">
        <v>-3.0217900000000002</v>
      </c>
      <c r="V1137">
        <v>0.136572</v>
      </c>
      <c r="W1137">
        <v>0.18045710000000001</v>
      </c>
      <c r="X1137">
        <v>0.97405509999999995</v>
      </c>
      <c r="Y1137">
        <v>0.2185106</v>
      </c>
      <c r="Z1137">
        <v>5.580425E-2</v>
      </c>
      <c r="AA1137">
        <v>0.97423769999999998</v>
      </c>
      <c r="AB1137">
        <v>22</v>
      </c>
      <c r="AC1137">
        <v>-3.9245999999999901</v>
      </c>
      <c r="AD1137">
        <v>-1.1087909090219901</v>
      </c>
      <c r="AE1137">
        <v>-19.0641999999999</v>
      </c>
      <c r="AF1137">
        <v>4.31249073442876</v>
      </c>
      <c r="AG1137">
        <v>-1.1087909090219901</v>
      </c>
      <c r="AH1137">
        <v>18.915647313821999</v>
      </c>
      <c r="AI1137">
        <v>93.270963665670294</v>
      </c>
      <c r="AJ1137">
        <v>77.156914308704401</v>
      </c>
      <c r="AK1137">
        <v>19.432671121473899</v>
      </c>
      <c r="AL1137">
        <v>79.603614361229106</v>
      </c>
      <c r="AM1137">
        <v>82.018604448654699</v>
      </c>
      <c r="AN1137">
        <v>1.00000000698021</v>
      </c>
    </row>
    <row r="1138" spans="1:40" x14ac:dyDescent="0.25">
      <c r="A1138" t="str">
        <f>"20190312172635290"</f>
        <v>20190312172635290</v>
      </c>
      <c r="B1138" t="str">
        <f>"1552382795279815"</f>
        <v>1552382795279815</v>
      </c>
      <c r="C1138" t="s">
        <v>40</v>
      </c>
      <c r="D1138">
        <v>3.6976969999999998</v>
      </c>
      <c r="E1138">
        <v>0.53221600000000002</v>
      </c>
      <c r="F1138" t="s">
        <v>41</v>
      </c>
      <c r="G1138">
        <v>-193.5214</v>
      </c>
      <c r="H1138" s="1">
        <v>-2.6510620000000001E-6</v>
      </c>
      <c r="I1138">
        <v>313.21780000000001</v>
      </c>
      <c r="J1138">
        <v>-189.45599999999999</v>
      </c>
      <c r="K1138">
        <v>1.108797</v>
      </c>
      <c r="L1138">
        <v>332.67099999999999</v>
      </c>
      <c r="M1138">
        <v>1.8432859999999999E-2</v>
      </c>
      <c r="N1138">
        <v>0</v>
      </c>
      <c r="O1138">
        <v>-0.99973599999999996</v>
      </c>
      <c r="P1138">
        <v>-0.11922430000000001</v>
      </c>
      <c r="Q1138">
        <v>0.1694302</v>
      </c>
      <c r="R1138">
        <v>-0.97830430000000002</v>
      </c>
      <c r="S1138">
        <v>-0.62329100000000004</v>
      </c>
      <c r="T1138">
        <v>-0.170069</v>
      </c>
      <c r="U1138">
        <v>-3.019806</v>
      </c>
      <c r="V1138">
        <v>0.13793649999999999</v>
      </c>
      <c r="W1138">
        <v>0.1822869</v>
      </c>
      <c r="X1138">
        <v>0.97352190000000005</v>
      </c>
      <c r="Y1138">
        <v>0.2198541</v>
      </c>
      <c r="Z1138">
        <v>5.4949150000000002E-2</v>
      </c>
      <c r="AA1138">
        <v>0.97398390000000001</v>
      </c>
      <c r="AB1138">
        <v>22</v>
      </c>
      <c r="AC1138">
        <v>-4.0654000000000101</v>
      </c>
      <c r="AD1138">
        <v>-1.108799651062</v>
      </c>
      <c r="AE1138">
        <v>-19.453199999999899</v>
      </c>
      <c r="AF1138">
        <v>4.4095945760285904</v>
      </c>
      <c r="AG1138">
        <v>-1.108799651062</v>
      </c>
      <c r="AH1138">
        <v>19.3148260011729</v>
      </c>
      <c r="AI1138">
        <v>93.2033114544151</v>
      </c>
      <c r="AJ1138">
        <v>77.139723041530004</v>
      </c>
      <c r="AK1138">
        <v>19.842793766169098</v>
      </c>
      <c r="AL1138">
        <v>79.497005685537005</v>
      </c>
      <c r="AM1138">
        <v>81.935548131675802</v>
      </c>
      <c r="AN1138">
        <v>0.99999994086173305</v>
      </c>
    </row>
    <row r="1139" spans="1:40" x14ac:dyDescent="0.25">
      <c r="A1139" t="str">
        <f>"20190312172635312"</f>
        <v>20190312172635312</v>
      </c>
      <c r="B1139" t="str">
        <f>"1552382795300312"</f>
        <v>1552382795300312</v>
      </c>
      <c r="C1139" t="s">
        <v>40</v>
      </c>
      <c r="D1139">
        <v>3.6723530000000002</v>
      </c>
      <c r="E1139">
        <v>0.53209469999999903</v>
      </c>
      <c r="F1139" t="s">
        <v>41</v>
      </c>
      <c r="G1139">
        <v>-193.68870000000001</v>
      </c>
      <c r="H1139" s="1">
        <v>-2.3704280000000001E-6</v>
      </c>
      <c r="I1139">
        <v>312.52999999999997</v>
      </c>
      <c r="J1139">
        <v>-189.45490000000001</v>
      </c>
      <c r="K1139">
        <v>1.1088100000000001</v>
      </c>
      <c r="L1139">
        <v>332.45319999999998</v>
      </c>
      <c r="M1139">
        <v>1.5933030000000001E-2</v>
      </c>
      <c r="N1139">
        <v>0</v>
      </c>
      <c r="O1139">
        <v>-0.99977879999999997</v>
      </c>
      <c r="P1139">
        <v>-0.12251570000000001</v>
      </c>
      <c r="Q1139">
        <v>0.17017560000000001</v>
      </c>
      <c r="R1139">
        <v>-0.97776790000000002</v>
      </c>
      <c r="S1139">
        <v>-0.63423160000000001</v>
      </c>
      <c r="T1139">
        <v>-0.1661446</v>
      </c>
      <c r="U1139">
        <v>-3.0179749999999999</v>
      </c>
      <c r="V1139">
        <v>0.1387795</v>
      </c>
      <c r="W1139">
        <v>0.18302470000000001</v>
      </c>
      <c r="X1139">
        <v>0.97326369999999895</v>
      </c>
      <c r="Y1139">
        <v>0.22092990000000001</v>
      </c>
      <c r="Z1139">
        <v>5.3694100000000002E-2</v>
      </c>
      <c r="AA1139">
        <v>0.97381050000000002</v>
      </c>
      <c r="AB1139">
        <v>22</v>
      </c>
      <c r="AC1139">
        <v>-4.2337999999999996</v>
      </c>
      <c r="AD1139">
        <v>-1.108812370428</v>
      </c>
      <c r="AE1139">
        <v>-19.923200000000001</v>
      </c>
      <c r="AF1139">
        <v>4.5372827602641097</v>
      </c>
      <c r="AG1139">
        <v>-1.108812370428</v>
      </c>
      <c r="AH1139">
        <v>19.794544295891999</v>
      </c>
      <c r="AI1139">
        <v>93.125248865304201</v>
      </c>
      <c r="AJ1139">
        <v>77.089750440915296</v>
      </c>
      <c r="AK1139">
        <v>20.338150938603899</v>
      </c>
      <c r="AL1139">
        <v>79.454010266367405</v>
      </c>
      <c r="AM1139">
        <v>81.884792713464194</v>
      </c>
      <c r="AN1139">
        <v>1.0000000100840101</v>
      </c>
    </row>
    <row r="1140" spans="1:40" x14ac:dyDescent="0.25">
      <c r="A1140" t="str">
        <f>"20190312172635333"</f>
        <v>20190312172635333</v>
      </c>
      <c r="B1140" t="str">
        <f>"1552382795329591"</f>
        <v>1552382795329591</v>
      </c>
      <c r="C1140" t="s">
        <v>40</v>
      </c>
      <c r="D1140">
        <v>3.649959</v>
      </c>
      <c r="E1140">
        <v>0.53181409999999996</v>
      </c>
      <c r="F1140" t="s">
        <v>41</v>
      </c>
      <c r="G1140">
        <v>-193.75579999999999</v>
      </c>
      <c r="H1140" s="1">
        <v>-2.265556E-6</v>
      </c>
      <c r="I1140">
        <v>312.27030000000002</v>
      </c>
      <c r="J1140">
        <v>-189.45439999999999</v>
      </c>
      <c r="K1140">
        <v>1.108816</v>
      </c>
      <c r="L1140">
        <v>332.23180000000002</v>
      </c>
      <c r="M1140">
        <v>1.339245E-2</v>
      </c>
      <c r="N1140">
        <v>0</v>
      </c>
      <c r="O1140">
        <v>-0.99981640000000005</v>
      </c>
      <c r="P1140">
        <v>-0.1245001</v>
      </c>
      <c r="Q1140">
        <v>0.17028360000000001</v>
      </c>
      <c r="R1140">
        <v>-0.97749889999999995</v>
      </c>
      <c r="S1140">
        <v>-0.64280700000000002</v>
      </c>
      <c r="T1140">
        <v>-0.16572029999999999</v>
      </c>
      <c r="U1140">
        <v>-3.0164789999999999</v>
      </c>
      <c r="V1140">
        <v>0.13827929999999999</v>
      </c>
      <c r="W1140">
        <v>0.1831335</v>
      </c>
      <c r="X1140">
        <v>0.97331440000000002</v>
      </c>
      <c r="Y1140">
        <v>0.22120000000000001</v>
      </c>
      <c r="Z1140">
        <v>5.3569119999999998E-2</v>
      </c>
      <c r="AA1140">
        <v>0.97375610000000001</v>
      </c>
      <c r="AB1140">
        <v>22</v>
      </c>
      <c r="AC1140">
        <v>-4.3014000000000001</v>
      </c>
      <c r="AD1140">
        <v>-1.1088182655559999</v>
      </c>
      <c r="AE1140">
        <v>-19.961500000000001</v>
      </c>
      <c r="AF1140">
        <v>4.5549417514894497</v>
      </c>
      <c r="AG1140">
        <v>-1.1088182655559999</v>
      </c>
      <c r="AH1140">
        <v>19.843586047975101</v>
      </c>
      <c r="AI1140">
        <v>93.117337598194496</v>
      </c>
      <c r="AJ1140">
        <v>77.072146417256704</v>
      </c>
      <c r="AK1140">
        <v>20.389822940596702</v>
      </c>
      <c r="AL1140">
        <v>79.4476690169233</v>
      </c>
      <c r="AM1140">
        <v>81.914070283309599</v>
      </c>
      <c r="AN1140">
        <v>0.99999998243904897</v>
      </c>
    </row>
    <row r="1141" spans="1:40" x14ac:dyDescent="0.25">
      <c r="A1141" t="str">
        <f>"20190312172635357"</f>
        <v>20190312172635357</v>
      </c>
      <c r="B1141" t="str">
        <f>"1552382795350087"</f>
        <v>1552382795350087</v>
      </c>
      <c r="C1141" t="s">
        <v>40</v>
      </c>
      <c r="D1141">
        <v>3.619548</v>
      </c>
      <c r="E1141">
        <v>0.53158119999999998</v>
      </c>
      <c r="F1141" t="s">
        <v>41</v>
      </c>
      <c r="G1141">
        <v>-193.7859</v>
      </c>
      <c r="H1141" s="1">
        <v>-2.1825019999999999E-6</v>
      </c>
      <c r="I1141">
        <v>312.07769999999999</v>
      </c>
      <c r="J1141">
        <v>-189.45439999999999</v>
      </c>
      <c r="K1141">
        <v>1.10883</v>
      </c>
      <c r="L1141">
        <v>331.99610000000001</v>
      </c>
      <c r="M1141">
        <v>1.068449E-2</v>
      </c>
      <c r="N1141">
        <v>0</v>
      </c>
      <c r="O1141">
        <v>-0.99984899999999999</v>
      </c>
      <c r="P1141">
        <v>-0.12575120000000001</v>
      </c>
      <c r="Q1141">
        <v>0.16998569999999999</v>
      </c>
      <c r="R1141">
        <v>-0.97739019999999999</v>
      </c>
      <c r="S1141">
        <v>-0.64807130000000002</v>
      </c>
      <c r="T1141">
        <v>-0.1658983</v>
      </c>
      <c r="U1141">
        <v>-3.0154109999999998</v>
      </c>
      <c r="V1141">
        <v>0.13688320000000001</v>
      </c>
      <c r="W1141">
        <v>0.18284329999999999</v>
      </c>
      <c r="X1141">
        <v>0.9735663</v>
      </c>
      <c r="Y1141">
        <v>0.2202539</v>
      </c>
      <c r="Z1141">
        <v>5.3643839999999998E-2</v>
      </c>
      <c r="AA1141">
        <v>0.97396640000000001</v>
      </c>
      <c r="AB1141">
        <v>22</v>
      </c>
      <c r="AC1141">
        <v>-4.3315000000000001</v>
      </c>
      <c r="AD1141">
        <v>-1.108832182502</v>
      </c>
      <c r="AE1141">
        <v>-19.918399999999998</v>
      </c>
      <c r="AF1141">
        <v>4.5306840118394298</v>
      </c>
      <c r="AG1141">
        <v>-1.108832182502</v>
      </c>
      <c r="AH1141">
        <v>19.812352391784898</v>
      </c>
      <c r="AI1141">
        <v>93.1228665105685</v>
      </c>
      <c r="AJ1141">
        <v>77.1190997653121</v>
      </c>
      <c r="AK1141">
        <v>20.3540146831124</v>
      </c>
      <c r="AL1141">
        <v>79.464582135258595</v>
      </c>
      <c r="AM1141">
        <v>81.996688564231405</v>
      </c>
      <c r="AN1141">
        <v>1.0000000116464001</v>
      </c>
    </row>
    <row r="1142" spans="1:40" x14ac:dyDescent="0.25">
      <c r="A1142" t="str">
        <f>"20190312172635379"</f>
        <v>20190312172635379</v>
      </c>
      <c r="B1142" t="str">
        <f>"1552382795369607"</f>
        <v>1552382795369607</v>
      </c>
      <c r="C1142" t="s">
        <v>40</v>
      </c>
      <c r="D1142">
        <v>3.6267960000000001</v>
      </c>
      <c r="E1142">
        <v>0.53137699999999999</v>
      </c>
      <c r="F1142" t="s">
        <v>41</v>
      </c>
      <c r="G1142">
        <v>-193.77940000000001</v>
      </c>
      <c r="H1142" s="1">
        <v>-2.1385229999999999E-6</v>
      </c>
      <c r="I1142">
        <v>311.98829999999998</v>
      </c>
      <c r="J1142">
        <v>-189.45500000000001</v>
      </c>
      <c r="K1142">
        <v>1.10883</v>
      </c>
      <c r="L1142">
        <v>331.77010000000001</v>
      </c>
      <c r="M1142">
        <v>8.0895299999999993E-3</v>
      </c>
      <c r="N1142">
        <v>0</v>
      </c>
      <c r="O1142">
        <v>-0.99987320000000002</v>
      </c>
      <c r="P1142">
        <v>-0.12703789999999901</v>
      </c>
      <c r="Q1142">
        <v>0.1704581</v>
      </c>
      <c r="R1142">
        <v>-0.9771417</v>
      </c>
      <c r="S1142">
        <v>-0.65165709999999999</v>
      </c>
      <c r="T1142">
        <v>-0.1670703</v>
      </c>
      <c r="U1142">
        <v>-3.014618</v>
      </c>
      <c r="V1142">
        <v>0.13563449999999999</v>
      </c>
      <c r="W1142">
        <v>0.1833206</v>
      </c>
      <c r="X1142">
        <v>0.9736513</v>
      </c>
      <c r="Y1142">
        <v>0.2188775</v>
      </c>
      <c r="Z1142">
        <v>5.4039329999999997E-2</v>
      </c>
      <c r="AA1142">
        <v>0.97425479999999998</v>
      </c>
      <c r="AB1142">
        <v>22</v>
      </c>
      <c r="AC1142">
        <v>-4.32439999999999</v>
      </c>
      <c r="AD1142">
        <v>-1.108832138523</v>
      </c>
      <c r="AE1142">
        <v>-19.7818</v>
      </c>
      <c r="AF1142">
        <v>4.4708923319906697</v>
      </c>
      <c r="AG1142">
        <v>-1.108832138523</v>
      </c>
      <c r="AH1142">
        <v>19.687132028134599</v>
      </c>
      <c r="AI1142">
        <v>93.143765224293304</v>
      </c>
      <c r="AJ1142">
        <v>77.2052979419297</v>
      </c>
      <c r="AK1142">
        <v>20.218841570398599</v>
      </c>
      <c r="AL1142">
        <v>79.436764629675295</v>
      </c>
      <c r="AM1142">
        <v>82.069448087695307</v>
      </c>
      <c r="AN1142">
        <v>1.0000000069831401</v>
      </c>
    </row>
    <row r="1143" spans="1:40" x14ac:dyDescent="0.25">
      <c r="A1143" t="str">
        <f>"20190312172635423"</f>
        <v>20190312172635423</v>
      </c>
      <c r="B1143" t="str">
        <f>"1552382795419957"</f>
        <v>1552382795419957</v>
      </c>
      <c r="C1143" t="s">
        <v>40</v>
      </c>
      <c r="D1143">
        <v>3.5956640000000002</v>
      </c>
      <c r="E1143">
        <v>0.53085230000000005</v>
      </c>
      <c r="F1143" t="s">
        <v>41</v>
      </c>
      <c r="G1143">
        <v>-193.81229999999999</v>
      </c>
      <c r="H1143" s="1">
        <v>-2.0052299999999999E-6</v>
      </c>
      <c r="I1143">
        <v>311.68779999999998</v>
      </c>
      <c r="J1143">
        <v>-189.45779999999999</v>
      </c>
      <c r="K1143">
        <v>1.108835</v>
      </c>
      <c r="L1143">
        <v>331.34100000000001</v>
      </c>
      <c r="M1143">
        <v>3.161989E-3</v>
      </c>
      <c r="N1143">
        <v>0</v>
      </c>
      <c r="O1143">
        <v>-0.99990109999999999</v>
      </c>
      <c r="P1143">
        <v>-0.1294544</v>
      </c>
      <c r="Q1143">
        <v>0.17045350000000001</v>
      </c>
      <c r="R1143">
        <v>-0.97682539999999995</v>
      </c>
      <c r="S1143">
        <v>-0.65399169999999995</v>
      </c>
      <c r="T1143">
        <v>-0.16642499999999999</v>
      </c>
      <c r="U1143">
        <v>-3.01416</v>
      </c>
      <c r="V1143">
        <v>0.13323470000000001</v>
      </c>
      <c r="W1143">
        <v>0.18332760000000001</v>
      </c>
      <c r="X1143">
        <v>0.97398130000000005</v>
      </c>
      <c r="Y1143">
        <v>0.21482090000000001</v>
      </c>
      <c r="Z1143">
        <v>5.3861689999999997E-2</v>
      </c>
      <c r="AA1143">
        <v>0.97516709999999995</v>
      </c>
      <c r="AB1143">
        <v>22</v>
      </c>
      <c r="AC1143">
        <v>-4.3544999999999998</v>
      </c>
      <c r="AD1143">
        <v>-1.1088370052299901</v>
      </c>
      <c r="AE1143">
        <v>-19.653199999999998</v>
      </c>
      <c r="AF1143">
        <v>4.4032665317286801</v>
      </c>
      <c r="AG1143">
        <v>-1.1088370052299901</v>
      </c>
      <c r="AH1143">
        <v>19.579920641677202</v>
      </c>
      <c r="AI1143">
        <v>93.162457736288403</v>
      </c>
      <c r="AJ1143">
        <v>77.325787689872797</v>
      </c>
      <c r="AK1143">
        <v>20.0995414870088</v>
      </c>
      <c r="AL1143">
        <v>79.436356928006305</v>
      </c>
      <c r="AM1143">
        <v>82.210633160379501</v>
      </c>
      <c r="AN1143">
        <v>1.0000000334777599</v>
      </c>
    </row>
    <row r="1144" spans="1:40" x14ac:dyDescent="0.25">
      <c r="A1144" t="str">
        <f>"20190312172635446"</f>
        <v>20190312172635446</v>
      </c>
      <c r="B1144" t="str">
        <f>"1552382795439478"</f>
        <v>1552382795439478</v>
      </c>
      <c r="C1144" t="s">
        <v>40</v>
      </c>
      <c r="D1144">
        <v>3.5696370000000002</v>
      </c>
      <c r="E1144">
        <v>0.53066809999999998</v>
      </c>
      <c r="F1144" t="s">
        <v>41</v>
      </c>
      <c r="G1144">
        <v>-193.80770000000001</v>
      </c>
      <c r="H1144" s="1">
        <v>-1.8835000000000001E-6</v>
      </c>
      <c r="I1144">
        <v>311.43290000000002</v>
      </c>
      <c r="J1144">
        <v>-189.46019999999999</v>
      </c>
      <c r="K1144">
        <v>1.108832</v>
      </c>
      <c r="L1144">
        <v>331.10930000000002</v>
      </c>
      <c r="M1144">
        <v>4.9976529999999999E-4</v>
      </c>
      <c r="N1144">
        <v>0</v>
      </c>
      <c r="O1144">
        <v>-0.99990599999999996</v>
      </c>
      <c r="P1144">
        <v>-0.1312536</v>
      </c>
      <c r="Q1144">
        <v>0.1695834</v>
      </c>
      <c r="R1144">
        <v>-0.97673670000000001</v>
      </c>
      <c r="S1144">
        <v>-0.65838619999999903</v>
      </c>
      <c r="T1144">
        <v>-0.16783049999999999</v>
      </c>
      <c r="U1144">
        <v>-3.013245</v>
      </c>
      <c r="V1144">
        <v>0.1324284</v>
      </c>
      <c r="W1144">
        <v>0.18246270000000001</v>
      </c>
      <c r="X1144">
        <v>0.97425360000000005</v>
      </c>
      <c r="Y1144">
        <v>0.2136344</v>
      </c>
      <c r="Z1144">
        <v>5.4330530000000002E-2</v>
      </c>
      <c r="AA1144">
        <v>0.97540179999999999</v>
      </c>
      <c r="AB1144">
        <v>22</v>
      </c>
      <c r="AC1144">
        <v>-4.3475000000000197</v>
      </c>
      <c r="AD1144">
        <v>-1.1088338835</v>
      </c>
      <c r="AE1144">
        <v>-19.676400000000001</v>
      </c>
      <c r="AF1144">
        <v>4.3441802290205098</v>
      </c>
      <c r="AG1144">
        <v>-1.1088338835</v>
      </c>
      <c r="AH1144">
        <v>19.614832902186802</v>
      </c>
      <c r="AI1144">
        <v>93.159117867815596</v>
      </c>
      <c r="AJ1144">
        <v>77.512038161060403</v>
      </c>
      <c r="AK1144">
        <v>20.1207128160043</v>
      </c>
      <c r="AL1144">
        <v>79.486761881707295</v>
      </c>
      <c r="AM1144">
        <v>82.259336601128496</v>
      </c>
      <c r="AN1144">
        <v>0.99999999756540403</v>
      </c>
    </row>
    <row r="1145" spans="1:40" x14ac:dyDescent="0.25">
      <c r="A1145" t="str">
        <f>"20190312172635467"</f>
        <v>20190312172635467</v>
      </c>
      <c r="B1145" t="str">
        <f>"1552382795459975"</f>
        <v>1552382795459975</v>
      </c>
      <c r="C1145" t="s">
        <v>40</v>
      </c>
      <c r="D1145">
        <v>3.5916459999999999</v>
      </c>
      <c r="E1145">
        <v>0.53044899999999995</v>
      </c>
      <c r="F1145" t="s">
        <v>41</v>
      </c>
      <c r="G1145">
        <v>-193.75470000000001</v>
      </c>
      <c r="H1145" s="1">
        <v>-1.950299E-6</v>
      </c>
      <c r="I1145">
        <v>311.60399999999998</v>
      </c>
      <c r="J1145">
        <v>-189.46289999999999</v>
      </c>
      <c r="K1145">
        <v>1.108838</v>
      </c>
      <c r="L1145">
        <v>330.90260000000001</v>
      </c>
      <c r="M1145">
        <v>-1.873977E-3</v>
      </c>
      <c r="N1145">
        <v>0</v>
      </c>
      <c r="O1145">
        <v>-0.99990420000000002</v>
      </c>
      <c r="P1145">
        <v>-0.13401479999999999</v>
      </c>
      <c r="Q1145">
        <v>0.1692591</v>
      </c>
      <c r="R1145">
        <v>-0.9764178</v>
      </c>
      <c r="S1145">
        <v>-0.66316219999999904</v>
      </c>
      <c r="T1145">
        <v>-0.17122960000000001</v>
      </c>
      <c r="U1145">
        <v>-3.012054</v>
      </c>
      <c r="V1145">
        <v>0.13286829999999999</v>
      </c>
      <c r="W1145">
        <v>0.18213589999999999</v>
      </c>
      <c r="X1145">
        <v>0.97425479999999998</v>
      </c>
      <c r="Y1145">
        <v>0.2128582</v>
      </c>
      <c r="Z1145">
        <v>5.5444149999999998E-2</v>
      </c>
      <c r="AA1145">
        <v>0.97550870000000001</v>
      </c>
      <c r="AB1145">
        <v>22</v>
      </c>
      <c r="AC1145">
        <v>-4.2918000000000198</v>
      </c>
      <c r="AD1145">
        <v>-1.1088399502990001</v>
      </c>
      <c r="AE1145">
        <v>-19.298599999999901</v>
      </c>
      <c r="AF1145">
        <v>4.2422788633147697</v>
      </c>
      <c r="AG1145">
        <v>-1.1088399502990001</v>
      </c>
      <c r="AH1145">
        <v>19.246066662311801</v>
      </c>
      <c r="AI1145">
        <v>93.220251371980396</v>
      </c>
      <c r="AJ1145">
        <v>77.569457451830303</v>
      </c>
      <c r="AK1145">
        <v>19.7392385354566</v>
      </c>
      <c r="AL1145">
        <v>79.505804674437897</v>
      </c>
      <c r="AM1145">
        <v>82.2339464199312</v>
      </c>
      <c r="AN1145">
        <v>0.99999994326836805</v>
      </c>
    </row>
    <row r="1146" spans="1:40" x14ac:dyDescent="0.25">
      <c r="A1146" t="str">
        <f>"20190312172635491"</f>
        <v>20190312172635491</v>
      </c>
      <c r="B1146" t="str">
        <f>"1552382795479494"</f>
        <v>1552382795479494</v>
      </c>
      <c r="C1146" t="s">
        <v>40</v>
      </c>
      <c r="D1146">
        <v>3.6077669999999999</v>
      </c>
      <c r="E1146">
        <v>0.53037389999999995</v>
      </c>
      <c r="F1146" t="s">
        <v>41</v>
      </c>
      <c r="G1146">
        <v>-193.755</v>
      </c>
      <c r="H1146" s="1">
        <v>-1.9498130000000001E-6</v>
      </c>
      <c r="I1146">
        <v>311.6028</v>
      </c>
      <c r="J1146">
        <v>-189.46639999999999</v>
      </c>
      <c r="K1146">
        <v>1.1088450000000001</v>
      </c>
      <c r="L1146">
        <v>330.67529999999999</v>
      </c>
      <c r="M1146">
        <v>-4.4846840000000001E-3</v>
      </c>
      <c r="N1146">
        <v>0</v>
      </c>
      <c r="O1146">
        <v>-0.99989600000000001</v>
      </c>
      <c r="P1146">
        <v>-0.1375411</v>
      </c>
      <c r="Q1146">
        <v>0.16864599999999999</v>
      </c>
      <c r="R1146">
        <v>-0.97603329999999999</v>
      </c>
      <c r="S1146">
        <v>-0.66952509999999998</v>
      </c>
      <c r="T1146">
        <v>-0.17296529999999999</v>
      </c>
      <c r="U1146">
        <v>-3.010529</v>
      </c>
      <c r="V1146">
        <v>0.1338414</v>
      </c>
      <c r="W1146">
        <v>0.18151790000000001</v>
      </c>
      <c r="X1146">
        <v>0.97423700000000002</v>
      </c>
      <c r="Y1146">
        <v>0.21236959999999999</v>
      </c>
      <c r="Z1146">
        <v>5.6021719999999997E-2</v>
      </c>
      <c r="AA1146">
        <v>0.97558219999999995</v>
      </c>
      <c r="AB1146">
        <v>22</v>
      </c>
      <c r="AC1146">
        <v>-4.2885999999999997</v>
      </c>
      <c r="AD1146">
        <v>-1.108846949813</v>
      </c>
      <c r="AE1146">
        <v>-19.072499999999899</v>
      </c>
      <c r="AF1146">
        <v>4.18953523193934</v>
      </c>
      <c r="AG1146">
        <v>-1.108846949813</v>
      </c>
      <c r="AH1146">
        <v>19.030314625668399</v>
      </c>
      <c r="AI1146">
        <v>93.256888728163901</v>
      </c>
      <c r="AJ1146">
        <v>77.584351198943494</v>
      </c>
      <c r="AK1146">
        <v>19.517546509991899</v>
      </c>
      <c r="AL1146">
        <v>79.541814322594306</v>
      </c>
      <c r="AM1146">
        <v>82.177629901187899</v>
      </c>
      <c r="AN1146">
        <v>1.00000000027168</v>
      </c>
    </row>
    <row r="1147" spans="1:40" x14ac:dyDescent="0.25">
      <c r="A1147" t="str">
        <f>"20190312172635534"</f>
        <v>20190312172635534</v>
      </c>
      <c r="B1147" t="str">
        <f>"1552382795530246"</f>
        <v>1552382795530246</v>
      </c>
      <c r="C1147" t="s">
        <v>40</v>
      </c>
      <c r="D1147">
        <v>3.5555729999999999</v>
      </c>
      <c r="E1147">
        <v>0.52988819999999903</v>
      </c>
      <c r="F1147" t="s">
        <v>41</v>
      </c>
      <c r="G1147">
        <v>-193.7552</v>
      </c>
      <c r="H1147" s="1">
        <v>-1.9836540000000002E-6</v>
      </c>
      <c r="I1147">
        <v>311.67430000000002</v>
      </c>
      <c r="J1147">
        <v>-189.47460000000001</v>
      </c>
      <c r="K1147">
        <v>1.1088439999999999</v>
      </c>
      <c r="L1147">
        <v>330.24669999999998</v>
      </c>
      <c r="M1147">
        <v>-9.4095089999999999E-3</v>
      </c>
      <c r="N1147">
        <v>0</v>
      </c>
      <c r="O1147">
        <v>-0.99986220000000003</v>
      </c>
      <c r="P1147">
        <v>-0.14270539999999901</v>
      </c>
      <c r="Q1147">
        <v>0.16776099999999999</v>
      </c>
      <c r="R1147">
        <v>-0.97544450000000005</v>
      </c>
      <c r="S1147">
        <v>-0.67903139999999995</v>
      </c>
      <c r="T1147">
        <v>-0.17555760000000001</v>
      </c>
      <c r="U1147">
        <v>-3.0083310000000001</v>
      </c>
      <c r="V1147">
        <v>0.13419200000000001</v>
      </c>
      <c r="W1147">
        <v>0.18063109999999999</v>
      </c>
      <c r="X1147">
        <v>0.97435360000000004</v>
      </c>
      <c r="Y1147">
        <v>0.21063219999999999</v>
      </c>
      <c r="Z1147">
        <v>5.688754E-2</v>
      </c>
      <c r="AA1147">
        <v>0.97590880000000002</v>
      </c>
      <c r="AB1147">
        <v>22</v>
      </c>
      <c r="AC1147">
        <v>-4.28059999999999</v>
      </c>
      <c r="AD1147">
        <v>-1.1088459836539999</v>
      </c>
      <c r="AE1147">
        <v>-18.572399999999899</v>
      </c>
      <c r="AF1147">
        <v>4.0917872355768399</v>
      </c>
      <c r="AG1147">
        <v>-1.1088459836539999</v>
      </c>
      <c r="AH1147">
        <v>18.549075596490798</v>
      </c>
      <c r="AI1147">
        <v>93.340884248409395</v>
      </c>
      <c r="AJ1147">
        <v>77.560204153774905</v>
      </c>
      <c r="AK1147">
        <v>19.027361027767999</v>
      </c>
      <c r="AL1147">
        <v>79.593478387123994</v>
      </c>
      <c r="AM1147">
        <v>82.158320559729205</v>
      </c>
      <c r="AN1147">
        <v>1.00000001249208</v>
      </c>
    </row>
    <row r="1148" spans="1:40" x14ac:dyDescent="0.25">
      <c r="A1148" t="str">
        <f>"20190312172635557"</f>
        <v>20190312172635557</v>
      </c>
      <c r="B1148" t="str">
        <f>"1552382795549766"</f>
        <v>1552382795549766</v>
      </c>
      <c r="C1148" t="s">
        <v>40</v>
      </c>
      <c r="D1148">
        <v>3.5912649999999999</v>
      </c>
      <c r="E1148">
        <v>0.52971230000000002</v>
      </c>
      <c r="F1148" t="s">
        <v>41</v>
      </c>
      <c r="G1148">
        <v>-193.70230000000001</v>
      </c>
      <c r="H1148" s="1">
        <v>-2.069152E-6</v>
      </c>
      <c r="I1148">
        <v>311.88490000000002</v>
      </c>
      <c r="J1148">
        <v>-189.48009999999999</v>
      </c>
      <c r="K1148">
        <v>1.1088450000000001</v>
      </c>
      <c r="L1148">
        <v>330.01080000000002</v>
      </c>
      <c r="M1148">
        <v>-1.212013E-2</v>
      </c>
      <c r="N1148">
        <v>0</v>
      </c>
      <c r="O1148">
        <v>-0.99983270000000002</v>
      </c>
      <c r="P1148">
        <v>-0.14490510000000001</v>
      </c>
      <c r="Q1148">
        <v>0.16734189999999999</v>
      </c>
      <c r="R1148">
        <v>-0.97519219999999895</v>
      </c>
      <c r="S1148">
        <v>-0.69200130000000004</v>
      </c>
      <c r="T1148">
        <v>-0.18149850000000001</v>
      </c>
      <c r="U1148">
        <v>-3.005493</v>
      </c>
      <c r="V1148">
        <v>0.13374240000000001</v>
      </c>
      <c r="W1148">
        <v>0.1802146</v>
      </c>
      <c r="X1148">
        <v>0.97449249999999998</v>
      </c>
      <c r="Y1148">
        <v>0.21215800000000001</v>
      </c>
      <c r="Z1148">
        <v>5.8819730000000001E-2</v>
      </c>
      <c r="AA1148">
        <v>0.97546359999999999</v>
      </c>
      <c r="AB1148">
        <v>22</v>
      </c>
      <c r="AC1148">
        <v>-4.2222000000000097</v>
      </c>
      <c r="AD1148">
        <v>-1.108847069152</v>
      </c>
      <c r="AE1148">
        <v>-18.125900000000001</v>
      </c>
      <c r="AF1148">
        <v>3.9880244846167701</v>
      </c>
      <c r="AG1148">
        <v>-1.108847069152</v>
      </c>
      <c r="AH1148">
        <v>18.111455840873099</v>
      </c>
      <c r="AI1148">
        <v>93.421708794996505</v>
      </c>
      <c r="AJ1148">
        <v>77.582008101857497</v>
      </c>
      <c r="AK1148">
        <v>18.578447561315901</v>
      </c>
      <c r="AL1148">
        <v>79.617739917804698</v>
      </c>
      <c r="AM1148">
        <v>82.185368516085006</v>
      </c>
      <c r="AN1148">
        <v>0.99999998208358398</v>
      </c>
    </row>
    <row r="1149" spans="1:40" x14ac:dyDescent="0.25">
      <c r="A1149" t="str">
        <f>"20190312172635579"</f>
        <v>20190312172635579</v>
      </c>
      <c r="B1149" t="str">
        <f>"1552382795570262"</f>
        <v>1552382795570262</v>
      </c>
      <c r="C1149" t="s">
        <v>40</v>
      </c>
      <c r="D1149">
        <v>3.5731199999999999</v>
      </c>
      <c r="E1149">
        <v>0.52957359999999998</v>
      </c>
      <c r="F1149" t="s">
        <v>41</v>
      </c>
      <c r="G1149">
        <v>-193.6738</v>
      </c>
      <c r="H1149" s="1">
        <v>-2.0923770000000001E-6</v>
      </c>
      <c r="I1149">
        <v>311.95010000000002</v>
      </c>
      <c r="J1149">
        <v>-189.4855</v>
      </c>
      <c r="K1149">
        <v>1.108849</v>
      </c>
      <c r="L1149">
        <v>329.79950000000002</v>
      </c>
      <c r="M1149">
        <v>-1.454957E-2</v>
      </c>
      <c r="N1149">
        <v>0</v>
      </c>
      <c r="O1149">
        <v>-0.99980040000000003</v>
      </c>
      <c r="P1149">
        <v>-0.14707149999999999</v>
      </c>
      <c r="Q1149">
        <v>0.1665384</v>
      </c>
      <c r="R1149">
        <v>-0.97500529999999996</v>
      </c>
      <c r="S1149">
        <v>-0.69761660000000003</v>
      </c>
      <c r="T1149">
        <v>-0.18445310000000001</v>
      </c>
      <c r="U1149">
        <v>-3.0043329999999999</v>
      </c>
      <c r="V1149">
        <v>0.1335324</v>
      </c>
      <c r="W1149">
        <v>0.1794134</v>
      </c>
      <c r="X1149">
        <v>0.97466920000000001</v>
      </c>
      <c r="Y1149">
        <v>0.21158360000000001</v>
      </c>
      <c r="Z1149">
        <v>5.978464E-2</v>
      </c>
      <c r="AA1149">
        <v>0.97552969999999894</v>
      </c>
      <c r="AB1149">
        <v>22</v>
      </c>
      <c r="AC1149">
        <v>-4.1882999999999901</v>
      </c>
      <c r="AD1149">
        <v>-1.1088510923770001</v>
      </c>
      <c r="AE1149">
        <v>-17.849399999999999</v>
      </c>
      <c r="AF1149">
        <v>3.9138151058633399</v>
      </c>
      <c r="AG1149">
        <v>-1.1088510923770001</v>
      </c>
      <c r="AH1149">
        <v>17.843186767022299</v>
      </c>
      <c r="AI1149">
        <v>93.473657411106203</v>
      </c>
      <c r="AJ1149">
        <v>77.628378591829005</v>
      </c>
      <c r="AK1149">
        <v>18.3010058038018</v>
      </c>
      <c r="AL1149">
        <v>79.664406736126793</v>
      </c>
      <c r="AM1149">
        <v>82.198884774736101</v>
      </c>
      <c r="AN1149">
        <v>1.00000005968897</v>
      </c>
    </row>
    <row r="1150" spans="1:40" x14ac:dyDescent="0.25">
      <c r="A1150" t="str">
        <f>"20190312172635601"</f>
        <v>20190312172635601</v>
      </c>
      <c r="B1150" t="str">
        <f>"1552382795589782"</f>
        <v>1552382795589782</v>
      </c>
      <c r="C1150" t="s">
        <v>40</v>
      </c>
      <c r="D1150">
        <v>3.5689000000000002</v>
      </c>
      <c r="E1150">
        <v>0.52940980000000004</v>
      </c>
      <c r="F1150" t="s">
        <v>41</v>
      </c>
      <c r="G1150">
        <v>-193.65029999999999</v>
      </c>
      <c r="H1150" s="1">
        <v>-2.1175230000000001E-6</v>
      </c>
      <c r="I1150">
        <v>312.01659999999998</v>
      </c>
      <c r="J1150">
        <v>-189.49170000000001</v>
      </c>
      <c r="K1150">
        <v>1.1088450000000001</v>
      </c>
      <c r="L1150">
        <v>329.57990000000001</v>
      </c>
      <c r="M1150">
        <v>-1.70744E-2</v>
      </c>
      <c r="N1150">
        <v>0</v>
      </c>
      <c r="O1150">
        <v>-0.9997606</v>
      </c>
      <c r="P1150">
        <v>-0.1490599</v>
      </c>
      <c r="Q1150">
        <v>0.16658700000000001</v>
      </c>
      <c r="R1150">
        <v>-0.97469530000000004</v>
      </c>
      <c r="S1150">
        <v>-0.70326230000000001</v>
      </c>
      <c r="T1150">
        <v>-0.18723980000000001</v>
      </c>
      <c r="U1150">
        <v>-3.0028079999999999</v>
      </c>
      <c r="V1150">
        <v>0.13305639999999999</v>
      </c>
      <c r="W1150">
        <v>0.17946409999999999</v>
      </c>
      <c r="X1150">
        <v>0.97472490000000001</v>
      </c>
      <c r="Y1150">
        <v>0.21095169999999999</v>
      </c>
      <c r="Z1150">
        <v>6.0702180000000001E-2</v>
      </c>
      <c r="AA1150">
        <v>0.97560990000000003</v>
      </c>
      <c r="AB1150">
        <v>22</v>
      </c>
      <c r="AC1150">
        <v>-4.1585999999999697</v>
      </c>
      <c r="AD1150">
        <v>-1.1088471175229999</v>
      </c>
      <c r="AE1150">
        <v>-17.563300000000002</v>
      </c>
      <c r="AF1150">
        <v>3.8435758092821599</v>
      </c>
      <c r="AG1150">
        <v>-1.1088471175229999</v>
      </c>
      <c r="AH1150">
        <v>17.565453435115799</v>
      </c>
      <c r="AI1150">
        <v>93.528820677314997</v>
      </c>
      <c r="AJ1150">
        <v>77.657386270584098</v>
      </c>
      <c r="AK1150">
        <v>18.015209444049201</v>
      </c>
      <c r="AL1150">
        <v>79.661453286695604</v>
      </c>
      <c r="AM1150">
        <v>82.226791421146501</v>
      </c>
      <c r="AN1150">
        <v>0.99999999972488995</v>
      </c>
    </row>
    <row r="1151" spans="1:40" x14ac:dyDescent="0.25">
      <c r="A1151" t="str">
        <f>"20190312172635623"</f>
        <v>20190312172635623</v>
      </c>
      <c r="B1151" t="str">
        <f>"1552382795620038"</f>
        <v>1552382795620038</v>
      </c>
      <c r="C1151" t="s">
        <v>40</v>
      </c>
      <c r="D1151">
        <v>3.5869759999999999</v>
      </c>
      <c r="E1151">
        <v>0.52909019999999995</v>
      </c>
      <c r="F1151" t="s">
        <v>41</v>
      </c>
      <c r="G1151">
        <v>-193.6891</v>
      </c>
      <c r="H1151" s="1">
        <v>-2.0182610000000002E-6</v>
      </c>
      <c r="I1151">
        <v>311.78469999999999</v>
      </c>
      <c r="J1151">
        <v>-189.4984</v>
      </c>
      <c r="K1151">
        <v>1.1088559999999901</v>
      </c>
      <c r="L1151">
        <v>329.3596</v>
      </c>
      <c r="M1151">
        <v>-1.9607110000000001E-2</v>
      </c>
      <c r="N1151">
        <v>0</v>
      </c>
      <c r="O1151">
        <v>-0.9997142</v>
      </c>
      <c r="P1151">
        <v>-0.15209139999999999</v>
      </c>
      <c r="Q1151">
        <v>0.16719139999999999</v>
      </c>
      <c r="R1151">
        <v>-0.97412330000000003</v>
      </c>
      <c r="S1151">
        <v>-0.70800779999999996</v>
      </c>
      <c r="T1151">
        <v>-0.1870339</v>
      </c>
      <c r="U1151">
        <v>-3.0015869999999998</v>
      </c>
      <c r="V1151">
        <v>0.13362309999999999</v>
      </c>
      <c r="W1151">
        <v>0.1800631</v>
      </c>
      <c r="X1151">
        <v>0.97453690000000004</v>
      </c>
      <c r="Y1151">
        <v>0.21002599999999999</v>
      </c>
      <c r="Z1151">
        <v>6.0650679999999998E-2</v>
      </c>
      <c r="AA1151">
        <v>0.97581280000000004</v>
      </c>
      <c r="AB1151">
        <v>22</v>
      </c>
      <c r="AC1151">
        <v>-4.1906999999999899</v>
      </c>
      <c r="AD1151">
        <v>-1.1088580182609999</v>
      </c>
      <c r="AE1151">
        <v>-17.5749</v>
      </c>
      <c r="AF1151">
        <v>3.8308397538470902</v>
      </c>
      <c r="AG1151">
        <v>-1.1088580182609999</v>
      </c>
      <c r="AH1151">
        <v>17.587451079674999</v>
      </c>
      <c r="AI1151">
        <v>93.525183748935405</v>
      </c>
      <c r="AJ1151">
        <v>77.711957327997098</v>
      </c>
      <c r="AK1151">
        <v>18.033949506535699</v>
      </c>
      <c r="AL1151">
        <v>79.626564894523796</v>
      </c>
      <c r="AM1151">
        <v>82.192604591406905</v>
      </c>
      <c r="AN1151">
        <v>1.00000001114841</v>
      </c>
    </row>
    <row r="1152" spans="1:40" x14ac:dyDescent="0.25">
      <c r="A1152" t="str">
        <f>"20190312172635645"</f>
        <v>20190312172635645</v>
      </c>
      <c r="B1152" t="str">
        <f>"1552382795639558"</f>
        <v>1552382795639558</v>
      </c>
      <c r="C1152" t="s">
        <v>40</v>
      </c>
      <c r="D1152">
        <v>3.5557840000000001</v>
      </c>
      <c r="E1152">
        <v>0.52887130000000004</v>
      </c>
      <c r="F1152" t="s">
        <v>41</v>
      </c>
      <c r="G1152">
        <v>-193.74510000000001</v>
      </c>
      <c r="H1152" s="1">
        <v>-1.906368E-6</v>
      </c>
      <c r="I1152">
        <v>311.51650000000001</v>
      </c>
      <c r="J1152">
        <v>-189.50540000000001</v>
      </c>
      <c r="K1152">
        <v>1.1088629999999999</v>
      </c>
      <c r="L1152">
        <v>329.1474</v>
      </c>
      <c r="M1152">
        <v>-2.2046940000000001E-2</v>
      </c>
      <c r="N1152">
        <v>0</v>
      </c>
      <c r="O1152">
        <v>-0.99966339999999998</v>
      </c>
      <c r="P1152">
        <v>-0.15493689999999999</v>
      </c>
      <c r="Q1152">
        <v>0.16882329999999901</v>
      </c>
      <c r="R1152">
        <v>-0.9733927</v>
      </c>
      <c r="S1152">
        <v>-0.71406559999999997</v>
      </c>
      <c r="T1152">
        <v>-0.18645200000000001</v>
      </c>
      <c r="U1152">
        <v>-3.0002749999999998</v>
      </c>
      <c r="V1152">
        <v>0.13410349999999999</v>
      </c>
      <c r="W1152">
        <v>0.1816876</v>
      </c>
      <c r="X1152">
        <v>0.97416930000000002</v>
      </c>
      <c r="Y1152">
        <v>0.20960329999999999</v>
      </c>
      <c r="Z1152">
        <v>6.0472650000000003E-2</v>
      </c>
      <c r="AA1152">
        <v>0.97591470000000002</v>
      </c>
      <c r="AB1152">
        <v>22</v>
      </c>
      <c r="AC1152">
        <v>-4.2396999999999903</v>
      </c>
      <c r="AD1152">
        <v>-1.1088649063679901</v>
      </c>
      <c r="AE1152">
        <v>-17.630899999999901</v>
      </c>
      <c r="AF1152">
        <v>3.83558302088991</v>
      </c>
      <c r="AG1152">
        <v>-1.1088649063679901</v>
      </c>
      <c r="AH1152">
        <v>17.6540804354551</v>
      </c>
      <c r="AI1152">
        <v>93.5123369540743</v>
      </c>
      <c r="AJ1152">
        <v>77.742231939084405</v>
      </c>
      <c r="AK1152">
        <v>18.099940179796999</v>
      </c>
      <c r="AL1152">
        <v>79.531926592735701</v>
      </c>
      <c r="AM1152">
        <v>82.161963741798701</v>
      </c>
      <c r="AN1152">
        <v>0.99999997888424896</v>
      </c>
    </row>
    <row r="1153" spans="1:40" x14ac:dyDescent="0.25">
      <c r="A1153" t="str">
        <f>"20190312172635668"</f>
        <v>20190312172635668</v>
      </c>
      <c r="B1153" t="str">
        <f>"1552382795660054"</f>
        <v>1552382795660054</v>
      </c>
      <c r="C1153" t="s">
        <v>40</v>
      </c>
      <c r="D1153">
        <v>3.529703</v>
      </c>
      <c r="E1153">
        <v>0.52870010000000001</v>
      </c>
      <c r="F1153" t="s">
        <v>41</v>
      </c>
      <c r="G1153">
        <v>-193.8913</v>
      </c>
      <c r="H1153" s="1">
        <v>-1.6595430000000001E-6</v>
      </c>
      <c r="I1153">
        <v>310.91199999999998</v>
      </c>
      <c r="J1153">
        <v>-189.51329999999999</v>
      </c>
      <c r="K1153">
        <v>1.108876</v>
      </c>
      <c r="L1153">
        <v>328.92529999999999</v>
      </c>
      <c r="M1153">
        <v>-2.4601649999999999E-2</v>
      </c>
      <c r="N1153">
        <v>0</v>
      </c>
      <c r="O1153">
        <v>-0.99960360000000004</v>
      </c>
      <c r="P1153">
        <v>-0.15808079999999999</v>
      </c>
      <c r="Q1153">
        <v>0.1702245</v>
      </c>
      <c r="R1153">
        <v>-0.97264300000000004</v>
      </c>
      <c r="S1153">
        <v>-0.72126769999999996</v>
      </c>
      <c r="T1153">
        <v>-0.18235499999999999</v>
      </c>
      <c r="U1153">
        <v>-2.99884</v>
      </c>
      <c r="V1153">
        <v>0.1347719</v>
      </c>
      <c r="W1153">
        <v>0.18308060000000001</v>
      </c>
      <c r="X1153">
        <v>0.97381620000000002</v>
      </c>
      <c r="Y1153">
        <v>0.2094452</v>
      </c>
      <c r="Z1153">
        <v>5.915554E-2</v>
      </c>
      <c r="AA1153">
        <v>0.97602940000000005</v>
      </c>
      <c r="AB1153">
        <v>22</v>
      </c>
      <c r="AC1153">
        <v>-4.3780000000000099</v>
      </c>
      <c r="AD1153">
        <v>-1.1088776595430001</v>
      </c>
      <c r="AE1153">
        <v>-18.013299999999902</v>
      </c>
      <c r="AF1153">
        <v>3.9194519364676599</v>
      </c>
      <c r="AG1153">
        <v>-1.1088776595430001</v>
      </c>
      <c r="AH1153">
        <v>18.0509743365944</v>
      </c>
      <c r="AI1153">
        <v>93.435429244727899</v>
      </c>
      <c r="AJ1153">
        <v>77.749390062880806</v>
      </c>
      <c r="AK1153">
        <v>18.504847679635301</v>
      </c>
      <c r="AL1153">
        <v>79.450752076637201</v>
      </c>
      <c r="AM1153">
        <v>82.120566333161804</v>
      </c>
      <c r="AN1153">
        <v>0.99999998125420397</v>
      </c>
    </row>
    <row r="1154" spans="1:40" x14ac:dyDescent="0.25">
      <c r="A1154" t="str">
        <f>"20190312172635692"</f>
        <v>20190312172635692</v>
      </c>
      <c r="B1154" t="str">
        <f>"1552382795679574"</f>
        <v>1552382795679574</v>
      </c>
      <c r="C1154" t="s">
        <v>40</v>
      </c>
      <c r="D1154">
        <v>3.521204</v>
      </c>
      <c r="E1154">
        <v>0.528555</v>
      </c>
      <c r="F1154" t="s">
        <v>41</v>
      </c>
      <c r="G1154">
        <v>-194.0676</v>
      </c>
      <c r="H1154" s="1">
        <v>-1.3833669999999999E-6</v>
      </c>
      <c r="I1154">
        <v>310.2285</v>
      </c>
      <c r="J1154">
        <v>-189.52209999999999</v>
      </c>
      <c r="K1154">
        <v>1.108886</v>
      </c>
      <c r="L1154">
        <v>328.69690000000003</v>
      </c>
      <c r="M1154">
        <v>-2.7228700000000002E-2</v>
      </c>
      <c r="N1154">
        <v>0</v>
      </c>
      <c r="O1154">
        <v>-0.99953579999999997</v>
      </c>
      <c r="P1154">
        <v>-0.16148689999999999</v>
      </c>
      <c r="Q1154">
        <v>0.1712264</v>
      </c>
      <c r="R1154">
        <v>-0.97190759999999998</v>
      </c>
      <c r="S1154">
        <v>-0.72999569999999903</v>
      </c>
      <c r="T1154">
        <v>-0.1777378</v>
      </c>
      <c r="U1154">
        <v>-2.996826</v>
      </c>
      <c r="V1154">
        <v>0.13563210000000001</v>
      </c>
      <c r="W1154">
        <v>0.18407470000000001</v>
      </c>
      <c r="X1154">
        <v>0.97350930000000002</v>
      </c>
      <c r="Y1154">
        <v>0.20973030000000001</v>
      </c>
      <c r="Z1154">
        <v>5.767328E-2</v>
      </c>
      <c r="AA1154">
        <v>0.97605690000000001</v>
      </c>
      <c r="AB1154">
        <v>22</v>
      </c>
      <c r="AC1154">
        <v>-4.5454999999999997</v>
      </c>
      <c r="AD1154">
        <v>-1.1088873833670001</v>
      </c>
      <c r="AE1154">
        <v>-18.468399999999999</v>
      </c>
      <c r="AF1154">
        <v>4.0272076494778197</v>
      </c>
      <c r="AG1154">
        <v>-1.1088873833670001</v>
      </c>
      <c r="AH1154">
        <v>18.5223699220025</v>
      </c>
      <c r="AI1154">
        <v>93.348026045057296</v>
      </c>
      <c r="AJ1154">
        <v>77.733437817911295</v>
      </c>
      <c r="AK1154">
        <v>18.987528017319899</v>
      </c>
      <c r="AL1154">
        <v>79.392809384766295</v>
      </c>
      <c r="AM1154">
        <v>82.068444588894707</v>
      </c>
      <c r="AN1154">
        <v>0.99999995945849396</v>
      </c>
    </row>
    <row r="1155" spans="1:40" x14ac:dyDescent="0.25">
      <c r="A1155" t="str">
        <f>"20190312172635714"</f>
        <v>20190312172635714</v>
      </c>
      <c r="B1155" t="str">
        <f>"1552382795709830"</f>
        <v>1552382795709830</v>
      </c>
      <c r="C1155" t="s">
        <v>40</v>
      </c>
      <c r="D1155">
        <v>3.5186760000000001</v>
      </c>
      <c r="E1155">
        <v>0.52838859999999999</v>
      </c>
      <c r="F1155" t="s">
        <v>41</v>
      </c>
      <c r="G1155">
        <v>-194.2201</v>
      </c>
      <c r="H1155" s="1">
        <v>-1.1628450000000001E-6</v>
      </c>
      <c r="I1155">
        <v>309.67619999999999</v>
      </c>
      <c r="J1155">
        <v>-189.53100000000001</v>
      </c>
      <c r="K1155">
        <v>1.1088990000000001</v>
      </c>
      <c r="L1155">
        <v>328.47980000000001</v>
      </c>
      <c r="M1155">
        <v>-2.9725310000000001E-2</v>
      </c>
      <c r="N1155">
        <v>0</v>
      </c>
      <c r="O1155">
        <v>-0.99946469999999998</v>
      </c>
      <c r="P1155">
        <v>-0.16423409999999999</v>
      </c>
      <c r="Q1155">
        <v>0.17124</v>
      </c>
      <c r="R1155">
        <v>-0.97144459999999999</v>
      </c>
      <c r="S1155">
        <v>-0.7396393</v>
      </c>
      <c r="T1155">
        <v>-0.17458080000000001</v>
      </c>
      <c r="U1155">
        <v>-2.9945680000000001</v>
      </c>
      <c r="V1155">
        <v>0.13595160000000001</v>
      </c>
      <c r="W1155">
        <v>0.18408550000000001</v>
      </c>
      <c r="X1155">
        <v>0.97346270000000001</v>
      </c>
      <c r="Y1155">
        <v>0.21043609999999999</v>
      </c>
      <c r="Z1155">
        <v>5.6661839999999998E-2</v>
      </c>
      <c r="AA1155">
        <v>0.97596419999999995</v>
      </c>
      <c r="AB1155">
        <v>22</v>
      </c>
      <c r="AC1155">
        <v>-4.6891000000000203</v>
      </c>
      <c r="AD1155">
        <v>-1.1089001628449999</v>
      </c>
      <c r="AE1155">
        <v>-18.803599999999999</v>
      </c>
      <c r="AF1155">
        <v>4.11456069846838</v>
      </c>
      <c r="AG1155">
        <v>-1.1089001628449999</v>
      </c>
      <c r="AH1155">
        <v>18.872894021292499</v>
      </c>
      <c r="AI1155">
        <v>93.285616576284696</v>
      </c>
      <c r="AJ1155">
        <v>77.7011466815174</v>
      </c>
      <c r="AK1155">
        <v>19.3480075990133</v>
      </c>
      <c r="AL1155">
        <v>79.392179929844701</v>
      </c>
      <c r="AM1155">
        <v>82.049623631781799</v>
      </c>
      <c r="AN1155">
        <v>0.99999996857204898</v>
      </c>
    </row>
    <row r="1156" spans="1:40" x14ac:dyDescent="0.25">
      <c r="A1156" t="str">
        <f>"20190312172635740"</f>
        <v>20190312172635740</v>
      </c>
      <c r="B1156" t="str">
        <f>"1552382795729350"</f>
        <v>1552382795729350</v>
      </c>
      <c r="C1156" t="s">
        <v>40</v>
      </c>
      <c r="D1156">
        <v>3.4946990000000002</v>
      </c>
      <c r="E1156">
        <v>0.52824249999999995</v>
      </c>
      <c r="F1156" t="s">
        <v>41</v>
      </c>
      <c r="G1156">
        <v>-194.25190000000001</v>
      </c>
      <c r="H1156" s="1">
        <v>-5.027257E-6</v>
      </c>
      <c r="I1156">
        <v>309.54329999999999</v>
      </c>
      <c r="J1156">
        <v>-189.54169999999999</v>
      </c>
      <c r="K1156">
        <v>1.108905</v>
      </c>
      <c r="L1156">
        <v>328.23230000000001</v>
      </c>
      <c r="M1156">
        <v>-3.25656E-2</v>
      </c>
      <c r="N1156">
        <v>0</v>
      </c>
      <c r="O1156">
        <v>-0.99937609999999999</v>
      </c>
      <c r="P1156">
        <v>-0.16724990000000001</v>
      </c>
      <c r="Q1156">
        <v>0.17141609999999999</v>
      </c>
      <c r="R1156">
        <v>-0.97089899999999996</v>
      </c>
      <c r="S1156">
        <v>-0.74613949999999996</v>
      </c>
      <c r="T1156">
        <v>-0.175261</v>
      </c>
      <c r="U1156">
        <v>-2.9928889999999999</v>
      </c>
      <c r="V1156">
        <v>0.13620699999999999</v>
      </c>
      <c r="W1156">
        <v>0.18425939999999999</v>
      </c>
      <c r="X1156">
        <v>0.97339419999999999</v>
      </c>
      <c r="Y1156">
        <v>0.20977889999999999</v>
      </c>
      <c r="Z1156">
        <v>5.6894590000000002E-2</v>
      </c>
      <c r="AA1156">
        <v>0.97609210000000002</v>
      </c>
      <c r="AB1156">
        <v>22</v>
      </c>
      <c r="AC1156">
        <v>-4.7102000000000102</v>
      </c>
      <c r="AD1156">
        <v>-1.1089100272570001</v>
      </c>
      <c r="AE1156">
        <v>-18.689</v>
      </c>
      <c r="AF1156">
        <v>4.0855013888007603</v>
      </c>
      <c r="AG1156">
        <v>-1.1089100272570001</v>
      </c>
      <c r="AH1156">
        <v>18.770353724045201</v>
      </c>
      <c r="AI1156">
        <v>93.3038000478263</v>
      </c>
      <c r="AJ1156">
        <v>77.720683493755203</v>
      </c>
      <c r="AK1156">
        <v>19.2418081783449</v>
      </c>
      <c r="AL1156">
        <v>79.382043886761195</v>
      </c>
      <c r="AM1156">
        <v>82.034326159382601</v>
      </c>
      <c r="AN1156">
        <v>1.0000000709654899</v>
      </c>
    </row>
    <row r="1157" spans="1:40" x14ac:dyDescent="0.25">
      <c r="A1157" t="str">
        <f>"20190312172635758"</f>
        <v>20190312172635758</v>
      </c>
      <c r="B1157" t="str">
        <f>"1552382795749847"</f>
        <v>1552382795749847</v>
      </c>
      <c r="C1157" t="s">
        <v>40</v>
      </c>
      <c r="D1157">
        <v>3.50874</v>
      </c>
      <c r="E1157">
        <v>0.52811339999999996</v>
      </c>
      <c r="F1157" t="s">
        <v>41</v>
      </c>
      <c r="G1157">
        <v>-194.31129999999999</v>
      </c>
      <c r="H1157" s="1">
        <v>-4.9594219999999997E-6</v>
      </c>
      <c r="I1157">
        <v>309.31299999999999</v>
      </c>
      <c r="J1157">
        <v>-189.55</v>
      </c>
      <c r="K1157">
        <v>1.1089089999999999</v>
      </c>
      <c r="L1157">
        <v>328.05099999999999</v>
      </c>
      <c r="M1157">
        <v>-3.4635230000000003E-2</v>
      </c>
      <c r="N1157">
        <v>0</v>
      </c>
      <c r="O1157">
        <v>-0.99930640000000004</v>
      </c>
      <c r="P1157">
        <v>-0.1695266</v>
      </c>
      <c r="Q1157">
        <v>0.17165620000000001</v>
      </c>
      <c r="R1157">
        <v>-0.97046140000000003</v>
      </c>
      <c r="S1157">
        <v>-0.75402829999999998</v>
      </c>
      <c r="T1157">
        <v>-0.17530870000000001</v>
      </c>
      <c r="U1157">
        <v>-2.9909669999999999</v>
      </c>
      <c r="V1157">
        <v>0.13647279999999901</v>
      </c>
      <c r="W1157">
        <v>0.18449840000000001</v>
      </c>
      <c r="X1157">
        <v>0.97331160000000005</v>
      </c>
      <c r="Y1157">
        <v>0.21032319999999999</v>
      </c>
      <c r="Z1157">
        <v>5.6918120000000003E-2</v>
      </c>
      <c r="AA1157">
        <v>0.9759736</v>
      </c>
      <c r="AB1157">
        <v>22</v>
      </c>
      <c r="AC1157">
        <v>-4.7612999999999701</v>
      </c>
      <c r="AD1157">
        <v>-1.1089139594220001</v>
      </c>
      <c r="AE1157">
        <v>-18.738</v>
      </c>
      <c r="AF1157">
        <v>4.0959121622430201</v>
      </c>
      <c r="AG1157">
        <v>-1.1089139594220001</v>
      </c>
      <c r="AH1157">
        <v>18.8297325630123</v>
      </c>
      <c r="AI1157">
        <v>93.293507395570003</v>
      </c>
      <c r="AJ1157">
        <v>77.727985790790896</v>
      </c>
      <c r="AK1157">
        <v>19.301943296072</v>
      </c>
      <c r="AL1157">
        <v>79.368110323075101</v>
      </c>
      <c r="AM1157">
        <v>82.018313137587697</v>
      </c>
      <c r="AN1157">
        <v>0.99999997771847904</v>
      </c>
    </row>
    <row r="1158" spans="1:40" x14ac:dyDescent="0.25">
      <c r="A1158" t="str">
        <f>"20190312172635782"</f>
        <v>20190312172635782</v>
      </c>
      <c r="B1158" t="str">
        <f>"1552382795769366"</f>
        <v>1552382795769366</v>
      </c>
      <c r="C1158" t="s">
        <v>40</v>
      </c>
      <c r="D1158">
        <v>3.504788</v>
      </c>
      <c r="E1158">
        <v>0.52798999999999996</v>
      </c>
      <c r="F1158" t="s">
        <v>41</v>
      </c>
      <c r="G1158">
        <v>-194.352</v>
      </c>
      <c r="H1158" s="1">
        <v>-4.9113650000000002E-6</v>
      </c>
      <c r="I1158">
        <v>309.1506</v>
      </c>
      <c r="J1158">
        <v>-189.5609</v>
      </c>
      <c r="K1158">
        <v>1.1089279999999999</v>
      </c>
      <c r="L1158">
        <v>327.82490000000001</v>
      </c>
      <c r="M1158">
        <v>-3.7191130000000003E-2</v>
      </c>
      <c r="N1158">
        <v>0</v>
      </c>
      <c r="O1158">
        <v>-0.99921470000000001</v>
      </c>
      <c r="P1158">
        <v>-0.17198039999999901</v>
      </c>
      <c r="Q1158">
        <v>0.17116579999999901</v>
      </c>
      <c r="R1158">
        <v>-0.97011599999999998</v>
      </c>
      <c r="S1158">
        <v>-0.75956729999999995</v>
      </c>
      <c r="T1158">
        <v>-0.17540539999999999</v>
      </c>
      <c r="U1158">
        <v>-2.9896240000000001</v>
      </c>
      <c r="V1158">
        <v>0.13643069999999999</v>
      </c>
      <c r="W1158">
        <v>0.18401339999999999</v>
      </c>
      <c r="X1158">
        <v>0.97340939999999998</v>
      </c>
      <c r="Y1158">
        <v>0.20962539999999999</v>
      </c>
      <c r="Z1158">
        <v>5.6957830000000001E-2</v>
      </c>
      <c r="AA1158">
        <v>0.97612140000000003</v>
      </c>
      <c r="AB1158">
        <v>22</v>
      </c>
      <c r="AC1158">
        <v>-4.7911000000000001</v>
      </c>
      <c r="AD1158">
        <v>-1.1089329113649999</v>
      </c>
      <c r="AE1158">
        <v>-18.674299999999999</v>
      </c>
      <c r="AF1158">
        <v>4.0797036920331404</v>
      </c>
      <c r="AG1158">
        <v>-1.1089329113649999</v>
      </c>
      <c r="AH1158">
        <v>18.777455240718002</v>
      </c>
      <c r="AI1158">
        <v>93.302888942167101</v>
      </c>
      <c r="AJ1158">
        <v>77.742078669967896</v>
      </c>
      <c r="AK1158">
        <v>19.247507364172201</v>
      </c>
      <c r="AL1158">
        <v>79.396383772354</v>
      </c>
      <c r="AM1158">
        <v>82.021535026431096</v>
      </c>
      <c r="AN1158">
        <v>1.0000000636452</v>
      </c>
    </row>
    <row r="1159" spans="1:40" x14ac:dyDescent="0.25">
      <c r="A1159" t="str">
        <f>"20190312172635804"</f>
        <v>20190312172635804</v>
      </c>
      <c r="B1159" t="str">
        <f>"1552382795799622"</f>
        <v>1552382795799622</v>
      </c>
      <c r="C1159" t="s">
        <v>40</v>
      </c>
      <c r="D1159">
        <v>3.4986190000000001</v>
      </c>
      <c r="E1159">
        <v>0.52778069999999999</v>
      </c>
      <c r="F1159" t="s">
        <v>41</v>
      </c>
      <c r="G1159">
        <v>-194.3443</v>
      </c>
      <c r="H1159" s="1">
        <v>-4.9168479999999997E-6</v>
      </c>
      <c r="I1159">
        <v>309.17070000000001</v>
      </c>
      <c r="J1159">
        <v>-189.57169999999999</v>
      </c>
      <c r="K1159">
        <v>1.108959</v>
      </c>
      <c r="L1159">
        <v>327.61169999999998</v>
      </c>
      <c r="M1159">
        <v>-3.9562979999999998E-2</v>
      </c>
      <c r="N1159">
        <v>0</v>
      </c>
      <c r="O1159">
        <v>-0.9991236</v>
      </c>
      <c r="P1159">
        <v>-0.17444809999999999</v>
      </c>
      <c r="Q1159">
        <v>0.17081879999999999</v>
      </c>
      <c r="R1159">
        <v>-0.9697365</v>
      </c>
      <c r="S1159">
        <v>-0.76618960000000003</v>
      </c>
      <c r="T1159">
        <v>-0.17762549999999999</v>
      </c>
      <c r="U1159">
        <v>-2.9879760000000002</v>
      </c>
      <c r="V1159">
        <v>0.1365799</v>
      </c>
      <c r="W1159">
        <v>0.18367310000000001</v>
      </c>
      <c r="X1159">
        <v>0.97345269999999995</v>
      </c>
      <c r="Y1159">
        <v>0.20945369999999999</v>
      </c>
      <c r="Z1159">
        <v>5.768467E-2</v>
      </c>
      <c r="AA1159">
        <v>0.97611559999999997</v>
      </c>
      <c r="AB1159">
        <v>22</v>
      </c>
      <c r="AC1159">
        <v>-4.7726000000000104</v>
      </c>
      <c r="AD1159">
        <v>-1.1089639168479899</v>
      </c>
      <c r="AE1159">
        <v>-18.440999999999899</v>
      </c>
      <c r="AF1159">
        <v>4.0255698052589697</v>
      </c>
      <c r="AG1159">
        <v>-1.1089639168479899</v>
      </c>
      <c r="AH1159">
        <v>18.552515349251301</v>
      </c>
      <c r="AI1159">
        <v>93.343133945590793</v>
      </c>
      <c r="AJ1159">
        <v>77.757597949889998</v>
      </c>
      <c r="AK1159">
        <v>19.016593780435301</v>
      </c>
      <c r="AL1159">
        <v>79.416219126231198</v>
      </c>
      <c r="AM1159">
        <v>82.013273037464401</v>
      </c>
      <c r="AN1159">
        <v>1.00000001794245</v>
      </c>
    </row>
    <row r="1160" spans="1:40" x14ac:dyDescent="0.25">
      <c r="A1160" t="str">
        <f>"20190312172635826"</f>
        <v>20190312172635826</v>
      </c>
      <c r="B1160" t="str">
        <f>"1552382795820118"</f>
        <v>1552382795820118</v>
      </c>
      <c r="C1160" t="s">
        <v>40</v>
      </c>
      <c r="D1160">
        <v>3.5084469999999999</v>
      </c>
      <c r="E1160">
        <v>0.52763490000000002</v>
      </c>
      <c r="F1160" t="s">
        <v>41</v>
      </c>
      <c r="G1160">
        <v>-194.34</v>
      </c>
      <c r="H1160" s="1">
        <v>-4.9179010000000002E-6</v>
      </c>
      <c r="I1160">
        <v>309.17610000000002</v>
      </c>
      <c r="J1160">
        <v>-189.58340000000001</v>
      </c>
      <c r="K1160">
        <v>1.109003</v>
      </c>
      <c r="L1160">
        <v>327.3897</v>
      </c>
      <c r="M1160">
        <v>-4.1975520000000002E-2</v>
      </c>
      <c r="N1160">
        <v>0</v>
      </c>
      <c r="O1160">
        <v>-0.99902539999999995</v>
      </c>
      <c r="P1160">
        <v>-0.1770774</v>
      </c>
      <c r="Q1160">
        <v>0.17119679999999901</v>
      </c>
      <c r="R1160">
        <v>-0.96919350000000004</v>
      </c>
      <c r="S1160">
        <v>-0.77239990000000003</v>
      </c>
      <c r="T1160">
        <v>-0.17963789999999999</v>
      </c>
      <c r="U1160">
        <v>-2.9863279999999999</v>
      </c>
      <c r="V1160">
        <v>0.13685439999999999</v>
      </c>
      <c r="W1160">
        <v>0.18405969999999999</v>
      </c>
      <c r="X1160">
        <v>0.97334109999999996</v>
      </c>
      <c r="Y1160">
        <v>0.2091163</v>
      </c>
      <c r="Z1160">
        <v>5.8345620000000001E-2</v>
      </c>
      <c r="AA1160">
        <v>0.97614869999999998</v>
      </c>
      <c r="AB1160">
        <v>22</v>
      </c>
      <c r="AC1160">
        <v>-4.7565999999999899</v>
      </c>
      <c r="AD1160">
        <v>-1.109007917901</v>
      </c>
      <c r="AE1160">
        <v>-18.2135999999999</v>
      </c>
      <c r="AF1160">
        <v>3.9740175367120698</v>
      </c>
      <c r="AG1160">
        <v>-1.109007917901</v>
      </c>
      <c r="AH1160">
        <v>18.3335922022837</v>
      </c>
      <c r="AI1160">
        <v>93.383250801514194</v>
      </c>
      <c r="AJ1160">
        <v>77.769685751149893</v>
      </c>
      <c r="AK1160">
        <v>18.792107837698801</v>
      </c>
      <c r="AL1160">
        <v>79.393684179803799</v>
      </c>
      <c r="AM1160">
        <v>81.996523296655397</v>
      </c>
      <c r="AN1160">
        <v>0.99999999845633003</v>
      </c>
    </row>
    <row r="1161" spans="1:40" x14ac:dyDescent="0.25">
      <c r="A1161" t="str">
        <f>"20190312172635849"</f>
        <v>20190312172635849</v>
      </c>
      <c r="B1161" t="str">
        <f>"1552382795839638"</f>
        <v>1552382795839638</v>
      </c>
      <c r="C1161" t="s">
        <v>40</v>
      </c>
      <c r="D1161">
        <v>3.48183</v>
      </c>
      <c r="E1161">
        <v>0.52749060000000003</v>
      </c>
      <c r="F1161" t="s">
        <v>41</v>
      </c>
      <c r="G1161">
        <v>-194.39080000000001</v>
      </c>
      <c r="H1161" s="1">
        <v>-4.8484360000000002E-6</v>
      </c>
      <c r="I1161">
        <v>308.94549999999998</v>
      </c>
      <c r="J1161">
        <v>-189.59479999999999</v>
      </c>
      <c r="K1161">
        <v>1.1090629999999999</v>
      </c>
      <c r="L1161">
        <v>327.18020000000001</v>
      </c>
      <c r="M1161">
        <v>-4.4176060000000003E-2</v>
      </c>
      <c r="N1161">
        <v>0</v>
      </c>
      <c r="O1161">
        <v>-0.99893030000000005</v>
      </c>
      <c r="P1161">
        <v>-0.17925150000000001</v>
      </c>
      <c r="Q1161">
        <v>0.1710325</v>
      </c>
      <c r="R1161">
        <v>-0.96882230000000003</v>
      </c>
      <c r="S1161">
        <v>-0.77799989999999997</v>
      </c>
      <c r="T1161">
        <v>-0.17947469999999999</v>
      </c>
      <c r="U1161">
        <v>-2.9848940000000002</v>
      </c>
      <c r="V1161">
        <v>0.13686809999999999</v>
      </c>
      <c r="W1161">
        <v>0.18390970000000001</v>
      </c>
      <c r="X1161">
        <v>0.97336750000000005</v>
      </c>
      <c r="Y1161">
        <v>0.20879239999999999</v>
      </c>
      <c r="Z1161">
        <v>5.8300030000000003E-2</v>
      </c>
      <c r="AA1161">
        <v>0.97622070000000005</v>
      </c>
      <c r="AB1161">
        <v>22</v>
      </c>
      <c r="AC1161">
        <v>-4.7960000000000198</v>
      </c>
      <c r="AD1161">
        <v>-1.1090678484359999</v>
      </c>
      <c r="AE1161">
        <v>-18.2347</v>
      </c>
      <c r="AF1161">
        <v>3.9719618864081698</v>
      </c>
      <c r="AG1161">
        <v>-1.1090678484359999</v>
      </c>
      <c r="AH1161">
        <v>18.365240667147699</v>
      </c>
      <c r="AI1161">
        <v>93.377954479543206</v>
      </c>
      <c r="AJ1161">
        <v>77.796255670209405</v>
      </c>
      <c r="AK1161">
        <v>18.8225550200223</v>
      </c>
      <c r="AL1161">
        <v>79.402427527940702</v>
      </c>
      <c r="AM1161">
        <v>81.995946761633206</v>
      </c>
      <c r="AN1161">
        <v>0.99999997230397397</v>
      </c>
    </row>
    <row r="1162" spans="1:40" x14ac:dyDescent="0.25">
      <c r="A1162" t="str">
        <f>"20190312172635869"</f>
        <v>20190312172635869</v>
      </c>
      <c r="B1162" t="str">
        <f>"1552382795860134"</f>
        <v>1552382795860134</v>
      </c>
      <c r="C1162" t="s">
        <v>40</v>
      </c>
      <c r="D1162">
        <v>3.4850810000000001</v>
      </c>
      <c r="E1162">
        <v>0.52732990000000002</v>
      </c>
      <c r="F1162" t="s">
        <v>41</v>
      </c>
      <c r="G1162">
        <v>-194.4023</v>
      </c>
      <c r="H1162" s="1">
        <v>-4.8240150000000001E-6</v>
      </c>
      <c r="I1162">
        <v>308.86770000000001</v>
      </c>
      <c r="J1162">
        <v>-189.60659999999999</v>
      </c>
      <c r="K1162">
        <v>1.109135</v>
      </c>
      <c r="L1162">
        <v>326.97120000000001</v>
      </c>
      <c r="M1162">
        <v>-4.6277659999999998E-2</v>
      </c>
      <c r="N1162">
        <v>0</v>
      </c>
      <c r="O1162">
        <v>-0.99883540000000004</v>
      </c>
      <c r="P1162">
        <v>-0.18086659999999999</v>
      </c>
      <c r="Q1162">
        <v>0.17094570000000001</v>
      </c>
      <c r="R1162">
        <v>-0.96853800000000001</v>
      </c>
      <c r="S1162">
        <v>-0.78324890000000003</v>
      </c>
      <c r="T1162">
        <v>-0.18069199999999999</v>
      </c>
      <c r="U1162">
        <v>-2.9835210000000001</v>
      </c>
      <c r="V1162">
        <v>0.1364117</v>
      </c>
      <c r="W1162">
        <v>0.1838427</v>
      </c>
      <c r="X1162">
        <v>0.97344419999999998</v>
      </c>
      <c r="Y1162">
        <v>0.2084462</v>
      </c>
      <c r="Z1162">
        <v>5.8701040000000003E-2</v>
      </c>
      <c r="AA1162">
        <v>0.97627059999999999</v>
      </c>
      <c r="AB1162">
        <v>22</v>
      </c>
      <c r="AC1162">
        <v>-4.7957000000000098</v>
      </c>
      <c r="AD1162">
        <v>-1.1091398240150001</v>
      </c>
      <c r="AE1162">
        <v>-18.1035</v>
      </c>
      <c r="AF1162">
        <v>3.9388798960583702</v>
      </c>
      <c r="AG1162">
        <v>-1.1091398240150001</v>
      </c>
      <c r="AH1162">
        <v>18.242071644375699</v>
      </c>
      <c r="AI1162">
        <v>93.401176431441897</v>
      </c>
      <c r="AJ1162">
        <v>77.815590801290696</v>
      </c>
      <c r="AK1162">
        <v>18.695404351426198</v>
      </c>
      <c r="AL1162">
        <v>79.406332699796906</v>
      </c>
      <c r="AM1162">
        <v>82.022913355640497</v>
      </c>
      <c r="AN1162">
        <v>0.99999995037690803</v>
      </c>
    </row>
    <row r="1163" spans="1:40" x14ac:dyDescent="0.25">
      <c r="A1163" t="str">
        <f>"20190312172635893"</f>
        <v>20190312172635893</v>
      </c>
      <c r="B1163" t="str">
        <f>"1552382795889414"</f>
        <v>1552382795889414</v>
      </c>
      <c r="C1163" t="s">
        <v>40</v>
      </c>
      <c r="D1163">
        <v>3.4930370000000002</v>
      </c>
      <c r="E1163">
        <v>0.52710129999999999</v>
      </c>
      <c r="F1163" t="s">
        <v>41</v>
      </c>
      <c r="G1163">
        <v>-194.40299999999999</v>
      </c>
      <c r="H1163" s="1">
        <v>-4.8038090000000001E-6</v>
      </c>
      <c r="I1163">
        <v>308.80799999999999</v>
      </c>
      <c r="J1163">
        <v>-189.6191</v>
      </c>
      <c r="K1163">
        <v>1.1092029999999999</v>
      </c>
      <c r="L1163">
        <v>326.75479999999999</v>
      </c>
      <c r="M1163">
        <v>-4.8362919999999997E-2</v>
      </c>
      <c r="N1163">
        <v>0</v>
      </c>
      <c r="O1163">
        <v>-0.99873659999999997</v>
      </c>
      <c r="P1163">
        <v>-0.1820698</v>
      </c>
      <c r="Q1163">
        <v>0.1712941</v>
      </c>
      <c r="R1163">
        <v>-0.96825070000000002</v>
      </c>
      <c r="S1163">
        <v>-0.78759769999999996</v>
      </c>
      <c r="T1163">
        <v>-0.18212800000000001</v>
      </c>
      <c r="U1163">
        <v>-2.982513</v>
      </c>
      <c r="V1163">
        <v>0.13556029999999999</v>
      </c>
      <c r="W1163">
        <v>0.18421209999999999</v>
      </c>
      <c r="X1163">
        <v>0.97349330000000001</v>
      </c>
      <c r="Y1163">
        <v>0.20780950000000001</v>
      </c>
      <c r="Z1163">
        <v>5.9169609999999997E-2</v>
      </c>
      <c r="AA1163">
        <v>0.97637810000000003</v>
      </c>
      <c r="AB1163">
        <v>21</v>
      </c>
      <c r="AC1163">
        <v>-4.7838999999999796</v>
      </c>
      <c r="AD1163">
        <v>-1.1092078038089901</v>
      </c>
      <c r="AE1163">
        <v>-17.9467999999999</v>
      </c>
      <c r="AF1163">
        <v>3.89636417092788</v>
      </c>
      <c r="AG1163">
        <v>-1.1092078038089901</v>
      </c>
      <c r="AH1163">
        <v>18.092653024311002</v>
      </c>
      <c r="AI1163">
        <v>93.429807568678996</v>
      </c>
      <c r="AJ1163">
        <v>77.846616733267894</v>
      </c>
      <c r="AK1163">
        <v>18.540660429516301</v>
      </c>
      <c r="AL1163">
        <v>79.384799865562599</v>
      </c>
      <c r="AM1163">
        <v>82.072461311701005</v>
      </c>
      <c r="AN1163">
        <v>0.99999994893369304</v>
      </c>
    </row>
    <row r="1164" spans="1:40" x14ac:dyDescent="0.25">
      <c r="A1164" t="str">
        <f>"20190312172635939"</f>
        <v>20190312172635939</v>
      </c>
      <c r="B1164" t="str">
        <f>"1552382795929430"</f>
        <v>1552382795929430</v>
      </c>
      <c r="C1164" t="s">
        <v>40</v>
      </c>
      <c r="D1164">
        <v>3.505919</v>
      </c>
      <c r="E1164">
        <v>0.52678449999999999</v>
      </c>
      <c r="F1164" t="s">
        <v>41</v>
      </c>
      <c r="G1164">
        <v>-194.44120000000001</v>
      </c>
      <c r="H1164" s="1">
        <v>-4.7257810000000002E-6</v>
      </c>
      <c r="I1164">
        <v>308.55869999999999</v>
      </c>
      <c r="J1164">
        <v>-189.64580000000001</v>
      </c>
      <c r="K1164">
        <v>1.1093390000000001</v>
      </c>
      <c r="L1164">
        <v>326.31349999999998</v>
      </c>
      <c r="M1164">
        <v>-5.2291499999999998E-2</v>
      </c>
      <c r="N1164">
        <v>0</v>
      </c>
      <c r="O1164">
        <v>-0.99853860000000005</v>
      </c>
      <c r="P1164">
        <v>-0.1865473</v>
      </c>
      <c r="Q1164">
        <v>0.17282040000000001</v>
      </c>
      <c r="R1164">
        <v>-0.96712620000000005</v>
      </c>
      <c r="S1164">
        <v>-0.79023739999999998</v>
      </c>
      <c r="T1164">
        <v>-0.18177650000000001</v>
      </c>
      <c r="U1164">
        <v>-2.9819640000000001</v>
      </c>
      <c r="V1164">
        <v>0.13619210000000001</v>
      </c>
      <c r="W1164">
        <v>0.1857674</v>
      </c>
      <c r="X1164">
        <v>0.97310949999999996</v>
      </c>
      <c r="Y1164">
        <v>0.20481460000000001</v>
      </c>
      <c r="Z1164">
        <v>5.9060990000000001E-2</v>
      </c>
      <c r="AA1164">
        <v>0.97701729999999998</v>
      </c>
      <c r="AB1164">
        <v>21</v>
      </c>
      <c r="AC1164">
        <v>-4.7953999999999999</v>
      </c>
      <c r="AD1164">
        <v>-1.1093437257809999</v>
      </c>
      <c r="AE1164">
        <v>-17.7547999999999</v>
      </c>
      <c r="AF1164">
        <v>3.8463315581906401</v>
      </c>
      <c r="AG1164">
        <v>-1.1093437257809999</v>
      </c>
      <c r="AH1164">
        <v>17.916098876027799</v>
      </c>
      <c r="AI1164">
        <v>93.464424223895605</v>
      </c>
      <c r="AJ1164">
        <v>77.883329294969002</v>
      </c>
      <c r="AK1164">
        <v>18.3578732126864</v>
      </c>
      <c r="AL1164">
        <v>79.294122764586305</v>
      </c>
      <c r="AM1164">
        <v>82.032886033291405</v>
      </c>
      <c r="AN1164">
        <v>0.99999995699770905</v>
      </c>
    </row>
    <row r="1165" spans="1:40" x14ac:dyDescent="0.25">
      <c r="A1165" t="str">
        <f>"20190312172635959"</f>
        <v>20190312172635959</v>
      </c>
      <c r="B1165" t="str">
        <f>"1552382795949926"</f>
        <v>1552382795949926</v>
      </c>
      <c r="C1165" t="s">
        <v>40</v>
      </c>
      <c r="D1165">
        <v>3.680526</v>
      </c>
      <c r="E1165">
        <v>0.52664690000000003</v>
      </c>
      <c r="F1165" t="s">
        <v>41</v>
      </c>
      <c r="G1165">
        <v>-194.61490000000001</v>
      </c>
      <c r="H1165" s="1">
        <v>-4.5064409999999901E-6</v>
      </c>
      <c r="I1165">
        <v>307.8236</v>
      </c>
      <c r="J1165">
        <v>-189.6585</v>
      </c>
      <c r="K1165">
        <v>1.109407</v>
      </c>
      <c r="L1165">
        <v>326.10950000000003</v>
      </c>
      <c r="M1165">
        <v>-5.3946800000000003E-2</v>
      </c>
      <c r="N1165">
        <v>0</v>
      </c>
      <c r="O1165">
        <v>-0.99845079999999997</v>
      </c>
      <c r="P1165">
        <v>-0.18833839999999999</v>
      </c>
      <c r="Q1165">
        <v>0.17351429999999901</v>
      </c>
      <c r="R1165">
        <v>-0.96665500000000004</v>
      </c>
      <c r="S1165">
        <v>-0.80073549999999905</v>
      </c>
      <c r="T1165">
        <v>-0.1787598</v>
      </c>
      <c r="U1165">
        <v>-2.9794619999999998</v>
      </c>
      <c r="V1165">
        <v>0.13635949999999999</v>
      </c>
      <c r="W1165">
        <v>0.1864767</v>
      </c>
      <c r="X1165">
        <v>0.97295039999999999</v>
      </c>
      <c r="Y1165">
        <v>0.20662320000000001</v>
      </c>
      <c r="Z1165">
        <v>5.8086449999999998E-2</v>
      </c>
      <c r="AA1165">
        <v>0.97669479999999997</v>
      </c>
      <c r="AB1165">
        <v>21</v>
      </c>
      <c r="AC1165">
        <v>-4.9564000000000004</v>
      </c>
      <c r="AD1165">
        <v>-1.109411506441</v>
      </c>
      <c r="AE1165">
        <v>-18.285900000000002</v>
      </c>
      <c r="AF1165">
        <v>3.9490825090718902</v>
      </c>
      <c r="AG1165">
        <v>-1.109411506441</v>
      </c>
      <c r="AH1165">
        <v>18.463363798207599</v>
      </c>
      <c r="AI1165">
        <v>93.362729406105998</v>
      </c>
      <c r="AJ1165">
        <v>77.927059660709403</v>
      </c>
      <c r="AK1165">
        <v>18.9135361394702</v>
      </c>
      <c r="AL1165">
        <v>79.252760336820501</v>
      </c>
      <c r="AM1165">
        <v>82.021931663559599</v>
      </c>
      <c r="AN1165">
        <v>0.99999997687164899</v>
      </c>
    </row>
    <row r="1166" spans="1:40" x14ac:dyDescent="0.25">
      <c r="A1166" t="str">
        <f>"20190312172635983"</f>
        <v>20190312172635983</v>
      </c>
      <c r="B1166" t="str">
        <f>"1552382795980182"</f>
        <v>1552382795980182</v>
      </c>
      <c r="C1166" t="s">
        <v>40</v>
      </c>
      <c r="D1166">
        <v>3.5336159999999999</v>
      </c>
      <c r="E1166">
        <v>0.52646090000000001</v>
      </c>
      <c r="F1166" t="s">
        <v>41</v>
      </c>
      <c r="G1166">
        <v>-194.70500000000001</v>
      </c>
      <c r="H1166" s="1">
        <v>-4.3926790000000004E-6</v>
      </c>
      <c r="I1166">
        <v>307.44240000000002</v>
      </c>
      <c r="J1166">
        <v>-189.67240000000001</v>
      </c>
      <c r="K1166">
        <v>1.1094919999999999</v>
      </c>
      <c r="L1166">
        <v>325.89080000000001</v>
      </c>
      <c r="M1166">
        <v>-5.5596810000000003E-2</v>
      </c>
      <c r="N1166">
        <v>0</v>
      </c>
      <c r="O1166">
        <v>-0.99836049999999998</v>
      </c>
      <c r="P1166">
        <v>-0.1899547</v>
      </c>
      <c r="Q1166">
        <v>0.1727234</v>
      </c>
      <c r="R1166">
        <v>-0.96648060000000002</v>
      </c>
      <c r="S1166">
        <v>-0.80519099999999999</v>
      </c>
      <c r="T1166">
        <v>-0.17700979999999999</v>
      </c>
      <c r="U1166">
        <v>-2.9783940000000002</v>
      </c>
      <c r="V1166">
        <v>0.13633190000000001</v>
      </c>
      <c r="W1166">
        <v>0.18570880000000001</v>
      </c>
      <c r="X1166">
        <v>0.97310110000000005</v>
      </c>
      <c r="Y1166">
        <v>0.2064648</v>
      </c>
      <c r="Z1166">
        <v>5.7521740000000002E-2</v>
      </c>
      <c r="AA1166">
        <v>0.97676180000000001</v>
      </c>
      <c r="AB1166">
        <v>21</v>
      </c>
      <c r="AC1166">
        <v>-5.0326000000000004</v>
      </c>
      <c r="AD1166">
        <v>-1.109496392679</v>
      </c>
      <c r="AE1166">
        <v>-18.4483999999999</v>
      </c>
      <c r="AF1166">
        <v>3.9856302992925601</v>
      </c>
      <c r="AG1166">
        <v>-1.109496392679</v>
      </c>
      <c r="AH1166">
        <v>18.6369441756156</v>
      </c>
      <c r="AI1166">
        <v>93.331756012736307</v>
      </c>
      <c r="AJ1166">
        <v>77.9287614774628</v>
      </c>
      <c r="AK1166">
        <v>19.0906238591886</v>
      </c>
      <c r="AL1166">
        <v>79.297539659015797</v>
      </c>
      <c r="AM1166">
        <v>82.024745074908296</v>
      </c>
      <c r="AN1166">
        <v>0.99999994808812798</v>
      </c>
    </row>
    <row r="1167" spans="1:40" x14ac:dyDescent="0.25">
      <c r="A1167" t="str">
        <f>"20190312172636004"</f>
        <v>20190312172636004</v>
      </c>
      <c r="B1167" t="str">
        <f>"1552382795999704"</f>
        <v>1552382795999704</v>
      </c>
      <c r="C1167" t="s">
        <v>40</v>
      </c>
      <c r="D1167">
        <v>3.4916849999999999</v>
      </c>
      <c r="E1167">
        <v>0.493952</v>
      </c>
      <c r="F1167" t="s">
        <v>41</v>
      </c>
      <c r="G1167">
        <v>-194.67449999999999</v>
      </c>
      <c r="H1167" s="1">
        <v>-4.4023519999999999E-6</v>
      </c>
      <c r="I1167">
        <v>307.48669999999998</v>
      </c>
      <c r="J1167">
        <v>-189.6858</v>
      </c>
      <c r="K1167">
        <v>1.109585</v>
      </c>
      <c r="L1167">
        <v>325.6816</v>
      </c>
      <c r="M1167">
        <v>-5.7017720000000001E-2</v>
      </c>
      <c r="N1167">
        <v>0</v>
      </c>
      <c r="O1167">
        <v>-0.99828019999999995</v>
      </c>
      <c r="P1167">
        <v>-0.19160350000000001</v>
      </c>
      <c r="Q1167">
        <v>0.17293059999999999</v>
      </c>
      <c r="R1167">
        <v>-0.96611769999999997</v>
      </c>
      <c r="S1167">
        <v>-0.8091583</v>
      </c>
      <c r="T1167">
        <v>-0.17947460000000001</v>
      </c>
      <c r="U1167">
        <v>-2.9770810000000001</v>
      </c>
      <c r="V1167">
        <v>0.13656570000000001</v>
      </c>
      <c r="W1167">
        <v>0.1859421</v>
      </c>
      <c r="X1167">
        <v>0.97302379999999999</v>
      </c>
      <c r="Y1167">
        <v>0.20638100000000001</v>
      </c>
      <c r="Z1167">
        <v>5.8328169999999999E-2</v>
      </c>
      <c r="AA1167">
        <v>0.97673169999999998</v>
      </c>
      <c r="AB1167">
        <v>21</v>
      </c>
      <c r="AC1167">
        <v>-4.9886999999999899</v>
      </c>
      <c r="AD1167">
        <v>-1.1095894023520001</v>
      </c>
      <c r="AE1167">
        <v>-18.194900000000001</v>
      </c>
      <c r="AF1167">
        <v>3.9294628279267401</v>
      </c>
      <c r="AG1167">
        <v>-1.1095894023520001</v>
      </c>
      <c r="AH1167">
        <v>18.386168049412401</v>
      </c>
      <c r="AI1167">
        <v>93.377472182369402</v>
      </c>
      <c r="AJ1167">
        <v>77.9363229878482</v>
      </c>
      <c r="AK1167">
        <v>18.834092553109699</v>
      </c>
      <c r="AL1167">
        <v>79.283936010078094</v>
      </c>
      <c r="AM1167">
        <v>82.010618019625696</v>
      </c>
      <c r="AN1167">
        <v>0.99999998516766897</v>
      </c>
    </row>
    <row r="1168" spans="1:40" x14ac:dyDescent="0.25">
      <c r="A1168" t="str">
        <f>"20190312172636027"</f>
        <v>20190312172636027</v>
      </c>
      <c r="B1168" t="str">
        <f>"1552382796020198"</f>
        <v>1552382796020198</v>
      </c>
      <c r="C1168" t="s">
        <v>40</v>
      </c>
      <c r="D1168">
        <v>3.4789859999999999</v>
      </c>
      <c r="E1168">
        <v>0.49091849999999998</v>
      </c>
      <c r="F1168" t="s">
        <v>41</v>
      </c>
      <c r="G1168">
        <v>-193.35509999999999</v>
      </c>
      <c r="H1168" s="1">
        <v>-3.574191E-6</v>
      </c>
      <c r="I1168">
        <v>305.83980000000003</v>
      </c>
      <c r="J1168">
        <v>-189.69929999999999</v>
      </c>
      <c r="K1168">
        <v>1.1096999999999999</v>
      </c>
      <c r="L1168">
        <v>325.47359999999998</v>
      </c>
      <c r="M1168">
        <v>-5.8258730000000002E-2</v>
      </c>
      <c r="N1168">
        <v>0</v>
      </c>
      <c r="O1168">
        <v>-0.99820880000000001</v>
      </c>
      <c r="P1168">
        <v>-0.1934418</v>
      </c>
      <c r="Q1168">
        <v>0.1729011</v>
      </c>
      <c r="R1168">
        <v>-0.96575659999999997</v>
      </c>
      <c r="S1168">
        <v>-0.55931090000000006</v>
      </c>
      <c r="T1168">
        <v>-0.16913839999999999</v>
      </c>
      <c r="U1168">
        <v>-3.0245669999999998</v>
      </c>
      <c r="V1168">
        <v>0.137155</v>
      </c>
      <c r="W1168">
        <v>0.1859449</v>
      </c>
      <c r="X1168">
        <v>0.97294040000000004</v>
      </c>
      <c r="Y1168">
        <v>0.1239625</v>
      </c>
      <c r="Z1168">
        <v>5.5012360000000003E-2</v>
      </c>
      <c r="AA1168">
        <v>0.9907608</v>
      </c>
      <c r="AB1168">
        <v>21</v>
      </c>
      <c r="AC1168">
        <v>-3.6557999999999899</v>
      </c>
      <c r="AD1168">
        <v>-1.109703574191</v>
      </c>
      <c r="AE1168">
        <v>-19.633799999999901</v>
      </c>
      <c r="AF1168">
        <v>2.49793110364502</v>
      </c>
      <c r="AG1168">
        <v>-1.109703574191</v>
      </c>
      <c r="AH1168">
        <v>19.752462924853099</v>
      </c>
      <c r="AI1168">
        <v>93.190171106366407</v>
      </c>
      <c r="AJ1168">
        <v>82.792534714258593</v>
      </c>
      <c r="AK1168">
        <v>19.940684376892001</v>
      </c>
      <c r="AL1168">
        <v>79.283773013523401</v>
      </c>
      <c r="AM1168">
        <v>81.9759119118673</v>
      </c>
      <c r="AN1168">
        <v>1.0000000109065801</v>
      </c>
    </row>
    <row r="1169" spans="1:40" x14ac:dyDescent="0.25">
      <c r="A1169" t="str">
        <f>"20190312172636049"</f>
        <v>20190312172636049</v>
      </c>
      <c r="B1169" t="str">
        <f>"1552382796039718"</f>
        <v>1552382796039718</v>
      </c>
      <c r="C1169" t="s">
        <v>40</v>
      </c>
      <c r="D1169">
        <v>3.471676</v>
      </c>
      <c r="E1169">
        <v>0.48973119999999998</v>
      </c>
      <c r="F1169" t="s">
        <v>41</v>
      </c>
      <c r="G1169">
        <v>-193.39080000000001</v>
      </c>
      <c r="H1169" s="1">
        <v>-3.1199559999999998E-6</v>
      </c>
      <c r="I1169">
        <v>304.75880000000001</v>
      </c>
      <c r="J1169">
        <v>-189.71340000000001</v>
      </c>
      <c r="K1169">
        <v>1.1098269999999999</v>
      </c>
      <c r="L1169">
        <v>325.25670000000002</v>
      </c>
      <c r="M1169">
        <v>-5.9348369999999998E-2</v>
      </c>
      <c r="N1169">
        <v>0</v>
      </c>
      <c r="O1169">
        <v>-0.99814460000000005</v>
      </c>
      <c r="P1169">
        <v>-0.1945886</v>
      </c>
      <c r="Q1169">
        <v>0.17186979999999999</v>
      </c>
      <c r="R1169">
        <v>-0.96571050000000003</v>
      </c>
      <c r="S1169">
        <v>-0.53948969999999996</v>
      </c>
      <c r="T1169">
        <v>-0.16217760000000001</v>
      </c>
      <c r="U1169">
        <v>-3.027374</v>
      </c>
      <c r="V1169">
        <v>0.13717279999999901</v>
      </c>
      <c r="W1169">
        <v>0.1849567</v>
      </c>
      <c r="X1169">
        <v>0.97312619999999905</v>
      </c>
      <c r="Y1169">
        <v>0.1164529</v>
      </c>
      <c r="Z1169">
        <v>5.275635E-2</v>
      </c>
      <c r="AA1169">
        <v>0.99179410000000001</v>
      </c>
      <c r="AB1169">
        <v>21</v>
      </c>
      <c r="AC1169">
        <v>-3.6774</v>
      </c>
      <c r="AD1169">
        <v>-1.1098301199559999</v>
      </c>
      <c r="AE1169">
        <v>-20.497900000000001</v>
      </c>
      <c r="AF1169">
        <v>2.44733646320151</v>
      </c>
      <c r="AG1169">
        <v>-1.1098301199559999</v>
      </c>
      <c r="AH1169">
        <v>20.621462817434502</v>
      </c>
      <c r="AI1169">
        <v>93.059211985281195</v>
      </c>
      <c r="AJ1169">
        <v>83.231846356035604</v>
      </c>
      <c r="AK1169">
        <v>20.7958146604097</v>
      </c>
      <c r="AL1169">
        <v>79.341391854676601</v>
      </c>
      <c r="AM1169">
        <v>81.976396397912893</v>
      </c>
      <c r="AN1169">
        <v>0.99999997953058395</v>
      </c>
    </row>
    <row r="1170" spans="1:40" x14ac:dyDescent="0.25">
      <c r="A1170" t="str">
        <f>"20190312172636070"</f>
        <v>20190312172636070</v>
      </c>
      <c r="B1170" t="str">
        <f>"1552382796060214"</f>
        <v>1552382796060214</v>
      </c>
      <c r="C1170" t="s">
        <v>40</v>
      </c>
      <c r="D1170">
        <v>3.4815070000000001</v>
      </c>
      <c r="E1170">
        <v>0.48896139999999999</v>
      </c>
      <c r="F1170" t="s">
        <v>41</v>
      </c>
      <c r="G1170">
        <v>-193.3065</v>
      </c>
      <c r="H1170" s="1">
        <v>-3.1401560000000001E-6</v>
      </c>
      <c r="I1170">
        <v>304.85809999999998</v>
      </c>
      <c r="J1170">
        <v>-189.72659999999999</v>
      </c>
      <c r="K1170">
        <v>1.1099540000000001</v>
      </c>
      <c r="L1170">
        <v>325.05470000000003</v>
      </c>
      <c r="M1170">
        <v>-6.0163809999999998E-2</v>
      </c>
      <c r="N1170">
        <v>0</v>
      </c>
      <c r="O1170">
        <v>-0.99809590000000004</v>
      </c>
      <c r="P1170">
        <v>-0.1946138</v>
      </c>
      <c r="Q1170">
        <v>0.17129339999999901</v>
      </c>
      <c r="R1170">
        <v>-0.96580779999999999</v>
      </c>
      <c r="S1170">
        <v>-0.53343200000000002</v>
      </c>
      <c r="T1170">
        <v>-0.16476579999999999</v>
      </c>
      <c r="U1170">
        <v>-3.028381</v>
      </c>
      <c r="V1170">
        <v>0.13633399999999901</v>
      </c>
      <c r="W1170">
        <v>0.1844239</v>
      </c>
      <c r="X1170">
        <v>0.97334520000000002</v>
      </c>
      <c r="Y1170">
        <v>0.1136528</v>
      </c>
      <c r="Z1170">
        <v>5.3592460000000001E-2</v>
      </c>
      <c r="AA1170">
        <v>0.99207400000000001</v>
      </c>
      <c r="AB1170">
        <v>21</v>
      </c>
      <c r="AC1170">
        <v>-3.5798999999999999</v>
      </c>
      <c r="AD1170">
        <v>-1.109957140156</v>
      </c>
      <c r="AE1170">
        <v>-20.1966</v>
      </c>
      <c r="AF1170">
        <v>2.3513116895962001</v>
      </c>
      <c r="AG1170">
        <v>-1.109957140156</v>
      </c>
      <c r="AH1170">
        <v>20.3159159348602</v>
      </c>
      <c r="AI1170">
        <v>93.106541506130895</v>
      </c>
      <c r="AJ1170">
        <v>83.398107535477195</v>
      </c>
      <c r="AK1170">
        <v>20.481628640977799</v>
      </c>
      <c r="AL1170">
        <v>79.372453694974396</v>
      </c>
      <c r="AM1170">
        <v>82.026598183618106</v>
      </c>
      <c r="AN1170">
        <v>1.00000000640512</v>
      </c>
    </row>
    <row r="1171" spans="1:40" x14ac:dyDescent="0.25">
      <c r="A1171" t="str">
        <f>"20190312172636096"</f>
        <v>20190312172636096</v>
      </c>
      <c r="B1171" t="str">
        <f>"1552382796089496"</f>
        <v>1552382796089496</v>
      </c>
      <c r="C1171" t="s">
        <v>40</v>
      </c>
      <c r="D1171">
        <v>3.4641540000000002</v>
      </c>
      <c r="E1171">
        <v>0.48797439999999997</v>
      </c>
      <c r="F1171" t="s">
        <v>41</v>
      </c>
      <c r="G1171">
        <v>-193.2518</v>
      </c>
      <c r="H1171" s="1">
        <v>-3.1083329999999998E-6</v>
      </c>
      <c r="I1171">
        <v>304.81790000000001</v>
      </c>
      <c r="J1171">
        <v>-189.74170000000001</v>
      </c>
      <c r="K1171">
        <v>1.110088</v>
      </c>
      <c r="L1171">
        <v>324.81959999999998</v>
      </c>
      <c r="M1171">
        <v>-6.0900540000000003E-2</v>
      </c>
      <c r="N1171">
        <v>0</v>
      </c>
      <c r="O1171">
        <v>-0.99805120000000003</v>
      </c>
      <c r="P1171">
        <v>-0.19486400000000001</v>
      </c>
      <c r="Q1171">
        <v>0.1711086</v>
      </c>
      <c r="R1171">
        <v>-0.96579009999999998</v>
      </c>
      <c r="S1171">
        <v>-0.52771000000000001</v>
      </c>
      <c r="T1171">
        <v>-0.16615489999999999</v>
      </c>
      <c r="U1171">
        <v>-3.0293580000000002</v>
      </c>
      <c r="V1171">
        <v>0.13580390000000001</v>
      </c>
      <c r="W1171">
        <v>0.18428050000000001</v>
      </c>
      <c r="X1171">
        <v>0.97344649999999999</v>
      </c>
      <c r="Y1171">
        <v>0.1110421</v>
      </c>
      <c r="Z1171">
        <v>5.4038919999999997E-2</v>
      </c>
      <c r="AA1171">
        <v>0.99234549999999999</v>
      </c>
      <c r="AB1171">
        <v>21</v>
      </c>
      <c r="AC1171">
        <v>-3.5100999999999898</v>
      </c>
      <c r="AD1171">
        <v>-1.1100911083329901</v>
      </c>
      <c r="AE1171">
        <v>-20.0016999999999</v>
      </c>
      <c r="AF1171">
        <v>2.2785477397167799</v>
      </c>
      <c r="AG1171">
        <v>-1.1100911083329901</v>
      </c>
      <c r="AH1171">
        <v>20.118236101222799</v>
      </c>
      <c r="AI1171">
        <v>93.138260845755894</v>
      </c>
      <c r="AJ1171">
        <v>83.538339167769195</v>
      </c>
      <c r="AK1171">
        <v>20.277265740121699</v>
      </c>
      <c r="AL1171">
        <v>79.3808136055777</v>
      </c>
      <c r="AM1171">
        <v>82.058020298368106</v>
      </c>
      <c r="AN1171">
        <v>1.00000004514885</v>
      </c>
    </row>
    <row r="1172" spans="1:40" x14ac:dyDescent="0.25">
      <c r="A1172" t="str">
        <f>"20190312172636119"</f>
        <v>20190312172636119</v>
      </c>
      <c r="B1172" t="str">
        <f>"1552382796109991"</f>
        <v>1552382796109991</v>
      </c>
      <c r="C1172" t="s">
        <v>40</v>
      </c>
      <c r="D1172">
        <v>3.454126</v>
      </c>
      <c r="E1172">
        <v>0.487342</v>
      </c>
      <c r="F1172" t="s">
        <v>41</v>
      </c>
      <c r="G1172">
        <v>-193.19730000000001</v>
      </c>
      <c r="H1172" s="1">
        <v>-3.0410030000000001E-6</v>
      </c>
      <c r="I1172">
        <v>304.69470000000001</v>
      </c>
      <c r="J1172">
        <v>-189.7559</v>
      </c>
      <c r="K1172">
        <v>1.1101989999999999</v>
      </c>
      <c r="L1172">
        <v>324.59859999999998</v>
      </c>
      <c r="M1172">
        <v>-6.1389140000000002E-2</v>
      </c>
      <c r="N1172">
        <v>0</v>
      </c>
      <c r="O1172">
        <v>-0.99802139999999995</v>
      </c>
      <c r="P1172">
        <v>-0.19500290000000001</v>
      </c>
      <c r="Q1172">
        <v>0.17130100000000001</v>
      </c>
      <c r="R1172">
        <v>-0.96572800000000003</v>
      </c>
      <c r="S1172">
        <v>-0.52041629999999905</v>
      </c>
      <c r="T1172">
        <v>-0.16718379999999999</v>
      </c>
      <c r="U1172">
        <v>-3.0308839999999999</v>
      </c>
      <c r="V1172">
        <v>0.13542009999999999</v>
      </c>
      <c r="W1172">
        <v>0.1845041</v>
      </c>
      <c r="X1172">
        <v>0.97345760000000003</v>
      </c>
      <c r="Y1172">
        <v>0.108149</v>
      </c>
      <c r="Z1172">
        <v>5.4362960000000002E-2</v>
      </c>
      <c r="AA1172">
        <v>0.99264719999999995</v>
      </c>
      <c r="AB1172">
        <v>21</v>
      </c>
      <c r="AC1172">
        <v>-3.44140000000001</v>
      </c>
      <c r="AD1172">
        <v>-1.110202041003</v>
      </c>
      <c r="AE1172">
        <v>-19.903899999999901</v>
      </c>
      <c r="AF1172">
        <v>2.2062470394842002</v>
      </c>
      <c r="AG1172">
        <v>-1.110202041003</v>
      </c>
      <c r="AH1172">
        <v>20.017166917030799</v>
      </c>
      <c r="AI1172">
        <v>93.155445303296503</v>
      </c>
      <c r="AJ1172">
        <v>83.710374971243994</v>
      </c>
      <c r="AK1172">
        <v>20.168962441220199</v>
      </c>
      <c r="AL1172">
        <v>79.367778623823398</v>
      </c>
      <c r="AM1172">
        <v>82.080269351365402</v>
      </c>
      <c r="AN1172">
        <v>1.00000003269928</v>
      </c>
    </row>
    <row r="1173" spans="1:40" x14ac:dyDescent="0.25">
      <c r="A1173" t="str">
        <f>"20190312172636142"</f>
        <v>20190312172636142</v>
      </c>
      <c r="B1173" t="str">
        <f>"1552382796129510"</f>
        <v>1552382796129510</v>
      </c>
      <c r="C1173" t="s">
        <v>40</v>
      </c>
      <c r="D1173">
        <v>3.4481120000000001</v>
      </c>
      <c r="E1173">
        <v>0.4868383</v>
      </c>
      <c r="F1173" t="s">
        <v>41</v>
      </c>
      <c r="G1173">
        <v>-193.21520000000001</v>
      </c>
      <c r="H1173" s="1">
        <v>-2.846218E-6</v>
      </c>
      <c r="I1173">
        <v>304.2296</v>
      </c>
      <c r="J1173">
        <v>-189.7698</v>
      </c>
      <c r="K1173">
        <v>1.110303</v>
      </c>
      <c r="L1173">
        <v>324.38130000000001</v>
      </c>
      <c r="M1173">
        <v>-6.1665999999999999E-2</v>
      </c>
      <c r="N1173">
        <v>0</v>
      </c>
      <c r="O1173">
        <v>-0.99800429999999996</v>
      </c>
      <c r="P1173">
        <v>-0.19491459999999999</v>
      </c>
      <c r="Q1173">
        <v>0.17143340000000001</v>
      </c>
      <c r="R1173">
        <v>-0.96572179999999996</v>
      </c>
      <c r="S1173">
        <v>-0.51489259999999903</v>
      </c>
      <c r="T1173">
        <v>-0.165247799999999</v>
      </c>
      <c r="U1173">
        <v>-3.0318299999999998</v>
      </c>
      <c r="V1173">
        <v>0.1350162</v>
      </c>
      <c r="W1173">
        <v>0.18466569999999999</v>
      </c>
      <c r="X1173">
        <v>0.97348299999999999</v>
      </c>
      <c r="Y1173">
        <v>0.1060697</v>
      </c>
      <c r="Z1173">
        <v>5.3731639999999997E-2</v>
      </c>
      <c r="AA1173">
        <v>0.99290590000000001</v>
      </c>
      <c r="AB1173">
        <v>21</v>
      </c>
      <c r="AC1173">
        <v>-3.4453999999999998</v>
      </c>
      <c r="AD1173">
        <v>-1.110305846218</v>
      </c>
      <c r="AE1173">
        <v>-20.151700000000002</v>
      </c>
      <c r="AF1173">
        <v>2.1895939103233402</v>
      </c>
      <c r="AG1173">
        <v>-1.110305846218</v>
      </c>
      <c r="AH1173">
        <v>20.266049933941002</v>
      </c>
      <c r="AI1173">
        <v>93.117791568229194</v>
      </c>
      <c r="AJ1173">
        <v>83.8335427794227</v>
      </c>
      <c r="AK1173">
        <v>20.414207809495299</v>
      </c>
      <c r="AL1173">
        <v>79.358357102084994</v>
      </c>
      <c r="AM1173">
        <v>82.103795532268094</v>
      </c>
      <c r="AN1173">
        <v>0.99999997315396405</v>
      </c>
    </row>
    <row r="1174" spans="1:40" x14ac:dyDescent="0.25">
      <c r="A1174" t="str">
        <f>"20190312172636184"</f>
        <v>20190312172636184</v>
      </c>
      <c r="B1174" t="str">
        <f>"1552382796180264"</f>
        <v>1552382796180264</v>
      </c>
      <c r="C1174" t="s">
        <v>40</v>
      </c>
      <c r="D1174">
        <v>3.4093170000000002</v>
      </c>
      <c r="E1174">
        <v>0.4858459</v>
      </c>
      <c r="F1174" t="s">
        <v>41</v>
      </c>
      <c r="G1174">
        <v>-193.2158</v>
      </c>
      <c r="H1174" s="1">
        <v>-2.7088549999999998E-6</v>
      </c>
      <c r="I1174">
        <v>303.90899999999999</v>
      </c>
      <c r="J1174">
        <v>-189.7944</v>
      </c>
      <c r="K1174">
        <v>1.1104879999999999</v>
      </c>
      <c r="L1174">
        <v>323.98930000000001</v>
      </c>
      <c r="M1174">
        <v>-6.170643E-2</v>
      </c>
      <c r="N1174">
        <v>0</v>
      </c>
      <c r="O1174">
        <v>-0.9980021</v>
      </c>
      <c r="P1174">
        <v>-0.19443160000000001</v>
      </c>
      <c r="Q1174">
        <v>0.17235839999999999</v>
      </c>
      <c r="R1174">
        <v>-0.96565500000000004</v>
      </c>
      <c r="S1174">
        <v>-0.51046749999999996</v>
      </c>
      <c r="T1174">
        <v>-0.16447439999999999</v>
      </c>
      <c r="U1174">
        <v>-3.032654</v>
      </c>
      <c r="V1174">
        <v>0.13441510000000001</v>
      </c>
      <c r="W1174">
        <v>0.18564269999999999</v>
      </c>
      <c r="X1174">
        <v>0.97338040000000003</v>
      </c>
      <c r="Y1174">
        <v>0.1045785</v>
      </c>
      <c r="Z1174">
        <v>5.3477080000000003E-2</v>
      </c>
      <c r="AA1174">
        <v>0.99307780000000001</v>
      </c>
      <c r="AB1174">
        <v>21</v>
      </c>
      <c r="AC1174">
        <v>-3.4214000000000002</v>
      </c>
      <c r="AD1174">
        <v>-1.110490708855</v>
      </c>
      <c r="AE1174">
        <v>-20.080300000000001</v>
      </c>
      <c r="AF1174">
        <v>2.16923392422586</v>
      </c>
      <c r="AG1174">
        <v>-1.110490708855</v>
      </c>
      <c r="AH1174">
        <v>20.193152874568401</v>
      </c>
      <c r="AI1174">
        <v>93.129750019712901</v>
      </c>
      <c r="AJ1174">
        <v>83.868558328302697</v>
      </c>
      <c r="AK1174">
        <v>20.339670313162799</v>
      </c>
      <c r="AL1174">
        <v>79.301394679367604</v>
      </c>
      <c r="AM1174">
        <v>82.137691088707399</v>
      </c>
      <c r="AN1174">
        <v>1.0000000171377299</v>
      </c>
    </row>
    <row r="1175" spans="1:40" x14ac:dyDescent="0.25">
      <c r="A1175" t="str">
        <f>"20190312172636207"</f>
        <v>20190312172636207</v>
      </c>
      <c r="B1175" t="str">
        <f>"1552382796199782"</f>
        <v>1552382796199782</v>
      </c>
      <c r="C1175" t="s">
        <v>40</v>
      </c>
      <c r="D1175">
        <v>3.3653870000000001</v>
      </c>
      <c r="E1175">
        <v>0.4855507</v>
      </c>
      <c r="F1175" t="s">
        <v>41</v>
      </c>
      <c r="G1175">
        <v>-193.30549999999999</v>
      </c>
      <c r="H1175" s="1">
        <v>-2.2366459999999999E-6</v>
      </c>
      <c r="I1175">
        <v>302.75259999999997</v>
      </c>
      <c r="J1175">
        <v>-189.80799999999999</v>
      </c>
      <c r="K1175">
        <v>1.110581</v>
      </c>
      <c r="L1175">
        <v>323.76819999999998</v>
      </c>
      <c r="M1175">
        <v>-6.153198E-2</v>
      </c>
      <c r="N1175">
        <v>0</v>
      </c>
      <c r="O1175">
        <v>-0.99801269999999997</v>
      </c>
      <c r="P1175">
        <v>-0.19413140000000001</v>
      </c>
      <c r="Q1175">
        <v>0.1729144</v>
      </c>
      <c r="R1175">
        <v>-0.96561580000000002</v>
      </c>
      <c r="S1175">
        <v>-0.50161739999999999</v>
      </c>
      <c r="T1175">
        <v>-0.15864979999999901</v>
      </c>
      <c r="U1175">
        <v>-3.0339659999999999</v>
      </c>
      <c r="V1175">
        <v>0.13424630000000001</v>
      </c>
      <c r="W1175">
        <v>0.18622469999999999</v>
      </c>
      <c r="X1175">
        <v>0.9732925</v>
      </c>
      <c r="Y1175">
        <v>0.1018795</v>
      </c>
      <c r="Z1175">
        <v>5.158687E-2</v>
      </c>
      <c r="AA1175">
        <v>0.99345830000000002</v>
      </c>
      <c r="AB1175">
        <v>21</v>
      </c>
      <c r="AC1175">
        <v>-3.4975000000000001</v>
      </c>
      <c r="AD1175">
        <v>-1.110583236646</v>
      </c>
      <c r="AE1175">
        <v>-21.015599999999999</v>
      </c>
      <c r="AF1175">
        <v>2.19166501138228</v>
      </c>
      <c r="AG1175">
        <v>-1.110583236646</v>
      </c>
      <c r="AH1175">
        <v>21.133570034737801</v>
      </c>
      <c r="AI1175">
        <v>92.992146916449101</v>
      </c>
      <c r="AJ1175">
        <v>84.079283994492599</v>
      </c>
      <c r="AK1175">
        <v>21.275915328389601</v>
      </c>
      <c r="AL1175">
        <v>79.267456541616298</v>
      </c>
      <c r="AM1175">
        <v>82.1467410805176</v>
      </c>
      <c r="AN1175">
        <v>0.99999999925501404</v>
      </c>
    </row>
    <row r="1176" spans="1:40" x14ac:dyDescent="0.25">
      <c r="A1176" t="str">
        <f>"20190312172636228"</f>
        <v>20190312172636228</v>
      </c>
      <c r="B1176" t="str">
        <f>"1552382796220278"</f>
        <v>1552382796220278</v>
      </c>
      <c r="C1176" t="s">
        <v>40</v>
      </c>
      <c r="D1176">
        <v>3.3461430000000001</v>
      </c>
      <c r="E1176">
        <v>0.4852532</v>
      </c>
      <c r="F1176" t="s">
        <v>41</v>
      </c>
      <c r="G1176">
        <v>-193.35480000000001</v>
      </c>
      <c r="H1176" s="1">
        <v>-2.0148129999999999E-6</v>
      </c>
      <c r="I1176">
        <v>302.20499999999998</v>
      </c>
      <c r="J1176">
        <v>-189.81979999999999</v>
      </c>
      <c r="K1176">
        <v>1.1106579999999999</v>
      </c>
      <c r="L1176">
        <v>323.5727</v>
      </c>
      <c r="M1176">
        <v>-6.1261139999999999E-2</v>
      </c>
      <c r="N1176">
        <v>0</v>
      </c>
      <c r="O1176">
        <v>-0.99802939999999996</v>
      </c>
      <c r="P1176">
        <v>-0.19358649999999999</v>
      </c>
      <c r="Q1176">
        <v>0.17358199999999999</v>
      </c>
      <c r="R1176">
        <v>-0.96560559999999995</v>
      </c>
      <c r="S1176">
        <v>-0.49913020000000002</v>
      </c>
      <c r="T1176">
        <v>-0.1562895</v>
      </c>
      <c r="U1176">
        <v>-3.0345460000000002</v>
      </c>
      <c r="V1176">
        <v>0.13393450000000001</v>
      </c>
      <c r="W1176">
        <v>0.18691189999999999</v>
      </c>
      <c r="X1176">
        <v>0.9732037</v>
      </c>
      <c r="Y1176">
        <v>0.10133259999999999</v>
      </c>
      <c r="Z1176">
        <v>5.0817870000000001E-2</v>
      </c>
      <c r="AA1176">
        <v>0.99355389999999999</v>
      </c>
      <c r="AB1176">
        <v>21</v>
      </c>
      <c r="AC1176">
        <v>-3.5350000000000201</v>
      </c>
      <c r="AD1176">
        <v>-1.1106600148129999</v>
      </c>
      <c r="AE1176">
        <v>-21.367699999999999</v>
      </c>
      <c r="AF1176">
        <v>2.2134080923788302</v>
      </c>
      <c r="AG1176">
        <v>-1.1106600148129999</v>
      </c>
      <c r="AH1176">
        <v>21.4876294549322</v>
      </c>
      <c r="AI1176">
        <v>92.943344113459602</v>
      </c>
      <c r="AJ1176">
        <v>84.118791532079797</v>
      </c>
      <c r="AK1176">
        <v>21.629862705167199</v>
      </c>
      <c r="AL1176">
        <v>79.227378940286499</v>
      </c>
      <c r="AM1176">
        <v>82.164048176315404</v>
      </c>
      <c r="AN1176">
        <v>0.99999997517277395</v>
      </c>
    </row>
    <row r="1177" spans="1:40" x14ac:dyDescent="0.25">
      <c r="A1177" t="str">
        <f>"20190312172636250"</f>
        <v>20190312172636250</v>
      </c>
      <c r="B1177" t="str">
        <f>"1552382796239799"</f>
        <v>1552382796239799</v>
      </c>
      <c r="C1177" t="s">
        <v>40</v>
      </c>
      <c r="D1177">
        <v>3.2901609999999999</v>
      </c>
      <c r="E1177">
        <v>0.48496729999999999</v>
      </c>
      <c r="F1177" t="s">
        <v>41</v>
      </c>
      <c r="G1177">
        <v>-193.41759999999999</v>
      </c>
      <c r="H1177" s="1">
        <v>-1.7578459999999999E-6</v>
      </c>
      <c r="I1177">
        <v>301.56700000000001</v>
      </c>
      <c r="J1177">
        <v>-189.8323</v>
      </c>
      <c r="K1177">
        <v>1.110733</v>
      </c>
      <c r="L1177">
        <v>323.36309999999997</v>
      </c>
      <c r="M1177">
        <v>-6.0843660000000001E-2</v>
      </c>
      <c r="N1177">
        <v>0</v>
      </c>
      <c r="O1177">
        <v>-0.99805500000000003</v>
      </c>
      <c r="P1177">
        <v>-0.19369</v>
      </c>
      <c r="Q1177">
        <v>0.17461389999999999</v>
      </c>
      <c r="R1177">
        <v>-0.9653986</v>
      </c>
      <c r="S1177">
        <v>-0.4961853</v>
      </c>
      <c r="T1177">
        <v>-0.1531749</v>
      </c>
      <c r="U1177">
        <v>-3.0348820000000001</v>
      </c>
      <c r="V1177">
        <v>0.1344272</v>
      </c>
      <c r="W1177">
        <v>0.18795970000000001</v>
      </c>
      <c r="X1177">
        <v>0.97293390000000002</v>
      </c>
      <c r="Y1177">
        <v>0.100800399999999</v>
      </c>
      <c r="Z1177">
        <v>4.9809430000000002E-2</v>
      </c>
      <c r="AA1177">
        <v>0.99365899999999996</v>
      </c>
      <c r="AB1177">
        <v>21</v>
      </c>
      <c r="AC1177">
        <v>-3.5852999999999802</v>
      </c>
      <c r="AD1177">
        <v>-1.1107347578460001</v>
      </c>
      <c r="AE1177">
        <v>-21.7960999999999</v>
      </c>
      <c r="AF1177">
        <v>2.24669877501093</v>
      </c>
      <c r="AG1177">
        <v>-1.1107347578460001</v>
      </c>
      <c r="AH1177">
        <v>21.918452491984301</v>
      </c>
      <c r="AI1177">
        <v>92.885931361724801</v>
      </c>
      <c r="AJ1177">
        <v>84.147472539095503</v>
      </c>
      <c r="AK1177">
        <v>22.061277087496499</v>
      </c>
      <c r="AL1177">
        <v>79.166260914510005</v>
      </c>
      <c r="AM1177">
        <v>82.133428845539896</v>
      </c>
      <c r="AN1177">
        <v>0.99999994734656805</v>
      </c>
    </row>
    <row r="1178" spans="1:40" x14ac:dyDescent="0.25">
      <c r="A1178" t="str">
        <f>"20190312172636272"</f>
        <v>20190312172636272</v>
      </c>
      <c r="B1178" t="str">
        <f>"1552382796260295"</f>
        <v>1552382796260295</v>
      </c>
      <c r="C1178" t="s">
        <v>40</v>
      </c>
      <c r="D1178">
        <v>3.277215</v>
      </c>
      <c r="E1178">
        <v>0.48467149999999998</v>
      </c>
      <c r="F1178" t="s">
        <v>41</v>
      </c>
      <c r="G1178">
        <v>-193.51820000000001</v>
      </c>
      <c r="H1178" s="1">
        <v>-1.4272850000000001E-6</v>
      </c>
      <c r="I1178">
        <v>300.73399999999998</v>
      </c>
      <c r="J1178">
        <v>-189.84389999999999</v>
      </c>
      <c r="K1178">
        <v>1.1107880000000001</v>
      </c>
      <c r="L1178">
        <v>323.16359999999997</v>
      </c>
      <c r="M1178">
        <v>-6.0359299999999998E-2</v>
      </c>
      <c r="N1178">
        <v>0</v>
      </c>
      <c r="O1178">
        <v>-0.99808450000000004</v>
      </c>
      <c r="P1178">
        <v>-0.19371089999999999</v>
      </c>
      <c r="Q1178">
        <v>0.17507779999999901</v>
      </c>
      <c r="R1178">
        <v>-0.96531029999999995</v>
      </c>
      <c r="S1178">
        <v>-0.49440000000000001</v>
      </c>
      <c r="T1178">
        <v>-0.1489837</v>
      </c>
      <c r="U1178">
        <v>-3.0352480000000002</v>
      </c>
      <c r="V1178">
        <v>0.13490460000000001</v>
      </c>
      <c r="W1178">
        <v>0.18843550000000001</v>
      </c>
      <c r="X1178">
        <v>0.97277579999999997</v>
      </c>
      <c r="Y1178">
        <v>0.1007057</v>
      </c>
      <c r="Z1178">
        <v>4.8448709999999999E-2</v>
      </c>
      <c r="AA1178">
        <v>0.99373590000000001</v>
      </c>
      <c r="AB1178">
        <v>21</v>
      </c>
      <c r="AC1178">
        <v>-3.6743000000000099</v>
      </c>
      <c r="AD1178">
        <v>-1.1107894272850001</v>
      </c>
      <c r="AE1178">
        <v>-22.429599999999901</v>
      </c>
      <c r="AF1178">
        <v>2.30812699684502</v>
      </c>
      <c r="AG1178">
        <v>-1.1107894272850001</v>
      </c>
      <c r="AH1178">
        <v>22.556619717984901</v>
      </c>
      <c r="AI1178">
        <v>92.804603377773802</v>
      </c>
      <c r="AJ1178">
        <v>84.157491202122401</v>
      </c>
      <c r="AK1178">
        <v>22.701594580273799</v>
      </c>
      <c r="AL1178">
        <v>79.138503871396296</v>
      </c>
      <c r="AM1178">
        <v>82.104576570987405</v>
      </c>
      <c r="AN1178">
        <v>0.99999997291352405</v>
      </c>
    </row>
    <row r="1179" spans="1:40" x14ac:dyDescent="0.25">
      <c r="A1179" t="str">
        <f>"20190312172636294"</f>
        <v>20190312172636294</v>
      </c>
      <c r="B1179" t="str">
        <f>"1552382796289574"</f>
        <v>1552382796289574</v>
      </c>
      <c r="C1179" t="s">
        <v>40</v>
      </c>
      <c r="D1179">
        <v>3.2366030000000001</v>
      </c>
      <c r="E1179">
        <v>0.48426419999999998</v>
      </c>
      <c r="F1179" t="s">
        <v>41</v>
      </c>
      <c r="G1179">
        <v>-193.56280000000001</v>
      </c>
      <c r="H1179" s="1">
        <v>-1.221835E-6</v>
      </c>
      <c r="I1179">
        <v>300.22750000000002</v>
      </c>
      <c r="J1179">
        <v>-189.85560000000001</v>
      </c>
      <c r="K1179">
        <v>1.1108169999999999</v>
      </c>
      <c r="L1179">
        <v>322.9606</v>
      </c>
      <c r="M1179">
        <v>-5.9798919999999998E-2</v>
      </c>
      <c r="N1179">
        <v>0</v>
      </c>
      <c r="O1179">
        <v>-0.99811830000000001</v>
      </c>
      <c r="P1179">
        <v>-0.1934604</v>
      </c>
      <c r="Q1179">
        <v>0.17489179999999999</v>
      </c>
      <c r="R1179">
        <v>-0.96539430000000004</v>
      </c>
      <c r="S1179">
        <v>-0.49221799999999999</v>
      </c>
      <c r="T1179">
        <v>-0.14702009999999999</v>
      </c>
      <c r="U1179">
        <v>-3.035736</v>
      </c>
      <c r="V1179">
        <v>0.13518239999999901</v>
      </c>
      <c r="W1179">
        <v>0.18825800000000001</v>
      </c>
      <c r="X1179">
        <v>0.97277159999999996</v>
      </c>
      <c r="Y1179">
        <v>0.1005479</v>
      </c>
      <c r="Z1179">
        <v>4.7809589999999999E-2</v>
      </c>
      <c r="AA1179">
        <v>0.99378290000000002</v>
      </c>
      <c r="AB1179">
        <v>21</v>
      </c>
      <c r="AC1179">
        <v>-3.7071999999999998</v>
      </c>
      <c r="AD1179">
        <v>-1.110818221835</v>
      </c>
      <c r="AE1179">
        <v>-22.733099999999901</v>
      </c>
      <c r="AF1179">
        <v>2.3355925634552999</v>
      </c>
      <c r="AG1179">
        <v>-1.110818221835</v>
      </c>
      <c r="AH1179">
        <v>22.860947562436198</v>
      </c>
      <c r="AI1179">
        <v>92.767443138956494</v>
      </c>
      <c r="AJ1179">
        <v>84.166606617051201</v>
      </c>
      <c r="AK1179">
        <v>23.0067779838222</v>
      </c>
      <c r="AL1179">
        <v>79.148859182999502</v>
      </c>
      <c r="AM1179">
        <v>82.088489996550194</v>
      </c>
      <c r="AN1179">
        <v>0.99999997080015901</v>
      </c>
    </row>
    <row r="1180" spans="1:40" x14ac:dyDescent="0.25">
      <c r="A1180" t="str">
        <f>"20190312172636319"</f>
        <v>20190312172636319</v>
      </c>
      <c r="B1180" t="str">
        <f>"1552382796310070"</f>
        <v>1552382796310070</v>
      </c>
      <c r="C1180" t="s">
        <v>40</v>
      </c>
      <c r="D1180">
        <v>3.2235689999999999</v>
      </c>
      <c r="E1180">
        <v>0.48400510000000002</v>
      </c>
      <c r="F1180" t="s">
        <v>41</v>
      </c>
      <c r="G1180">
        <v>-193.5531</v>
      </c>
      <c r="H1180" s="1">
        <v>-1.120206E-6</v>
      </c>
      <c r="I1180">
        <v>299.9966</v>
      </c>
      <c r="J1180">
        <v>-189.8689</v>
      </c>
      <c r="K1180">
        <v>1.1108420000000001</v>
      </c>
      <c r="L1180">
        <v>322.72449999999998</v>
      </c>
      <c r="M1180">
        <v>-5.9078699999999901E-2</v>
      </c>
      <c r="N1180">
        <v>0</v>
      </c>
      <c r="O1180">
        <v>-0.99816099999999996</v>
      </c>
      <c r="P1180">
        <v>-0.19291510000000001</v>
      </c>
      <c r="Q1180">
        <v>0.17405370000000001</v>
      </c>
      <c r="R1180">
        <v>-0.96565489999999998</v>
      </c>
      <c r="S1180">
        <v>-0.48887629999999999</v>
      </c>
      <c r="T1180">
        <v>-0.14686869999999999</v>
      </c>
      <c r="U1180">
        <v>-3.0362239999999998</v>
      </c>
      <c r="V1180">
        <v>0.13531699999999999</v>
      </c>
      <c r="W1180">
        <v>0.1874257</v>
      </c>
      <c r="X1180">
        <v>0.97291360000000005</v>
      </c>
      <c r="Y1180">
        <v>0.100175</v>
      </c>
      <c r="Z1180">
        <v>4.7761049999999999E-2</v>
      </c>
      <c r="AA1180">
        <v>0.99382289999999995</v>
      </c>
      <c r="AB1180">
        <v>21</v>
      </c>
      <c r="AC1180">
        <v>-3.6842000000000001</v>
      </c>
      <c r="AD1180">
        <v>-1.1108431202060001</v>
      </c>
      <c r="AE1180">
        <v>-22.727899999999899</v>
      </c>
      <c r="AF1180">
        <v>2.32948289100197</v>
      </c>
      <c r="AG1180">
        <v>-1.1108431202060001</v>
      </c>
      <c r="AH1180">
        <v>22.8526786795811</v>
      </c>
      <c r="AI1180">
        <v>92.768569212764405</v>
      </c>
      <c r="AJ1180">
        <v>84.179670569987493</v>
      </c>
      <c r="AK1180">
        <v>22.997943077792002</v>
      </c>
      <c r="AL1180">
        <v>79.197410797057202</v>
      </c>
      <c r="AM1180">
        <v>82.0818536524</v>
      </c>
      <c r="AN1180">
        <v>0.99999997828722398</v>
      </c>
    </row>
    <row r="1181" spans="1:40" x14ac:dyDescent="0.25">
      <c r="A1181" t="str">
        <f>"20190312172636341"</f>
        <v>20190312172636341</v>
      </c>
      <c r="B1181" t="str">
        <f>"1552382796329591"</f>
        <v>1552382796329591</v>
      </c>
      <c r="C1181" t="s">
        <v>40</v>
      </c>
      <c r="D1181">
        <v>3.1997089999999999</v>
      </c>
      <c r="E1181">
        <v>0.48377429999999899</v>
      </c>
      <c r="F1181" t="s">
        <v>41</v>
      </c>
      <c r="G1181">
        <v>-193.51060000000001</v>
      </c>
      <c r="H1181" s="1">
        <v>-1.089303E-6</v>
      </c>
      <c r="I1181">
        <v>299.95089999999999</v>
      </c>
      <c r="J1181">
        <v>-189.88040000000001</v>
      </c>
      <c r="K1181">
        <v>1.110857</v>
      </c>
      <c r="L1181">
        <v>322.51690000000002</v>
      </c>
      <c r="M1181">
        <v>-5.839743E-2</v>
      </c>
      <c r="N1181">
        <v>0</v>
      </c>
      <c r="O1181">
        <v>-0.99820120000000001</v>
      </c>
      <c r="P1181">
        <v>-0.19282270000000001</v>
      </c>
      <c r="Q1181">
        <v>0.17338010000000001</v>
      </c>
      <c r="R1181">
        <v>-0.96579440000000005</v>
      </c>
      <c r="S1181">
        <v>-0.48554989999999998</v>
      </c>
      <c r="T1181">
        <v>-0.14810779999999901</v>
      </c>
      <c r="U1181">
        <v>-3.0363769999999999</v>
      </c>
      <c r="V1181">
        <v>0.13587779999999999</v>
      </c>
      <c r="W1181">
        <v>0.18675169999999999</v>
      </c>
      <c r="X1181">
        <v>0.97296510000000003</v>
      </c>
      <c r="Y1181">
        <v>9.9781690000000006E-2</v>
      </c>
      <c r="Z1181">
        <v>4.8168660000000002E-2</v>
      </c>
      <c r="AA1181">
        <v>0.99384269999999997</v>
      </c>
      <c r="AB1181">
        <v>21</v>
      </c>
      <c r="AC1181">
        <v>-3.6301999999999999</v>
      </c>
      <c r="AD1181">
        <v>-1.110858089303</v>
      </c>
      <c r="AE1181">
        <v>-22.565999999999999</v>
      </c>
      <c r="AF1181">
        <v>2.30065134398478</v>
      </c>
      <c r="AG1181">
        <v>-1.110858089303</v>
      </c>
      <c r="AH1181">
        <v>22.685907903117201</v>
      </c>
      <c r="AI1181">
        <v>92.789073436306595</v>
      </c>
      <c r="AJ1181">
        <v>84.209247350494707</v>
      </c>
      <c r="AK1181">
        <v>22.829310539082499</v>
      </c>
      <c r="AL1181">
        <v>79.236722838138107</v>
      </c>
      <c r="AM1181">
        <v>82.049872369564497</v>
      </c>
      <c r="AN1181">
        <v>1.0000000299018601</v>
      </c>
    </row>
    <row r="1182" spans="1:40" x14ac:dyDescent="0.25">
      <c r="A1182" t="str">
        <f>"20190312172636363"</f>
        <v>20190312172636363</v>
      </c>
      <c r="B1182" t="str">
        <f>"1552382796359846"</f>
        <v>1552382796359846</v>
      </c>
      <c r="C1182" t="s">
        <v>40</v>
      </c>
      <c r="D1182">
        <v>3.2678699999999998</v>
      </c>
      <c r="E1182">
        <v>0.48348869999999999</v>
      </c>
      <c r="F1182" t="s">
        <v>41</v>
      </c>
      <c r="G1182">
        <v>-193.47980000000001</v>
      </c>
      <c r="H1182" s="1">
        <v>-1.0585539999999999E-6</v>
      </c>
      <c r="I1182">
        <v>299.89839999999998</v>
      </c>
      <c r="J1182">
        <v>-189.89150000000001</v>
      </c>
      <c r="K1182">
        <v>1.110865</v>
      </c>
      <c r="L1182">
        <v>322.31400000000002</v>
      </c>
      <c r="M1182">
        <v>-5.7696360000000002E-2</v>
      </c>
      <c r="N1182">
        <v>0</v>
      </c>
      <c r="O1182">
        <v>-0.99824199999999996</v>
      </c>
      <c r="P1182">
        <v>-0.19302359999999999</v>
      </c>
      <c r="Q1182">
        <v>0.172708</v>
      </c>
      <c r="R1182">
        <v>-0.96587480000000003</v>
      </c>
      <c r="S1182">
        <v>-0.48321530000000001</v>
      </c>
      <c r="T1182">
        <v>-0.14913399999999999</v>
      </c>
      <c r="U1182">
        <v>-3.0365600000000001</v>
      </c>
      <c r="V1182">
        <v>0.13675580000000001</v>
      </c>
      <c r="W1182">
        <v>0.18607699999999999</v>
      </c>
      <c r="X1182">
        <v>0.97297129999999998</v>
      </c>
      <c r="Y1182">
        <v>9.972346E-2</v>
      </c>
      <c r="Z1182">
        <v>4.8504789999999999E-2</v>
      </c>
      <c r="AA1182">
        <v>0.99383220000000005</v>
      </c>
      <c r="AB1182">
        <v>21</v>
      </c>
      <c r="AC1182">
        <v>-3.5882999999999998</v>
      </c>
      <c r="AD1182">
        <v>-1.110866058554</v>
      </c>
      <c r="AE1182">
        <v>-22.415600000000001</v>
      </c>
      <c r="AF1182">
        <v>2.2834359501142401</v>
      </c>
      <c r="AG1182">
        <v>-1.110866058554</v>
      </c>
      <c r="AH1182">
        <v>22.5313499481219</v>
      </c>
      <c r="AI1182">
        <v>92.808214438052701</v>
      </c>
      <c r="AJ1182">
        <v>84.213126581089995</v>
      </c>
      <c r="AK1182">
        <v>22.673990244839</v>
      </c>
      <c r="AL1182">
        <v>79.276069409202805</v>
      </c>
      <c r="AM1182">
        <v>81.999214566281694</v>
      </c>
      <c r="AN1182">
        <v>0.99999997469316404</v>
      </c>
    </row>
    <row r="1183" spans="1:40" x14ac:dyDescent="0.25">
      <c r="A1183" t="str">
        <f>"20190312172636385"</f>
        <v>20190312172636385</v>
      </c>
      <c r="B1183" t="str">
        <f>"1552382796379367"</f>
        <v>1552382796379367</v>
      </c>
      <c r="C1183" t="s">
        <v>40</v>
      </c>
      <c r="D1183">
        <v>3.1875309999999999</v>
      </c>
      <c r="E1183">
        <v>0.4833344</v>
      </c>
      <c r="F1183" t="s">
        <v>41</v>
      </c>
      <c r="G1183">
        <v>-193.47970000000001</v>
      </c>
      <c r="H1183" s="1">
        <v>-9.663435E-7</v>
      </c>
      <c r="I1183">
        <v>299.68349999999998</v>
      </c>
      <c r="J1183">
        <v>-189.90219999999999</v>
      </c>
      <c r="K1183">
        <v>1.110865</v>
      </c>
      <c r="L1183">
        <v>322.11349999999999</v>
      </c>
      <c r="M1183">
        <v>-5.6976409999999998E-2</v>
      </c>
      <c r="N1183">
        <v>0</v>
      </c>
      <c r="O1183">
        <v>-0.9982837</v>
      </c>
      <c r="P1183">
        <v>-0.1929951</v>
      </c>
      <c r="Q1183">
        <v>0.17250650000000001</v>
      </c>
      <c r="R1183">
        <v>-0.96591689999999997</v>
      </c>
      <c r="S1183">
        <v>-0.48144530000000002</v>
      </c>
      <c r="T1183">
        <v>-0.14904819999999999</v>
      </c>
      <c r="U1183">
        <v>-3.0364070000000001</v>
      </c>
      <c r="V1183">
        <v>0.1374253</v>
      </c>
      <c r="W1183">
        <v>0.1858728</v>
      </c>
      <c r="X1183">
        <v>0.972916</v>
      </c>
      <c r="Y1183">
        <v>9.9883920000000001E-2</v>
      </c>
      <c r="Z1183">
        <v>4.8484159999999998E-2</v>
      </c>
      <c r="AA1183">
        <v>0.99381719999999896</v>
      </c>
      <c r="AB1183">
        <v>21</v>
      </c>
      <c r="AC1183">
        <v>-3.5775000000000099</v>
      </c>
      <c r="AD1183">
        <v>-1.1108659663435001</v>
      </c>
      <c r="AE1183">
        <v>-22.43</v>
      </c>
      <c r="AF1183">
        <v>2.2881162315921801</v>
      </c>
      <c r="AG1183">
        <v>-1.1108659663435001</v>
      </c>
      <c r="AH1183">
        <v>22.543484891111401</v>
      </c>
      <c r="AI1183">
        <v>92.806661931481599</v>
      </c>
      <c r="AJ1183">
        <v>84.204446274156496</v>
      </c>
      <c r="AK1183">
        <v>22.686520449822702</v>
      </c>
      <c r="AL1183">
        <v>79.287976965149696</v>
      </c>
      <c r="AM1183">
        <v>81.960105901676897</v>
      </c>
      <c r="AN1183">
        <v>0.99999997695796405</v>
      </c>
    </row>
    <row r="1184" spans="1:40" x14ac:dyDescent="0.25">
      <c r="A1184" t="str">
        <f>"20190312172636404"</f>
        <v>20190312172636404</v>
      </c>
      <c r="B1184" t="str">
        <f>"1552382796399863"</f>
        <v>1552382796399863</v>
      </c>
      <c r="C1184" t="s">
        <v>40</v>
      </c>
      <c r="D1184">
        <v>3.192504</v>
      </c>
      <c r="E1184">
        <v>0.48318359999999999</v>
      </c>
      <c r="F1184" t="s">
        <v>47</v>
      </c>
      <c r="G1184">
        <v>-193.4949</v>
      </c>
      <c r="H1184" s="1">
        <v>4.1981870000000003E-8</v>
      </c>
      <c r="I1184">
        <v>299.37799999999999</v>
      </c>
      <c r="J1184">
        <v>-189.91210000000001</v>
      </c>
      <c r="K1184">
        <v>1.1108739999999999</v>
      </c>
      <c r="L1184">
        <v>321.92700000000002</v>
      </c>
      <c r="M1184">
        <v>-5.628408E-2</v>
      </c>
      <c r="N1184">
        <v>0</v>
      </c>
      <c r="O1184">
        <v>-0.99832310000000002</v>
      </c>
      <c r="P1184">
        <v>-0.19331789999999999</v>
      </c>
      <c r="Q1184">
        <v>0.1723847</v>
      </c>
      <c r="R1184">
        <v>-0.96587400000000001</v>
      </c>
      <c r="S1184">
        <v>-0.47981259999999998</v>
      </c>
      <c r="T1184">
        <v>-0.14836099999999999</v>
      </c>
      <c r="U1184">
        <v>-3.036438</v>
      </c>
      <c r="V1184">
        <v>0.13842360000000001</v>
      </c>
      <c r="W1184">
        <v>0.1857482</v>
      </c>
      <c r="X1184">
        <v>0.9727983</v>
      </c>
      <c r="Y1184">
        <v>0.1000528</v>
      </c>
      <c r="Z1184">
        <v>4.8265099999999998E-2</v>
      </c>
      <c r="AA1184">
        <v>0.99381079999999999</v>
      </c>
      <c r="AB1184">
        <v>21</v>
      </c>
      <c r="AC1184">
        <v>-3.58279999999999</v>
      </c>
      <c r="AD1184">
        <v>-1.1108739580181299</v>
      </c>
      <c r="AE1184">
        <v>-22.548999999999999</v>
      </c>
      <c r="AF1184">
        <v>2.3024031657559099</v>
      </c>
      <c r="AG1184">
        <v>-1.1108739580181299</v>
      </c>
      <c r="AH1184">
        <v>22.661276462908202</v>
      </c>
      <c r="AI1184">
        <v>92.792087492982702</v>
      </c>
      <c r="AJ1184">
        <v>84.198611986597399</v>
      </c>
      <c r="AK1184">
        <v>22.8050115592306</v>
      </c>
      <c r="AL1184">
        <v>79.295242899396499</v>
      </c>
      <c r="AM1184">
        <v>81.901506750671899</v>
      </c>
      <c r="AN1184">
        <v>1.00000000966154</v>
      </c>
    </row>
    <row r="1185" spans="1:40" x14ac:dyDescent="0.25">
      <c r="A1185" t="str">
        <f>"20190312172636430"</f>
        <v>20190312172636430</v>
      </c>
      <c r="B1185" t="str">
        <f>"1552382796419382"</f>
        <v>1552382796419382</v>
      </c>
      <c r="C1185" t="s">
        <v>40</v>
      </c>
      <c r="D1185">
        <v>3.1861269999999999</v>
      </c>
      <c r="E1185">
        <v>0.48033140000000002</v>
      </c>
      <c r="F1185" t="s">
        <v>47</v>
      </c>
      <c r="G1185">
        <v>-193.52109999999999</v>
      </c>
      <c r="H1185" s="1">
        <v>9.6753999999999994E-8</v>
      </c>
      <c r="I1185">
        <v>299.06700000000001</v>
      </c>
      <c r="J1185">
        <v>-189.9238</v>
      </c>
      <c r="K1185">
        <v>1.1108819999999999</v>
      </c>
      <c r="L1185">
        <v>321.7011</v>
      </c>
      <c r="M1185">
        <v>-5.5416519999999997E-2</v>
      </c>
      <c r="N1185">
        <v>0</v>
      </c>
      <c r="O1185">
        <v>-0.99837180000000003</v>
      </c>
      <c r="P1185">
        <v>-0.19383700000000001</v>
      </c>
      <c r="Q1185">
        <v>0.17250679999999999</v>
      </c>
      <c r="R1185">
        <v>-0.9657483</v>
      </c>
      <c r="S1185">
        <v>-0.47937010000000002</v>
      </c>
      <c r="T1185">
        <v>-0.1475515</v>
      </c>
      <c r="U1185">
        <v>-3.0363769999999999</v>
      </c>
      <c r="V1185">
        <v>0.13979259999999999</v>
      </c>
      <c r="W1185">
        <v>0.18586620000000001</v>
      </c>
      <c r="X1185">
        <v>0.97258</v>
      </c>
      <c r="Y1185">
        <v>0.1007811</v>
      </c>
      <c r="Z1185">
        <v>4.8005609999999997E-2</v>
      </c>
      <c r="AA1185">
        <v>0.99374980000000002</v>
      </c>
      <c r="AB1185">
        <v>21</v>
      </c>
      <c r="AC1185">
        <v>-3.59729999999999</v>
      </c>
      <c r="AD1185">
        <v>-1.110881903246</v>
      </c>
      <c r="AE1185">
        <v>-22.634099999999901</v>
      </c>
      <c r="AF1185">
        <v>2.3318746761042202</v>
      </c>
      <c r="AG1185">
        <v>-1.110881903246</v>
      </c>
      <c r="AH1185">
        <v>22.745240479769102</v>
      </c>
      <c r="AI1185">
        <v>92.781558313991894</v>
      </c>
      <c r="AJ1185">
        <v>84.146405690763501</v>
      </c>
      <c r="AK1185">
        <v>22.8914320781934</v>
      </c>
      <c r="AL1185">
        <v>79.288362462056199</v>
      </c>
      <c r="AM1185">
        <v>81.820680627742107</v>
      </c>
      <c r="AN1185">
        <v>1.0000000358585901</v>
      </c>
    </row>
    <row r="1186" spans="1:40" x14ac:dyDescent="0.25">
      <c r="A1186" t="str">
        <f>"20190312172636451"</f>
        <v>20190312172636451</v>
      </c>
      <c r="B1186" t="str">
        <f>"1552382796439879"</f>
        <v>1552382796439879</v>
      </c>
      <c r="C1186" t="s">
        <v>40</v>
      </c>
      <c r="D1186">
        <v>3.2762419999999999</v>
      </c>
      <c r="E1186">
        <v>0.4806378</v>
      </c>
      <c r="F1186" t="s">
        <v>47</v>
      </c>
      <c r="G1186">
        <v>-194.09610000000001</v>
      </c>
      <c r="H1186" s="1">
        <v>1.514875E-6</v>
      </c>
      <c r="I1186">
        <v>293.96660000000003</v>
      </c>
      <c r="J1186">
        <v>-189.93389999999999</v>
      </c>
      <c r="K1186">
        <v>1.1108910000000001</v>
      </c>
      <c r="L1186">
        <v>321.50189999999998</v>
      </c>
      <c r="M1186">
        <v>-5.4621250000000003E-2</v>
      </c>
      <c r="N1186">
        <v>0</v>
      </c>
      <c r="O1186">
        <v>-0.99841539999999995</v>
      </c>
      <c r="P1186">
        <v>-0.19492039999999999</v>
      </c>
      <c r="Q1186">
        <v>0.17213120000000001</v>
      </c>
      <c r="R1186">
        <v>-0.96559689999999998</v>
      </c>
      <c r="S1186">
        <v>-0.4567871</v>
      </c>
      <c r="T1186">
        <v>-0.12161959999999999</v>
      </c>
      <c r="U1186">
        <v>-3.0363769999999999</v>
      </c>
      <c r="V1186">
        <v>0.14165659999999999</v>
      </c>
      <c r="W1186">
        <v>0.18548809999999999</v>
      </c>
      <c r="X1186">
        <v>0.97238239999999998</v>
      </c>
      <c r="Y1186">
        <v>9.4406840000000006E-2</v>
      </c>
      <c r="Z1186">
        <v>3.962073E-2</v>
      </c>
      <c r="AA1186">
        <v>0.99474499999999999</v>
      </c>
      <c r="AB1186">
        <v>21</v>
      </c>
      <c r="AC1186">
        <v>-4.1622000000000101</v>
      </c>
      <c r="AD1186">
        <v>-1.110889485125</v>
      </c>
      <c r="AE1186">
        <v>-27.5352999999999</v>
      </c>
      <c r="AF1186">
        <v>2.6476218563920701</v>
      </c>
      <c r="AG1186">
        <v>-1.110889485125</v>
      </c>
      <c r="AH1186">
        <v>27.6775085836308</v>
      </c>
      <c r="AI1186">
        <v>92.288007941779099</v>
      </c>
      <c r="AJ1186">
        <v>84.535730522517795</v>
      </c>
      <c r="AK1186">
        <v>27.826039214008901</v>
      </c>
      <c r="AL1186">
        <v>79.310408766254099</v>
      </c>
      <c r="AM1186">
        <v>81.7114615462648</v>
      </c>
      <c r="AN1186">
        <v>0.99999997969746401</v>
      </c>
    </row>
    <row r="1187" spans="1:40" x14ac:dyDescent="0.25">
      <c r="A1187" t="str">
        <f>"20190312172636473"</f>
        <v>20190312172636473</v>
      </c>
      <c r="B1187" t="str">
        <f>"1552382796470134"</f>
        <v>1552382796470134</v>
      </c>
      <c r="C1187" t="s">
        <v>40</v>
      </c>
      <c r="D1187">
        <v>3.3430659999999999</v>
      </c>
      <c r="E1187">
        <v>0.48064309999999899</v>
      </c>
      <c r="F1187" t="s">
        <v>47</v>
      </c>
      <c r="G1187">
        <v>-193.9787</v>
      </c>
      <c r="H1187" s="1">
        <v>1.3059299999999901E-6</v>
      </c>
      <c r="I1187">
        <v>294.91320000000002</v>
      </c>
      <c r="J1187">
        <v>-189.94399999999999</v>
      </c>
      <c r="K1187">
        <v>1.110894</v>
      </c>
      <c r="L1187">
        <v>321.29930000000002</v>
      </c>
      <c r="M1187">
        <v>-5.3788950000000002E-2</v>
      </c>
      <c r="N1187">
        <v>0</v>
      </c>
      <c r="O1187">
        <v>-0.99846060000000003</v>
      </c>
      <c r="P1187">
        <v>-0.19600980000000001</v>
      </c>
      <c r="Q1187">
        <v>0.17188030000000001</v>
      </c>
      <c r="R1187">
        <v>-0.96542079999999997</v>
      </c>
      <c r="S1187">
        <v>-0.4618988</v>
      </c>
      <c r="T1187">
        <v>-0.12685759999999999</v>
      </c>
      <c r="U1187">
        <v>-3.0362849999999999</v>
      </c>
      <c r="V1187">
        <v>0.1435642</v>
      </c>
      <c r="W1187">
        <v>0.18523419999999999</v>
      </c>
      <c r="X1187">
        <v>0.97215099999999999</v>
      </c>
      <c r="Y1187">
        <v>9.6867679999999998E-2</v>
      </c>
      <c r="Z1187">
        <v>4.1318250000000001E-2</v>
      </c>
      <c r="AA1187">
        <v>0.99443919999999997</v>
      </c>
      <c r="AB1187">
        <v>21</v>
      </c>
      <c r="AC1187">
        <v>-4.0346999999999804</v>
      </c>
      <c r="AD1187">
        <v>-1.1108926940699999</v>
      </c>
      <c r="AE1187">
        <v>-26.386099999999999</v>
      </c>
      <c r="AF1187">
        <v>2.6049355429744301</v>
      </c>
      <c r="AG1187">
        <v>-1.1108926940699999</v>
      </c>
      <c r="AH1187">
        <v>26.519004894630399</v>
      </c>
      <c r="AI1187">
        <v>92.387266510212697</v>
      </c>
      <c r="AJ1187">
        <v>84.389890090937399</v>
      </c>
      <c r="AK1187">
        <v>26.669784257886601</v>
      </c>
      <c r="AL1187">
        <v>79.325212687680704</v>
      </c>
      <c r="AM1187">
        <v>81.599456088469594</v>
      </c>
      <c r="AN1187">
        <v>0.99999997758613901</v>
      </c>
    </row>
    <row r="1188" spans="1:40" x14ac:dyDescent="0.25">
      <c r="A1188" t="str">
        <f>"20190312172636495"</f>
        <v>20190312172636495</v>
      </c>
      <c r="B1188" t="str">
        <f>"1552382796489655"</f>
        <v>1552382796489655</v>
      </c>
      <c r="C1188" t="s">
        <v>40</v>
      </c>
      <c r="D1188">
        <v>3.2746420000000001</v>
      </c>
      <c r="E1188">
        <v>0.48062060000000001</v>
      </c>
      <c r="F1188" t="s">
        <v>47</v>
      </c>
      <c r="G1188">
        <v>-194.00640000000001</v>
      </c>
      <c r="H1188" s="1">
        <v>1.338556E-6</v>
      </c>
      <c r="I1188">
        <v>294.81389999999999</v>
      </c>
      <c r="J1188">
        <v>-189.9538</v>
      </c>
      <c r="K1188">
        <v>1.1109009999999999</v>
      </c>
      <c r="L1188">
        <v>321.09789999999998</v>
      </c>
      <c r="M1188">
        <v>-5.2936619999999997E-2</v>
      </c>
      <c r="N1188">
        <v>0</v>
      </c>
      <c r="O1188">
        <v>-0.99850620000000001</v>
      </c>
      <c r="P1188">
        <v>-0.1971687</v>
      </c>
      <c r="Q1188">
        <v>0.17190349999999999</v>
      </c>
      <c r="R1188">
        <v>-0.96518079999999995</v>
      </c>
      <c r="S1188">
        <v>-0.46560669999999998</v>
      </c>
      <c r="T1188">
        <v>-0.1273234</v>
      </c>
      <c r="U1188">
        <v>-3.0355829999999999</v>
      </c>
      <c r="V1188">
        <v>0.14556340000000001</v>
      </c>
      <c r="W1188">
        <v>0.1852557</v>
      </c>
      <c r="X1188">
        <v>0.97184959999999998</v>
      </c>
      <c r="Y1188">
        <v>9.8937269999999994E-2</v>
      </c>
      <c r="Z1188">
        <v>4.1473950000000002E-2</v>
      </c>
      <c r="AA1188">
        <v>0.99422900000000003</v>
      </c>
      <c r="AB1188">
        <v>21</v>
      </c>
      <c r="AC1188">
        <v>-4.0526000000000098</v>
      </c>
      <c r="AD1188">
        <v>-1.1108996614440001</v>
      </c>
      <c r="AE1188">
        <v>-26.283999999999899</v>
      </c>
      <c r="AF1188">
        <v>2.6507779337281501</v>
      </c>
      <c r="AG1188">
        <v>-1.1108996614440001</v>
      </c>
      <c r="AH1188">
        <v>26.4155985738707</v>
      </c>
      <c r="AI1188">
        <v>92.396116925552107</v>
      </c>
      <c r="AJ1188">
        <v>84.269611380508493</v>
      </c>
      <c r="AK1188">
        <v>26.571499199849701</v>
      </c>
      <c r="AL1188">
        <v>79.323959497684399</v>
      </c>
      <c r="AM1188">
        <v>81.481575926294497</v>
      </c>
      <c r="AN1188">
        <v>1.0000000114111001</v>
      </c>
    </row>
    <row r="1189" spans="1:40" x14ac:dyDescent="0.25">
      <c r="A1189" t="str">
        <f>"20190312172636518"</f>
        <v>20190312172636518</v>
      </c>
      <c r="B1189" t="str">
        <f>"1552382796510151"</f>
        <v>1552382796510151</v>
      </c>
      <c r="C1189" t="s">
        <v>40</v>
      </c>
      <c r="D1189">
        <v>3.2165370000000002</v>
      </c>
      <c r="E1189">
        <v>0.48069770000000001</v>
      </c>
      <c r="F1189" t="s">
        <v>47</v>
      </c>
      <c r="G1189">
        <v>-194.03890000000001</v>
      </c>
      <c r="H1189" s="1">
        <v>1.379812E-6</v>
      </c>
      <c r="I1189">
        <v>294.6891</v>
      </c>
      <c r="J1189">
        <v>-189.96430000000001</v>
      </c>
      <c r="K1189">
        <v>1.1109119999999999</v>
      </c>
      <c r="L1189">
        <v>320.87900000000002</v>
      </c>
      <c r="M1189">
        <v>-5.198067E-2</v>
      </c>
      <c r="N1189">
        <v>0</v>
      </c>
      <c r="O1189">
        <v>-0.99855669999999996</v>
      </c>
      <c r="P1189">
        <v>-0.19823279999999999</v>
      </c>
      <c r="Q1189">
        <v>0.17203289999999999</v>
      </c>
      <c r="R1189">
        <v>-0.96494020000000003</v>
      </c>
      <c r="S1189">
        <v>-0.46948240000000002</v>
      </c>
      <c r="T1189">
        <v>-0.1276728</v>
      </c>
      <c r="U1189">
        <v>-3.0350950000000001</v>
      </c>
      <c r="V1189">
        <v>0.1475677</v>
      </c>
      <c r="W1189">
        <v>0.18538589999999999</v>
      </c>
      <c r="X1189">
        <v>0.97152249999999996</v>
      </c>
      <c r="Y1189">
        <v>0.1011531</v>
      </c>
      <c r="Z1189">
        <v>4.1588640000000003E-2</v>
      </c>
      <c r="AA1189">
        <v>0.99400120000000003</v>
      </c>
      <c r="AB1189">
        <v>21</v>
      </c>
      <c r="AC1189">
        <v>-4.0746000000000002</v>
      </c>
      <c r="AD1189">
        <v>-1.1109106201879999</v>
      </c>
      <c r="AE1189">
        <v>-26.189900000000002</v>
      </c>
      <c r="AF1189">
        <v>2.7028495336809799</v>
      </c>
      <c r="AG1189">
        <v>-1.1109106201879999</v>
      </c>
      <c r="AH1189">
        <v>26.320069825049</v>
      </c>
      <c r="AI1189">
        <v>92.4042617831646</v>
      </c>
      <c r="AJ1189">
        <v>84.136758670230705</v>
      </c>
      <c r="AK1189">
        <v>26.481797401294799</v>
      </c>
      <c r="AL1189">
        <v>79.316368647157702</v>
      </c>
      <c r="AM1189">
        <v>81.363176293727605</v>
      </c>
      <c r="AN1189">
        <v>1.0000000630041701</v>
      </c>
    </row>
    <row r="1190" spans="1:40" x14ac:dyDescent="0.25">
      <c r="A1190" t="str">
        <f>"20190312172636541"</f>
        <v>20190312172636541</v>
      </c>
      <c r="B1190" t="str">
        <f>"1552382796529670"</f>
        <v>1552382796529670</v>
      </c>
      <c r="C1190" t="s">
        <v>40</v>
      </c>
      <c r="D1190">
        <v>3.232145</v>
      </c>
      <c r="E1190">
        <v>0.48059449999999998</v>
      </c>
      <c r="F1190" t="s">
        <v>47</v>
      </c>
      <c r="G1190">
        <v>-194.07040000000001</v>
      </c>
      <c r="H1190" s="1">
        <v>1.411148E-6</v>
      </c>
      <c r="I1190">
        <v>294.5686</v>
      </c>
      <c r="J1190">
        <v>-189.97399999999999</v>
      </c>
      <c r="K1190">
        <v>1.110922</v>
      </c>
      <c r="L1190">
        <v>320.6712</v>
      </c>
      <c r="M1190">
        <v>-5.1046870000000001E-2</v>
      </c>
      <c r="N1190">
        <v>0</v>
      </c>
      <c r="O1190">
        <v>-0.99860470000000001</v>
      </c>
      <c r="P1190">
        <v>-0.19980980000000001</v>
      </c>
      <c r="Q1190">
        <v>0.17221549999999999</v>
      </c>
      <c r="R1190">
        <v>-0.9645821</v>
      </c>
      <c r="S1190">
        <v>-0.47357179999999999</v>
      </c>
      <c r="T1190">
        <v>-0.12812699999999999</v>
      </c>
      <c r="U1190">
        <v>-3.0345149999999999</v>
      </c>
      <c r="V1190">
        <v>0.15006729999999999</v>
      </c>
      <c r="W1190">
        <v>0.18556919999999999</v>
      </c>
      <c r="X1190">
        <v>0.97110439999999998</v>
      </c>
      <c r="Y1190">
        <v>0.10341880000000001</v>
      </c>
      <c r="Z1190">
        <v>4.173806E-2</v>
      </c>
      <c r="AA1190">
        <v>0.99376180000000003</v>
      </c>
      <c r="AB1190">
        <v>21</v>
      </c>
      <c r="AC1190">
        <v>-4.0963999999999796</v>
      </c>
      <c r="AD1190">
        <v>-1.110920588852</v>
      </c>
      <c r="AE1190">
        <v>-26.102599999999899</v>
      </c>
      <c r="AF1190">
        <v>2.7536126729485799</v>
      </c>
      <c r="AG1190">
        <v>-1.110920588852</v>
      </c>
      <c r="AH1190">
        <v>26.231318640340199</v>
      </c>
      <c r="AI1190">
        <v>92.411843459683496</v>
      </c>
      <c r="AJ1190">
        <v>84.007367040841402</v>
      </c>
      <c r="AK1190">
        <v>26.398837188755401</v>
      </c>
      <c r="AL1190">
        <v>79.305679542135195</v>
      </c>
      <c r="AM1190">
        <v>81.215419911188206</v>
      </c>
      <c r="AN1190">
        <v>0.99999993910864304</v>
      </c>
    </row>
    <row r="1191" spans="1:40" x14ac:dyDescent="0.25">
      <c r="A1191" t="str">
        <f>"20190312172636564"</f>
        <v>20190312172636564</v>
      </c>
      <c r="B1191" t="str">
        <f>"1552382796559927"</f>
        <v>1552382796559927</v>
      </c>
      <c r="C1191" t="s">
        <v>40</v>
      </c>
      <c r="D1191">
        <v>3.2431350000000001</v>
      </c>
      <c r="E1191">
        <v>0.48050999999999999</v>
      </c>
      <c r="F1191" t="s">
        <v>47</v>
      </c>
      <c r="G1191">
        <v>-194.101</v>
      </c>
      <c r="H1191" s="1">
        <v>1.422863E-6</v>
      </c>
      <c r="I1191">
        <v>294.48660000000001</v>
      </c>
      <c r="J1191">
        <v>-189.98339999999999</v>
      </c>
      <c r="K1191">
        <v>1.110932</v>
      </c>
      <c r="L1191">
        <v>320.46519999999998</v>
      </c>
      <c r="M1191">
        <v>-5.0099150000000002E-2</v>
      </c>
      <c r="N1191">
        <v>0</v>
      </c>
      <c r="O1191">
        <v>-0.9986526</v>
      </c>
      <c r="P1191">
        <v>-0.20145730000000001</v>
      </c>
      <c r="Q1191">
        <v>0.1720701</v>
      </c>
      <c r="R1191">
        <v>-0.96426500000000004</v>
      </c>
      <c r="S1191">
        <v>-0.47821039999999998</v>
      </c>
      <c r="T1191">
        <v>-0.12872549999999999</v>
      </c>
      <c r="U1191">
        <v>-3.0340880000000001</v>
      </c>
      <c r="V1191">
        <v>0.1526487</v>
      </c>
      <c r="W1191">
        <v>0.1854248</v>
      </c>
      <c r="X1191">
        <v>0.97072959999999997</v>
      </c>
      <c r="Y1191">
        <v>0.1058654</v>
      </c>
      <c r="Z1191">
        <v>4.193119E-2</v>
      </c>
      <c r="AA1191">
        <v>0.99349600000000005</v>
      </c>
      <c r="AB1191">
        <v>21</v>
      </c>
      <c r="AC1191">
        <v>-4.1176000000000004</v>
      </c>
      <c r="AD1191">
        <v>-1.1109305771369999</v>
      </c>
      <c r="AE1191">
        <v>-25.978599999999901</v>
      </c>
      <c r="AF1191">
        <v>2.8057982317076098</v>
      </c>
      <c r="AG1191">
        <v>-1.1109305771369999</v>
      </c>
      <c r="AH1191">
        <v>26.1057089477886</v>
      </c>
      <c r="AI1191">
        <v>92.422819591079602</v>
      </c>
      <c r="AJ1191">
        <v>83.865493577677199</v>
      </c>
      <c r="AK1191">
        <v>26.279549275642498</v>
      </c>
      <c r="AL1191">
        <v>79.314099502665698</v>
      </c>
      <c r="AM1191">
        <v>81.063334409203406</v>
      </c>
      <c r="AN1191">
        <v>0.99999996919144396</v>
      </c>
    </row>
    <row r="1192" spans="1:40" x14ac:dyDescent="0.25">
      <c r="A1192" t="str">
        <f>"20190312172636585"</f>
        <v>20190312172636585</v>
      </c>
      <c r="B1192" t="str">
        <f>"1552382796580423"</f>
        <v>1552382796580423</v>
      </c>
      <c r="C1192" t="s">
        <v>40</v>
      </c>
      <c r="D1192">
        <v>3.2516829999999999</v>
      </c>
      <c r="E1192">
        <v>0.48046169999999999</v>
      </c>
      <c r="F1192" t="s">
        <v>47</v>
      </c>
      <c r="G1192">
        <v>-194.1011</v>
      </c>
      <c r="H1192" s="1">
        <v>1.401822E-6</v>
      </c>
      <c r="I1192">
        <v>294.60599999999999</v>
      </c>
      <c r="J1192">
        <v>-189.99199999999999</v>
      </c>
      <c r="K1192">
        <v>1.110941</v>
      </c>
      <c r="L1192">
        <v>320.27449999999999</v>
      </c>
      <c r="M1192">
        <v>-4.9208090000000003E-2</v>
      </c>
      <c r="N1192">
        <v>0</v>
      </c>
      <c r="O1192">
        <v>-0.99869719999999995</v>
      </c>
      <c r="P1192">
        <v>-0.20304849999999999</v>
      </c>
      <c r="Q1192">
        <v>0.17246500000000001</v>
      </c>
      <c r="R1192">
        <v>-0.96386099999999997</v>
      </c>
      <c r="S1192">
        <v>-0.48303220000000002</v>
      </c>
      <c r="T1192">
        <v>-0.13032050000000001</v>
      </c>
      <c r="U1192">
        <v>-3.0334780000000001</v>
      </c>
      <c r="V1192">
        <v>0.15512300000000001</v>
      </c>
      <c r="W1192">
        <v>0.18581839999999999</v>
      </c>
      <c r="X1192">
        <v>0.97026199999999996</v>
      </c>
      <c r="Y1192">
        <v>0.1083201</v>
      </c>
      <c r="Z1192">
        <v>4.2450189999999999E-2</v>
      </c>
      <c r="AA1192">
        <v>0.99320929999999996</v>
      </c>
      <c r="AB1192">
        <v>21</v>
      </c>
      <c r="AC1192">
        <v>-4.1090999999999802</v>
      </c>
      <c r="AD1192">
        <v>-1.1109395981779999</v>
      </c>
      <c r="AE1192">
        <v>-25.668499999999899</v>
      </c>
      <c r="AF1192">
        <v>2.83572889150475</v>
      </c>
      <c r="AG1192">
        <v>-1.1109395981779999</v>
      </c>
      <c r="AH1192">
        <v>25.792510714862299</v>
      </c>
      <c r="AI1192">
        <v>92.451575338257101</v>
      </c>
      <c r="AJ1192">
        <v>83.725878113362597</v>
      </c>
      <c r="AK1192">
        <v>25.971699099465901</v>
      </c>
      <c r="AL1192">
        <v>79.291149213371995</v>
      </c>
      <c r="AM1192">
        <v>80.916570370414306</v>
      </c>
      <c r="AN1192">
        <v>0.99999998577577898</v>
      </c>
    </row>
    <row r="1193" spans="1:40" x14ac:dyDescent="0.25">
      <c r="A1193" t="str">
        <f>"20190312172636607"</f>
        <v>20190312172636607</v>
      </c>
      <c r="B1193" t="str">
        <f>"1552382796599943"</f>
        <v>1552382796599943</v>
      </c>
      <c r="C1193" t="s">
        <v>40</v>
      </c>
      <c r="D1193">
        <v>3.369278</v>
      </c>
      <c r="E1193">
        <v>0.48048950000000001</v>
      </c>
      <c r="F1193" t="s">
        <v>47</v>
      </c>
      <c r="G1193">
        <v>-194.1568</v>
      </c>
      <c r="H1193" s="1">
        <v>1.4399650000000001E-6</v>
      </c>
      <c r="I1193">
        <v>294.3614</v>
      </c>
      <c r="J1193">
        <v>-190.00110000000001</v>
      </c>
      <c r="K1193">
        <v>1.110949</v>
      </c>
      <c r="L1193">
        <v>320.06650000000002</v>
      </c>
      <c r="M1193">
        <v>-4.8227539999999999E-2</v>
      </c>
      <c r="N1193">
        <v>0</v>
      </c>
      <c r="O1193">
        <v>-0.99874490000000005</v>
      </c>
      <c r="P1193">
        <v>-0.2043934</v>
      </c>
      <c r="Q1193">
        <v>0.1726934</v>
      </c>
      <c r="R1193">
        <v>-0.96353549999999999</v>
      </c>
      <c r="S1193">
        <v>-0.48748780000000003</v>
      </c>
      <c r="T1193">
        <v>-0.13003219999999999</v>
      </c>
      <c r="U1193">
        <v>-3.0330509999999999</v>
      </c>
      <c r="V1193">
        <v>0.15743579999999999</v>
      </c>
      <c r="W1193">
        <v>0.18604470000000001</v>
      </c>
      <c r="X1193">
        <v>0.96984599999999999</v>
      </c>
      <c r="Y1193">
        <v>0.1107407</v>
      </c>
      <c r="Z1193">
        <v>4.235481E-2</v>
      </c>
      <c r="AA1193">
        <v>0.99294640000000001</v>
      </c>
      <c r="AB1193">
        <v>21</v>
      </c>
      <c r="AC1193">
        <v>-4.1556999999999897</v>
      </c>
      <c r="AD1193">
        <v>-1.1109475600350001</v>
      </c>
      <c r="AE1193">
        <v>-25.705100000000002</v>
      </c>
      <c r="AF1193">
        <v>2.90576704987271</v>
      </c>
      <c r="AG1193">
        <v>-1.1109475600350001</v>
      </c>
      <c r="AH1193">
        <v>25.828605090894801</v>
      </c>
      <c r="AI1193">
        <v>92.447483979858504</v>
      </c>
      <c r="AJ1193">
        <v>83.581105981297895</v>
      </c>
      <c r="AK1193">
        <v>26.015274889392799</v>
      </c>
      <c r="AL1193">
        <v>79.277952821945405</v>
      </c>
      <c r="AM1193">
        <v>80.779563482486793</v>
      </c>
      <c r="AN1193">
        <v>0.99999996261786395</v>
      </c>
    </row>
    <row r="1194" spans="1:40" x14ac:dyDescent="0.25">
      <c r="A1194" t="str">
        <f>"20190312172636630"</f>
        <v>20190312172636630</v>
      </c>
      <c r="B1194" t="str">
        <f>"1552382796620439"</f>
        <v>1552382796620439</v>
      </c>
      <c r="C1194" t="s">
        <v>40</v>
      </c>
      <c r="D1194">
        <v>3.3622239999999999</v>
      </c>
      <c r="E1194">
        <v>0.50679739999999995</v>
      </c>
      <c r="F1194" t="s">
        <v>47</v>
      </c>
      <c r="G1194">
        <v>-194.1977</v>
      </c>
      <c r="H1194" s="1">
        <v>1.464947E-6</v>
      </c>
      <c r="I1194">
        <v>294.19889999999998</v>
      </c>
      <c r="J1194">
        <v>-190.00970000000001</v>
      </c>
      <c r="K1194">
        <v>1.1109579999999999</v>
      </c>
      <c r="L1194">
        <v>319.8639</v>
      </c>
      <c r="M1194">
        <v>-4.7266889999999999E-2</v>
      </c>
      <c r="N1194">
        <v>0</v>
      </c>
      <c r="O1194">
        <v>-0.99879059999999997</v>
      </c>
      <c r="P1194">
        <v>-0.20612130000000001</v>
      </c>
      <c r="Q1194">
        <v>0.17376229999999901</v>
      </c>
      <c r="R1194">
        <v>-0.96297509999999997</v>
      </c>
      <c r="S1194">
        <v>-0.49198910000000001</v>
      </c>
      <c r="T1194">
        <v>-0.13023979999999999</v>
      </c>
      <c r="U1194">
        <v>-3.0325319999999998</v>
      </c>
      <c r="V1194">
        <v>0.1601233</v>
      </c>
      <c r="W1194">
        <v>0.18710769999999999</v>
      </c>
      <c r="X1194">
        <v>0.96920130000000004</v>
      </c>
      <c r="Y1194">
        <v>0.11315890000000001</v>
      </c>
      <c r="Z1194">
        <v>4.242162E-2</v>
      </c>
      <c r="AA1194">
        <v>0.99267090000000002</v>
      </c>
      <c r="AB1194">
        <v>21</v>
      </c>
      <c r="AC1194">
        <v>-4.1879999999999802</v>
      </c>
      <c r="AD1194">
        <v>-1.110956535053</v>
      </c>
      <c r="AE1194">
        <v>-25.664999999999999</v>
      </c>
      <c r="AF1194">
        <v>2.9646913347652202</v>
      </c>
      <c r="AG1194">
        <v>-1.110956535053</v>
      </c>
      <c r="AH1194">
        <v>25.787215184504699</v>
      </c>
      <c r="AI1194">
        <v>92.450749582594099</v>
      </c>
      <c r="AJ1194">
        <v>83.441642131016494</v>
      </c>
      <c r="AK1194">
        <v>25.980840750544601</v>
      </c>
      <c r="AL1194">
        <v>79.215958803715097</v>
      </c>
      <c r="AM1194">
        <v>80.618812695828396</v>
      </c>
      <c r="AN1194">
        <v>0.99999996126193402</v>
      </c>
    </row>
    <row r="1195" spans="1:40" x14ac:dyDescent="0.25">
      <c r="A1195" t="str">
        <f>"20190312172636653"</f>
        <v>20190312172636653</v>
      </c>
      <c r="B1195" t="str">
        <f>"1552382796649719"</f>
        <v>1552382796649719</v>
      </c>
      <c r="C1195" t="s">
        <v>40</v>
      </c>
      <c r="D1195">
        <v>3.3499850000000002</v>
      </c>
      <c r="E1195">
        <v>0.51718850000000005</v>
      </c>
      <c r="F1195" t="s">
        <v>41</v>
      </c>
      <c r="G1195">
        <v>-194.52029999999999</v>
      </c>
      <c r="H1195" s="1">
        <v>-1.6817259999999901E-6</v>
      </c>
      <c r="I1195">
        <v>300.70569999999998</v>
      </c>
      <c r="J1195">
        <v>-190.01840000000001</v>
      </c>
      <c r="K1195">
        <v>1.1109579999999999</v>
      </c>
      <c r="L1195">
        <v>319.65519999999998</v>
      </c>
      <c r="M1195">
        <v>-4.6276240000000003E-2</v>
      </c>
      <c r="N1195">
        <v>0</v>
      </c>
      <c r="O1195">
        <v>-0.99883719999999998</v>
      </c>
      <c r="P1195">
        <v>-0.20830380000000001</v>
      </c>
      <c r="Q1195">
        <v>0.174755299999999</v>
      </c>
      <c r="R1195">
        <v>-0.96232569999999995</v>
      </c>
      <c r="S1195">
        <v>-0.70530700000000002</v>
      </c>
      <c r="T1195">
        <v>-0.1737165</v>
      </c>
      <c r="U1195">
        <v>-2.9956969999999998</v>
      </c>
      <c r="V1195">
        <v>0.163299</v>
      </c>
      <c r="W1195">
        <v>0.18809219999999999</v>
      </c>
      <c r="X1195">
        <v>0.96848060000000002</v>
      </c>
      <c r="Y1195">
        <v>0.18351329999999999</v>
      </c>
      <c r="Z1195">
        <v>5.6536919999999997E-2</v>
      </c>
      <c r="AA1195">
        <v>0.98139010000000004</v>
      </c>
      <c r="AB1195">
        <v>20</v>
      </c>
      <c r="AC1195">
        <v>-4.5018999999999698</v>
      </c>
      <c r="AD1195">
        <v>-1.1109596817259999</v>
      </c>
      <c r="AE1195">
        <v>-18.9495</v>
      </c>
      <c r="AF1195">
        <v>3.6083445120888098</v>
      </c>
      <c r="AG1195">
        <v>-1.1109596817259999</v>
      </c>
      <c r="AH1195">
        <v>19.0754825815253</v>
      </c>
      <c r="AI1195">
        <v>93.275199925239093</v>
      </c>
      <c r="AJ1195">
        <v>79.288415556741995</v>
      </c>
      <c r="AK1195">
        <v>19.4455243501022</v>
      </c>
      <c r="AL1195">
        <v>79.158531452614795</v>
      </c>
      <c r="AM1195">
        <v>80.429176036925199</v>
      </c>
      <c r="AN1195">
        <v>0.99999995583909895</v>
      </c>
    </row>
    <row r="1196" spans="1:40" x14ac:dyDescent="0.25">
      <c r="A1196" t="str">
        <f>"20190312172636675"</f>
        <v>20190312172636675</v>
      </c>
      <c r="B1196" t="str">
        <f>"1552382796670215"</f>
        <v>1552382796670215</v>
      </c>
      <c r="C1196" t="s">
        <v>40</v>
      </c>
      <c r="D1196">
        <v>3.3613580000000001</v>
      </c>
      <c r="E1196">
        <v>0.51970890000000003</v>
      </c>
      <c r="F1196" t="s">
        <v>41</v>
      </c>
      <c r="G1196">
        <v>-195.0086</v>
      </c>
      <c r="H1196" s="1">
        <v>-1.9079590000000001E-6</v>
      </c>
      <c r="I1196">
        <v>300.93020000000001</v>
      </c>
      <c r="J1196">
        <v>-190.0265</v>
      </c>
      <c r="K1196">
        <v>1.1109500000000001</v>
      </c>
      <c r="L1196">
        <v>319.45679999999999</v>
      </c>
      <c r="M1196">
        <v>-4.5338089999999998E-2</v>
      </c>
      <c r="N1196">
        <v>0</v>
      </c>
      <c r="O1196">
        <v>-0.99888030000000005</v>
      </c>
      <c r="P1196">
        <v>-0.2109094</v>
      </c>
      <c r="Q1196">
        <v>0.17498420000000001</v>
      </c>
      <c r="R1196">
        <v>-0.96171609999999996</v>
      </c>
      <c r="S1196">
        <v>-0.79356380000000004</v>
      </c>
      <c r="T1196">
        <v>-0.1766711</v>
      </c>
      <c r="U1196">
        <v>-2.9777529999999999</v>
      </c>
      <c r="V1196">
        <v>0.1668443</v>
      </c>
      <c r="W1196">
        <v>0.18831319999999999</v>
      </c>
      <c r="X1196">
        <v>0.96783319999999995</v>
      </c>
      <c r="Y1196">
        <v>0.21300720000000001</v>
      </c>
      <c r="Z1196">
        <v>5.745658E-2</v>
      </c>
      <c r="AA1196">
        <v>0.9753598</v>
      </c>
      <c r="AB1196">
        <v>20</v>
      </c>
      <c r="AC1196">
        <v>-4.9821</v>
      </c>
      <c r="AD1196">
        <v>-1.110951907959</v>
      </c>
      <c r="AE1196">
        <v>-18.526599999999899</v>
      </c>
      <c r="AF1196">
        <v>4.12311245379993</v>
      </c>
      <c r="AG1196">
        <v>-1.110951907959</v>
      </c>
      <c r="AH1196">
        <v>18.6708356610206</v>
      </c>
      <c r="AI1196">
        <v>93.325268441093201</v>
      </c>
      <c r="AJ1196">
        <v>77.547136220150307</v>
      </c>
      <c r="AK1196">
        <v>19.1529207884677</v>
      </c>
      <c r="AL1196">
        <v>79.145639095239702</v>
      </c>
      <c r="AM1196">
        <v>80.218943616804196</v>
      </c>
      <c r="AN1196">
        <v>0.999999992379484</v>
      </c>
    </row>
    <row r="1197" spans="1:40" x14ac:dyDescent="0.25">
      <c r="A1197" t="str">
        <f>"20190312172636697"</f>
        <v>20190312172636697</v>
      </c>
      <c r="B1197" t="str">
        <f>"1552382796689735"</f>
        <v>1552382796689735</v>
      </c>
      <c r="C1197" t="s">
        <v>40</v>
      </c>
      <c r="D1197">
        <v>3.3576299999999999</v>
      </c>
      <c r="E1197">
        <v>0.52128589999999997</v>
      </c>
      <c r="F1197" t="s">
        <v>41</v>
      </c>
      <c r="G1197">
        <v>-195.1268</v>
      </c>
      <c r="H1197" s="1">
        <v>-1.9717429999999998E-6</v>
      </c>
      <c r="I1197">
        <v>301.00549999999998</v>
      </c>
      <c r="J1197">
        <v>-190.03460000000001</v>
      </c>
      <c r="K1197">
        <v>1.11094</v>
      </c>
      <c r="L1197">
        <v>319.2525</v>
      </c>
      <c r="M1197">
        <v>-4.4378099999999997E-2</v>
      </c>
      <c r="N1197">
        <v>0</v>
      </c>
      <c r="O1197">
        <v>-0.99892349999999996</v>
      </c>
      <c r="P1197">
        <v>-0.21403610000000001</v>
      </c>
      <c r="Q1197">
        <v>0.17449249999999999</v>
      </c>
      <c r="R1197">
        <v>-0.96111480000000005</v>
      </c>
      <c r="S1197">
        <v>-0.82147219999999999</v>
      </c>
      <c r="T1197">
        <v>-0.17893249999999999</v>
      </c>
      <c r="U1197">
        <v>-2.9718019999999998</v>
      </c>
      <c r="V1197">
        <v>0.17093079999999999</v>
      </c>
      <c r="W1197">
        <v>0.18781490000000001</v>
      </c>
      <c r="X1197">
        <v>0.96721670000000004</v>
      </c>
      <c r="Y1197">
        <v>0.22293969999999999</v>
      </c>
      <c r="Z1197">
        <v>5.8169850000000002E-2</v>
      </c>
      <c r="AA1197">
        <v>0.97309520000000005</v>
      </c>
      <c r="AB1197">
        <v>20</v>
      </c>
      <c r="AC1197">
        <v>-5.0921999999999903</v>
      </c>
      <c r="AD1197">
        <v>-1.110941971743</v>
      </c>
      <c r="AE1197">
        <v>-18.247</v>
      </c>
      <c r="AF1197">
        <v>4.2626819572503303</v>
      </c>
      <c r="AG1197">
        <v>-1.110941971743</v>
      </c>
      <c r="AH1197">
        <v>18.391773791039299</v>
      </c>
      <c r="AI1197">
        <v>93.3676558204223</v>
      </c>
      <c r="AJ1197">
        <v>76.950893768959901</v>
      </c>
      <c r="AK1197">
        <v>18.911953699023499</v>
      </c>
      <c r="AL1197">
        <v>79.174707915045502</v>
      </c>
      <c r="AM1197">
        <v>79.977917148503394</v>
      </c>
      <c r="AN1197">
        <v>0.99999995990476898</v>
      </c>
    </row>
    <row r="1198" spans="1:40" x14ac:dyDescent="0.25">
      <c r="A1198" t="str">
        <f>"20190312172636719"</f>
        <v>20190312172636719</v>
      </c>
      <c r="B1198" t="str">
        <f>"1552382796710231"</f>
        <v>1552382796710231</v>
      </c>
      <c r="C1198" t="s">
        <v>40</v>
      </c>
      <c r="D1198">
        <v>3.4026770000000002</v>
      </c>
      <c r="E1198">
        <v>0.52237449999999996</v>
      </c>
      <c r="F1198" t="s">
        <v>41</v>
      </c>
      <c r="G1198">
        <v>-195.1095</v>
      </c>
      <c r="H1198" s="1">
        <v>-2.138723E-6</v>
      </c>
      <c r="I1198">
        <v>301.40550000000002</v>
      </c>
      <c r="J1198">
        <v>-190.04220000000001</v>
      </c>
      <c r="K1198">
        <v>1.1109329999999999</v>
      </c>
      <c r="L1198">
        <v>319.0591</v>
      </c>
      <c r="M1198">
        <v>-4.3474569999999997E-2</v>
      </c>
      <c r="N1198">
        <v>0</v>
      </c>
      <c r="O1198">
        <v>-0.99896300000000005</v>
      </c>
      <c r="P1198">
        <v>-0.21728149999999999</v>
      </c>
      <c r="Q1198">
        <v>0.17332919999999999</v>
      </c>
      <c r="R1198">
        <v>-0.96059700000000003</v>
      </c>
      <c r="S1198">
        <v>-0.84368899999999902</v>
      </c>
      <c r="T1198">
        <v>-0.18469070000000001</v>
      </c>
      <c r="U1198">
        <v>-2.9670100000000001</v>
      </c>
      <c r="V1198">
        <v>0.1750767</v>
      </c>
      <c r="W1198">
        <v>0.1866468</v>
      </c>
      <c r="X1198">
        <v>0.96670109999999998</v>
      </c>
      <c r="Y1198">
        <v>0.2309418</v>
      </c>
      <c r="Z1198">
        <v>6.001546E-2</v>
      </c>
      <c r="AA1198">
        <v>0.97111479999999994</v>
      </c>
      <c r="AB1198">
        <v>20</v>
      </c>
      <c r="AC1198">
        <v>-5.0672999999999799</v>
      </c>
      <c r="AD1198">
        <v>-1.110935138723</v>
      </c>
      <c r="AE1198">
        <v>-17.653599999999901</v>
      </c>
      <c r="AF1198">
        <v>4.2792986569472502</v>
      </c>
      <c r="AG1198">
        <v>-1.110935138723</v>
      </c>
      <c r="AH1198">
        <v>17.7921289377108</v>
      </c>
      <c r="AI1198">
        <v>93.474074069826301</v>
      </c>
      <c r="AJ1198">
        <v>76.4762943200097</v>
      </c>
      <c r="AK1198">
        <v>18.333205557510201</v>
      </c>
      <c r="AL1198">
        <v>79.242839841656703</v>
      </c>
      <c r="AM1198">
        <v>79.734581370284801</v>
      </c>
      <c r="AN1198">
        <v>0.99999994778716805</v>
      </c>
    </row>
    <row r="1199" spans="1:40" x14ac:dyDescent="0.25">
      <c r="A1199" t="str">
        <f>"20190312172636743"</f>
        <v>20190312172636743</v>
      </c>
      <c r="B1199" t="str">
        <f>"1552382796739511"</f>
        <v>1552382796739511</v>
      </c>
      <c r="C1199" t="s">
        <v>40</v>
      </c>
      <c r="D1199">
        <v>3.6130870000000002</v>
      </c>
      <c r="E1199">
        <v>0.52327800000000002</v>
      </c>
      <c r="F1199" t="s">
        <v>41</v>
      </c>
      <c r="G1199">
        <v>-195.05359999999999</v>
      </c>
      <c r="H1199" s="1">
        <v>-2.307732E-6</v>
      </c>
      <c r="I1199">
        <v>301.83409999999998</v>
      </c>
      <c r="J1199">
        <v>-190.0506</v>
      </c>
      <c r="K1199">
        <v>1.110927</v>
      </c>
      <c r="L1199">
        <v>318.8372</v>
      </c>
      <c r="M1199">
        <v>-4.2443790000000002E-2</v>
      </c>
      <c r="N1199">
        <v>0</v>
      </c>
      <c r="O1199">
        <v>-0.99900730000000004</v>
      </c>
      <c r="P1199">
        <v>-0.22009709999999999</v>
      </c>
      <c r="Q1199">
        <v>0.1725689</v>
      </c>
      <c r="R1199">
        <v>-0.96009250000000002</v>
      </c>
      <c r="S1199">
        <v>-0.86195370000000004</v>
      </c>
      <c r="T1199">
        <v>-0.19107589999999999</v>
      </c>
      <c r="U1199">
        <v>-2.9626160000000001</v>
      </c>
      <c r="V1199">
        <v>0.1789144</v>
      </c>
      <c r="W1199">
        <v>0.18587980000000001</v>
      </c>
      <c r="X1199">
        <v>0.96614610000000001</v>
      </c>
      <c r="Y1199">
        <v>0.23781250000000001</v>
      </c>
      <c r="Z1199">
        <v>6.2070710000000001E-2</v>
      </c>
      <c r="AA1199">
        <v>0.96932580000000002</v>
      </c>
      <c r="AB1199">
        <v>20</v>
      </c>
      <c r="AC1199">
        <v>-5.0029999999999797</v>
      </c>
      <c r="AD1199">
        <v>-1.1109293077319999</v>
      </c>
      <c r="AE1199">
        <v>-17.0031</v>
      </c>
      <c r="AF1199">
        <v>4.2600121442257697</v>
      </c>
      <c r="AG1199">
        <v>-1.1109293077319999</v>
      </c>
      <c r="AH1199">
        <v>17.132829821083</v>
      </c>
      <c r="AI1199">
        <v>93.600652901659998</v>
      </c>
      <c r="AJ1199">
        <v>76.036786805408099</v>
      </c>
      <c r="AK1199">
        <v>17.6894241023817</v>
      </c>
      <c r="AL1199">
        <v>79.287568755338199</v>
      </c>
      <c r="AM1199">
        <v>79.508611541717599</v>
      </c>
      <c r="AN1199">
        <v>0.99999997456030398</v>
      </c>
    </row>
    <row r="1200" spans="1:40" x14ac:dyDescent="0.25">
      <c r="A1200" t="str">
        <f>"20190312172636786"</f>
        <v>20190312172636786</v>
      </c>
      <c r="B1200" t="str">
        <f>"1552382796779527"</f>
        <v>1552382796779527</v>
      </c>
      <c r="C1200" t="s">
        <v>40</v>
      </c>
      <c r="D1200">
        <v>3.3493819999999999</v>
      </c>
      <c r="E1200">
        <v>0.52390300000000001</v>
      </c>
      <c r="F1200" t="s">
        <v>41</v>
      </c>
      <c r="G1200">
        <v>-194.99420000000001</v>
      </c>
      <c r="H1200" s="1">
        <v>-2.4351300000000002E-6</v>
      </c>
      <c r="I1200">
        <v>302.16789999999997</v>
      </c>
      <c r="J1200">
        <v>-190.06479999999999</v>
      </c>
      <c r="K1200">
        <v>1.110924</v>
      </c>
      <c r="L1200">
        <v>318.44819999999999</v>
      </c>
      <c r="M1200">
        <v>-4.0640849999999999E-2</v>
      </c>
      <c r="N1200">
        <v>0</v>
      </c>
      <c r="O1200">
        <v>-0.99908240000000004</v>
      </c>
      <c r="P1200">
        <v>-0.2255597</v>
      </c>
      <c r="Q1200">
        <v>0.17294109999999999</v>
      </c>
      <c r="R1200">
        <v>-0.95875679999999996</v>
      </c>
      <c r="S1200">
        <v>-0.87753300000000001</v>
      </c>
      <c r="T1200">
        <v>-0.19720009999999999</v>
      </c>
      <c r="U1200">
        <v>-2.9589539999999999</v>
      </c>
      <c r="V1200">
        <v>0.18617739999999999</v>
      </c>
      <c r="W1200">
        <v>0.18623590000000001</v>
      </c>
      <c r="X1200">
        <v>0.96470420000000001</v>
      </c>
      <c r="Y1200">
        <v>0.2445436</v>
      </c>
      <c r="Z1200">
        <v>6.4034069999999998E-2</v>
      </c>
      <c r="AA1200">
        <v>0.96752159999999998</v>
      </c>
      <c r="AB1200">
        <v>20</v>
      </c>
      <c r="AC1200">
        <v>-4.92940000000001</v>
      </c>
      <c r="AD1200">
        <v>-1.1109264351299999</v>
      </c>
      <c r="AE1200">
        <v>-16.2803</v>
      </c>
      <c r="AF1200">
        <v>4.24551254777524</v>
      </c>
      <c r="AG1200">
        <v>-1.1109264351299999</v>
      </c>
      <c r="AH1200">
        <v>16.397260852196599</v>
      </c>
      <c r="AI1200">
        <v>93.752538900654201</v>
      </c>
      <c r="AJ1200">
        <v>75.483977181833396</v>
      </c>
      <c r="AK1200">
        <v>16.974354120041401</v>
      </c>
      <c r="AL1200">
        <v>79.266803564273701</v>
      </c>
      <c r="AM1200">
        <v>79.0768280155322</v>
      </c>
      <c r="AN1200">
        <v>1.0000000141086001</v>
      </c>
    </row>
    <row r="1201" spans="1:40" x14ac:dyDescent="0.25">
      <c r="A1201" t="str">
        <f>"20190312172636806"</f>
        <v>20190312172636806</v>
      </c>
      <c r="B1201" t="str">
        <f>"1552382796800023"</f>
        <v>1552382796800023</v>
      </c>
      <c r="C1201" t="s">
        <v>40</v>
      </c>
      <c r="D1201">
        <v>3.3832939999999998</v>
      </c>
      <c r="E1201">
        <v>0.52397119999999997</v>
      </c>
      <c r="F1201" t="s">
        <v>41</v>
      </c>
      <c r="G1201">
        <v>-195.10839999999999</v>
      </c>
      <c r="H1201" s="1">
        <v>-2.340375E-6</v>
      </c>
      <c r="I1201">
        <v>301.87630000000001</v>
      </c>
      <c r="J1201">
        <v>-190.07149999999999</v>
      </c>
      <c r="K1201">
        <v>1.1109260000000001</v>
      </c>
      <c r="L1201">
        <v>318.25850000000003</v>
      </c>
      <c r="M1201">
        <v>-3.9762069999999997E-2</v>
      </c>
      <c r="N1201">
        <v>0</v>
      </c>
      <c r="O1201">
        <v>-0.9991179</v>
      </c>
      <c r="P1201">
        <v>-0.22804140000000001</v>
      </c>
      <c r="Q1201">
        <v>0.17322470000000001</v>
      </c>
      <c r="R1201">
        <v>-0.95811860000000004</v>
      </c>
      <c r="S1201">
        <v>-0.89881900000000003</v>
      </c>
      <c r="T1201">
        <v>-0.19797999999999999</v>
      </c>
      <c r="U1201">
        <v>-2.9533079999999998</v>
      </c>
      <c r="V1201">
        <v>0.18953410000000001</v>
      </c>
      <c r="W1201">
        <v>0.18651090000000001</v>
      </c>
      <c r="X1201">
        <v>0.96399710000000005</v>
      </c>
      <c r="Y1201">
        <v>0.25228309999999998</v>
      </c>
      <c r="Z1201">
        <v>6.4277020000000004E-2</v>
      </c>
      <c r="AA1201">
        <v>0.96551629999999999</v>
      </c>
      <c r="AB1201">
        <v>20</v>
      </c>
      <c r="AC1201">
        <v>-5.0369000000000002</v>
      </c>
      <c r="AD1201">
        <v>-1.1109283403749901</v>
      </c>
      <c r="AE1201">
        <v>-16.382200000000001</v>
      </c>
      <c r="AF1201">
        <v>4.3631348945537898</v>
      </c>
      <c r="AG1201">
        <v>-1.1109283403749901</v>
      </c>
      <c r="AH1201">
        <v>16.500213268193399</v>
      </c>
      <c r="AI1201">
        <v>93.724180317957206</v>
      </c>
      <c r="AJ1201">
        <v>75.188346431145803</v>
      </c>
      <c r="AK1201">
        <v>17.103454206135801</v>
      </c>
      <c r="AL1201">
        <v>79.250765535784097</v>
      </c>
      <c r="AM1201">
        <v>78.876800393892395</v>
      </c>
      <c r="AN1201">
        <v>0.99999994984501295</v>
      </c>
    </row>
    <row r="1202" spans="1:40" x14ac:dyDescent="0.25">
      <c r="A1202" t="str">
        <f>"20190312172636830"</f>
        <v>20190312172636830</v>
      </c>
      <c r="B1202" t="str">
        <f>"1552382796819543"</f>
        <v>1552382796819543</v>
      </c>
      <c r="C1202" t="s">
        <v>40</v>
      </c>
      <c r="D1202">
        <v>3.3610989999999998</v>
      </c>
      <c r="E1202">
        <v>0.52402660000000001</v>
      </c>
      <c r="F1202" t="s">
        <v>41</v>
      </c>
      <c r="G1202">
        <v>-195.15369999999999</v>
      </c>
      <c r="H1202" s="1">
        <v>-2.2826579999999999E-6</v>
      </c>
      <c r="I1202">
        <v>301.71359999999999</v>
      </c>
      <c r="J1202">
        <v>-190.07859999999999</v>
      </c>
      <c r="K1202">
        <v>1.11093</v>
      </c>
      <c r="L1202">
        <v>318.0505</v>
      </c>
      <c r="M1202">
        <v>-3.8796629999999999E-2</v>
      </c>
      <c r="N1202">
        <v>0</v>
      </c>
      <c r="O1202">
        <v>-0.99915580000000004</v>
      </c>
      <c r="P1202">
        <v>-0.23027030000000001</v>
      </c>
      <c r="Q1202">
        <v>0.1731868</v>
      </c>
      <c r="R1202">
        <v>-0.95759190000000005</v>
      </c>
      <c r="S1202">
        <v>-0.90655520000000001</v>
      </c>
      <c r="T1202">
        <v>-0.19816400000000001</v>
      </c>
      <c r="U1202">
        <v>-2.9512330000000002</v>
      </c>
      <c r="V1202">
        <v>0.19271679999999999</v>
      </c>
      <c r="W1202">
        <v>0.18646550000000001</v>
      </c>
      <c r="X1202">
        <v>0.96337470000000003</v>
      </c>
      <c r="Y1202">
        <v>0.25571890000000003</v>
      </c>
      <c r="Z1202">
        <v>6.4329730000000002E-2</v>
      </c>
      <c r="AA1202">
        <v>0.96460849999999998</v>
      </c>
      <c r="AB1202">
        <v>20</v>
      </c>
      <c r="AC1202">
        <v>-5.0750999999999902</v>
      </c>
      <c r="AD1202">
        <v>-1.1109322826579999</v>
      </c>
      <c r="AE1202">
        <v>-16.3369</v>
      </c>
      <c r="AF1202">
        <v>4.4187690093528804</v>
      </c>
      <c r="AG1202">
        <v>-1.1109322826579999</v>
      </c>
      <c r="AH1202">
        <v>16.452130801835398</v>
      </c>
      <c r="AI1202">
        <v>93.731198760808695</v>
      </c>
      <c r="AJ1202">
        <v>74.966102817113196</v>
      </c>
      <c r="AK1202">
        <v>17.0713882861169</v>
      </c>
      <c r="AL1202">
        <v>79.253413541469598</v>
      </c>
      <c r="AM1202">
        <v>78.687673716121694</v>
      </c>
      <c r="AN1202">
        <v>0.99999998014628899</v>
      </c>
    </row>
    <row r="1203" spans="1:40" x14ac:dyDescent="0.25">
      <c r="A1203" t="str">
        <f>"20190312172636852"</f>
        <v>20190312172636852</v>
      </c>
      <c r="B1203" t="str">
        <f>"1552382796849799"</f>
        <v>1552382796849799</v>
      </c>
      <c r="C1203" t="s">
        <v>40</v>
      </c>
      <c r="D1203">
        <v>3.379794</v>
      </c>
      <c r="E1203">
        <v>0.52401450000000005</v>
      </c>
      <c r="F1203" t="s">
        <v>41</v>
      </c>
      <c r="G1203">
        <v>-195.16329999999999</v>
      </c>
      <c r="H1203" s="1">
        <v>-2.2509700000000002E-6</v>
      </c>
      <c r="I1203">
        <v>301.63380000000001</v>
      </c>
      <c r="J1203">
        <v>-190.08539999999999</v>
      </c>
      <c r="K1203">
        <v>1.1109340000000001</v>
      </c>
      <c r="L1203">
        <v>317.84570000000002</v>
      </c>
      <c r="M1203">
        <v>-3.7845730000000001E-2</v>
      </c>
      <c r="N1203">
        <v>0</v>
      </c>
      <c r="O1203">
        <v>-0.99919219999999997</v>
      </c>
      <c r="P1203">
        <v>-0.23201920000000001</v>
      </c>
      <c r="Q1203">
        <v>0.1728104</v>
      </c>
      <c r="R1203">
        <v>-0.95723769999999997</v>
      </c>
      <c r="S1203">
        <v>-0.91348269999999998</v>
      </c>
      <c r="T1203">
        <v>-0.19958210000000001</v>
      </c>
      <c r="U1203">
        <v>-2.9493100000000001</v>
      </c>
      <c r="V1203">
        <v>0.19539819999999999</v>
      </c>
      <c r="W1203">
        <v>0.18608359999999999</v>
      </c>
      <c r="X1203">
        <v>0.96290830000000005</v>
      </c>
      <c r="Y1203">
        <v>0.2588741</v>
      </c>
      <c r="Z1203">
        <v>6.4782329999999999E-2</v>
      </c>
      <c r="AA1203">
        <v>0.96373620000000004</v>
      </c>
      <c r="AB1203">
        <v>20</v>
      </c>
      <c r="AC1203">
        <v>-5.0778999999999996</v>
      </c>
      <c r="AD1203">
        <v>-1.11093625097</v>
      </c>
      <c r="AE1203">
        <v>-16.2119</v>
      </c>
      <c r="AF1203">
        <v>4.4416604991093296</v>
      </c>
      <c r="AG1203">
        <v>-1.11093625097</v>
      </c>
      <c r="AH1203">
        <v>16.322677678709901</v>
      </c>
      <c r="AI1203">
        <v>93.757383390853704</v>
      </c>
      <c r="AJ1203">
        <v>74.777489124924799</v>
      </c>
      <c r="AK1203">
        <v>16.952649761796</v>
      </c>
      <c r="AL1203">
        <v>79.275684576141998</v>
      </c>
      <c r="AM1203">
        <v>78.529012264379205</v>
      </c>
      <c r="AN1203">
        <v>0.99999997848054401</v>
      </c>
    </row>
    <row r="1204" spans="1:40" x14ac:dyDescent="0.25">
      <c r="A1204" t="str">
        <f>"20190312172636875"</f>
        <v>20190312172636875</v>
      </c>
      <c r="B1204" t="str">
        <f>"1552382796870295"</f>
        <v>1552382796870295</v>
      </c>
      <c r="C1204" t="s">
        <v>40</v>
      </c>
      <c r="D1204">
        <v>3.3655940000000002</v>
      </c>
      <c r="E1204">
        <v>0.52403009999999905</v>
      </c>
      <c r="F1204" t="s">
        <v>41</v>
      </c>
      <c r="G1204">
        <v>-195.1439</v>
      </c>
      <c r="H1204" s="1">
        <v>-2.2435959999999999E-6</v>
      </c>
      <c r="I1204">
        <v>301.62860000000001</v>
      </c>
      <c r="J1204">
        <v>-190.09190000000001</v>
      </c>
      <c r="K1204">
        <v>1.1109290000000001</v>
      </c>
      <c r="L1204">
        <v>317.6463</v>
      </c>
      <c r="M1204">
        <v>-3.691854E-2</v>
      </c>
      <c r="N1204">
        <v>0</v>
      </c>
      <c r="O1204">
        <v>-0.99922699999999998</v>
      </c>
      <c r="P1204">
        <v>-0.23347680000000001</v>
      </c>
      <c r="Q1204">
        <v>0.17224579999999901</v>
      </c>
      <c r="R1204">
        <v>-0.95698490000000003</v>
      </c>
      <c r="S1204">
        <v>-0.91941830000000002</v>
      </c>
      <c r="T1204">
        <v>-0.20192289999999999</v>
      </c>
      <c r="U1204">
        <v>-2.9476010000000001</v>
      </c>
      <c r="V1204">
        <v>0.1977611</v>
      </c>
      <c r="W1204">
        <v>0.18551390000000001</v>
      </c>
      <c r="X1204">
        <v>0.96253580000000005</v>
      </c>
      <c r="Y1204">
        <v>0.26168209999999997</v>
      </c>
      <c r="Z1204">
        <v>6.5534029999999993E-2</v>
      </c>
      <c r="AA1204">
        <v>0.96292670000000002</v>
      </c>
      <c r="AB1204">
        <v>20</v>
      </c>
      <c r="AC1204">
        <v>-5.0519999999999898</v>
      </c>
      <c r="AD1204">
        <v>-1.1109312435959999</v>
      </c>
      <c r="AE1204">
        <v>-16.017699999999898</v>
      </c>
      <c r="AF1204">
        <v>4.4377357506937001</v>
      </c>
      <c r="AG1204">
        <v>-1.1109312435959999</v>
      </c>
      <c r="AH1204">
        <v>16.122769212287601</v>
      </c>
      <c r="AI1204">
        <v>93.800796841706202</v>
      </c>
      <c r="AJ1204">
        <v>74.610619306961695</v>
      </c>
      <c r="AK1204">
        <v>16.7592169833102</v>
      </c>
      <c r="AL1204">
        <v>79.308904786384801</v>
      </c>
      <c r="AM1204">
        <v>78.3896689347078</v>
      </c>
      <c r="AN1204">
        <v>1.0000000130240301</v>
      </c>
    </row>
    <row r="1205" spans="1:40" x14ac:dyDescent="0.25">
      <c r="A1205" t="str">
        <f>"20190312172636896"</f>
        <v>20190312172636896</v>
      </c>
      <c r="B1205" t="str">
        <f>"1552382796889815"</f>
        <v>1552382796889815</v>
      </c>
      <c r="C1205" t="s">
        <v>40</v>
      </c>
      <c r="D1205">
        <v>3.3663889999999999</v>
      </c>
      <c r="E1205">
        <v>0.5240245</v>
      </c>
      <c r="F1205" t="s">
        <v>41</v>
      </c>
      <c r="G1205">
        <v>-195.11840000000001</v>
      </c>
      <c r="H1205" s="1">
        <v>-2.2370849999999999E-6</v>
      </c>
      <c r="I1205">
        <v>301.6293</v>
      </c>
      <c r="J1205">
        <v>-190.09790000000001</v>
      </c>
      <c r="K1205">
        <v>1.1109230000000001</v>
      </c>
      <c r="L1205">
        <v>317.4545</v>
      </c>
      <c r="M1205">
        <v>-3.6026179999999998E-2</v>
      </c>
      <c r="N1205">
        <v>0</v>
      </c>
      <c r="O1205">
        <v>-0.99925940000000002</v>
      </c>
      <c r="P1205">
        <v>-0.2349561</v>
      </c>
      <c r="Q1205">
        <v>0.1724677</v>
      </c>
      <c r="R1205">
        <v>-0.95658290000000001</v>
      </c>
      <c r="S1205">
        <v>-0.92452999999999996</v>
      </c>
      <c r="T1205">
        <v>-0.20433589999999999</v>
      </c>
      <c r="U1205">
        <v>-2.9460449999999998</v>
      </c>
      <c r="V1205">
        <v>0.20011599999999999</v>
      </c>
      <c r="W1205">
        <v>0.1857299</v>
      </c>
      <c r="X1205">
        <v>0.96200730000000001</v>
      </c>
      <c r="Y1205">
        <v>0.26419389999999998</v>
      </c>
      <c r="Z1205">
        <v>6.6310359999999999E-2</v>
      </c>
      <c r="AA1205">
        <v>0.96218729999999997</v>
      </c>
      <c r="AB1205">
        <v>20</v>
      </c>
      <c r="AC1205">
        <v>-5.0204999999999904</v>
      </c>
      <c r="AD1205">
        <v>-1.11092523708499</v>
      </c>
      <c r="AE1205">
        <v>-15.825199999999899</v>
      </c>
      <c r="AF1205">
        <v>4.4272442760199304</v>
      </c>
      <c r="AG1205">
        <v>-1.11092523708499</v>
      </c>
      <c r="AH1205">
        <v>15.9245110619876</v>
      </c>
      <c r="AI1205">
        <v>93.845226496083001</v>
      </c>
      <c r="AJ1205">
        <v>74.463300515933796</v>
      </c>
      <c r="AK1205">
        <v>16.5657689023272</v>
      </c>
      <c r="AL1205">
        <v>79.296310170595603</v>
      </c>
      <c r="AM1205">
        <v>78.248961342014397</v>
      </c>
      <c r="AN1205">
        <v>1.0000000272316401</v>
      </c>
    </row>
    <row r="1206" spans="1:40" x14ac:dyDescent="0.25">
      <c r="A1206" t="str">
        <f>"20190312172636920"</f>
        <v>20190312172636920</v>
      </c>
      <c r="B1206" t="str">
        <f>"1552382796910311"</f>
        <v>1552382796910311</v>
      </c>
      <c r="C1206" t="s">
        <v>40</v>
      </c>
      <c r="D1206">
        <v>3.360411</v>
      </c>
      <c r="E1206">
        <v>0.5239646</v>
      </c>
      <c r="F1206" t="s">
        <v>41</v>
      </c>
      <c r="G1206">
        <v>-195.15260000000001</v>
      </c>
      <c r="H1206" s="1">
        <v>-2.1632829999999999E-6</v>
      </c>
      <c r="I1206">
        <v>301.43599999999998</v>
      </c>
      <c r="J1206">
        <v>-190.10419999999999</v>
      </c>
      <c r="K1206">
        <v>1.1109119999999999</v>
      </c>
      <c r="L1206">
        <v>317.2473</v>
      </c>
      <c r="M1206">
        <v>-3.5061349999999998E-2</v>
      </c>
      <c r="N1206">
        <v>0</v>
      </c>
      <c r="O1206">
        <v>-0.99929369999999995</v>
      </c>
      <c r="P1206">
        <v>-0.2363374</v>
      </c>
      <c r="Q1206">
        <v>0.17219899999999999</v>
      </c>
      <c r="R1206">
        <v>-0.95629070000000005</v>
      </c>
      <c r="S1206">
        <v>-0.92924499999999999</v>
      </c>
      <c r="T1206">
        <v>-0.20423169999999999</v>
      </c>
      <c r="U1206">
        <v>-2.9448240000000001</v>
      </c>
      <c r="V1206">
        <v>0.2024386</v>
      </c>
      <c r="W1206">
        <v>0.18545529999999999</v>
      </c>
      <c r="X1206">
        <v>0.96157420000000005</v>
      </c>
      <c r="Y1206">
        <v>0.26664060000000001</v>
      </c>
      <c r="Z1206">
        <v>6.6268010000000002E-2</v>
      </c>
      <c r="AA1206">
        <v>0.96151509999999996</v>
      </c>
      <c r="AB1206">
        <v>20</v>
      </c>
      <c r="AC1206">
        <v>-5.0484000000000098</v>
      </c>
      <c r="AD1206">
        <v>-1.110914163283</v>
      </c>
      <c r="AE1206">
        <v>-15.811299999999999</v>
      </c>
      <c r="AF1206">
        <v>4.4708504580438904</v>
      </c>
      <c r="AG1206">
        <v>-1.110914163283</v>
      </c>
      <c r="AH1206">
        <v>15.9073339558156</v>
      </c>
      <c r="AI1206">
        <v>93.846302746124096</v>
      </c>
      <c r="AJ1206">
        <v>74.301667266869103</v>
      </c>
      <c r="AK1206">
        <v>16.5609754446476</v>
      </c>
      <c r="AL1206">
        <v>79.312321454469796</v>
      </c>
      <c r="AM1206">
        <v>78.111232051439202</v>
      </c>
      <c r="AN1206">
        <v>0.99999999858684496</v>
      </c>
    </row>
    <row r="1207" spans="1:40" x14ac:dyDescent="0.25">
      <c r="A1207" t="str">
        <f>"20190312172636943"</f>
        <v>20190312172636943</v>
      </c>
      <c r="B1207" t="str">
        <f>"1552382796939591"</f>
        <v>1552382796939591</v>
      </c>
      <c r="C1207" t="s">
        <v>40</v>
      </c>
      <c r="D1207">
        <v>3.3775550000000001</v>
      </c>
      <c r="E1207">
        <v>0.52394439999999998</v>
      </c>
      <c r="F1207" t="s">
        <v>41</v>
      </c>
      <c r="G1207">
        <v>-195.1311</v>
      </c>
      <c r="H1207" s="1">
        <v>-2.1335969999999999E-6</v>
      </c>
      <c r="I1207">
        <v>301.3802</v>
      </c>
      <c r="J1207">
        <v>-190.1105</v>
      </c>
      <c r="K1207">
        <v>1.1109089999999999</v>
      </c>
      <c r="L1207">
        <v>317.03530000000001</v>
      </c>
      <c r="M1207">
        <v>-3.4074649999999998E-2</v>
      </c>
      <c r="N1207">
        <v>0</v>
      </c>
      <c r="O1207">
        <v>-0.99932799999999999</v>
      </c>
      <c r="P1207">
        <v>-0.23758280000000001</v>
      </c>
      <c r="Q1207">
        <v>0.17094589999999901</v>
      </c>
      <c r="R1207">
        <v>-0.95620729999999998</v>
      </c>
      <c r="S1207">
        <v>-0.93261719999999904</v>
      </c>
      <c r="T1207">
        <v>-0.20610500000000001</v>
      </c>
      <c r="U1207">
        <v>-2.9437869999999999</v>
      </c>
      <c r="V1207">
        <v>0.20464009999999999</v>
      </c>
      <c r="W1207">
        <v>0.184199</v>
      </c>
      <c r="X1207">
        <v>0.96134969999999997</v>
      </c>
      <c r="Y1207">
        <v>0.26867790000000003</v>
      </c>
      <c r="Z1207">
        <v>6.6868339999999998E-2</v>
      </c>
      <c r="AA1207">
        <v>0.96090629999999999</v>
      </c>
      <c r="AB1207">
        <v>20</v>
      </c>
      <c r="AC1207">
        <v>-5.0206</v>
      </c>
      <c r="AD1207">
        <v>-1.1109111335969999</v>
      </c>
      <c r="AE1207">
        <v>-15.655099999999999</v>
      </c>
      <c r="AF1207">
        <v>4.4638116989216101</v>
      </c>
      <c r="AG1207">
        <v>-1.1109111335969999</v>
      </c>
      <c r="AH1207">
        <v>15.7452062829569</v>
      </c>
      <c r="AI1207">
        <v>93.883299128522395</v>
      </c>
      <c r="AJ1207">
        <v>74.171812783946507</v>
      </c>
      <c r="AK1207">
        <v>16.403391701811099</v>
      </c>
      <c r="AL1207">
        <v>79.3855645277674</v>
      </c>
      <c r="AM1207">
        <v>77.982956151966704</v>
      </c>
      <c r="AN1207">
        <v>1.00000004390954</v>
      </c>
    </row>
    <row r="1208" spans="1:40" x14ac:dyDescent="0.25">
      <c r="A1208" t="str">
        <f>"20190312172636966"</f>
        <v>20190312172636966</v>
      </c>
      <c r="B1208" t="str">
        <f>"1552382796960087"</f>
        <v>1552382796960087</v>
      </c>
      <c r="C1208" t="s">
        <v>40</v>
      </c>
      <c r="D1208">
        <v>3.3903639999999999</v>
      </c>
      <c r="E1208">
        <v>0.52389629999999998</v>
      </c>
      <c r="F1208" t="s">
        <v>41</v>
      </c>
      <c r="G1208">
        <v>-195.03489999999999</v>
      </c>
      <c r="H1208" s="1">
        <v>-2.1837820000000001E-6</v>
      </c>
      <c r="I1208">
        <v>301.55680000000001</v>
      </c>
      <c r="J1208">
        <v>-190.1163</v>
      </c>
      <c r="K1208">
        <v>1.1109070000000001</v>
      </c>
      <c r="L1208">
        <v>316.83260000000001</v>
      </c>
      <c r="M1208">
        <v>-3.3134379999999998E-2</v>
      </c>
      <c r="N1208">
        <v>0</v>
      </c>
      <c r="O1208">
        <v>-0.99935969999999996</v>
      </c>
      <c r="P1208">
        <v>-0.23816570000000001</v>
      </c>
      <c r="Q1208">
        <v>0.1697293</v>
      </c>
      <c r="R1208">
        <v>-0.95627890000000004</v>
      </c>
      <c r="S1208">
        <v>-0.93617249999999996</v>
      </c>
      <c r="T1208">
        <v>-0.2111915</v>
      </c>
      <c r="U1208">
        <v>-2.9425659999999998</v>
      </c>
      <c r="V1208">
        <v>0.2061298</v>
      </c>
      <c r="W1208">
        <v>0.18297930000000001</v>
      </c>
      <c r="X1208">
        <v>0.96126429999999996</v>
      </c>
      <c r="Y1208">
        <v>0.27071919999999999</v>
      </c>
      <c r="Z1208">
        <v>6.8508799999999995E-2</v>
      </c>
      <c r="AA1208">
        <v>0.96021749999999995</v>
      </c>
      <c r="AB1208">
        <v>20</v>
      </c>
      <c r="AC1208">
        <v>-4.9185999999999899</v>
      </c>
      <c r="AD1208">
        <v>-1.11090918378199</v>
      </c>
      <c r="AE1208">
        <v>-15.2758</v>
      </c>
      <c r="AF1208">
        <v>4.3886683605187802</v>
      </c>
      <c r="AG1208">
        <v>-1.11090918378199</v>
      </c>
      <c r="AH1208">
        <v>15.356811903760899</v>
      </c>
      <c r="AI1208">
        <v>93.978815501941</v>
      </c>
      <c r="AJ1208">
        <v>74.051127811065498</v>
      </c>
      <c r="AK1208">
        <v>16.0101905373023</v>
      </c>
      <c r="AL1208">
        <v>79.4566559266447</v>
      </c>
      <c r="AM1208">
        <v>77.897003145537994</v>
      </c>
      <c r="AN1208">
        <v>0.99999998656550904</v>
      </c>
    </row>
    <row r="1209" spans="1:40" x14ac:dyDescent="0.25">
      <c r="A1209" t="str">
        <f>"20190312172636990"</f>
        <v>20190312172636990</v>
      </c>
      <c r="B1209" t="str">
        <f>"1552382796979607"</f>
        <v>1552382796979607</v>
      </c>
      <c r="C1209" t="s">
        <v>40</v>
      </c>
      <c r="D1209">
        <v>3.419108</v>
      </c>
      <c r="E1209">
        <v>0.52381290000000003</v>
      </c>
      <c r="F1209" t="s">
        <v>41</v>
      </c>
      <c r="G1209">
        <v>-194.95410000000001</v>
      </c>
      <c r="H1209" s="1">
        <v>-2.2060480000000002E-6</v>
      </c>
      <c r="I1209">
        <v>301.65879999999999</v>
      </c>
      <c r="J1209">
        <v>-190.12209999999999</v>
      </c>
      <c r="K1209">
        <v>1.1109059999999999</v>
      </c>
      <c r="L1209">
        <v>316.62270000000001</v>
      </c>
      <c r="M1209">
        <v>-3.2171020000000002E-2</v>
      </c>
      <c r="N1209">
        <v>0</v>
      </c>
      <c r="O1209">
        <v>-0.99939129999999998</v>
      </c>
      <c r="P1209">
        <v>-0.23832249999999999</v>
      </c>
      <c r="Q1209">
        <v>0.1685015</v>
      </c>
      <c r="R1209">
        <v>-0.95645740000000001</v>
      </c>
      <c r="S1209">
        <v>-0.93792719999999896</v>
      </c>
      <c r="T1209">
        <v>-0.2153766</v>
      </c>
      <c r="U1209">
        <v>-2.9418030000000002</v>
      </c>
      <c r="V1209">
        <v>0.20721400000000001</v>
      </c>
      <c r="W1209">
        <v>0.18174679999999999</v>
      </c>
      <c r="X1209">
        <v>0.96126500000000004</v>
      </c>
      <c r="Y1209">
        <v>0.27221020000000001</v>
      </c>
      <c r="Z1209">
        <v>6.9858980000000001E-2</v>
      </c>
      <c r="AA1209">
        <v>0.95969859999999896</v>
      </c>
      <c r="AB1209">
        <v>20</v>
      </c>
      <c r="AC1209">
        <v>-4.8320000000000203</v>
      </c>
      <c r="AD1209">
        <v>-1.110908206048</v>
      </c>
      <c r="AE1209">
        <v>-14.963900000000001</v>
      </c>
      <c r="AF1209">
        <v>4.3264571264462797</v>
      </c>
      <c r="AG1209">
        <v>-1.110908206048</v>
      </c>
      <c r="AH1209">
        <v>15.0365693638082</v>
      </c>
      <c r="AI1209">
        <v>94.061179302018004</v>
      </c>
      <c r="AJ1209">
        <v>73.9479381993239</v>
      </c>
      <c r="AK1209">
        <v>15.6860054361159</v>
      </c>
      <c r="AL1209">
        <v>79.52847716686</v>
      </c>
      <c r="AM1209">
        <v>77.835243663571305</v>
      </c>
      <c r="AN1209">
        <v>0.99999997066561896</v>
      </c>
    </row>
    <row r="1210" spans="1:40" x14ac:dyDescent="0.25">
      <c r="A1210" t="str">
        <f>"20190312172637031"</f>
        <v>20190312172637031</v>
      </c>
      <c r="B1210" t="str">
        <f>"1552382797020104"</f>
        <v>1552382797020104</v>
      </c>
      <c r="C1210" t="s">
        <v>40</v>
      </c>
      <c r="D1210">
        <v>3.4071509999999998</v>
      </c>
      <c r="E1210">
        <v>0.52375300000000002</v>
      </c>
      <c r="F1210" t="s">
        <v>41</v>
      </c>
      <c r="G1210">
        <v>-194.88759999999999</v>
      </c>
      <c r="H1210" s="1">
        <v>-2.1942699999999999E-6</v>
      </c>
      <c r="I1210">
        <v>301.67259999999999</v>
      </c>
      <c r="J1210">
        <v>-190.1319</v>
      </c>
      <c r="K1210">
        <v>1.110892</v>
      </c>
      <c r="L1210">
        <v>316.24900000000002</v>
      </c>
      <c r="M1210">
        <v>-3.0502979999999999E-2</v>
      </c>
      <c r="N1210">
        <v>0</v>
      </c>
      <c r="O1210">
        <v>-0.99944339999999998</v>
      </c>
      <c r="P1210">
        <v>-0.24053269999999999</v>
      </c>
      <c r="Q1210">
        <v>0.16720070000000001</v>
      </c>
      <c r="R1210">
        <v>-0.95613190000000003</v>
      </c>
      <c r="S1210">
        <v>-0.93762210000000001</v>
      </c>
      <c r="T1210">
        <v>-0.21857489999999999</v>
      </c>
      <c r="U1210">
        <v>-2.9414669999999998</v>
      </c>
      <c r="V1210">
        <v>0.21105360000000001</v>
      </c>
      <c r="W1210">
        <v>0.18042569999999999</v>
      </c>
      <c r="X1210">
        <v>0.96067840000000004</v>
      </c>
      <c r="Y1210">
        <v>0.273734599999999</v>
      </c>
      <c r="Z1210">
        <v>7.0889729999999998E-2</v>
      </c>
      <c r="AA1210">
        <v>0.95918919999999996</v>
      </c>
      <c r="AB1210">
        <v>20</v>
      </c>
      <c r="AC1210">
        <v>-4.7556999999999903</v>
      </c>
      <c r="AD1210">
        <v>-1.1108941942699999</v>
      </c>
      <c r="AE1210">
        <v>-14.5764</v>
      </c>
      <c r="AF1210">
        <v>4.2863215702334898</v>
      </c>
      <c r="AG1210">
        <v>-1.1108941942699999</v>
      </c>
      <c r="AH1210">
        <v>14.637851438627401</v>
      </c>
      <c r="AI1210">
        <v>94.165696833920904</v>
      </c>
      <c r="AJ1210">
        <v>73.678676197879597</v>
      </c>
      <c r="AK1210">
        <v>15.292917748214</v>
      </c>
      <c r="AL1210">
        <v>79.605443627539699</v>
      </c>
      <c r="AM1210">
        <v>77.609401262796396</v>
      </c>
      <c r="AN1210">
        <v>1.00000002176</v>
      </c>
    </row>
    <row r="1211" spans="1:40" x14ac:dyDescent="0.25">
      <c r="A1211" t="str">
        <f>"20190312172637054"</f>
        <v>20190312172637054</v>
      </c>
      <c r="B1211" t="str">
        <f>"1552382797050360"</f>
        <v>1552382797050360</v>
      </c>
      <c r="C1211" t="s">
        <v>40</v>
      </c>
      <c r="D1211">
        <v>3.4354399999999998</v>
      </c>
      <c r="E1211">
        <v>0.52375939999999999</v>
      </c>
      <c r="F1211" t="s">
        <v>41</v>
      </c>
      <c r="G1211">
        <v>-194.85230000000001</v>
      </c>
      <c r="H1211" s="1">
        <v>-2.1254559999999999E-6</v>
      </c>
      <c r="I1211">
        <v>301.53410000000002</v>
      </c>
      <c r="J1211">
        <v>-190.137</v>
      </c>
      <c r="K1211">
        <v>1.110868</v>
      </c>
      <c r="L1211">
        <v>316.05029999999999</v>
      </c>
      <c r="M1211">
        <v>-2.9650369999999999E-2</v>
      </c>
      <c r="N1211">
        <v>0</v>
      </c>
      <c r="O1211">
        <v>-0.9994693</v>
      </c>
      <c r="P1211">
        <v>-0.24146819999999999</v>
      </c>
      <c r="Q1211">
        <v>0.1668511</v>
      </c>
      <c r="R1211">
        <v>-0.95595719999999995</v>
      </c>
      <c r="S1211">
        <v>-0.94287109999999996</v>
      </c>
      <c r="T1211">
        <v>-0.22189700000000001</v>
      </c>
      <c r="U1211">
        <v>-2.9392399999999999</v>
      </c>
      <c r="V1211">
        <v>0.21282400000000001</v>
      </c>
      <c r="W1211">
        <v>0.18006220000000001</v>
      </c>
      <c r="X1211">
        <v>0.96035599999999999</v>
      </c>
      <c r="Y1211">
        <v>0.2762947</v>
      </c>
      <c r="Z1211">
        <v>7.1970030000000004E-2</v>
      </c>
      <c r="AA1211">
        <v>0.95837439999999996</v>
      </c>
      <c r="AB1211">
        <v>20</v>
      </c>
      <c r="AC1211">
        <v>-4.7153000000000098</v>
      </c>
      <c r="AD1211">
        <v>-1.1108701254560001</v>
      </c>
      <c r="AE1211">
        <v>-14.5161999999999</v>
      </c>
      <c r="AF1211">
        <v>4.2602088952420996</v>
      </c>
      <c r="AG1211">
        <v>-1.1108701254560001</v>
      </c>
      <c r="AH1211">
        <v>14.5724447302585</v>
      </c>
      <c r="AI1211">
        <v>94.184774206824997</v>
      </c>
      <c r="AJ1211">
        <v>73.703883497206704</v>
      </c>
      <c r="AK1211">
        <v>15.2229943730913</v>
      </c>
      <c r="AL1211">
        <v>79.626617712369907</v>
      </c>
      <c r="AM1211">
        <v>77.5046516982583</v>
      </c>
      <c r="AN1211">
        <v>1.0000000487904099</v>
      </c>
    </row>
    <row r="1212" spans="1:40" x14ac:dyDescent="0.25">
      <c r="A1212" t="str">
        <f>"20190312172637077"</f>
        <v>20190312172637077</v>
      </c>
      <c r="B1212" t="str">
        <f>"1552382797069880"</f>
        <v>1552382797069880</v>
      </c>
      <c r="C1212" t="s">
        <v>40</v>
      </c>
      <c r="D1212">
        <v>3.4092720000000001</v>
      </c>
      <c r="E1212">
        <v>0.52379629999999999</v>
      </c>
      <c r="F1212" t="s">
        <v>41</v>
      </c>
      <c r="G1212">
        <v>-194.8682</v>
      </c>
      <c r="H1212" s="1">
        <v>-2.052614E-6</v>
      </c>
      <c r="I1212">
        <v>301.3544</v>
      </c>
      <c r="J1212">
        <v>-190.142</v>
      </c>
      <c r="K1212">
        <v>1.1108389999999999</v>
      </c>
      <c r="L1212">
        <v>315.8458</v>
      </c>
      <c r="M1212">
        <v>-2.8810430000000001E-2</v>
      </c>
      <c r="N1212">
        <v>0</v>
      </c>
      <c r="O1212">
        <v>-0.99949379999999999</v>
      </c>
      <c r="P1212">
        <v>-0.24200389999999999</v>
      </c>
      <c r="Q1212">
        <v>0.16577049999999999</v>
      </c>
      <c r="R1212">
        <v>-0.95600969999999996</v>
      </c>
      <c r="S1212">
        <v>-0.94590759999999996</v>
      </c>
      <c r="T1212">
        <v>-0.2220935</v>
      </c>
      <c r="U1212">
        <v>-2.93811</v>
      </c>
      <c r="V1212">
        <v>0.2141788</v>
      </c>
      <c r="W1212">
        <v>0.17896589999999901</v>
      </c>
      <c r="X1212">
        <v>0.96025970000000005</v>
      </c>
      <c r="Y1212">
        <v>0.27810509999999999</v>
      </c>
      <c r="Z1212">
        <v>7.2032059999999995E-2</v>
      </c>
      <c r="AA1212">
        <v>0.95784599999999998</v>
      </c>
      <c r="AB1212">
        <v>20</v>
      </c>
      <c r="AC1212">
        <v>-4.7262000000000004</v>
      </c>
      <c r="AD1212">
        <v>-1.110841052614</v>
      </c>
      <c r="AE1212">
        <v>-14.491400000000001</v>
      </c>
      <c r="AF1212">
        <v>4.2839438379240704</v>
      </c>
      <c r="AG1212">
        <v>-1.110841052614</v>
      </c>
      <c r="AH1212">
        <v>14.5443134167314</v>
      </c>
      <c r="AI1212">
        <v>94.190250590012596</v>
      </c>
      <c r="AJ1212">
        <v>73.587965957683295</v>
      </c>
      <c r="AK1212">
        <v>15.202736444955301</v>
      </c>
      <c r="AL1212">
        <v>79.690468019035904</v>
      </c>
      <c r="AM1212">
        <v>77.426409003641893</v>
      </c>
      <c r="AN1212">
        <v>1.0000000215881599</v>
      </c>
    </row>
    <row r="1213" spans="1:40" x14ac:dyDescent="0.25">
      <c r="A1213" t="str">
        <f>"20190312172637099"</f>
        <v>20190312172637099</v>
      </c>
      <c r="B1213" t="str">
        <f>"1552382797089742"</f>
        <v>1552382797089742</v>
      </c>
      <c r="C1213" t="s">
        <v>40</v>
      </c>
      <c r="D1213">
        <v>3.4211019999999999</v>
      </c>
      <c r="E1213">
        <v>0.52382989999999996</v>
      </c>
      <c r="F1213" t="s">
        <v>41</v>
      </c>
      <c r="G1213">
        <v>-194.82310000000001</v>
      </c>
      <c r="H1213" s="1">
        <v>-2.0343799999999998E-6</v>
      </c>
      <c r="I1213">
        <v>301.3399</v>
      </c>
      <c r="J1213">
        <v>-190.14670000000001</v>
      </c>
      <c r="K1213">
        <v>1.1108</v>
      </c>
      <c r="L1213">
        <v>315.65019999999998</v>
      </c>
      <c r="M1213">
        <v>-2.8072E-2</v>
      </c>
      <c r="N1213">
        <v>0</v>
      </c>
      <c r="O1213">
        <v>-0.99951469999999998</v>
      </c>
      <c r="P1213">
        <v>-0.24282200000000001</v>
      </c>
      <c r="Q1213">
        <v>0.16462879999999999</v>
      </c>
      <c r="R1213">
        <v>-0.95599940000000005</v>
      </c>
      <c r="S1213">
        <v>-0.94778439999999997</v>
      </c>
      <c r="T1213">
        <v>-0.22491420000000001</v>
      </c>
      <c r="U1213">
        <v>-2.9370419999999999</v>
      </c>
      <c r="V1213">
        <v>0.2157251</v>
      </c>
      <c r="W1213">
        <v>0.17780279999999901</v>
      </c>
      <c r="X1213">
        <v>0.96012960000000003</v>
      </c>
      <c r="Y1213">
        <v>0.27944989999999997</v>
      </c>
      <c r="Z1213">
        <v>7.294784E-2</v>
      </c>
      <c r="AA1213">
        <v>0.95738520000000005</v>
      </c>
      <c r="AB1213">
        <v>20</v>
      </c>
      <c r="AC1213">
        <v>-4.6764000000000001</v>
      </c>
      <c r="AD1213">
        <v>-1.11080203438</v>
      </c>
      <c r="AE1213">
        <v>-14.3102999999999</v>
      </c>
      <c r="AF1213">
        <v>4.2496665331629799</v>
      </c>
      <c r="AG1213">
        <v>-1.11080203438</v>
      </c>
      <c r="AH1213">
        <v>14.357784690806801</v>
      </c>
      <c r="AI1213">
        <v>94.242689295279206</v>
      </c>
      <c r="AJ1213">
        <v>73.5121185728066</v>
      </c>
      <c r="AK1213">
        <v>15.0146437863252</v>
      </c>
      <c r="AL1213">
        <v>79.758194817527993</v>
      </c>
      <c r="AM1213">
        <v>77.336888156088193</v>
      </c>
      <c r="AN1213">
        <v>1.0000000016270001</v>
      </c>
    </row>
    <row r="1214" spans="1:40" x14ac:dyDescent="0.25">
      <c r="A1214" t="str">
        <f>"20190312172637146"</f>
        <v>20190312172637146</v>
      </c>
      <c r="B1214" t="str">
        <f>"1552382797140477"</f>
        <v>1552382797140477</v>
      </c>
      <c r="C1214" t="s">
        <v>40</v>
      </c>
      <c r="D1214">
        <v>3.4930840000000001</v>
      </c>
      <c r="E1214">
        <v>0.52387620000000001</v>
      </c>
      <c r="F1214" t="s">
        <v>41</v>
      </c>
      <c r="G1214">
        <v>-194.7843</v>
      </c>
      <c r="H1214" s="1">
        <v>-2.0212420000000001E-6</v>
      </c>
      <c r="I1214">
        <v>301.33330000000001</v>
      </c>
      <c r="J1214">
        <v>-190.15639999999999</v>
      </c>
      <c r="K1214">
        <v>1.1106370000000001</v>
      </c>
      <c r="L1214">
        <v>315.24290000000002</v>
      </c>
      <c r="M1214">
        <v>-2.686465E-2</v>
      </c>
      <c r="N1214">
        <v>0</v>
      </c>
      <c r="O1214">
        <v>-0.99954799999999999</v>
      </c>
      <c r="P1214">
        <v>-0.2456631</v>
      </c>
      <c r="Q1214">
        <v>0.163352</v>
      </c>
      <c r="R1214">
        <v>-0.95549260000000003</v>
      </c>
      <c r="S1214">
        <v>-0.95095830000000003</v>
      </c>
      <c r="T1214">
        <v>-0.2277738</v>
      </c>
      <c r="U1214">
        <v>-2.93573</v>
      </c>
      <c r="V1214">
        <v>0.21980540000000001</v>
      </c>
      <c r="W1214">
        <v>0.17643619999999999</v>
      </c>
      <c r="X1214">
        <v>0.95945599999999998</v>
      </c>
      <c r="Y1214">
        <v>0.28164990000000001</v>
      </c>
      <c r="Z1214">
        <v>7.3868870000000003E-2</v>
      </c>
      <c r="AA1214">
        <v>0.95666960000000001</v>
      </c>
      <c r="AB1214">
        <v>20</v>
      </c>
      <c r="AC1214">
        <v>-4.6279000000000101</v>
      </c>
      <c r="AD1214">
        <v>-1.1106390212420001</v>
      </c>
      <c r="AE1214">
        <v>-13.909599999999999</v>
      </c>
      <c r="AF1214">
        <v>4.2282481972160202</v>
      </c>
      <c r="AG1214">
        <v>-1.1106390212420001</v>
      </c>
      <c r="AH1214">
        <v>13.9488490527369</v>
      </c>
      <c r="AI1214">
        <v>94.357429075482401</v>
      </c>
      <c r="AJ1214">
        <v>73.136619433908507</v>
      </c>
      <c r="AK1214">
        <v>14.617865499066699</v>
      </c>
      <c r="AL1214">
        <v>79.837752895165806</v>
      </c>
      <c r="AM1214">
        <v>77.096559216889105</v>
      </c>
      <c r="AN1214">
        <v>0.99999998123779898</v>
      </c>
    </row>
    <row r="1215" spans="1:40" x14ac:dyDescent="0.25">
      <c r="A1215" t="str">
        <f>"20190312172637188"</f>
        <v>20190312172637188</v>
      </c>
      <c r="B1215" t="str">
        <f>"1552382797180494"</f>
        <v>1552382797180494</v>
      </c>
      <c r="C1215" t="s">
        <v>40</v>
      </c>
      <c r="D1215">
        <v>3.4702660000000001</v>
      </c>
      <c r="E1215">
        <v>0.52395639999999999</v>
      </c>
      <c r="F1215" t="s">
        <v>41</v>
      </c>
      <c r="G1215">
        <v>-194.78980000000001</v>
      </c>
      <c r="H1215" s="1">
        <v>-1.9220509999999999E-6</v>
      </c>
      <c r="I1215">
        <v>301.09870000000001</v>
      </c>
      <c r="J1215">
        <v>-190.16540000000001</v>
      </c>
      <c r="K1215">
        <v>1.1104400000000001</v>
      </c>
      <c r="L1215">
        <v>314.87349999999998</v>
      </c>
      <c r="M1215">
        <v>-2.6269399999999998E-2</v>
      </c>
      <c r="N1215">
        <v>0</v>
      </c>
      <c r="O1215">
        <v>-0.99956400000000001</v>
      </c>
      <c r="P1215">
        <v>-0.24929570000000001</v>
      </c>
      <c r="Q1215">
        <v>0.16259460000000001</v>
      </c>
      <c r="R1215">
        <v>-0.95468039999999998</v>
      </c>
      <c r="S1215">
        <v>-0.96051030000000004</v>
      </c>
      <c r="T1215">
        <v>-0.23023869999999999</v>
      </c>
      <c r="U1215">
        <v>-2.9321290000000002</v>
      </c>
      <c r="V1215">
        <v>0.22411049999999999</v>
      </c>
      <c r="W1215">
        <v>0.1755641</v>
      </c>
      <c r="X1215">
        <v>0.95861969999999996</v>
      </c>
      <c r="Y1215">
        <v>0.28536209999999901</v>
      </c>
      <c r="Z1215">
        <v>7.4673749999999997E-2</v>
      </c>
      <c r="AA1215">
        <v>0.95550630000000003</v>
      </c>
      <c r="AB1215">
        <v>20</v>
      </c>
      <c r="AC1215">
        <v>-4.6243999999999996</v>
      </c>
      <c r="AD1215">
        <v>-1.11044192205099</v>
      </c>
      <c r="AE1215">
        <v>-13.7747999999999</v>
      </c>
      <c r="AF1215">
        <v>4.2361743306947197</v>
      </c>
      <c r="AG1215">
        <v>-1.11044192205099</v>
      </c>
      <c r="AH1215">
        <v>13.810875891674099</v>
      </c>
      <c r="AI1215">
        <v>94.395610230149003</v>
      </c>
      <c r="AJ1215">
        <v>72.947787390792996</v>
      </c>
      <c r="AK1215">
        <v>14.4885660821736</v>
      </c>
      <c r="AL1215">
        <v>79.8885130886773</v>
      </c>
      <c r="AM1215">
        <v>76.841460791881502</v>
      </c>
      <c r="AN1215">
        <v>0.99999999932357397</v>
      </c>
    </row>
    <row r="1216" spans="1:40" x14ac:dyDescent="0.25">
      <c r="A1216" t="str">
        <f>"20190312172637210"</f>
        <v>20190312172637210</v>
      </c>
      <c r="B1216" t="str">
        <f>"1552382797199543"</f>
        <v>1552382797199543</v>
      </c>
      <c r="C1216" t="s">
        <v>40</v>
      </c>
      <c r="D1216">
        <v>3.495822</v>
      </c>
      <c r="E1216">
        <v>0.52401850000000005</v>
      </c>
      <c r="F1216" t="s">
        <v>41</v>
      </c>
      <c r="G1216">
        <v>-194.846</v>
      </c>
      <c r="H1216" s="1">
        <v>-1.8135329999999999E-6</v>
      </c>
      <c r="I1216">
        <v>300.8109</v>
      </c>
      <c r="J1216">
        <v>-190.1705</v>
      </c>
      <c r="K1216">
        <v>1.110322</v>
      </c>
      <c r="L1216">
        <v>314.67360000000002</v>
      </c>
      <c r="M1216">
        <v>-2.6196199999999999E-2</v>
      </c>
      <c r="N1216">
        <v>0</v>
      </c>
      <c r="O1216">
        <v>-0.99956610000000001</v>
      </c>
      <c r="P1216">
        <v>-0.25118079999999998</v>
      </c>
      <c r="Q1216">
        <v>0.16207669999999999</v>
      </c>
      <c r="R1216">
        <v>-0.95427450000000003</v>
      </c>
      <c r="S1216">
        <v>-0.97431950000000001</v>
      </c>
      <c r="T1216">
        <v>-0.2311522</v>
      </c>
      <c r="U1216">
        <v>-2.9273069999999999</v>
      </c>
      <c r="V1216">
        <v>0.2261205</v>
      </c>
      <c r="W1216">
        <v>0.17498139999999901</v>
      </c>
      <c r="X1216">
        <v>0.95825419999999994</v>
      </c>
      <c r="Y1216">
        <v>0.28995100000000001</v>
      </c>
      <c r="Z1216">
        <v>7.4978520000000007E-2</v>
      </c>
      <c r="AA1216">
        <v>0.9540999</v>
      </c>
      <c r="AB1216">
        <v>20</v>
      </c>
      <c r="AC1216">
        <v>-4.6754999999999702</v>
      </c>
      <c r="AD1216">
        <v>-1.110323813533</v>
      </c>
      <c r="AE1216">
        <v>-13.8627</v>
      </c>
      <c r="AF1216">
        <v>4.2860250952120396</v>
      </c>
      <c r="AG1216">
        <v>-1.110323813533</v>
      </c>
      <c r="AH1216">
        <v>13.900368440962</v>
      </c>
      <c r="AI1216">
        <v>94.364988608415999</v>
      </c>
      <c r="AJ1216">
        <v>72.863431302060107</v>
      </c>
      <c r="AK1216">
        <v>14.5884568369029</v>
      </c>
      <c r="AL1216">
        <v>79.922424716070793</v>
      </c>
      <c r="AM1216">
        <v>76.722720736687194</v>
      </c>
      <c r="AN1216">
        <v>1.0000000413419201</v>
      </c>
    </row>
    <row r="1217" spans="1:40" x14ac:dyDescent="0.25">
      <c r="A1217" t="str">
        <f>"20190312172637232"</f>
        <v>20190312172637232</v>
      </c>
      <c r="B1217" t="str">
        <f>"1552382797220039"</f>
        <v>1552382797220039</v>
      </c>
      <c r="C1217" t="s">
        <v>40</v>
      </c>
      <c r="D1217">
        <v>3.6602260000000002</v>
      </c>
      <c r="E1217">
        <v>0.52408480000000002</v>
      </c>
      <c r="F1217" t="s">
        <v>41</v>
      </c>
      <c r="G1217">
        <v>-194.86189999999999</v>
      </c>
      <c r="H1217" s="1">
        <v>-1.76645E-6</v>
      </c>
      <c r="I1217">
        <v>300.69130000000001</v>
      </c>
      <c r="J1217">
        <v>-190.17570000000001</v>
      </c>
      <c r="K1217">
        <v>1.110198</v>
      </c>
      <c r="L1217">
        <v>314.47719999999998</v>
      </c>
      <c r="M1217">
        <v>-2.6338250000000001E-2</v>
      </c>
      <c r="N1217">
        <v>0</v>
      </c>
      <c r="O1217">
        <v>-0.99956210000000001</v>
      </c>
      <c r="P1217">
        <v>-0.25332959999999999</v>
      </c>
      <c r="Q1217">
        <v>0.16138229999999901</v>
      </c>
      <c r="R1217">
        <v>-0.95382400000000001</v>
      </c>
      <c r="S1217">
        <v>-0.98136900000000005</v>
      </c>
      <c r="T1217">
        <v>-0.23226330000000001</v>
      </c>
      <c r="U1217">
        <v>-2.9248959999999999</v>
      </c>
      <c r="V1217">
        <v>0.2281929</v>
      </c>
      <c r="W1217">
        <v>0.1742157</v>
      </c>
      <c r="X1217">
        <v>0.95790229999999998</v>
      </c>
      <c r="Y1217">
        <v>0.29210950000000002</v>
      </c>
      <c r="Z1217">
        <v>7.5341759999999994E-2</v>
      </c>
      <c r="AA1217">
        <v>0.9534127</v>
      </c>
      <c r="AB1217">
        <v>20</v>
      </c>
      <c r="AC1217">
        <v>-4.6861999999999799</v>
      </c>
      <c r="AD1217">
        <v>-1.1101997664499901</v>
      </c>
      <c r="AE1217">
        <v>-13.7858999999999</v>
      </c>
      <c r="AF1217">
        <v>4.29646669080421</v>
      </c>
      <c r="AG1217">
        <v>-1.1101997664499901</v>
      </c>
      <c r="AH1217">
        <v>13.8241863119176</v>
      </c>
      <c r="AI1217">
        <v>94.385431011155205</v>
      </c>
      <c r="AJ1217">
        <v>72.735097079677303</v>
      </c>
      <c r="AK1217">
        <v>14.5189633491247</v>
      </c>
      <c r="AL1217">
        <v>79.966979689845004</v>
      </c>
      <c r="AM1217">
        <v>76.600657559855705</v>
      </c>
      <c r="AN1217">
        <v>0.99999996304109395</v>
      </c>
    </row>
    <row r="1218" spans="1:40" x14ac:dyDescent="0.25">
      <c r="A1218" t="str">
        <f>"20190312172637255"</f>
        <v>20190312172637255</v>
      </c>
      <c r="B1218" t="str">
        <f>"1552382797250295"</f>
        <v>1552382797250295</v>
      </c>
      <c r="C1218" t="s">
        <v>40</v>
      </c>
      <c r="D1218">
        <v>3.4891809999999999</v>
      </c>
      <c r="E1218">
        <v>0.52420630000000001</v>
      </c>
      <c r="F1218" t="s">
        <v>41</v>
      </c>
      <c r="G1218">
        <v>-194.85550000000001</v>
      </c>
      <c r="H1218" s="1">
        <v>-1.740557E-6</v>
      </c>
      <c r="I1218">
        <v>300.63490000000002</v>
      </c>
      <c r="J1218">
        <v>-190.18109999999999</v>
      </c>
      <c r="K1218">
        <v>1.1100749999999999</v>
      </c>
      <c r="L1218">
        <v>314.28059999999999</v>
      </c>
      <c r="M1218">
        <v>-2.667609E-2</v>
      </c>
      <c r="N1218">
        <v>0</v>
      </c>
      <c r="O1218">
        <v>-0.99955329999999998</v>
      </c>
      <c r="P1218">
        <v>-0.25608900000000001</v>
      </c>
      <c r="Q1218">
        <v>0.16066359999999999</v>
      </c>
      <c r="R1218">
        <v>-0.95320819999999995</v>
      </c>
      <c r="S1218">
        <v>-0.98805240000000005</v>
      </c>
      <c r="T1218">
        <v>-0.23439570000000001</v>
      </c>
      <c r="U1218">
        <v>-2.9225159999999999</v>
      </c>
      <c r="V1218">
        <v>0.23069310000000001</v>
      </c>
      <c r="W1218">
        <v>0.1734212</v>
      </c>
      <c r="X1218">
        <v>0.95744750000000001</v>
      </c>
      <c r="Y1218">
        <v>0.29396119999999998</v>
      </c>
      <c r="Z1218">
        <v>7.60377E-2</v>
      </c>
      <c r="AA1218">
        <v>0.95278810000000003</v>
      </c>
      <c r="AB1218">
        <v>20</v>
      </c>
      <c r="AC1218">
        <v>-4.6744000000000199</v>
      </c>
      <c r="AD1218">
        <v>-1.110076740557</v>
      </c>
      <c r="AE1218">
        <v>-13.6456999999999</v>
      </c>
      <c r="AF1218">
        <v>4.2833199666797297</v>
      </c>
      <c r="AG1218">
        <v>-1.110076740557</v>
      </c>
      <c r="AH1218">
        <v>13.684498420876899</v>
      </c>
      <c r="AI1218">
        <v>94.426757232624496</v>
      </c>
      <c r="AJ1218">
        <v>72.619605525113599</v>
      </c>
      <c r="AK1218">
        <v>14.382092940106601</v>
      </c>
      <c r="AL1218">
        <v>80.013204883452403</v>
      </c>
      <c r="AM1218">
        <v>76.453030478724102</v>
      </c>
      <c r="AN1218">
        <v>0.99999996712664896</v>
      </c>
    </row>
    <row r="1219" spans="1:40" x14ac:dyDescent="0.25">
      <c r="A1219" t="str">
        <f>"20190312172637277"</f>
        <v>20190312172637277</v>
      </c>
      <c r="B1219" t="str">
        <f>"1552382797269815"</f>
        <v>1552382797269815</v>
      </c>
      <c r="C1219" t="s">
        <v>40</v>
      </c>
      <c r="D1219">
        <v>3.5178219999999998</v>
      </c>
      <c r="E1219">
        <v>0.52430469999999996</v>
      </c>
      <c r="F1219" t="s">
        <v>41</v>
      </c>
      <c r="G1219">
        <v>-194.86250000000001</v>
      </c>
      <c r="H1219" s="1">
        <v>-1.7164019999999901E-6</v>
      </c>
      <c r="I1219">
        <v>300.57420000000002</v>
      </c>
      <c r="J1219">
        <v>-190.18680000000001</v>
      </c>
      <c r="K1219">
        <v>1.109947</v>
      </c>
      <c r="L1219">
        <v>314.0849</v>
      </c>
      <c r="M1219">
        <v>-2.7209290000000001E-2</v>
      </c>
      <c r="N1219">
        <v>0</v>
      </c>
      <c r="O1219">
        <v>-0.99953879999999995</v>
      </c>
      <c r="P1219">
        <v>-0.25928220000000002</v>
      </c>
      <c r="Q1219">
        <v>0.15952060000000001</v>
      </c>
      <c r="R1219">
        <v>-0.95253650000000001</v>
      </c>
      <c r="S1219">
        <v>-0.99705509999999997</v>
      </c>
      <c r="T1219">
        <v>-0.23642659999999999</v>
      </c>
      <c r="U1219">
        <v>-2.9192200000000001</v>
      </c>
      <c r="V1219">
        <v>0.2334426</v>
      </c>
      <c r="W1219">
        <v>0.17219860000000001</v>
      </c>
      <c r="X1219">
        <v>0.95700169999999996</v>
      </c>
      <c r="Y1219">
        <v>0.29639409999999999</v>
      </c>
      <c r="Z1219">
        <v>7.6705980000000007E-2</v>
      </c>
      <c r="AA1219">
        <v>0.95198039999999995</v>
      </c>
      <c r="AB1219">
        <v>20</v>
      </c>
      <c r="AC1219">
        <v>-4.6757</v>
      </c>
      <c r="AD1219">
        <v>-1.1099487164020001</v>
      </c>
      <c r="AE1219">
        <v>-13.5106999999999</v>
      </c>
      <c r="AF1219">
        <v>4.2805186183469903</v>
      </c>
      <c r="AG1219">
        <v>-1.1099487164020001</v>
      </c>
      <c r="AH1219">
        <v>13.551253520527499</v>
      </c>
      <c r="AI1219">
        <v>94.465939551900405</v>
      </c>
      <c r="AJ1219">
        <v>72.469912700372305</v>
      </c>
      <c r="AK1219">
        <v>14.254518503711999</v>
      </c>
      <c r="AL1219">
        <v>80.084325319797301</v>
      </c>
      <c r="AM1219">
        <v>76.291482128373502</v>
      </c>
      <c r="AN1219">
        <v>1.0000000295697999</v>
      </c>
    </row>
    <row r="1220" spans="1:40" x14ac:dyDescent="0.25">
      <c r="A1220" t="str">
        <f>"20190312172637301"</f>
        <v>20190312172637301</v>
      </c>
      <c r="B1220" t="str">
        <f>"1552382797290311"</f>
        <v>1552382797290311</v>
      </c>
      <c r="C1220" t="s">
        <v>40</v>
      </c>
      <c r="D1220">
        <v>3.5244270000000002</v>
      </c>
      <c r="E1220">
        <v>0.52437889999999998</v>
      </c>
      <c r="F1220" t="s">
        <v>41</v>
      </c>
      <c r="G1220">
        <v>-194.8527</v>
      </c>
      <c r="H1220" s="1">
        <v>-1.7168950000000001E-6</v>
      </c>
      <c r="I1220">
        <v>300.58150000000001</v>
      </c>
      <c r="J1220">
        <v>-190.19319999999999</v>
      </c>
      <c r="K1220">
        <v>1.109804</v>
      </c>
      <c r="L1220">
        <v>313.87860000000001</v>
      </c>
      <c r="M1220">
        <v>-2.800047E-2</v>
      </c>
      <c r="N1220">
        <v>0</v>
      </c>
      <c r="O1220">
        <v>-0.99951719999999999</v>
      </c>
      <c r="P1220">
        <v>-0.26276359999999999</v>
      </c>
      <c r="Q1220">
        <v>0.15921920000000001</v>
      </c>
      <c r="R1220">
        <v>-0.95163299999999995</v>
      </c>
      <c r="S1220">
        <v>-1.0073700000000001</v>
      </c>
      <c r="T1220">
        <v>-0.23963880000000001</v>
      </c>
      <c r="U1220">
        <v>-2.9154049999999998</v>
      </c>
      <c r="V1220">
        <v>0.2362476</v>
      </c>
      <c r="W1220">
        <v>0.17180409999999999</v>
      </c>
      <c r="X1220">
        <v>0.95638409999999996</v>
      </c>
      <c r="Y1220">
        <v>0.29900389999999999</v>
      </c>
      <c r="Z1220">
        <v>7.7759019999999998E-2</v>
      </c>
      <c r="AA1220">
        <v>0.95107839999999999</v>
      </c>
      <c r="AB1220">
        <v>20</v>
      </c>
      <c r="AC1220">
        <v>-4.6595000000000004</v>
      </c>
      <c r="AD1220">
        <v>-1.109805716895</v>
      </c>
      <c r="AE1220">
        <v>-13.2971</v>
      </c>
      <c r="AF1220">
        <v>4.2588911715532696</v>
      </c>
      <c r="AG1220">
        <v>-1.109805716895</v>
      </c>
      <c r="AH1220">
        <v>13.3396046919423</v>
      </c>
      <c r="AI1220">
        <v>94.531505745618006</v>
      </c>
      <c r="AJ1220">
        <v>72.293450329965907</v>
      </c>
      <c r="AK1220">
        <v>14.0468813648324</v>
      </c>
      <c r="AL1220">
        <v>80.107270786442996</v>
      </c>
      <c r="AM1220">
        <v>76.124476356371503</v>
      </c>
      <c r="AN1220">
        <v>1.0000000620076801</v>
      </c>
    </row>
    <row r="1221" spans="1:40" x14ac:dyDescent="0.25">
      <c r="A1221" t="str">
        <f>"20190312172637321"</f>
        <v>20190312172637321</v>
      </c>
      <c r="B1221" t="str">
        <f>"1552382797309831"</f>
        <v>1552382797309831</v>
      </c>
      <c r="C1221" t="s">
        <v>40</v>
      </c>
      <c r="D1221">
        <v>3.5099230000000001</v>
      </c>
      <c r="E1221">
        <v>0.5244799</v>
      </c>
      <c r="F1221" t="s">
        <v>41</v>
      </c>
      <c r="G1221">
        <v>-194.89869999999999</v>
      </c>
      <c r="H1221" s="1">
        <v>-1.664895E-6</v>
      </c>
      <c r="I1221">
        <v>300.43169999999998</v>
      </c>
      <c r="J1221">
        <v>-190.19919999999999</v>
      </c>
      <c r="K1221">
        <v>1.1096649999999999</v>
      </c>
      <c r="L1221">
        <v>313.69740000000002</v>
      </c>
      <c r="M1221">
        <v>-2.891649E-2</v>
      </c>
      <c r="N1221">
        <v>0</v>
      </c>
      <c r="O1221">
        <v>-0.99949120000000002</v>
      </c>
      <c r="P1221">
        <v>-0.26652290000000001</v>
      </c>
      <c r="Q1221">
        <v>0.15887799999999999</v>
      </c>
      <c r="R1221">
        <v>-0.95064400000000004</v>
      </c>
      <c r="S1221">
        <v>-1.0187839999999999</v>
      </c>
      <c r="T1221">
        <v>-0.24028250000000001</v>
      </c>
      <c r="U1221">
        <v>-2.9113769999999999</v>
      </c>
      <c r="V1221">
        <v>0.23921200000000001</v>
      </c>
      <c r="W1221">
        <v>0.17136999999999999</v>
      </c>
      <c r="X1221">
        <v>0.95572480000000004</v>
      </c>
      <c r="Y1221">
        <v>0.30185469999999998</v>
      </c>
      <c r="Z1221">
        <v>7.7980399999999894E-2</v>
      </c>
      <c r="AA1221">
        <v>0.95015939999999999</v>
      </c>
      <c r="AB1221">
        <v>20</v>
      </c>
      <c r="AC1221">
        <v>-4.6994999999999996</v>
      </c>
      <c r="AD1221">
        <v>-1.109666664895</v>
      </c>
      <c r="AE1221">
        <v>-13.265700000000001</v>
      </c>
      <c r="AF1221">
        <v>4.2872484931874499</v>
      </c>
      <c r="AG1221">
        <v>-1.109666664895</v>
      </c>
      <c r="AH1221">
        <v>13.3132886243451</v>
      </c>
      <c r="AI1221">
        <v>94.536231238977393</v>
      </c>
      <c r="AJ1221">
        <v>72.1500004320594</v>
      </c>
      <c r="AK1221">
        <v>14.0305207937779</v>
      </c>
      <c r="AL1221">
        <v>80.1325164539181</v>
      </c>
      <c r="AM1221">
        <v>75.947913879142405</v>
      </c>
      <c r="AN1221">
        <v>0.99999997558951903</v>
      </c>
    </row>
    <row r="1222" spans="1:40" x14ac:dyDescent="0.25">
      <c r="A1222" t="str">
        <f>"20190312172637345"</f>
        <v>20190312172637345</v>
      </c>
      <c r="B1222" t="str">
        <f>"1552382797340087"</f>
        <v>1552382797340087</v>
      </c>
      <c r="C1222" t="s">
        <v>40</v>
      </c>
      <c r="D1222">
        <v>3.524178</v>
      </c>
      <c r="E1222">
        <v>0.52464290000000002</v>
      </c>
      <c r="F1222" t="s">
        <v>41</v>
      </c>
      <c r="G1222">
        <v>-194.9393</v>
      </c>
      <c r="H1222" s="1">
        <v>-1.6316800000000001E-6</v>
      </c>
      <c r="I1222">
        <v>300.32909999999998</v>
      </c>
      <c r="J1222">
        <v>-190.20660000000001</v>
      </c>
      <c r="K1222">
        <v>1.109505</v>
      </c>
      <c r="L1222">
        <v>313.49119999999999</v>
      </c>
      <c r="M1222">
        <v>-3.0225800000000001E-2</v>
      </c>
      <c r="N1222">
        <v>0</v>
      </c>
      <c r="O1222">
        <v>-0.99945249999999997</v>
      </c>
      <c r="P1222">
        <v>-0.2702698</v>
      </c>
      <c r="Q1222">
        <v>0.15757579999999999</v>
      </c>
      <c r="R1222">
        <v>-0.94980249999999999</v>
      </c>
      <c r="S1222">
        <v>-1.0307919999999999</v>
      </c>
      <c r="T1222">
        <v>-0.2413111</v>
      </c>
      <c r="U1222">
        <v>-2.9071039999999999</v>
      </c>
      <c r="V1222">
        <v>0.2417947</v>
      </c>
      <c r="W1222">
        <v>0.1699609</v>
      </c>
      <c r="X1222">
        <v>0.95532640000000002</v>
      </c>
      <c r="Y1222">
        <v>0.30452230000000002</v>
      </c>
      <c r="Z1222">
        <v>7.8329360000000001E-2</v>
      </c>
      <c r="AA1222">
        <v>0.94927899999999998</v>
      </c>
      <c r="AB1222">
        <v>20</v>
      </c>
      <c r="AC1222">
        <v>-4.7326999999999897</v>
      </c>
      <c r="AD1222">
        <v>-1.10950663168</v>
      </c>
      <c r="AE1222">
        <v>-13.162100000000001</v>
      </c>
      <c r="AF1222">
        <v>4.3055745811661703</v>
      </c>
      <c r="AG1222">
        <v>-1.10950663168</v>
      </c>
      <c r="AH1222">
        <v>13.215989827228601</v>
      </c>
      <c r="AI1222">
        <v>94.563822191336499</v>
      </c>
      <c r="AJ1222">
        <v>71.955154386240693</v>
      </c>
      <c r="AK1222">
        <v>13.9438647638714</v>
      </c>
      <c r="AL1222">
        <v>80.214453871401901</v>
      </c>
      <c r="AM1222">
        <v>75.796620473213693</v>
      </c>
      <c r="AN1222">
        <v>0.99999995750692905</v>
      </c>
    </row>
    <row r="1223" spans="1:40" x14ac:dyDescent="0.25">
      <c r="A1223" t="str">
        <f>"20190312172637369"</f>
        <v>20190312172637369</v>
      </c>
      <c r="B1223" t="str">
        <f>"1552382797360584"</f>
        <v>1552382797360584</v>
      </c>
      <c r="C1223" t="s">
        <v>40</v>
      </c>
      <c r="D1223">
        <v>3.521938</v>
      </c>
      <c r="E1223">
        <v>0.52473040000000004</v>
      </c>
      <c r="F1223" t="s">
        <v>41</v>
      </c>
      <c r="G1223">
        <v>-194.92410000000001</v>
      </c>
      <c r="H1223" s="1">
        <v>-1.6398810000000001E-6</v>
      </c>
      <c r="I1223">
        <v>300.35770000000002</v>
      </c>
      <c r="J1223">
        <v>-190.21459999999999</v>
      </c>
      <c r="K1223">
        <v>1.10934</v>
      </c>
      <c r="L1223">
        <v>313.28410000000002</v>
      </c>
      <c r="M1223">
        <v>-3.1850209999999997E-2</v>
      </c>
      <c r="N1223">
        <v>0</v>
      </c>
      <c r="O1223">
        <v>-0.9994016</v>
      </c>
      <c r="P1223">
        <v>-0.27449879999999999</v>
      </c>
      <c r="Q1223">
        <v>0.15771350000000001</v>
      </c>
      <c r="R1223">
        <v>-0.94856580000000001</v>
      </c>
      <c r="S1223">
        <v>-1.0425869999999999</v>
      </c>
      <c r="T1223">
        <v>-0.24520810000000001</v>
      </c>
      <c r="U1223">
        <v>-2.9025880000000002</v>
      </c>
      <c r="V1223">
        <v>0.2445764</v>
      </c>
      <c r="W1223">
        <v>0.169983</v>
      </c>
      <c r="X1223">
        <v>0.95461419999999997</v>
      </c>
      <c r="Y1223">
        <v>0.30682579999999998</v>
      </c>
      <c r="Z1223">
        <v>7.9613169999999997E-2</v>
      </c>
      <c r="AA1223">
        <v>0.94843010000000005</v>
      </c>
      <c r="AB1223">
        <v>20</v>
      </c>
      <c r="AC1223">
        <v>-4.7095000000000198</v>
      </c>
      <c r="AD1223">
        <v>-1.1093416398810001</v>
      </c>
      <c r="AE1223">
        <v>-12.926399999999999</v>
      </c>
      <c r="AF1223">
        <v>4.2676162057025602</v>
      </c>
      <c r="AG1223">
        <v>-1.1093416398810001</v>
      </c>
      <c r="AH1223">
        <v>12.9854218163615</v>
      </c>
      <c r="AI1223">
        <v>94.639909175487304</v>
      </c>
      <c r="AJ1223">
        <v>71.807061176156296</v>
      </c>
      <c r="AK1223">
        <v>13.7136562120386</v>
      </c>
      <c r="AL1223">
        <v>80.213169883993501</v>
      </c>
      <c r="AM1223">
        <v>75.629670695180806</v>
      </c>
      <c r="AN1223">
        <v>1.00000005328379</v>
      </c>
    </row>
    <row r="1224" spans="1:40" x14ac:dyDescent="0.25">
      <c r="A1224" t="str">
        <f>"20190312172637400"</f>
        <v>20190312172637400</v>
      </c>
      <c r="B1224" t="str">
        <f>"1552382797390221"</f>
        <v>1552382797390221</v>
      </c>
      <c r="C1224" t="s">
        <v>40</v>
      </c>
      <c r="D1224">
        <v>3.493989</v>
      </c>
      <c r="E1224">
        <v>0.5248486</v>
      </c>
      <c r="F1224" t="s">
        <v>41</v>
      </c>
      <c r="G1224">
        <v>-195.00129999999999</v>
      </c>
      <c r="H1224" s="1">
        <v>-1.5696880000000001E-6</v>
      </c>
      <c r="I1224">
        <v>300.14620000000002</v>
      </c>
      <c r="J1224">
        <v>-190.22659999999999</v>
      </c>
      <c r="K1224">
        <v>1.1091279999999999</v>
      </c>
      <c r="L1224">
        <v>313.0077</v>
      </c>
      <c r="M1224">
        <v>-3.4513670000000003E-2</v>
      </c>
      <c r="N1224">
        <v>0</v>
      </c>
      <c r="O1224">
        <v>-0.99931340000000002</v>
      </c>
      <c r="P1224">
        <v>-0.28161550000000002</v>
      </c>
      <c r="Q1224">
        <v>0.15621280000000001</v>
      </c>
      <c r="R1224">
        <v>-0.94672610000000001</v>
      </c>
      <c r="S1224">
        <v>-1.0557859999999999</v>
      </c>
      <c r="T1224">
        <v>-0.2446866</v>
      </c>
      <c r="U1224">
        <v>-2.8978269999999999</v>
      </c>
      <c r="V1224">
        <v>0.2492846</v>
      </c>
      <c r="W1224">
        <v>0.16833489999999901</v>
      </c>
      <c r="X1224">
        <v>0.95368790000000003</v>
      </c>
      <c r="Y1224">
        <v>0.3086084</v>
      </c>
      <c r="Z1224">
        <v>7.9473399999999902E-2</v>
      </c>
      <c r="AA1224">
        <v>0.94786329999999996</v>
      </c>
      <c r="AB1224">
        <v>19</v>
      </c>
      <c r="AC1224">
        <v>-4.7746999999999904</v>
      </c>
      <c r="AD1224">
        <v>-1.1091295696879999</v>
      </c>
      <c r="AE1224">
        <v>-12.8614999999999</v>
      </c>
      <c r="AF1224">
        <v>4.2998136458960801</v>
      </c>
      <c r="AG1224">
        <v>-1.1091295696879999</v>
      </c>
      <c r="AH1224">
        <v>12.9341068718443</v>
      </c>
      <c r="AI1224">
        <v>94.652111944687107</v>
      </c>
      <c r="AJ1224">
        <v>71.6111326838477</v>
      </c>
      <c r="AK1224">
        <v>13.675148495138201</v>
      </c>
      <c r="AL1224">
        <v>80.308979579391405</v>
      </c>
      <c r="AM1224">
        <v>75.351204060966595</v>
      </c>
      <c r="AN1224">
        <v>1.0000000304807799</v>
      </c>
    </row>
    <row r="1225" spans="1:40" x14ac:dyDescent="0.25">
      <c r="A1225" t="str">
        <f>"20190312172637424"</f>
        <v>20190312172637424</v>
      </c>
      <c r="B1225" t="str">
        <f>"1552382797420459"</f>
        <v>1552382797420459</v>
      </c>
      <c r="C1225" t="s">
        <v>40</v>
      </c>
      <c r="D1225">
        <v>3.5114109999999998</v>
      </c>
      <c r="E1225">
        <v>0.52497609999999995</v>
      </c>
      <c r="F1225" t="s">
        <v>41</v>
      </c>
      <c r="G1225">
        <v>-195.02</v>
      </c>
      <c r="H1225" s="1">
        <v>-1.576622E-6</v>
      </c>
      <c r="I1225">
        <v>300.1508</v>
      </c>
      <c r="J1225">
        <v>-190.23609999999999</v>
      </c>
      <c r="K1225">
        <v>1.108986</v>
      </c>
      <c r="L1225">
        <v>312.80549999999999</v>
      </c>
      <c r="M1225">
        <v>-3.6715780000000003E-2</v>
      </c>
      <c r="N1225">
        <v>0</v>
      </c>
      <c r="O1225">
        <v>-0.99923459999999997</v>
      </c>
      <c r="P1225">
        <v>-0.28685749999999999</v>
      </c>
      <c r="Q1225">
        <v>0.1537703</v>
      </c>
      <c r="R1225">
        <v>-0.94555129999999998</v>
      </c>
      <c r="S1225">
        <v>-1.0772710000000001</v>
      </c>
      <c r="T1225">
        <v>-0.24926590000000001</v>
      </c>
      <c r="U1225">
        <v>-2.889465</v>
      </c>
      <c r="V1225">
        <v>0.25249949999999999</v>
      </c>
      <c r="W1225">
        <v>0.16580790000000001</v>
      </c>
      <c r="X1225">
        <v>0.95328469999999998</v>
      </c>
      <c r="Y1225">
        <v>0.31355090000000002</v>
      </c>
      <c r="Z1225">
        <v>8.0991770000000005E-2</v>
      </c>
      <c r="AA1225">
        <v>0.94611109999999998</v>
      </c>
      <c r="AB1225">
        <v>19</v>
      </c>
      <c r="AC1225">
        <v>-4.7839000000000098</v>
      </c>
      <c r="AD1225">
        <v>-1.1089875766220001</v>
      </c>
      <c r="AE1225">
        <v>-12.654699999999901</v>
      </c>
      <c r="AF1225">
        <v>4.2871964751059197</v>
      </c>
      <c r="AG1225">
        <v>-1.1089875766220001</v>
      </c>
      <c r="AH1225">
        <v>12.7362452307363</v>
      </c>
      <c r="AI1225">
        <v>94.717556338402503</v>
      </c>
      <c r="AJ1225">
        <v>71.396054472142396</v>
      </c>
      <c r="AK1225">
        <v>13.4841332550044</v>
      </c>
      <c r="AL1225">
        <v>80.455829658745202</v>
      </c>
      <c r="AM1225">
        <v>75.164565420610302</v>
      </c>
      <c r="AN1225">
        <v>0.99999998822837399</v>
      </c>
    </row>
    <row r="1226" spans="1:40" x14ac:dyDescent="0.25">
      <c r="A1226" t="str">
        <f>"20190312172637444"</f>
        <v>20190312172637444</v>
      </c>
      <c r="B1226" t="str">
        <f>"1552382797439979"</f>
        <v>1552382797439979</v>
      </c>
      <c r="C1226" t="s">
        <v>40</v>
      </c>
      <c r="D1226">
        <v>3.504645</v>
      </c>
      <c r="E1226">
        <v>0.52503379999999999</v>
      </c>
      <c r="F1226" t="s">
        <v>41</v>
      </c>
      <c r="G1226">
        <v>-194.9736</v>
      </c>
      <c r="H1226" s="1">
        <v>-1.6405110000000001E-6</v>
      </c>
      <c r="I1226">
        <v>300.32839999999999</v>
      </c>
      <c r="J1226">
        <v>-190.245</v>
      </c>
      <c r="K1226">
        <v>1.108884</v>
      </c>
      <c r="L1226">
        <v>312.62689999999998</v>
      </c>
      <c r="M1226">
        <v>-3.884638E-2</v>
      </c>
      <c r="N1226">
        <v>0</v>
      </c>
      <c r="O1226">
        <v>-0.99915410000000004</v>
      </c>
      <c r="P1226">
        <v>-0.292161</v>
      </c>
      <c r="Q1226">
        <v>0.15124889999999999</v>
      </c>
      <c r="R1226">
        <v>-0.9443336</v>
      </c>
      <c r="S1226">
        <v>-1.094452</v>
      </c>
      <c r="T1226">
        <v>-0.2561949</v>
      </c>
      <c r="U1226">
        <v>-2.8824160000000001</v>
      </c>
      <c r="V1226">
        <v>0.25583260000000002</v>
      </c>
      <c r="W1226">
        <v>0.163221</v>
      </c>
      <c r="X1226">
        <v>0.95284239999999998</v>
      </c>
      <c r="Y1226">
        <v>0.31715399999999999</v>
      </c>
      <c r="Z1226">
        <v>8.3270739999999996E-2</v>
      </c>
      <c r="AA1226">
        <v>0.94471119999999997</v>
      </c>
      <c r="AB1226">
        <v>19</v>
      </c>
      <c r="AC1226">
        <v>-4.7286000000000001</v>
      </c>
      <c r="AD1226">
        <v>-1.1088856405109999</v>
      </c>
      <c r="AE1226">
        <v>-12.298499999999899</v>
      </c>
      <c r="AF1226">
        <v>4.2173646314087296</v>
      </c>
      <c r="AG1226">
        <v>-1.1088856405109999</v>
      </c>
      <c r="AH1226">
        <v>12.385201787325499</v>
      </c>
      <c r="AI1226">
        <v>94.844478087967701</v>
      </c>
      <c r="AJ1226">
        <v>71.195448047265202</v>
      </c>
      <c r="AK1226">
        <v>13.130461344170699</v>
      </c>
      <c r="AL1226">
        <v>80.606095945100193</v>
      </c>
      <c r="AM1226">
        <v>74.970872374245204</v>
      </c>
      <c r="AN1226">
        <v>1.0000000266507501</v>
      </c>
    </row>
    <row r="1227" spans="1:40" x14ac:dyDescent="0.25">
      <c r="A1227" t="str">
        <f>"20190312172637469"</f>
        <v>20190312172637469</v>
      </c>
      <c r="B1227" t="str">
        <f>"1552382797459497"</f>
        <v>1552382797459497</v>
      </c>
      <c r="C1227" t="s">
        <v>40</v>
      </c>
      <c r="D1227">
        <v>3.5149879999999998</v>
      </c>
      <c r="E1227">
        <v>0.52509969999999995</v>
      </c>
      <c r="F1227" t="s">
        <v>41</v>
      </c>
      <c r="G1227">
        <v>-194.922</v>
      </c>
      <c r="H1227" s="1">
        <v>-1.7120080000000001E-6</v>
      </c>
      <c r="I1227">
        <v>300.52710000000002</v>
      </c>
      <c r="J1227">
        <v>-190.25630000000001</v>
      </c>
      <c r="K1227">
        <v>1.108789</v>
      </c>
      <c r="L1227">
        <v>312.4171</v>
      </c>
      <c r="M1227">
        <v>-4.154654E-2</v>
      </c>
      <c r="N1227">
        <v>0</v>
      </c>
      <c r="O1227">
        <v>-0.99904550000000003</v>
      </c>
      <c r="P1227">
        <v>-0.29798140000000001</v>
      </c>
      <c r="Q1227">
        <v>0.14911949999999999</v>
      </c>
      <c r="R1227">
        <v>-0.94285240000000003</v>
      </c>
      <c r="S1227">
        <v>-1.1113740000000001</v>
      </c>
      <c r="T1227">
        <v>-0.263501599999999</v>
      </c>
      <c r="U1227">
        <v>-2.8752439999999999</v>
      </c>
      <c r="V1227">
        <v>0.2591521</v>
      </c>
      <c r="W1227">
        <v>0.16102459999999999</v>
      </c>
      <c r="X1227">
        <v>0.95231889999999997</v>
      </c>
      <c r="Y1227">
        <v>0.32014569999999998</v>
      </c>
      <c r="Z1227">
        <v>8.5680480000000003E-2</v>
      </c>
      <c r="AA1227">
        <v>0.94348589999999999</v>
      </c>
      <c r="AB1227">
        <v>19</v>
      </c>
      <c r="AC1227">
        <v>-4.6656999999999798</v>
      </c>
      <c r="AD1227">
        <v>-1.1087907120080001</v>
      </c>
      <c r="AE1227">
        <v>-11.889999999999899</v>
      </c>
      <c r="AF1227">
        <v>4.1364653645073499</v>
      </c>
      <c r="AG1227">
        <v>-1.1087907120080001</v>
      </c>
      <c r="AH1227">
        <v>11.983288146177999</v>
      </c>
      <c r="AI1227">
        <v>94.998590911033503</v>
      </c>
      <c r="AJ1227">
        <v>70.956033897414301</v>
      </c>
      <c r="AK1227">
        <v>12.7255238536232</v>
      </c>
      <c r="AL1227">
        <v>80.733627432747895</v>
      </c>
      <c r="AM1227">
        <v>74.776874975792495</v>
      </c>
      <c r="AN1227">
        <v>1.0000000100183899</v>
      </c>
    </row>
    <row r="1228" spans="1:40" x14ac:dyDescent="0.25">
      <c r="A1228" t="str">
        <f>"20190312172637490"</f>
        <v>20190312172637490</v>
      </c>
      <c r="B1228" t="str">
        <f>"1552382797479994"</f>
        <v>1552382797479994</v>
      </c>
      <c r="C1228" t="s">
        <v>40</v>
      </c>
      <c r="D1228">
        <v>3.5221480000000001</v>
      </c>
      <c r="E1228">
        <v>0.52515819999999902</v>
      </c>
      <c r="F1228" t="s">
        <v>41</v>
      </c>
      <c r="G1228">
        <v>-194.8999</v>
      </c>
      <c r="H1228" s="1">
        <v>-1.7488779999999999E-6</v>
      </c>
      <c r="I1228">
        <v>300.62670000000003</v>
      </c>
      <c r="J1228">
        <v>-190.26730000000001</v>
      </c>
      <c r="K1228">
        <v>1.108708</v>
      </c>
      <c r="L1228">
        <v>312.22559999999999</v>
      </c>
      <c r="M1228">
        <v>-4.4176840000000002E-2</v>
      </c>
      <c r="N1228">
        <v>0</v>
      </c>
      <c r="O1228">
        <v>-0.9989325</v>
      </c>
      <c r="P1228">
        <v>-0.30376449999999999</v>
      </c>
      <c r="Q1228">
        <v>0.1491507</v>
      </c>
      <c r="R1228">
        <v>-0.94100039999999996</v>
      </c>
      <c r="S1228">
        <v>-1.1293789999999999</v>
      </c>
      <c r="T1228">
        <v>-0.26966820000000002</v>
      </c>
      <c r="U1228">
        <v>-2.8675229999999998</v>
      </c>
      <c r="V1228">
        <v>0.26252199999999998</v>
      </c>
      <c r="W1228">
        <v>0.1609949</v>
      </c>
      <c r="X1228">
        <v>0.95140049999999998</v>
      </c>
      <c r="Y1228">
        <v>0.32357900000000001</v>
      </c>
      <c r="Z1228">
        <v>8.7724099999999999E-2</v>
      </c>
      <c r="AA1228">
        <v>0.94212589999999996</v>
      </c>
      <c r="AB1228">
        <v>19</v>
      </c>
      <c r="AC1228">
        <v>-4.6325999999999903</v>
      </c>
      <c r="AD1228">
        <v>-1.108709748878</v>
      </c>
      <c r="AE1228">
        <v>-11.598899999999899</v>
      </c>
      <c r="AF1228">
        <v>4.0834496378814</v>
      </c>
      <c r="AG1228">
        <v>-1.108709748878</v>
      </c>
      <c r="AH1228">
        <v>11.700050644489</v>
      </c>
      <c r="AI1228">
        <v>95.112561348707501</v>
      </c>
      <c r="AJ1228">
        <v>70.760436635916093</v>
      </c>
      <c r="AK1228">
        <v>12.4416632061786</v>
      </c>
      <c r="AL1228">
        <v>80.7353518452109</v>
      </c>
      <c r="AM1228">
        <v>74.574106546294303</v>
      </c>
      <c r="AN1228">
        <v>1.0000000348551199</v>
      </c>
    </row>
    <row r="1229" spans="1:40" x14ac:dyDescent="0.25">
      <c r="A1229" t="str">
        <f>"20190312172637511"</f>
        <v>20190312172637511</v>
      </c>
      <c r="B1229" t="str">
        <f>"1552382797500490"</f>
        <v>1552382797500490</v>
      </c>
      <c r="C1229" t="s">
        <v>40</v>
      </c>
      <c r="D1229">
        <v>3.5574300000000001</v>
      </c>
      <c r="E1229">
        <v>0.52521709999999899</v>
      </c>
      <c r="F1229" t="s">
        <v>41</v>
      </c>
      <c r="G1229">
        <v>-194.99950000000001</v>
      </c>
      <c r="H1229" s="1">
        <v>-1.6912119999999999E-6</v>
      </c>
      <c r="I1229">
        <v>300.43049999999999</v>
      </c>
      <c r="J1229">
        <v>-190.27799999999999</v>
      </c>
      <c r="K1229">
        <v>1.108662</v>
      </c>
      <c r="L1229">
        <v>312.048</v>
      </c>
      <c r="M1229">
        <v>-4.6697160000000001E-2</v>
      </c>
      <c r="N1229">
        <v>0</v>
      </c>
      <c r="O1229">
        <v>-0.99881759999999997</v>
      </c>
      <c r="P1229">
        <v>-0.3094113</v>
      </c>
      <c r="Q1229">
        <v>0.1491034</v>
      </c>
      <c r="R1229">
        <v>-0.93916619999999995</v>
      </c>
      <c r="S1229">
        <v>-1.1475519999999999</v>
      </c>
      <c r="T1229">
        <v>-0.26885700000000001</v>
      </c>
      <c r="U1229">
        <v>-2.8602599999999998</v>
      </c>
      <c r="V1229">
        <v>0.26585799999999998</v>
      </c>
      <c r="W1229">
        <v>0.1608985</v>
      </c>
      <c r="X1229">
        <v>0.95048999999999995</v>
      </c>
      <c r="Y1229">
        <v>0.32718079999999999</v>
      </c>
      <c r="Z1229">
        <v>8.7497740000000004E-2</v>
      </c>
      <c r="AA1229">
        <v>0.94090220000000002</v>
      </c>
      <c r="AB1229">
        <v>19</v>
      </c>
      <c r="AC1229">
        <v>-4.7215000000000096</v>
      </c>
      <c r="AD1229">
        <v>-1.108663691212</v>
      </c>
      <c r="AE1229">
        <v>-11.6175</v>
      </c>
      <c r="AF1229">
        <v>4.1414251215524098</v>
      </c>
      <c r="AG1229">
        <v>-1.108663691212</v>
      </c>
      <c r="AH1229">
        <v>11.7336149339034</v>
      </c>
      <c r="AI1229">
        <v>95.0915595598034</v>
      </c>
      <c r="AJ1229">
        <v>70.559317053439898</v>
      </c>
      <c r="AK1229">
        <v>12.4923279109523</v>
      </c>
      <c r="AL1229">
        <v>80.740947994089595</v>
      </c>
      <c r="AM1229">
        <v>74.373361416010397</v>
      </c>
      <c r="AN1229">
        <v>1.00000002178312</v>
      </c>
    </row>
    <row r="1230" spans="1:40" x14ac:dyDescent="0.25">
      <c r="A1230" t="str">
        <f>"20190312172637534"</f>
        <v>20190312172637534</v>
      </c>
      <c r="B1230" t="str">
        <f>"1552382797529770"</f>
        <v>1552382797529770</v>
      </c>
      <c r="C1230" t="s">
        <v>40</v>
      </c>
      <c r="D1230">
        <v>3.5258319999999999</v>
      </c>
      <c r="E1230">
        <v>0.52526519999999899</v>
      </c>
      <c r="F1230" t="s">
        <v>41</v>
      </c>
      <c r="G1230">
        <v>-195.0882</v>
      </c>
      <c r="H1230" s="1">
        <v>-1.6447629999999999E-6</v>
      </c>
      <c r="I1230">
        <v>300.26729999999998</v>
      </c>
      <c r="J1230">
        <v>-190.29069999999999</v>
      </c>
      <c r="K1230">
        <v>1.108643</v>
      </c>
      <c r="L1230">
        <v>311.84930000000003</v>
      </c>
      <c r="M1230">
        <v>-4.9586779999999997E-2</v>
      </c>
      <c r="N1230">
        <v>0</v>
      </c>
      <c r="O1230">
        <v>-0.99867850000000002</v>
      </c>
      <c r="P1230">
        <v>-0.31443080000000001</v>
      </c>
      <c r="Q1230">
        <v>0.14962809999999999</v>
      </c>
      <c r="R1230">
        <v>-0.93741379999999996</v>
      </c>
      <c r="S1230">
        <v>-1.1649780000000001</v>
      </c>
      <c r="T1230">
        <v>-0.26850889999999999</v>
      </c>
      <c r="U1230">
        <v>-2.85318</v>
      </c>
      <c r="V1230">
        <v>0.26821440000000002</v>
      </c>
      <c r="W1230">
        <v>0.1613869</v>
      </c>
      <c r="X1230">
        <v>0.9497449</v>
      </c>
      <c r="Y1230">
        <v>0.33019159999999997</v>
      </c>
      <c r="Z1230">
        <v>8.7423329999999994E-2</v>
      </c>
      <c r="AA1230">
        <v>0.93985669999999999</v>
      </c>
      <c r="AB1230">
        <v>19</v>
      </c>
      <c r="AC1230">
        <v>-4.7975000000000101</v>
      </c>
      <c r="AD1230">
        <v>-1.1086446447630001</v>
      </c>
      <c r="AE1230">
        <v>-11.582000000000001</v>
      </c>
      <c r="AF1230">
        <v>4.1845048555701601</v>
      </c>
      <c r="AG1230">
        <v>-1.1086446447630001</v>
      </c>
      <c r="AH1230">
        <v>11.714051511645099</v>
      </c>
      <c r="AI1230">
        <v>95.093109535908397</v>
      </c>
      <c r="AJ1230">
        <v>70.342206733750203</v>
      </c>
      <c r="AK1230">
        <v>12.488321610693999</v>
      </c>
      <c r="AL1230">
        <v>80.712594311278806</v>
      </c>
      <c r="AM1230">
        <v>74.229960473004596</v>
      </c>
      <c r="AN1230">
        <v>1.0000000354674801</v>
      </c>
    </row>
    <row r="1231" spans="1:40" x14ac:dyDescent="0.25">
      <c r="A1231" t="str">
        <f>"20190312172637558"</f>
        <v>20190312172637558</v>
      </c>
      <c r="B1231" t="str">
        <f>"1552382797550265"</f>
        <v>1552382797550265</v>
      </c>
      <c r="C1231" t="s">
        <v>40</v>
      </c>
      <c r="D1231">
        <v>3.5328710000000001</v>
      </c>
      <c r="E1231">
        <v>0.52527690000000005</v>
      </c>
      <c r="F1231" t="s">
        <v>41</v>
      </c>
      <c r="G1231">
        <v>-195.2131</v>
      </c>
      <c r="H1231" s="1">
        <v>-1.557213E-6</v>
      </c>
      <c r="I1231">
        <v>299.98570000000001</v>
      </c>
      <c r="J1231">
        <v>-190.30430000000001</v>
      </c>
      <c r="K1231">
        <v>1.108643</v>
      </c>
      <c r="L1231">
        <v>311.64760000000001</v>
      </c>
      <c r="M1231">
        <v>-5.2586540000000001E-2</v>
      </c>
      <c r="N1231">
        <v>0</v>
      </c>
      <c r="O1231">
        <v>-0.998525</v>
      </c>
      <c r="P1231">
        <v>-0.31885259999999999</v>
      </c>
      <c r="Q1231">
        <v>0.1504277</v>
      </c>
      <c r="R1231">
        <v>-0.93579080000000003</v>
      </c>
      <c r="S1231">
        <v>-1.1811069999999999</v>
      </c>
      <c r="T1231">
        <v>-0.26601529999999901</v>
      </c>
      <c r="U1231">
        <v>-2.846619</v>
      </c>
      <c r="V1231">
        <v>0.26986329999999997</v>
      </c>
      <c r="W1231">
        <v>0.16216520000000001</v>
      </c>
      <c r="X1231">
        <v>0.94914500000000002</v>
      </c>
      <c r="Y1231">
        <v>0.3326925</v>
      </c>
      <c r="Z1231">
        <v>8.6652399999999893E-2</v>
      </c>
      <c r="AA1231">
        <v>0.93904580000000004</v>
      </c>
      <c r="AB1231">
        <v>19</v>
      </c>
      <c r="AC1231">
        <v>-4.9087999999999798</v>
      </c>
      <c r="AD1231">
        <v>-1.1086445572129999</v>
      </c>
      <c r="AE1231">
        <v>-11.661899999999999</v>
      </c>
      <c r="AF1231">
        <v>4.2560175172297798</v>
      </c>
      <c r="AG1231">
        <v>-1.1086445572129999</v>
      </c>
      <c r="AH1231">
        <v>11.8132290013963</v>
      </c>
      <c r="AI1231">
        <v>95.045696469360195</v>
      </c>
      <c r="AJ1231">
        <v>70.187148626342406</v>
      </c>
      <c r="AK1231">
        <v>12.605362243927599</v>
      </c>
      <c r="AL1231">
        <v>80.667405349933802</v>
      </c>
      <c r="AM1231">
        <v>74.128355088529503</v>
      </c>
      <c r="AN1231">
        <v>0.99999999190146505</v>
      </c>
    </row>
    <row r="1232" spans="1:40" x14ac:dyDescent="0.25">
      <c r="A1232" t="str">
        <f>"20190312172637582"</f>
        <v>20190312172637582</v>
      </c>
      <c r="B1232" t="str">
        <f>"1552382797569786"</f>
        <v>1552382797569786</v>
      </c>
      <c r="C1232" t="s">
        <v>40</v>
      </c>
      <c r="D1232">
        <v>3.5134979999999998</v>
      </c>
      <c r="E1232">
        <v>0.52531680000000003</v>
      </c>
      <c r="F1232" t="s">
        <v>41</v>
      </c>
      <c r="G1232">
        <v>-195.351</v>
      </c>
      <c r="H1232" s="1">
        <v>-1.4547400000000001E-6</v>
      </c>
      <c r="I1232">
        <v>299.66129999999998</v>
      </c>
      <c r="J1232">
        <v>-190.31899999999999</v>
      </c>
      <c r="K1232">
        <v>1.108646</v>
      </c>
      <c r="L1232">
        <v>311.43990000000002</v>
      </c>
      <c r="M1232">
        <v>-5.5741520000000003E-2</v>
      </c>
      <c r="N1232">
        <v>0</v>
      </c>
      <c r="O1232">
        <v>-0.99835379999999996</v>
      </c>
      <c r="P1232">
        <v>-0.32351210000000002</v>
      </c>
      <c r="Q1232">
        <v>0.1513999</v>
      </c>
      <c r="R1232">
        <v>-0.93403349999999996</v>
      </c>
      <c r="S1232">
        <v>-1.1959839999999999</v>
      </c>
      <c r="T1232">
        <v>-0.26272849999999998</v>
      </c>
      <c r="U1232">
        <v>-2.8405459999999998</v>
      </c>
      <c r="V1232">
        <v>0.27161160000000001</v>
      </c>
      <c r="W1232">
        <v>0.16311989999999901</v>
      </c>
      <c r="X1232">
        <v>0.94848250000000001</v>
      </c>
      <c r="Y1232">
        <v>0.334644</v>
      </c>
      <c r="Z1232">
        <v>8.5622309999999993E-2</v>
      </c>
      <c r="AA1232">
        <v>0.93844669999999997</v>
      </c>
      <c r="AB1232">
        <v>19</v>
      </c>
      <c r="AC1232">
        <v>-5.0319999999999796</v>
      </c>
      <c r="AD1232">
        <v>-1.10864745473999</v>
      </c>
      <c r="AE1232">
        <v>-11.778600000000001</v>
      </c>
      <c r="AF1232">
        <v>4.3350798617750401</v>
      </c>
      <c r="AG1232">
        <v>-1.10864745473999</v>
      </c>
      <c r="AH1232">
        <v>11.9512626016494</v>
      </c>
      <c r="AI1232">
        <v>94.983836189936099</v>
      </c>
      <c r="AJ1232">
        <v>70.062779593060398</v>
      </c>
      <c r="AK1232">
        <v>12.761453457990299</v>
      </c>
      <c r="AL1232">
        <v>80.611967058464799</v>
      </c>
      <c r="AM1232">
        <v>74.020173671423393</v>
      </c>
      <c r="AN1232">
        <v>1.0000000079184099</v>
      </c>
    </row>
    <row r="1233" spans="1:40" x14ac:dyDescent="0.25">
      <c r="A1233" t="str">
        <f>"20190312172637624"</f>
        <v>20190312172637624</v>
      </c>
      <c r="B1233" t="str">
        <f>"1552382797620537"</f>
        <v>1552382797620537</v>
      </c>
      <c r="C1233" t="s">
        <v>40</v>
      </c>
      <c r="D1233">
        <v>3.561267</v>
      </c>
      <c r="E1233">
        <v>0.52539239999999998</v>
      </c>
      <c r="F1233" t="s">
        <v>47</v>
      </c>
      <c r="G1233">
        <v>-195.499</v>
      </c>
      <c r="H1233" s="1">
        <v>5.3314459999999998E-8</v>
      </c>
      <c r="I1233">
        <v>299.31360000000001</v>
      </c>
      <c r="J1233">
        <v>-190.34630000000001</v>
      </c>
      <c r="K1233">
        <v>1.1086240000000001</v>
      </c>
      <c r="L1233">
        <v>311.07900000000001</v>
      </c>
      <c r="M1233">
        <v>-6.1364229999999999E-2</v>
      </c>
      <c r="N1233">
        <v>0</v>
      </c>
      <c r="O1233">
        <v>-0.99802389999999996</v>
      </c>
      <c r="P1233">
        <v>-0.33136729999999998</v>
      </c>
      <c r="Q1233">
        <v>0.14990479999999901</v>
      </c>
      <c r="R1233">
        <v>-0.93151740000000005</v>
      </c>
      <c r="S1233">
        <v>-1.210785</v>
      </c>
      <c r="T1233">
        <v>-0.25913789999999998</v>
      </c>
      <c r="U1233">
        <v>-2.8344420000000001</v>
      </c>
      <c r="V1233">
        <v>0.2742445</v>
      </c>
      <c r="W1233">
        <v>0.16160389999999999</v>
      </c>
      <c r="X1233">
        <v>0.94798419999999906</v>
      </c>
      <c r="Y1233">
        <v>0.33425060000000001</v>
      </c>
      <c r="Z1233">
        <v>8.4508710000000001E-2</v>
      </c>
      <c r="AA1233">
        <v>0.93868790000000002</v>
      </c>
      <c r="AB1233">
        <v>19</v>
      </c>
      <c r="AC1233">
        <v>-5.1527000000000003</v>
      </c>
      <c r="AD1233">
        <v>-1.1086239466855401</v>
      </c>
      <c r="AE1233">
        <v>-11.7654</v>
      </c>
      <c r="AF1233">
        <v>4.3882549040070096</v>
      </c>
      <c r="AG1233">
        <v>-1.1086239466855401</v>
      </c>
      <c r="AH1233">
        <v>11.970266402139501</v>
      </c>
      <c r="AI1233">
        <v>94.969701395928297</v>
      </c>
      <c r="AJ1233">
        <v>69.867252541245094</v>
      </c>
      <c r="AK1233">
        <v>12.7973866822839</v>
      </c>
      <c r="AL1233">
        <v>80.699994995841706</v>
      </c>
      <c r="AM1233">
        <v>73.865252370336506</v>
      </c>
      <c r="AN1233">
        <v>0.999999954862548</v>
      </c>
    </row>
    <row r="1234" spans="1:40" x14ac:dyDescent="0.25">
      <c r="A1234" t="str">
        <f>"20190312172637645"</f>
        <v>20190312172637645</v>
      </c>
      <c r="B1234" t="str">
        <f>"1552382797640058"</f>
        <v>1552382797640058</v>
      </c>
      <c r="C1234" t="s">
        <v>40</v>
      </c>
      <c r="D1234">
        <v>3.5525419999999999</v>
      </c>
      <c r="E1234">
        <v>0.52538280000000004</v>
      </c>
      <c r="F1234" t="s">
        <v>47</v>
      </c>
      <c r="G1234">
        <v>-195.54640000000001</v>
      </c>
      <c r="H1234" s="1">
        <v>7.63064699999999E-8</v>
      </c>
      <c r="I1234">
        <v>299.18299999999999</v>
      </c>
      <c r="J1234">
        <v>-190.3612</v>
      </c>
      <c r="K1234">
        <v>1.1086039999999999</v>
      </c>
      <c r="L1234">
        <v>310.89400000000001</v>
      </c>
      <c r="M1234">
        <v>-6.4304319999999998E-2</v>
      </c>
      <c r="N1234">
        <v>0</v>
      </c>
      <c r="O1234">
        <v>-0.99783880000000003</v>
      </c>
      <c r="P1234">
        <v>-0.33440560000000003</v>
      </c>
      <c r="Q1234">
        <v>0.14782339999999999</v>
      </c>
      <c r="R1234">
        <v>-0.93076380000000003</v>
      </c>
      <c r="S1234">
        <v>-1.234375</v>
      </c>
      <c r="T1234">
        <v>-0.26316070000000003</v>
      </c>
      <c r="U1234">
        <v>-2.8238219999999998</v>
      </c>
      <c r="V1234">
        <v>0.27451940000000002</v>
      </c>
      <c r="W1234">
        <v>0.1595203</v>
      </c>
      <c r="X1234">
        <v>0.94825749999999998</v>
      </c>
      <c r="Y1234">
        <v>0.33930270000000001</v>
      </c>
      <c r="Z1234">
        <v>8.5864679999999999E-2</v>
      </c>
      <c r="AA1234">
        <v>0.93675019999999998</v>
      </c>
      <c r="AB1234">
        <v>19</v>
      </c>
      <c r="AC1234">
        <v>-5.1852</v>
      </c>
      <c r="AD1234">
        <v>-1.1086039236935299</v>
      </c>
      <c r="AE1234">
        <v>-11.711</v>
      </c>
      <c r="AF1234">
        <v>4.3884498195100603</v>
      </c>
      <c r="AG1234">
        <v>-1.1086039236935299</v>
      </c>
      <c r="AH1234">
        <v>11.930828719814</v>
      </c>
      <c r="AI1234">
        <v>94.983985579064196</v>
      </c>
      <c r="AJ1234">
        <v>69.805246870740106</v>
      </c>
      <c r="AK1234">
        <v>12.7605708500648</v>
      </c>
      <c r="AL1234">
        <v>80.820945775078499</v>
      </c>
      <c r="AM1234">
        <v>73.854333925265493</v>
      </c>
      <c r="AN1234">
        <v>0.99999995669734898</v>
      </c>
    </row>
    <row r="1235" spans="1:40" x14ac:dyDescent="0.25">
      <c r="A1235" t="str">
        <f>"20190312172637669"</f>
        <v>20190312172637669</v>
      </c>
      <c r="B1235" t="str">
        <f>"1552382797659578"</f>
        <v>1552382797659578</v>
      </c>
      <c r="C1235" t="s">
        <v>40</v>
      </c>
      <c r="D1235">
        <v>3.5478909999999999</v>
      </c>
      <c r="E1235">
        <v>0.52537389999999995</v>
      </c>
      <c r="F1235" t="s">
        <v>47</v>
      </c>
      <c r="G1235">
        <v>-195.4949</v>
      </c>
      <c r="H1235" s="1">
        <v>6.185201E-8</v>
      </c>
      <c r="I1235">
        <v>299.26510000000002</v>
      </c>
      <c r="J1235">
        <v>-190.37780000000001</v>
      </c>
      <c r="K1235">
        <v>1.10859</v>
      </c>
      <c r="L1235">
        <v>310.69549999999998</v>
      </c>
      <c r="M1235">
        <v>-6.7504270000000005E-2</v>
      </c>
      <c r="N1235">
        <v>0</v>
      </c>
      <c r="O1235">
        <v>-0.9976275</v>
      </c>
      <c r="P1235">
        <v>-0.33748230000000001</v>
      </c>
      <c r="Q1235">
        <v>0.1462637</v>
      </c>
      <c r="R1235">
        <v>-0.92989940000000004</v>
      </c>
      <c r="S1235">
        <v>-1.24437</v>
      </c>
      <c r="T1235">
        <v>-0.2687174</v>
      </c>
      <c r="U1235">
        <v>-2.818756</v>
      </c>
      <c r="V1235">
        <v>0.27459609999999901</v>
      </c>
      <c r="W1235">
        <v>0.15795680000000001</v>
      </c>
      <c r="X1235">
        <v>0.94849709999999998</v>
      </c>
      <c r="Y1235">
        <v>0.33962369999999997</v>
      </c>
      <c r="Z1235">
        <v>8.7713230000000003E-2</v>
      </c>
      <c r="AA1235">
        <v>0.93646260000000003</v>
      </c>
      <c r="AB1235">
        <v>19</v>
      </c>
      <c r="AC1235">
        <v>-5.11709999999999</v>
      </c>
      <c r="AD1235">
        <v>-1.10858993814799</v>
      </c>
      <c r="AE1235">
        <v>-11.430399999999899</v>
      </c>
      <c r="AF1235">
        <v>4.3000596371492099</v>
      </c>
      <c r="AG1235">
        <v>-1.10858993814799</v>
      </c>
      <c r="AH1235">
        <v>11.658425783190101</v>
      </c>
      <c r="AI1235">
        <v>95.098101017050197</v>
      </c>
      <c r="AJ1235">
        <v>69.754155927858207</v>
      </c>
      <c r="AK1235">
        <v>12.4755110627243</v>
      </c>
      <c r="AL1235">
        <v>80.911679103253803</v>
      </c>
      <c r="AM1235">
        <v>73.853925043839297</v>
      </c>
      <c r="AN1235">
        <v>1.00000005875492</v>
      </c>
    </row>
    <row r="1236" spans="1:40" x14ac:dyDescent="0.25">
      <c r="A1236" t="str">
        <f>"20190312172637690"</f>
        <v>20190312172637690</v>
      </c>
      <c r="B1236" t="str">
        <f>"1552382797680074"</f>
        <v>1552382797680074</v>
      </c>
      <c r="C1236" t="s">
        <v>40</v>
      </c>
      <c r="D1236">
        <v>3.820875</v>
      </c>
      <c r="E1236">
        <v>0.52536450000000001</v>
      </c>
      <c r="F1236" t="s">
        <v>47</v>
      </c>
      <c r="G1236">
        <v>-195.47470000000001</v>
      </c>
      <c r="H1236" s="1">
        <v>6.2239590000000002E-8</v>
      </c>
      <c r="I1236">
        <v>299.2629</v>
      </c>
      <c r="J1236">
        <v>-190.39410000000001</v>
      </c>
      <c r="K1236">
        <v>1.1085799999999999</v>
      </c>
      <c r="L1236">
        <v>310.50889999999998</v>
      </c>
      <c r="M1236">
        <v>-7.0568199999999998E-2</v>
      </c>
      <c r="N1236">
        <v>0</v>
      </c>
      <c r="O1236">
        <v>-0.99741539999999995</v>
      </c>
      <c r="P1236">
        <v>-0.340207599999999</v>
      </c>
      <c r="Q1236">
        <v>0.1457301</v>
      </c>
      <c r="R1236">
        <v>-0.92898959999999997</v>
      </c>
      <c r="S1236">
        <v>-1.25444</v>
      </c>
      <c r="T1236">
        <v>-0.27284599999999998</v>
      </c>
      <c r="U1236">
        <v>-2.8137819999999998</v>
      </c>
      <c r="V1236">
        <v>0.27446029999999999</v>
      </c>
      <c r="W1236">
        <v>0.15741769999999999</v>
      </c>
      <c r="X1236">
        <v>0.94862599999999997</v>
      </c>
      <c r="Y1236">
        <v>0.34009780000000001</v>
      </c>
      <c r="Z1236">
        <v>8.9094220000000002E-2</v>
      </c>
      <c r="AA1236">
        <v>0.93616010000000005</v>
      </c>
      <c r="AB1236">
        <v>19</v>
      </c>
      <c r="AC1236">
        <v>-5.0805999999999996</v>
      </c>
      <c r="AD1236">
        <v>-1.10857993776041</v>
      </c>
      <c r="AE1236">
        <v>-11.245999999999899</v>
      </c>
      <c r="AF1236">
        <v>4.2400317467901303</v>
      </c>
      <c r="AG1236">
        <v>-1.10857993776041</v>
      </c>
      <c r="AH1236">
        <v>11.4838443187503</v>
      </c>
      <c r="AI1236">
        <v>95.174504721910793</v>
      </c>
      <c r="AJ1236">
        <v>69.734991536177404</v>
      </c>
      <c r="AK1236">
        <v>12.291684141300101</v>
      </c>
      <c r="AL1236">
        <v>80.942958403330806</v>
      </c>
      <c r="AM1236">
        <v>73.863572986339904</v>
      </c>
      <c r="AN1236">
        <v>1.0000000382126799</v>
      </c>
    </row>
    <row r="1237" spans="1:40" x14ac:dyDescent="0.25">
      <c r="A1237" t="str">
        <f>"20190312172637716"</f>
        <v>20190312172637716</v>
      </c>
      <c r="B1237" t="str">
        <f>"1552382797710330"</f>
        <v>1552382797710330</v>
      </c>
      <c r="C1237" t="s">
        <v>40</v>
      </c>
      <c r="D1237">
        <v>3.5502229999999999</v>
      </c>
      <c r="E1237">
        <v>0.52532889999999999</v>
      </c>
      <c r="F1237" t="s">
        <v>47</v>
      </c>
      <c r="G1237">
        <v>-195.4992</v>
      </c>
      <c r="H1237" s="1">
        <v>8.23543999999999E-8</v>
      </c>
      <c r="I1237">
        <v>299.14870000000002</v>
      </c>
      <c r="J1237">
        <v>-190.4136</v>
      </c>
      <c r="K1237">
        <v>1.1085640000000001</v>
      </c>
      <c r="L1237">
        <v>310.29509999999999</v>
      </c>
      <c r="M1237">
        <v>-7.4138389999999998E-2</v>
      </c>
      <c r="N1237">
        <v>0</v>
      </c>
      <c r="O1237">
        <v>-0.9971563</v>
      </c>
      <c r="P1237">
        <v>-0.34315250000000003</v>
      </c>
      <c r="Q1237">
        <v>0.1467627</v>
      </c>
      <c r="R1237">
        <v>-0.92774299999999998</v>
      </c>
      <c r="S1237">
        <v>-1.2627109999999999</v>
      </c>
      <c r="T1237">
        <v>-0.27420040000000001</v>
      </c>
      <c r="U1237">
        <v>-2.8098749999999999</v>
      </c>
      <c r="V1237">
        <v>0.27409309999999998</v>
      </c>
      <c r="W1237">
        <v>0.15844420000000001</v>
      </c>
      <c r="X1237">
        <v>0.94856130000000005</v>
      </c>
      <c r="Y1237">
        <v>0.33949469999999998</v>
      </c>
      <c r="Z1237">
        <v>8.9569040000000003E-2</v>
      </c>
      <c r="AA1237">
        <v>0.93633370000000005</v>
      </c>
      <c r="AB1237">
        <v>19</v>
      </c>
      <c r="AC1237">
        <v>-5.0856000000000003</v>
      </c>
      <c r="AD1237">
        <v>-1.1085639176455999</v>
      </c>
      <c r="AE1237">
        <v>-11.1463999999999</v>
      </c>
      <c r="AF1237">
        <v>4.2106771733121304</v>
      </c>
      <c r="AG1237">
        <v>-1.1085639176455999</v>
      </c>
      <c r="AH1237">
        <v>11.399464344875399</v>
      </c>
      <c r="AI1237">
        <v>95.212255790827101</v>
      </c>
      <c r="AJ1237">
        <v>69.727030369945595</v>
      </c>
      <c r="AK1237">
        <v>12.202725251657601</v>
      </c>
      <c r="AL1237">
        <v>80.883397051117697</v>
      </c>
      <c r="AM1237">
        <v>73.882998215370407</v>
      </c>
      <c r="AN1237">
        <v>1.0000000659194599</v>
      </c>
    </row>
    <row r="1238" spans="1:40" x14ac:dyDescent="0.25">
      <c r="A1238" t="str">
        <f>"20190312172637758"</f>
        <v>20190312172637758</v>
      </c>
      <c r="B1238" t="str">
        <f>"1552382797750346"</f>
        <v>1552382797750346</v>
      </c>
      <c r="C1238" t="s">
        <v>40</v>
      </c>
      <c r="D1238">
        <v>3.5371649999999999</v>
      </c>
      <c r="E1238">
        <v>0.52530429999999995</v>
      </c>
      <c r="F1238" t="s">
        <v>47</v>
      </c>
      <c r="G1238">
        <v>-195.62200000000001</v>
      </c>
      <c r="H1238" s="1">
        <v>1.433601E-7</v>
      </c>
      <c r="I1238">
        <v>298.8023</v>
      </c>
      <c r="J1238">
        <v>-190.44810000000001</v>
      </c>
      <c r="K1238">
        <v>1.1085579999999999</v>
      </c>
      <c r="L1238">
        <v>309.9359</v>
      </c>
      <c r="M1238">
        <v>-8.0272109999999994E-2</v>
      </c>
      <c r="N1238">
        <v>0</v>
      </c>
      <c r="O1238">
        <v>-0.9966815</v>
      </c>
      <c r="P1238">
        <v>-0.34623969999999998</v>
      </c>
      <c r="Q1238">
        <v>0.1497628</v>
      </c>
      <c r="R1238">
        <v>-0.92611529999999997</v>
      </c>
      <c r="S1238">
        <v>-1.2716829999999999</v>
      </c>
      <c r="T1238">
        <v>-0.27066800000000002</v>
      </c>
      <c r="U1238">
        <v>-2.8060909999999999</v>
      </c>
      <c r="V1238">
        <v>0.27146730000000002</v>
      </c>
      <c r="W1238">
        <v>0.16144810000000001</v>
      </c>
      <c r="X1238">
        <v>0.94880980000000004</v>
      </c>
      <c r="Y1238">
        <v>0.33670899999999998</v>
      </c>
      <c r="Z1238">
        <v>8.8459049999999997E-2</v>
      </c>
      <c r="AA1238">
        <v>0.93744439999999996</v>
      </c>
      <c r="AB1238">
        <v>19</v>
      </c>
      <c r="AC1238">
        <v>-5.1738999999999997</v>
      </c>
      <c r="AD1238">
        <v>-1.1085578566398999</v>
      </c>
      <c r="AE1238">
        <v>-11.133599999999999</v>
      </c>
      <c r="AF1238">
        <v>4.2289224172644699</v>
      </c>
      <c r="AG1238">
        <v>-1.1085578566398999</v>
      </c>
      <c r="AH1238">
        <v>11.4199141520533</v>
      </c>
      <c r="AI1238">
        <v>95.201369266065001</v>
      </c>
      <c r="AJ1238">
        <v>69.679843148174399</v>
      </c>
      <c r="AK1238">
        <v>12.2281284166069</v>
      </c>
      <c r="AL1238">
        <v>80.709040978953993</v>
      </c>
      <c r="AM1238">
        <v>74.033458915654606</v>
      </c>
      <c r="AN1238">
        <v>1.0000000102694699</v>
      </c>
    </row>
    <row r="1239" spans="1:40" x14ac:dyDescent="0.25">
      <c r="A1239" t="str">
        <f>"20190312172637782"</f>
        <v>20190312172637782</v>
      </c>
      <c r="B1239" t="str">
        <f>"1552382797769868"</f>
        <v>1552382797769868</v>
      </c>
      <c r="C1239" t="s">
        <v>40</v>
      </c>
      <c r="D1239">
        <v>3.5623459999999998</v>
      </c>
      <c r="E1239">
        <v>0.52531219999999901</v>
      </c>
      <c r="F1239" t="s">
        <v>47</v>
      </c>
      <c r="G1239">
        <v>-195.9128</v>
      </c>
      <c r="H1239" s="1">
        <v>2.8366030000000002E-7</v>
      </c>
      <c r="I1239">
        <v>298.00569999999999</v>
      </c>
      <c r="J1239">
        <v>-190.46899999999999</v>
      </c>
      <c r="K1239">
        <v>1.1085510000000001</v>
      </c>
      <c r="L1239">
        <v>309.73020000000002</v>
      </c>
      <c r="M1239">
        <v>-8.3861630000000006E-2</v>
      </c>
      <c r="N1239">
        <v>0</v>
      </c>
      <c r="O1239">
        <v>-0.99638570000000004</v>
      </c>
      <c r="P1239">
        <v>-0.34861530000000002</v>
      </c>
      <c r="Q1239">
        <v>0.1505234</v>
      </c>
      <c r="R1239">
        <v>-0.92510020000000004</v>
      </c>
      <c r="S1239">
        <v>-1.28331</v>
      </c>
      <c r="T1239">
        <v>-0.26033210000000001</v>
      </c>
      <c r="U1239">
        <v>-2.801666</v>
      </c>
      <c r="V1239">
        <v>0.27050210000000002</v>
      </c>
      <c r="W1239">
        <v>0.16220470000000001</v>
      </c>
      <c r="X1239">
        <v>0.94895640000000003</v>
      </c>
      <c r="Y1239">
        <v>0.33721780000000001</v>
      </c>
      <c r="Z1239">
        <v>8.5113159999999993E-2</v>
      </c>
      <c r="AA1239">
        <v>0.9375713</v>
      </c>
      <c r="AB1239">
        <v>19</v>
      </c>
      <c r="AC1239">
        <v>-5.44379999999998</v>
      </c>
      <c r="AD1239">
        <v>-1.1085507163396999</v>
      </c>
      <c r="AE1239">
        <v>-11.724500000000001</v>
      </c>
      <c r="AF1239">
        <v>4.4088707825383704</v>
      </c>
      <c r="AG1239">
        <v>-1.1085507163396999</v>
      </c>
      <c r="AH1239">
        <v>12.0511325952238</v>
      </c>
      <c r="AI1239">
        <v>94.937382817987697</v>
      </c>
      <c r="AJ1239">
        <v>69.905104960165005</v>
      </c>
      <c r="AK1239">
        <v>12.880094063922201</v>
      </c>
      <c r="AL1239">
        <v>80.665111876739203</v>
      </c>
      <c r="AM1239">
        <v>74.089682480895704</v>
      </c>
      <c r="AN1239">
        <v>0.99999999995373001</v>
      </c>
    </row>
    <row r="1240" spans="1:40" x14ac:dyDescent="0.25">
      <c r="A1240" t="str">
        <f>"20190312172637824"</f>
        <v>20190312172637824</v>
      </c>
      <c r="B1240" t="str">
        <f>"1552382797819642"</f>
        <v>1552382797819642</v>
      </c>
      <c r="C1240" t="s">
        <v>40</v>
      </c>
      <c r="D1240">
        <v>3.5392410000000001</v>
      </c>
      <c r="E1240">
        <v>0.52606009999999903</v>
      </c>
      <c r="F1240" t="s">
        <v>47</v>
      </c>
      <c r="G1240">
        <v>-196.02350000000001</v>
      </c>
      <c r="H1240" s="1">
        <v>3.385057E-7</v>
      </c>
      <c r="I1240">
        <v>297.69420000000002</v>
      </c>
      <c r="J1240">
        <v>-190.50729999999999</v>
      </c>
      <c r="K1240">
        <v>1.1085179999999999</v>
      </c>
      <c r="L1240">
        <v>309.37240000000003</v>
      </c>
      <c r="M1240">
        <v>-9.0265490000000004E-2</v>
      </c>
      <c r="N1240">
        <v>0</v>
      </c>
      <c r="O1240">
        <v>-0.99582610000000005</v>
      </c>
      <c r="P1240">
        <v>-0.35389549999999997</v>
      </c>
      <c r="Q1240">
        <v>0.1517935</v>
      </c>
      <c r="R1240">
        <v>-0.92288539999999997</v>
      </c>
      <c r="S1240">
        <v>-1.291336</v>
      </c>
      <c r="T1240">
        <v>-0.25772309999999998</v>
      </c>
      <c r="U1240">
        <v>-2.798187</v>
      </c>
      <c r="V1240">
        <v>0.26986490000000002</v>
      </c>
      <c r="W1240">
        <v>0.16344819999999999</v>
      </c>
      <c r="X1240">
        <v>0.9489244</v>
      </c>
      <c r="Y1240">
        <v>0.33385629999999999</v>
      </c>
      <c r="Z1240">
        <v>8.4293399999999893E-2</v>
      </c>
      <c r="AA1240">
        <v>0.93884749999999995</v>
      </c>
      <c r="AB1240">
        <v>19</v>
      </c>
      <c r="AC1240">
        <v>-5.51620000000002</v>
      </c>
      <c r="AD1240">
        <v>-1.1085176614943</v>
      </c>
      <c r="AE1240">
        <v>-11.6782</v>
      </c>
      <c r="AF1240">
        <v>4.4069782673538302</v>
      </c>
      <c r="AG1240">
        <v>-1.1085176614943</v>
      </c>
      <c r="AH1240">
        <v>12.039793584319399</v>
      </c>
      <c r="AI1240">
        <v>94.941565837247296</v>
      </c>
      <c r="AJ1240">
        <v>69.895637576027198</v>
      </c>
      <c r="AK1240">
        <v>12.8688343841931</v>
      </c>
      <c r="AL1240">
        <v>80.592900397693299</v>
      </c>
      <c r="AM1240">
        <v>74.124761911306805</v>
      </c>
      <c r="AN1240">
        <v>0.99999994762530298</v>
      </c>
    </row>
    <row r="1241" spans="1:40" x14ac:dyDescent="0.25">
      <c r="A1241" t="str">
        <f>"20190312172637846"</f>
        <v>20190312172637846</v>
      </c>
      <c r="B1241" t="str">
        <f>"1552382797840138"</f>
        <v>1552382797840138</v>
      </c>
      <c r="C1241" t="s">
        <v>40</v>
      </c>
      <c r="D1241">
        <v>3.6749749999999999</v>
      </c>
      <c r="E1241">
        <v>0.52631260000000002</v>
      </c>
      <c r="F1241" t="s">
        <v>47</v>
      </c>
      <c r="G1241">
        <v>-196.2962</v>
      </c>
      <c r="H1241" s="1">
        <v>4.4492139999999999E-7</v>
      </c>
      <c r="I1241">
        <v>297.08999999999997</v>
      </c>
      <c r="J1241">
        <v>-190.5291</v>
      </c>
      <c r="K1241">
        <v>1.1084940000000001</v>
      </c>
      <c r="L1241">
        <v>309.17910000000001</v>
      </c>
      <c r="M1241">
        <v>-9.3817230000000001E-2</v>
      </c>
      <c r="N1241">
        <v>0</v>
      </c>
      <c r="O1241">
        <v>-0.99549770000000004</v>
      </c>
      <c r="P1241">
        <v>-0.35799160000000002</v>
      </c>
      <c r="Q1241">
        <v>0.1526323</v>
      </c>
      <c r="R1241">
        <v>-0.92116540000000002</v>
      </c>
      <c r="S1241">
        <v>-1.3141020000000001</v>
      </c>
      <c r="T1241">
        <v>-0.25163730000000001</v>
      </c>
      <c r="U1241">
        <v>-2.7881469999999999</v>
      </c>
      <c r="V1241">
        <v>0.270727</v>
      </c>
      <c r="W1241">
        <v>0.1642583</v>
      </c>
      <c r="X1241">
        <v>0.94853900000000002</v>
      </c>
      <c r="Y1241">
        <v>0.33813949999999998</v>
      </c>
      <c r="Z1241">
        <v>8.2343269999999996E-2</v>
      </c>
      <c r="AA1241">
        <v>0.93748659999999995</v>
      </c>
      <c r="AB1241">
        <v>19</v>
      </c>
      <c r="AC1241">
        <v>-5.7670999999999903</v>
      </c>
      <c r="AD1241">
        <v>-1.1084935550785999</v>
      </c>
      <c r="AE1241">
        <v>-12.0891</v>
      </c>
      <c r="AF1241">
        <v>4.5760481629237004</v>
      </c>
      <c r="AG1241">
        <v>-1.1084935550785999</v>
      </c>
      <c r="AH1241">
        <v>12.491319680216099</v>
      </c>
      <c r="AI1241">
        <v>94.763211131916194</v>
      </c>
      <c r="AJ1241">
        <v>69.880285324730906</v>
      </c>
      <c r="AK1241">
        <v>13.3492337646923</v>
      </c>
      <c r="AL1241">
        <v>80.545850302754502</v>
      </c>
      <c r="AM1241">
        <v>74.070473434851806</v>
      </c>
      <c r="AN1241">
        <v>1.0000000660844399</v>
      </c>
    </row>
    <row r="1242" spans="1:40" x14ac:dyDescent="0.25">
      <c r="A1242" t="str">
        <f>"20190312172637869"</f>
        <v>20190312172637869</v>
      </c>
      <c r="B1242" t="str">
        <f>"1552382797859660"</f>
        <v>1552382797859660</v>
      </c>
      <c r="C1242" t="s">
        <v>40</v>
      </c>
      <c r="D1242">
        <v>3.5761479999999999</v>
      </c>
      <c r="E1242">
        <v>0.52651769999999998</v>
      </c>
      <c r="F1242" t="s">
        <v>47</v>
      </c>
      <c r="G1242">
        <v>-196.45060000000001</v>
      </c>
      <c r="H1242" s="1">
        <v>4.9968529999999999E-7</v>
      </c>
      <c r="I1242">
        <v>296.77910000000003</v>
      </c>
      <c r="J1242">
        <v>-190.5504</v>
      </c>
      <c r="K1242">
        <v>1.1084639999999999</v>
      </c>
      <c r="L1242">
        <v>308.99630000000002</v>
      </c>
      <c r="M1242">
        <v>-9.7243179999999999E-2</v>
      </c>
      <c r="N1242">
        <v>0</v>
      </c>
      <c r="O1242">
        <v>-0.99516890000000002</v>
      </c>
      <c r="P1242">
        <v>-0.36233140000000003</v>
      </c>
      <c r="Q1242">
        <v>0.15299879999999999</v>
      </c>
      <c r="R1242">
        <v>-0.91940650000000002</v>
      </c>
      <c r="S1242">
        <v>-1.3283689999999999</v>
      </c>
      <c r="T1242">
        <v>-0.24866550000000001</v>
      </c>
      <c r="U1242">
        <v>-2.7816770000000002</v>
      </c>
      <c r="V1242">
        <v>0.27195809999999998</v>
      </c>
      <c r="W1242">
        <v>0.16459309999999999</v>
      </c>
      <c r="X1242">
        <v>0.94812859999999999</v>
      </c>
      <c r="Y1242">
        <v>0.33969870000000002</v>
      </c>
      <c r="Z1242">
        <v>8.1398349999999994E-2</v>
      </c>
      <c r="AA1242">
        <v>0.93700539999999999</v>
      </c>
      <c r="AB1242">
        <v>19</v>
      </c>
      <c r="AC1242">
        <v>-5.9002000000000097</v>
      </c>
      <c r="AD1242">
        <v>-1.1084635003147001</v>
      </c>
      <c r="AE1242">
        <v>-12.217199999999901</v>
      </c>
      <c r="AF1242">
        <v>4.6530247438915602</v>
      </c>
      <c r="AG1242">
        <v>-1.1084635003147001</v>
      </c>
      <c r="AH1242">
        <v>12.6486640200756</v>
      </c>
      <c r="AI1242">
        <v>94.701784006645894</v>
      </c>
      <c r="AJ1242">
        <v>69.803101927661601</v>
      </c>
      <c r="AK1242">
        <v>13.5228707045343</v>
      </c>
      <c r="AL1242">
        <v>80.526402064655798</v>
      </c>
      <c r="AM1242">
        <v>73.995164512742406</v>
      </c>
      <c r="AN1242">
        <v>0.999999969430589</v>
      </c>
    </row>
    <row r="1243" spans="1:40" x14ac:dyDescent="0.25">
      <c r="A1243" t="str">
        <f>"20190312172637892"</f>
        <v>20190312172637892</v>
      </c>
      <c r="B1243" t="str">
        <f>"1552382797880154"</f>
        <v>1552382797880154</v>
      </c>
      <c r="C1243" t="s">
        <v>40</v>
      </c>
      <c r="D1243">
        <v>3.573242</v>
      </c>
      <c r="E1243">
        <v>0.52672890000000006</v>
      </c>
      <c r="F1243" t="s">
        <v>47</v>
      </c>
      <c r="G1243">
        <v>-196.5635</v>
      </c>
      <c r="H1243" s="1">
        <v>5.375323E-7</v>
      </c>
      <c r="I1243">
        <v>296.5641</v>
      </c>
      <c r="J1243">
        <v>-190.57390000000001</v>
      </c>
      <c r="K1243">
        <v>1.1084400000000001</v>
      </c>
      <c r="L1243">
        <v>308.80189999999999</v>
      </c>
      <c r="M1243">
        <v>-0.10095369999999999</v>
      </c>
      <c r="N1243">
        <v>0</v>
      </c>
      <c r="O1243">
        <v>-0.99479910000000005</v>
      </c>
      <c r="P1243">
        <v>-0.36688680000000001</v>
      </c>
      <c r="Q1243">
        <v>0.1529537</v>
      </c>
      <c r="R1243">
        <v>-0.91760520000000001</v>
      </c>
      <c r="S1243">
        <v>-1.342285</v>
      </c>
      <c r="T1243">
        <v>-0.24743770000000001</v>
      </c>
      <c r="U1243">
        <v>-2.7751769999999998</v>
      </c>
      <c r="V1243">
        <v>0.27313799999999999</v>
      </c>
      <c r="W1243">
        <v>0.16451979999999999</v>
      </c>
      <c r="X1243">
        <v>0.94780209999999998</v>
      </c>
      <c r="Y1243">
        <v>0.34087430000000002</v>
      </c>
      <c r="Z1243">
        <v>8.1022399999999994E-2</v>
      </c>
      <c r="AA1243">
        <v>0.93661090000000002</v>
      </c>
      <c r="AB1243">
        <v>19</v>
      </c>
      <c r="AC1243">
        <v>-5.9895999999999896</v>
      </c>
      <c r="AD1243">
        <v>-1.1084394624677001</v>
      </c>
      <c r="AE1243">
        <v>-12.237799999999901</v>
      </c>
      <c r="AF1243">
        <v>4.6923738310071998</v>
      </c>
      <c r="AG1243">
        <v>-1.1084394624677001</v>
      </c>
      <c r="AH1243">
        <v>12.6959674771899</v>
      </c>
      <c r="AI1243">
        <v>94.681626686901694</v>
      </c>
      <c r="AJ1243">
        <v>69.7159088644962</v>
      </c>
      <c r="AK1243">
        <v>13.580670101056899</v>
      </c>
      <c r="AL1243">
        <v>80.530659954206996</v>
      </c>
      <c r="AM1243">
        <v>73.924054770020106</v>
      </c>
      <c r="AN1243">
        <v>0.99999997620022396</v>
      </c>
    </row>
    <row r="1244" spans="1:40" x14ac:dyDescent="0.25">
      <c r="A1244" t="str">
        <f>"20190312172637915"</f>
        <v>20190312172637915</v>
      </c>
      <c r="B1244" t="str">
        <f>"1552382797910410"</f>
        <v>1552382797910410</v>
      </c>
      <c r="C1244" t="s">
        <v>40</v>
      </c>
      <c r="D1244">
        <v>3.618296</v>
      </c>
      <c r="E1244">
        <v>0.52701540000000002</v>
      </c>
      <c r="F1244" t="s">
        <v>47</v>
      </c>
      <c r="G1244">
        <v>-196.66130000000001</v>
      </c>
      <c r="H1244" s="1">
        <v>5.6811600000000003E-7</v>
      </c>
      <c r="I1244">
        <v>296.39049999999997</v>
      </c>
      <c r="J1244">
        <v>-190.5976</v>
      </c>
      <c r="K1244">
        <v>1.108433</v>
      </c>
      <c r="L1244">
        <v>308.61160000000001</v>
      </c>
      <c r="M1244">
        <v>-0.10463459999999999</v>
      </c>
      <c r="N1244">
        <v>0</v>
      </c>
      <c r="O1244">
        <v>-0.99441889999999999</v>
      </c>
      <c r="P1244">
        <v>-0.37050460000000002</v>
      </c>
      <c r="Q1244">
        <v>0.15354010000000001</v>
      </c>
      <c r="R1244">
        <v>-0.91605230000000004</v>
      </c>
      <c r="S1244">
        <v>-1.357513</v>
      </c>
      <c r="T1244">
        <v>-0.24718680000000001</v>
      </c>
      <c r="U1244">
        <v>-2.767792</v>
      </c>
      <c r="V1244">
        <v>0.27339079999999999</v>
      </c>
      <c r="W1244">
        <v>0.16509170000000001</v>
      </c>
      <c r="X1244">
        <v>0.94762979999999997</v>
      </c>
      <c r="Y1244">
        <v>0.34254050000000003</v>
      </c>
      <c r="Z1244">
        <v>8.0969150000000004E-2</v>
      </c>
      <c r="AA1244">
        <v>0.93600749999999999</v>
      </c>
      <c r="AB1244">
        <v>19</v>
      </c>
      <c r="AC1244">
        <v>-6.0637000000000096</v>
      </c>
      <c r="AD1244">
        <v>-1.108432431884</v>
      </c>
      <c r="AE1244">
        <v>-12.2211</v>
      </c>
      <c r="AF1244">
        <v>4.7203821918692697</v>
      </c>
      <c r="AG1244">
        <v>-1.108432431884</v>
      </c>
      <c r="AH1244">
        <v>12.704668762152799</v>
      </c>
      <c r="AI1244">
        <v>94.675444438653997</v>
      </c>
      <c r="AJ1244">
        <v>69.617599700693503</v>
      </c>
      <c r="AK1244">
        <v>13.598501345714199</v>
      </c>
      <c r="AL1244">
        <v>80.497438628758999</v>
      </c>
      <c r="AM1244">
        <v>73.907171446685794</v>
      </c>
      <c r="AN1244">
        <v>1.00000001839078</v>
      </c>
    </row>
    <row r="1245" spans="1:40" x14ac:dyDescent="0.25">
      <c r="A1245" t="str">
        <f>"20190312172637936"</f>
        <v>20190312172637936</v>
      </c>
      <c r="B1245" t="str">
        <f>"1552382797929930"</f>
        <v>1552382797929930</v>
      </c>
      <c r="C1245" t="s">
        <v>40</v>
      </c>
      <c r="D1245">
        <v>3.6133449999999998</v>
      </c>
      <c r="E1245">
        <v>0.52719459999999996</v>
      </c>
      <c r="F1245" t="s">
        <v>47</v>
      </c>
      <c r="G1245">
        <v>-196.7945</v>
      </c>
      <c r="H1245" s="1">
        <v>6.2862859999999999E-7</v>
      </c>
      <c r="I1245">
        <v>296.12270000000001</v>
      </c>
      <c r="J1245">
        <v>-190.62139999999999</v>
      </c>
      <c r="K1245">
        <v>1.1084339999999999</v>
      </c>
      <c r="L1245">
        <v>308.42649999999998</v>
      </c>
      <c r="M1245">
        <v>-0.1082432</v>
      </c>
      <c r="N1245">
        <v>0</v>
      </c>
      <c r="O1245">
        <v>-0.99403229999999998</v>
      </c>
      <c r="P1245">
        <v>-0.37439499999999998</v>
      </c>
      <c r="Q1245">
        <v>0.1545618</v>
      </c>
      <c r="R1245">
        <v>-0.91429700000000003</v>
      </c>
      <c r="S1245">
        <v>-1.3703459999999901</v>
      </c>
      <c r="T1245">
        <v>-0.24511540000000001</v>
      </c>
      <c r="U1245">
        <v>-2.761749</v>
      </c>
      <c r="V1245">
        <v>0.27400570000000002</v>
      </c>
      <c r="W1245">
        <v>0.16610320000000001</v>
      </c>
      <c r="X1245">
        <v>0.94727530000000004</v>
      </c>
      <c r="Y1245">
        <v>0.34346139999999997</v>
      </c>
      <c r="Z1245">
        <v>8.0312599999999998E-2</v>
      </c>
      <c r="AA1245">
        <v>0.93572650000000002</v>
      </c>
      <c r="AB1245">
        <v>19</v>
      </c>
      <c r="AC1245">
        <v>-6.1730999999999998</v>
      </c>
      <c r="AD1245">
        <v>-1.1084333713714001</v>
      </c>
      <c r="AE1245">
        <v>-12.303799999999899</v>
      </c>
      <c r="AF1245">
        <v>4.7739448170767904</v>
      </c>
      <c r="AG1245">
        <v>-1.1084333713714001</v>
      </c>
      <c r="AH1245">
        <v>12.816651414343999</v>
      </c>
      <c r="AI1245">
        <v>94.633369948228093</v>
      </c>
      <c r="AJ1245">
        <v>69.570649859732796</v>
      </c>
      <c r="AK1245">
        <v>13.7217246413149</v>
      </c>
      <c r="AL1245">
        <v>80.438671883718499</v>
      </c>
      <c r="AM1245">
        <v>73.867134468158199</v>
      </c>
      <c r="AN1245">
        <v>0.99999994533640801</v>
      </c>
    </row>
    <row r="1246" spans="1:40" x14ac:dyDescent="0.25">
      <c r="A1246" t="str">
        <f>"20190312172637959"</f>
        <v>20190312172637959</v>
      </c>
      <c r="B1246" t="str">
        <f>"1552382797950426"</f>
        <v>1552382797950426</v>
      </c>
      <c r="C1246" t="s">
        <v>40</v>
      </c>
      <c r="D1246">
        <v>3.592514</v>
      </c>
      <c r="E1246">
        <v>0.52737389999999995</v>
      </c>
      <c r="F1246" t="s">
        <v>47</v>
      </c>
      <c r="G1246">
        <v>-196.96039999999999</v>
      </c>
      <c r="H1246" s="1">
        <v>7.2841189999999995E-7</v>
      </c>
      <c r="I1246">
        <v>295.79880000000003</v>
      </c>
      <c r="J1246">
        <v>-190.64580000000001</v>
      </c>
      <c r="K1246">
        <v>1.1084480000000001</v>
      </c>
      <c r="L1246">
        <v>308.2423</v>
      </c>
      <c r="M1246">
        <v>-0.1118514</v>
      </c>
      <c r="N1246">
        <v>0</v>
      </c>
      <c r="O1246">
        <v>-0.99363299999999999</v>
      </c>
      <c r="P1246">
        <v>-0.37761040000000001</v>
      </c>
      <c r="Q1246">
        <v>0.15514429999999901</v>
      </c>
      <c r="R1246">
        <v>-0.91287510000000005</v>
      </c>
      <c r="S1246">
        <v>-1.3833009999999999</v>
      </c>
      <c r="T1246">
        <v>-0.24188470000000001</v>
      </c>
      <c r="U1246">
        <v>-2.755646</v>
      </c>
      <c r="V1246">
        <v>0.2739106</v>
      </c>
      <c r="W1246">
        <v>0.16669</v>
      </c>
      <c r="X1246">
        <v>0.94719980000000004</v>
      </c>
      <c r="Y1246">
        <v>0.34443550000000001</v>
      </c>
      <c r="Z1246">
        <v>7.9275810000000002E-2</v>
      </c>
      <c r="AA1246">
        <v>0.93545690000000004</v>
      </c>
      <c r="AB1246">
        <v>19</v>
      </c>
      <c r="AC1246">
        <v>-6.31459999999998</v>
      </c>
      <c r="AD1246">
        <v>-1.1084472715881</v>
      </c>
      <c r="AE1246">
        <v>-12.443499999999901</v>
      </c>
      <c r="AF1246">
        <v>4.8523994386420597</v>
      </c>
      <c r="AG1246">
        <v>-1.1084472715881</v>
      </c>
      <c r="AH1246">
        <v>12.989797487700301</v>
      </c>
      <c r="AI1246">
        <v>94.570328668069394</v>
      </c>
      <c r="AJ1246">
        <v>69.516591243365895</v>
      </c>
      <c r="AK1246">
        <v>13.910761102020601</v>
      </c>
      <c r="AL1246">
        <v>80.404576069540894</v>
      </c>
      <c r="AM1246">
        <v>73.871223935486299</v>
      </c>
      <c r="AN1246">
        <v>1.0000000170062</v>
      </c>
    </row>
    <row r="1247" spans="1:40" x14ac:dyDescent="0.25">
      <c r="A1247" t="str">
        <f>"20190312172637984"</f>
        <v>20190312172637984</v>
      </c>
      <c r="B1247" t="str">
        <f>"1552382797969946"</f>
        <v>1552382797969946</v>
      </c>
      <c r="C1247" t="s">
        <v>40</v>
      </c>
      <c r="D1247">
        <v>3.5933310000000001</v>
      </c>
      <c r="E1247">
        <v>0.5275436</v>
      </c>
      <c r="F1247" t="s">
        <v>47</v>
      </c>
      <c r="G1247">
        <v>-197.10400000000001</v>
      </c>
      <c r="H1247" s="1">
        <v>8.1643859999999997E-7</v>
      </c>
      <c r="I1247">
        <v>295.5138</v>
      </c>
      <c r="J1247">
        <v>-190.6739</v>
      </c>
      <c r="K1247">
        <v>1.108465</v>
      </c>
      <c r="L1247">
        <v>308.03620000000001</v>
      </c>
      <c r="M1247">
        <v>-0.1158883</v>
      </c>
      <c r="N1247">
        <v>0</v>
      </c>
      <c r="O1247">
        <v>-0.9931702</v>
      </c>
      <c r="P1247">
        <v>-0.38130989999999998</v>
      </c>
      <c r="Q1247">
        <v>0.1548851</v>
      </c>
      <c r="R1247">
        <v>-0.91138010000000003</v>
      </c>
      <c r="S1247">
        <v>-1.3952329999999999</v>
      </c>
      <c r="T1247">
        <v>-0.23947180000000001</v>
      </c>
      <c r="U1247">
        <v>-2.749908</v>
      </c>
      <c r="V1247">
        <v>0.273889099999999</v>
      </c>
      <c r="W1247">
        <v>0.16644310000000001</v>
      </c>
      <c r="X1247">
        <v>0.94724940000000002</v>
      </c>
      <c r="Y1247">
        <v>0.34466590000000003</v>
      </c>
      <c r="Z1247">
        <v>7.8504299999999999E-2</v>
      </c>
      <c r="AA1247">
        <v>0.93543710000000002</v>
      </c>
      <c r="AB1247">
        <v>19</v>
      </c>
      <c r="AC1247">
        <v>-6.4301000000000004</v>
      </c>
      <c r="AD1247">
        <v>-1.1084641835614</v>
      </c>
      <c r="AE1247">
        <v>-12.522399999999999</v>
      </c>
      <c r="AF1247">
        <v>4.9050211762123999</v>
      </c>
      <c r="AG1247">
        <v>-1.1084641835614</v>
      </c>
      <c r="AH1247">
        <v>13.102012737588399</v>
      </c>
      <c r="AI1247">
        <v>94.530208320851202</v>
      </c>
      <c r="AJ1247">
        <v>69.475528169847607</v>
      </c>
      <c r="AK1247">
        <v>14.0339111925813</v>
      </c>
      <c r="AL1247">
        <v>80.418922510861904</v>
      </c>
      <c r="AM1247">
        <v>73.873224680354497</v>
      </c>
      <c r="AN1247">
        <v>0.99999998521838995</v>
      </c>
    </row>
    <row r="1248" spans="1:40" x14ac:dyDescent="0.25">
      <c r="A1248" t="str">
        <f>"20190312172638026"</f>
        <v>20190312172638026</v>
      </c>
      <c r="B1248" t="str">
        <f>"1552382798019723"</f>
        <v>1552382798019723</v>
      </c>
      <c r="C1248" t="s">
        <v>40</v>
      </c>
      <c r="D1248">
        <v>3.5951900000000001</v>
      </c>
      <c r="E1248">
        <v>0.52797799999999995</v>
      </c>
      <c r="F1248" t="s">
        <v>47</v>
      </c>
      <c r="G1248">
        <v>-197.1925</v>
      </c>
      <c r="H1248" s="1">
        <v>8.669617E-7</v>
      </c>
      <c r="I1248">
        <v>295.34859999999998</v>
      </c>
      <c r="J1248">
        <v>-190.7244</v>
      </c>
      <c r="K1248">
        <v>1.108495</v>
      </c>
      <c r="L1248">
        <v>307.68049999999999</v>
      </c>
      <c r="M1248">
        <v>-0.122806399999999</v>
      </c>
      <c r="N1248">
        <v>0</v>
      </c>
      <c r="O1248">
        <v>-0.99233879999999997</v>
      </c>
      <c r="P1248">
        <v>-0.38793179999999999</v>
      </c>
      <c r="Q1248">
        <v>0.15434890000000001</v>
      </c>
      <c r="R1248">
        <v>-0.90867290000000001</v>
      </c>
      <c r="S1248">
        <v>-1.409195</v>
      </c>
      <c r="T1248">
        <v>-0.23963010000000001</v>
      </c>
      <c r="U1248">
        <v>-2.7428279999999998</v>
      </c>
      <c r="V1248">
        <v>0.27414959999999899</v>
      </c>
      <c r="W1248">
        <v>0.165932</v>
      </c>
      <c r="X1248">
        <v>0.94726370000000004</v>
      </c>
      <c r="Y1248">
        <v>0.34287289999999998</v>
      </c>
      <c r="Z1248">
        <v>7.8576649999999998E-2</v>
      </c>
      <c r="AA1248">
        <v>0.93608970000000002</v>
      </c>
      <c r="AB1248">
        <v>19</v>
      </c>
      <c r="AC1248">
        <v>-6.46809999999999</v>
      </c>
      <c r="AD1248">
        <v>-1.1084941330383</v>
      </c>
      <c r="AE1248">
        <v>-12.331899999999999</v>
      </c>
      <c r="AF1248">
        <v>4.87367447701358</v>
      </c>
      <c r="AG1248">
        <v>-1.1084941330383</v>
      </c>
      <c r="AH1248">
        <v>12.9508693450591</v>
      </c>
      <c r="AI1248">
        <v>94.580052854439202</v>
      </c>
      <c r="AJ1248">
        <v>69.377664557415599</v>
      </c>
      <c r="AK1248">
        <v>13.881875915872</v>
      </c>
      <c r="AL1248">
        <v>80.448619241242</v>
      </c>
      <c r="AM1248">
        <v>73.858915674859105</v>
      </c>
      <c r="AN1248">
        <v>0.99999997457092404</v>
      </c>
    </row>
    <row r="1249" spans="1:40" x14ac:dyDescent="0.25">
      <c r="A1249" t="str">
        <f>"20190312172638049"</f>
        <v>20190312172638049</v>
      </c>
      <c r="B1249" t="str">
        <f>"1552382798040218"</f>
        <v>1552382798040218</v>
      </c>
      <c r="C1249" t="s">
        <v>40</v>
      </c>
      <c r="D1249">
        <v>3.6351610000000001</v>
      </c>
      <c r="E1249">
        <v>0.52813549999999998</v>
      </c>
      <c r="F1249" t="s">
        <v>47</v>
      </c>
      <c r="G1249">
        <v>-197.3126</v>
      </c>
      <c r="H1249" s="1">
        <v>9.3083059999999998E-7</v>
      </c>
      <c r="I1249">
        <v>295.13780000000003</v>
      </c>
      <c r="J1249">
        <v>-190.75110000000001</v>
      </c>
      <c r="K1249">
        <v>1.108514</v>
      </c>
      <c r="L1249">
        <v>307.49900000000002</v>
      </c>
      <c r="M1249">
        <v>-0.12629939999999901</v>
      </c>
      <c r="N1249">
        <v>0</v>
      </c>
      <c r="O1249">
        <v>-0.99190020000000001</v>
      </c>
      <c r="P1249">
        <v>-0.39195020000000003</v>
      </c>
      <c r="Q1249">
        <v>0.15346019999999999</v>
      </c>
      <c r="R1249">
        <v>-0.9070973</v>
      </c>
      <c r="S1249">
        <v>-1.4340820000000001</v>
      </c>
      <c r="T1249">
        <v>-0.24129030000000001</v>
      </c>
      <c r="U1249">
        <v>-2.7302249999999999</v>
      </c>
      <c r="V1249">
        <v>0.27497680000000002</v>
      </c>
      <c r="W1249">
        <v>0.16505220000000001</v>
      </c>
      <c r="X1249">
        <v>0.94717770000000001</v>
      </c>
      <c r="Y1249">
        <v>0.3480087</v>
      </c>
      <c r="Z1249">
        <v>7.9152490000000006E-2</v>
      </c>
      <c r="AA1249">
        <v>0.93414390000000003</v>
      </c>
      <c r="AB1249">
        <v>19</v>
      </c>
      <c r="AC1249">
        <v>-6.5614999999999899</v>
      </c>
      <c r="AD1249">
        <v>-1.1085130691693901</v>
      </c>
      <c r="AE1249">
        <v>-12.361199999999901</v>
      </c>
      <c r="AF1249">
        <v>4.9167441817647601</v>
      </c>
      <c r="AG1249">
        <v>-1.1085130691693901</v>
      </c>
      <c r="AH1249">
        <v>13.0093623529617</v>
      </c>
      <c r="AI1249">
        <v>94.557198612147602</v>
      </c>
      <c r="AJ1249">
        <v>69.296470703320793</v>
      </c>
      <c r="AK1249">
        <v>13.9515835446767</v>
      </c>
      <c r="AL1249">
        <v>80.499733424831206</v>
      </c>
      <c r="AM1249">
        <v>73.811366929324606</v>
      </c>
      <c r="AN1249">
        <v>1.0000000323201801</v>
      </c>
    </row>
    <row r="1250" spans="1:40" x14ac:dyDescent="0.25">
      <c r="A1250" t="str">
        <f>"20190312172638070"</f>
        <v>20190312172638070</v>
      </c>
      <c r="B1250" t="str">
        <f>"1552382798059739"</f>
        <v>1552382798059739</v>
      </c>
      <c r="C1250" t="s">
        <v>40</v>
      </c>
      <c r="D1250">
        <v>3.6672210000000001</v>
      </c>
      <c r="E1250">
        <v>0.52828260000000005</v>
      </c>
      <c r="F1250" t="s">
        <v>47</v>
      </c>
      <c r="G1250">
        <v>-197.31950000000001</v>
      </c>
      <c r="H1250" s="1">
        <v>9.3131140000000004E-7</v>
      </c>
      <c r="I1250">
        <v>295.13470000000001</v>
      </c>
      <c r="J1250">
        <v>-190.7792</v>
      </c>
      <c r="K1250">
        <v>1.1085339999999999</v>
      </c>
      <c r="L1250">
        <v>307.3125</v>
      </c>
      <c r="M1250">
        <v>-0.1298532</v>
      </c>
      <c r="N1250">
        <v>0</v>
      </c>
      <c r="O1250">
        <v>-0.99144109999999996</v>
      </c>
      <c r="P1250">
        <v>-0.3954433</v>
      </c>
      <c r="Q1250">
        <v>0.15237120000000001</v>
      </c>
      <c r="R1250">
        <v>-0.90576369999999895</v>
      </c>
      <c r="S1250">
        <v>-1.4468080000000001</v>
      </c>
      <c r="T1250">
        <v>-0.24417</v>
      </c>
      <c r="U1250">
        <v>-2.7234500000000001</v>
      </c>
      <c r="V1250">
        <v>0.27519399999999999</v>
      </c>
      <c r="W1250">
        <v>0.16397879999999901</v>
      </c>
      <c r="X1250">
        <v>0.94730099999999995</v>
      </c>
      <c r="Y1250">
        <v>0.3489816</v>
      </c>
      <c r="Z1250">
        <v>8.0112459999999996E-2</v>
      </c>
      <c r="AA1250">
        <v>0.93369899999999995</v>
      </c>
      <c r="AB1250">
        <v>19</v>
      </c>
      <c r="AC1250">
        <v>-6.5403000000000002</v>
      </c>
      <c r="AD1250">
        <v>-1.1085330686885999</v>
      </c>
      <c r="AE1250">
        <v>-12.1777999999999</v>
      </c>
      <c r="AF1250">
        <v>4.87211013100426</v>
      </c>
      <c r="AG1250">
        <v>-1.1085330686885999</v>
      </c>
      <c r="AH1250">
        <v>12.841444467215499</v>
      </c>
      <c r="AI1250">
        <v>94.614385088241704</v>
      </c>
      <c r="AJ1250">
        <v>69.222996887768701</v>
      </c>
      <c r="AK1250">
        <v>13.7792960160376</v>
      </c>
      <c r="AL1250">
        <v>80.562083822436193</v>
      </c>
      <c r="AM1250">
        <v>73.801248368086505</v>
      </c>
      <c r="AN1250">
        <v>0.99999998454321903</v>
      </c>
    </row>
    <row r="1251" spans="1:40" x14ac:dyDescent="0.25">
      <c r="A1251" t="str">
        <f>"20190312172638095"</f>
        <v>20190312172638095</v>
      </c>
      <c r="B1251" t="str">
        <f>"1552382798089994"</f>
        <v>1552382798089994</v>
      </c>
      <c r="C1251" t="s">
        <v>40</v>
      </c>
      <c r="D1251">
        <v>3.6334689999999998</v>
      </c>
      <c r="E1251">
        <v>0.52848130000000004</v>
      </c>
      <c r="F1251" t="s">
        <v>47</v>
      </c>
      <c r="G1251">
        <v>-197.3175</v>
      </c>
      <c r="H1251" s="1">
        <v>9.3164099999999997E-7</v>
      </c>
      <c r="I1251">
        <v>295.1343</v>
      </c>
      <c r="J1251">
        <v>-190.8098</v>
      </c>
      <c r="K1251">
        <v>1.1085609999999999</v>
      </c>
      <c r="L1251">
        <v>307.1146</v>
      </c>
      <c r="M1251">
        <v>-0.13359299999999999</v>
      </c>
      <c r="N1251">
        <v>0</v>
      </c>
      <c r="O1251">
        <v>-0.9909443</v>
      </c>
      <c r="P1251">
        <v>-0.3999567</v>
      </c>
      <c r="Q1251">
        <v>0.1520821</v>
      </c>
      <c r="R1251">
        <v>-0.90382859999999998</v>
      </c>
      <c r="S1251">
        <v>-1.4586330000000001</v>
      </c>
      <c r="T1251">
        <v>-0.24730489999999999</v>
      </c>
      <c r="U1251">
        <v>-2.7168580000000002</v>
      </c>
      <c r="V1251">
        <v>0.27632869999999998</v>
      </c>
      <c r="W1251">
        <v>0.16369710000000001</v>
      </c>
      <c r="X1251">
        <v>0.94701939999999996</v>
      </c>
      <c r="Y1251">
        <v>0.34950589999999998</v>
      </c>
      <c r="Z1251">
        <v>8.1158480000000005E-2</v>
      </c>
      <c r="AA1251">
        <v>0.93341260000000004</v>
      </c>
      <c r="AB1251">
        <v>19</v>
      </c>
      <c r="AC1251">
        <v>-6.5076999999999998</v>
      </c>
      <c r="AD1251">
        <v>-1.108560068359</v>
      </c>
      <c r="AE1251">
        <v>-11.9803</v>
      </c>
      <c r="AF1251">
        <v>4.8168798505403601</v>
      </c>
      <c r="AG1251">
        <v>-1.108560068359</v>
      </c>
      <c r="AH1251">
        <v>12.658663679755801</v>
      </c>
      <c r="AI1251">
        <v>94.679107309478994</v>
      </c>
      <c r="AJ1251">
        <v>69.167158700082595</v>
      </c>
      <c r="AK1251">
        <v>13.589444546296599</v>
      </c>
      <c r="AL1251">
        <v>80.5784454430176</v>
      </c>
      <c r="AM1251">
        <v>73.733399606907696</v>
      </c>
      <c r="AN1251">
        <v>1.0000000174842201</v>
      </c>
    </row>
    <row r="1252" spans="1:40" x14ac:dyDescent="0.25">
      <c r="A1252" t="str">
        <f>"20190312172638140"</f>
        <v>20190312172638140</v>
      </c>
      <c r="B1252" t="str">
        <f>"1552382798130011"</f>
        <v>1552382798130011</v>
      </c>
      <c r="C1252" t="s">
        <v>40</v>
      </c>
      <c r="D1252">
        <v>3.6929699999999999</v>
      </c>
      <c r="E1252">
        <v>0.52870379999999995</v>
      </c>
      <c r="F1252" t="s">
        <v>47</v>
      </c>
      <c r="G1252">
        <v>-197.3948</v>
      </c>
      <c r="H1252" s="1">
        <v>9.6778419999999994E-7</v>
      </c>
      <c r="I1252">
        <v>295.0127</v>
      </c>
      <c r="J1252">
        <v>-190.86869999999999</v>
      </c>
      <c r="K1252">
        <v>1.108617</v>
      </c>
      <c r="L1252">
        <v>306.74560000000002</v>
      </c>
      <c r="M1252">
        <v>-0.14049049999999999</v>
      </c>
      <c r="N1252">
        <v>0</v>
      </c>
      <c r="O1252">
        <v>-0.98998989999999998</v>
      </c>
      <c r="P1252">
        <v>-0.40798079999999998</v>
      </c>
      <c r="Q1252">
        <v>0.15227360000000001</v>
      </c>
      <c r="R1252">
        <v>-0.90020250000000002</v>
      </c>
      <c r="S1252">
        <v>-1.473892</v>
      </c>
      <c r="T1252">
        <v>-0.2481228</v>
      </c>
      <c r="U1252">
        <v>-2.70871</v>
      </c>
      <c r="V1252">
        <v>0.27814749999999999</v>
      </c>
      <c r="W1252">
        <v>0.1638993</v>
      </c>
      <c r="X1252">
        <v>0.94645179999999995</v>
      </c>
      <c r="Y1252">
        <v>0.34820909999999999</v>
      </c>
      <c r="Z1252">
        <v>8.1438590000000005E-2</v>
      </c>
      <c r="AA1252">
        <v>0.9338727</v>
      </c>
      <c r="AB1252">
        <v>19</v>
      </c>
      <c r="AC1252">
        <v>-6.5261000000000102</v>
      </c>
      <c r="AD1252">
        <v>-1.1086160322158001</v>
      </c>
      <c r="AE1252">
        <v>-11.732900000000001</v>
      </c>
      <c r="AF1252">
        <v>4.7802572115808397</v>
      </c>
      <c r="AG1252">
        <v>-1.1086160322158001</v>
      </c>
      <c r="AH1252">
        <v>12.4485709683268</v>
      </c>
      <c r="AI1252">
        <v>94.752461479935505</v>
      </c>
      <c r="AJ1252">
        <v>68.993186663907196</v>
      </c>
      <c r="AK1252">
        <v>13.3808373306466</v>
      </c>
      <c r="AL1252">
        <v>80.566701561360006</v>
      </c>
      <c r="AM1252">
        <v>73.622756003061596</v>
      </c>
      <c r="AN1252">
        <v>1.00000001100998</v>
      </c>
    </row>
    <row r="1253" spans="1:40" x14ac:dyDescent="0.25">
      <c r="A1253" t="str">
        <f>"20190312172638159"</f>
        <v>20190312172638159</v>
      </c>
      <c r="B1253" t="str">
        <f>"1552382798149531"</f>
        <v>1552382798149531</v>
      </c>
      <c r="C1253" t="s">
        <v>40</v>
      </c>
      <c r="D1253">
        <v>3.6835710000000002</v>
      </c>
      <c r="E1253">
        <v>0.52881089999999997</v>
      </c>
      <c r="F1253" t="s">
        <v>47</v>
      </c>
      <c r="G1253">
        <v>-197.5849</v>
      </c>
      <c r="H1253" s="1">
        <v>1.067388E-6</v>
      </c>
      <c r="I1253">
        <v>294.6832</v>
      </c>
      <c r="J1253">
        <v>-190.89529999999999</v>
      </c>
      <c r="K1253">
        <v>1.1086389999999999</v>
      </c>
      <c r="L1253">
        <v>306.584</v>
      </c>
      <c r="M1253">
        <v>-0.14348469999999999</v>
      </c>
      <c r="N1253">
        <v>0</v>
      </c>
      <c r="O1253">
        <v>-0.98956060000000001</v>
      </c>
      <c r="P1253">
        <v>-0.41131580000000001</v>
      </c>
      <c r="Q1253">
        <v>0.15312400000000001</v>
      </c>
      <c r="R1253">
        <v>-0.89853939999999999</v>
      </c>
      <c r="S1253">
        <v>-1.500259</v>
      </c>
      <c r="T1253">
        <v>-0.24764230000000001</v>
      </c>
      <c r="U1253">
        <v>-2.6944889999999999</v>
      </c>
      <c r="V1253">
        <v>0.27881209999999901</v>
      </c>
      <c r="W1253">
        <v>0.1647507</v>
      </c>
      <c r="X1253">
        <v>0.94610830000000001</v>
      </c>
      <c r="Y1253">
        <v>0.35444369999999997</v>
      </c>
      <c r="Z1253">
        <v>8.1323640000000003E-2</v>
      </c>
      <c r="AA1253">
        <v>0.93153430000000004</v>
      </c>
      <c r="AB1253">
        <v>18</v>
      </c>
      <c r="AC1253">
        <v>-6.6896000000000102</v>
      </c>
      <c r="AD1253">
        <v>-1.1086379326119999</v>
      </c>
      <c r="AE1253">
        <v>-11.9008</v>
      </c>
      <c r="AF1253">
        <v>4.8804448396855298</v>
      </c>
      <c r="AG1253">
        <v>-1.1086379326119999</v>
      </c>
      <c r="AH1253">
        <v>12.6541295309113</v>
      </c>
      <c r="AI1253">
        <v>94.673077805292493</v>
      </c>
      <c r="AJ1253">
        <v>68.909369892461896</v>
      </c>
      <c r="AK1253">
        <v>13.607895284867601</v>
      </c>
      <c r="AL1253">
        <v>80.517247064859106</v>
      </c>
      <c r="AM1253">
        <v>73.580089915465194</v>
      </c>
      <c r="AN1253">
        <v>0.99999994779289303</v>
      </c>
    </row>
    <row r="1254" spans="1:40" x14ac:dyDescent="0.25">
      <c r="A1254" t="str">
        <f>"20190312172638185"</f>
        <v>20190312172638185</v>
      </c>
      <c r="B1254" t="str">
        <f>"1552382798179786"</f>
        <v>1552382798179786</v>
      </c>
      <c r="C1254" t="s">
        <v>40</v>
      </c>
      <c r="D1254">
        <v>3.692949</v>
      </c>
      <c r="E1254">
        <v>0.52894790000000003</v>
      </c>
      <c r="F1254" t="s">
        <v>47</v>
      </c>
      <c r="G1254">
        <v>-197.73650000000001</v>
      </c>
      <c r="H1254" s="1">
        <v>1.1127839999999999E-6</v>
      </c>
      <c r="I1254">
        <v>294.41649999999998</v>
      </c>
      <c r="J1254">
        <v>-190.92910000000001</v>
      </c>
      <c r="K1254">
        <v>1.108652</v>
      </c>
      <c r="L1254">
        <v>306.38220000000001</v>
      </c>
      <c r="M1254">
        <v>-0.1472144</v>
      </c>
      <c r="N1254">
        <v>0</v>
      </c>
      <c r="O1254">
        <v>-0.98901249999999996</v>
      </c>
      <c r="P1254">
        <v>-0.41560370000000002</v>
      </c>
      <c r="Q1254">
        <v>0.15263060000000001</v>
      </c>
      <c r="R1254">
        <v>-0.89664789999999905</v>
      </c>
      <c r="S1254">
        <v>-1.5116419999999999</v>
      </c>
      <c r="T1254">
        <v>-0.2449664</v>
      </c>
      <c r="U1254">
        <v>-2.6885680000000001</v>
      </c>
      <c r="V1254">
        <v>0.2797462</v>
      </c>
      <c r="W1254">
        <v>0.16425919999999999</v>
      </c>
      <c r="X1254">
        <v>0.94591809999999998</v>
      </c>
      <c r="Y1254">
        <v>0.35482839999999999</v>
      </c>
      <c r="Z1254">
        <v>8.0453570000000002E-2</v>
      </c>
      <c r="AA1254">
        <v>0.93146340000000005</v>
      </c>
      <c r="AB1254">
        <v>18</v>
      </c>
      <c r="AC1254">
        <v>-6.8074000000000003</v>
      </c>
      <c r="AD1254">
        <v>-1.1086508872159999</v>
      </c>
      <c r="AE1254">
        <v>-11.9657</v>
      </c>
      <c r="AF1254">
        <v>4.9394985753969101</v>
      </c>
      <c r="AG1254">
        <v>-1.1086508872159999</v>
      </c>
      <c r="AH1254">
        <v>12.754823407796399</v>
      </c>
      <c r="AI1254">
        <v>94.633941476503296</v>
      </c>
      <c r="AJ1254">
        <v>68.830350727443303</v>
      </c>
      <c r="AK1254">
        <v>13.7227283413373</v>
      </c>
      <c r="AL1254">
        <v>80.545797744748398</v>
      </c>
      <c r="AM1254">
        <v>73.524922875831194</v>
      </c>
      <c r="AN1254">
        <v>1.0000000365533399</v>
      </c>
    </row>
    <row r="1255" spans="1:40" x14ac:dyDescent="0.25">
      <c r="A1255" t="str">
        <f>"20190312172638208"</f>
        <v>20190312172638208</v>
      </c>
      <c r="B1255" t="str">
        <f>"1552382798200283"</f>
        <v>1552382798200283</v>
      </c>
      <c r="C1255" t="s">
        <v>40</v>
      </c>
      <c r="D1255">
        <v>3.661206</v>
      </c>
      <c r="E1255">
        <v>0.52904379999999995</v>
      </c>
      <c r="F1255" t="s">
        <v>47</v>
      </c>
      <c r="G1255">
        <v>-197.78700000000001</v>
      </c>
      <c r="H1255" s="1">
        <v>1.1230460000000001E-6</v>
      </c>
      <c r="I1255">
        <v>294.33269999999999</v>
      </c>
      <c r="J1255">
        <v>-190.9624</v>
      </c>
      <c r="K1255">
        <v>1.108665</v>
      </c>
      <c r="L1255">
        <v>306.18810000000002</v>
      </c>
      <c r="M1255">
        <v>-0.15079479999999901</v>
      </c>
      <c r="N1255">
        <v>0</v>
      </c>
      <c r="O1255">
        <v>-0.98847289999999999</v>
      </c>
      <c r="P1255">
        <v>-0.41890309999999997</v>
      </c>
      <c r="Q1255">
        <v>0.152870799999999</v>
      </c>
      <c r="R1255">
        <v>-0.89507009999999898</v>
      </c>
      <c r="S1255">
        <v>-1.5256959999999999</v>
      </c>
      <c r="T1255">
        <v>-0.24664559999999999</v>
      </c>
      <c r="U1255">
        <v>-2.6806950000000001</v>
      </c>
      <c r="V1255">
        <v>0.279808</v>
      </c>
      <c r="W1255">
        <v>0.16450190000000001</v>
      </c>
      <c r="X1255">
        <v>0.94585759999999997</v>
      </c>
      <c r="Y1255">
        <v>0.3562862</v>
      </c>
      <c r="Z1255">
        <v>8.1019220000000003E-2</v>
      </c>
      <c r="AA1255">
        <v>0.93085770000000001</v>
      </c>
      <c r="AB1255">
        <v>18</v>
      </c>
      <c r="AC1255">
        <v>-6.8246000000000002</v>
      </c>
      <c r="AD1255">
        <v>-1.108663876954</v>
      </c>
      <c r="AE1255">
        <v>-11.855399999999999</v>
      </c>
      <c r="AF1255">
        <v>4.9262929983122001</v>
      </c>
      <c r="AG1255">
        <v>-1.108663876954</v>
      </c>
      <c r="AH1255">
        <v>12.665822151624401</v>
      </c>
      <c r="AI1255">
        <v>94.663785021160606</v>
      </c>
      <c r="AJ1255">
        <v>68.746761671021403</v>
      </c>
      <c r="AK1255">
        <v>13.6352685735874</v>
      </c>
      <c r="AL1255">
        <v>80.531699901689393</v>
      </c>
      <c r="AM1255">
        <v>73.520483836334805</v>
      </c>
      <c r="AN1255">
        <v>0.99999999572268405</v>
      </c>
    </row>
    <row r="1256" spans="1:40" x14ac:dyDescent="0.25">
      <c r="A1256" t="str">
        <f>"20190312172638251"</f>
        <v>20190312172638251</v>
      </c>
      <c r="B1256" t="str">
        <f>"1552382798240299"</f>
        <v>1552382798240299</v>
      </c>
      <c r="C1256" t="s">
        <v>40</v>
      </c>
      <c r="D1256">
        <v>3.6921780000000002</v>
      </c>
      <c r="E1256">
        <v>0.52920400000000001</v>
      </c>
      <c r="F1256" t="s">
        <v>47</v>
      </c>
      <c r="G1256">
        <v>-197.8963</v>
      </c>
      <c r="H1256" s="1">
        <v>1.1504E-6</v>
      </c>
      <c r="I1256">
        <v>294.12240000000003</v>
      </c>
      <c r="J1256">
        <v>-191.02279999999999</v>
      </c>
      <c r="K1256">
        <v>1.108679</v>
      </c>
      <c r="L1256">
        <v>305.84649999999999</v>
      </c>
      <c r="M1256">
        <v>-0.15709609999999999</v>
      </c>
      <c r="N1256">
        <v>0</v>
      </c>
      <c r="O1256">
        <v>-0.98749109999999996</v>
      </c>
      <c r="P1256">
        <v>-0.42287930000000001</v>
      </c>
      <c r="Q1256">
        <v>0.15316689999999999</v>
      </c>
      <c r="R1256">
        <v>-0.89314780000000005</v>
      </c>
      <c r="S1256">
        <v>-1.5369109999999999</v>
      </c>
      <c r="T1256">
        <v>-0.2457365</v>
      </c>
      <c r="U1256">
        <v>-2.6743769999999998</v>
      </c>
      <c r="V1256">
        <v>0.27798440000000002</v>
      </c>
      <c r="W1256">
        <v>0.1648104</v>
      </c>
      <c r="X1256">
        <v>0.94634149999999995</v>
      </c>
      <c r="Y1256">
        <v>0.35422520000000002</v>
      </c>
      <c r="Z1256">
        <v>8.0720630000000002E-2</v>
      </c>
      <c r="AA1256">
        <v>0.93166979999999999</v>
      </c>
      <c r="AB1256">
        <v>18</v>
      </c>
      <c r="AC1256">
        <v>-6.8734999999999999</v>
      </c>
      <c r="AD1256">
        <v>-1.1086778496</v>
      </c>
      <c r="AE1256">
        <v>-11.7240999999999</v>
      </c>
      <c r="AF1256">
        <v>4.9134613118370396</v>
      </c>
      <c r="AG1256">
        <v>-1.1086778496</v>
      </c>
      <c r="AH1256">
        <v>12.5747131987339</v>
      </c>
      <c r="AI1256">
        <v>94.694640309953002</v>
      </c>
      <c r="AJ1256">
        <v>68.657353553242004</v>
      </c>
      <c r="AK1256">
        <v>13.5460208425768</v>
      </c>
      <c r="AL1256">
        <v>80.513779740113904</v>
      </c>
      <c r="AM1256">
        <v>73.630039470546507</v>
      </c>
      <c r="AN1256">
        <v>1.0000000146068799</v>
      </c>
    </row>
    <row r="1257" spans="1:40" x14ac:dyDescent="0.25">
      <c r="A1257" t="str">
        <f>"20190312172638270"</f>
        <v>20190312172638270</v>
      </c>
      <c r="B1257" t="str">
        <f>"1552382798259819"</f>
        <v>1552382798259819</v>
      </c>
      <c r="C1257" t="s">
        <v>40</v>
      </c>
      <c r="D1257">
        <v>3.689298</v>
      </c>
      <c r="E1257">
        <v>0.529277</v>
      </c>
      <c r="F1257" t="s">
        <v>47</v>
      </c>
      <c r="G1257">
        <v>-198.04069999999999</v>
      </c>
      <c r="H1257" s="1">
        <v>1.1984630000000001E-6</v>
      </c>
      <c r="I1257">
        <v>293.77679999999998</v>
      </c>
      <c r="J1257">
        <v>-191.05340000000001</v>
      </c>
      <c r="K1257">
        <v>1.1086780000000001</v>
      </c>
      <c r="L1257">
        <v>305.67790000000002</v>
      </c>
      <c r="M1257">
        <v>-0.16021340000000001</v>
      </c>
      <c r="N1257">
        <v>0</v>
      </c>
      <c r="O1257">
        <v>-0.98699020000000004</v>
      </c>
      <c r="P1257">
        <v>-0.42488910000000002</v>
      </c>
      <c r="Q1257">
        <v>0.1531296</v>
      </c>
      <c r="R1257">
        <v>-0.89220010000000005</v>
      </c>
      <c r="S1257">
        <v>-1.5505519999999999</v>
      </c>
      <c r="T1257">
        <v>-0.24495410000000001</v>
      </c>
      <c r="U1257">
        <v>-2.6667179999999999</v>
      </c>
      <c r="V1257">
        <v>0.27712389999999998</v>
      </c>
      <c r="W1257">
        <v>0.16477700000000001</v>
      </c>
      <c r="X1257">
        <v>0.94659970000000004</v>
      </c>
      <c r="Y1257">
        <v>0.3560082</v>
      </c>
      <c r="Z1257">
        <v>8.0478389999999997E-2</v>
      </c>
      <c r="AA1257">
        <v>0.93101100000000003</v>
      </c>
      <c r="AB1257">
        <v>18</v>
      </c>
      <c r="AC1257">
        <v>-6.9872999999999701</v>
      </c>
      <c r="AD1257">
        <v>-1.1086768015369901</v>
      </c>
      <c r="AE1257">
        <v>-11.9011</v>
      </c>
      <c r="AF1257">
        <v>4.95813670380549</v>
      </c>
      <c r="AG1257">
        <v>-1.1086768015369901</v>
      </c>
      <c r="AH1257">
        <v>12.7843924100574</v>
      </c>
      <c r="AI1257">
        <v>94.622505873089906</v>
      </c>
      <c r="AJ1257">
        <v>68.802346415711</v>
      </c>
      <c r="AK1257">
        <v>13.756924551593</v>
      </c>
      <c r="AL1257">
        <v>80.515720321225004</v>
      </c>
      <c r="AM1257">
        <v>73.682226648927895</v>
      </c>
      <c r="AN1257">
        <v>1.0000000538601399</v>
      </c>
    </row>
    <row r="1258" spans="1:40" x14ac:dyDescent="0.25">
      <c r="A1258" t="str">
        <f>"20190312172638293"</f>
        <v>20190312172638293</v>
      </c>
      <c r="B1258" t="str">
        <f>"1552382798290074"</f>
        <v>1552382798290074</v>
      </c>
      <c r="C1258" t="s">
        <v>40</v>
      </c>
      <c r="D1258">
        <v>3.6865420000000002</v>
      </c>
      <c r="E1258">
        <v>0.5293968</v>
      </c>
      <c r="F1258" t="s">
        <v>47</v>
      </c>
      <c r="G1258">
        <v>-198.0804</v>
      </c>
      <c r="H1258" s="1">
        <v>1.2166609999999999E-6</v>
      </c>
      <c r="I1258">
        <v>293.65339999999998</v>
      </c>
      <c r="J1258">
        <v>-191.08760000000001</v>
      </c>
      <c r="K1258">
        <v>1.1086769999999999</v>
      </c>
      <c r="L1258">
        <v>305.49369999999999</v>
      </c>
      <c r="M1258">
        <v>-0.16362489999999999</v>
      </c>
      <c r="N1258">
        <v>0</v>
      </c>
      <c r="O1258">
        <v>-0.98643060000000005</v>
      </c>
      <c r="P1258">
        <v>-0.42797550000000001</v>
      </c>
      <c r="Q1258">
        <v>0.1533436</v>
      </c>
      <c r="R1258">
        <v>-0.8906868</v>
      </c>
      <c r="S1258">
        <v>-1.5564579999999999</v>
      </c>
      <c r="T1258">
        <v>-0.2455685</v>
      </c>
      <c r="U1258">
        <v>-2.6633909999999998</v>
      </c>
      <c r="V1258">
        <v>0.27713549999999998</v>
      </c>
      <c r="W1258">
        <v>0.16498769999999999</v>
      </c>
      <c r="X1258">
        <v>0.9465595</v>
      </c>
      <c r="Y1258">
        <v>0.35481580000000001</v>
      </c>
      <c r="Z1258">
        <v>8.0673469999999997E-2</v>
      </c>
      <c r="AA1258">
        <v>0.93144919999999998</v>
      </c>
      <c r="AB1258">
        <v>18</v>
      </c>
      <c r="AC1258">
        <v>-6.9927999999999804</v>
      </c>
      <c r="AD1258">
        <v>-1.108675783339</v>
      </c>
      <c r="AE1258">
        <v>-11.840299999999999</v>
      </c>
      <c r="AF1258">
        <v>4.9289545045608403</v>
      </c>
      <c r="AG1258">
        <v>-1.108675783339</v>
      </c>
      <c r="AH1258">
        <v>12.742166349333599</v>
      </c>
      <c r="AI1258">
        <v>94.639316565044197</v>
      </c>
      <c r="AJ1258">
        <v>68.852416665926995</v>
      </c>
      <c r="AK1258">
        <v>13.7071717642511</v>
      </c>
      <c r="AL1258">
        <v>80.503479648228307</v>
      </c>
      <c r="AM1258">
        <v>73.680923792889203</v>
      </c>
      <c r="AN1258">
        <v>0.99999995677589404</v>
      </c>
    </row>
    <row r="1259" spans="1:40" x14ac:dyDescent="0.25">
      <c r="A1259" t="str">
        <f>"20190312172638316"</f>
        <v>20190312172638316</v>
      </c>
      <c r="B1259" t="str">
        <f>"1552382798310102"</f>
        <v>1552382798310102</v>
      </c>
      <c r="C1259" t="s">
        <v>40</v>
      </c>
      <c r="D1259">
        <v>3.6774360000000001</v>
      </c>
      <c r="E1259">
        <v>0.52948119999999999</v>
      </c>
      <c r="F1259" t="s">
        <v>47</v>
      </c>
      <c r="G1259">
        <v>-198.15889999999999</v>
      </c>
      <c r="H1259" s="1">
        <v>1.2383610000000001E-6</v>
      </c>
      <c r="I1259">
        <v>293.4907</v>
      </c>
      <c r="J1259">
        <v>-191.12219999999999</v>
      </c>
      <c r="K1259">
        <v>1.1086800000000001</v>
      </c>
      <c r="L1259">
        <v>305.31020000000001</v>
      </c>
      <c r="M1259">
        <v>-0.16703209999999999</v>
      </c>
      <c r="N1259">
        <v>0</v>
      </c>
      <c r="O1259">
        <v>-0.98585940000000005</v>
      </c>
      <c r="P1259">
        <v>-0.43141010000000002</v>
      </c>
      <c r="Q1259">
        <v>0.15377929999999901</v>
      </c>
      <c r="R1259">
        <v>-0.88895299999999999</v>
      </c>
      <c r="S1259">
        <v>-1.5659179999999999</v>
      </c>
      <c r="T1259">
        <v>-0.2455106</v>
      </c>
      <c r="U1259">
        <v>-2.65802</v>
      </c>
      <c r="V1259">
        <v>0.27753349999999999</v>
      </c>
      <c r="W1259">
        <v>0.1654176</v>
      </c>
      <c r="X1259">
        <v>0.94636790000000004</v>
      </c>
      <c r="Y1259">
        <v>0.35487229999999997</v>
      </c>
      <c r="Z1259">
        <v>8.0655439999999995E-2</v>
      </c>
      <c r="AA1259">
        <v>0.93142919999999996</v>
      </c>
      <c r="AB1259">
        <v>18</v>
      </c>
      <c r="AC1259">
        <v>-7.03669999999999</v>
      </c>
      <c r="AD1259">
        <v>-1.1086787616389999</v>
      </c>
      <c r="AE1259">
        <v>-11.8195</v>
      </c>
      <c r="AF1259">
        <v>4.9313766082313402</v>
      </c>
      <c r="AG1259">
        <v>-1.1086787616389999</v>
      </c>
      <c r="AH1259">
        <v>12.7460842369393</v>
      </c>
      <c r="AI1259">
        <v>94.637798643093603</v>
      </c>
      <c r="AJ1259">
        <v>68.848871948592603</v>
      </c>
      <c r="AK1259">
        <v>13.711685061431099</v>
      </c>
      <c r="AL1259">
        <v>80.478505581879404</v>
      </c>
      <c r="AM1259">
        <v>73.655605365840003</v>
      </c>
      <c r="AN1259">
        <v>1.00000001408121</v>
      </c>
    </row>
    <row r="1260" spans="1:40" x14ac:dyDescent="0.25">
      <c r="A1260" t="str">
        <f>"20190312172638339"</f>
        <v>20190312172638339</v>
      </c>
      <c r="B1260" t="str">
        <f>"1552382798330599"</f>
        <v>1552382798330599</v>
      </c>
      <c r="C1260" t="s">
        <v>40</v>
      </c>
      <c r="D1260">
        <v>3.6831149999999999</v>
      </c>
      <c r="E1260">
        <v>0.5295725</v>
      </c>
      <c r="F1260" t="s">
        <v>47</v>
      </c>
      <c r="G1260">
        <v>-198.26429999999999</v>
      </c>
      <c r="H1260" s="1">
        <v>1.2639859999999999E-6</v>
      </c>
      <c r="I1260">
        <v>293.2921</v>
      </c>
      <c r="J1260">
        <v>-191.1576</v>
      </c>
      <c r="K1260">
        <v>1.108679</v>
      </c>
      <c r="L1260">
        <v>305.12650000000002</v>
      </c>
      <c r="M1260">
        <v>-0.17044879999999901</v>
      </c>
      <c r="N1260">
        <v>0</v>
      </c>
      <c r="O1260">
        <v>-0.98527430000000005</v>
      </c>
      <c r="P1260">
        <v>-0.43484040000000002</v>
      </c>
      <c r="Q1260">
        <v>0.1540078</v>
      </c>
      <c r="R1260">
        <v>-0.88724049999999999</v>
      </c>
      <c r="S1260">
        <v>-1.576141</v>
      </c>
      <c r="T1260">
        <v>-0.244669</v>
      </c>
      <c r="U1260">
        <v>-2.6522220000000001</v>
      </c>
      <c r="V1260">
        <v>0.27791569999999999</v>
      </c>
      <c r="W1260">
        <v>0.16564139999999999</v>
      </c>
      <c r="X1260">
        <v>0.94621659999999996</v>
      </c>
      <c r="Y1260">
        <v>0.35519200000000001</v>
      </c>
      <c r="Z1260">
        <v>8.0380969999999996E-2</v>
      </c>
      <c r="AA1260">
        <v>0.93133100000000002</v>
      </c>
      <c r="AB1260">
        <v>18</v>
      </c>
      <c r="AC1260">
        <v>-7.1066999999999796</v>
      </c>
      <c r="AD1260">
        <v>-1.1086777360140001</v>
      </c>
      <c r="AE1260">
        <v>-11.8344</v>
      </c>
      <c r="AF1260">
        <v>4.9533915902383097</v>
      </c>
      <c r="AG1260">
        <v>-1.1086777360140001</v>
      </c>
      <c r="AH1260">
        <v>12.790127836401901</v>
      </c>
      <c r="AI1260">
        <v>94.621290617144894</v>
      </c>
      <c r="AJ1260">
        <v>68.829490457070406</v>
      </c>
      <c r="AK1260">
        <v>13.7605459426608</v>
      </c>
      <c r="AL1260">
        <v>80.465503591216105</v>
      </c>
      <c r="AM1260">
        <v>73.631823868650997</v>
      </c>
      <c r="AN1260">
        <v>1.000000031908</v>
      </c>
    </row>
    <row r="1261" spans="1:40" x14ac:dyDescent="0.25">
      <c r="A1261" t="str">
        <f>"20190312172638361"</f>
        <v>20190312172638361</v>
      </c>
      <c r="B1261" t="str">
        <f>"1552382798350118"</f>
        <v>1552382798350118</v>
      </c>
      <c r="C1261" t="s">
        <v>40</v>
      </c>
      <c r="D1261">
        <v>3.6843560000000002</v>
      </c>
      <c r="E1261">
        <v>0.52965949999999995</v>
      </c>
      <c r="F1261" t="s">
        <v>47</v>
      </c>
      <c r="G1261">
        <v>-198.363</v>
      </c>
      <c r="H1261" s="1">
        <v>1.2865150000000001E-6</v>
      </c>
      <c r="I1261">
        <v>293.11450000000002</v>
      </c>
      <c r="J1261">
        <v>-191.19300000000001</v>
      </c>
      <c r="K1261">
        <v>1.108684</v>
      </c>
      <c r="L1261">
        <v>304.94549999999998</v>
      </c>
      <c r="M1261">
        <v>-0.17381759999999999</v>
      </c>
      <c r="N1261">
        <v>0</v>
      </c>
      <c r="O1261">
        <v>-0.9846857</v>
      </c>
      <c r="P1261">
        <v>-0.43847150000000001</v>
      </c>
      <c r="Q1261">
        <v>0.1538977</v>
      </c>
      <c r="R1261">
        <v>-0.88547099999999901</v>
      </c>
      <c r="S1261">
        <v>-1.587097</v>
      </c>
      <c r="T1261">
        <v>-0.244202</v>
      </c>
      <c r="U1261">
        <v>-2.645813</v>
      </c>
      <c r="V1261">
        <v>0.27855239999999998</v>
      </c>
      <c r="W1261">
        <v>0.16552620000000001</v>
      </c>
      <c r="X1261">
        <v>0.94604949999999999</v>
      </c>
      <c r="Y1261">
        <v>0.35583389999999998</v>
      </c>
      <c r="Z1261">
        <v>8.0233009999999994E-2</v>
      </c>
      <c r="AA1261">
        <v>0.9310988</v>
      </c>
      <c r="AB1261">
        <v>18</v>
      </c>
      <c r="AC1261">
        <v>-7.1700000000000097</v>
      </c>
      <c r="AD1261">
        <v>-1.1086827134849999</v>
      </c>
      <c r="AE1261">
        <v>-11.8309999999999</v>
      </c>
      <c r="AF1261">
        <v>4.9722793899964897</v>
      </c>
      <c r="AG1261">
        <v>-1.1086827134849999</v>
      </c>
      <c r="AH1261">
        <v>12.814953238301699</v>
      </c>
      <c r="AI1261">
        <v>94.611277609957796</v>
      </c>
      <c r="AJ1261">
        <v>68.793445577772005</v>
      </c>
      <c r="AK1261">
        <v>13.790422988118401</v>
      </c>
      <c r="AL1261">
        <v>80.472196238890405</v>
      </c>
      <c r="AM1261">
        <v>73.593596764820703</v>
      </c>
      <c r="AN1261">
        <v>1.00000000944122</v>
      </c>
    </row>
    <row r="1262" spans="1:40" x14ac:dyDescent="0.25">
      <c r="A1262" t="str">
        <f>"20190312172638384"</f>
        <v>20190312172638384</v>
      </c>
      <c r="B1262" t="str">
        <f>"1552382798380374"</f>
        <v>1552382798380374</v>
      </c>
      <c r="C1262" t="s">
        <v>40</v>
      </c>
      <c r="D1262">
        <v>3.656107</v>
      </c>
      <c r="E1262">
        <v>0.52978990000000004</v>
      </c>
      <c r="F1262" t="s">
        <v>47</v>
      </c>
      <c r="G1262">
        <v>-198.4289</v>
      </c>
      <c r="H1262" s="1">
        <v>1.30112599999999E-6</v>
      </c>
      <c r="I1262">
        <v>292.99829999999997</v>
      </c>
      <c r="J1262">
        <v>-191.22929999999999</v>
      </c>
      <c r="K1262">
        <v>1.1086929999999999</v>
      </c>
      <c r="L1262">
        <v>304.76350000000002</v>
      </c>
      <c r="M1262">
        <v>-0.17720520000000001</v>
      </c>
      <c r="N1262">
        <v>0</v>
      </c>
      <c r="O1262">
        <v>-0.98408169999999995</v>
      </c>
      <c r="P1262">
        <v>-0.44170039999999999</v>
      </c>
      <c r="Q1262">
        <v>0.153895899999999</v>
      </c>
      <c r="R1262">
        <v>-0.88386489999999995</v>
      </c>
      <c r="S1262">
        <v>-1.5983889999999901</v>
      </c>
      <c r="T1262">
        <v>-0.2449056</v>
      </c>
      <c r="U1262">
        <v>-2.6390989999999999</v>
      </c>
      <c r="V1262">
        <v>0.27874870000000002</v>
      </c>
      <c r="W1262">
        <v>0.16552239999999999</v>
      </c>
      <c r="X1262">
        <v>0.94599239999999996</v>
      </c>
      <c r="Y1262">
        <v>0.35657369999999999</v>
      </c>
      <c r="Z1262">
        <v>8.0468239999999996E-2</v>
      </c>
      <c r="AA1262">
        <v>0.93079540000000005</v>
      </c>
      <c r="AB1262">
        <v>18</v>
      </c>
      <c r="AC1262">
        <v>-7.1996000000000002</v>
      </c>
      <c r="AD1262">
        <v>-1.1086916988740001</v>
      </c>
      <c r="AE1262">
        <v>-11.7652</v>
      </c>
      <c r="AF1262">
        <v>4.9684933511415403</v>
      </c>
      <c r="AG1262">
        <v>-1.1086916988740001</v>
      </c>
      <c r="AH1262">
        <v>12.772371420958599</v>
      </c>
      <c r="AI1262">
        <v>94.625071583267001</v>
      </c>
      <c r="AJ1262">
        <v>68.743805576699401</v>
      </c>
      <c r="AK1262">
        <v>13.749494360826899</v>
      </c>
      <c r="AL1262">
        <v>80.472417511280995</v>
      </c>
      <c r="AM1262">
        <v>73.581719673030605</v>
      </c>
      <c r="AN1262">
        <v>1.0000000617556</v>
      </c>
    </row>
    <row r="1263" spans="1:40" x14ac:dyDescent="0.25">
      <c r="A1263" t="str">
        <f>"20190312172638408"</f>
        <v>20190312172638408</v>
      </c>
      <c r="B1263" t="str">
        <f>"1552382798399894"</f>
        <v>1552382798399894</v>
      </c>
      <c r="C1263" t="s">
        <v>40</v>
      </c>
      <c r="D1263">
        <v>3.6295799999999998</v>
      </c>
      <c r="E1263">
        <v>0.52987899999999999</v>
      </c>
      <c r="F1263" t="s">
        <v>47</v>
      </c>
      <c r="G1263">
        <v>-198.4974</v>
      </c>
      <c r="H1263" s="1">
        <v>1.3177920000000001E-6</v>
      </c>
      <c r="I1263">
        <v>292.86919999999998</v>
      </c>
      <c r="J1263">
        <v>-191.26849999999999</v>
      </c>
      <c r="K1263">
        <v>1.1087049999999901</v>
      </c>
      <c r="L1263">
        <v>304.57060000000001</v>
      </c>
      <c r="M1263">
        <v>-0.1807976</v>
      </c>
      <c r="N1263">
        <v>0</v>
      </c>
      <c r="O1263">
        <v>-0.98342810000000003</v>
      </c>
      <c r="P1263">
        <v>-0.44479059999999998</v>
      </c>
      <c r="Q1263">
        <v>0.15416540000000001</v>
      </c>
      <c r="R1263">
        <v>-0.88226709999999997</v>
      </c>
      <c r="S1263">
        <v>-1.608841</v>
      </c>
      <c r="T1263">
        <v>-0.24541769999999999</v>
      </c>
      <c r="U1263">
        <v>-2.6329039999999999</v>
      </c>
      <c r="V1263">
        <v>0.27861180000000002</v>
      </c>
      <c r="W1263">
        <v>0.16579379999999999</v>
      </c>
      <c r="X1263">
        <v>0.94598510000000002</v>
      </c>
      <c r="Y1263">
        <v>0.35682170000000002</v>
      </c>
      <c r="Z1263">
        <v>8.0634789999999998E-2</v>
      </c>
      <c r="AA1263">
        <v>0.93068589999999995</v>
      </c>
      <c r="AB1263">
        <v>18</v>
      </c>
      <c r="AC1263">
        <v>-7.2289000000000003</v>
      </c>
      <c r="AD1263">
        <v>-1.1087036822080001</v>
      </c>
      <c r="AE1263">
        <v>-11.7014</v>
      </c>
      <c r="AF1263">
        <v>4.9617317327599197</v>
      </c>
      <c r="AG1263">
        <v>-1.1087036822080001</v>
      </c>
      <c r="AH1263">
        <v>12.732881957979799</v>
      </c>
      <c r="AI1263">
        <v>94.638348415436695</v>
      </c>
      <c r="AJ1263">
        <v>68.710201399389703</v>
      </c>
      <c r="AK1263">
        <v>13.710371570408499</v>
      </c>
      <c r="AL1263">
        <v>80.456648637406403</v>
      </c>
      <c r="AM1263">
        <v>73.589229336351494</v>
      </c>
      <c r="AN1263">
        <v>0.99999996431984395</v>
      </c>
    </row>
    <row r="1264" spans="1:40" x14ac:dyDescent="0.25">
      <c r="A1264" t="str">
        <f>"20190312172638432"</f>
        <v>20190312172638432</v>
      </c>
      <c r="B1264" t="str">
        <f>"1552382798420390"</f>
        <v>1552382798420390</v>
      </c>
      <c r="C1264" t="s">
        <v>40</v>
      </c>
      <c r="D1264">
        <v>3.6441520000000001</v>
      </c>
      <c r="E1264">
        <v>0.529972</v>
      </c>
      <c r="F1264" t="s">
        <v>47</v>
      </c>
      <c r="G1264">
        <v>-198.59440000000001</v>
      </c>
      <c r="H1264" s="1">
        <v>1.3424550000000001E-6</v>
      </c>
      <c r="I1264">
        <v>292.68029999999999</v>
      </c>
      <c r="J1264">
        <v>-191.30670000000001</v>
      </c>
      <c r="K1264">
        <v>1.108716</v>
      </c>
      <c r="L1264">
        <v>304.38639999999998</v>
      </c>
      <c r="M1264">
        <v>-0.18422530000000001</v>
      </c>
      <c r="N1264">
        <v>0</v>
      </c>
      <c r="O1264">
        <v>-0.98279179999999999</v>
      </c>
      <c r="P1264">
        <v>-0.4475982</v>
      </c>
      <c r="Q1264">
        <v>0.15425739999999999</v>
      </c>
      <c r="R1264">
        <v>-0.88082959999999999</v>
      </c>
      <c r="S1264">
        <v>-1.6186069999999999</v>
      </c>
      <c r="T1264">
        <v>-0.24496090000000001</v>
      </c>
      <c r="U1264">
        <v>-2.627075</v>
      </c>
      <c r="V1264">
        <v>0.2783274</v>
      </c>
      <c r="W1264">
        <v>0.1658888</v>
      </c>
      <c r="X1264">
        <v>0.94605220000000001</v>
      </c>
      <c r="Y1264">
        <v>0.35700279999999901</v>
      </c>
      <c r="Z1264">
        <v>8.0483399999999997E-2</v>
      </c>
      <c r="AA1264">
        <v>0.93062959999999995</v>
      </c>
      <c r="AB1264">
        <v>18</v>
      </c>
      <c r="AC1264">
        <v>-7.2877000000000001</v>
      </c>
      <c r="AD1264">
        <v>-1.108714657545</v>
      </c>
      <c r="AE1264">
        <v>-11.7060999999999</v>
      </c>
      <c r="AF1264">
        <v>4.9740295357025399</v>
      </c>
      <c r="AG1264">
        <v>-1.108714657545</v>
      </c>
      <c r="AH1264">
        <v>12.7658732233559</v>
      </c>
      <c r="AI1264">
        <v>94.626527218060005</v>
      </c>
      <c r="AJ1264">
        <v>68.712376417622394</v>
      </c>
      <c r="AK1264">
        <v>13.745462421057001</v>
      </c>
      <c r="AL1264">
        <v>80.451129453367301</v>
      </c>
      <c r="AM1264">
        <v>73.606181464667202</v>
      </c>
      <c r="AN1264">
        <v>1.0000000003405101</v>
      </c>
    </row>
    <row r="1265" spans="1:40" x14ac:dyDescent="0.25">
      <c r="A1265" t="str">
        <f>"20190312172638451"</f>
        <v>20190312172638451</v>
      </c>
      <c r="B1265" t="str">
        <f>"1552382798439910"</f>
        <v>1552382798439910</v>
      </c>
      <c r="C1265" t="s">
        <v>40</v>
      </c>
      <c r="D1265">
        <v>3.6271740000000001</v>
      </c>
      <c r="E1265">
        <v>0.53006200000000003</v>
      </c>
      <c r="F1265" t="s">
        <v>47</v>
      </c>
      <c r="G1265">
        <v>-198.66370000000001</v>
      </c>
      <c r="H1265" s="1">
        <v>1.3625300000000001E-6</v>
      </c>
      <c r="I1265">
        <v>292.53140000000002</v>
      </c>
      <c r="J1265">
        <v>-191.34100000000001</v>
      </c>
      <c r="K1265">
        <v>1.1087260000000001</v>
      </c>
      <c r="L1265">
        <v>304.22320000000002</v>
      </c>
      <c r="M1265">
        <v>-0.18726309999999999</v>
      </c>
      <c r="N1265">
        <v>0</v>
      </c>
      <c r="O1265">
        <v>-0.98221740000000002</v>
      </c>
      <c r="P1265">
        <v>-0.45010489999999997</v>
      </c>
      <c r="Q1265">
        <v>0.15425700000000001</v>
      </c>
      <c r="R1265">
        <v>-0.87955149999999904</v>
      </c>
      <c r="S1265">
        <v>-1.627151</v>
      </c>
      <c r="T1265">
        <v>-0.2452145</v>
      </c>
      <c r="U1265">
        <v>-2.6219790000000001</v>
      </c>
      <c r="V1265">
        <v>0.27809400000000001</v>
      </c>
      <c r="W1265">
        <v>0.16589110000000001</v>
      </c>
      <c r="X1265">
        <v>0.94612039999999997</v>
      </c>
      <c r="Y1265">
        <v>0.35711290000000001</v>
      </c>
      <c r="Z1265">
        <v>8.0562129999999996E-2</v>
      </c>
      <c r="AA1265">
        <v>0.93058059999999998</v>
      </c>
      <c r="AB1265">
        <v>18</v>
      </c>
      <c r="AC1265">
        <v>-7.3227000000000197</v>
      </c>
      <c r="AD1265">
        <v>-1.1087246374699999</v>
      </c>
      <c r="AE1265">
        <v>-11.691800000000001</v>
      </c>
      <c r="AF1265">
        <v>4.9713847741901596</v>
      </c>
      <c r="AG1265">
        <v>-1.1087246374699999</v>
      </c>
      <c r="AH1265">
        <v>12.7738221082741</v>
      </c>
      <c r="AI1265">
        <v>94.624401932542199</v>
      </c>
      <c r="AJ1265">
        <v>68.734740052765204</v>
      </c>
      <c r="AK1265">
        <v>13.7518896210163</v>
      </c>
      <c r="AL1265">
        <v>80.450995534814794</v>
      </c>
      <c r="AM1265">
        <v>73.620309238455903</v>
      </c>
      <c r="AN1265">
        <v>0.99999997059568402</v>
      </c>
    </row>
    <row r="1266" spans="1:40" x14ac:dyDescent="0.25">
      <c r="A1266" t="str">
        <f>"20190312172638483"</f>
        <v>20190312172638483</v>
      </c>
      <c r="B1266" t="str">
        <f>"1552382798479926"</f>
        <v>1552382798479926</v>
      </c>
      <c r="C1266" t="s">
        <v>40</v>
      </c>
      <c r="D1266">
        <v>3.6385779999999999</v>
      </c>
      <c r="E1266">
        <v>0.53024859999999996</v>
      </c>
      <c r="F1266" t="s">
        <v>47</v>
      </c>
      <c r="G1266">
        <v>-198.71879999999999</v>
      </c>
      <c r="H1266" s="1">
        <v>1.3783809999999999E-6</v>
      </c>
      <c r="I1266">
        <v>292.41370000000001</v>
      </c>
      <c r="J1266">
        <v>-191.39599999999999</v>
      </c>
      <c r="K1266">
        <v>1.108738</v>
      </c>
      <c r="L1266">
        <v>303.96719999999999</v>
      </c>
      <c r="M1266">
        <v>-0.19202620000000001</v>
      </c>
      <c r="N1266">
        <v>0</v>
      </c>
      <c r="O1266">
        <v>-0.98129750000000004</v>
      </c>
      <c r="P1266">
        <v>-0.45405879999999998</v>
      </c>
      <c r="Q1266">
        <v>0.1548966</v>
      </c>
      <c r="R1266">
        <v>-0.87740419999999997</v>
      </c>
      <c r="S1266">
        <v>-1.63504</v>
      </c>
      <c r="T1266">
        <v>-0.24571190000000001</v>
      </c>
      <c r="U1266">
        <v>-2.6171880000000001</v>
      </c>
      <c r="V1266">
        <v>0.27778209999999998</v>
      </c>
      <c r="W1266">
        <v>0.1665343</v>
      </c>
      <c r="X1266">
        <v>0.94609900000000002</v>
      </c>
      <c r="Y1266">
        <v>0.35535949999999999</v>
      </c>
      <c r="Z1266">
        <v>8.0704250000000005E-2</v>
      </c>
      <c r="AA1266">
        <v>0.93123920000000004</v>
      </c>
      <c r="AB1266">
        <v>18</v>
      </c>
      <c r="AC1266">
        <v>-7.3228</v>
      </c>
      <c r="AD1266">
        <v>-1.108736621619</v>
      </c>
      <c r="AE1266">
        <v>-11.5534999999999</v>
      </c>
      <c r="AF1266">
        <v>4.9352955791968203</v>
      </c>
      <c r="AG1266">
        <v>-1.108736621619</v>
      </c>
      <c r="AH1266">
        <v>12.6615577584683</v>
      </c>
      <c r="AI1266">
        <v>94.664331394895697</v>
      </c>
      <c r="AJ1266">
        <v>68.704869038952694</v>
      </c>
      <c r="AK1266">
        <v>13.634569454925501</v>
      </c>
      <c r="AL1266">
        <v>80.413622766031693</v>
      </c>
      <c r="AM1266">
        <v>73.637346644734393</v>
      </c>
      <c r="AN1266">
        <v>0.99999994297894801</v>
      </c>
    </row>
    <row r="1267" spans="1:40" x14ac:dyDescent="0.25">
      <c r="A1267" t="str">
        <f>"20190312172638528"</f>
        <v>20190312172638528</v>
      </c>
      <c r="B1267" t="str">
        <f>"1552382798519942"</f>
        <v>1552382798519942</v>
      </c>
      <c r="C1267" t="s">
        <v>40</v>
      </c>
      <c r="D1267">
        <v>3.665435</v>
      </c>
      <c r="E1267">
        <v>0.53040919999999903</v>
      </c>
      <c r="F1267" t="s">
        <v>47</v>
      </c>
      <c r="G1267">
        <v>-198.8827</v>
      </c>
      <c r="H1267" s="1">
        <v>1.414938E-6</v>
      </c>
      <c r="I1267">
        <v>292.12360000000001</v>
      </c>
      <c r="J1267">
        <v>-191.47280000000001</v>
      </c>
      <c r="K1267">
        <v>1.1087549999999999</v>
      </c>
      <c r="L1267">
        <v>303.61880000000002</v>
      </c>
      <c r="M1267">
        <v>-0.19850680000000001</v>
      </c>
      <c r="N1267">
        <v>0</v>
      </c>
      <c r="O1267">
        <v>-0.98000699999999996</v>
      </c>
      <c r="P1267">
        <v>-0.46030569999999998</v>
      </c>
      <c r="Q1267">
        <v>0.1559575</v>
      </c>
      <c r="R1267">
        <v>-0.87395409999999996</v>
      </c>
      <c r="S1267">
        <v>-1.6491389999999999</v>
      </c>
      <c r="T1267">
        <v>-0.24422749999999999</v>
      </c>
      <c r="U1267">
        <v>-2.6088559999999998</v>
      </c>
      <c r="V1267">
        <v>0.27831669999999997</v>
      </c>
      <c r="W1267">
        <v>0.1675912</v>
      </c>
      <c r="X1267">
        <v>0.94575520000000002</v>
      </c>
      <c r="Y1267">
        <v>0.35414689999999999</v>
      </c>
      <c r="Z1267">
        <v>8.0190139999999993E-2</v>
      </c>
      <c r="AA1267">
        <v>0.93174539999999995</v>
      </c>
      <c r="AB1267">
        <v>18</v>
      </c>
      <c r="AC1267">
        <v>-7.4098999999999897</v>
      </c>
      <c r="AD1267">
        <v>-1.1087535850619901</v>
      </c>
      <c r="AE1267">
        <v>-11.495200000000001</v>
      </c>
      <c r="AF1267">
        <v>4.9478112868636304</v>
      </c>
      <c r="AG1267">
        <v>-1.1087535850619901</v>
      </c>
      <c r="AH1267">
        <v>12.654278473711299</v>
      </c>
      <c r="AI1267">
        <v>94.6651644005414</v>
      </c>
      <c r="AJ1267">
        <v>68.644547164062303</v>
      </c>
      <c r="AK1267">
        <v>13.6323488340431</v>
      </c>
      <c r="AL1267">
        <v>80.352203722304694</v>
      </c>
      <c r="AM1267">
        <v>73.601906339865593</v>
      </c>
      <c r="AN1267">
        <v>0.99999994707168305</v>
      </c>
    </row>
    <row r="1268" spans="1:40" x14ac:dyDescent="0.25">
      <c r="A1268" t="str">
        <f>"20190312172638550"</f>
        <v>20190312172638550</v>
      </c>
      <c r="B1268" t="str">
        <f>"1552382798539462"</f>
        <v>1552382798539462</v>
      </c>
      <c r="C1268" t="s">
        <v>40</v>
      </c>
      <c r="D1268">
        <v>3.6655929999999999</v>
      </c>
      <c r="E1268">
        <v>0.53048399999999996</v>
      </c>
      <c r="F1268" t="s">
        <v>47</v>
      </c>
      <c r="G1268">
        <v>-199.131</v>
      </c>
      <c r="H1268" s="1">
        <v>1.466636E-6</v>
      </c>
      <c r="I1268">
        <v>291.70490000000001</v>
      </c>
      <c r="J1268">
        <v>-191.51300000000001</v>
      </c>
      <c r="K1268">
        <v>1.10876</v>
      </c>
      <c r="L1268">
        <v>303.44099999999997</v>
      </c>
      <c r="M1268">
        <v>-0.20181299999999999</v>
      </c>
      <c r="N1268">
        <v>0</v>
      </c>
      <c r="O1268">
        <v>-0.97933159999999997</v>
      </c>
      <c r="P1268">
        <v>-0.46360220000000002</v>
      </c>
      <c r="Q1268">
        <v>0.15634189999999901</v>
      </c>
      <c r="R1268">
        <v>-0.8721411</v>
      </c>
      <c r="S1268">
        <v>-1.6691279999999999</v>
      </c>
      <c r="T1268">
        <v>-0.24165490000000001</v>
      </c>
      <c r="U1268">
        <v>-2.5966490000000002</v>
      </c>
      <c r="V1268">
        <v>0.2787097</v>
      </c>
      <c r="W1268">
        <v>0.16797339999999999</v>
      </c>
      <c r="X1268">
        <v>0.94557170000000001</v>
      </c>
      <c r="Y1268">
        <v>0.35809429999999998</v>
      </c>
      <c r="Z1268">
        <v>7.9368090000000002E-2</v>
      </c>
      <c r="AA1268">
        <v>0.93030599999999997</v>
      </c>
      <c r="AB1268">
        <v>18</v>
      </c>
      <c r="AC1268">
        <v>-7.6179999999999604</v>
      </c>
      <c r="AD1268">
        <v>-1.108758533364</v>
      </c>
      <c r="AE1268">
        <v>-11.736099999999899</v>
      </c>
      <c r="AF1268">
        <v>5.0607327270637299</v>
      </c>
      <c r="AG1268">
        <v>-1.108758533364</v>
      </c>
      <c r="AH1268">
        <v>12.9508002565533</v>
      </c>
      <c r="AI1268">
        <v>94.559185195416504</v>
      </c>
      <c r="AJ1268">
        <v>68.656130650227496</v>
      </c>
      <c r="AK1268">
        <v>13.948605253043199</v>
      </c>
      <c r="AL1268">
        <v>80.329990895135595</v>
      </c>
      <c r="AM1268">
        <v>73.576982758147906</v>
      </c>
      <c r="AN1268">
        <v>0.99999999991126898</v>
      </c>
    </row>
    <row r="1269" spans="1:40" x14ac:dyDescent="0.25">
      <c r="A1269" t="str">
        <f>"20190312172638573"</f>
        <v>20190312172638573</v>
      </c>
      <c r="B1269" t="str">
        <f>"1552382798569718"</f>
        <v>1552382798569718</v>
      </c>
      <c r="C1269" t="s">
        <v>40</v>
      </c>
      <c r="D1269">
        <v>3.6849620000000001</v>
      </c>
      <c r="E1269">
        <v>0.53060750000000001</v>
      </c>
      <c r="F1269" t="s">
        <v>47</v>
      </c>
      <c r="G1269">
        <v>-199.23859999999999</v>
      </c>
      <c r="H1269" s="1">
        <v>1.4884710000000001E-6</v>
      </c>
      <c r="I1269">
        <v>291.52679999999998</v>
      </c>
      <c r="J1269">
        <v>-191.55350000000001</v>
      </c>
      <c r="K1269">
        <v>1.108765</v>
      </c>
      <c r="L1269">
        <v>303.26409999999998</v>
      </c>
      <c r="M1269">
        <v>-0.20510539999999999</v>
      </c>
      <c r="N1269">
        <v>0</v>
      </c>
      <c r="O1269">
        <v>-0.97864739999999995</v>
      </c>
      <c r="P1269">
        <v>-0.46689330000000001</v>
      </c>
      <c r="Q1269">
        <v>0.1559516</v>
      </c>
      <c r="R1269">
        <v>-0.87045360000000005</v>
      </c>
      <c r="S1269">
        <v>-1.679565</v>
      </c>
      <c r="T1269">
        <v>-0.24104629999999999</v>
      </c>
      <c r="U1269">
        <v>-2.590179</v>
      </c>
      <c r="V1269">
        <v>0.27908450000000001</v>
      </c>
      <c r="W1269">
        <v>0.16758229999999999</v>
      </c>
      <c r="X1269">
        <v>0.94553050000000005</v>
      </c>
      <c r="Y1269">
        <v>0.35866479999999901</v>
      </c>
      <c r="Z1269">
        <v>7.9163129999999998E-2</v>
      </c>
      <c r="AA1269">
        <v>0.93010369999999998</v>
      </c>
      <c r="AB1269">
        <v>18</v>
      </c>
      <c r="AC1269">
        <v>-7.6850999999999701</v>
      </c>
      <c r="AD1269">
        <v>-1.108763511529</v>
      </c>
      <c r="AE1269">
        <v>-11.737299999999999</v>
      </c>
      <c r="AF1269">
        <v>5.0823385037536104</v>
      </c>
      <c r="AG1269">
        <v>-1.108763511529</v>
      </c>
      <c r="AH1269">
        <v>12.983025097657</v>
      </c>
      <c r="AI1269">
        <v>94.546870383142405</v>
      </c>
      <c r="AJ1269">
        <v>68.621630758442905</v>
      </c>
      <c r="AK1269">
        <v>13.986367000676999</v>
      </c>
      <c r="AL1269">
        <v>80.3527210562291</v>
      </c>
      <c r="AM1269">
        <v>73.555411993434703</v>
      </c>
      <c r="AN1269">
        <v>0.99999995592189395</v>
      </c>
    </row>
    <row r="1270" spans="1:40" x14ac:dyDescent="0.25">
      <c r="A1270" t="str">
        <f>"20190312172638597"</f>
        <v>20190312172638597</v>
      </c>
      <c r="B1270" t="str">
        <f>"1552382798590214"</f>
        <v>1552382798590214</v>
      </c>
      <c r="C1270" t="s">
        <v>40</v>
      </c>
      <c r="D1270">
        <v>3.6782629999999998</v>
      </c>
      <c r="E1270">
        <v>0.53069270000000002</v>
      </c>
      <c r="F1270" t="s">
        <v>47</v>
      </c>
      <c r="G1270">
        <v>-199.262</v>
      </c>
      <c r="H1270" s="1">
        <v>1.494215E-6</v>
      </c>
      <c r="I1270">
        <v>291.48239999999998</v>
      </c>
      <c r="J1270">
        <v>-191.59569999999999</v>
      </c>
      <c r="K1270">
        <v>1.108776</v>
      </c>
      <c r="L1270">
        <v>303.08350000000002</v>
      </c>
      <c r="M1270">
        <v>-0.20846580000000001</v>
      </c>
      <c r="N1270">
        <v>0</v>
      </c>
      <c r="O1270">
        <v>-0.97793699999999995</v>
      </c>
      <c r="P1270">
        <v>-0.47031840000000003</v>
      </c>
      <c r="Q1270">
        <v>0.15636920000000001</v>
      </c>
      <c r="R1270">
        <v>-0.868533</v>
      </c>
      <c r="S1270">
        <v>-1.6902919999999999</v>
      </c>
      <c r="T1270">
        <v>-0.24312710000000001</v>
      </c>
      <c r="U1270">
        <v>-2.583466</v>
      </c>
      <c r="V1270">
        <v>0.27957720000000003</v>
      </c>
      <c r="W1270">
        <v>0.16799639999999999</v>
      </c>
      <c r="X1270">
        <v>0.94531149999999997</v>
      </c>
      <c r="Y1270">
        <v>0.3592419</v>
      </c>
      <c r="Z1270">
        <v>7.9835290000000003E-2</v>
      </c>
      <c r="AA1270">
        <v>0.92982339999999997</v>
      </c>
      <c r="AB1270">
        <v>18</v>
      </c>
      <c r="AC1270">
        <v>-7.6662999999999997</v>
      </c>
      <c r="AD1270">
        <v>-1.108774505785</v>
      </c>
      <c r="AE1270">
        <v>-11.601100000000001</v>
      </c>
      <c r="AF1270">
        <v>5.0470963403368803</v>
      </c>
      <c r="AG1270">
        <v>-1.108774505785</v>
      </c>
      <c r="AH1270">
        <v>12.862697456383399</v>
      </c>
      <c r="AI1270">
        <v>94.587838389641405</v>
      </c>
      <c r="AJ1270">
        <v>68.575830520643507</v>
      </c>
      <c r="AK1270">
        <v>13.8618739075124</v>
      </c>
      <c r="AL1270">
        <v>80.328654258687706</v>
      </c>
      <c r="AM1270">
        <v>73.524343442087996</v>
      </c>
      <c r="AN1270">
        <v>1.00000001660252</v>
      </c>
    </row>
    <row r="1271" spans="1:40" x14ac:dyDescent="0.25">
      <c r="A1271" t="str">
        <f>"20190312172638620"</f>
        <v>20190312172638620</v>
      </c>
      <c r="B1271" t="str">
        <f>"1552382798609734"</f>
        <v>1552382798609734</v>
      </c>
      <c r="C1271" t="s">
        <v>40</v>
      </c>
      <c r="D1271">
        <v>3.6987040000000002</v>
      </c>
      <c r="E1271">
        <v>0.53077730000000001</v>
      </c>
      <c r="F1271" t="s">
        <v>47</v>
      </c>
      <c r="G1271">
        <v>-199.3835</v>
      </c>
      <c r="H1271" s="1">
        <v>1.5170879999999999E-6</v>
      </c>
      <c r="I1271">
        <v>291.29140000000001</v>
      </c>
      <c r="J1271">
        <v>-191.64060000000001</v>
      </c>
      <c r="K1271">
        <v>1.1087819999999999</v>
      </c>
      <c r="L1271">
        <v>302.89359999999999</v>
      </c>
      <c r="M1271">
        <v>-0.21200140000000001</v>
      </c>
      <c r="N1271">
        <v>0</v>
      </c>
      <c r="O1271">
        <v>-0.97717679999999996</v>
      </c>
      <c r="P1271">
        <v>-0.4736648</v>
      </c>
      <c r="Q1271">
        <v>0.15715509999999999</v>
      </c>
      <c r="R1271">
        <v>-0.86657039999999996</v>
      </c>
      <c r="S1271">
        <v>-1.70146199999999</v>
      </c>
      <c r="T1271">
        <v>-0.24224280000000001</v>
      </c>
      <c r="U1271">
        <v>-2.5763240000000001</v>
      </c>
      <c r="V1271">
        <v>0.27983590000000003</v>
      </c>
      <c r="W1271">
        <v>0.16878000000000001</v>
      </c>
      <c r="X1271">
        <v>0.94509540000000003</v>
      </c>
      <c r="Y1271">
        <v>0.35987370000000002</v>
      </c>
      <c r="Z1271">
        <v>7.9540330000000006E-2</v>
      </c>
      <c r="AA1271">
        <v>0.9296044</v>
      </c>
      <c r="AB1271">
        <v>18</v>
      </c>
      <c r="AC1271">
        <v>-7.7428999999999899</v>
      </c>
      <c r="AD1271">
        <v>-1.108780482912</v>
      </c>
      <c r="AE1271">
        <v>-11.6021999999999</v>
      </c>
      <c r="AF1271">
        <v>5.07489468732956</v>
      </c>
      <c r="AG1271">
        <v>-1.108780482912</v>
      </c>
      <c r="AH1271">
        <v>12.8985778543564</v>
      </c>
      <c r="AI1271">
        <v>94.573506044040698</v>
      </c>
      <c r="AJ1271">
        <v>68.523038294006895</v>
      </c>
      <c r="AK1271">
        <v>13.9052961461332</v>
      </c>
      <c r="AL1271">
        <v>80.283107400234698</v>
      </c>
      <c r="AM1271">
        <v>73.506360110030002</v>
      </c>
      <c r="AN1271">
        <v>1.00000006721498</v>
      </c>
    </row>
    <row r="1272" spans="1:40" x14ac:dyDescent="0.25">
      <c r="A1272" t="str">
        <f>"20190312172638662"</f>
        <v>20190312172638662</v>
      </c>
      <c r="B1272" t="str">
        <f>"1552382798659510"</f>
        <v>1552382798659510</v>
      </c>
      <c r="C1272" t="s">
        <v>40</v>
      </c>
      <c r="D1272">
        <v>3.6646399999999999</v>
      </c>
      <c r="E1272">
        <v>0.53103710000000004</v>
      </c>
      <c r="F1272" t="s">
        <v>47</v>
      </c>
      <c r="G1272">
        <v>-199.536</v>
      </c>
      <c r="H1272" s="1">
        <v>1.5470339999999899E-6</v>
      </c>
      <c r="I1272">
        <v>291.04450000000003</v>
      </c>
      <c r="J1272">
        <v>-191.71969999999999</v>
      </c>
      <c r="K1272">
        <v>1.1088009999999999</v>
      </c>
      <c r="L1272">
        <v>302.56630000000001</v>
      </c>
      <c r="M1272">
        <v>-0.21809439999999999</v>
      </c>
      <c r="N1272">
        <v>0</v>
      </c>
      <c r="O1272">
        <v>-0.97583500000000001</v>
      </c>
      <c r="P1272">
        <v>-0.47869489999999998</v>
      </c>
      <c r="Q1272">
        <v>0.15866830000000001</v>
      </c>
      <c r="R1272">
        <v>-0.86352549999999995</v>
      </c>
      <c r="S1272">
        <v>-1.7122040000000001</v>
      </c>
      <c r="T1272">
        <v>-0.24045179999999999</v>
      </c>
      <c r="U1272">
        <v>-2.5696110000000001</v>
      </c>
      <c r="V1272">
        <v>0.27949499999999999</v>
      </c>
      <c r="W1272">
        <v>0.170295</v>
      </c>
      <c r="X1272">
        <v>0.9449244</v>
      </c>
      <c r="Y1272">
        <v>0.35789399999999999</v>
      </c>
      <c r="Z1272">
        <v>7.8912679999999999E-2</v>
      </c>
      <c r="AA1272">
        <v>0.93042179999999997</v>
      </c>
      <c r="AB1272">
        <v>18</v>
      </c>
      <c r="AC1272">
        <v>-7.8162999999999796</v>
      </c>
      <c r="AD1272">
        <v>-1.1087994529659999</v>
      </c>
      <c r="AE1272">
        <v>-11.521799999999899</v>
      </c>
      <c r="AF1272">
        <v>5.0828049114997196</v>
      </c>
      <c r="AG1272">
        <v>-1.1087994529659999</v>
      </c>
      <c r="AH1272">
        <v>12.867627554658499</v>
      </c>
      <c r="AI1272">
        <v>94.582107022147198</v>
      </c>
      <c r="AJ1272">
        <v>68.445625614764893</v>
      </c>
      <c r="AK1272">
        <v>13.8794877744342</v>
      </c>
      <c r="AL1272">
        <v>80.195028403535005</v>
      </c>
      <c r="AM1272">
        <v>73.522543284935495</v>
      </c>
      <c r="AN1272">
        <v>0.99999998188267902</v>
      </c>
    </row>
    <row r="1273" spans="1:40" x14ac:dyDescent="0.25">
      <c r="A1273" t="str">
        <f>"20190312172638685"</f>
        <v>20190312172638685</v>
      </c>
      <c r="B1273" t="str">
        <f>"1552382798680006"</f>
        <v>1552382798680006</v>
      </c>
      <c r="C1273" t="s">
        <v>40</v>
      </c>
      <c r="D1273">
        <v>3.672231</v>
      </c>
      <c r="E1273">
        <v>0.53114629999999996</v>
      </c>
      <c r="F1273" t="s">
        <v>47</v>
      </c>
      <c r="G1273">
        <v>-199.8133</v>
      </c>
      <c r="H1273" s="1">
        <v>1.6007720000000001E-6</v>
      </c>
      <c r="I1273">
        <v>290.59969999999998</v>
      </c>
      <c r="J1273">
        <v>-191.76499999999999</v>
      </c>
      <c r="K1273">
        <v>1.108808</v>
      </c>
      <c r="L1273">
        <v>302.38330000000002</v>
      </c>
      <c r="M1273">
        <v>-0.2215037</v>
      </c>
      <c r="N1273">
        <v>0</v>
      </c>
      <c r="O1273">
        <v>-0.97506689999999996</v>
      </c>
      <c r="P1273">
        <v>-0.48142669999999999</v>
      </c>
      <c r="Q1273">
        <v>0.159079</v>
      </c>
      <c r="R1273">
        <v>-0.86192969999999902</v>
      </c>
      <c r="S1273">
        <v>-1.730423</v>
      </c>
      <c r="T1273">
        <v>-0.23706469999999999</v>
      </c>
      <c r="U1273">
        <v>-2.5585019999999998</v>
      </c>
      <c r="V1273">
        <v>0.2792</v>
      </c>
      <c r="W1273">
        <v>0.170708</v>
      </c>
      <c r="X1273">
        <v>0.94493709999999997</v>
      </c>
      <c r="Y1273">
        <v>0.36110219999999998</v>
      </c>
      <c r="Z1273">
        <v>7.7803960000000005E-2</v>
      </c>
      <c r="AA1273">
        <v>0.92927490000000001</v>
      </c>
      <c r="AB1273">
        <v>18</v>
      </c>
      <c r="AC1273">
        <v>-8.04830000000001</v>
      </c>
      <c r="AD1273">
        <v>-1.108806399228</v>
      </c>
      <c r="AE1273">
        <v>-11.7836</v>
      </c>
      <c r="AF1273">
        <v>5.2065573281360997</v>
      </c>
      <c r="AG1273">
        <v>-1.108806399228</v>
      </c>
      <c r="AH1273">
        <v>13.1940634647141</v>
      </c>
      <c r="AI1273">
        <v>94.469831846585706</v>
      </c>
      <c r="AJ1273">
        <v>68.465131980027607</v>
      </c>
      <c r="AK1273">
        <v>14.227473477502601</v>
      </c>
      <c r="AL1273">
        <v>80.171013708833897</v>
      </c>
      <c r="AM1273">
        <v>73.539202306233307</v>
      </c>
      <c r="AN1273">
        <v>0.99999999211020496</v>
      </c>
    </row>
    <row r="1274" spans="1:40" x14ac:dyDescent="0.25">
      <c r="A1274" t="str">
        <f>"20190312172638707"</f>
        <v>20190312172638707</v>
      </c>
      <c r="B1274" t="str">
        <f>"1552382798699527"</f>
        <v>1552382798699527</v>
      </c>
      <c r="C1274" t="s">
        <v>40</v>
      </c>
      <c r="D1274">
        <v>3.6159569999999999</v>
      </c>
      <c r="E1274">
        <v>0.53125699999999998</v>
      </c>
      <c r="F1274" t="s">
        <v>47</v>
      </c>
      <c r="G1274">
        <v>-199.91730000000001</v>
      </c>
      <c r="H1274" s="1">
        <v>1.6238159999999901E-6</v>
      </c>
      <c r="I1274">
        <v>290.41649999999998</v>
      </c>
      <c r="J1274">
        <v>-191.8065</v>
      </c>
      <c r="K1274">
        <v>1.108811</v>
      </c>
      <c r="L1274">
        <v>302.21730000000002</v>
      </c>
      <c r="M1274">
        <v>-0.2245964</v>
      </c>
      <c r="N1274">
        <v>0</v>
      </c>
      <c r="O1274">
        <v>-0.97435919999999998</v>
      </c>
      <c r="P1274">
        <v>-0.4836374</v>
      </c>
      <c r="Q1274">
        <v>0.1592749</v>
      </c>
      <c r="R1274">
        <v>-0.86065499999999995</v>
      </c>
      <c r="S1274">
        <v>-1.73912</v>
      </c>
      <c r="T1274">
        <v>-0.23653879999999999</v>
      </c>
      <c r="U1274">
        <v>-2.5528559999999998</v>
      </c>
      <c r="V1274">
        <v>0.27863270000000001</v>
      </c>
      <c r="W1274">
        <v>0.17090910000000001</v>
      </c>
      <c r="X1274">
        <v>0.94506820000000002</v>
      </c>
      <c r="Y1274">
        <v>0.36127189999999998</v>
      </c>
      <c r="Z1274">
        <v>7.7618919999999994E-2</v>
      </c>
      <c r="AA1274">
        <v>0.92922439999999995</v>
      </c>
      <c r="AB1274">
        <v>18</v>
      </c>
      <c r="AC1274">
        <v>-8.11080000000001</v>
      </c>
      <c r="AD1274">
        <v>-1.1088093761840001</v>
      </c>
      <c r="AE1274">
        <v>-11.800800000000001</v>
      </c>
      <c r="AF1274">
        <v>5.2215808046769103</v>
      </c>
      <c r="AG1274">
        <v>-1.1088093761840001</v>
      </c>
      <c r="AH1274">
        <v>13.2416794621679</v>
      </c>
      <c r="AI1274">
        <v>94.454266115164401</v>
      </c>
      <c r="AJ1274">
        <v>68.479234632127003</v>
      </c>
      <c r="AK1274">
        <v>14.2771299395671</v>
      </c>
      <c r="AL1274">
        <v>80.159319776091294</v>
      </c>
      <c r="AM1274">
        <v>73.572999708089299</v>
      </c>
      <c r="AN1274">
        <v>1.00000000231167</v>
      </c>
    </row>
    <row r="1275" spans="1:40" x14ac:dyDescent="0.25">
      <c r="A1275" t="str">
        <f>"20190312172638730"</f>
        <v>20190312172638730</v>
      </c>
      <c r="B1275" t="str">
        <f>"1552382798720022"</f>
        <v>1552382798720022</v>
      </c>
      <c r="C1275" t="s">
        <v>40</v>
      </c>
      <c r="D1275">
        <v>3.667151</v>
      </c>
      <c r="E1275">
        <v>0.53136399999999995</v>
      </c>
      <c r="F1275" t="s">
        <v>47</v>
      </c>
      <c r="G1275">
        <v>-200.0033</v>
      </c>
      <c r="H1275" s="1">
        <v>1.6691269999999999E-6</v>
      </c>
      <c r="I1275">
        <v>290.26499999999999</v>
      </c>
      <c r="J1275">
        <v>-191.852</v>
      </c>
      <c r="K1275">
        <v>1.1088169999999999</v>
      </c>
      <c r="L1275">
        <v>302.03840000000002</v>
      </c>
      <c r="M1275">
        <v>-0.2279292</v>
      </c>
      <c r="N1275">
        <v>0</v>
      </c>
      <c r="O1275">
        <v>-0.97358509999999998</v>
      </c>
      <c r="P1275">
        <v>-0.48661270000000001</v>
      </c>
      <c r="Q1275">
        <v>0.15979099999999999</v>
      </c>
      <c r="R1275">
        <v>-0.85888030000000004</v>
      </c>
      <c r="S1275">
        <v>-1.7471920000000001</v>
      </c>
      <c r="T1275">
        <v>-0.2363489</v>
      </c>
      <c r="U1275">
        <v>-2.5476990000000002</v>
      </c>
      <c r="V1275">
        <v>0.27869110000000002</v>
      </c>
      <c r="W1275">
        <v>0.17142499999999999</v>
      </c>
      <c r="X1275">
        <v>0.94495759999999995</v>
      </c>
      <c r="Y1275">
        <v>0.36096610000000001</v>
      </c>
      <c r="Z1275">
        <v>7.7535290000000007E-2</v>
      </c>
      <c r="AA1275">
        <v>0.92935020000000002</v>
      </c>
      <c r="AB1275">
        <v>18</v>
      </c>
      <c r="AC1275">
        <v>-8.1512999999999902</v>
      </c>
      <c r="AD1275">
        <v>-1.108815330873</v>
      </c>
      <c r="AE1275">
        <v>-11.773400000000001</v>
      </c>
      <c r="AF1275">
        <v>5.2216484664191496</v>
      </c>
      <c r="AG1275">
        <v>-1.108815330873</v>
      </c>
      <c r="AH1275">
        <v>13.242130608570699</v>
      </c>
      <c r="AI1275">
        <v>94.454151400284999</v>
      </c>
      <c r="AJ1275">
        <v>68.479647423731507</v>
      </c>
      <c r="AK1275">
        <v>14.277573575341201</v>
      </c>
      <c r="AL1275">
        <v>80.129318722586206</v>
      </c>
      <c r="AM1275">
        <v>73.567923031867707</v>
      </c>
      <c r="AN1275">
        <v>1.00000006282098</v>
      </c>
    </row>
    <row r="1276" spans="1:40" x14ac:dyDescent="0.25">
      <c r="A1276" t="str">
        <f>"20190312172638752"</f>
        <v>20190312172638752</v>
      </c>
      <c r="B1276" t="str">
        <f>"1552382798750278"</f>
        <v>1552382798750278</v>
      </c>
      <c r="C1276" t="s">
        <v>40</v>
      </c>
      <c r="D1276">
        <v>3.6729669999999999</v>
      </c>
      <c r="E1276">
        <v>0.53152469999999996</v>
      </c>
      <c r="F1276" t="s">
        <v>47</v>
      </c>
      <c r="G1276">
        <v>-200.13290000000001</v>
      </c>
      <c r="H1276" s="1">
        <v>1.767844E-6</v>
      </c>
      <c r="I1276">
        <v>290.06290000000001</v>
      </c>
      <c r="J1276">
        <v>-191.8955</v>
      </c>
      <c r="K1276">
        <v>1.1088169999999999</v>
      </c>
      <c r="L1276">
        <v>301.8698</v>
      </c>
      <c r="M1276">
        <v>-0.2310709</v>
      </c>
      <c r="N1276">
        <v>0</v>
      </c>
      <c r="O1276">
        <v>-0.97284420000000005</v>
      </c>
      <c r="P1276">
        <v>-0.489653</v>
      </c>
      <c r="Q1276">
        <v>0.16005169999999999</v>
      </c>
      <c r="R1276">
        <v>-0.85710169999999997</v>
      </c>
      <c r="S1276">
        <v>-1.7571869999999901</v>
      </c>
      <c r="T1276">
        <v>-0.23528830000000001</v>
      </c>
      <c r="U1276">
        <v>-2.5411679999999999</v>
      </c>
      <c r="V1276">
        <v>0.27900000000000003</v>
      </c>
      <c r="W1276">
        <v>0.17168329999999901</v>
      </c>
      <c r="X1276">
        <v>0.94481950000000003</v>
      </c>
      <c r="Y1276">
        <v>0.36156319999999997</v>
      </c>
      <c r="Z1276">
        <v>7.7176439999999999E-2</v>
      </c>
      <c r="AA1276">
        <v>0.92914790000000003</v>
      </c>
      <c r="AB1276">
        <v>18</v>
      </c>
      <c r="AC1276">
        <v>-8.2373999999999992</v>
      </c>
      <c r="AD1276">
        <v>-1.1088152321560001</v>
      </c>
      <c r="AE1276">
        <v>-11.806899999999899</v>
      </c>
      <c r="AF1276">
        <v>5.2547807849837502</v>
      </c>
      <c r="AG1276">
        <v>-1.1088152321560001</v>
      </c>
      <c r="AH1276">
        <v>13.3119379150586</v>
      </c>
      <c r="AI1276">
        <v>94.430252437119407</v>
      </c>
      <c r="AJ1276">
        <v>68.458769184017797</v>
      </c>
      <c r="AK1276">
        <v>14.3544377588142</v>
      </c>
      <c r="AL1276">
        <v>80.114296102596995</v>
      </c>
      <c r="AM1276">
        <v>73.548419378474193</v>
      </c>
      <c r="AN1276">
        <v>1.0000000215395699</v>
      </c>
    </row>
    <row r="1277" spans="1:40" x14ac:dyDescent="0.25">
      <c r="A1277" t="str">
        <f>"20190312172638775"</f>
        <v>20190312172638775</v>
      </c>
      <c r="B1277" t="str">
        <f>"1552382798769799"</f>
        <v>1552382798769799</v>
      </c>
      <c r="C1277" t="s">
        <v>40</v>
      </c>
      <c r="D1277">
        <v>3.66933</v>
      </c>
      <c r="E1277">
        <v>0.531638099999999</v>
      </c>
      <c r="F1277" t="s">
        <v>47</v>
      </c>
      <c r="G1277">
        <v>-200.2242</v>
      </c>
      <c r="H1277" s="1">
        <v>1.8354620000000001E-6</v>
      </c>
      <c r="I1277">
        <v>289.9316</v>
      </c>
      <c r="J1277">
        <v>-191.94130000000001</v>
      </c>
      <c r="K1277">
        <v>1.1088199999999999</v>
      </c>
      <c r="L1277">
        <v>301.69459999999998</v>
      </c>
      <c r="M1277">
        <v>-0.23433580000000001</v>
      </c>
      <c r="N1277">
        <v>0</v>
      </c>
      <c r="O1277">
        <v>-0.97206300000000001</v>
      </c>
      <c r="P1277">
        <v>-0.49324109999999999</v>
      </c>
      <c r="Q1277">
        <v>0.16013459999999999</v>
      </c>
      <c r="R1277">
        <v>-0.85502679999999998</v>
      </c>
      <c r="S1277">
        <v>-1.76795999999999</v>
      </c>
      <c r="T1277">
        <v>-0.23537159999999999</v>
      </c>
      <c r="U1277">
        <v>-2.5341490000000002</v>
      </c>
      <c r="V1277">
        <v>0.27979150000000003</v>
      </c>
      <c r="W1277">
        <v>0.17176129999999901</v>
      </c>
      <c r="X1277">
        <v>0.94457120000000006</v>
      </c>
      <c r="Y1277">
        <v>0.36229850000000002</v>
      </c>
      <c r="Z1277">
        <v>7.7188770000000004E-2</v>
      </c>
      <c r="AA1277">
        <v>0.92886040000000003</v>
      </c>
      <c r="AB1277">
        <v>18</v>
      </c>
      <c r="AC1277">
        <v>-8.2828999999999802</v>
      </c>
      <c r="AD1277">
        <v>-1.108818164538</v>
      </c>
      <c r="AE1277">
        <v>-11.7629999999999</v>
      </c>
      <c r="AF1277">
        <v>5.2642152283744297</v>
      </c>
      <c r="AG1277">
        <v>-1.108818164538</v>
      </c>
      <c r="AH1277">
        <v>13.297572030199699</v>
      </c>
      <c r="AI1277">
        <v>94.433316021431096</v>
      </c>
      <c r="AJ1277">
        <v>68.402480737701097</v>
      </c>
      <c r="AK1277">
        <v>14.344576033853601</v>
      </c>
      <c r="AL1277">
        <v>80.1097593271368</v>
      </c>
      <c r="AM1277">
        <v>73.5001804776619</v>
      </c>
      <c r="AN1277">
        <v>0.99999998975968996</v>
      </c>
    </row>
    <row r="1278" spans="1:40" x14ac:dyDescent="0.25">
      <c r="A1278" t="str">
        <f>"20190312172638797"</f>
        <v>20190312172638797</v>
      </c>
      <c r="B1278" t="str">
        <f>"1552382798790294"</f>
        <v>1552382798790294</v>
      </c>
      <c r="C1278" t="s">
        <v>40</v>
      </c>
      <c r="D1278">
        <v>3.6648619999999998</v>
      </c>
      <c r="E1278">
        <v>0.53175289999999997</v>
      </c>
      <c r="F1278" t="s">
        <v>47</v>
      </c>
      <c r="G1278">
        <v>-200.30449999999999</v>
      </c>
      <c r="H1278" s="1">
        <v>1.888162E-6</v>
      </c>
      <c r="I1278">
        <v>289.81849999999997</v>
      </c>
      <c r="J1278">
        <v>-191.9846</v>
      </c>
      <c r="K1278">
        <v>1.1088169999999999</v>
      </c>
      <c r="L1278">
        <v>301.53089999999997</v>
      </c>
      <c r="M1278">
        <v>-0.2373855</v>
      </c>
      <c r="N1278">
        <v>0</v>
      </c>
      <c r="O1278">
        <v>-0.97132280000000004</v>
      </c>
      <c r="P1278">
        <v>-0.49630370000000001</v>
      </c>
      <c r="Q1278">
        <v>0.1588523</v>
      </c>
      <c r="R1278">
        <v>-0.85349240000000004</v>
      </c>
      <c r="S1278">
        <v>-1.779175</v>
      </c>
      <c r="T1278">
        <v>-0.23588790000000001</v>
      </c>
      <c r="U1278">
        <v>-2.5264890000000002</v>
      </c>
      <c r="V1278">
        <v>0.28015109999999999</v>
      </c>
      <c r="W1278">
        <v>0.1704802</v>
      </c>
      <c r="X1278">
        <v>0.94469669999999895</v>
      </c>
      <c r="Y1278">
        <v>0.36344919999999997</v>
      </c>
      <c r="Z1278">
        <v>7.735206E-2</v>
      </c>
      <c r="AA1278">
        <v>0.92839720000000003</v>
      </c>
      <c r="AB1278">
        <v>18</v>
      </c>
      <c r="AC1278">
        <v>-8.3198999999999899</v>
      </c>
      <c r="AD1278">
        <v>-1.1088151118380001</v>
      </c>
      <c r="AE1278">
        <v>-11.712400000000001</v>
      </c>
      <c r="AF1278">
        <v>5.2700400677685497</v>
      </c>
      <c r="AG1278">
        <v>-1.1088151118380001</v>
      </c>
      <c r="AH1278">
        <v>13.2736800904215</v>
      </c>
      <c r="AI1278">
        <v>94.439507094289198</v>
      </c>
      <c r="AJ1278">
        <v>68.345471611853199</v>
      </c>
      <c r="AK1278">
        <v>14.3245724686979</v>
      </c>
      <c r="AL1278">
        <v>80.184259898298706</v>
      </c>
      <c r="AM1278">
        <v>73.4822044320115</v>
      </c>
      <c r="AN1278">
        <v>0.99999999620706903</v>
      </c>
    </row>
    <row r="1279" spans="1:40" x14ac:dyDescent="0.25">
      <c r="A1279" t="str">
        <f>"20190312172638821"</f>
        <v>20190312172638821</v>
      </c>
      <c r="B1279" t="str">
        <f>"1552382798809815"</f>
        <v>1552382798809815</v>
      </c>
      <c r="C1279" t="s">
        <v>40</v>
      </c>
      <c r="D1279">
        <v>3.6864599999999998</v>
      </c>
      <c r="E1279">
        <v>0.53186829999999996</v>
      </c>
      <c r="F1279" t="s">
        <v>47</v>
      </c>
      <c r="G1279">
        <v>-200.23759999999999</v>
      </c>
      <c r="H1279" s="1">
        <v>1.845625E-6</v>
      </c>
      <c r="I1279">
        <v>289.91090000000003</v>
      </c>
      <c r="J1279">
        <v>-192.03649999999999</v>
      </c>
      <c r="K1279">
        <v>1.1088150000000001</v>
      </c>
      <c r="L1279">
        <v>301.33760000000001</v>
      </c>
      <c r="M1279">
        <v>-0.24099019999999999</v>
      </c>
      <c r="N1279">
        <v>0</v>
      </c>
      <c r="O1279">
        <v>-0.97043469999999998</v>
      </c>
      <c r="P1279">
        <v>-0.49987559999999898</v>
      </c>
      <c r="Q1279">
        <v>0.1579392</v>
      </c>
      <c r="R1279">
        <v>-0.85157479999999997</v>
      </c>
      <c r="S1279">
        <v>-1.789307</v>
      </c>
      <c r="T1279">
        <v>-0.24039820000000001</v>
      </c>
      <c r="U1279">
        <v>-2.5192869999999998</v>
      </c>
      <c r="V1279">
        <v>0.28055639999999998</v>
      </c>
      <c r="W1279">
        <v>0.16956760000000001</v>
      </c>
      <c r="X1279">
        <v>0.94474069999999999</v>
      </c>
      <c r="Y1279">
        <v>0.36365910000000001</v>
      </c>
      <c r="Z1279">
        <v>7.880972E-2</v>
      </c>
      <c r="AA1279">
        <v>0.92819240000000003</v>
      </c>
      <c r="AB1279">
        <v>18</v>
      </c>
      <c r="AC1279">
        <v>-8.2010999999999896</v>
      </c>
      <c r="AD1279">
        <v>-1.1088131543749999</v>
      </c>
      <c r="AE1279">
        <v>-11.426699999999901</v>
      </c>
      <c r="AF1279">
        <v>5.1732275800173797</v>
      </c>
      <c r="AG1279">
        <v>-1.1088131543749999</v>
      </c>
      <c r="AH1279">
        <v>12.985724146856001</v>
      </c>
      <c r="AI1279">
        <v>94.535445368184895</v>
      </c>
      <c r="AJ1279">
        <v>68.278747685001093</v>
      </c>
      <c r="AK1279">
        <v>14.0221532520582</v>
      </c>
      <c r="AL1279">
        <v>80.237320903359802</v>
      </c>
      <c r="AM1279">
        <v>73.460340931949403</v>
      </c>
      <c r="AN1279">
        <v>1.0000000273936001</v>
      </c>
    </row>
    <row r="1280" spans="1:40" x14ac:dyDescent="0.25">
      <c r="A1280" t="str">
        <f>"20190312172638864"</f>
        <v>20190312172638864</v>
      </c>
      <c r="B1280" t="str">
        <f>"1552382798859591"</f>
        <v>1552382798859591</v>
      </c>
      <c r="C1280" t="s">
        <v>40</v>
      </c>
      <c r="D1280">
        <v>3.683119</v>
      </c>
      <c r="E1280">
        <v>0.53214259999999902</v>
      </c>
      <c r="F1280" t="s">
        <v>47</v>
      </c>
      <c r="G1280">
        <v>-200.2303</v>
      </c>
      <c r="H1280" s="1">
        <v>1.8418009999999999E-6</v>
      </c>
      <c r="I1280">
        <v>289.91250000000002</v>
      </c>
      <c r="J1280">
        <v>-192.12569999999999</v>
      </c>
      <c r="K1280">
        <v>1.1088119999999999</v>
      </c>
      <c r="L1280">
        <v>301.01170000000002</v>
      </c>
      <c r="M1280">
        <v>-0.24706649999999999</v>
      </c>
      <c r="N1280">
        <v>0</v>
      </c>
      <c r="O1280">
        <v>-0.96890580000000004</v>
      </c>
      <c r="P1280">
        <v>-0.50589719999999905</v>
      </c>
      <c r="Q1280">
        <v>0.15487100000000001</v>
      </c>
      <c r="R1280">
        <v>-0.84857749999999998</v>
      </c>
      <c r="S1280">
        <v>-1.8008580000000001</v>
      </c>
      <c r="T1280">
        <v>-0.2436972</v>
      </c>
      <c r="U1280">
        <v>-2.5110169999999998</v>
      </c>
      <c r="V1280">
        <v>0.28117700000000001</v>
      </c>
      <c r="W1280">
        <v>0.16650379999999901</v>
      </c>
      <c r="X1280">
        <v>0.94510110000000003</v>
      </c>
      <c r="Y1280">
        <v>0.36204219999999998</v>
      </c>
      <c r="Z1280">
        <v>7.9838270000000003E-2</v>
      </c>
      <c r="AA1280">
        <v>0.92873640000000002</v>
      </c>
      <c r="AB1280">
        <v>18</v>
      </c>
      <c r="AC1280">
        <v>-8.1045999999999996</v>
      </c>
      <c r="AD1280">
        <v>-1.108810158199</v>
      </c>
      <c r="AE1280">
        <v>-11.0991999999999</v>
      </c>
      <c r="AF1280">
        <v>5.0777598861630002</v>
      </c>
      <c r="AG1280">
        <v>-1.108810158199</v>
      </c>
      <c r="AH1280">
        <v>12.675094420462001</v>
      </c>
      <c r="AI1280">
        <v>94.642548307531001</v>
      </c>
      <c r="AJ1280">
        <v>68.168504918642</v>
      </c>
      <c r="AK1280">
        <v>13.699311077425699</v>
      </c>
      <c r="AL1280">
        <v>80.415396114991793</v>
      </c>
      <c r="AM1280">
        <v>73.431733561742902</v>
      </c>
      <c r="AN1280">
        <v>1.00000005498232</v>
      </c>
    </row>
    <row r="1281" spans="1:40" x14ac:dyDescent="0.25">
      <c r="A1281" t="str">
        <f>"20190312172638886"</f>
        <v>20190312172638886</v>
      </c>
      <c r="B1281" t="str">
        <f>"1552382798880087"</f>
        <v>1552382798880087</v>
      </c>
      <c r="C1281" t="s">
        <v>40</v>
      </c>
      <c r="D1281">
        <v>3.6856170000000001</v>
      </c>
      <c r="E1281">
        <v>0.53225639999999996</v>
      </c>
      <c r="F1281" t="s">
        <v>47</v>
      </c>
      <c r="G1281">
        <v>-200.0462</v>
      </c>
      <c r="H1281" s="1">
        <v>1.711199E-6</v>
      </c>
      <c r="I1281">
        <v>290.14460000000003</v>
      </c>
      <c r="J1281">
        <v>-192.17349999999999</v>
      </c>
      <c r="K1281">
        <v>1.108808</v>
      </c>
      <c r="L1281">
        <v>300.84019999999998</v>
      </c>
      <c r="M1281">
        <v>-0.25026589999999999</v>
      </c>
      <c r="N1281">
        <v>0</v>
      </c>
      <c r="O1281">
        <v>-0.96808399999999994</v>
      </c>
      <c r="P1281">
        <v>-0.50909199999999999</v>
      </c>
      <c r="Q1281">
        <v>0.15324019999999999</v>
      </c>
      <c r="R1281">
        <v>-0.84696099999999996</v>
      </c>
      <c r="S1281">
        <v>-1.819839</v>
      </c>
      <c r="T1281">
        <v>-0.25476260000000001</v>
      </c>
      <c r="U1281">
        <v>-2.4968569999999999</v>
      </c>
      <c r="V1281">
        <v>0.2815357</v>
      </c>
      <c r="W1281">
        <v>0.16487489999999999</v>
      </c>
      <c r="X1281">
        <v>0.9452798</v>
      </c>
      <c r="Y1281">
        <v>0.36589969999999999</v>
      </c>
      <c r="Z1281">
        <v>8.3476759999999997E-2</v>
      </c>
      <c r="AA1281">
        <v>0.92690289999999997</v>
      </c>
      <c r="AB1281">
        <v>18</v>
      </c>
      <c r="AC1281">
        <v>-7.8727</v>
      </c>
      <c r="AD1281">
        <v>-1.108806288801</v>
      </c>
      <c r="AE1281">
        <v>-10.695599999999899</v>
      </c>
      <c r="AF1281">
        <v>4.9109046607124398</v>
      </c>
      <c r="AG1281">
        <v>-1.108806288801</v>
      </c>
      <c r="AH1281">
        <v>12.2402961830804</v>
      </c>
      <c r="AI1281">
        <v>94.805694800387798</v>
      </c>
      <c r="AJ1281">
        <v>68.138949103844894</v>
      </c>
      <c r="AK1281">
        <v>13.2352289977251</v>
      </c>
      <c r="AL1281">
        <v>80.510032685415496</v>
      </c>
      <c r="AM1281">
        <v>73.414721713271703</v>
      </c>
      <c r="AN1281">
        <v>0.99999999165626996</v>
      </c>
    </row>
    <row r="1282" spans="1:40" x14ac:dyDescent="0.25">
      <c r="A1282" t="str">
        <f>"20190312172638909"</f>
        <v>20190312172638909</v>
      </c>
      <c r="B1282" t="str">
        <f>"1552382798900274"</f>
        <v>1552382798900274</v>
      </c>
      <c r="C1282" t="s">
        <v>40</v>
      </c>
      <c r="D1282">
        <v>3.7420840000000002</v>
      </c>
      <c r="E1282">
        <v>0.53235980000000005</v>
      </c>
      <c r="F1282" t="s">
        <v>47</v>
      </c>
      <c r="G1282">
        <v>-199.96469999999999</v>
      </c>
      <c r="H1282" s="1">
        <v>1.6545659999999999E-6</v>
      </c>
      <c r="I1282">
        <v>290.24059999999997</v>
      </c>
      <c r="J1282">
        <v>-192.2208</v>
      </c>
      <c r="K1282">
        <v>1.1088009999999999</v>
      </c>
      <c r="L1282">
        <v>300.67259999999999</v>
      </c>
      <c r="M1282">
        <v>-0.25339699999999998</v>
      </c>
      <c r="N1282">
        <v>0</v>
      </c>
      <c r="O1282">
        <v>-0.9672695</v>
      </c>
      <c r="P1282">
        <v>-0.51236859999999995</v>
      </c>
      <c r="Q1282">
        <v>0.15265619999999999</v>
      </c>
      <c r="R1282">
        <v>-0.84508879999999997</v>
      </c>
      <c r="S1282">
        <v>-1.829758</v>
      </c>
      <c r="T1282">
        <v>-0.26040229999999998</v>
      </c>
      <c r="U1282">
        <v>-2.4893190000000001</v>
      </c>
      <c r="V1282">
        <v>0.28210930000000001</v>
      </c>
      <c r="W1282">
        <v>0.16428789999999999</v>
      </c>
      <c r="X1282">
        <v>0.94521100000000002</v>
      </c>
      <c r="Y1282">
        <v>0.366533</v>
      </c>
      <c r="Z1282">
        <v>8.5307999999999995E-2</v>
      </c>
      <c r="AA1282">
        <v>0.92648589999999997</v>
      </c>
      <c r="AB1282">
        <v>18</v>
      </c>
      <c r="AC1282">
        <v>-7.7438999999999902</v>
      </c>
      <c r="AD1282">
        <v>-1.1087993454339999</v>
      </c>
      <c r="AE1282">
        <v>-10.432</v>
      </c>
      <c r="AF1282">
        <v>4.81238469100819</v>
      </c>
      <c r="AG1282">
        <v>-1.1087993454339999</v>
      </c>
      <c r="AH1282">
        <v>11.9667580622044</v>
      </c>
      <c r="AI1282">
        <v>94.913394770478305</v>
      </c>
      <c r="AJ1282">
        <v>68.092668511308304</v>
      </c>
      <c r="AK1282">
        <v>12.945724426312299</v>
      </c>
      <c r="AL1282">
        <v>80.544130387597406</v>
      </c>
      <c r="AM1282">
        <v>73.381649595601303</v>
      </c>
      <c r="AN1282">
        <v>1.00000000287695</v>
      </c>
    </row>
    <row r="1283" spans="1:40" x14ac:dyDescent="0.25">
      <c r="A1283" t="str">
        <f>"20190312172638930"</f>
        <v>20190312172638930</v>
      </c>
      <c r="B1283" t="str">
        <f>"1552382798919794"</f>
        <v>1552382798919794</v>
      </c>
      <c r="C1283" t="s">
        <v>40</v>
      </c>
      <c r="D1283">
        <v>3.6613090000000001</v>
      </c>
      <c r="E1283">
        <v>0.5324084</v>
      </c>
      <c r="F1283" t="s">
        <v>47</v>
      </c>
      <c r="G1283">
        <v>-199.98349999999999</v>
      </c>
      <c r="H1283" s="1">
        <v>1.670455E-6</v>
      </c>
      <c r="I1283">
        <v>290.20240000000001</v>
      </c>
      <c r="J1283">
        <v>-192.2672</v>
      </c>
      <c r="K1283">
        <v>1.108797</v>
      </c>
      <c r="L1283">
        <v>300.51049999999998</v>
      </c>
      <c r="M1283">
        <v>-0.25643569999999999</v>
      </c>
      <c r="N1283">
        <v>0</v>
      </c>
      <c r="O1283">
        <v>-0.96646840000000001</v>
      </c>
      <c r="P1283">
        <v>-0.51529829999999999</v>
      </c>
      <c r="Q1283">
        <v>0.15293970000000001</v>
      </c>
      <c r="R1283">
        <v>-0.84325439999999996</v>
      </c>
      <c r="S1283">
        <v>-1.8400270000000001</v>
      </c>
      <c r="T1283">
        <v>-0.26282450000000002</v>
      </c>
      <c r="U1283">
        <v>-2.4818120000000001</v>
      </c>
      <c r="V1283">
        <v>0.28243420000000002</v>
      </c>
      <c r="W1283">
        <v>0.16456579999999901</v>
      </c>
      <c r="X1283">
        <v>0.94506559999999995</v>
      </c>
      <c r="Y1283">
        <v>0.36738419999999999</v>
      </c>
      <c r="Z1283">
        <v>8.6086239999999994E-2</v>
      </c>
      <c r="AA1283">
        <v>0.92607669999999997</v>
      </c>
      <c r="AB1283">
        <v>17</v>
      </c>
      <c r="AC1283">
        <v>-7.7162999999999897</v>
      </c>
      <c r="AD1283">
        <v>-1.1087953295449999</v>
      </c>
      <c r="AE1283">
        <v>-10.3080999999999</v>
      </c>
      <c r="AF1283">
        <v>4.7791889139979302</v>
      </c>
      <c r="AG1283">
        <v>-1.1087953295449999</v>
      </c>
      <c r="AH1283">
        <v>11.8543575063755</v>
      </c>
      <c r="AI1283">
        <v>94.958001991960003</v>
      </c>
      <c r="AJ1283">
        <v>68.0427367987064</v>
      </c>
      <c r="AK1283">
        <v>12.8294920260882</v>
      </c>
      <c r="AL1283">
        <v>80.527988003761706</v>
      </c>
      <c r="AM1283">
        <v>73.361149677195797</v>
      </c>
      <c r="AN1283">
        <v>0.99999998408131896</v>
      </c>
    </row>
    <row r="1284" spans="1:40" x14ac:dyDescent="0.25">
      <c r="A1284" t="str">
        <f>"20190312172638953"</f>
        <v>20190312172638953</v>
      </c>
      <c r="B1284" t="str">
        <f>"1552382798950051"</f>
        <v>1552382798950051</v>
      </c>
      <c r="C1284" t="s">
        <v>40</v>
      </c>
      <c r="D1284">
        <v>3.5678589999999901</v>
      </c>
      <c r="E1284">
        <v>0.55133619999999905</v>
      </c>
      <c r="F1284" t="s">
        <v>47</v>
      </c>
      <c r="G1284">
        <v>-200.0789</v>
      </c>
      <c r="H1284" s="1">
        <v>1.7437449999999999E-6</v>
      </c>
      <c r="I1284">
        <v>290.05040000000002</v>
      </c>
      <c r="J1284">
        <v>-192.3186</v>
      </c>
      <c r="K1284">
        <v>1.1088009999999999</v>
      </c>
      <c r="L1284">
        <v>300.33319999999998</v>
      </c>
      <c r="M1284">
        <v>-0.25977109999999998</v>
      </c>
      <c r="N1284">
        <v>0</v>
      </c>
      <c r="O1284">
        <v>-0.96557689999999996</v>
      </c>
      <c r="P1284">
        <v>-0.51848839999999996</v>
      </c>
      <c r="Q1284">
        <v>0.15305360000000001</v>
      </c>
      <c r="R1284">
        <v>-0.84127549999999995</v>
      </c>
      <c r="S1284">
        <v>-1.84874</v>
      </c>
      <c r="T1284">
        <v>-0.2624089</v>
      </c>
      <c r="U1284">
        <v>-2.4754939999999999</v>
      </c>
      <c r="V1284">
        <v>0.28275830000000002</v>
      </c>
      <c r="W1284">
        <v>0.16467309999999999</v>
      </c>
      <c r="X1284">
        <v>0.94494999999999996</v>
      </c>
      <c r="Y1284">
        <v>0.36740830000000002</v>
      </c>
      <c r="Z1284">
        <v>8.5926310000000006E-2</v>
      </c>
      <c r="AA1284">
        <v>0.92608199999999996</v>
      </c>
      <c r="AB1284">
        <v>17</v>
      </c>
      <c r="AC1284">
        <v>-7.7603</v>
      </c>
      <c r="AD1284">
        <v>-1.108799256255</v>
      </c>
      <c r="AE1284">
        <v>-10.2827999999999</v>
      </c>
      <c r="AF1284">
        <v>4.7869644037356602</v>
      </c>
      <c r="AG1284">
        <v>-1.108799256255</v>
      </c>
      <c r="AH1284">
        <v>11.8579672836826</v>
      </c>
      <c r="AI1284">
        <v>94.955605739319495</v>
      </c>
      <c r="AJ1284">
        <v>68.016473185736004</v>
      </c>
      <c r="AK1284">
        <v>12.835725616192899</v>
      </c>
      <c r="AL1284">
        <v>80.521755230081496</v>
      </c>
      <c r="AM1284">
        <v>73.341188613359193</v>
      </c>
      <c r="AN1284">
        <v>0.99999999429124997</v>
      </c>
    </row>
    <row r="1285" spans="1:40" x14ac:dyDescent="0.25">
      <c r="A1285" t="str">
        <f>"20190312172639044"</f>
        <v>20190312172639044</v>
      </c>
      <c r="B1285" t="str">
        <f>"1552382799040580"</f>
        <v>1552382799040580</v>
      </c>
      <c r="C1285" t="s">
        <v>40</v>
      </c>
      <c r="D1285">
        <v>3.7452399999999999</v>
      </c>
      <c r="E1285">
        <v>0.55354169999999903</v>
      </c>
      <c r="F1285" t="s">
        <v>47</v>
      </c>
      <c r="G1285">
        <v>-196.5592</v>
      </c>
      <c r="H1285" s="1">
        <v>9.599530000000001E-7</v>
      </c>
      <c r="I1285">
        <v>295.24450000000002</v>
      </c>
      <c r="J1285">
        <v>-192.51990000000001</v>
      </c>
      <c r="K1285">
        <v>1.1087750000000001</v>
      </c>
      <c r="L1285">
        <v>299.65949999999998</v>
      </c>
      <c r="M1285">
        <v>-0.27262029999999998</v>
      </c>
      <c r="N1285">
        <v>0</v>
      </c>
      <c r="O1285">
        <v>-0.96202829999999995</v>
      </c>
      <c r="P1285">
        <v>-0.52989809999999904</v>
      </c>
      <c r="Q1285">
        <v>0.15341659999999999</v>
      </c>
      <c r="R1285">
        <v>-0.83406950000000002</v>
      </c>
      <c r="S1285">
        <v>-2.0161129999999998</v>
      </c>
      <c r="T1285">
        <v>-0.52715239999999997</v>
      </c>
      <c r="U1285">
        <v>-2.4193120000000001</v>
      </c>
      <c r="V1285">
        <v>0.28306310000000001</v>
      </c>
      <c r="W1285">
        <v>0.1650065</v>
      </c>
      <c r="X1285">
        <v>0.94480059999999999</v>
      </c>
      <c r="Y1285">
        <v>0.39714549999999998</v>
      </c>
      <c r="Z1285">
        <v>0.16833029999999999</v>
      </c>
      <c r="AA1285">
        <v>0.9021865</v>
      </c>
      <c r="AB1285">
        <v>17</v>
      </c>
      <c r="AC1285">
        <v>-4.0392999999999901</v>
      </c>
      <c r="AD1285">
        <v>-1.1087740400470001</v>
      </c>
      <c r="AE1285">
        <v>-4.4149999999999601</v>
      </c>
      <c r="AF1285">
        <v>2.5935022365211</v>
      </c>
      <c r="AG1285">
        <v>-1.1087740400470001</v>
      </c>
      <c r="AH1285">
        <v>5.1714815171895996</v>
      </c>
      <c r="AI1285">
        <v>100.849263726904</v>
      </c>
      <c r="AJ1285">
        <v>63.366197474664901</v>
      </c>
      <c r="AK1285">
        <v>5.8906582658779101</v>
      </c>
      <c r="AL1285">
        <v>80.502388112359498</v>
      </c>
      <c r="AM1285">
        <v>73.321737296358606</v>
      </c>
      <c r="AN1285">
        <v>1.0000000186921001</v>
      </c>
    </row>
    <row r="1286" spans="1:40" x14ac:dyDescent="0.25">
      <c r="A1286" t="str">
        <f>"20190312172639064"</f>
        <v>20190312172639064</v>
      </c>
      <c r="B1286" t="str">
        <f>"1552382799060101"</f>
        <v>1552382799060101</v>
      </c>
      <c r="C1286" t="s">
        <v>40</v>
      </c>
      <c r="D1286">
        <v>3.799131</v>
      </c>
      <c r="E1286">
        <v>0.55448940000000002</v>
      </c>
      <c r="F1286" t="s">
        <v>47</v>
      </c>
      <c r="G1286">
        <v>-196.38489999999999</v>
      </c>
      <c r="H1286" s="1">
        <v>9.9068419999999996E-7</v>
      </c>
      <c r="I1286">
        <v>295.2013</v>
      </c>
      <c r="J1286">
        <v>-192.56909999999999</v>
      </c>
      <c r="K1286">
        <v>1.1087720000000001</v>
      </c>
      <c r="L1286">
        <v>299.49990000000003</v>
      </c>
      <c r="M1286">
        <v>-0.27571960000000001</v>
      </c>
      <c r="N1286">
        <v>0</v>
      </c>
      <c r="O1286">
        <v>-0.96114469999999996</v>
      </c>
      <c r="P1286">
        <v>-0.53232279999999998</v>
      </c>
      <c r="Q1286">
        <v>0.1531294</v>
      </c>
      <c r="R1286">
        <v>-0.83257680000000001</v>
      </c>
      <c r="S1286">
        <v>-2.0718990000000002</v>
      </c>
      <c r="T1286">
        <v>-0.59437240000000002</v>
      </c>
      <c r="U1286">
        <v>-2.3898929999999998</v>
      </c>
      <c r="V1286">
        <v>0.28275430000000001</v>
      </c>
      <c r="W1286">
        <v>0.16471540000000001</v>
      </c>
      <c r="X1286">
        <v>0.9449438</v>
      </c>
      <c r="Y1286">
        <v>0.40927819999999998</v>
      </c>
      <c r="Z1286">
        <v>0.18867249999999999</v>
      </c>
      <c r="AA1286">
        <v>0.89268919999999996</v>
      </c>
      <c r="AB1286">
        <v>17</v>
      </c>
      <c r="AC1286">
        <v>-3.8157999999999901</v>
      </c>
      <c r="AD1286">
        <v>-1.1087710093158001</v>
      </c>
      <c r="AE1286">
        <v>-4.29860000000002</v>
      </c>
      <c r="AF1286">
        <v>2.39348757683624</v>
      </c>
      <c r="AG1286">
        <v>-1.1087710093158001</v>
      </c>
      <c r="AH1286">
        <v>4.9981490326481</v>
      </c>
      <c r="AI1286">
        <v>101.314246369561</v>
      </c>
      <c r="AJ1286">
        <v>64.411414511821505</v>
      </c>
      <c r="AK1286">
        <v>5.6515174673825204</v>
      </c>
      <c r="AL1286">
        <v>80.519297843886605</v>
      </c>
      <c r="AM1286">
        <v>73.341307972147206</v>
      </c>
      <c r="AN1286">
        <v>0.99999997116204398</v>
      </c>
    </row>
    <row r="1287" spans="1:40" x14ac:dyDescent="0.25">
      <c r="A1287" t="str">
        <f>"20190312172639089"</f>
        <v>20190312172639089</v>
      </c>
      <c r="B1287" t="str">
        <f>"1552382799080597"</f>
        <v>1552382799080597</v>
      </c>
      <c r="C1287" t="s">
        <v>40</v>
      </c>
      <c r="D1287">
        <v>3.641003</v>
      </c>
      <c r="E1287">
        <v>0.55707859999999998</v>
      </c>
      <c r="F1287" t="s">
        <v>47</v>
      </c>
      <c r="G1287">
        <v>-206.6711</v>
      </c>
      <c r="H1287" s="1">
        <v>5.286482E-6</v>
      </c>
      <c r="I1287">
        <v>283.34480000000002</v>
      </c>
      <c r="J1287">
        <v>-192.625</v>
      </c>
      <c r="K1287">
        <v>1.1087629999999999</v>
      </c>
      <c r="L1287">
        <v>299.3211</v>
      </c>
      <c r="M1287">
        <v>-0.27922340000000001</v>
      </c>
      <c r="N1287">
        <v>0</v>
      </c>
      <c r="O1287">
        <v>-0.96013269999999995</v>
      </c>
      <c r="P1287">
        <v>-0.53504719999999995</v>
      </c>
      <c r="Q1287">
        <v>0.1541295</v>
      </c>
      <c r="R1287">
        <v>-0.83064389999999999</v>
      </c>
      <c r="S1287">
        <v>-2.0351720000000002</v>
      </c>
      <c r="T1287">
        <v>-0.16001589999999999</v>
      </c>
      <c r="U1287">
        <v>-2.3314819999999998</v>
      </c>
      <c r="V1287">
        <v>0.28246259999999901</v>
      </c>
      <c r="W1287">
        <v>0.16570679999999999</v>
      </c>
      <c r="X1287">
        <v>0.94485779999999997</v>
      </c>
      <c r="Y1287">
        <v>0.42014089999999998</v>
      </c>
      <c r="Z1287">
        <v>5.2763409999999997E-2</v>
      </c>
      <c r="AA1287">
        <v>0.9059237</v>
      </c>
      <c r="AB1287">
        <v>17</v>
      </c>
      <c r="AC1287">
        <v>-14.0460999999999</v>
      </c>
      <c r="AD1287">
        <v>-1.108757713518</v>
      </c>
      <c r="AE1287">
        <v>-15.976299999999901</v>
      </c>
      <c r="AF1287">
        <v>9.0015199227015099</v>
      </c>
      <c r="AG1287">
        <v>-1.108757713518</v>
      </c>
      <c r="AH1287">
        <v>19.2109089133825</v>
      </c>
      <c r="AI1287">
        <v>92.991688787544803</v>
      </c>
      <c r="AJ1287">
        <v>64.893952847211807</v>
      </c>
      <c r="AK1287">
        <v>21.244192756241802</v>
      </c>
      <c r="AL1287">
        <v>80.461704238503501</v>
      </c>
      <c r="AM1287">
        <v>73.356111802619495</v>
      </c>
      <c r="AN1287">
        <v>1.00000006309291</v>
      </c>
    </row>
    <row r="1288" spans="1:40" x14ac:dyDescent="0.25">
      <c r="A1288" t="str">
        <f>"20190312172639111"</f>
        <v>20190312172639111</v>
      </c>
      <c r="B1288" t="str">
        <f>"1552382799100624"</f>
        <v>1552382799100624</v>
      </c>
      <c r="C1288" t="s">
        <v>40</v>
      </c>
      <c r="D1288">
        <v>3.6498050000000002</v>
      </c>
      <c r="E1288">
        <v>0.55876809999999999</v>
      </c>
      <c r="F1288" t="s">
        <v>47</v>
      </c>
      <c r="G1288">
        <v>-204.75020000000001</v>
      </c>
      <c r="H1288" s="1">
        <v>4.2275440000000001E-6</v>
      </c>
      <c r="I1288">
        <v>285.71420000000001</v>
      </c>
      <c r="J1288">
        <v>-192.6772</v>
      </c>
      <c r="K1288">
        <v>1.1087419999999999</v>
      </c>
      <c r="L1288">
        <v>299.15609999999998</v>
      </c>
      <c r="M1288">
        <v>-0.28249610000000003</v>
      </c>
      <c r="N1288">
        <v>0</v>
      </c>
      <c r="O1288">
        <v>-0.95917479999999999</v>
      </c>
      <c r="P1288">
        <v>-0.53808269999999903</v>
      </c>
      <c r="Q1288">
        <v>0.153863</v>
      </c>
      <c r="R1288">
        <v>-0.82873019999999997</v>
      </c>
      <c r="S1288">
        <v>-2.0645600000000002</v>
      </c>
      <c r="T1288">
        <v>-0.1887875</v>
      </c>
      <c r="U1288">
        <v>-2.3168329999999999</v>
      </c>
      <c r="V1288">
        <v>0.28268890000000002</v>
      </c>
      <c r="W1288">
        <v>0.165428399999999</v>
      </c>
      <c r="X1288">
        <v>0.94483879999999998</v>
      </c>
      <c r="Y1288">
        <v>0.42594779999999999</v>
      </c>
      <c r="Z1288">
        <v>6.2095209999999998E-2</v>
      </c>
      <c r="AA1288">
        <v>0.90261440000000004</v>
      </c>
      <c r="AB1288">
        <v>17</v>
      </c>
      <c r="AC1288">
        <v>-12.073</v>
      </c>
      <c r="AD1288">
        <v>-1.1087377724559999</v>
      </c>
      <c r="AE1288">
        <v>-13.441899999999899</v>
      </c>
      <c r="AF1288">
        <v>7.7543313619403396</v>
      </c>
      <c r="AG1288">
        <v>-1.1087377724559999</v>
      </c>
      <c r="AH1288">
        <v>16.244001020318901</v>
      </c>
      <c r="AI1288">
        <v>93.524783689831295</v>
      </c>
      <c r="AJ1288">
        <v>64.481784060855404</v>
      </c>
      <c r="AK1288">
        <v>18.034037913538999</v>
      </c>
      <c r="AL1288">
        <v>80.477877660278693</v>
      </c>
      <c r="AM1288">
        <v>73.343199282872405</v>
      </c>
      <c r="AN1288">
        <v>0.99999996384760403</v>
      </c>
    </row>
    <row r="1289" spans="1:40" x14ac:dyDescent="0.25">
      <c r="A1289" t="str">
        <f>"20190312172639134"</f>
        <v>20190312172639134</v>
      </c>
      <c r="B1289" t="str">
        <f>"1552382799129903"</f>
        <v>1552382799129903</v>
      </c>
      <c r="C1289" t="s">
        <v>40</v>
      </c>
      <c r="D1289">
        <v>3.654636</v>
      </c>
      <c r="E1289">
        <v>0.55986289999999905</v>
      </c>
      <c r="F1289" t="s">
        <v>47</v>
      </c>
      <c r="G1289">
        <v>-204.2449</v>
      </c>
      <c r="H1289" s="1">
        <v>3.9449610000000003E-6</v>
      </c>
      <c r="I1289">
        <v>286.38310000000001</v>
      </c>
      <c r="J1289">
        <v>-192.7311</v>
      </c>
      <c r="K1289">
        <v>1.1087149999999999</v>
      </c>
      <c r="L1289">
        <v>298.98809999999997</v>
      </c>
      <c r="M1289">
        <v>-0.28586240000000002</v>
      </c>
      <c r="N1289">
        <v>0</v>
      </c>
      <c r="O1289">
        <v>-0.95817680000000005</v>
      </c>
      <c r="P1289">
        <v>-0.54091519999999904</v>
      </c>
      <c r="Q1289">
        <v>0.15255179999999999</v>
      </c>
      <c r="R1289">
        <v>-0.8271269</v>
      </c>
      <c r="S1289">
        <v>-2.0856479999999999</v>
      </c>
      <c r="T1289">
        <v>-0.19990479999999999</v>
      </c>
      <c r="U1289">
        <v>-2.3029480000000002</v>
      </c>
      <c r="V1289">
        <v>0.28253620000000002</v>
      </c>
      <c r="W1289">
        <v>0.1641087</v>
      </c>
      <c r="X1289">
        <v>0.94511460000000003</v>
      </c>
      <c r="Y1289">
        <v>0.42986760000000002</v>
      </c>
      <c r="Z1289">
        <v>6.5685439999999998E-2</v>
      </c>
      <c r="AA1289">
        <v>0.90049950000000001</v>
      </c>
      <c r="AB1289">
        <v>17</v>
      </c>
      <c r="AC1289">
        <v>-11.5138</v>
      </c>
      <c r="AD1289">
        <v>-1.10871105503899</v>
      </c>
      <c r="AE1289">
        <v>-12.604999999999899</v>
      </c>
      <c r="AF1289">
        <v>7.3984251078056902</v>
      </c>
      <c r="AG1289">
        <v>-1.10871105503899</v>
      </c>
      <c r="AH1289">
        <v>15.306008864189799</v>
      </c>
      <c r="AI1289">
        <v>93.731380446792997</v>
      </c>
      <c r="AJ1289">
        <v>64.202393105077405</v>
      </c>
      <c r="AK1289">
        <v>17.0364269032574</v>
      </c>
      <c r="AL1289">
        <v>80.554538926882003</v>
      </c>
      <c r="AM1289">
        <v>73.356288192505701</v>
      </c>
      <c r="AN1289">
        <v>0.99999998842964399</v>
      </c>
    </row>
    <row r="1290" spans="1:40" x14ac:dyDescent="0.25">
      <c r="A1290" t="str">
        <f>"20190312172639156"</f>
        <v>20190312172639156</v>
      </c>
      <c r="B1290" t="str">
        <f>"1552382799150400"</f>
        <v>1552382799150400</v>
      </c>
      <c r="C1290" t="s">
        <v>40</v>
      </c>
      <c r="D1290">
        <v>3.6529370000000001</v>
      </c>
      <c r="E1290">
        <v>0.56016869999999996</v>
      </c>
      <c r="F1290" t="s">
        <v>47</v>
      </c>
      <c r="G1290">
        <v>-203.7527</v>
      </c>
      <c r="H1290" s="1">
        <v>3.6752180000000001E-6</v>
      </c>
      <c r="I1290">
        <v>286.97210000000001</v>
      </c>
      <c r="J1290">
        <v>-192.78399999999999</v>
      </c>
      <c r="K1290">
        <v>1.108679</v>
      </c>
      <c r="L1290">
        <v>298.82510000000002</v>
      </c>
      <c r="M1290">
        <v>-0.28916999999999998</v>
      </c>
      <c r="N1290">
        <v>0</v>
      </c>
      <c r="O1290">
        <v>-0.95718400000000003</v>
      </c>
      <c r="P1290">
        <v>-0.54383119999999996</v>
      </c>
      <c r="Q1290">
        <v>0.15117559999999999</v>
      </c>
      <c r="R1290">
        <v>-0.82546609999999998</v>
      </c>
      <c r="S1290">
        <v>-2.1018829999999999</v>
      </c>
      <c r="T1290">
        <v>-0.2114364</v>
      </c>
      <c r="U1290">
        <v>-2.2915040000000002</v>
      </c>
      <c r="V1290">
        <v>0.28253699999999998</v>
      </c>
      <c r="W1290">
        <v>0.16272229999999999</v>
      </c>
      <c r="X1290">
        <v>0.94535400000000003</v>
      </c>
      <c r="Y1290">
        <v>0.4322838</v>
      </c>
      <c r="Z1290">
        <v>6.9415080000000004E-2</v>
      </c>
      <c r="AA1290">
        <v>0.89906189999999997</v>
      </c>
      <c r="AB1290">
        <v>17</v>
      </c>
      <c r="AC1290">
        <v>-10.968699999999901</v>
      </c>
      <c r="AD1290">
        <v>-1.108675324782</v>
      </c>
      <c r="AE1290">
        <v>-11.853</v>
      </c>
      <c r="AF1290">
        <v>7.0389925948972101</v>
      </c>
      <c r="AG1290">
        <v>-1.108675324782</v>
      </c>
      <c r="AH1290">
        <v>14.4505197234386</v>
      </c>
      <c r="AI1290">
        <v>93.945689712837094</v>
      </c>
      <c r="AJ1290">
        <v>64.0288239781801</v>
      </c>
      <c r="AK1290">
        <v>16.111924093797299</v>
      </c>
      <c r="AL1290">
        <v>80.635055752998397</v>
      </c>
      <c r="AM1290">
        <v>73.360225455807196</v>
      </c>
      <c r="AN1290">
        <v>0.99999994430114303</v>
      </c>
    </row>
    <row r="1291" spans="1:40" x14ac:dyDescent="0.25">
      <c r="A1291" t="str">
        <f>"20190312172639179"</f>
        <v>20190312172639179</v>
      </c>
      <c r="B1291" t="str">
        <f>"1552382799169920"</f>
        <v>1552382799169920</v>
      </c>
      <c r="C1291" t="s">
        <v>40</v>
      </c>
      <c r="D1291">
        <v>3.6733370000000001</v>
      </c>
      <c r="E1291">
        <v>0.56045710000000004</v>
      </c>
      <c r="F1291" t="s">
        <v>47</v>
      </c>
      <c r="G1291">
        <v>-203.4881</v>
      </c>
      <c r="H1291" s="1">
        <v>3.5330919999999999E-6</v>
      </c>
      <c r="I1291">
        <v>287.25560000000002</v>
      </c>
      <c r="J1291">
        <v>-192.84059999999999</v>
      </c>
      <c r="K1291">
        <v>1.1086530000000001</v>
      </c>
      <c r="L1291">
        <v>298.65300000000002</v>
      </c>
      <c r="M1291">
        <v>-0.29271269999999999</v>
      </c>
      <c r="N1291">
        <v>0</v>
      </c>
      <c r="O1291">
        <v>-0.95610640000000002</v>
      </c>
      <c r="P1291">
        <v>-0.54725809999999997</v>
      </c>
      <c r="Q1291">
        <v>0.1508601</v>
      </c>
      <c r="R1291">
        <v>-0.82325569999999904</v>
      </c>
      <c r="S1291">
        <v>-2.1121219999999998</v>
      </c>
      <c r="T1291">
        <v>-0.21876190000000001</v>
      </c>
      <c r="U1291">
        <v>-2.282867</v>
      </c>
      <c r="V1291">
        <v>0.28295870000000001</v>
      </c>
      <c r="W1291">
        <v>0.16238729999999901</v>
      </c>
      <c r="X1291">
        <v>0.94528559999999995</v>
      </c>
      <c r="Y1291">
        <v>0.43269809999999997</v>
      </c>
      <c r="Z1291">
        <v>7.1782120000000005E-2</v>
      </c>
      <c r="AA1291">
        <v>0.89867659999999905</v>
      </c>
      <c r="AB1291">
        <v>17</v>
      </c>
      <c r="AC1291">
        <v>-10.647500000000001</v>
      </c>
      <c r="AD1291">
        <v>-1.108649466908</v>
      </c>
      <c r="AE1291">
        <v>-11.397399999999999</v>
      </c>
      <c r="AF1291">
        <v>6.8101866510268696</v>
      </c>
      <c r="AG1291">
        <v>-1.108649466908</v>
      </c>
      <c r="AH1291">
        <v>13.9445917351518</v>
      </c>
      <c r="AI1291">
        <v>94.0862425762095</v>
      </c>
      <c r="AJ1291">
        <v>63.970284398931803</v>
      </c>
      <c r="AK1291">
        <v>15.558257759863899</v>
      </c>
      <c r="AL1291">
        <v>80.654509694644602</v>
      </c>
      <c r="AM1291">
        <v>73.335626895496901</v>
      </c>
      <c r="AN1291">
        <v>1.00000006333716</v>
      </c>
    </row>
    <row r="1292" spans="1:40" x14ac:dyDescent="0.25">
      <c r="A1292" t="str">
        <f>"20190312172639200"</f>
        <v>20190312172639200</v>
      </c>
      <c r="B1292" t="str">
        <f>"1552382799190415"</f>
        <v>1552382799190415</v>
      </c>
      <c r="C1292" t="s">
        <v>40</v>
      </c>
      <c r="D1292">
        <v>3.6745719999999999</v>
      </c>
      <c r="E1292">
        <v>0.56038290000000002</v>
      </c>
      <c r="F1292" t="s">
        <v>47</v>
      </c>
      <c r="G1292">
        <v>-203.40190000000001</v>
      </c>
      <c r="H1292" s="1">
        <v>3.486831E-6</v>
      </c>
      <c r="I1292">
        <v>287.34750000000003</v>
      </c>
      <c r="J1292">
        <v>-192.89</v>
      </c>
      <c r="K1292">
        <v>1.1086309999999999</v>
      </c>
      <c r="L1292">
        <v>298.50459999999998</v>
      </c>
      <c r="M1292">
        <v>-0.29581580000000002</v>
      </c>
      <c r="N1292">
        <v>0</v>
      </c>
      <c r="O1292">
        <v>-0.95515079999999997</v>
      </c>
      <c r="P1292">
        <v>-0.55024469999999903</v>
      </c>
      <c r="Q1292">
        <v>0.15262329999999999</v>
      </c>
      <c r="R1292">
        <v>-0.82093700000000003</v>
      </c>
      <c r="S1292">
        <v>-2.1236109999999999</v>
      </c>
      <c r="T1292">
        <v>-0.22292100000000001</v>
      </c>
      <c r="U1292">
        <v>-2.2732540000000001</v>
      </c>
      <c r="V1292">
        <v>0.28343669999999999</v>
      </c>
      <c r="W1292">
        <v>0.16412650000000001</v>
      </c>
      <c r="X1292">
        <v>0.94484190000000001</v>
      </c>
      <c r="Y1292">
        <v>0.43402600000000002</v>
      </c>
      <c r="Z1292">
        <v>7.312109E-2</v>
      </c>
      <c r="AA1292">
        <v>0.89792799999999995</v>
      </c>
      <c r="AB1292">
        <v>17</v>
      </c>
      <c r="AC1292">
        <v>-10.511900000000001</v>
      </c>
      <c r="AD1292">
        <v>-1.108627513169</v>
      </c>
      <c r="AE1292">
        <v>-11.1570999999999</v>
      </c>
      <c r="AF1292">
        <v>6.7055368389237202</v>
      </c>
      <c r="AG1292">
        <v>-1.108627513169</v>
      </c>
      <c r="AH1292">
        <v>13.6959022955729</v>
      </c>
      <c r="AI1292">
        <v>94.158093371849503</v>
      </c>
      <c r="AJ1292">
        <v>63.913552063666799</v>
      </c>
      <c r="AK1292">
        <v>15.2895722291697</v>
      </c>
      <c r="AL1292">
        <v>80.553505567873898</v>
      </c>
      <c r="AM1292">
        <v>73.301638674967194</v>
      </c>
      <c r="AN1292">
        <v>1.0000000434523699</v>
      </c>
    </row>
    <row r="1293" spans="1:40" x14ac:dyDescent="0.25">
      <c r="A1293" t="str">
        <f>"20190312172639223"</f>
        <v>20190312172639223</v>
      </c>
      <c r="B1293" t="str">
        <f>"1552382799219695"</f>
        <v>1552382799219695</v>
      </c>
      <c r="C1293" t="s">
        <v>40</v>
      </c>
      <c r="D1293">
        <v>3.670957</v>
      </c>
      <c r="E1293">
        <v>0.55990099999999998</v>
      </c>
      <c r="F1293" t="s">
        <v>47</v>
      </c>
      <c r="G1293">
        <v>-203.5694</v>
      </c>
      <c r="H1293" s="1">
        <v>3.5778700000000001E-6</v>
      </c>
      <c r="I1293">
        <v>287.15589999999997</v>
      </c>
      <c r="J1293">
        <v>-192.94820000000001</v>
      </c>
      <c r="K1293">
        <v>1.1086129999999901</v>
      </c>
      <c r="L1293">
        <v>298.3322</v>
      </c>
      <c r="M1293">
        <v>-0.299481099999999</v>
      </c>
      <c r="N1293">
        <v>0</v>
      </c>
      <c r="O1293">
        <v>-0.95400810000000003</v>
      </c>
      <c r="P1293">
        <v>-0.55345449999999996</v>
      </c>
      <c r="Q1293">
        <v>0.15438460000000001</v>
      </c>
      <c r="R1293">
        <v>-0.8184458</v>
      </c>
      <c r="S1293">
        <v>-2.1325229999999999</v>
      </c>
      <c r="T1293">
        <v>-0.22137670000000001</v>
      </c>
      <c r="U1293">
        <v>-2.2661739999999999</v>
      </c>
      <c r="V1293">
        <v>0.28362730000000003</v>
      </c>
      <c r="W1293">
        <v>0.16586189999999901</v>
      </c>
      <c r="X1293">
        <v>0.94448160000000003</v>
      </c>
      <c r="Y1293">
        <v>0.4338707</v>
      </c>
      <c r="Z1293">
        <v>7.2571899999999995E-2</v>
      </c>
      <c r="AA1293">
        <v>0.89804759999999995</v>
      </c>
      <c r="AB1293">
        <v>17</v>
      </c>
      <c r="AC1293">
        <v>-10.6211999999999</v>
      </c>
      <c r="AD1293">
        <v>-1.10860942212999</v>
      </c>
      <c r="AE1293">
        <v>-11.176299999999999</v>
      </c>
      <c r="AF1293">
        <v>6.7513252145248002</v>
      </c>
      <c r="AG1293">
        <v>-1.10860942212999</v>
      </c>
      <c r="AH1293">
        <v>13.773165242996299</v>
      </c>
      <c r="AI1293">
        <v>94.133840976605001</v>
      </c>
      <c r="AJ1293">
        <v>63.886846640148903</v>
      </c>
      <c r="AK1293">
        <v>15.378864971576901</v>
      </c>
      <c r="AL1293">
        <v>80.452692877915098</v>
      </c>
      <c r="AM1293">
        <v>73.2850167727767</v>
      </c>
      <c r="AN1293">
        <v>1.0000000539577201</v>
      </c>
    </row>
    <row r="1294" spans="1:40" x14ac:dyDescent="0.25">
      <c r="A1294" t="str">
        <f>"20190312172639266"</f>
        <v>20190312172639266</v>
      </c>
      <c r="B1294" t="str">
        <f>"1552382799259712"</f>
        <v>1552382799259712</v>
      </c>
      <c r="C1294" t="s">
        <v>40</v>
      </c>
      <c r="D1294">
        <v>3.6763479999999999</v>
      </c>
      <c r="E1294">
        <v>0.55966499999999997</v>
      </c>
      <c r="F1294" t="s">
        <v>47</v>
      </c>
      <c r="G1294">
        <v>-203.6354</v>
      </c>
      <c r="H1294" s="1">
        <v>3.6172350000000002E-6</v>
      </c>
      <c r="I1294">
        <v>287.0403</v>
      </c>
      <c r="J1294">
        <v>-193.05459999999999</v>
      </c>
      <c r="K1294">
        <v>1.1085769999999999</v>
      </c>
      <c r="L1294">
        <v>298.02330000000001</v>
      </c>
      <c r="M1294">
        <v>-0.30622640000000001</v>
      </c>
      <c r="N1294">
        <v>0</v>
      </c>
      <c r="O1294">
        <v>-0.95186420000000005</v>
      </c>
      <c r="P1294">
        <v>-0.55938859999999901</v>
      </c>
      <c r="Q1294">
        <v>0.15634609999999999</v>
      </c>
      <c r="R1294">
        <v>-0.81402739999999996</v>
      </c>
      <c r="S1294">
        <v>-2.139481</v>
      </c>
      <c r="T1294">
        <v>-0.2219334</v>
      </c>
      <c r="U1294">
        <v>-2.260529</v>
      </c>
      <c r="V1294">
        <v>0.2839547</v>
      </c>
      <c r="W1294">
        <v>0.16777779999999901</v>
      </c>
      <c r="X1294">
        <v>0.94404460000000001</v>
      </c>
      <c r="Y1294">
        <v>0.43006640000000002</v>
      </c>
      <c r="Z1294">
        <v>7.2647139999999999E-2</v>
      </c>
      <c r="AA1294">
        <v>0.89986959999999905</v>
      </c>
      <c r="AB1294">
        <v>17</v>
      </c>
      <c r="AC1294">
        <v>-10.5808</v>
      </c>
      <c r="AD1294">
        <v>-1.1085733827649999</v>
      </c>
      <c r="AE1294">
        <v>-10.983000000000001</v>
      </c>
      <c r="AF1294">
        <v>6.6735412434519796</v>
      </c>
      <c r="AG1294">
        <v>-1.1085733827649999</v>
      </c>
      <c r="AH1294">
        <v>13.623690377523801</v>
      </c>
      <c r="AI1294">
        <v>94.179446253254994</v>
      </c>
      <c r="AJ1294">
        <v>63.902156449003499</v>
      </c>
      <c r="AK1294">
        <v>15.2108522830138</v>
      </c>
      <c r="AL1294">
        <v>80.341358648004302</v>
      </c>
      <c r="AM1294">
        <v>73.259487576930297</v>
      </c>
      <c r="AN1294">
        <v>0.99999993430704204</v>
      </c>
    </row>
    <row r="1295" spans="1:40" x14ac:dyDescent="0.25">
      <c r="A1295" t="str">
        <f>"20190312172639288"</f>
        <v>20190312172639288</v>
      </c>
      <c r="B1295" t="str">
        <f>"1552382799280208"</f>
        <v>1552382799280208</v>
      </c>
      <c r="C1295" t="s">
        <v>40</v>
      </c>
      <c r="D1295">
        <v>3.6540219999999999</v>
      </c>
      <c r="E1295">
        <v>0.55948779999999998</v>
      </c>
      <c r="F1295" t="s">
        <v>47</v>
      </c>
      <c r="G1295">
        <v>-203.8271</v>
      </c>
      <c r="H1295" s="1">
        <v>3.7233660000000001E-6</v>
      </c>
      <c r="I1295">
        <v>286.79860000000002</v>
      </c>
      <c r="J1295">
        <v>-193.1121</v>
      </c>
      <c r="K1295">
        <v>1.1085419999999999</v>
      </c>
      <c r="L1295">
        <v>297.85939999999999</v>
      </c>
      <c r="M1295">
        <v>-0.30989499999999998</v>
      </c>
      <c r="N1295">
        <v>0</v>
      </c>
      <c r="O1295">
        <v>-0.95067610000000002</v>
      </c>
      <c r="P1295">
        <v>-0.5628976</v>
      </c>
      <c r="Q1295">
        <v>0.15621019999999999</v>
      </c>
      <c r="R1295">
        <v>-0.81163129999999994</v>
      </c>
      <c r="S1295">
        <v>-2.155945</v>
      </c>
      <c r="T1295">
        <v>-0.2218627</v>
      </c>
      <c r="U1295">
        <v>-2.246429</v>
      </c>
      <c r="V1295">
        <v>0.28439350000000002</v>
      </c>
      <c r="W1295">
        <v>0.1676204</v>
      </c>
      <c r="X1295">
        <v>0.94394049999999996</v>
      </c>
      <c r="Y1295">
        <v>0.4328438</v>
      </c>
      <c r="Z1295">
        <v>7.2607889999999994E-2</v>
      </c>
      <c r="AA1295">
        <v>0.89854009999999995</v>
      </c>
      <c r="AB1295">
        <v>17</v>
      </c>
      <c r="AC1295">
        <v>-10.715</v>
      </c>
      <c r="AD1295">
        <v>-1.108538276634</v>
      </c>
      <c r="AE1295">
        <v>-11.060799999999899</v>
      </c>
      <c r="AF1295">
        <v>6.7245714894740702</v>
      </c>
      <c r="AG1295">
        <v>-1.108538276634</v>
      </c>
      <c r="AH1295">
        <v>13.7656789639294</v>
      </c>
      <c r="AI1295">
        <v>94.138546341224497</v>
      </c>
      <c r="AJ1295">
        <v>63.964365486278702</v>
      </c>
      <c r="AK1295">
        <v>15.360424348493</v>
      </c>
      <c r="AL1295">
        <v>80.350506848432801</v>
      </c>
      <c r="AM1295">
        <v>73.233323525129506</v>
      </c>
      <c r="AN1295">
        <v>0.99999996443932904</v>
      </c>
    </row>
    <row r="1296" spans="1:40" x14ac:dyDescent="0.25">
      <c r="A1296" t="str">
        <f>"20190312172639311"</f>
        <v>20190312172639311</v>
      </c>
      <c r="B1296" t="str">
        <f>"1552382799299728"</f>
        <v>1552382799299728</v>
      </c>
      <c r="C1296" t="s">
        <v>40</v>
      </c>
      <c r="D1296">
        <v>3.6699259999999998</v>
      </c>
      <c r="E1296">
        <v>0.55932899999999997</v>
      </c>
      <c r="F1296" t="s">
        <v>47</v>
      </c>
      <c r="G1296">
        <v>-203.78360000000001</v>
      </c>
      <c r="H1296" s="1">
        <v>3.701898E-6</v>
      </c>
      <c r="I1296">
        <v>286.82330000000002</v>
      </c>
      <c r="J1296">
        <v>-193.1711</v>
      </c>
      <c r="K1296">
        <v>1.1084989999999999</v>
      </c>
      <c r="L1296">
        <v>297.69380000000001</v>
      </c>
      <c r="M1296">
        <v>-0.31367420000000001</v>
      </c>
      <c r="N1296">
        <v>0</v>
      </c>
      <c r="O1296">
        <v>-0.9494359</v>
      </c>
      <c r="P1296">
        <v>-0.56688369999999999</v>
      </c>
      <c r="Q1296">
        <v>0.154753</v>
      </c>
      <c r="R1296">
        <v>-0.80913190000000002</v>
      </c>
      <c r="S1296">
        <v>-2.1644739999999998</v>
      </c>
      <c r="T1296">
        <v>-0.2248433</v>
      </c>
      <c r="U1296">
        <v>-2.2384339999999998</v>
      </c>
      <c r="V1296">
        <v>0.28520129999999999</v>
      </c>
      <c r="W1296">
        <v>0.1661417</v>
      </c>
      <c r="X1296">
        <v>0.94395819999999997</v>
      </c>
      <c r="Y1296">
        <v>0.43258380000000002</v>
      </c>
      <c r="Z1296">
        <v>7.3544559999999995E-2</v>
      </c>
      <c r="AA1296">
        <v>0.89858909999999903</v>
      </c>
      <c r="AB1296">
        <v>17</v>
      </c>
      <c r="AC1296">
        <v>-10.612500000000001</v>
      </c>
      <c r="AD1296">
        <v>-1.108495298102</v>
      </c>
      <c r="AE1296">
        <v>-10.8704999999999</v>
      </c>
      <c r="AF1296">
        <v>6.63138693360834</v>
      </c>
      <c r="AG1296">
        <v>-1.108495298102</v>
      </c>
      <c r="AH1296">
        <v>13.578644921075099</v>
      </c>
      <c r="AI1296">
        <v>94.195407691432706</v>
      </c>
      <c r="AJ1296">
        <v>63.970558760780399</v>
      </c>
      <c r="AK1296">
        <v>15.152018096009</v>
      </c>
      <c r="AL1296">
        <v>80.436435100352199</v>
      </c>
      <c r="AM1296">
        <v>73.188679707769396</v>
      </c>
      <c r="AN1296">
        <v>0.99999996467390895</v>
      </c>
    </row>
    <row r="1297" spans="1:40" x14ac:dyDescent="0.25">
      <c r="A1297" t="str">
        <f>"20190312172639333"</f>
        <v>20190312172639333</v>
      </c>
      <c r="B1297" t="str">
        <f>"1552382799329984"</f>
        <v>1552382799329984</v>
      </c>
      <c r="C1297" t="s">
        <v>40</v>
      </c>
      <c r="D1297">
        <v>3.6895479999999998</v>
      </c>
      <c r="E1297">
        <v>0.55917969999999995</v>
      </c>
      <c r="F1297" t="s">
        <v>47</v>
      </c>
      <c r="G1297">
        <v>-203.54320000000001</v>
      </c>
      <c r="H1297" s="1">
        <v>3.5746699999999999E-6</v>
      </c>
      <c r="I1297">
        <v>287.05939999999998</v>
      </c>
      <c r="J1297">
        <v>-193.22880000000001</v>
      </c>
      <c r="K1297">
        <v>1.1084609999999999</v>
      </c>
      <c r="L1297">
        <v>297.53390000000002</v>
      </c>
      <c r="M1297">
        <v>-0.31737979999999999</v>
      </c>
      <c r="N1297">
        <v>0</v>
      </c>
      <c r="O1297">
        <v>-0.94820340000000003</v>
      </c>
      <c r="P1297">
        <v>-0.57109770000000004</v>
      </c>
      <c r="Q1297">
        <v>0.1519771</v>
      </c>
      <c r="R1297">
        <v>-0.80669080000000004</v>
      </c>
      <c r="S1297">
        <v>-2.174026</v>
      </c>
      <c r="T1297">
        <v>-0.23234440000000001</v>
      </c>
      <c r="U1297">
        <v>-2.2290040000000002</v>
      </c>
      <c r="V1297">
        <v>0.28627150000000001</v>
      </c>
      <c r="W1297">
        <v>0.16334899999999999</v>
      </c>
      <c r="X1297">
        <v>0.94412169999999895</v>
      </c>
      <c r="Y1297">
        <v>0.4328071</v>
      </c>
      <c r="Z1297">
        <v>7.5963219999999998E-2</v>
      </c>
      <c r="AA1297">
        <v>0.89828039999999998</v>
      </c>
      <c r="AB1297">
        <v>17</v>
      </c>
      <c r="AC1297">
        <v>-10.314399999999999</v>
      </c>
      <c r="AD1297">
        <v>-1.1084574253299999</v>
      </c>
      <c r="AE1297">
        <v>-10.474500000000001</v>
      </c>
      <c r="AF1297">
        <v>6.4198358734951002</v>
      </c>
      <c r="AG1297">
        <v>-1.1084574253299999</v>
      </c>
      <c r="AH1297">
        <v>13.1320656768431</v>
      </c>
      <c r="AI1297">
        <v>94.336547498169693</v>
      </c>
      <c r="AJ1297">
        <v>63.947508730766501</v>
      </c>
      <c r="AK1297">
        <v>14.659267357112499</v>
      </c>
      <c r="AL1297">
        <v>80.598662311848997</v>
      </c>
      <c r="AM1297">
        <v>73.131929472025803</v>
      </c>
      <c r="AN1297">
        <v>1.0000000259620601</v>
      </c>
    </row>
    <row r="1298" spans="1:40" x14ac:dyDescent="0.25">
      <c r="A1298" t="str">
        <f>"20190312172639355"</f>
        <v>20190312172639355</v>
      </c>
      <c r="B1298" t="str">
        <f>"1552382799350480"</f>
        <v>1552382799350480</v>
      </c>
      <c r="C1298" t="s">
        <v>40</v>
      </c>
      <c r="D1298">
        <v>3.686655</v>
      </c>
      <c r="E1298">
        <v>0.55917079999999997</v>
      </c>
      <c r="F1298" t="s">
        <v>47</v>
      </c>
      <c r="G1298">
        <v>-203.17429999999999</v>
      </c>
      <c r="H1298" s="1">
        <v>3.3786449999999999E-6</v>
      </c>
      <c r="I1298">
        <v>287.43040000000002</v>
      </c>
      <c r="J1298">
        <v>-193.28630000000001</v>
      </c>
      <c r="K1298">
        <v>1.1084270000000001</v>
      </c>
      <c r="L1298">
        <v>297.37689999999998</v>
      </c>
      <c r="M1298">
        <v>-0.32107190000000002</v>
      </c>
      <c r="N1298">
        <v>0</v>
      </c>
      <c r="O1298">
        <v>-0.94695980000000002</v>
      </c>
      <c r="P1298">
        <v>-0.57492769999999904</v>
      </c>
      <c r="Q1298">
        <v>0.1502088</v>
      </c>
      <c r="R1298">
        <v>-0.80429830000000002</v>
      </c>
      <c r="S1298">
        <v>-2.183929</v>
      </c>
      <c r="T1298">
        <v>-0.24340680000000001</v>
      </c>
      <c r="U1298">
        <v>-2.2186279999999998</v>
      </c>
      <c r="V1298">
        <v>0.28697830000000002</v>
      </c>
      <c r="W1298">
        <v>0.161565299999999</v>
      </c>
      <c r="X1298">
        <v>0.944214</v>
      </c>
      <c r="Y1298">
        <v>0.43322959999999999</v>
      </c>
      <c r="Z1298">
        <v>7.9548010000000002E-2</v>
      </c>
      <c r="AA1298">
        <v>0.89776619999999996</v>
      </c>
      <c r="AB1298">
        <v>17</v>
      </c>
      <c r="AC1298">
        <v>-9.8879999999999697</v>
      </c>
      <c r="AD1298">
        <v>-1.1084236213550001</v>
      </c>
      <c r="AE1298">
        <v>-9.9464999999999506</v>
      </c>
      <c r="AF1298">
        <v>6.1322506938310903</v>
      </c>
      <c r="AG1298">
        <v>-1.1084236213550001</v>
      </c>
      <c r="AH1298">
        <v>12.5166502228862</v>
      </c>
      <c r="AI1298">
        <v>94.546857712875294</v>
      </c>
      <c r="AJ1298">
        <v>63.898497463171999</v>
      </c>
      <c r="AK1298">
        <v>13.9821183766426</v>
      </c>
      <c r="AL1298">
        <v>80.702236339481004</v>
      </c>
      <c r="AM1298">
        <v>73.094214189846099</v>
      </c>
      <c r="AN1298">
        <v>0.99999998431548898</v>
      </c>
    </row>
    <row r="1299" spans="1:40" x14ac:dyDescent="0.25">
      <c r="A1299" t="str">
        <f>"20190312172639400"</f>
        <v>20190312172639400</v>
      </c>
      <c r="B1299" t="str">
        <f>"1552382799390497"</f>
        <v>1552382799390497</v>
      </c>
      <c r="C1299" t="s">
        <v>40</v>
      </c>
      <c r="D1299">
        <v>3.7474599999999998</v>
      </c>
      <c r="E1299">
        <v>0.55905039999999995</v>
      </c>
      <c r="F1299" t="s">
        <v>47</v>
      </c>
      <c r="G1299">
        <v>-202.9813</v>
      </c>
      <c r="H1299" s="1">
        <v>3.276656E-6</v>
      </c>
      <c r="I1299">
        <v>287.61799999999999</v>
      </c>
      <c r="J1299">
        <v>-193.4059</v>
      </c>
      <c r="K1299">
        <v>1.1083700000000001</v>
      </c>
      <c r="L1299">
        <v>297.05650000000003</v>
      </c>
      <c r="M1299">
        <v>-0.32880219999999999</v>
      </c>
      <c r="N1299">
        <v>0</v>
      </c>
      <c r="O1299">
        <v>-0.94430340000000001</v>
      </c>
      <c r="P1299">
        <v>-0.58307949999999997</v>
      </c>
      <c r="Q1299">
        <v>0.15151970000000001</v>
      </c>
      <c r="R1299">
        <v>-0.79816049999999905</v>
      </c>
      <c r="S1299">
        <v>-2.1940309999999998</v>
      </c>
      <c r="T1299">
        <v>-0.25084089999999998</v>
      </c>
      <c r="U1299">
        <v>-2.208466</v>
      </c>
      <c r="V1299">
        <v>0.28897780000000001</v>
      </c>
      <c r="W1299">
        <v>0.16282160000000001</v>
      </c>
      <c r="X1299">
        <v>0.943388</v>
      </c>
      <c r="Y1299">
        <v>0.42985839999999997</v>
      </c>
      <c r="Z1299">
        <v>8.1843929999999995E-2</v>
      </c>
      <c r="AA1299">
        <v>0.89917919999999996</v>
      </c>
      <c r="AB1299">
        <v>17</v>
      </c>
      <c r="AC1299">
        <v>-9.5754000000000001</v>
      </c>
      <c r="AD1299">
        <v>-1.108366723344</v>
      </c>
      <c r="AE1299">
        <v>-9.4385000000000296</v>
      </c>
      <c r="AF1299">
        <v>5.8991298489595998</v>
      </c>
      <c r="AG1299">
        <v>-1.108366723344</v>
      </c>
      <c r="AH1299">
        <v>11.9808889814119</v>
      </c>
      <c r="AI1299">
        <v>94.744448735104996</v>
      </c>
      <c r="AJ1299">
        <v>63.785365386267301</v>
      </c>
      <c r="AK1299">
        <v>13.4003697916595</v>
      </c>
      <c r="AL1299">
        <v>80.6292897214053</v>
      </c>
      <c r="AM1299">
        <v>72.969171032370596</v>
      </c>
      <c r="AN1299">
        <v>0.99999998043169902</v>
      </c>
    </row>
    <row r="1300" spans="1:40" x14ac:dyDescent="0.25">
      <c r="A1300" t="str">
        <f>"20190312172639424"</f>
        <v>20190312172639424</v>
      </c>
      <c r="B1300" t="str">
        <f>"1552382799419776"</f>
        <v>1552382799419776</v>
      </c>
      <c r="C1300" t="s">
        <v>40</v>
      </c>
      <c r="D1300">
        <v>3.702261</v>
      </c>
      <c r="E1300">
        <v>0.55892350000000002</v>
      </c>
      <c r="F1300" t="s">
        <v>47</v>
      </c>
      <c r="G1300">
        <v>-203.21270000000001</v>
      </c>
      <c r="H1300" s="1">
        <v>3.4005459999999999E-6</v>
      </c>
      <c r="I1300">
        <v>287.37450000000001</v>
      </c>
      <c r="J1300">
        <v>-193.47130000000001</v>
      </c>
      <c r="K1300">
        <v>1.1083419999999999</v>
      </c>
      <c r="L1300">
        <v>296.88490000000002</v>
      </c>
      <c r="M1300">
        <v>-0.33305820000000003</v>
      </c>
      <c r="N1300">
        <v>0</v>
      </c>
      <c r="O1300">
        <v>-0.9428107</v>
      </c>
      <c r="P1300">
        <v>-0.58717969999999997</v>
      </c>
      <c r="Q1300">
        <v>0.1529102</v>
      </c>
      <c r="R1300">
        <v>-0.79488309999999995</v>
      </c>
      <c r="S1300">
        <v>-2.2157290000000001</v>
      </c>
      <c r="T1300">
        <v>-0.25042189999999998</v>
      </c>
      <c r="U1300">
        <v>-2.1875309999999999</v>
      </c>
      <c r="V1300">
        <v>0.289689799999999</v>
      </c>
      <c r="W1300">
        <v>0.16417880000000001</v>
      </c>
      <c r="X1300">
        <v>0.9429343</v>
      </c>
      <c r="Y1300">
        <v>0.43449729999999998</v>
      </c>
      <c r="Z1300">
        <v>8.1723130000000005E-2</v>
      </c>
      <c r="AA1300">
        <v>0.89695789999999997</v>
      </c>
      <c r="AB1300">
        <v>17</v>
      </c>
      <c r="AC1300">
        <v>-9.7414000000000005</v>
      </c>
      <c r="AD1300">
        <v>-1.108338599454</v>
      </c>
      <c r="AE1300">
        <v>-9.5104000000000006</v>
      </c>
      <c r="AF1300">
        <v>5.9777026449767003</v>
      </c>
      <c r="AG1300">
        <v>-1.108338599454</v>
      </c>
      <c r="AH1300">
        <v>12.131654269208999</v>
      </c>
      <c r="AI1300">
        <v>94.684971925256605</v>
      </c>
      <c r="AJ1300">
        <v>63.768873117266899</v>
      </c>
      <c r="AK1300">
        <v>13.5697597130685</v>
      </c>
      <c r="AL1300">
        <v>80.550467151289894</v>
      </c>
      <c r="AM1300">
        <v>72.921910481386504</v>
      </c>
      <c r="AN1300">
        <v>0.99999997635498405</v>
      </c>
    </row>
    <row r="1301" spans="1:40" x14ac:dyDescent="0.25">
      <c r="A1301" t="str">
        <f>"20190312172639448"</f>
        <v>20190312172639448</v>
      </c>
      <c r="B1301" t="str">
        <f>"1552382799440272"</f>
        <v>1552382799440272</v>
      </c>
      <c r="C1301" t="s">
        <v>40</v>
      </c>
      <c r="D1301">
        <v>3.6998350000000002</v>
      </c>
      <c r="E1301">
        <v>0.558894</v>
      </c>
      <c r="F1301" t="s">
        <v>47</v>
      </c>
      <c r="G1301">
        <v>-203.44630000000001</v>
      </c>
      <c r="H1301" s="1">
        <v>3.5248999999999999E-6</v>
      </c>
      <c r="I1301">
        <v>287.13729999999998</v>
      </c>
      <c r="J1301">
        <v>-193.5368</v>
      </c>
      <c r="K1301">
        <v>1.108301</v>
      </c>
      <c r="L1301">
        <v>296.71589999999998</v>
      </c>
      <c r="M1301">
        <v>-0.33734340000000002</v>
      </c>
      <c r="N1301">
        <v>0</v>
      </c>
      <c r="O1301">
        <v>-0.94128579999999995</v>
      </c>
      <c r="P1301">
        <v>-0.59085699999999997</v>
      </c>
      <c r="Q1301">
        <v>0.15401570000000001</v>
      </c>
      <c r="R1301">
        <v>-0.79193939999999996</v>
      </c>
      <c r="S1301">
        <v>-2.2272639999999999</v>
      </c>
      <c r="T1301">
        <v>-0.24747479999999999</v>
      </c>
      <c r="U1301">
        <v>-2.1764830000000002</v>
      </c>
      <c r="V1301">
        <v>0.28986630000000002</v>
      </c>
      <c r="W1301">
        <v>0.16525200000000001</v>
      </c>
      <c r="X1301">
        <v>0.94269259999999999</v>
      </c>
      <c r="Y1301">
        <v>0.43506220000000001</v>
      </c>
      <c r="Z1301">
        <v>8.0720390000000003E-2</v>
      </c>
      <c r="AA1301">
        <v>0.89677479999999998</v>
      </c>
      <c r="AB1301">
        <v>17</v>
      </c>
      <c r="AC1301">
        <v>-9.9094999999999995</v>
      </c>
      <c r="AD1301">
        <v>-1.1082974751000001</v>
      </c>
      <c r="AE1301">
        <v>-9.5785999999999891</v>
      </c>
      <c r="AF1301">
        <v>6.0577709296929401</v>
      </c>
      <c r="AG1301">
        <v>-1.1082974751000001</v>
      </c>
      <c r="AH1301">
        <v>12.2808044743301</v>
      </c>
      <c r="AI1301">
        <v>94.627172122741499</v>
      </c>
      <c r="AJ1301">
        <v>63.7441895208364</v>
      </c>
      <c r="AK1301">
        <v>13.7383794701803</v>
      </c>
      <c r="AL1301">
        <v>80.488126191643005</v>
      </c>
      <c r="AM1301">
        <v>72.907985317232999</v>
      </c>
      <c r="AN1301">
        <v>1.0000000167372201</v>
      </c>
    </row>
    <row r="1302" spans="1:40" x14ac:dyDescent="0.25">
      <c r="A1302" t="str">
        <f>"20190312172639490"</f>
        <v>20190312172639490</v>
      </c>
      <c r="B1302" t="str">
        <f>"1552382799480288"</f>
        <v>1552382799480288</v>
      </c>
      <c r="C1302" t="s">
        <v>40</v>
      </c>
      <c r="D1302">
        <v>3.7091530000000001</v>
      </c>
      <c r="E1302">
        <v>0.55876740000000003</v>
      </c>
      <c r="F1302" t="s">
        <v>47</v>
      </c>
      <c r="G1302">
        <v>-203.67009999999999</v>
      </c>
      <c r="H1302" s="1">
        <v>3.644109E-6</v>
      </c>
      <c r="I1302">
        <v>286.90890000000002</v>
      </c>
      <c r="J1302">
        <v>-193.6534</v>
      </c>
      <c r="K1302">
        <v>1.1082019999999999</v>
      </c>
      <c r="L1302">
        <v>296.42129999999997</v>
      </c>
      <c r="M1302">
        <v>-0.34514250000000002</v>
      </c>
      <c r="N1302">
        <v>0</v>
      </c>
      <c r="O1302">
        <v>-0.93845400000000001</v>
      </c>
      <c r="P1302">
        <v>-0.59769519999999998</v>
      </c>
      <c r="Q1302">
        <v>0.15515960000000001</v>
      </c>
      <c r="R1302">
        <v>-0.78656610000000005</v>
      </c>
      <c r="S1302">
        <v>-2.2380680000000002</v>
      </c>
      <c r="T1302">
        <v>-0.2447802</v>
      </c>
      <c r="U1302">
        <v>-2.165985</v>
      </c>
      <c r="V1302">
        <v>0.2903406</v>
      </c>
      <c r="W1302">
        <v>0.16631799999999999</v>
      </c>
      <c r="X1302">
        <v>0.94235910000000001</v>
      </c>
      <c r="Y1302">
        <v>0.43198809999999899</v>
      </c>
      <c r="Z1302">
        <v>7.9705719999999994E-2</v>
      </c>
      <c r="AA1302">
        <v>0.89835030000000005</v>
      </c>
      <c r="AB1302">
        <v>17</v>
      </c>
      <c r="AC1302">
        <v>-10.016699999999901</v>
      </c>
      <c r="AD1302">
        <v>-1.108198355891</v>
      </c>
      <c r="AE1302">
        <v>-9.5123999999999498</v>
      </c>
      <c r="AF1302">
        <v>6.0785107094623596</v>
      </c>
      <c r="AG1302">
        <v>-1.108198355891</v>
      </c>
      <c r="AH1302">
        <v>12.3060571716077</v>
      </c>
      <c r="AI1302">
        <v>94.616078762726801</v>
      </c>
      <c r="AJ1302">
        <v>63.713178819546101</v>
      </c>
      <c r="AK1302">
        <v>13.7700921983815</v>
      </c>
      <c r="AL1302">
        <v>80.426191744224994</v>
      </c>
      <c r="AM1302">
        <v>72.875947925814899</v>
      </c>
      <c r="AN1302">
        <v>1.0000000072425801</v>
      </c>
    </row>
    <row r="1303" spans="1:40" x14ac:dyDescent="0.25">
      <c r="A1303" t="str">
        <f>"20190312172639512"</f>
        <v>20190312172639512</v>
      </c>
      <c r="B1303" t="str">
        <f>"1552382799499808"</f>
        <v>1552382799499808</v>
      </c>
      <c r="C1303" t="s">
        <v>40</v>
      </c>
      <c r="D1303">
        <v>3.6926420000000002</v>
      </c>
      <c r="E1303">
        <v>0.55866839999999995</v>
      </c>
      <c r="F1303" t="s">
        <v>47</v>
      </c>
      <c r="G1303">
        <v>-203.8716</v>
      </c>
      <c r="H1303" s="1">
        <v>3.7522599999999998E-6</v>
      </c>
      <c r="I1303">
        <v>286.69389999999999</v>
      </c>
      <c r="J1303">
        <v>-193.71780000000001</v>
      </c>
      <c r="K1303">
        <v>1.1081399999999999</v>
      </c>
      <c r="L1303">
        <v>296.26220000000001</v>
      </c>
      <c r="M1303">
        <v>-0.34952299999999997</v>
      </c>
      <c r="N1303">
        <v>0</v>
      </c>
      <c r="O1303">
        <v>-0.93683130000000003</v>
      </c>
      <c r="P1303">
        <v>-0.60174629999999996</v>
      </c>
      <c r="Q1303">
        <v>0.15499640000000001</v>
      </c>
      <c r="R1303">
        <v>-0.78350369999999903</v>
      </c>
      <c r="S1303">
        <v>-2.2562259999999998</v>
      </c>
      <c r="T1303">
        <v>-0.2446951</v>
      </c>
      <c r="U1303">
        <v>-2.1478579999999998</v>
      </c>
      <c r="V1303">
        <v>0.29081509999999999</v>
      </c>
      <c r="W1303">
        <v>0.16611400000000001</v>
      </c>
      <c r="X1303">
        <v>0.9422488</v>
      </c>
      <c r="Y1303">
        <v>0.4351756</v>
      </c>
      <c r="Z1303">
        <v>7.9666710000000002E-2</v>
      </c>
      <c r="AA1303">
        <v>0.896813999999999</v>
      </c>
      <c r="AB1303">
        <v>17</v>
      </c>
      <c r="AC1303">
        <v>-10.153799999999899</v>
      </c>
      <c r="AD1303">
        <v>-1.1081362477400001</v>
      </c>
      <c r="AE1303">
        <v>-9.5683000000000202</v>
      </c>
      <c r="AF1303">
        <v>6.1299434989483599</v>
      </c>
      <c r="AG1303">
        <v>-1.1081362477400001</v>
      </c>
      <c r="AH1303">
        <v>12.4355508978143</v>
      </c>
      <c r="AI1303">
        <v>94.569779295483201</v>
      </c>
      <c r="AJ1303">
        <v>63.759605371259298</v>
      </c>
      <c r="AK1303">
        <v>13.908526139601699</v>
      </c>
      <c r="AL1303">
        <v>80.438045306843406</v>
      </c>
      <c r="AM1303">
        <v>72.847713218485296</v>
      </c>
      <c r="AN1303">
        <v>1.00000004224272</v>
      </c>
    </row>
    <row r="1304" spans="1:40" x14ac:dyDescent="0.25">
      <c r="A1304" t="str">
        <f>"20190312172639535"</f>
        <v>20190312172639535</v>
      </c>
      <c r="B1304" t="str">
        <f>"1552382799530064"</f>
        <v>1552382799530064</v>
      </c>
      <c r="C1304" t="s">
        <v>40</v>
      </c>
      <c r="D1304">
        <v>3.7150120000000002</v>
      </c>
      <c r="E1304">
        <v>0.55859820000000004</v>
      </c>
      <c r="F1304" t="s">
        <v>47</v>
      </c>
      <c r="G1304">
        <v>-203.89920000000001</v>
      </c>
      <c r="H1304" s="1">
        <v>3.7674480000000002E-6</v>
      </c>
      <c r="I1304">
        <v>286.66000000000003</v>
      </c>
      <c r="J1304">
        <v>-193.78460000000001</v>
      </c>
      <c r="K1304">
        <v>1.1080920000000001</v>
      </c>
      <c r="L1304">
        <v>296.10000000000002</v>
      </c>
      <c r="M1304">
        <v>-0.35408729999999999</v>
      </c>
      <c r="N1304">
        <v>0</v>
      </c>
      <c r="O1304">
        <v>-0.93511540000000004</v>
      </c>
      <c r="P1304">
        <v>-0.60605880000000001</v>
      </c>
      <c r="Q1304">
        <v>0.1539614</v>
      </c>
      <c r="R1304">
        <v>-0.7803774</v>
      </c>
      <c r="S1304">
        <v>-2.266159</v>
      </c>
      <c r="T1304">
        <v>-0.24664910000000001</v>
      </c>
      <c r="U1304">
        <v>-2.1372680000000002</v>
      </c>
      <c r="V1304">
        <v>0.29136000000000001</v>
      </c>
      <c r="W1304">
        <v>0.16504839999999901</v>
      </c>
      <c r="X1304">
        <v>0.94226770000000004</v>
      </c>
      <c r="Y1304">
        <v>0.43493179999999998</v>
      </c>
      <c r="Z1304">
        <v>8.0244949999999995E-2</v>
      </c>
      <c r="AA1304">
        <v>0.89688069999999898</v>
      </c>
      <c r="AB1304">
        <v>17</v>
      </c>
      <c r="AC1304">
        <v>-10.1145999999999</v>
      </c>
      <c r="AD1304">
        <v>-1.1080882325520001</v>
      </c>
      <c r="AE1304">
        <v>-9.4399999999999906</v>
      </c>
      <c r="AF1304">
        <v>6.0773057946316102</v>
      </c>
      <c r="AG1304">
        <v>-1.1080882325520001</v>
      </c>
      <c r="AH1304">
        <v>12.3309689923781</v>
      </c>
      <c r="AI1304">
        <v>94.608331793425506</v>
      </c>
      <c r="AJ1304">
        <v>63.763662960903403</v>
      </c>
      <c r="AK1304">
        <v>13.7918200953889</v>
      </c>
      <c r="AL1304">
        <v>80.499954069767</v>
      </c>
      <c r="AM1304">
        <v>72.8177902790502</v>
      </c>
      <c r="AN1304">
        <v>1.0000000212029201</v>
      </c>
    </row>
    <row r="1305" spans="1:40" x14ac:dyDescent="0.25">
      <c r="A1305" t="str">
        <f>"20190312172639558"</f>
        <v>20190312172639558</v>
      </c>
      <c r="B1305" t="str">
        <f>"1552382799550559"</f>
        <v>1552382799550559</v>
      </c>
      <c r="C1305" t="s">
        <v>40</v>
      </c>
      <c r="D1305">
        <v>3.7212939999999999</v>
      </c>
      <c r="E1305">
        <v>0.55855589999999999</v>
      </c>
      <c r="F1305" t="s">
        <v>47</v>
      </c>
      <c r="G1305">
        <v>-203.78</v>
      </c>
      <c r="H1305" s="1">
        <v>3.7050909999999999E-6</v>
      </c>
      <c r="I1305">
        <v>286.76850000000002</v>
      </c>
      <c r="J1305">
        <v>-193.84970000000001</v>
      </c>
      <c r="K1305">
        <v>1.1080449999999999</v>
      </c>
      <c r="L1305">
        <v>295.9443</v>
      </c>
      <c r="M1305">
        <v>-0.35858000000000001</v>
      </c>
      <c r="N1305">
        <v>0</v>
      </c>
      <c r="O1305">
        <v>-0.93340199999999995</v>
      </c>
      <c r="P1305">
        <v>-0.61023229999999995</v>
      </c>
      <c r="Q1305">
        <v>0.153476799999999</v>
      </c>
      <c r="R1305">
        <v>-0.77721409999999902</v>
      </c>
      <c r="S1305">
        <v>-2.2769620000000002</v>
      </c>
      <c r="T1305">
        <v>-0.25242540000000002</v>
      </c>
      <c r="U1305">
        <v>-2.1257320000000002</v>
      </c>
      <c r="V1305">
        <v>0.2918597</v>
      </c>
      <c r="W1305">
        <v>0.1645353</v>
      </c>
      <c r="X1305">
        <v>0.94220280000000001</v>
      </c>
      <c r="Y1305">
        <v>0.43504110000000001</v>
      </c>
      <c r="Z1305">
        <v>8.2061029999999993E-2</v>
      </c>
      <c r="AA1305">
        <v>0.8966634</v>
      </c>
      <c r="AB1305">
        <v>17</v>
      </c>
      <c r="AC1305">
        <v>-9.9302999999999795</v>
      </c>
      <c r="AD1305">
        <v>-1.1080412949089999</v>
      </c>
      <c r="AE1305">
        <v>-9.1757999999999793</v>
      </c>
      <c r="AF1305">
        <v>5.93935526938201</v>
      </c>
      <c r="AG1305">
        <v>-1.1080412949089999</v>
      </c>
      <c r="AH1305">
        <v>12.045714151706401</v>
      </c>
      <c r="AI1305">
        <v>94.716368479712401</v>
      </c>
      <c r="AJ1305">
        <v>63.7535719958857</v>
      </c>
      <c r="AK1305">
        <v>13.4760129842539</v>
      </c>
      <c r="AL1305">
        <v>80.529760141719095</v>
      </c>
      <c r="AM1305">
        <v>72.788945759621896</v>
      </c>
      <c r="AN1305">
        <v>1.000000032879</v>
      </c>
    </row>
    <row r="1306" spans="1:40" x14ac:dyDescent="0.25">
      <c r="A1306" t="str">
        <f>"20190312172639579"</f>
        <v>20190312172639579</v>
      </c>
      <c r="B1306" t="str">
        <f>"1552382799570081"</f>
        <v>1552382799570081</v>
      </c>
      <c r="C1306" t="s">
        <v>40</v>
      </c>
      <c r="D1306">
        <v>3.7115390000000001</v>
      </c>
      <c r="E1306">
        <v>0.55850489999999997</v>
      </c>
      <c r="F1306" t="s">
        <v>47</v>
      </c>
      <c r="G1306">
        <v>-203.78659999999999</v>
      </c>
      <c r="H1306" s="1">
        <v>3.7081239999999999E-6</v>
      </c>
      <c r="I1306">
        <v>286.76740000000001</v>
      </c>
      <c r="J1306">
        <v>-193.9144</v>
      </c>
      <c r="K1306">
        <v>1.1079859999999999</v>
      </c>
      <c r="L1306">
        <v>295.79160000000002</v>
      </c>
      <c r="M1306">
        <v>-0.36310910000000002</v>
      </c>
      <c r="N1306">
        <v>0</v>
      </c>
      <c r="O1306">
        <v>-0.93164939999999996</v>
      </c>
      <c r="P1306">
        <v>-0.61460419999999905</v>
      </c>
      <c r="Q1306">
        <v>0.15301819999999999</v>
      </c>
      <c r="R1306">
        <v>-0.7738526</v>
      </c>
      <c r="S1306">
        <v>-2.2884980000000001</v>
      </c>
      <c r="T1306">
        <v>-0.25518489999999999</v>
      </c>
      <c r="U1306">
        <v>-2.113464</v>
      </c>
      <c r="V1306">
        <v>0.2925799</v>
      </c>
      <c r="W1306">
        <v>0.16404379999999999</v>
      </c>
      <c r="X1306">
        <v>0.94206509999999999</v>
      </c>
      <c r="Y1306">
        <v>0.43546390000000001</v>
      </c>
      <c r="Z1306">
        <v>8.2899630000000002E-2</v>
      </c>
      <c r="AA1306">
        <v>0.89638099999999998</v>
      </c>
      <c r="AB1306">
        <v>17</v>
      </c>
      <c r="AC1306">
        <v>-9.8721999999999905</v>
      </c>
      <c r="AD1306">
        <v>-1.1079822918760001</v>
      </c>
      <c r="AE1306">
        <v>-9.0242000000000004</v>
      </c>
      <c r="AF1306">
        <v>5.8808409411166602</v>
      </c>
      <c r="AG1306">
        <v>-1.1079822918760001</v>
      </c>
      <c r="AH1306">
        <v>11.911424019044199</v>
      </c>
      <c r="AI1306">
        <v>94.767826937608305</v>
      </c>
      <c r="AJ1306">
        <v>63.723785666791002</v>
      </c>
      <c r="AK1306">
        <v>13.3301889369689</v>
      </c>
      <c r="AL1306">
        <v>80.558308709688802</v>
      </c>
      <c r="AM1306">
        <v>72.746621254724701</v>
      </c>
      <c r="AN1306">
        <v>1.0000000094202299</v>
      </c>
    </row>
    <row r="1307" spans="1:40" x14ac:dyDescent="0.25">
      <c r="A1307" t="str">
        <f>"20190312172639601"</f>
        <v>20190312172639601</v>
      </c>
      <c r="B1307" t="str">
        <f>"1552382799590576"</f>
        <v>1552382799590576</v>
      </c>
      <c r="C1307" t="s">
        <v>40</v>
      </c>
      <c r="D1307">
        <v>3.7433070000000002</v>
      </c>
      <c r="E1307">
        <v>0.55844369999999999</v>
      </c>
      <c r="F1307" t="s">
        <v>47</v>
      </c>
      <c r="G1307">
        <v>-203.7945</v>
      </c>
      <c r="H1307" s="1">
        <v>3.7117270000000001E-6</v>
      </c>
      <c r="I1307">
        <v>286.76620000000003</v>
      </c>
      <c r="J1307">
        <v>-193.9787</v>
      </c>
      <c r="K1307">
        <v>1.107923</v>
      </c>
      <c r="L1307">
        <v>295.64249999999998</v>
      </c>
      <c r="M1307">
        <v>-0.36765399999999998</v>
      </c>
      <c r="N1307">
        <v>0</v>
      </c>
      <c r="O1307">
        <v>-0.9298651</v>
      </c>
      <c r="P1307">
        <v>-0.61936819999999904</v>
      </c>
      <c r="Q1307">
        <v>0.1524567</v>
      </c>
      <c r="R1307">
        <v>-0.77015630000000002</v>
      </c>
      <c r="S1307">
        <v>-2.3000340000000001</v>
      </c>
      <c r="T1307">
        <v>-0.25793369999999999</v>
      </c>
      <c r="U1307">
        <v>-2.1010740000000001</v>
      </c>
      <c r="V1307">
        <v>0.29377389999999998</v>
      </c>
      <c r="W1307">
        <v>0.1634398</v>
      </c>
      <c r="X1307">
        <v>0.94179840000000004</v>
      </c>
      <c r="Y1307">
        <v>0.43588779999999999</v>
      </c>
      <c r="Z1307">
        <v>8.373121E-2</v>
      </c>
      <c r="AA1307">
        <v>0.89609760000000005</v>
      </c>
      <c r="AB1307">
        <v>17</v>
      </c>
      <c r="AC1307">
        <v>-9.8157999999999905</v>
      </c>
      <c r="AD1307">
        <v>-1.107919288273</v>
      </c>
      <c r="AE1307">
        <v>-8.8762999999999508</v>
      </c>
      <c r="AF1307">
        <v>5.8236785588196804</v>
      </c>
      <c r="AG1307">
        <v>-1.107919288273</v>
      </c>
      <c r="AH1307">
        <v>11.7810864959482</v>
      </c>
      <c r="AI1307">
        <v>94.818892717784394</v>
      </c>
      <c r="AJ1307">
        <v>63.695689134210099</v>
      </c>
      <c r="AK1307">
        <v>13.1885069712533</v>
      </c>
      <c r="AL1307">
        <v>80.593388259292595</v>
      </c>
      <c r="AM1307">
        <v>72.675803899273205</v>
      </c>
      <c r="AN1307">
        <v>0.99999994939390302</v>
      </c>
    </row>
    <row r="1308" spans="1:40" x14ac:dyDescent="0.25">
      <c r="A1308" t="str">
        <f>"20190312172639626"</f>
        <v>20190312172639626</v>
      </c>
      <c r="B1308" t="str">
        <f>"1552382799619856"</f>
        <v>1552382799619856</v>
      </c>
      <c r="C1308" t="s">
        <v>40</v>
      </c>
      <c r="D1308">
        <v>3.7809620000000002</v>
      </c>
      <c r="E1308">
        <v>0.55831430000000004</v>
      </c>
      <c r="F1308" t="s">
        <v>47</v>
      </c>
      <c r="G1308">
        <v>-203.77529999999999</v>
      </c>
      <c r="H1308" s="1">
        <v>3.7006199999999999E-6</v>
      </c>
      <c r="I1308">
        <v>286.7962</v>
      </c>
      <c r="J1308">
        <v>-194.05269999999999</v>
      </c>
      <c r="K1308">
        <v>1.1078520000000001</v>
      </c>
      <c r="L1308">
        <v>295.47359999999998</v>
      </c>
      <c r="M1308">
        <v>-0.37292839999999999</v>
      </c>
      <c r="N1308">
        <v>0</v>
      </c>
      <c r="O1308">
        <v>-0.92776210000000003</v>
      </c>
      <c r="P1308">
        <v>-0.6246024</v>
      </c>
      <c r="Q1308">
        <v>0.15167729999999999</v>
      </c>
      <c r="R1308">
        <v>-0.76607179999999997</v>
      </c>
      <c r="S1308">
        <v>-2.3120120000000002</v>
      </c>
      <c r="T1308">
        <v>-0.2614708</v>
      </c>
      <c r="U1308">
        <v>-2.0877379999999999</v>
      </c>
      <c r="V1308">
        <v>0.29481279999999999</v>
      </c>
      <c r="W1308">
        <v>0.16261039999999999</v>
      </c>
      <c r="X1308">
        <v>0.94161740000000005</v>
      </c>
      <c r="Y1308">
        <v>0.43586510000000001</v>
      </c>
      <c r="Z1308">
        <v>8.4800849999999997E-2</v>
      </c>
      <c r="AA1308">
        <v>0.89600809999999997</v>
      </c>
      <c r="AB1308">
        <v>17</v>
      </c>
      <c r="AC1308">
        <v>-9.7225999999999999</v>
      </c>
      <c r="AD1308">
        <v>-1.1078482993799901</v>
      </c>
      <c r="AE1308">
        <v>-8.6773999999999702</v>
      </c>
      <c r="AF1308">
        <v>5.7432309060604601</v>
      </c>
      <c r="AG1308">
        <v>-1.1078482993799901</v>
      </c>
      <c r="AH1308">
        <v>11.593671550398399</v>
      </c>
      <c r="AI1308">
        <v>94.894066519798898</v>
      </c>
      <c r="AJ1308">
        <v>63.647272208086001</v>
      </c>
      <c r="AK1308">
        <v>12.985578505145</v>
      </c>
      <c r="AL1308">
        <v>80.641554492405604</v>
      </c>
      <c r="AM1308">
        <v>72.615083342432101</v>
      </c>
      <c r="AN1308">
        <v>1.00000002860737</v>
      </c>
    </row>
    <row r="1309" spans="1:40" x14ac:dyDescent="0.25">
      <c r="A1309" t="str">
        <f>"20190312172639670"</f>
        <v>20190312172639670</v>
      </c>
      <c r="B1309" t="str">
        <f>"1552382799659872"</f>
        <v>1552382799659872</v>
      </c>
      <c r="C1309" t="s">
        <v>40</v>
      </c>
      <c r="D1309">
        <v>3.7740840000000002</v>
      </c>
      <c r="E1309">
        <v>0.55501639999999997</v>
      </c>
      <c r="F1309" t="s">
        <v>47</v>
      </c>
      <c r="G1309">
        <v>-203.73750000000001</v>
      </c>
      <c r="H1309" s="1">
        <v>3.6800290000000001E-6</v>
      </c>
      <c r="I1309">
        <v>286.83999999999997</v>
      </c>
      <c r="J1309">
        <v>-194.1883</v>
      </c>
      <c r="K1309">
        <v>1.107737</v>
      </c>
      <c r="L1309">
        <v>295.17200000000003</v>
      </c>
      <c r="M1309">
        <v>-0.38272909999999999</v>
      </c>
      <c r="N1309">
        <v>0</v>
      </c>
      <c r="O1309">
        <v>-0.92376190000000002</v>
      </c>
      <c r="P1309">
        <v>-0.63376080000000001</v>
      </c>
      <c r="Q1309">
        <v>0.151365</v>
      </c>
      <c r="R1309">
        <v>-0.758575</v>
      </c>
      <c r="S1309">
        <v>-2.325256</v>
      </c>
      <c r="T1309">
        <v>-0.26598559999999999</v>
      </c>
      <c r="U1309">
        <v>-2.0728759999999999</v>
      </c>
      <c r="V1309">
        <v>0.29618519999999998</v>
      </c>
      <c r="W1309">
        <v>0.16220950000000001</v>
      </c>
      <c r="X1309">
        <v>0.94125570000000003</v>
      </c>
      <c r="Y1309">
        <v>0.4319789</v>
      </c>
      <c r="Z1309">
        <v>8.6036119999999994E-2</v>
      </c>
      <c r="AA1309">
        <v>0.89777059999999997</v>
      </c>
      <c r="AB1309">
        <v>17</v>
      </c>
      <c r="AC1309">
        <v>-9.5492000000000097</v>
      </c>
      <c r="AD1309">
        <v>-1.107733319971</v>
      </c>
      <c r="AE1309">
        <v>-8.3320000000000505</v>
      </c>
      <c r="AF1309">
        <v>5.59009307470689</v>
      </c>
      <c r="AG1309">
        <v>-1.107733319971</v>
      </c>
      <c r="AH1309">
        <v>11.2664989660598</v>
      </c>
      <c r="AI1309">
        <v>95.033366217216198</v>
      </c>
      <c r="AJ1309">
        <v>63.610795232660799</v>
      </c>
      <c r="AK1309">
        <v>12.625775724456901</v>
      </c>
      <c r="AL1309">
        <v>80.664832635989598</v>
      </c>
      <c r="AM1309">
        <v>72.532760263076696</v>
      </c>
      <c r="AN1309">
        <v>0.99999994368588796</v>
      </c>
    </row>
    <row r="1310" spans="1:40" x14ac:dyDescent="0.25">
      <c r="A1310" t="str">
        <f>"20190312172639691"</f>
        <v>20190312172639691</v>
      </c>
      <c r="B1310" t="str">
        <f>"1552382799680368"</f>
        <v>1552382799680368</v>
      </c>
      <c r="C1310" t="s">
        <v>40</v>
      </c>
      <c r="D1310">
        <v>3.778813</v>
      </c>
      <c r="E1310">
        <v>0.55502079999999998</v>
      </c>
      <c r="F1310" t="s">
        <v>47</v>
      </c>
      <c r="G1310">
        <v>-202.8211</v>
      </c>
      <c r="H1310" s="1">
        <v>3.2132169999999998E-6</v>
      </c>
      <c r="I1310">
        <v>287.53100000000001</v>
      </c>
      <c r="J1310">
        <v>-194.255</v>
      </c>
      <c r="K1310">
        <v>1.107696</v>
      </c>
      <c r="L1310">
        <v>295.02760000000001</v>
      </c>
      <c r="M1310">
        <v>-0.38758039999999999</v>
      </c>
      <c r="N1310">
        <v>0</v>
      </c>
      <c r="O1310">
        <v>-0.92173669999999996</v>
      </c>
      <c r="P1310">
        <v>-0.63812690000000005</v>
      </c>
      <c r="Q1310">
        <v>0.15186240000000001</v>
      </c>
      <c r="R1310">
        <v>-0.75480599999999998</v>
      </c>
      <c r="S1310">
        <v>-2.3332519999999999</v>
      </c>
      <c r="T1310">
        <v>-0.29939749999999998</v>
      </c>
      <c r="U1310">
        <v>-2.0652159999999999</v>
      </c>
      <c r="V1310">
        <v>0.29672690000000002</v>
      </c>
      <c r="W1310">
        <v>0.16267760000000001</v>
      </c>
      <c r="X1310">
        <v>0.94100430000000002</v>
      </c>
      <c r="Y1310">
        <v>0.42965019999999998</v>
      </c>
      <c r="Z1310">
        <v>9.6597379999999997E-2</v>
      </c>
      <c r="AA1310">
        <v>0.89781390000000005</v>
      </c>
      <c r="AB1310">
        <v>17</v>
      </c>
      <c r="AC1310">
        <v>-8.5661000000000005</v>
      </c>
      <c r="AD1310">
        <v>-1.107692786783</v>
      </c>
      <c r="AE1310">
        <v>-7.4965999999999999</v>
      </c>
      <c r="AF1310">
        <v>4.9437964125470204</v>
      </c>
      <c r="AG1310">
        <v>-1.107692786783</v>
      </c>
      <c r="AH1310">
        <v>10.1349105417018</v>
      </c>
      <c r="AI1310">
        <v>95.610219267344405</v>
      </c>
      <c r="AJ1310">
        <v>63.996939062038599</v>
      </c>
      <c r="AK1310">
        <v>11.330689209704</v>
      </c>
      <c r="AL1310">
        <v>80.637651738208703</v>
      </c>
      <c r="AM1310">
        <v>72.498372671309696</v>
      </c>
      <c r="AN1310">
        <v>0.99999997367192905</v>
      </c>
    </row>
    <row r="1311" spans="1:40" x14ac:dyDescent="0.25">
      <c r="A1311" t="str">
        <f>"20190312172639712"</f>
        <v>20190312172639712</v>
      </c>
      <c r="B1311" t="str">
        <f>"1552382799709648"</f>
        <v>1552382799709648</v>
      </c>
      <c r="C1311" t="s">
        <v>40</v>
      </c>
      <c r="D1311">
        <v>3.738877</v>
      </c>
      <c r="E1311">
        <v>0.55446090000000003</v>
      </c>
      <c r="F1311" t="s">
        <v>47</v>
      </c>
      <c r="G1311">
        <v>-202.95949999999999</v>
      </c>
      <c r="H1311" s="1">
        <v>3.284875E-6</v>
      </c>
      <c r="I1311">
        <v>287.41359999999997</v>
      </c>
      <c r="J1311">
        <v>-194.3235</v>
      </c>
      <c r="K1311">
        <v>1.1076809999999999</v>
      </c>
      <c r="L1311">
        <v>294.88130000000001</v>
      </c>
      <c r="M1311">
        <v>-0.39257140000000001</v>
      </c>
      <c r="N1311">
        <v>0</v>
      </c>
      <c r="O1311">
        <v>-0.91962200000000005</v>
      </c>
      <c r="P1311">
        <v>-0.64255609999999996</v>
      </c>
      <c r="Q1311">
        <v>0.152133399999999</v>
      </c>
      <c r="R1311">
        <v>-0.75098419999999999</v>
      </c>
      <c r="S1311">
        <v>-2.3455050000000002</v>
      </c>
      <c r="T1311">
        <v>-0.29847509999999999</v>
      </c>
      <c r="U1311">
        <v>-2.0516359999999998</v>
      </c>
      <c r="V1311">
        <v>0.29719390000000001</v>
      </c>
      <c r="W1311">
        <v>0.16293450000000001</v>
      </c>
      <c r="X1311">
        <v>0.94081250000000005</v>
      </c>
      <c r="Y1311">
        <v>0.43005729999999998</v>
      </c>
      <c r="Z1311">
        <v>9.6211030000000003E-2</v>
      </c>
      <c r="AA1311">
        <v>0.89766039999999903</v>
      </c>
      <c r="AB1311">
        <v>17</v>
      </c>
      <c r="AC1311">
        <v>-8.6359999999999904</v>
      </c>
      <c r="AD1311">
        <v>-1.1076777151249999</v>
      </c>
      <c r="AE1311">
        <v>-7.46770000000003</v>
      </c>
      <c r="AF1311">
        <v>4.9639831163832602</v>
      </c>
      <c r="AG1311">
        <v>-1.1076777151249999</v>
      </c>
      <c r="AH1311">
        <v>10.162983269082901</v>
      </c>
      <c r="AI1311">
        <v>95.593345358769994</v>
      </c>
      <c r="AJ1311">
        <v>63.967377589329899</v>
      </c>
      <c r="AK1311">
        <v>11.3646076583392</v>
      </c>
      <c r="AL1311">
        <v>80.622733783516907</v>
      </c>
      <c r="AM1311">
        <v>72.469158931900097</v>
      </c>
      <c r="AN1311">
        <v>1.00000001282185</v>
      </c>
    </row>
    <row r="1312" spans="1:40" x14ac:dyDescent="0.25">
      <c r="A1312" t="str">
        <f>"20190312172639736"</f>
        <v>20190312172639736</v>
      </c>
      <c r="B1312" t="str">
        <f>"1552382799730143"</f>
        <v>1552382799730143</v>
      </c>
      <c r="C1312" t="s">
        <v>40</v>
      </c>
      <c r="D1312">
        <v>3.7634629999999998</v>
      </c>
      <c r="E1312">
        <v>0.55423389999999995</v>
      </c>
      <c r="F1312" t="s">
        <v>47</v>
      </c>
      <c r="G1312">
        <v>-203.0421</v>
      </c>
      <c r="H1312" s="1">
        <v>3.3293850000000001E-6</v>
      </c>
      <c r="I1312">
        <v>287.32319999999999</v>
      </c>
      <c r="J1312">
        <v>-194.39879999999999</v>
      </c>
      <c r="K1312">
        <v>1.107674</v>
      </c>
      <c r="L1312">
        <v>294.72309999999999</v>
      </c>
      <c r="M1312">
        <v>-0.39805610000000002</v>
      </c>
      <c r="N1312">
        <v>0</v>
      </c>
      <c r="O1312">
        <v>-0.9172612</v>
      </c>
      <c r="P1312">
        <v>-0.64716850000000004</v>
      </c>
      <c r="Q1312">
        <v>0.15229039999999999</v>
      </c>
      <c r="R1312">
        <v>-0.74698120000000001</v>
      </c>
      <c r="S1312">
        <v>-2.354355</v>
      </c>
      <c r="T1312">
        <v>-0.29911549999999998</v>
      </c>
      <c r="U1312">
        <v>-2.0409549999999999</v>
      </c>
      <c r="V1312">
        <v>0.29738799999999999</v>
      </c>
      <c r="W1312">
        <v>0.1630865</v>
      </c>
      <c r="X1312">
        <v>0.94072480000000003</v>
      </c>
      <c r="Y1312">
        <v>0.42865639999999999</v>
      </c>
      <c r="Z1312">
        <v>9.6289250000000007E-2</v>
      </c>
      <c r="AA1312">
        <v>0.89832179999999995</v>
      </c>
      <c r="AB1312">
        <v>17</v>
      </c>
      <c r="AC1312">
        <v>-8.6433</v>
      </c>
      <c r="AD1312">
        <v>-1.1076706706149999</v>
      </c>
      <c r="AE1312">
        <v>-7.3998999999999997</v>
      </c>
      <c r="AF1312">
        <v>4.9362642328741604</v>
      </c>
      <c r="AG1312">
        <v>-1.1076706706149999</v>
      </c>
      <c r="AH1312">
        <v>10.1330661130977</v>
      </c>
      <c r="AI1312">
        <v>95.612560140824996</v>
      </c>
      <c r="AJ1312">
        <v>64.0272407456049</v>
      </c>
      <c r="AK1312">
        <v>11.325752414021</v>
      </c>
      <c r="AL1312">
        <v>80.613906533885299</v>
      </c>
      <c r="AM1312">
        <v>72.456876321216697</v>
      </c>
      <c r="AN1312">
        <v>0.99999998918064403</v>
      </c>
    </row>
    <row r="1313" spans="1:40" x14ac:dyDescent="0.25">
      <c r="A1313" t="str">
        <f>"20190312172639757"</f>
        <v>20190312172639757</v>
      </c>
      <c r="B1313" t="str">
        <f>"1552382799749664"</f>
        <v>1552382799749664</v>
      </c>
      <c r="C1313" t="s">
        <v>40</v>
      </c>
      <c r="D1313">
        <v>3.7369530000000002</v>
      </c>
      <c r="E1313">
        <v>0.55409189999999997</v>
      </c>
      <c r="F1313" t="s">
        <v>47</v>
      </c>
      <c r="G1313">
        <v>-203.15379999999999</v>
      </c>
      <c r="H1313" s="1">
        <v>3.38783E-6</v>
      </c>
      <c r="I1313">
        <v>287.22129999999999</v>
      </c>
      <c r="J1313">
        <v>-194.46709999999999</v>
      </c>
      <c r="K1313">
        <v>1.1076699999999999</v>
      </c>
      <c r="L1313">
        <v>294.58179999999999</v>
      </c>
      <c r="M1313">
        <v>-0.40303090000000003</v>
      </c>
      <c r="N1313">
        <v>0</v>
      </c>
      <c r="O1313">
        <v>-0.91508639999999997</v>
      </c>
      <c r="P1313">
        <v>-0.65142699999999998</v>
      </c>
      <c r="Q1313">
        <v>0.15283550000000001</v>
      </c>
      <c r="R1313">
        <v>-0.743158599999999</v>
      </c>
      <c r="S1313">
        <v>-2.3659970000000001</v>
      </c>
      <c r="T1313">
        <v>-0.29934369999999999</v>
      </c>
      <c r="U1313">
        <v>-2.0273439999999998</v>
      </c>
      <c r="V1313">
        <v>0.29771049999999999</v>
      </c>
      <c r="W1313">
        <v>0.1636232</v>
      </c>
      <c r="X1313">
        <v>0.94052959999999997</v>
      </c>
      <c r="Y1313">
        <v>0.42891849999999998</v>
      </c>
      <c r="Z1313">
        <v>9.6270410000000001E-2</v>
      </c>
      <c r="AA1313">
        <v>0.89819869999999902</v>
      </c>
      <c r="AB1313">
        <v>16</v>
      </c>
      <c r="AC1313">
        <v>-8.6867000000000001</v>
      </c>
      <c r="AD1313">
        <v>-1.1076666121700001</v>
      </c>
      <c r="AE1313">
        <v>-7.3605</v>
      </c>
      <c r="AF1313">
        <v>4.9363087547449602</v>
      </c>
      <c r="AG1313">
        <v>-1.1076666121700001</v>
      </c>
      <c r="AH1313">
        <v>10.141455727409801</v>
      </c>
      <c r="AI1313">
        <v>95.608800610152102</v>
      </c>
      <c r="AJ1313">
        <v>64.0457017213228</v>
      </c>
      <c r="AK1313">
        <v>11.3332781540427</v>
      </c>
      <c r="AL1313">
        <v>80.582737409153296</v>
      </c>
      <c r="AM1313">
        <v>72.435599926419897</v>
      </c>
      <c r="AN1313">
        <v>1.0000000109323199</v>
      </c>
    </row>
    <row r="1314" spans="1:40" x14ac:dyDescent="0.25">
      <c r="A1314" t="str">
        <f>"20190312172639802"</f>
        <v>20190312172639802</v>
      </c>
      <c r="B1314" t="str">
        <f>"1552382799800416"</f>
        <v>1552382799800416</v>
      </c>
      <c r="C1314" t="s">
        <v>40</v>
      </c>
      <c r="D1314">
        <v>3.6774209999999998</v>
      </c>
      <c r="E1314">
        <v>0.55398080000000005</v>
      </c>
      <c r="F1314" t="s">
        <v>47</v>
      </c>
      <c r="G1314">
        <v>-203.28870000000001</v>
      </c>
      <c r="H1314" s="1">
        <v>3.4579049999999999E-6</v>
      </c>
      <c r="I1314">
        <v>287.10419999999999</v>
      </c>
      <c r="J1314">
        <v>-194.61580000000001</v>
      </c>
      <c r="K1314">
        <v>1.1076109999999999</v>
      </c>
      <c r="L1314">
        <v>294.28140000000002</v>
      </c>
      <c r="M1314">
        <v>-0.41381220000000002</v>
      </c>
      <c r="N1314">
        <v>0</v>
      </c>
      <c r="O1314">
        <v>-0.91026130000000005</v>
      </c>
      <c r="P1314">
        <v>-0.66073319999999902</v>
      </c>
      <c r="Q1314">
        <v>0.15270549999999999</v>
      </c>
      <c r="R1314">
        <v>-0.73492369999999996</v>
      </c>
      <c r="S1314">
        <v>-2.376862</v>
      </c>
      <c r="T1314">
        <v>-0.29844589999999999</v>
      </c>
      <c r="U1314">
        <v>-2.0147400000000002</v>
      </c>
      <c r="V1314">
        <v>0.29845169999999999</v>
      </c>
      <c r="W1314">
        <v>0.16346559999999999</v>
      </c>
      <c r="X1314">
        <v>0.94032199999999999</v>
      </c>
      <c r="Y1314">
        <v>0.42308829999999997</v>
      </c>
      <c r="Z1314">
        <v>9.5621020000000001E-2</v>
      </c>
      <c r="AA1314">
        <v>0.90102879999999996</v>
      </c>
      <c r="AB1314">
        <v>16</v>
      </c>
      <c r="AC1314">
        <v>-8.6728999999999896</v>
      </c>
      <c r="AD1314">
        <v>-1.107607542095</v>
      </c>
      <c r="AE1314">
        <v>-7.1772000000000196</v>
      </c>
      <c r="AF1314">
        <v>4.87782632101852</v>
      </c>
      <c r="AG1314">
        <v>-1.107607542095</v>
      </c>
      <c r="AH1314">
        <v>10.025955738617499</v>
      </c>
      <c r="AI1314">
        <v>95.673195484824603</v>
      </c>
      <c r="AJ1314">
        <v>64.056159518713599</v>
      </c>
      <c r="AK1314">
        <v>11.204453246724899</v>
      </c>
      <c r="AL1314">
        <v>80.591889803096905</v>
      </c>
      <c r="AM1314">
        <v>72.390921708366307</v>
      </c>
      <c r="AN1314">
        <v>0.99999994165012296</v>
      </c>
    </row>
    <row r="1315" spans="1:40" x14ac:dyDescent="0.25">
      <c r="A1315" t="str">
        <f>"20190312172639825"</f>
        <v>20190312172639825</v>
      </c>
      <c r="B1315" t="str">
        <f>"1552382799819936"</f>
        <v>1552382799819936</v>
      </c>
      <c r="C1315" t="s">
        <v>40</v>
      </c>
      <c r="D1315">
        <v>3.680186</v>
      </c>
      <c r="E1315">
        <v>0.55383970000000005</v>
      </c>
      <c r="F1315" t="s">
        <v>47</v>
      </c>
      <c r="G1315">
        <v>-203.50120000000001</v>
      </c>
      <c r="H1315" s="1">
        <v>3.5667329999999999E-6</v>
      </c>
      <c r="I1315">
        <v>286.93709999999999</v>
      </c>
      <c r="J1315">
        <v>-194.69300000000001</v>
      </c>
      <c r="K1315">
        <v>1.1075790000000001</v>
      </c>
      <c r="L1315">
        <v>294.12900000000002</v>
      </c>
      <c r="M1315">
        <v>-0.41937859999999999</v>
      </c>
      <c r="N1315">
        <v>0</v>
      </c>
      <c r="O1315">
        <v>-0.90771020000000002</v>
      </c>
      <c r="P1315">
        <v>-0.66572419999999899</v>
      </c>
      <c r="Q1315">
        <v>0.15198329999999999</v>
      </c>
      <c r="R1315">
        <v>-0.73055639999999999</v>
      </c>
      <c r="S1315">
        <v>-2.4016109999999999</v>
      </c>
      <c r="T1315">
        <v>-0.29937140000000001</v>
      </c>
      <c r="U1315">
        <v>-1.985077</v>
      </c>
      <c r="V1315">
        <v>0.299043</v>
      </c>
      <c r="W1315">
        <v>0.16272519999999999</v>
      </c>
      <c r="X1315">
        <v>0.94026259999999995</v>
      </c>
      <c r="Y1315">
        <v>0.4286835</v>
      </c>
      <c r="Z1315">
        <v>9.5923510000000003E-2</v>
      </c>
      <c r="AA1315">
        <v>0.89834799999999904</v>
      </c>
      <c r="AB1315">
        <v>16</v>
      </c>
      <c r="AC1315">
        <v>-8.8082000000000207</v>
      </c>
      <c r="AD1315">
        <v>-1.107575433267</v>
      </c>
      <c r="AE1315">
        <v>-7.1919000000000297</v>
      </c>
      <c r="AF1315">
        <v>4.9328246860152598</v>
      </c>
      <c r="AG1315">
        <v>-1.107575433267</v>
      </c>
      <c r="AH1315">
        <v>10.126997755992001</v>
      </c>
      <c r="AI1315">
        <v>95.615526922394295</v>
      </c>
      <c r="AJ1315">
        <v>64.029451101500996</v>
      </c>
      <c r="AK1315">
        <v>11.3188147026623</v>
      </c>
      <c r="AL1315">
        <v>80.634887704684203</v>
      </c>
      <c r="AM1315">
        <v>72.357150475347794</v>
      </c>
      <c r="AN1315">
        <v>0.99999998176139904</v>
      </c>
    </row>
    <row r="1316" spans="1:40" x14ac:dyDescent="0.25">
      <c r="A1316" t="str">
        <f>"20190312172639851"</f>
        <v>20190312172639851</v>
      </c>
      <c r="B1316" t="str">
        <f>"1552382799840432"</f>
        <v>1552382799840432</v>
      </c>
      <c r="C1316" t="s">
        <v>40</v>
      </c>
      <c r="D1316">
        <v>3.6938529999999998</v>
      </c>
      <c r="E1316">
        <v>0.55370140000000001</v>
      </c>
      <c r="F1316" t="s">
        <v>47</v>
      </c>
      <c r="G1316">
        <v>-203.54320000000001</v>
      </c>
      <c r="H1316" s="1">
        <v>3.587893E-6</v>
      </c>
      <c r="I1316">
        <v>286.90820000000002</v>
      </c>
      <c r="J1316">
        <v>-194.77869999999999</v>
      </c>
      <c r="K1316">
        <v>1.1075520000000001</v>
      </c>
      <c r="L1316">
        <v>293.9631</v>
      </c>
      <c r="M1316">
        <v>-0.42552689999999999</v>
      </c>
      <c r="N1316">
        <v>0</v>
      </c>
      <c r="O1316">
        <v>-0.90484419999999999</v>
      </c>
      <c r="P1316">
        <v>-0.67059709999999995</v>
      </c>
      <c r="Q1316">
        <v>0.15183940000000001</v>
      </c>
      <c r="R1316">
        <v>-0.72611610000000004</v>
      </c>
      <c r="S1316">
        <v>-2.4140169999999999</v>
      </c>
      <c r="T1316">
        <v>-0.30210730000000002</v>
      </c>
      <c r="U1316">
        <v>-1.9695739999999999</v>
      </c>
      <c r="V1316">
        <v>0.29895149999999998</v>
      </c>
      <c r="W1316">
        <v>0.16256889999999999</v>
      </c>
      <c r="X1316">
        <v>0.94031880000000001</v>
      </c>
      <c r="Y1316">
        <v>0.4282223</v>
      </c>
      <c r="Z1316">
        <v>9.6648510000000007E-2</v>
      </c>
      <c r="AA1316">
        <v>0.89849029999999996</v>
      </c>
      <c r="AB1316">
        <v>16</v>
      </c>
      <c r="AC1316">
        <v>-8.7645000000000195</v>
      </c>
      <c r="AD1316">
        <v>-1.1075484121070001</v>
      </c>
      <c r="AE1316">
        <v>-7.0548999999999698</v>
      </c>
      <c r="AF1316">
        <v>4.8816065946898801</v>
      </c>
      <c r="AG1316">
        <v>-1.1075484121070001</v>
      </c>
      <c r="AH1316">
        <v>10.0169790337242</v>
      </c>
      <c r="AI1316">
        <v>95.676139517193405</v>
      </c>
      <c r="AJ1316">
        <v>64.018488041698205</v>
      </c>
      <c r="AK1316">
        <v>11.198063019672199</v>
      </c>
      <c r="AL1316">
        <v>80.643964498354904</v>
      </c>
      <c r="AM1316">
        <v>72.363202898382397</v>
      </c>
      <c r="AN1316">
        <v>1.00000004611644</v>
      </c>
    </row>
    <row r="1317" spans="1:40" x14ac:dyDescent="0.25">
      <c r="A1317" t="str">
        <f>"20190312172639892"</f>
        <v>20190312172639892</v>
      </c>
      <c r="B1317" t="str">
        <f>"1552382799880448"</f>
        <v>1552382799880448</v>
      </c>
      <c r="C1317" t="s">
        <v>40</v>
      </c>
      <c r="D1317">
        <v>3.6661419999999998</v>
      </c>
      <c r="E1317">
        <v>0.55341439999999997</v>
      </c>
      <c r="F1317" t="s">
        <v>47</v>
      </c>
      <c r="G1317">
        <v>-203.64689999999999</v>
      </c>
      <c r="H1317" s="1">
        <v>3.6414340000000001E-6</v>
      </c>
      <c r="I1317">
        <v>286.8218</v>
      </c>
      <c r="J1317">
        <v>-194.9211</v>
      </c>
      <c r="K1317">
        <v>1.1075159999999999</v>
      </c>
      <c r="L1317">
        <v>293.69369999999998</v>
      </c>
      <c r="M1317">
        <v>-0.43572909999999998</v>
      </c>
      <c r="N1317">
        <v>0</v>
      </c>
      <c r="O1317">
        <v>-0.89997549999999904</v>
      </c>
      <c r="P1317">
        <v>-0.67867639999999996</v>
      </c>
      <c r="Q1317">
        <v>0.15202199999999999</v>
      </c>
      <c r="R1317">
        <v>-0.7185319</v>
      </c>
      <c r="S1317">
        <v>-2.4264679999999998</v>
      </c>
      <c r="T1317">
        <v>-0.30304039999999999</v>
      </c>
      <c r="U1317">
        <v>-1.9539489999999999</v>
      </c>
      <c r="V1317">
        <v>0.2988712</v>
      </c>
      <c r="W1317">
        <v>0.16273460000000001</v>
      </c>
      <c r="X1317">
        <v>0.94031569999999998</v>
      </c>
      <c r="Y1317">
        <v>0.42376819999999998</v>
      </c>
      <c r="Z1317">
        <v>9.6593509999999994E-2</v>
      </c>
      <c r="AA1317">
        <v>0.90060549999999995</v>
      </c>
      <c r="AB1317">
        <v>16</v>
      </c>
      <c r="AC1317">
        <v>-8.7257999999999907</v>
      </c>
      <c r="AD1317">
        <v>-1.1075123585660001</v>
      </c>
      <c r="AE1317">
        <v>-6.8718999999999797</v>
      </c>
      <c r="AF1317">
        <v>4.8113284658034496</v>
      </c>
      <c r="AG1317">
        <v>-1.1075123585660001</v>
      </c>
      <c r="AH1317">
        <v>9.8892191173009394</v>
      </c>
      <c r="AI1317">
        <v>95.750618452820504</v>
      </c>
      <c r="AJ1317">
        <v>64.056031982789193</v>
      </c>
      <c r="AK1317">
        <v>11.053149776431001</v>
      </c>
      <c r="AL1317">
        <v>80.634342776287099</v>
      </c>
      <c r="AM1317">
        <v>72.367592187030596</v>
      </c>
      <c r="AN1317">
        <v>1.0000000799465401</v>
      </c>
    </row>
    <row r="1318" spans="1:40" x14ac:dyDescent="0.25">
      <c r="A1318" t="str">
        <f>"20190312172639914"</f>
        <v>20190312172639914</v>
      </c>
      <c r="B1318" t="str">
        <f>"1552382799909729"</f>
        <v>1552382799909729</v>
      </c>
      <c r="C1318" t="s">
        <v>40</v>
      </c>
      <c r="D1318">
        <v>3.6647470000000002</v>
      </c>
      <c r="E1318">
        <v>0.55318250000000002</v>
      </c>
      <c r="F1318" t="s">
        <v>47</v>
      </c>
      <c r="G1318">
        <v>-203.84909999999999</v>
      </c>
      <c r="H1318" s="1">
        <v>3.7451879999999998E-6</v>
      </c>
      <c r="I1318">
        <v>286.66070000000002</v>
      </c>
      <c r="J1318">
        <v>-195.0001</v>
      </c>
      <c r="K1318">
        <v>1.1075090000000001</v>
      </c>
      <c r="L1318">
        <v>293.5478</v>
      </c>
      <c r="M1318">
        <v>-0.4413513</v>
      </c>
      <c r="N1318">
        <v>0</v>
      </c>
      <c r="O1318">
        <v>-0.89723159999999902</v>
      </c>
      <c r="P1318">
        <v>-0.68286119999999995</v>
      </c>
      <c r="Q1318">
        <v>0.15244240000000001</v>
      </c>
      <c r="R1318">
        <v>-0.71446609999999999</v>
      </c>
      <c r="S1318">
        <v>-2.447311</v>
      </c>
      <c r="T1318">
        <v>-0.30358800000000002</v>
      </c>
      <c r="U1318">
        <v>-1.927856</v>
      </c>
      <c r="V1318">
        <v>0.29852699999999999</v>
      </c>
      <c r="W1318">
        <v>0.16315279999999999</v>
      </c>
      <c r="X1318">
        <v>0.94035250000000004</v>
      </c>
      <c r="Y1318">
        <v>0.42774380000000001</v>
      </c>
      <c r="Z1318">
        <v>9.6721039999999994E-2</v>
      </c>
      <c r="AA1318">
        <v>0.89871039999999902</v>
      </c>
      <c r="AB1318">
        <v>16</v>
      </c>
      <c r="AC1318">
        <v>-8.8489999999999895</v>
      </c>
      <c r="AD1318">
        <v>-1.1075052548119999</v>
      </c>
      <c r="AE1318">
        <v>-6.88709999999997</v>
      </c>
      <c r="AF1318">
        <v>4.8530819729246204</v>
      </c>
      <c r="AG1318">
        <v>-1.1075052548119999</v>
      </c>
      <c r="AH1318">
        <v>9.9883352648897397</v>
      </c>
      <c r="AI1318">
        <v>95.695335260444494</v>
      </c>
      <c r="AJ1318">
        <v>64.086043905537906</v>
      </c>
      <c r="AK1318">
        <v>11.160009582845399</v>
      </c>
      <c r="AL1318">
        <v>80.610056499413503</v>
      </c>
      <c r="AM1318">
        <v>72.387289488801301</v>
      </c>
      <c r="AN1318">
        <v>1.00000001506654</v>
      </c>
    </row>
    <row r="1319" spans="1:40" x14ac:dyDescent="0.25">
      <c r="A1319" t="str">
        <f>"20190312172639959"</f>
        <v>20190312172639959</v>
      </c>
      <c r="B1319" t="str">
        <f>"1552382799949744"</f>
        <v>1552382799949744</v>
      </c>
      <c r="C1319" t="s">
        <v>40</v>
      </c>
      <c r="D1319">
        <v>3.6987930000000002</v>
      </c>
      <c r="E1319">
        <v>0.55296699999999999</v>
      </c>
      <c r="F1319" t="s">
        <v>47</v>
      </c>
      <c r="G1319">
        <v>-203.98500000000001</v>
      </c>
      <c r="H1319" s="1">
        <v>3.8153199999999901E-6</v>
      </c>
      <c r="I1319">
        <v>286.5478</v>
      </c>
      <c r="J1319">
        <v>-195.1619</v>
      </c>
      <c r="K1319">
        <v>1.107499</v>
      </c>
      <c r="L1319">
        <v>293.2559</v>
      </c>
      <c r="M1319">
        <v>-0.45277030000000001</v>
      </c>
      <c r="N1319">
        <v>0</v>
      </c>
      <c r="O1319">
        <v>-0.89152379999999998</v>
      </c>
      <c r="P1319">
        <v>-0.6909767</v>
      </c>
      <c r="Q1319">
        <v>0.1532097</v>
      </c>
      <c r="R1319">
        <v>-0.70645459999999904</v>
      </c>
      <c r="S1319">
        <v>-2.4576419999999999</v>
      </c>
      <c r="T1319">
        <v>-0.30293609999999999</v>
      </c>
      <c r="U1319">
        <v>-1.914703</v>
      </c>
      <c r="V1319">
        <v>0.29734690000000003</v>
      </c>
      <c r="W1319">
        <v>0.16392570000000001</v>
      </c>
      <c r="X1319">
        <v>0.94059190000000004</v>
      </c>
      <c r="Y1319">
        <v>0.42107220000000001</v>
      </c>
      <c r="Z1319">
        <v>9.6042710000000003E-2</v>
      </c>
      <c r="AA1319">
        <v>0.9019279</v>
      </c>
      <c r="AB1319">
        <v>16</v>
      </c>
      <c r="AC1319">
        <v>-8.8231000000000002</v>
      </c>
      <c r="AD1319">
        <v>-1.1074951846799901</v>
      </c>
      <c r="AE1319">
        <v>-6.7081</v>
      </c>
      <c r="AF1319">
        <v>4.7814799884586101</v>
      </c>
      <c r="AG1319">
        <v>-1.1074951846799901</v>
      </c>
      <c r="AH1319">
        <v>9.8775661590024306</v>
      </c>
      <c r="AI1319">
        <v>95.762769486832596</v>
      </c>
      <c r="AJ1319">
        <v>64.1695497736699</v>
      </c>
      <c r="AK1319">
        <v>11.029751116393699</v>
      </c>
      <c r="AL1319">
        <v>80.565167806526205</v>
      </c>
      <c r="AM1319">
        <v>72.456825747736801</v>
      </c>
      <c r="AN1319">
        <v>0.99999996820285397</v>
      </c>
    </row>
    <row r="1320" spans="1:40" x14ac:dyDescent="0.25">
      <c r="A1320" t="str">
        <f>"20190312172639980"</f>
        <v>20190312172639980</v>
      </c>
      <c r="B1320" t="str">
        <f>"1552382799970240"</f>
        <v>1552382799970240</v>
      </c>
      <c r="C1320" t="s">
        <v>40</v>
      </c>
      <c r="D1320">
        <v>3.6959089999999999</v>
      </c>
      <c r="E1320">
        <v>0.55037019999999903</v>
      </c>
      <c r="F1320" t="s">
        <v>47</v>
      </c>
      <c r="G1320">
        <v>-204.30439999999999</v>
      </c>
      <c r="H1320" s="1">
        <v>3.978889E-6</v>
      </c>
      <c r="I1320">
        <v>286.29700000000003</v>
      </c>
      <c r="J1320">
        <v>-195.24</v>
      </c>
      <c r="K1320">
        <v>1.1074900000000001</v>
      </c>
      <c r="L1320">
        <v>293.11810000000003</v>
      </c>
      <c r="M1320">
        <v>-0.45824310000000001</v>
      </c>
      <c r="N1320">
        <v>0</v>
      </c>
      <c r="O1320">
        <v>-0.88872309999999999</v>
      </c>
      <c r="P1320">
        <v>-0.69504600000000005</v>
      </c>
      <c r="Q1320">
        <v>0.15435969999999999</v>
      </c>
      <c r="R1320">
        <v>-0.70219989999999999</v>
      </c>
      <c r="S1320">
        <v>-2.479034</v>
      </c>
      <c r="T1320">
        <v>-0.30030129999999999</v>
      </c>
      <c r="U1320">
        <v>-1.8869320000000001</v>
      </c>
      <c r="V1320">
        <v>0.29712470000000002</v>
      </c>
      <c r="W1320">
        <v>0.16506999999999999</v>
      </c>
      <c r="X1320">
        <v>0.94046200000000002</v>
      </c>
      <c r="Y1320">
        <v>0.42571389999999998</v>
      </c>
      <c r="Z1320">
        <v>9.5181039999999995E-2</v>
      </c>
      <c r="AA1320">
        <v>0.89983789999999997</v>
      </c>
      <c r="AB1320">
        <v>16</v>
      </c>
      <c r="AC1320">
        <v>-9.0643999999999707</v>
      </c>
      <c r="AD1320">
        <v>-1.10748602111099</v>
      </c>
      <c r="AE1320">
        <v>-6.8211000000000004</v>
      </c>
      <c r="AF1320">
        <v>4.88392683761698</v>
      </c>
      <c r="AG1320">
        <v>-1.10748602111099</v>
      </c>
      <c r="AH1320">
        <v>10.1202563962282</v>
      </c>
      <c r="AI1320">
        <v>95.628679514629098</v>
      </c>
      <c r="AJ1320">
        <v>64.2385434478539</v>
      </c>
      <c r="AK1320">
        <v>11.291539140770301</v>
      </c>
      <c r="AL1320">
        <v>80.498698901885106</v>
      </c>
      <c r="AM1320">
        <v>72.466858966232905</v>
      </c>
      <c r="AN1320">
        <v>0.99999998284704406</v>
      </c>
    </row>
    <row r="1321" spans="1:40" x14ac:dyDescent="0.25">
      <c r="A1321" t="str">
        <f>"20190312172640005"</f>
        <v>20190312172640005</v>
      </c>
      <c r="B1321" t="str">
        <f>"1552382800000496"</f>
        <v>1552382800000496</v>
      </c>
      <c r="C1321" t="s">
        <v>40</v>
      </c>
      <c r="D1321">
        <v>3.6638310000000001</v>
      </c>
      <c r="E1321">
        <v>0.54975149999999995</v>
      </c>
      <c r="F1321" t="s">
        <v>47</v>
      </c>
      <c r="G1321">
        <v>-204.14850000000001</v>
      </c>
      <c r="H1321" s="1">
        <v>3.9068049999999999E-6</v>
      </c>
      <c r="I1321">
        <v>286.33089999999999</v>
      </c>
      <c r="J1321">
        <v>-195.3296</v>
      </c>
      <c r="K1321">
        <v>1.1074740000000001</v>
      </c>
      <c r="L1321">
        <v>292.96269999999998</v>
      </c>
      <c r="M1321">
        <v>-0.46448620000000002</v>
      </c>
      <c r="N1321">
        <v>0</v>
      </c>
      <c r="O1321">
        <v>-0.88547589999999998</v>
      </c>
      <c r="P1321">
        <v>-0.69989349999999995</v>
      </c>
      <c r="Q1321">
        <v>0.15459700000000001</v>
      </c>
      <c r="R1321">
        <v>-0.69731569999999898</v>
      </c>
      <c r="S1321">
        <v>-2.477646</v>
      </c>
      <c r="T1321">
        <v>-0.30801400000000001</v>
      </c>
      <c r="U1321">
        <v>-1.8876649999999999</v>
      </c>
      <c r="V1321">
        <v>0.29705479999999901</v>
      </c>
      <c r="W1321">
        <v>0.16529859999999999</v>
      </c>
      <c r="X1321">
        <v>0.94044399999999995</v>
      </c>
      <c r="Y1321">
        <v>0.4187439</v>
      </c>
      <c r="Z1321">
        <v>9.7260879999999994E-2</v>
      </c>
      <c r="AA1321">
        <v>0.90288089999999999</v>
      </c>
      <c r="AB1321">
        <v>16</v>
      </c>
      <c r="AC1321">
        <v>-8.81890000000001</v>
      </c>
      <c r="AD1321">
        <v>-1.1074700931949999</v>
      </c>
      <c r="AE1321">
        <v>-6.6317999999999904</v>
      </c>
      <c r="AF1321">
        <v>4.6818188518559696</v>
      </c>
      <c r="AG1321">
        <v>-1.1074700931949999</v>
      </c>
      <c r="AH1321">
        <v>9.8700523947538894</v>
      </c>
      <c r="AI1321">
        <v>95.7887552331824</v>
      </c>
      <c r="AJ1321">
        <v>64.622867811230606</v>
      </c>
      <c r="AK1321">
        <v>10.9801571957828</v>
      </c>
      <c r="AL1321">
        <v>80.485419289546996</v>
      </c>
      <c r="AM1321">
        <v>72.470416121118902</v>
      </c>
      <c r="AN1321">
        <v>1.0000000492504899</v>
      </c>
    </row>
    <row r="1322" spans="1:40" x14ac:dyDescent="0.25">
      <c r="A1322" t="str">
        <f>"20190312172640026"</f>
        <v>20190312172640026</v>
      </c>
      <c r="B1322" t="str">
        <f>"1552382800020016"</f>
        <v>1552382800020016</v>
      </c>
      <c r="C1322" t="s">
        <v>40</v>
      </c>
      <c r="D1322">
        <v>3.6673</v>
      </c>
      <c r="E1322">
        <v>0.54945710000000003</v>
      </c>
      <c r="F1322" t="s">
        <v>47</v>
      </c>
      <c r="G1322">
        <v>-204.33869999999999</v>
      </c>
      <c r="H1322" s="1">
        <v>4.004771E-6</v>
      </c>
      <c r="I1322">
        <v>286.17500000000001</v>
      </c>
      <c r="J1322">
        <v>-195.4091</v>
      </c>
      <c r="K1322">
        <v>1.1074520000000001</v>
      </c>
      <c r="L1322">
        <v>292.82709999999997</v>
      </c>
      <c r="M1322">
        <v>-0.47000180000000003</v>
      </c>
      <c r="N1322">
        <v>0</v>
      </c>
      <c r="O1322">
        <v>-0.88256060000000003</v>
      </c>
      <c r="P1322">
        <v>-0.70429430000000004</v>
      </c>
      <c r="Q1322">
        <v>0.15439449999999999</v>
      </c>
      <c r="R1322">
        <v>-0.69291569999999902</v>
      </c>
      <c r="S1322">
        <v>-2.487015</v>
      </c>
      <c r="T1322">
        <v>-0.30572250000000001</v>
      </c>
      <c r="U1322">
        <v>-1.8737790000000001</v>
      </c>
      <c r="V1322">
        <v>0.29712889999999997</v>
      </c>
      <c r="W1322">
        <v>0.1650827</v>
      </c>
      <c r="X1322">
        <v>0.94045849999999998</v>
      </c>
      <c r="Y1322">
        <v>0.41800159999999997</v>
      </c>
      <c r="Z1322">
        <v>9.6386280000000005E-2</v>
      </c>
      <c r="AA1322">
        <v>0.90331850000000002</v>
      </c>
      <c r="AB1322">
        <v>16</v>
      </c>
      <c r="AC1322">
        <v>-8.92959999999999</v>
      </c>
      <c r="AD1322">
        <v>-1.1074479952289999</v>
      </c>
      <c r="AE1322">
        <v>-6.6520999999999599</v>
      </c>
      <c r="AF1322">
        <v>4.7082818105179802</v>
      </c>
      <c r="AG1322">
        <v>-1.1074479952289999</v>
      </c>
      <c r="AH1322">
        <v>9.9701209161918705</v>
      </c>
      <c r="AI1322">
        <v>95.735568777609103</v>
      </c>
      <c r="AJ1322">
        <v>64.721482920988905</v>
      </c>
      <c r="AK1322">
        <v>11.0814110000883</v>
      </c>
      <c r="AL1322">
        <v>80.497961630015197</v>
      </c>
      <c r="AM1322">
        <v>72.466565058304298</v>
      </c>
      <c r="AN1322">
        <v>1.00000003563837</v>
      </c>
    </row>
    <row r="1323" spans="1:40" x14ac:dyDescent="0.25">
      <c r="A1323" t="str">
        <f>"20190312172640052"</f>
        <v>20190312172640052</v>
      </c>
      <c r="B1323" t="str">
        <f>"1552382800040512"</f>
        <v>1552382800040512</v>
      </c>
      <c r="C1323" t="s">
        <v>40</v>
      </c>
      <c r="D1323">
        <v>3.6451169999999999</v>
      </c>
      <c r="E1323">
        <v>0.54935449999999997</v>
      </c>
      <c r="F1323" t="s">
        <v>47</v>
      </c>
      <c r="G1323">
        <v>-204.4091</v>
      </c>
      <c r="H1323" s="1">
        <v>4.0403320000000001E-6</v>
      </c>
      <c r="I1323">
        <v>286.125</v>
      </c>
      <c r="J1323">
        <v>-195.50069999999999</v>
      </c>
      <c r="K1323">
        <v>1.107418</v>
      </c>
      <c r="L1323">
        <v>292.67340000000002</v>
      </c>
      <c r="M1323">
        <v>-0.47634270000000001</v>
      </c>
      <c r="N1323">
        <v>0</v>
      </c>
      <c r="O1323">
        <v>-0.87915460000000001</v>
      </c>
      <c r="P1323">
        <v>-0.70945729999999996</v>
      </c>
      <c r="Q1323">
        <v>0.15432660000000001</v>
      </c>
      <c r="R1323">
        <v>-0.68764360000000002</v>
      </c>
      <c r="S1323">
        <v>-2.4972989999999999</v>
      </c>
      <c r="T1323">
        <v>-0.30729210000000001</v>
      </c>
      <c r="U1323">
        <v>-1.85968</v>
      </c>
      <c r="V1323">
        <v>0.29740090000000002</v>
      </c>
      <c r="W1323">
        <v>0.164992</v>
      </c>
      <c r="X1323">
        <v>0.94038840000000001</v>
      </c>
      <c r="Y1323">
        <v>0.4165008</v>
      </c>
      <c r="Z1323">
        <v>9.6646889999999999E-2</v>
      </c>
      <c r="AA1323">
        <v>0.90398369999999995</v>
      </c>
      <c r="AB1323">
        <v>16</v>
      </c>
      <c r="AC1323">
        <v>-8.9084000000000003</v>
      </c>
      <c r="AD1323">
        <v>-1.1074139596679999</v>
      </c>
      <c r="AE1323">
        <v>-6.5484000000000098</v>
      </c>
      <c r="AF1323">
        <v>4.6662009003935596</v>
      </c>
      <c r="AG1323">
        <v>-1.1074139596679999</v>
      </c>
      <c r="AH1323">
        <v>9.9020903499347206</v>
      </c>
      <c r="AI1323">
        <v>95.776757516752596</v>
      </c>
      <c r="AJ1323">
        <v>64.768595961587394</v>
      </c>
      <c r="AK1323">
        <v>11.0023265639214</v>
      </c>
      <c r="AL1323">
        <v>80.503230258840603</v>
      </c>
      <c r="AM1323">
        <v>72.450271332036607</v>
      </c>
      <c r="AN1323">
        <v>0.99999999911968496</v>
      </c>
    </row>
    <row r="1324" spans="1:40" x14ac:dyDescent="0.25">
      <c r="A1324" t="str">
        <f>"20190312172640095"</f>
        <v>20190312172640095</v>
      </c>
      <c r="B1324" t="str">
        <f>"1552382800090289"</f>
        <v>1552382800090289</v>
      </c>
      <c r="C1324" t="s">
        <v>40</v>
      </c>
      <c r="D1324">
        <v>3.6585589999999999</v>
      </c>
      <c r="E1324">
        <v>0.54727510000000001</v>
      </c>
      <c r="F1324" t="s">
        <v>47</v>
      </c>
      <c r="G1324">
        <v>-204.5258</v>
      </c>
      <c r="H1324" s="1">
        <v>4.0986890000000002E-6</v>
      </c>
      <c r="I1324">
        <v>286.0496</v>
      </c>
      <c r="J1324">
        <v>-195.66720000000001</v>
      </c>
      <c r="K1324">
        <v>1.107359</v>
      </c>
      <c r="L1324">
        <v>292.40109999999999</v>
      </c>
      <c r="M1324">
        <v>-0.48780699999999999</v>
      </c>
      <c r="N1324">
        <v>0</v>
      </c>
      <c r="O1324">
        <v>-0.87284509999999904</v>
      </c>
      <c r="P1324">
        <v>-0.71829770000000004</v>
      </c>
      <c r="Q1324">
        <v>0.1545444</v>
      </c>
      <c r="R1324">
        <v>-0.67835409999999996</v>
      </c>
      <c r="S1324">
        <v>-2.5100250000000002</v>
      </c>
      <c r="T1324">
        <v>-0.30798940000000002</v>
      </c>
      <c r="U1324">
        <v>-1.8421940000000001</v>
      </c>
      <c r="V1324">
        <v>0.29731580000000002</v>
      </c>
      <c r="W1324">
        <v>0.16517770000000001</v>
      </c>
      <c r="X1324">
        <v>0.94038270000000002</v>
      </c>
      <c r="Y1324">
        <v>0.4108966</v>
      </c>
      <c r="Z1324">
        <v>9.6342029999999995E-2</v>
      </c>
      <c r="AA1324">
        <v>0.90657719999999997</v>
      </c>
      <c r="AB1324">
        <v>16</v>
      </c>
      <c r="AC1324">
        <v>-8.8585999999999903</v>
      </c>
      <c r="AD1324">
        <v>-1.107354901311</v>
      </c>
      <c r="AE1324">
        <v>-6.3514999999999802</v>
      </c>
      <c r="AF1324">
        <v>4.5869704298148397</v>
      </c>
      <c r="AG1324">
        <v>-1.107354901311</v>
      </c>
      <c r="AH1324">
        <v>9.7652971661511092</v>
      </c>
      <c r="AI1324">
        <v>95.860199291951801</v>
      </c>
      <c r="AJ1324">
        <v>64.839544732203905</v>
      </c>
      <c r="AK1324">
        <v>10.8456240643262</v>
      </c>
      <c r="AL1324">
        <v>80.492442328874503</v>
      </c>
      <c r="AM1324">
        <v>72.454885158194799</v>
      </c>
      <c r="AN1324">
        <v>0.99999998998311002</v>
      </c>
    </row>
    <row r="1325" spans="1:40" x14ac:dyDescent="0.25">
      <c r="A1325" t="str">
        <f>"20190312172640117"</f>
        <v>20190312172640117</v>
      </c>
      <c r="B1325" t="str">
        <f>"1552382800109809"</f>
        <v>1552382800109809</v>
      </c>
      <c r="C1325" t="s">
        <v>40</v>
      </c>
      <c r="D1325">
        <v>3.6710530000000001</v>
      </c>
      <c r="E1325">
        <v>0.5468712</v>
      </c>
      <c r="F1325" t="s">
        <v>47</v>
      </c>
      <c r="G1325">
        <v>-204.40819999999999</v>
      </c>
      <c r="H1325" s="1">
        <v>4.0426419999999999E-6</v>
      </c>
      <c r="I1325">
        <v>286.09399999999999</v>
      </c>
      <c r="J1325">
        <v>-195.7518</v>
      </c>
      <c r="K1325">
        <v>1.107332</v>
      </c>
      <c r="L1325">
        <v>292.26589999999999</v>
      </c>
      <c r="M1325">
        <v>-0.4935966</v>
      </c>
      <c r="N1325">
        <v>0</v>
      </c>
      <c r="O1325">
        <v>-0.86958419999999903</v>
      </c>
      <c r="P1325">
        <v>-0.72307559999999904</v>
      </c>
      <c r="Q1325">
        <v>0.15528520000000001</v>
      </c>
      <c r="R1325">
        <v>-0.67308849999999998</v>
      </c>
      <c r="S1325">
        <v>-2.5248409999999999</v>
      </c>
      <c r="T1325">
        <v>-0.31985989999999997</v>
      </c>
      <c r="U1325">
        <v>-1.8218080000000001</v>
      </c>
      <c r="V1325">
        <v>0.2978133</v>
      </c>
      <c r="W1325">
        <v>0.16590239999999901</v>
      </c>
      <c r="X1325">
        <v>0.94009770000000004</v>
      </c>
      <c r="Y1325">
        <v>0.4118618</v>
      </c>
      <c r="Z1325">
        <v>9.9848629999999994E-2</v>
      </c>
      <c r="AA1325">
        <v>0.90575950000000005</v>
      </c>
      <c r="AB1325">
        <v>16</v>
      </c>
      <c r="AC1325">
        <v>-8.6563999999999908</v>
      </c>
      <c r="AD1325">
        <v>-1.1073279573579999</v>
      </c>
      <c r="AE1325">
        <v>-6.1718999999999902</v>
      </c>
      <c r="AF1325">
        <v>4.4333600030924503</v>
      </c>
      <c r="AG1325">
        <v>-1.1073279573579999</v>
      </c>
      <c r="AH1325">
        <v>9.5371859976774296</v>
      </c>
      <c r="AI1325">
        <v>96.010346290794701</v>
      </c>
      <c r="AJ1325">
        <v>65.068643663505696</v>
      </c>
      <c r="AK1325">
        <v>10.575385235369</v>
      </c>
      <c r="AL1325">
        <v>80.450339536307794</v>
      </c>
      <c r="AM1325">
        <v>72.422332867490297</v>
      </c>
      <c r="AN1325">
        <v>1.0000000267639599</v>
      </c>
    </row>
    <row r="1326" spans="1:40" x14ac:dyDescent="0.25">
      <c r="A1326" t="str">
        <f>"20190312172640140"</f>
        <v>20190312172640140</v>
      </c>
      <c r="B1326" t="str">
        <f>"1552382800130305"</f>
        <v>1552382800130305</v>
      </c>
      <c r="C1326" t="s">
        <v>40</v>
      </c>
      <c r="D1326">
        <v>3.6594989999999998</v>
      </c>
      <c r="E1326">
        <v>0.54652919999999905</v>
      </c>
      <c r="F1326" t="s">
        <v>47</v>
      </c>
      <c r="G1326">
        <v>-204.58500000000001</v>
      </c>
      <c r="H1326" s="1">
        <v>4.1315979999999999E-6</v>
      </c>
      <c r="I1326">
        <v>285.97359999999998</v>
      </c>
      <c r="J1326">
        <v>-195.8425</v>
      </c>
      <c r="K1326">
        <v>1.1073200000000001</v>
      </c>
      <c r="L1326">
        <v>292.12329999999997</v>
      </c>
      <c r="M1326">
        <v>-0.49977169999999999</v>
      </c>
      <c r="N1326">
        <v>0</v>
      </c>
      <c r="O1326">
        <v>-0.86604989999999904</v>
      </c>
      <c r="P1326">
        <v>-0.72801329999999997</v>
      </c>
      <c r="Q1326">
        <v>0.1552915</v>
      </c>
      <c r="R1326">
        <v>-0.66774350000000005</v>
      </c>
      <c r="S1326">
        <v>-2.5357509999999999</v>
      </c>
      <c r="T1326">
        <v>-0.31788110000000003</v>
      </c>
      <c r="U1326">
        <v>-1.806335</v>
      </c>
      <c r="V1326">
        <v>0.29805500000000001</v>
      </c>
      <c r="W1326">
        <v>0.16590050000000001</v>
      </c>
      <c r="X1326">
        <v>0.94002140000000001</v>
      </c>
      <c r="Y1326">
        <v>0.41096139999999998</v>
      </c>
      <c r="Z1326">
        <v>9.8992369999999996E-2</v>
      </c>
      <c r="AA1326">
        <v>0.90626220000000002</v>
      </c>
      <c r="AB1326">
        <v>16</v>
      </c>
      <c r="AC1326">
        <v>-8.7424999999999997</v>
      </c>
      <c r="AD1326">
        <v>-1.1073158684019999</v>
      </c>
      <c r="AE1326">
        <v>-6.1496999999999904</v>
      </c>
      <c r="AF1326">
        <v>4.4506482041000597</v>
      </c>
      <c r="AG1326">
        <v>-1.1073158684019999</v>
      </c>
      <c r="AH1326">
        <v>9.5931470441604407</v>
      </c>
      <c r="AI1326">
        <v>95.977536465304098</v>
      </c>
      <c r="AJ1326">
        <v>65.111511153797295</v>
      </c>
      <c r="AK1326">
        <v>10.6331034077525</v>
      </c>
      <c r="AL1326">
        <v>80.450449628551894</v>
      </c>
      <c r="AM1326">
        <v>72.407606776814504</v>
      </c>
      <c r="AN1326">
        <v>0.99999999569160403</v>
      </c>
    </row>
    <row r="1327" spans="1:40" x14ac:dyDescent="0.25">
      <c r="A1327" t="str">
        <f>"20190312172640183"</f>
        <v>20190312172640183</v>
      </c>
      <c r="B1327" t="str">
        <f>"1552382800180080"</f>
        <v>1552382800180080</v>
      </c>
      <c r="C1327" t="s">
        <v>40</v>
      </c>
      <c r="D1327">
        <v>3.7159219999999999</v>
      </c>
      <c r="E1327">
        <v>0.54613009999999995</v>
      </c>
      <c r="F1327" t="s">
        <v>47</v>
      </c>
      <c r="G1327">
        <v>-204.66569999999999</v>
      </c>
      <c r="H1327" s="1">
        <v>4.1716890000000001E-6</v>
      </c>
      <c r="I1327">
        <v>285.92410000000001</v>
      </c>
      <c r="J1327">
        <v>-196.00980000000001</v>
      </c>
      <c r="K1327">
        <v>1.1072789999999999</v>
      </c>
      <c r="L1327">
        <v>291.86649999999997</v>
      </c>
      <c r="M1327">
        <v>-0.51110509999999998</v>
      </c>
      <c r="N1327">
        <v>0</v>
      </c>
      <c r="O1327">
        <v>-0.85941000000000001</v>
      </c>
      <c r="P1327">
        <v>-0.73647689999999999</v>
      </c>
      <c r="Q1327">
        <v>0.15435839999999901</v>
      </c>
      <c r="R1327">
        <v>-0.65861650000000005</v>
      </c>
      <c r="S1327">
        <v>-2.5473789999999998</v>
      </c>
      <c r="T1327">
        <v>-0.3196986</v>
      </c>
      <c r="U1327">
        <v>-1.789795</v>
      </c>
      <c r="V1327">
        <v>0.29760199999999998</v>
      </c>
      <c r="W1327">
        <v>0.16495580000000001</v>
      </c>
      <c r="X1327">
        <v>0.94033120000000003</v>
      </c>
      <c r="Y1327">
        <v>0.40485880000000002</v>
      </c>
      <c r="Z1327">
        <v>9.8945959999999999E-2</v>
      </c>
      <c r="AA1327">
        <v>0.90900990000000004</v>
      </c>
      <c r="AB1327">
        <v>16</v>
      </c>
      <c r="AC1327">
        <v>-8.6558999999999706</v>
      </c>
      <c r="AD1327">
        <v>-1.1072748283110001</v>
      </c>
      <c r="AE1327">
        <v>-5.9423999999999602</v>
      </c>
      <c r="AF1327">
        <v>4.3537628217327002</v>
      </c>
      <c r="AG1327">
        <v>-1.1072748283110001</v>
      </c>
      <c r="AH1327">
        <v>9.4270709785781701</v>
      </c>
      <c r="AI1327">
        <v>96.086679746284204</v>
      </c>
      <c r="AJ1327">
        <v>65.210796700656502</v>
      </c>
      <c r="AK1327">
        <v>10.4427475066892</v>
      </c>
      <c r="AL1327">
        <v>80.505333821562004</v>
      </c>
      <c r="AM1327">
        <v>72.438130911238503</v>
      </c>
      <c r="AN1327">
        <v>1.0000000660255299</v>
      </c>
    </row>
    <row r="1328" spans="1:40" x14ac:dyDescent="0.25">
      <c r="A1328" t="str">
        <f>"20190312172640205"</f>
        <v>20190312172640205</v>
      </c>
      <c r="B1328" t="str">
        <f>"1552382800199600"</f>
        <v>1552382800199600</v>
      </c>
      <c r="C1328" t="s">
        <v>40</v>
      </c>
      <c r="D1328">
        <v>3.6997089999999999</v>
      </c>
      <c r="E1328">
        <v>0.54315190000000002</v>
      </c>
      <c r="F1328" t="s">
        <v>47</v>
      </c>
      <c r="G1328">
        <v>-204.76669999999999</v>
      </c>
      <c r="H1328" s="1">
        <v>4.2216039999999996E-6</v>
      </c>
      <c r="I1328">
        <v>285.8655</v>
      </c>
      <c r="J1328">
        <v>-196.1011</v>
      </c>
      <c r="K1328">
        <v>1.107246</v>
      </c>
      <c r="L1328">
        <v>291.7296</v>
      </c>
      <c r="M1328">
        <v>-0.51725829999999995</v>
      </c>
      <c r="N1328">
        <v>0</v>
      </c>
      <c r="O1328">
        <v>-0.85572039999999905</v>
      </c>
      <c r="P1328">
        <v>-0.74123289999999997</v>
      </c>
      <c r="Q1328">
        <v>0.1547424</v>
      </c>
      <c r="R1328">
        <v>-0.65316819999999998</v>
      </c>
      <c r="S1328">
        <v>-2.5678100000000001</v>
      </c>
      <c r="T1328">
        <v>-0.32468970000000003</v>
      </c>
      <c r="U1328">
        <v>-1.7597050000000001</v>
      </c>
      <c r="V1328">
        <v>0.29773630000000001</v>
      </c>
      <c r="W1328">
        <v>0.1653212</v>
      </c>
      <c r="X1328">
        <v>0.94022450000000002</v>
      </c>
      <c r="Y1328">
        <v>0.40878049999999999</v>
      </c>
      <c r="Z1328">
        <v>0.1003647</v>
      </c>
      <c r="AA1328">
        <v>0.9070973</v>
      </c>
      <c r="AB1328">
        <v>16</v>
      </c>
      <c r="AC1328">
        <v>-8.66559999999998</v>
      </c>
      <c r="AD1328">
        <v>-1.107241778396</v>
      </c>
      <c r="AE1328">
        <v>-5.8640999999999996</v>
      </c>
      <c r="AF1328">
        <v>4.3339523233142003</v>
      </c>
      <c r="AG1328">
        <v>-1.107241778396</v>
      </c>
      <c r="AH1328">
        <v>9.3960502756875606</v>
      </c>
      <c r="AI1328">
        <v>96.107788190942202</v>
      </c>
      <c r="AJ1328">
        <v>65.238364795648494</v>
      </c>
      <c r="AK1328">
        <v>10.4064829736003</v>
      </c>
      <c r="AL1328">
        <v>80.484106415004206</v>
      </c>
      <c r="AM1328">
        <v>72.428821990866794</v>
      </c>
      <c r="AN1328">
        <v>1.00000005695368</v>
      </c>
    </row>
    <row r="1329" spans="1:40" x14ac:dyDescent="0.25">
      <c r="A1329" t="str">
        <f>"20190312172640226"</f>
        <v>20190312172640226</v>
      </c>
      <c r="B1329" t="str">
        <f>"1552382800220097"</f>
        <v>1552382800220097</v>
      </c>
      <c r="C1329" t="s">
        <v>40</v>
      </c>
      <c r="D1329">
        <v>3.6999490000000002</v>
      </c>
      <c r="E1329">
        <v>0.57248789999999905</v>
      </c>
      <c r="F1329" t="s">
        <v>47</v>
      </c>
      <c r="G1329">
        <v>-204.70429999999999</v>
      </c>
      <c r="H1329" s="1">
        <v>4.1968969999999997E-6</v>
      </c>
      <c r="I1329">
        <v>285.83179999999999</v>
      </c>
      <c r="J1329">
        <v>-196.19069999999999</v>
      </c>
      <c r="K1329">
        <v>1.1072139999999999</v>
      </c>
      <c r="L1329">
        <v>291.59750000000003</v>
      </c>
      <c r="M1329">
        <v>-0.52326410000000001</v>
      </c>
      <c r="N1329">
        <v>0</v>
      </c>
      <c r="O1329">
        <v>-0.85206119999999996</v>
      </c>
      <c r="P1329">
        <v>-0.74593310000000002</v>
      </c>
      <c r="Q1329">
        <v>0.15563370000000001</v>
      </c>
      <c r="R1329">
        <v>-0.64758179999999999</v>
      </c>
      <c r="S1329">
        <v>-2.5661010000000002</v>
      </c>
      <c r="T1329">
        <v>-0.33026100000000003</v>
      </c>
      <c r="U1329">
        <v>-1.759155</v>
      </c>
      <c r="V1329">
        <v>0.2980505</v>
      </c>
      <c r="W1329">
        <v>0.1661878</v>
      </c>
      <c r="X1329">
        <v>0.93997209999999998</v>
      </c>
      <c r="Y1329">
        <v>0.40206989999999998</v>
      </c>
      <c r="Z1329">
        <v>0.10166559999999999</v>
      </c>
      <c r="AA1329">
        <v>0.90994719999999996</v>
      </c>
      <c r="AB1329">
        <v>16</v>
      </c>
      <c r="AC1329">
        <v>-8.5135999999999896</v>
      </c>
      <c r="AD1329">
        <v>-1.107209803103</v>
      </c>
      <c r="AE1329">
        <v>-5.76570000000003</v>
      </c>
      <c r="AF1329">
        <v>4.1889470889705596</v>
      </c>
      <c r="AG1329">
        <v>-1.107209803103</v>
      </c>
      <c r="AH1329">
        <v>9.2610783070532605</v>
      </c>
      <c r="AI1329">
        <v>96.216732775598302</v>
      </c>
      <c r="AJ1329">
        <v>65.661931658265303</v>
      </c>
      <c r="AK1329">
        <v>10.2245177231816</v>
      </c>
      <c r="AL1329">
        <v>80.433757033533396</v>
      </c>
      <c r="AM1329">
        <v>72.406990234420604</v>
      </c>
      <c r="AN1329">
        <v>1.00000001709874</v>
      </c>
    </row>
    <row r="1330" spans="1:40" x14ac:dyDescent="0.25">
      <c r="A1330" t="str">
        <f>"20190312172640253"</f>
        <v>20190312172640253</v>
      </c>
      <c r="B1330" t="str">
        <f>"1552382800239616"</f>
        <v>1552382800239616</v>
      </c>
      <c r="C1330" t="s">
        <v>40</v>
      </c>
      <c r="D1330">
        <v>3.6815150000000001</v>
      </c>
      <c r="E1330">
        <v>0.57926299999999997</v>
      </c>
      <c r="F1330" t="s">
        <v>47</v>
      </c>
      <c r="G1330">
        <v>-207.75190000000001</v>
      </c>
      <c r="H1330" s="1">
        <v>5.6228629999999996E-6</v>
      </c>
      <c r="I1330">
        <v>284.9796</v>
      </c>
      <c r="J1330">
        <v>-196.29349999999999</v>
      </c>
      <c r="K1330">
        <v>1.1071770000000001</v>
      </c>
      <c r="L1330">
        <v>291.44889999999998</v>
      </c>
      <c r="M1330">
        <v>-0.53015049999999997</v>
      </c>
      <c r="N1330">
        <v>0</v>
      </c>
      <c r="O1330">
        <v>-0.84779329999999997</v>
      </c>
      <c r="P1330">
        <v>-0.75159390000000004</v>
      </c>
      <c r="Q1330">
        <v>0.1558128</v>
      </c>
      <c r="R1330">
        <v>-0.64095939999999996</v>
      </c>
      <c r="S1330">
        <v>-2.723007</v>
      </c>
      <c r="T1330">
        <v>-0.26078059999999997</v>
      </c>
      <c r="U1330">
        <v>-1.558716</v>
      </c>
      <c r="V1330">
        <v>0.29873850000000002</v>
      </c>
      <c r="W1330">
        <v>0.16633310000000001</v>
      </c>
      <c r="X1330">
        <v>0.93972800000000001</v>
      </c>
      <c r="Y1330">
        <v>0.46917989999999998</v>
      </c>
      <c r="Z1330">
        <v>8.1237160000000003E-2</v>
      </c>
      <c r="AA1330">
        <v>0.87935819999999998</v>
      </c>
      <c r="AB1330">
        <v>16</v>
      </c>
      <c r="AC1330">
        <v>-11.458399999999999</v>
      </c>
      <c r="AD1330">
        <v>-1.107171377137</v>
      </c>
      <c r="AE1330">
        <v>-6.4692999999999703</v>
      </c>
      <c r="AF1330">
        <v>6.2410548741166796</v>
      </c>
      <c r="AG1330">
        <v>-1.107171377137</v>
      </c>
      <c r="AH1330">
        <v>11.479117653494299</v>
      </c>
      <c r="AI1330">
        <v>94.843484233770795</v>
      </c>
      <c r="AJ1330">
        <v>61.467619226296499</v>
      </c>
      <c r="AK1330">
        <v>13.112846239579399</v>
      </c>
      <c r="AL1330">
        <v>80.425314796665603</v>
      </c>
      <c r="AM1330">
        <v>72.364596635605906</v>
      </c>
      <c r="AN1330">
        <v>1.0000000527609201</v>
      </c>
    </row>
    <row r="1331" spans="1:40" x14ac:dyDescent="0.25">
      <c r="A1331" t="str">
        <f>"20190312172640295"</f>
        <v>20190312172640295</v>
      </c>
      <c r="B1331" t="str">
        <f>"1552382800290368"</f>
        <v>1552382800290368</v>
      </c>
      <c r="C1331" t="s">
        <v>40</v>
      </c>
      <c r="D1331">
        <v>3.675675</v>
      </c>
      <c r="E1331">
        <v>0.58454159999999999</v>
      </c>
      <c r="F1331" t="s">
        <v>47</v>
      </c>
      <c r="G1331">
        <v>-208.78550000000001</v>
      </c>
      <c r="H1331" s="1">
        <v>6.1043740000000001E-6</v>
      </c>
      <c r="I1331">
        <v>284.7149</v>
      </c>
      <c r="J1331">
        <v>-196.46969999999999</v>
      </c>
      <c r="K1331">
        <v>1.1071059999999999</v>
      </c>
      <c r="L1331">
        <v>291.20030000000003</v>
      </c>
      <c r="M1331">
        <v>-0.54192859999999998</v>
      </c>
      <c r="N1331">
        <v>0</v>
      </c>
      <c r="O1331">
        <v>-0.84031290000000003</v>
      </c>
      <c r="P1331">
        <v>-0.76064940000000003</v>
      </c>
      <c r="Q1331">
        <v>0.15601760000000001</v>
      </c>
      <c r="R1331">
        <v>-0.63013560000000002</v>
      </c>
      <c r="S1331">
        <v>-2.7693180000000002</v>
      </c>
      <c r="T1331">
        <v>-0.24544530000000001</v>
      </c>
      <c r="U1331">
        <v>-1.492828</v>
      </c>
      <c r="V1331">
        <v>0.29907479999999997</v>
      </c>
      <c r="W1331">
        <v>0.16649630000000001</v>
      </c>
      <c r="X1331">
        <v>0.93959210000000004</v>
      </c>
      <c r="Y1331">
        <v>0.47964899999999999</v>
      </c>
      <c r="Z1331">
        <v>7.6193469999999999E-2</v>
      </c>
      <c r="AA1331">
        <v>0.87414599999999898</v>
      </c>
      <c r="AB1331">
        <v>16</v>
      </c>
      <c r="AC1331">
        <v>-12.315799999999999</v>
      </c>
      <c r="AD1331">
        <v>-1.1070998956260001</v>
      </c>
      <c r="AE1331">
        <v>-6.4854000000000198</v>
      </c>
      <c r="AF1331">
        <v>6.7921731947253496</v>
      </c>
      <c r="AG1331">
        <v>-1.1070998956260001</v>
      </c>
      <c r="AH1331">
        <v>12.048960670868199</v>
      </c>
      <c r="AI1331">
        <v>94.576300071581699</v>
      </c>
      <c r="AJ1331">
        <v>60.589415846884599</v>
      </c>
      <c r="AK1331">
        <v>13.8757608848729</v>
      </c>
      <c r="AL1331">
        <v>80.415831714885698</v>
      </c>
      <c r="AM1331">
        <v>72.343581299587399</v>
      </c>
      <c r="AN1331">
        <v>1.0000000341455599</v>
      </c>
    </row>
    <row r="1332" spans="1:40" x14ac:dyDescent="0.25">
      <c r="A1332" t="str">
        <f>"20190312172640315"</f>
        <v>20190312172640315</v>
      </c>
      <c r="B1332" t="str">
        <f>"1552382800309889"</f>
        <v>1552382800309889</v>
      </c>
      <c r="C1332" t="s">
        <v>40</v>
      </c>
      <c r="D1332">
        <v>3.6787030000000001</v>
      </c>
      <c r="E1332">
        <v>0.5849837</v>
      </c>
      <c r="F1332" t="s">
        <v>47</v>
      </c>
      <c r="G1332">
        <v>-209.80799999999999</v>
      </c>
      <c r="H1332" s="1">
        <v>6.5788730000000001E-6</v>
      </c>
      <c r="I1332">
        <v>284.47379999999998</v>
      </c>
      <c r="J1332">
        <v>-196.56139999999999</v>
      </c>
      <c r="K1332">
        <v>1.107081</v>
      </c>
      <c r="L1332">
        <v>291.07400000000001</v>
      </c>
      <c r="M1332">
        <v>-0.54802099999999998</v>
      </c>
      <c r="N1332">
        <v>0</v>
      </c>
      <c r="O1332">
        <v>-0.83635230000000005</v>
      </c>
      <c r="P1332">
        <v>-0.76523450000000004</v>
      </c>
      <c r="Q1332">
        <v>0.1562817</v>
      </c>
      <c r="R1332">
        <v>-0.62449379999999999</v>
      </c>
      <c r="S1332">
        <v>-2.8156430000000001</v>
      </c>
      <c r="T1332">
        <v>-0.23370389999999999</v>
      </c>
      <c r="U1332">
        <v>-1.4199219999999999</v>
      </c>
      <c r="V1332">
        <v>0.2991625</v>
      </c>
      <c r="W1332">
        <v>0.166747799999999</v>
      </c>
      <c r="X1332">
        <v>0.93951949999999995</v>
      </c>
      <c r="Y1332">
        <v>0.49734050000000002</v>
      </c>
      <c r="Z1332">
        <v>7.2658749999999994E-2</v>
      </c>
      <c r="AA1332">
        <v>0.86450740000000004</v>
      </c>
      <c r="AB1332">
        <v>16</v>
      </c>
      <c r="AC1332">
        <v>-13.246600000000001</v>
      </c>
      <c r="AD1332">
        <v>-1.1070744211270001</v>
      </c>
      <c r="AE1332">
        <v>-6.6002000000000196</v>
      </c>
      <c r="AF1332">
        <v>7.4209529355045696</v>
      </c>
      <c r="AG1332">
        <v>-1.1070744211270001</v>
      </c>
      <c r="AH1332">
        <v>12.7095909836318</v>
      </c>
      <c r="AI1332">
        <v>94.301786418023696</v>
      </c>
      <c r="AJ1332">
        <v>59.7199401365149</v>
      </c>
      <c r="AK1332">
        <v>14.7590602416313</v>
      </c>
      <c r="AL1332">
        <v>80.401216819624906</v>
      </c>
      <c r="AM1332">
        <v>72.337445601227401</v>
      </c>
      <c r="AN1332">
        <v>0.99999996054566898</v>
      </c>
    </row>
    <row r="1333" spans="1:40" x14ac:dyDescent="0.25">
      <c r="A1333" t="str">
        <f>"20190312172640361"</f>
        <v>20190312172640361</v>
      </c>
      <c r="B1333" t="str">
        <f>"1552382800349905"</f>
        <v>1552382800349905</v>
      </c>
      <c r="C1333" t="s">
        <v>40</v>
      </c>
      <c r="D1333">
        <v>3.676218</v>
      </c>
      <c r="E1333">
        <v>0.58556229999999998</v>
      </c>
      <c r="F1333" t="s">
        <v>48</v>
      </c>
      <c r="G1333">
        <v>-210.06960000000001</v>
      </c>
      <c r="H1333" s="1">
        <v>-1.4997319999999901E-6</v>
      </c>
      <c r="I1333">
        <v>284.40370000000001</v>
      </c>
      <c r="J1333">
        <v>-196.7535</v>
      </c>
      <c r="K1333">
        <v>1.107043</v>
      </c>
      <c r="L1333">
        <v>290.81619999999998</v>
      </c>
      <c r="M1333">
        <v>-0.56069049999999998</v>
      </c>
      <c r="N1333">
        <v>0</v>
      </c>
      <c r="O1333">
        <v>-0.82791179999999998</v>
      </c>
      <c r="P1333">
        <v>-0.7747366</v>
      </c>
      <c r="Q1333">
        <v>0.156384</v>
      </c>
      <c r="R1333">
        <v>-0.61263990000000002</v>
      </c>
      <c r="S1333">
        <v>-2.828049</v>
      </c>
      <c r="T1333">
        <v>-0.23177600000000001</v>
      </c>
      <c r="U1333">
        <v>-1.3964840000000001</v>
      </c>
      <c r="V1333">
        <v>0.29932049999999999</v>
      </c>
      <c r="W1333">
        <v>0.1668367</v>
      </c>
      <c r="X1333">
        <v>0.93945339999999999</v>
      </c>
      <c r="Y1333">
        <v>0.49147059999999998</v>
      </c>
      <c r="Z1333">
        <v>7.1528530000000007E-2</v>
      </c>
      <c r="AA1333">
        <v>0.86795180000000005</v>
      </c>
      <c r="AB1333">
        <v>16</v>
      </c>
      <c r="AC1333">
        <v>-13.3161</v>
      </c>
      <c r="AD1333">
        <v>-1.1070444997319999</v>
      </c>
      <c r="AE1333">
        <v>-6.4124999999999597</v>
      </c>
      <c r="AF1333">
        <v>7.3883753330821298</v>
      </c>
      <c r="AG1333">
        <v>-1.1070444997319999</v>
      </c>
      <c r="AH1333">
        <v>12.7051156969522</v>
      </c>
      <c r="AI1333">
        <v>94.307580572075295</v>
      </c>
      <c r="AJ1333">
        <v>59.820817485915697</v>
      </c>
      <c r="AK1333">
        <v>14.7388467140351</v>
      </c>
      <c r="AL1333">
        <v>80.396050937091701</v>
      </c>
      <c r="AM1333">
        <v>72.327531572787507</v>
      </c>
      <c r="AN1333">
        <v>0.99999996847934902</v>
      </c>
    </row>
    <row r="1334" spans="1:40" x14ac:dyDescent="0.25">
      <c r="A1334" t="str">
        <f>"20190312172640384"</f>
        <v>20190312172640384</v>
      </c>
      <c r="B1334" t="str">
        <f>"1552382800380160"</f>
        <v>1552382800380160</v>
      </c>
      <c r="C1334" t="s">
        <v>40</v>
      </c>
      <c r="D1334">
        <v>3.6520739999999998</v>
      </c>
      <c r="E1334">
        <v>0.58532059999999997</v>
      </c>
      <c r="F1334" t="s">
        <v>48</v>
      </c>
      <c r="G1334">
        <v>-210.41800000000001</v>
      </c>
      <c r="H1334" s="1">
        <v>-1.3143259999999999E-6</v>
      </c>
      <c r="I1334">
        <v>284.3537</v>
      </c>
      <c r="J1334">
        <v>-196.85159999999999</v>
      </c>
      <c r="K1334">
        <v>1.1070359999999999</v>
      </c>
      <c r="L1334">
        <v>290.68779999999998</v>
      </c>
      <c r="M1334">
        <v>-0.56711140000000004</v>
      </c>
      <c r="N1334">
        <v>0</v>
      </c>
      <c r="O1334">
        <v>-0.8235266</v>
      </c>
      <c r="P1334">
        <v>-0.77941039999999995</v>
      </c>
      <c r="Q1334">
        <v>0.1568435</v>
      </c>
      <c r="R1334">
        <v>-0.60656369999999904</v>
      </c>
      <c r="S1334">
        <v>-2.8522340000000002</v>
      </c>
      <c r="T1334">
        <v>-0.231076</v>
      </c>
      <c r="U1334">
        <v>-1.348938</v>
      </c>
      <c r="V1334">
        <v>0.29929240000000001</v>
      </c>
      <c r="W1334">
        <v>0.16729929999999901</v>
      </c>
      <c r="X1334">
        <v>0.93938010000000005</v>
      </c>
      <c r="Y1334">
        <v>0.49937300000000001</v>
      </c>
      <c r="Z1334">
        <v>7.1295109999999995E-2</v>
      </c>
      <c r="AA1334">
        <v>0.86344869999999996</v>
      </c>
      <c r="AB1334">
        <v>16</v>
      </c>
      <c r="AC1334">
        <v>-13.5664</v>
      </c>
      <c r="AD1334">
        <v>-1.1070373143259999</v>
      </c>
      <c r="AE1334">
        <v>-6.3340999999999701</v>
      </c>
      <c r="AF1334">
        <v>7.53964643861553</v>
      </c>
      <c r="AG1334">
        <v>-1.1070373143259999</v>
      </c>
      <c r="AH1334">
        <v>12.840975610295001</v>
      </c>
      <c r="AI1334">
        <v>94.2517496417301</v>
      </c>
      <c r="AJ1334">
        <v>59.580450145465399</v>
      </c>
      <c r="AK1334">
        <v>14.9319273591466</v>
      </c>
      <c r="AL1334">
        <v>80.369168234468205</v>
      </c>
      <c r="AM1334">
        <v>72.327794357843999</v>
      </c>
      <c r="AN1334">
        <v>0.999999984377129</v>
      </c>
    </row>
    <row r="1335" spans="1:40" x14ac:dyDescent="0.25">
      <c r="A1335" t="str">
        <f>"20190312172640405"</f>
        <v>20190312172640405</v>
      </c>
      <c r="B1335" t="str">
        <f>"1552382800399681"</f>
        <v>1552382800399681</v>
      </c>
      <c r="C1335" t="s">
        <v>40</v>
      </c>
      <c r="D1335">
        <v>3.6537899999999999</v>
      </c>
      <c r="E1335">
        <v>0.58513769999999998</v>
      </c>
      <c r="F1335" t="s">
        <v>48</v>
      </c>
      <c r="G1335">
        <v>-210.64599999999999</v>
      </c>
      <c r="H1335" s="1">
        <v>-1.19303E-6</v>
      </c>
      <c r="I1335">
        <v>284.2835</v>
      </c>
      <c r="J1335">
        <v>-196.94640000000001</v>
      </c>
      <c r="K1335">
        <v>1.106943</v>
      </c>
      <c r="L1335">
        <v>290.5659</v>
      </c>
      <c r="M1335">
        <v>-0.57333730000000005</v>
      </c>
      <c r="N1335">
        <v>0</v>
      </c>
      <c r="O1335">
        <v>-0.81920769999999998</v>
      </c>
      <c r="P1335">
        <v>-0.78404689999999999</v>
      </c>
      <c r="Q1335">
        <v>0.15733539999999999</v>
      </c>
      <c r="R1335">
        <v>-0.60043019999999903</v>
      </c>
      <c r="S1335">
        <v>-2.8614199999999999</v>
      </c>
      <c r="T1335">
        <v>-0.2296369</v>
      </c>
      <c r="U1335">
        <v>-1.3284609999999999</v>
      </c>
      <c r="V1335">
        <v>0.29948259999999899</v>
      </c>
      <c r="W1335">
        <v>0.16757659999999999</v>
      </c>
      <c r="X1335">
        <v>0.93927000000000005</v>
      </c>
      <c r="Y1335">
        <v>0.49899680000000002</v>
      </c>
      <c r="Z1335">
        <v>7.0659319999999998E-2</v>
      </c>
      <c r="AA1335">
        <v>0.8637184</v>
      </c>
      <c r="AB1335">
        <v>16</v>
      </c>
      <c r="AC1335">
        <v>-13.699599999999901</v>
      </c>
      <c r="AD1335">
        <v>-1.1069441930299999</v>
      </c>
      <c r="AE1335">
        <v>-6.2823999999999902</v>
      </c>
      <c r="AF1335">
        <v>7.5806880031274702</v>
      </c>
      <c r="AG1335">
        <v>-1.1069441930299999</v>
      </c>
      <c r="AH1335">
        <v>12.932509286703301</v>
      </c>
      <c r="AI1335">
        <v>94.223215532637695</v>
      </c>
      <c r="AJ1335">
        <v>59.622318653958999</v>
      </c>
      <c r="AK1335">
        <v>15.031365623186501</v>
      </c>
      <c r="AL1335">
        <v>80.353052159441404</v>
      </c>
      <c r="AM1335">
        <v>72.315319561555896</v>
      </c>
      <c r="AN1335">
        <v>0.99999993873515802</v>
      </c>
    </row>
    <row r="1336" spans="1:40" x14ac:dyDescent="0.25">
      <c r="A1336" t="str">
        <f>"20190312172640429"</f>
        <v>20190312172640429</v>
      </c>
      <c r="B1336" t="str">
        <f>"1552382800420177"</f>
        <v>1552382800420177</v>
      </c>
      <c r="C1336" t="s">
        <v>40</v>
      </c>
      <c r="D1336">
        <v>3.6054020000000002</v>
      </c>
      <c r="E1336">
        <v>0.58485909999999997</v>
      </c>
      <c r="F1336" t="s">
        <v>48</v>
      </c>
      <c r="G1336">
        <v>-210.83199999999999</v>
      </c>
      <c r="H1336" s="1">
        <v>-1.0940250000000001E-6</v>
      </c>
      <c r="I1336">
        <v>284.23779999999999</v>
      </c>
      <c r="J1336">
        <v>-197.0539</v>
      </c>
      <c r="K1336">
        <v>1.106803</v>
      </c>
      <c r="L1336">
        <v>290.43009999999998</v>
      </c>
      <c r="M1336">
        <v>-0.58035499999999995</v>
      </c>
      <c r="N1336">
        <v>0</v>
      </c>
      <c r="O1336">
        <v>-0.8142566</v>
      </c>
      <c r="P1336">
        <v>-0.78905219999999998</v>
      </c>
      <c r="Q1336">
        <v>0.15837029999999999</v>
      </c>
      <c r="R1336">
        <v>-0.59356209999999998</v>
      </c>
      <c r="S1336">
        <v>-2.870438</v>
      </c>
      <c r="T1336">
        <v>-0.22882759999999999</v>
      </c>
      <c r="U1336">
        <v>-1.308136</v>
      </c>
      <c r="V1336">
        <v>0.2994812</v>
      </c>
      <c r="W1336">
        <v>0.1682582</v>
      </c>
      <c r="X1336">
        <v>0.93914869999999995</v>
      </c>
      <c r="Y1336">
        <v>0.49767699999999998</v>
      </c>
      <c r="Z1336">
        <v>7.0161580000000001E-2</v>
      </c>
      <c r="AA1336">
        <v>0.86452009999999901</v>
      </c>
      <c r="AB1336">
        <v>16</v>
      </c>
      <c r="AC1336">
        <v>-13.778099999999901</v>
      </c>
      <c r="AD1336">
        <v>-1.1068040940249999</v>
      </c>
      <c r="AE1336">
        <v>-6.1922999999999799</v>
      </c>
      <c r="AF1336">
        <v>7.58511944228594</v>
      </c>
      <c r="AG1336">
        <v>-1.1068040940249999</v>
      </c>
      <c r="AH1336">
        <v>12.969816536177699</v>
      </c>
      <c r="AI1336">
        <v>94.213040412211299</v>
      </c>
      <c r="AJ1336">
        <v>59.6796836816862</v>
      </c>
      <c r="AK1336">
        <v>15.0656959095292</v>
      </c>
      <c r="AL1336">
        <v>80.3134379055994</v>
      </c>
      <c r="AM1336">
        <v>72.313255302078801</v>
      </c>
      <c r="AN1336">
        <v>1.00000004586618</v>
      </c>
    </row>
    <row r="1337" spans="1:40" x14ac:dyDescent="0.25">
      <c r="A1337" t="str">
        <f>"20190312172640453"</f>
        <v>20190312172640453</v>
      </c>
      <c r="B1337" t="str">
        <f>"1552382800450432"</f>
        <v>1552382800450432</v>
      </c>
      <c r="C1337" t="s">
        <v>40</v>
      </c>
      <c r="D1337">
        <v>3.596041</v>
      </c>
      <c r="E1337">
        <v>0.58428159999999996</v>
      </c>
      <c r="F1337" t="s">
        <v>48</v>
      </c>
      <c r="G1337">
        <v>-211.14259999999999</v>
      </c>
      <c r="H1337" s="1">
        <v>-9.2876180000000003E-7</v>
      </c>
      <c r="I1337">
        <v>284.14249999999998</v>
      </c>
      <c r="J1337">
        <v>-197.16210000000001</v>
      </c>
      <c r="K1337">
        <v>1.1067819999999999</v>
      </c>
      <c r="L1337">
        <v>290.29599999999999</v>
      </c>
      <c r="M1337">
        <v>-0.58730269999999996</v>
      </c>
      <c r="N1337">
        <v>0</v>
      </c>
      <c r="O1337">
        <v>-0.80926119999999901</v>
      </c>
      <c r="P1337">
        <v>-0.79370669999999899</v>
      </c>
      <c r="Q1337">
        <v>0.15911</v>
      </c>
      <c r="R1337">
        <v>-0.58712319999999996</v>
      </c>
      <c r="S1337">
        <v>-2.8804470000000002</v>
      </c>
      <c r="T1337">
        <v>-0.22628699999999999</v>
      </c>
      <c r="U1337">
        <v>-1.2854920000000001</v>
      </c>
      <c r="V1337">
        <v>0.29897810000000002</v>
      </c>
      <c r="W1337">
        <v>0.16887769999999999</v>
      </c>
      <c r="X1337">
        <v>0.93919770000000002</v>
      </c>
      <c r="Y1337">
        <v>0.49711470000000002</v>
      </c>
      <c r="Z1337">
        <v>6.9150610000000001E-2</v>
      </c>
      <c r="AA1337">
        <v>0.86492500000000005</v>
      </c>
      <c r="AB1337">
        <v>16</v>
      </c>
      <c r="AC1337">
        <v>-13.9804999999999</v>
      </c>
      <c r="AD1337">
        <v>-1.1067829287617901</v>
      </c>
      <c r="AE1337">
        <v>-6.1535000000000002</v>
      </c>
      <c r="AF1337">
        <v>7.6603526137280298</v>
      </c>
      <c r="AG1337">
        <v>-1.1067829287617901</v>
      </c>
      <c r="AH1337">
        <v>13.1228107931778</v>
      </c>
      <c r="AI1337">
        <v>94.165978520966803</v>
      </c>
      <c r="AJ1337">
        <v>59.726041083252099</v>
      </c>
      <c r="AK1337">
        <v>15.235292374339</v>
      </c>
      <c r="AL1337">
        <v>80.277426935242104</v>
      </c>
      <c r="AM1337">
        <v>72.341983861239399</v>
      </c>
      <c r="AN1337">
        <v>0.99999995076109305</v>
      </c>
    </row>
    <row r="1338" spans="1:40" x14ac:dyDescent="0.25">
      <c r="A1338" t="str">
        <f>"20190312172640496"</f>
        <v>20190312172640496</v>
      </c>
      <c r="B1338" t="str">
        <f>"1552382800490449"</f>
        <v>1552382800490449</v>
      </c>
      <c r="C1338" t="s">
        <v>40</v>
      </c>
      <c r="D1338">
        <v>3.617289</v>
      </c>
      <c r="E1338">
        <v>0.58355959999999996</v>
      </c>
      <c r="F1338" t="s">
        <v>48</v>
      </c>
      <c r="G1338">
        <v>-211.41650000000001</v>
      </c>
      <c r="H1338" s="1">
        <v>-7.8301289999999995E-7</v>
      </c>
      <c r="I1338">
        <v>284.04829999999998</v>
      </c>
      <c r="J1338">
        <v>-197.35570000000001</v>
      </c>
      <c r="K1338">
        <v>1.1068559999999901</v>
      </c>
      <c r="L1338">
        <v>290.06209999999999</v>
      </c>
      <c r="M1338">
        <v>-0.59964719999999905</v>
      </c>
      <c r="N1338">
        <v>0</v>
      </c>
      <c r="O1338">
        <v>-0.80015719999999901</v>
      </c>
      <c r="P1338">
        <v>-0.80255220000000005</v>
      </c>
      <c r="Q1338">
        <v>0.16054889999999999</v>
      </c>
      <c r="R1338">
        <v>-0.574573</v>
      </c>
      <c r="S1338">
        <v>-2.888245</v>
      </c>
      <c r="T1338">
        <v>-0.22425829999999999</v>
      </c>
      <c r="U1338">
        <v>-1.26593</v>
      </c>
      <c r="V1338">
        <v>0.29910789999999998</v>
      </c>
      <c r="W1338">
        <v>0.17034530000000001</v>
      </c>
      <c r="X1338">
        <v>0.93889129999999998</v>
      </c>
      <c r="Y1338">
        <v>0.48964269999999999</v>
      </c>
      <c r="Z1338">
        <v>6.7942240000000001E-2</v>
      </c>
      <c r="AA1338">
        <v>0.86927209999999999</v>
      </c>
      <c r="AB1338">
        <v>16</v>
      </c>
      <c r="AC1338">
        <v>-14.0608</v>
      </c>
      <c r="AD1338">
        <v>-1.1068567830128999</v>
      </c>
      <c r="AE1338">
        <v>-6.0137999999999998</v>
      </c>
      <c r="AF1338">
        <v>7.6055071168541897</v>
      </c>
      <c r="AG1338">
        <v>-1.1068567830128999</v>
      </c>
      <c r="AH1338">
        <v>13.1756216006508</v>
      </c>
      <c r="AI1338">
        <v>94.161305448045496</v>
      </c>
      <c r="AJ1338">
        <v>60.004701824213498</v>
      </c>
      <c r="AK1338">
        <v>15.253388967903399</v>
      </c>
      <c r="AL1338">
        <v>80.192103526385395</v>
      </c>
      <c r="AM1338">
        <v>72.329388000288901</v>
      </c>
      <c r="AN1338">
        <v>0.99999996514509404</v>
      </c>
    </row>
    <row r="1339" spans="1:40" x14ac:dyDescent="0.25">
      <c r="A1339" t="str">
        <f>"20190312172640518"</f>
        <v>20190312172640518</v>
      </c>
      <c r="B1339" t="str">
        <f>"1552382800509969"</f>
        <v>1552382800509969</v>
      </c>
      <c r="C1339" t="s">
        <v>40</v>
      </c>
      <c r="D1339">
        <v>3.601534</v>
      </c>
      <c r="E1339">
        <v>0.58325479999999996</v>
      </c>
      <c r="F1339" t="s">
        <v>48</v>
      </c>
      <c r="G1339">
        <v>-211.89060000000001</v>
      </c>
      <c r="H1339" s="1">
        <v>-5.3071119999999897E-7</v>
      </c>
      <c r="I1339">
        <v>283.92360000000002</v>
      </c>
      <c r="J1339">
        <v>-197.4606</v>
      </c>
      <c r="K1339">
        <v>1.106841</v>
      </c>
      <c r="L1339">
        <v>289.93849999999998</v>
      </c>
      <c r="M1339">
        <v>-0.60629440000000001</v>
      </c>
      <c r="N1339">
        <v>0</v>
      </c>
      <c r="O1339">
        <v>-0.79513319999999998</v>
      </c>
      <c r="P1339">
        <v>-0.80742510000000001</v>
      </c>
      <c r="Q1339">
        <v>0.16067089999999901</v>
      </c>
      <c r="R1339">
        <v>-0.56767040000000002</v>
      </c>
      <c r="S1339">
        <v>-2.9042050000000001</v>
      </c>
      <c r="T1339">
        <v>-0.22116069999999999</v>
      </c>
      <c r="U1339">
        <v>-1.226532</v>
      </c>
      <c r="V1339">
        <v>0.29932049999999999</v>
      </c>
      <c r="W1339">
        <v>0.17039979999999999</v>
      </c>
      <c r="X1339">
        <v>0.93881369999999997</v>
      </c>
      <c r="Y1339">
        <v>0.49416460000000001</v>
      </c>
      <c r="Z1339">
        <v>6.6915279999999994E-2</v>
      </c>
      <c r="AA1339">
        <v>0.86678929999999998</v>
      </c>
      <c r="AB1339">
        <v>16</v>
      </c>
      <c r="AC1339">
        <v>-14.43</v>
      </c>
      <c r="AD1339">
        <v>-1.1068415307111901</v>
      </c>
      <c r="AE1339">
        <v>-6.0148999999999502</v>
      </c>
      <c r="AF1339">
        <v>7.7885973273504403</v>
      </c>
      <c r="AG1339">
        <v>-1.1068415307111901</v>
      </c>
      <c r="AH1339">
        <v>13.465131924366601</v>
      </c>
      <c r="AI1339">
        <v>94.069997670937795</v>
      </c>
      <c r="AJ1339">
        <v>59.953747807156603</v>
      </c>
      <c r="AK1339">
        <v>15.5947787493864</v>
      </c>
      <c r="AL1339">
        <v>80.188935004250894</v>
      </c>
      <c r="AM1339">
        <v>72.316239756367196</v>
      </c>
      <c r="AN1339">
        <v>1.00000000843399</v>
      </c>
    </row>
    <row r="1340" spans="1:40" x14ac:dyDescent="0.25">
      <c r="A1340" t="str">
        <f>"20190312172640540"</f>
        <v>20190312172640540</v>
      </c>
      <c r="B1340" t="str">
        <f>"1552382800530465"</f>
        <v>1552382800530465</v>
      </c>
      <c r="C1340" t="s">
        <v>40</v>
      </c>
      <c r="D1340">
        <v>3.6031170000000001</v>
      </c>
      <c r="E1340">
        <v>0.58284460000000005</v>
      </c>
      <c r="F1340" t="s">
        <v>48</v>
      </c>
      <c r="G1340">
        <v>-211.99379999999999</v>
      </c>
      <c r="H1340" s="1">
        <v>-4.7579279999999999E-7</v>
      </c>
      <c r="I1340">
        <v>283.93450000000001</v>
      </c>
      <c r="J1340">
        <v>-197.56129999999999</v>
      </c>
      <c r="K1340">
        <v>1.1068119999999999</v>
      </c>
      <c r="L1340">
        <v>289.8218</v>
      </c>
      <c r="M1340">
        <v>-0.61256769999999905</v>
      </c>
      <c r="N1340">
        <v>0</v>
      </c>
      <c r="O1340">
        <v>-0.79031169999999995</v>
      </c>
      <c r="P1340">
        <v>-0.81164320000000001</v>
      </c>
      <c r="Q1340">
        <v>0.1610183</v>
      </c>
      <c r="R1340">
        <v>-0.56152369999999996</v>
      </c>
      <c r="S1340">
        <v>-2.9134370000000001</v>
      </c>
      <c r="T1340">
        <v>-0.22188659999999999</v>
      </c>
      <c r="U1340">
        <v>-1.2036129999999901</v>
      </c>
      <c r="V1340">
        <v>0.2989791</v>
      </c>
      <c r="W1340">
        <v>0.17067189999999999</v>
      </c>
      <c r="X1340">
        <v>0.93887310000000002</v>
      </c>
      <c r="Y1340">
        <v>0.49407699999999999</v>
      </c>
      <c r="Z1340">
        <v>6.6917030000000002E-2</v>
      </c>
      <c r="AA1340">
        <v>0.86683909999999997</v>
      </c>
      <c r="AB1340">
        <v>16</v>
      </c>
      <c r="AC1340">
        <v>-14.432499999999999</v>
      </c>
      <c r="AD1340">
        <v>-1.1068124757928</v>
      </c>
      <c r="AE1340">
        <v>-5.8872999999999802</v>
      </c>
      <c r="AF1340">
        <v>7.7613259776431196</v>
      </c>
      <c r="AG1340">
        <v>-1.1068124757928</v>
      </c>
      <c r="AH1340">
        <v>13.4271186636491</v>
      </c>
      <c r="AI1340">
        <v>94.082068147213405</v>
      </c>
      <c r="AJ1340">
        <v>59.970643945937397</v>
      </c>
      <c r="AK1340">
        <v>15.548335293385</v>
      </c>
      <c r="AL1340">
        <v>80.1731134550148</v>
      </c>
      <c r="AM1340">
        <v>72.336202961059996</v>
      </c>
      <c r="AN1340">
        <v>1.00000004879501</v>
      </c>
    </row>
    <row r="1341" spans="1:40" x14ac:dyDescent="0.25">
      <c r="A1341" t="str">
        <f>"20190312172640562"</f>
        <v>20190312172640562</v>
      </c>
      <c r="B1341" t="str">
        <f>"1552382800549984"</f>
        <v>1552382800549984</v>
      </c>
      <c r="C1341" t="s">
        <v>40</v>
      </c>
      <c r="D1341">
        <v>3.615793</v>
      </c>
      <c r="E1341">
        <v>0.57457720000000001</v>
      </c>
      <c r="F1341" t="s">
        <v>48</v>
      </c>
      <c r="G1341">
        <v>-212.13319999999999</v>
      </c>
      <c r="H1341" s="1">
        <v>-4.0162470000000002E-7</v>
      </c>
      <c r="I1341">
        <v>283.91320000000002</v>
      </c>
      <c r="J1341">
        <v>-197.66970000000001</v>
      </c>
      <c r="K1341">
        <v>1.1067819999999999</v>
      </c>
      <c r="L1341">
        <v>289.69850000000002</v>
      </c>
      <c r="M1341">
        <v>-0.61921040000000005</v>
      </c>
      <c r="N1341">
        <v>0</v>
      </c>
      <c r="O1341">
        <v>-0.78511830000000005</v>
      </c>
      <c r="P1341">
        <v>-0.81629459999999998</v>
      </c>
      <c r="Q1341">
        <v>0.16148970000000001</v>
      </c>
      <c r="R1341">
        <v>-0.55460319999999996</v>
      </c>
      <c r="S1341">
        <v>-2.9208530000000001</v>
      </c>
      <c r="T1341">
        <v>-0.22185489999999999</v>
      </c>
      <c r="U1341">
        <v>-1.1843570000000001</v>
      </c>
      <c r="V1341">
        <v>0.29898940000000002</v>
      </c>
      <c r="W1341">
        <v>0.17109089999999999</v>
      </c>
      <c r="X1341">
        <v>0.93879349999999995</v>
      </c>
      <c r="Y1341">
        <v>0.49243720000000002</v>
      </c>
      <c r="Z1341">
        <v>6.6631910000000003E-2</v>
      </c>
      <c r="AA1341">
        <v>0.86779359999999905</v>
      </c>
      <c r="AB1341">
        <v>16</v>
      </c>
      <c r="AC1341">
        <v>-14.4634999999999</v>
      </c>
      <c r="AD1341">
        <v>-1.1067824016247001</v>
      </c>
      <c r="AE1341">
        <v>-5.7853000000000003</v>
      </c>
      <c r="AF1341">
        <v>7.7348468861449398</v>
      </c>
      <c r="AG1341">
        <v>-1.1067824016247001</v>
      </c>
      <c r="AH1341">
        <v>13.431424509289799</v>
      </c>
      <c r="AI1341">
        <v>94.084451906054696</v>
      </c>
      <c r="AJ1341">
        <v>60.063354484168997</v>
      </c>
      <c r="AK1341">
        <v>15.538854140038801</v>
      </c>
      <c r="AL1341">
        <v>80.148747629657095</v>
      </c>
      <c r="AM1341">
        <v>72.334227640963505</v>
      </c>
      <c r="AN1341">
        <v>0.99999999650870897</v>
      </c>
    </row>
    <row r="1342" spans="1:40" x14ac:dyDescent="0.25">
      <c r="A1342" t="str">
        <f>"20190312172640585"</f>
        <v>20190312172640585</v>
      </c>
      <c r="B1342" t="str">
        <f>"1552382800580241"</f>
        <v>1552382800580241</v>
      </c>
      <c r="C1342" t="s">
        <v>40</v>
      </c>
      <c r="D1342">
        <v>3.6052759999999999</v>
      </c>
      <c r="E1342">
        <v>0.57333210000000001</v>
      </c>
      <c r="F1342" t="s">
        <v>48</v>
      </c>
      <c r="G1342">
        <v>-210.51609999999999</v>
      </c>
      <c r="H1342" s="1">
        <v>-1.2621580000000001E-6</v>
      </c>
      <c r="I1342">
        <v>284.3073</v>
      </c>
      <c r="J1342">
        <v>-197.77789999999999</v>
      </c>
      <c r="K1342">
        <v>1.106768</v>
      </c>
      <c r="L1342">
        <v>289.57749999999999</v>
      </c>
      <c r="M1342">
        <v>-0.6257798</v>
      </c>
      <c r="N1342">
        <v>0</v>
      </c>
      <c r="O1342">
        <v>-0.77989219999999904</v>
      </c>
      <c r="P1342">
        <v>-0.82095529999999906</v>
      </c>
      <c r="Q1342">
        <v>0.16167229999999999</v>
      </c>
      <c r="R1342">
        <v>-0.54762630000000001</v>
      </c>
      <c r="S1342">
        <v>-2.898193</v>
      </c>
      <c r="T1342">
        <v>-0.24969459999999999</v>
      </c>
      <c r="U1342">
        <v>-1.216278</v>
      </c>
      <c r="V1342">
        <v>0.29909439999999998</v>
      </c>
      <c r="W1342">
        <v>0.17124879999999901</v>
      </c>
      <c r="X1342">
        <v>0.93873130000000005</v>
      </c>
      <c r="Y1342">
        <v>0.4738829</v>
      </c>
      <c r="Z1342">
        <v>7.4329249999999999E-2</v>
      </c>
      <c r="AA1342">
        <v>0.87744529999999998</v>
      </c>
      <c r="AB1342">
        <v>16</v>
      </c>
      <c r="AC1342">
        <v>-12.738200000000001</v>
      </c>
      <c r="AD1342">
        <v>-1.1067692621580001</v>
      </c>
      <c r="AE1342">
        <v>-5.2701999999999796</v>
      </c>
      <c r="AF1342">
        <v>6.5944882523814803</v>
      </c>
      <c r="AG1342">
        <v>-1.1067692621580001</v>
      </c>
      <c r="AH1342">
        <v>12.005127268307501</v>
      </c>
      <c r="AI1342">
        <v>94.619646971275301</v>
      </c>
      <c r="AJ1342">
        <v>61.2197443112915</v>
      </c>
      <c r="AK1342">
        <v>13.7417354886024</v>
      </c>
      <c r="AL1342">
        <v>80.1395654655703</v>
      </c>
      <c r="AM1342">
        <v>72.327311635508806</v>
      </c>
      <c r="AN1342">
        <v>1.0000000326062399</v>
      </c>
    </row>
    <row r="1343" spans="1:40" x14ac:dyDescent="0.25">
      <c r="A1343" t="str">
        <f>"20190312172640607"</f>
        <v>20190312172640607</v>
      </c>
      <c r="B1343" t="str">
        <f>"1552382800599761"</f>
        <v>1552382800599761</v>
      </c>
      <c r="C1343" t="s">
        <v>40</v>
      </c>
      <c r="D1343">
        <v>3.574605</v>
      </c>
      <c r="E1343">
        <v>0.5727624</v>
      </c>
      <c r="F1343" t="s">
        <v>48</v>
      </c>
      <c r="G1343">
        <v>-210.8073</v>
      </c>
      <c r="H1343" s="1">
        <v>-1.107163E-6</v>
      </c>
      <c r="I1343">
        <v>284.19099999999997</v>
      </c>
      <c r="J1343">
        <v>-197.88509999999999</v>
      </c>
      <c r="K1343">
        <v>1.1067480000000001</v>
      </c>
      <c r="L1343">
        <v>289.4597</v>
      </c>
      <c r="M1343">
        <v>-0.63226369999999998</v>
      </c>
      <c r="N1343">
        <v>0</v>
      </c>
      <c r="O1343">
        <v>-0.77464509999999998</v>
      </c>
      <c r="P1343">
        <v>-0.8255517</v>
      </c>
      <c r="Q1343">
        <v>0.16194979999999901</v>
      </c>
      <c r="R1343">
        <v>-0.54058969999999995</v>
      </c>
      <c r="S1343">
        <v>-2.9024350000000001</v>
      </c>
      <c r="T1343">
        <v>-0.24654319999999999</v>
      </c>
      <c r="U1343">
        <v>-1.1998899999999999</v>
      </c>
      <c r="V1343">
        <v>0.29925819999999997</v>
      </c>
      <c r="W1343">
        <v>0.1715034</v>
      </c>
      <c r="X1343">
        <v>0.93863260000000004</v>
      </c>
      <c r="Y1343">
        <v>0.47131450000000003</v>
      </c>
      <c r="Z1343">
        <v>7.3091719999999999E-2</v>
      </c>
      <c r="AA1343">
        <v>0.87893129999999997</v>
      </c>
      <c r="AB1343">
        <v>16</v>
      </c>
      <c r="AC1343">
        <v>-12.9222</v>
      </c>
      <c r="AD1343">
        <v>-1.106749107163</v>
      </c>
      <c r="AE1343">
        <v>-5.2687000000000204</v>
      </c>
      <c r="AF1343">
        <v>6.6377208383655999</v>
      </c>
      <c r="AG1343">
        <v>-1.106749107163</v>
      </c>
      <c r="AH1343">
        <v>12.176052240391099</v>
      </c>
      <c r="AI1343">
        <v>94.562943300505196</v>
      </c>
      <c r="AJ1343">
        <v>61.403186176286901</v>
      </c>
      <c r="AK1343">
        <v>13.911882679027</v>
      </c>
      <c r="AL1343">
        <v>80.124758803114204</v>
      </c>
      <c r="AM1343">
        <v>72.316492432647806</v>
      </c>
      <c r="AN1343">
        <v>1.0000000221307701</v>
      </c>
    </row>
    <row r="1344" spans="1:40" x14ac:dyDescent="0.25">
      <c r="A1344" t="str">
        <f>"20190312172640630"</f>
        <v>20190312172640630</v>
      </c>
      <c r="B1344" t="str">
        <f>"1552382800619906"</f>
        <v>1552382800619906</v>
      </c>
      <c r="C1344" t="s">
        <v>40</v>
      </c>
      <c r="D1344">
        <v>3.5358010000000002</v>
      </c>
      <c r="E1344">
        <v>0.57213290000000006</v>
      </c>
      <c r="F1344" t="s">
        <v>48</v>
      </c>
      <c r="G1344">
        <v>-211.04660000000001</v>
      </c>
      <c r="H1344" s="1">
        <v>-9.7985210000000002E-7</v>
      </c>
      <c r="I1344">
        <v>284.1268</v>
      </c>
      <c r="J1344">
        <v>-197.99340000000001</v>
      </c>
      <c r="K1344">
        <v>1.10673</v>
      </c>
      <c r="L1344">
        <v>289.34280000000001</v>
      </c>
      <c r="M1344">
        <v>-0.63877680000000003</v>
      </c>
      <c r="N1344">
        <v>0</v>
      </c>
      <c r="O1344">
        <v>-0.7692831</v>
      </c>
      <c r="P1344">
        <v>-0.82965549999999999</v>
      </c>
      <c r="Q1344">
        <v>0.16265060000000001</v>
      </c>
      <c r="R1344">
        <v>-0.53405669999999905</v>
      </c>
      <c r="S1344">
        <v>-2.9098660000000001</v>
      </c>
      <c r="T1344">
        <v>-0.24469070000000001</v>
      </c>
      <c r="U1344">
        <v>-1.179047</v>
      </c>
      <c r="V1344">
        <v>0.29865550000000002</v>
      </c>
      <c r="W1344">
        <v>0.1721859</v>
      </c>
      <c r="X1344">
        <v>0.93869959999999997</v>
      </c>
      <c r="Y1344">
        <v>0.4701263</v>
      </c>
      <c r="Z1344">
        <v>7.2243509999999997E-2</v>
      </c>
      <c r="AA1344">
        <v>0.87963749999999996</v>
      </c>
      <c r="AB1344">
        <v>16</v>
      </c>
      <c r="AC1344">
        <v>-13.0532</v>
      </c>
      <c r="AD1344">
        <v>-1.1067309798520999</v>
      </c>
      <c r="AE1344">
        <v>-5.2160000000000002</v>
      </c>
      <c r="AF1344">
        <v>6.6689689528396396</v>
      </c>
      <c r="AG1344">
        <v>-1.1067309798520999</v>
      </c>
      <c r="AH1344">
        <v>12.2756027862598</v>
      </c>
      <c r="AI1344">
        <v>94.529570442127806</v>
      </c>
      <c r="AJ1344">
        <v>61.486085811926401</v>
      </c>
      <c r="AK1344">
        <v>14.0139367817089</v>
      </c>
      <c r="AL1344">
        <v>80.085063868202795</v>
      </c>
      <c r="AM1344">
        <v>72.351075510724797</v>
      </c>
      <c r="AN1344">
        <v>1.0000000154396</v>
      </c>
    </row>
    <row r="1345" spans="1:40" x14ac:dyDescent="0.25">
      <c r="A1345" t="str">
        <f>"20190312172640654"</f>
        <v>20190312172640654</v>
      </c>
      <c r="B1345" t="str">
        <f>"1552382800650162"</f>
        <v>1552382800650162</v>
      </c>
      <c r="C1345" t="s">
        <v>40</v>
      </c>
      <c r="D1345">
        <v>3.5406369999999998</v>
      </c>
      <c r="E1345">
        <v>0.56853290000000001</v>
      </c>
      <c r="F1345" t="s">
        <v>48</v>
      </c>
      <c r="G1345">
        <v>-211.2954</v>
      </c>
      <c r="H1345" s="1">
        <v>-8.4743319999999997E-7</v>
      </c>
      <c r="I1345">
        <v>284.05110000000002</v>
      </c>
      <c r="J1345">
        <v>-198.11080000000001</v>
      </c>
      <c r="K1345">
        <v>1.1067119999999999</v>
      </c>
      <c r="L1345">
        <v>289.21870000000001</v>
      </c>
      <c r="M1345">
        <v>-0.64576599999999995</v>
      </c>
      <c r="N1345">
        <v>0</v>
      </c>
      <c r="O1345">
        <v>-0.76342589999999999</v>
      </c>
      <c r="P1345">
        <v>-0.83409519999999904</v>
      </c>
      <c r="Q1345">
        <v>0.16358</v>
      </c>
      <c r="R1345">
        <v>-0.52680859999999996</v>
      </c>
      <c r="S1345">
        <v>-2.9166560000000001</v>
      </c>
      <c r="T1345">
        <v>-0.2426672</v>
      </c>
      <c r="U1345">
        <v>-1.1602779999999999</v>
      </c>
      <c r="V1345">
        <v>0.29815039999999998</v>
      </c>
      <c r="W1345">
        <v>0.173099</v>
      </c>
      <c r="X1345">
        <v>0.93869219999999998</v>
      </c>
      <c r="Y1345">
        <v>0.46773910000000002</v>
      </c>
      <c r="Z1345">
        <v>7.1276409999999998E-2</v>
      </c>
      <c r="AA1345">
        <v>0.88098790000000005</v>
      </c>
      <c r="AB1345">
        <v>16</v>
      </c>
      <c r="AC1345">
        <v>-13.1845999999999</v>
      </c>
      <c r="AD1345">
        <v>-1.1067128474332</v>
      </c>
      <c r="AE1345">
        <v>-5.1675999999999904</v>
      </c>
      <c r="AF1345">
        <v>6.6881185501724403</v>
      </c>
      <c r="AG1345">
        <v>-1.1067128474332</v>
      </c>
      <c r="AH1345">
        <v>12.3846465966617</v>
      </c>
      <c r="AI1345">
        <v>94.495844986354498</v>
      </c>
      <c r="AJ1345">
        <v>61.629487348569903</v>
      </c>
      <c r="AK1345">
        <v>14.118612339463001</v>
      </c>
      <c r="AL1345">
        <v>80.031949255303303</v>
      </c>
      <c r="AM1345">
        <v>72.378945630486399</v>
      </c>
      <c r="AN1345">
        <v>0.99999998558100001</v>
      </c>
    </row>
    <row r="1346" spans="1:40" x14ac:dyDescent="0.25">
      <c r="A1346" t="str">
        <f>"20190312172640677"</f>
        <v>20190312172640677</v>
      </c>
      <c r="B1346" t="str">
        <f>"1552382800669682"</f>
        <v>1552382800669682</v>
      </c>
      <c r="C1346" t="s">
        <v>40</v>
      </c>
      <c r="D1346">
        <v>3.5435460000000001</v>
      </c>
      <c r="E1346">
        <v>0.56796029999999997</v>
      </c>
      <c r="F1346" t="s">
        <v>48</v>
      </c>
      <c r="G1346">
        <v>-211.43539999999999</v>
      </c>
      <c r="H1346" s="1">
        <v>-7.7294349999999998E-7</v>
      </c>
      <c r="I1346">
        <v>283.91489999999999</v>
      </c>
      <c r="J1346">
        <v>-198.2242</v>
      </c>
      <c r="K1346">
        <v>1.1067039999999999</v>
      </c>
      <c r="L1346">
        <v>289.10079999999999</v>
      </c>
      <c r="M1346">
        <v>-0.65244360000000001</v>
      </c>
      <c r="N1346">
        <v>0</v>
      </c>
      <c r="O1346">
        <v>-0.75772669999999998</v>
      </c>
      <c r="P1346">
        <v>-0.83845619999999998</v>
      </c>
      <c r="Q1346">
        <v>0.1644081</v>
      </c>
      <c r="R1346">
        <v>-0.51957810000000004</v>
      </c>
      <c r="S1346">
        <v>-2.9120330000000001</v>
      </c>
      <c r="T1346">
        <v>-0.24186730000000001</v>
      </c>
      <c r="U1346">
        <v>-1.159119</v>
      </c>
      <c r="V1346">
        <v>0.29791450000000003</v>
      </c>
      <c r="W1346">
        <v>0.1739166</v>
      </c>
      <c r="X1346">
        <v>0.93861600000000001</v>
      </c>
      <c r="Y1346">
        <v>0.4598294</v>
      </c>
      <c r="Z1346">
        <v>7.0600289999999996E-2</v>
      </c>
      <c r="AA1346">
        <v>0.88519629999999905</v>
      </c>
      <c r="AB1346">
        <v>16</v>
      </c>
      <c r="AC1346">
        <v>-13.2111999999999</v>
      </c>
      <c r="AD1346">
        <v>-1.1067047729435</v>
      </c>
      <c r="AE1346">
        <v>-5.1859000000000002</v>
      </c>
      <c r="AF1346">
        <v>6.5874718535293697</v>
      </c>
      <c r="AG1346">
        <v>-1.1067047729435</v>
      </c>
      <c r="AH1346">
        <v>12.474259510434599</v>
      </c>
      <c r="AI1346">
        <v>94.485771521571493</v>
      </c>
      <c r="AJ1346">
        <v>62.162128726725399</v>
      </c>
      <c r="AK1346">
        <v>14.1501495119014</v>
      </c>
      <c r="AL1346">
        <v>79.984383048943997</v>
      </c>
      <c r="AM1346">
        <v>72.390684766143394</v>
      </c>
      <c r="AN1346">
        <v>1.0000000142609</v>
      </c>
    </row>
    <row r="1347" spans="1:40" x14ac:dyDescent="0.25">
      <c r="A1347" t="str">
        <f>"20190312172640719"</f>
        <v>20190312172640719</v>
      </c>
      <c r="B1347" t="str">
        <f>"1552382800710417"</f>
        <v>1552382800710417</v>
      </c>
      <c r="C1347" t="s">
        <v>40</v>
      </c>
      <c r="D1347">
        <v>3.5714190000000001</v>
      </c>
      <c r="E1347">
        <v>0.59599299999999999</v>
      </c>
      <c r="F1347" t="s">
        <v>48</v>
      </c>
      <c r="G1347">
        <v>-211.5385</v>
      </c>
      <c r="H1347" s="1">
        <v>-7.1807939999999998E-7</v>
      </c>
      <c r="I1347">
        <v>283.90600000000001</v>
      </c>
      <c r="J1347">
        <v>-198.4366</v>
      </c>
      <c r="K1347">
        <v>1.1070230000000001</v>
      </c>
      <c r="L1347">
        <v>288.88560000000001</v>
      </c>
      <c r="M1347">
        <v>-0.66448149999999995</v>
      </c>
      <c r="N1347">
        <v>0</v>
      </c>
      <c r="O1347">
        <v>-0.74718390000000001</v>
      </c>
      <c r="P1347">
        <v>-0.84666819999999898</v>
      </c>
      <c r="Q1347">
        <v>0.1652855</v>
      </c>
      <c r="R1347">
        <v>-0.50580009999999997</v>
      </c>
      <c r="S1347">
        <v>-2.9196620000000002</v>
      </c>
      <c r="T1347">
        <v>-0.24268670000000001</v>
      </c>
      <c r="U1347">
        <v>-1.13916</v>
      </c>
      <c r="V1347">
        <v>0.29805169999999997</v>
      </c>
      <c r="W1347">
        <v>0.17539080000000001</v>
      </c>
      <c r="X1347">
        <v>0.93829799999999997</v>
      </c>
      <c r="Y1347">
        <v>0.4516674</v>
      </c>
      <c r="Z1347">
        <v>7.0007819999999998E-2</v>
      </c>
      <c r="AA1347">
        <v>0.88943549999999905</v>
      </c>
      <c r="AB1347">
        <v>16</v>
      </c>
      <c r="AC1347">
        <v>-13.101900000000001</v>
      </c>
      <c r="AD1347">
        <v>-1.10702371807939</v>
      </c>
      <c r="AE1347">
        <v>-4.9795999999999996</v>
      </c>
      <c r="AF1347">
        <v>6.44108207921128</v>
      </c>
      <c r="AG1347">
        <v>-1.10702371807939</v>
      </c>
      <c r="AH1347">
        <v>12.3507248086143</v>
      </c>
      <c r="AI1347">
        <v>94.543971120414497</v>
      </c>
      <c r="AJ1347">
        <v>62.457305869454601</v>
      </c>
      <c r="AK1347">
        <v>13.973311817949501</v>
      </c>
      <c r="AL1347">
        <v>79.898598367004695</v>
      </c>
      <c r="AM1347">
        <v>72.377475357217193</v>
      </c>
      <c r="AN1347">
        <v>0.99999994270076298</v>
      </c>
    </row>
    <row r="1348" spans="1:40" x14ac:dyDescent="0.25">
      <c r="A1348" t="str">
        <f>"20190312172640741"</f>
        <v>20190312172640741</v>
      </c>
      <c r="B1348" t="str">
        <f>"1552382800729937"</f>
        <v>1552382800729937</v>
      </c>
      <c r="C1348" t="s">
        <v>40</v>
      </c>
      <c r="D1348">
        <v>3.5547849999999999</v>
      </c>
      <c r="E1348">
        <v>0.61044589999999999</v>
      </c>
      <c r="F1348" t="s">
        <v>48</v>
      </c>
      <c r="G1348">
        <v>-214.8938</v>
      </c>
      <c r="H1348" s="1">
        <v>1.0674609999999999E-6</v>
      </c>
      <c r="I1348">
        <v>284.03550000000001</v>
      </c>
      <c r="J1348">
        <v>-198.5446</v>
      </c>
      <c r="K1348">
        <v>1.1078870000000001</v>
      </c>
      <c r="L1348">
        <v>288.77809999999999</v>
      </c>
      <c r="M1348">
        <v>-0.66989860000000001</v>
      </c>
      <c r="N1348">
        <v>0</v>
      </c>
      <c r="O1348">
        <v>-0.7423054</v>
      </c>
      <c r="P1348">
        <v>-0.85054609999999997</v>
      </c>
      <c r="Q1348">
        <v>0.1643249</v>
      </c>
      <c r="R1348">
        <v>-0.49956889999999998</v>
      </c>
      <c r="S1348">
        <v>-3.0468600000000001</v>
      </c>
      <c r="T1348">
        <v>-0.2049513</v>
      </c>
      <c r="U1348">
        <v>-0.8979492</v>
      </c>
      <c r="V1348">
        <v>0.2980196</v>
      </c>
      <c r="W1348">
        <v>0.1760649</v>
      </c>
      <c r="X1348">
        <v>0.93818199999999996</v>
      </c>
      <c r="Y1348">
        <v>0.52051059999999905</v>
      </c>
      <c r="Z1348">
        <v>5.9959829999999999E-2</v>
      </c>
      <c r="AA1348">
        <v>0.85174729999999998</v>
      </c>
      <c r="AB1348">
        <v>16</v>
      </c>
      <c r="AC1348">
        <v>-16.3491999999999</v>
      </c>
      <c r="AD1348">
        <v>-1.107885932539</v>
      </c>
      <c r="AE1348">
        <v>-4.7425999999999799</v>
      </c>
      <c r="AF1348">
        <v>8.9222270930387992</v>
      </c>
      <c r="AG1348">
        <v>-1.107885932539</v>
      </c>
      <c r="AH1348">
        <v>14.4132975150028</v>
      </c>
      <c r="AI1348">
        <v>93.739343844638697</v>
      </c>
      <c r="AJ1348">
        <v>58.241354543019803</v>
      </c>
      <c r="AK1348">
        <v>16.987545225701702</v>
      </c>
      <c r="AL1348">
        <v>79.859365323614298</v>
      </c>
      <c r="AM1348">
        <v>72.377211992825806</v>
      </c>
      <c r="AN1348">
        <v>0.99999999806008399</v>
      </c>
    </row>
    <row r="1349" spans="1:40" x14ac:dyDescent="0.25">
      <c r="A1349" t="str">
        <f>"20190312172640764"</f>
        <v>20190312172640764</v>
      </c>
      <c r="B1349" t="str">
        <f>"1552382800760192"</f>
        <v>1552382800760192</v>
      </c>
      <c r="C1349" t="s">
        <v>40</v>
      </c>
      <c r="D1349">
        <v>3.4874079999999998</v>
      </c>
      <c r="E1349">
        <v>0.62049690000000002</v>
      </c>
      <c r="F1349" t="s">
        <v>48</v>
      </c>
      <c r="G1349">
        <v>-218.10759999999999</v>
      </c>
      <c r="H1349" s="1">
        <v>2.7776669999999998E-6</v>
      </c>
      <c r="I1349">
        <v>283.90300000000002</v>
      </c>
      <c r="J1349">
        <v>-198.65389999999999</v>
      </c>
      <c r="K1349">
        <v>1.1088910000000001</v>
      </c>
      <c r="L1349">
        <v>288.67009999999999</v>
      </c>
      <c r="M1349">
        <v>-0.67492390000000002</v>
      </c>
      <c r="N1349">
        <v>0</v>
      </c>
      <c r="O1349">
        <v>-0.73770230000000003</v>
      </c>
      <c r="P1349">
        <v>-0.85436639999999997</v>
      </c>
      <c r="Q1349">
        <v>0.16268070000000001</v>
      </c>
      <c r="R1349">
        <v>-0.49355149999999998</v>
      </c>
      <c r="S1349">
        <v>-3.1064609999999999</v>
      </c>
      <c r="T1349">
        <v>-0.1759241</v>
      </c>
      <c r="U1349">
        <v>-0.77413940000000003</v>
      </c>
      <c r="V1349">
        <v>0.29821920000000002</v>
      </c>
      <c r="W1349">
        <v>0.1764897</v>
      </c>
      <c r="X1349">
        <v>0.93803879999999995</v>
      </c>
      <c r="Y1349">
        <v>0.551033199999999</v>
      </c>
      <c r="Z1349">
        <v>5.1637790000000003E-2</v>
      </c>
      <c r="AA1349">
        <v>0.83288410000000002</v>
      </c>
      <c r="AB1349">
        <v>15</v>
      </c>
      <c r="AC1349">
        <v>-19.453700000000001</v>
      </c>
      <c r="AD1349">
        <v>-1.1088882223330001</v>
      </c>
      <c r="AE1349">
        <v>-4.7670999999999699</v>
      </c>
      <c r="AF1349">
        <v>11.101103772004</v>
      </c>
      <c r="AG1349">
        <v>-1.1088882223330001</v>
      </c>
      <c r="AH1349">
        <v>16.597866603653301</v>
      </c>
      <c r="AI1349">
        <v>93.178546287641197</v>
      </c>
      <c r="AJ1349">
        <v>56.224319613549902</v>
      </c>
      <c r="AK1349">
        <v>19.9988328119193</v>
      </c>
      <c r="AL1349">
        <v>79.834639385371602</v>
      </c>
      <c r="AM1349">
        <v>72.363615034818494</v>
      </c>
      <c r="AN1349">
        <v>1.0000000478800799</v>
      </c>
    </row>
    <row r="1350" spans="1:40" x14ac:dyDescent="0.25">
      <c r="A1350" t="str">
        <f>"20190312172640786"</f>
        <v>20190312172640786</v>
      </c>
      <c r="B1350" t="str">
        <f>"1552382800779712"</f>
        <v>1552382800779712</v>
      </c>
      <c r="C1350" t="s">
        <v>40</v>
      </c>
      <c r="D1350">
        <v>3.4958</v>
      </c>
      <c r="E1350">
        <v>0.62392119999999995</v>
      </c>
      <c r="F1350" t="s">
        <v>48</v>
      </c>
      <c r="G1350">
        <v>-219.08539999999999</v>
      </c>
      <c r="H1350" s="1">
        <v>3.2980099999999999E-6</v>
      </c>
      <c r="I1350">
        <v>284.24700000000001</v>
      </c>
      <c r="J1350">
        <v>-198.75749999999999</v>
      </c>
      <c r="K1350">
        <v>1.109685</v>
      </c>
      <c r="L1350">
        <v>288.56830000000002</v>
      </c>
      <c r="M1350">
        <v>-0.67922439999999995</v>
      </c>
      <c r="N1350">
        <v>0</v>
      </c>
      <c r="O1350">
        <v>-0.73370249999999904</v>
      </c>
      <c r="P1350">
        <v>-0.85729619999999995</v>
      </c>
      <c r="Q1350">
        <v>0.16134899999999999</v>
      </c>
      <c r="R1350">
        <v>-0.48888670000000001</v>
      </c>
      <c r="S1350">
        <v>-3.1499790000000001</v>
      </c>
      <c r="T1350">
        <v>-0.1709599</v>
      </c>
      <c r="U1350">
        <v>-0.6819153</v>
      </c>
      <c r="V1350">
        <v>0.2978131</v>
      </c>
      <c r="W1350">
        <v>0.17716319999999999</v>
      </c>
      <c r="X1350">
        <v>0.93804080000000001</v>
      </c>
      <c r="Y1350">
        <v>0.57190200000000002</v>
      </c>
      <c r="Z1350">
        <v>5.0205600000000003E-2</v>
      </c>
      <c r="AA1350">
        <v>0.81878409999999902</v>
      </c>
      <c r="AB1350">
        <v>15</v>
      </c>
      <c r="AC1350">
        <v>-20.3279</v>
      </c>
      <c r="AD1350">
        <v>-1.10968170199</v>
      </c>
      <c r="AE1350">
        <v>-4.3212999999999999</v>
      </c>
      <c r="AF1350">
        <v>11.947441189063101</v>
      </c>
      <c r="AG1350">
        <v>-1.10968170199</v>
      </c>
      <c r="AH1350">
        <v>16.932321366348699</v>
      </c>
      <c r="AI1350">
        <v>93.065157314377004</v>
      </c>
      <c r="AJ1350">
        <v>54.793216779147599</v>
      </c>
      <c r="AK1350">
        <v>20.7527408141469</v>
      </c>
      <c r="AL1350">
        <v>79.795432290307701</v>
      </c>
      <c r="AM1350">
        <v>72.386180905326199</v>
      </c>
      <c r="AN1350">
        <v>0.99999999221524405</v>
      </c>
    </row>
    <row r="1351" spans="1:40" x14ac:dyDescent="0.25">
      <c r="A1351" t="str">
        <f>"20190312172640809"</f>
        <v>20190312172640809</v>
      </c>
      <c r="B1351" t="str">
        <f>"1552382800800208"</f>
        <v>1552382800800208</v>
      </c>
      <c r="C1351" t="s">
        <v>40</v>
      </c>
      <c r="D1351">
        <v>3.4869769999999898</v>
      </c>
      <c r="E1351">
        <v>0.62605299999999997</v>
      </c>
      <c r="F1351" t="s">
        <v>48</v>
      </c>
      <c r="G1351">
        <v>-218.80690000000001</v>
      </c>
      <c r="H1351" s="1">
        <v>3.149802E-6</v>
      </c>
      <c r="I1351">
        <v>284.5086</v>
      </c>
      <c r="J1351">
        <v>-198.8595</v>
      </c>
      <c r="K1351">
        <v>1.1102719999999999</v>
      </c>
      <c r="L1351">
        <v>288.46870000000001</v>
      </c>
      <c r="M1351">
        <v>-0.68322349999999998</v>
      </c>
      <c r="N1351">
        <v>0</v>
      </c>
      <c r="O1351">
        <v>-0.72993330000000001</v>
      </c>
      <c r="P1351">
        <v>-0.86017160000000004</v>
      </c>
      <c r="Q1351">
        <v>0.1593802</v>
      </c>
      <c r="R1351">
        <v>-0.4844618</v>
      </c>
      <c r="S1351">
        <v>-3.166687</v>
      </c>
      <c r="T1351">
        <v>-0.17526820000000001</v>
      </c>
      <c r="U1351">
        <v>-0.64120480000000002</v>
      </c>
      <c r="V1351">
        <v>0.29762519999999998</v>
      </c>
      <c r="W1351">
        <v>0.1771017</v>
      </c>
      <c r="X1351">
        <v>0.9381121</v>
      </c>
      <c r="Y1351">
        <v>0.57828250000000003</v>
      </c>
      <c r="Z1351">
        <v>5.1366370000000001E-2</v>
      </c>
      <c r="AA1351">
        <v>0.814218</v>
      </c>
      <c r="AB1351">
        <v>14</v>
      </c>
      <c r="AC1351">
        <v>-19.947399999999998</v>
      </c>
      <c r="AD1351">
        <v>-1.110268850198</v>
      </c>
      <c r="AE1351">
        <v>-3.9601000000000099</v>
      </c>
      <c r="AF1351">
        <v>11.821792341164</v>
      </c>
      <c r="AG1351">
        <v>-1.110268850198</v>
      </c>
      <c r="AH1351">
        <v>16.473371526652802</v>
      </c>
      <c r="AI1351">
        <v>93.134219675695206</v>
      </c>
      <c r="AJ1351">
        <v>54.3356281522763</v>
      </c>
      <c r="AK1351">
        <v>20.306635381875999</v>
      </c>
      <c r="AL1351">
        <v>79.799013109279301</v>
      </c>
      <c r="AM1351">
        <v>72.397862892608003</v>
      </c>
      <c r="AN1351">
        <v>1.00000004199216</v>
      </c>
    </row>
    <row r="1352" spans="1:40" x14ac:dyDescent="0.25">
      <c r="A1352" t="str">
        <f>"20190312172640854"</f>
        <v>20190312172640854</v>
      </c>
      <c r="B1352" t="str">
        <f>"1552382800849863"</f>
        <v>1552382800849863</v>
      </c>
      <c r="C1352" t="s">
        <v>40</v>
      </c>
      <c r="D1352">
        <v>3.5049410000000001</v>
      </c>
      <c r="E1352">
        <v>0.62809769999999998</v>
      </c>
      <c r="F1352" t="s">
        <v>48</v>
      </c>
      <c r="G1352">
        <v>-218.33090000000001</v>
      </c>
      <c r="H1352" s="1">
        <v>2.8964809999999998E-6</v>
      </c>
      <c r="I1352">
        <v>284.7362</v>
      </c>
      <c r="J1352">
        <v>-199.0549</v>
      </c>
      <c r="K1352">
        <v>1.1100829999999999</v>
      </c>
      <c r="L1352">
        <v>288.28179999999998</v>
      </c>
      <c r="M1352">
        <v>-0.69226169999999998</v>
      </c>
      <c r="N1352">
        <v>0</v>
      </c>
      <c r="O1352">
        <v>-0.7212923</v>
      </c>
      <c r="P1352">
        <v>-0.86567190000000005</v>
      </c>
      <c r="Q1352">
        <v>0.15768389999999999</v>
      </c>
      <c r="R1352">
        <v>-0.47512919999999997</v>
      </c>
      <c r="S1352">
        <v>-3.178131</v>
      </c>
      <c r="T1352">
        <v>-0.18121950000000001</v>
      </c>
      <c r="U1352">
        <v>-0.60922240000000005</v>
      </c>
      <c r="V1352">
        <v>0.2964232</v>
      </c>
      <c r="W1352">
        <v>0.1775217</v>
      </c>
      <c r="X1352">
        <v>0.93841319999999995</v>
      </c>
      <c r="Y1352">
        <v>0.57644879999999998</v>
      </c>
      <c r="Z1352">
        <v>5.2657849999999999E-2</v>
      </c>
      <c r="AA1352">
        <v>0.81543480000000002</v>
      </c>
      <c r="AB1352">
        <v>14</v>
      </c>
      <c r="AC1352">
        <v>-19.276</v>
      </c>
      <c r="AD1352">
        <v>-1.110080103519</v>
      </c>
      <c r="AE1352">
        <v>-3.5455999999999701</v>
      </c>
      <c r="AF1352">
        <v>11.4154546421034</v>
      </c>
      <c r="AG1352">
        <v>-1.110080103519</v>
      </c>
      <c r="AH1352">
        <v>15.8546555826819</v>
      </c>
      <c r="AI1352">
        <v>93.252063237692695</v>
      </c>
      <c r="AJ1352">
        <v>54.245868503089802</v>
      </c>
      <c r="AK1352">
        <v>19.568213668283999</v>
      </c>
      <c r="AL1352">
        <v>79.774561013021298</v>
      </c>
      <c r="AM1352">
        <v>72.469868625995105</v>
      </c>
      <c r="AN1352">
        <v>1.00000000070168</v>
      </c>
    </row>
    <row r="1353" spans="1:40" x14ac:dyDescent="0.25">
      <c r="A1353" t="str">
        <f>"20190312172640898"</f>
        <v>20190312172640898</v>
      </c>
      <c r="B1353" t="str">
        <f>"1552382800889878"</f>
        <v>1552382800889878</v>
      </c>
      <c r="C1353" t="s">
        <v>40</v>
      </c>
      <c r="D1353">
        <v>3.4846560000000002</v>
      </c>
      <c r="E1353">
        <v>0.62843890000000002</v>
      </c>
      <c r="F1353" t="s">
        <v>48</v>
      </c>
      <c r="G1353">
        <v>-218.02889999999999</v>
      </c>
      <c r="H1353" s="1">
        <v>2.735766E-6</v>
      </c>
      <c r="I1353">
        <v>284.95979999999997</v>
      </c>
      <c r="J1353">
        <v>-199.25360000000001</v>
      </c>
      <c r="K1353">
        <v>1.107718</v>
      </c>
      <c r="L1353">
        <v>288.10180000000003</v>
      </c>
      <c r="M1353">
        <v>-0.70373589999999997</v>
      </c>
      <c r="N1353">
        <v>0</v>
      </c>
      <c r="O1353">
        <v>-0.71013780000000004</v>
      </c>
      <c r="P1353">
        <v>-0.87219639999999998</v>
      </c>
      <c r="Q1353">
        <v>0.1588271</v>
      </c>
      <c r="R1353">
        <v>-0.46265309999999998</v>
      </c>
      <c r="S1353">
        <v>-3.1927340000000002</v>
      </c>
      <c r="T1353">
        <v>-0.1867926</v>
      </c>
      <c r="U1353">
        <v>-0.55899049999999995</v>
      </c>
      <c r="V1353">
        <v>0.29544579999999998</v>
      </c>
      <c r="W1353">
        <v>0.17638599999999999</v>
      </c>
      <c r="X1353">
        <v>0.93893550000000003</v>
      </c>
      <c r="Y1353">
        <v>0.57639530000000005</v>
      </c>
      <c r="Z1353">
        <v>5.3750989999999998E-2</v>
      </c>
      <c r="AA1353">
        <v>0.8154013</v>
      </c>
      <c r="AB1353">
        <v>13</v>
      </c>
      <c r="AC1353">
        <v>-18.775299999999898</v>
      </c>
      <c r="AD1353">
        <v>-1.107715264234</v>
      </c>
      <c r="AE1353">
        <v>-3.1420000000000501</v>
      </c>
      <c r="AF1353">
        <v>11.0869310811792</v>
      </c>
      <c r="AG1353">
        <v>-1.107715264234</v>
      </c>
      <c r="AH1353">
        <v>15.3955303660761</v>
      </c>
      <c r="AI1353">
        <v>93.341500261658197</v>
      </c>
      <c r="AJ1353">
        <v>54.240845380449201</v>
      </c>
      <c r="AK1353">
        <v>19.004458139031701</v>
      </c>
      <c r="AL1353">
        <v>79.840675753963495</v>
      </c>
      <c r="AM1353">
        <v>72.533276750827198</v>
      </c>
      <c r="AN1353">
        <v>1.0000000574469401</v>
      </c>
    </row>
    <row r="1354" spans="1:40" x14ac:dyDescent="0.25">
      <c r="A1354" t="str">
        <f>"20190312172640919"</f>
        <v>20190312172640919</v>
      </c>
      <c r="B1354" t="str">
        <f>"1552382800910374"</f>
        <v>1552382800910374</v>
      </c>
      <c r="C1354" t="s">
        <v>40</v>
      </c>
      <c r="D1354">
        <v>3.4623390000000001</v>
      </c>
      <c r="E1354">
        <v>0.6278743</v>
      </c>
      <c r="F1354" t="s">
        <v>48</v>
      </c>
      <c r="G1354">
        <v>-218.80940000000001</v>
      </c>
      <c r="H1354" s="1">
        <v>3.151124E-6</v>
      </c>
      <c r="I1354">
        <v>284.9941</v>
      </c>
      <c r="J1354">
        <v>-199.3528</v>
      </c>
      <c r="K1354">
        <v>1.107008</v>
      </c>
      <c r="L1354">
        <v>288.01609999999999</v>
      </c>
      <c r="M1354">
        <v>-0.70916319999999999</v>
      </c>
      <c r="N1354">
        <v>0</v>
      </c>
      <c r="O1354">
        <v>-0.70474320000000001</v>
      </c>
      <c r="P1354">
        <v>-0.87530620000000003</v>
      </c>
      <c r="Q1354">
        <v>0.16044919999999999</v>
      </c>
      <c r="R1354">
        <v>-0.45617469999999999</v>
      </c>
      <c r="S1354">
        <v>-3.2026669999999999</v>
      </c>
      <c r="T1354">
        <v>-0.18141099999999999</v>
      </c>
      <c r="U1354">
        <v>-0.50894170000000005</v>
      </c>
      <c r="V1354">
        <v>0.29519859999999998</v>
      </c>
      <c r="W1354">
        <v>0.17690929999999999</v>
      </c>
      <c r="X1354">
        <v>0.93891469999999999</v>
      </c>
      <c r="Y1354">
        <v>0.5830613</v>
      </c>
      <c r="Z1354">
        <v>5.215347E-2</v>
      </c>
      <c r="AA1354">
        <v>0.81075249999999999</v>
      </c>
      <c r="AB1354">
        <v>13</v>
      </c>
      <c r="AC1354">
        <v>-19.456600000000002</v>
      </c>
      <c r="AD1354">
        <v>-1.107004848876</v>
      </c>
      <c r="AE1354">
        <v>-3.02199999999999</v>
      </c>
      <c r="AF1354">
        <v>11.534811538827</v>
      </c>
      <c r="AG1354">
        <v>-1.107004848876</v>
      </c>
      <c r="AH1354">
        <v>15.8808231141332</v>
      </c>
      <c r="AI1354">
        <v>93.228045258099201</v>
      </c>
      <c r="AJ1354">
        <v>54.007750399886703</v>
      </c>
      <c r="AK1354">
        <v>19.6590406620994</v>
      </c>
      <c r="AL1354">
        <v>79.810212870753702</v>
      </c>
      <c r="AM1354">
        <v>72.546640282976796</v>
      </c>
      <c r="AN1354">
        <v>0.99999996387226897</v>
      </c>
    </row>
    <row r="1355" spans="1:40" x14ac:dyDescent="0.25">
      <c r="A1355" t="str">
        <f>"20190312172640942"</f>
        <v>20190312172640942</v>
      </c>
      <c r="B1355" t="str">
        <f>"1552382800929895"</f>
        <v>1552382800929895</v>
      </c>
      <c r="C1355" t="s">
        <v>40</v>
      </c>
      <c r="D1355">
        <v>3.4777589999999998</v>
      </c>
      <c r="E1355">
        <v>0.62766949999999999</v>
      </c>
      <c r="F1355" t="s">
        <v>48</v>
      </c>
      <c r="G1355">
        <v>-219.66470000000001</v>
      </c>
      <c r="H1355" s="1">
        <v>3.6062720000000002E-6</v>
      </c>
      <c r="I1355">
        <v>284.91370000000001</v>
      </c>
      <c r="J1355">
        <v>-199.4597</v>
      </c>
      <c r="K1355">
        <v>1.1069260000000001</v>
      </c>
      <c r="L1355">
        <v>287.92579999999998</v>
      </c>
      <c r="M1355">
        <v>-0.71489069999999899</v>
      </c>
      <c r="N1355">
        <v>0</v>
      </c>
      <c r="O1355">
        <v>-0.69895249999999998</v>
      </c>
      <c r="P1355">
        <v>-0.87910979999999905</v>
      </c>
      <c r="Q1355">
        <v>0.16124089999999999</v>
      </c>
      <c r="R1355">
        <v>-0.448517</v>
      </c>
      <c r="S1355">
        <v>-3.2043149999999998</v>
      </c>
      <c r="T1355">
        <v>-0.17463609999999999</v>
      </c>
      <c r="U1355">
        <v>-0.48941040000000002</v>
      </c>
      <c r="V1355">
        <v>0.29560890000000001</v>
      </c>
      <c r="W1355">
        <v>0.17711160000000001</v>
      </c>
      <c r="X1355">
        <v>0.93874749999999996</v>
      </c>
      <c r="Y1355">
        <v>0.58147539999999998</v>
      </c>
      <c r="Z1355">
        <v>4.9975840000000001E-2</v>
      </c>
      <c r="AA1355">
        <v>0.81202759999999996</v>
      </c>
      <c r="AB1355">
        <v>13</v>
      </c>
      <c r="AC1355">
        <v>-20.204999999999998</v>
      </c>
      <c r="AD1355">
        <v>-1.1069223937279999</v>
      </c>
      <c r="AE1355">
        <v>-3.01209999999997</v>
      </c>
      <c r="AF1355">
        <v>11.936341412652601</v>
      </c>
      <c r="AG1355">
        <v>-1.1069223937279999</v>
      </c>
      <c r="AH1355">
        <v>16.504506088505799</v>
      </c>
      <c r="AI1355">
        <v>93.110671807106598</v>
      </c>
      <c r="AJ1355">
        <v>54.124901904796197</v>
      </c>
      <c r="AK1355">
        <v>20.3985353574875</v>
      </c>
      <c r="AL1355">
        <v>79.798436385459695</v>
      </c>
      <c r="AM1355">
        <v>72.520934451262903</v>
      </c>
      <c r="AN1355">
        <v>1.0000000046850099</v>
      </c>
    </row>
    <row r="1356" spans="1:40" x14ac:dyDescent="0.25">
      <c r="A1356" t="str">
        <f>"20190312172640963"</f>
        <v>20190312172640963</v>
      </c>
      <c r="B1356" t="str">
        <f>"1552382800960150"</f>
        <v>1552382800960150</v>
      </c>
      <c r="C1356" t="s">
        <v>40</v>
      </c>
      <c r="D1356">
        <v>3.4422540000000001</v>
      </c>
      <c r="E1356">
        <v>0.6270232</v>
      </c>
      <c r="F1356" t="s">
        <v>48</v>
      </c>
      <c r="G1356">
        <v>-219.89949999999999</v>
      </c>
      <c r="H1356" s="1">
        <v>3.7312450000000001E-6</v>
      </c>
      <c r="I1356">
        <v>284.97230000000002</v>
      </c>
      <c r="J1356">
        <v>-199.56010000000001</v>
      </c>
      <c r="K1356">
        <v>1.1072900000000001</v>
      </c>
      <c r="L1356">
        <v>287.84199999999998</v>
      </c>
      <c r="M1356">
        <v>-0.72044189999999997</v>
      </c>
      <c r="N1356">
        <v>0</v>
      </c>
      <c r="O1356">
        <v>-0.69324549999999996</v>
      </c>
      <c r="P1356">
        <v>-0.88285259999999999</v>
      </c>
      <c r="Q1356">
        <v>0.1615509</v>
      </c>
      <c r="R1356">
        <v>-0.44099050000000001</v>
      </c>
      <c r="S1356">
        <v>-3.2079010000000001</v>
      </c>
      <c r="T1356">
        <v>-0.1737243</v>
      </c>
      <c r="U1356">
        <v>-0.46353149999999999</v>
      </c>
      <c r="V1356">
        <v>0.29591289999999998</v>
      </c>
      <c r="W1356">
        <v>0.17721149999999999</v>
      </c>
      <c r="X1356">
        <v>0.93863280000000004</v>
      </c>
      <c r="Y1356">
        <v>0.58157119999999995</v>
      </c>
      <c r="Z1356">
        <v>4.9511220000000002E-2</v>
      </c>
      <c r="AA1356">
        <v>0.81198740000000003</v>
      </c>
      <c r="AB1356">
        <v>13</v>
      </c>
      <c r="AC1356">
        <v>-20.339399999999898</v>
      </c>
      <c r="AD1356">
        <v>-1.10728626875499</v>
      </c>
      <c r="AE1356">
        <v>-2.8696999999999599</v>
      </c>
      <c r="AF1356">
        <v>12.0001256671805</v>
      </c>
      <c r="AG1356">
        <v>-1.10728626875499</v>
      </c>
      <c r="AH1356">
        <v>16.597645498083399</v>
      </c>
      <c r="AI1356">
        <v>93.094580733569899</v>
      </c>
      <c r="AJ1356">
        <v>54.1330073510657</v>
      </c>
      <c r="AK1356">
        <v>20.511239235822501</v>
      </c>
      <c r="AL1356">
        <v>79.792619942376405</v>
      </c>
      <c r="AM1356">
        <v>72.5020479581936</v>
      </c>
      <c r="AN1356">
        <v>0.99999994667724801</v>
      </c>
    </row>
    <row r="1357" spans="1:40" x14ac:dyDescent="0.25">
      <c r="A1357" t="str">
        <f>"20190312172640987"</f>
        <v>20190312172640987</v>
      </c>
      <c r="B1357" t="str">
        <f>"1552382800979670"</f>
        <v>1552382800979670</v>
      </c>
      <c r="C1357" t="s">
        <v>40</v>
      </c>
      <c r="D1357">
        <v>3.4650280000000002</v>
      </c>
      <c r="E1357">
        <v>0.62656540000000005</v>
      </c>
      <c r="F1357" t="s">
        <v>48</v>
      </c>
      <c r="G1357">
        <v>-219.91239999999999</v>
      </c>
      <c r="H1357" s="1">
        <v>3.7381080000000001E-6</v>
      </c>
      <c r="I1357">
        <v>285.03949999999998</v>
      </c>
      <c r="J1357">
        <v>-199.6728</v>
      </c>
      <c r="K1357">
        <v>1.1078250000000001</v>
      </c>
      <c r="L1357">
        <v>287.74849999999998</v>
      </c>
      <c r="M1357">
        <v>-0.72683909999999996</v>
      </c>
      <c r="N1357">
        <v>0</v>
      </c>
      <c r="O1357">
        <v>-0.68655379999999999</v>
      </c>
      <c r="P1357">
        <v>-0.88700820000000002</v>
      </c>
      <c r="Q1357">
        <v>0.1618648</v>
      </c>
      <c r="R1357">
        <v>-0.43245420000000001</v>
      </c>
      <c r="S1357">
        <v>-3.2092900000000002</v>
      </c>
      <c r="T1357">
        <v>-0.1746045</v>
      </c>
      <c r="U1357">
        <v>-0.44192500000000001</v>
      </c>
      <c r="V1357">
        <v>0.2959598</v>
      </c>
      <c r="W1357">
        <v>0.17735319999999999</v>
      </c>
      <c r="X1357">
        <v>0.93859130000000002</v>
      </c>
      <c r="Y1357">
        <v>0.57944589999999996</v>
      </c>
      <c r="Z1357">
        <v>4.9480330000000003E-2</v>
      </c>
      <c r="AA1357">
        <v>0.81350730000000004</v>
      </c>
      <c r="AB1357">
        <v>13</v>
      </c>
      <c r="AC1357">
        <v>-20.239599999999999</v>
      </c>
      <c r="AD1357">
        <v>-1.107821261892</v>
      </c>
      <c r="AE1357">
        <v>-2.7090000000000001</v>
      </c>
      <c r="AF1357">
        <v>11.8936420068886</v>
      </c>
      <c r="AG1357">
        <v>-1.107821261892</v>
      </c>
      <c r="AH1357">
        <v>16.5250605777502</v>
      </c>
      <c r="AI1357">
        <v>93.114461605870105</v>
      </c>
      <c r="AJ1357">
        <v>54.2561649126554</v>
      </c>
      <c r="AK1357">
        <v>20.390282372606801</v>
      </c>
      <c r="AL1357">
        <v>79.784370953227494</v>
      </c>
      <c r="AM1357">
        <v>72.498717399663704</v>
      </c>
      <c r="AN1357">
        <v>0.99999999460098499</v>
      </c>
    </row>
    <row r="1358" spans="1:40" x14ac:dyDescent="0.25">
      <c r="A1358" t="str">
        <f>"20190312172641009"</f>
        <v>20190312172641009</v>
      </c>
      <c r="B1358" t="str">
        <f>"1552382801000166"</f>
        <v>1552382801000166</v>
      </c>
      <c r="C1358" t="s">
        <v>40</v>
      </c>
      <c r="D1358">
        <v>3.4513859999999998</v>
      </c>
      <c r="E1358">
        <v>0.62600149999999999</v>
      </c>
      <c r="F1358" t="s">
        <v>48</v>
      </c>
      <c r="G1358">
        <v>-220.0265</v>
      </c>
      <c r="H1358" s="1">
        <v>-1.5226729999999999E-6</v>
      </c>
      <c r="I1358">
        <v>285.11599999999999</v>
      </c>
      <c r="J1358">
        <v>-199.77440000000001</v>
      </c>
      <c r="K1358">
        <v>1.1081529999999999</v>
      </c>
      <c r="L1358">
        <v>287.66480000000001</v>
      </c>
      <c r="M1358">
        <v>-0.73245629999999995</v>
      </c>
      <c r="N1358">
        <v>0</v>
      </c>
      <c r="O1358">
        <v>-0.68057389999999995</v>
      </c>
      <c r="P1358">
        <v>-0.89041409999999999</v>
      </c>
      <c r="Q1358">
        <v>0.162575</v>
      </c>
      <c r="R1358">
        <v>-0.42512620000000001</v>
      </c>
      <c r="S1358">
        <v>-3.2115480000000001</v>
      </c>
      <c r="T1358">
        <v>-0.17480029999999999</v>
      </c>
      <c r="U1358">
        <v>-0.41537479999999899</v>
      </c>
      <c r="V1358">
        <v>0.29573969999999999</v>
      </c>
      <c r="W1358">
        <v>0.17778820000000001</v>
      </c>
      <c r="X1358">
        <v>0.93857840000000003</v>
      </c>
      <c r="Y1358">
        <v>0.5794511</v>
      </c>
      <c r="Z1358">
        <v>4.9329329999999998E-2</v>
      </c>
      <c r="AA1358">
        <v>0.81351269999999998</v>
      </c>
      <c r="AB1358">
        <v>13</v>
      </c>
      <c r="AC1358">
        <v>-20.252099999999899</v>
      </c>
      <c r="AD1358">
        <v>-1.1081545226729901</v>
      </c>
      <c r="AE1358">
        <v>-2.5488000000000199</v>
      </c>
      <c r="AF1358">
        <v>11.883090508868699</v>
      </c>
      <c r="AG1358">
        <v>-1.1081545226729901</v>
      </c>
      <c r="AH1358">
        <v>16.522436218448298</v>
      </c>
      <c r="AI1358">
        <v>93.116663571161894</v>
      </c>
      <c r="AJ1358">
        <v>54.275958804519298</v>
      </c>
      <c r="AK1358">
        <v>20.382020142291498</v>
      </c>
      <c r="AL1358">
        <v>79.759045003297501</v>
      </c>
      <c r="AM1358">
        <v>72.510713286481703</v>
      </c>
      <c r="AN1358">
        <v>1.0000000135809399</v>
      </c>
    </row>
    <row r="1359" spans="1:40" x14ac:dyDescent="0.25">
      <c r="A1359" t="str">
        <f>"20190312172641030"</f>
        <v>20190312172641030</v>
      </c>
      <c r="B1359" t="str">
        <f>"1552382801020194"</f>
        <v>1552382801020194</v>
      </c>
      <c r="C1359" t="s">
        <v>40</v>
      </c>
      <c r="D1359">
        <v>3.4890880000000002</v>
      </c>
      <c r="E1359">
        <v>0.62531680000000001</v>
      </c>
      <c r="F1359" t="s">
        <v>48</v>
      </c>
      <c r="G1359">
        <v>-220.3228</v>
      </c>
      <c r="H1359" s="1">
        <v>-1.365037E-6</v>
      </c>
      <c r="I1359">
        <v>285.14600000000002</v>
      </c>
      <c r="J1359">
        <v>-199.87690000000001</v>
      </c>
      <c r="K1359">
        <v>1.108257</v>
      </c>
      <c r="L1359">
        <v>287.5813</v>
      </c>
      <c r="M1359">
        <v>-0.73774869999999904</v>
      </c>
      <c r="N1359">
        <v>0</v>
      </c>
      <c r="O1359">
        <v>-0.67484690000000003</v>
      </c>
      <c r="P1359">
        <v>-0.89357169999999897</v>
      </c>
      <c r="Q1359">
        <v>0.1633356</v>
      </c>
      <c r="R1359">
        <v>-0.41815210000000003</v>
      </c>
      <c r="S1359">
        <v>-3.2128450000000002</v>
      </c>
      <c r="T1359">
        <v>-0.17326610000000001</v>
      </c>
      <c r="U1359">
        <v>-0.39382929999999999</v>
      </c>
      <c r="V1359">
        <v>0.29560599999999998</v>
      </c>
      <c r="W1359">
        <v>0.17815889999999901</v>
      </c>
      <c r="X1359">
        <v>0.9385502</v>
      </c>
      <c r="Y1359">
        <v>0.57854749999999999</v>
      </c>
      <c r="Z1359">
        <v>4.8677999999999999E-2</v>
      </c>
      <c r="AA1359">
        <v>0.8141948</v>
      </c>
      <c r="AB1359">
        <v>13</v>
      </c>
      <c r="AC1359">
        <v>-20.445899999999899</v>
      </c>
      <c r="AD1359">
        <v>-1.1082583650369999</v>
      </c>
      <c r="AE1359">
        <v>-2.4353000000000402</v>
      </c>
      <c r="AF1359">
        <v>11.9683918708538</v>
      </c>
      <c r="AG1359">
        <v>-1.1082583650369999</v>
      </c>
      <c r="AH1359">
        <v>16.681644682477401</v>
      </c>
      <c r="AI1359">
        <v>93.089821832330998</v>
      </c>
      <c r="AJ1359">
        <v>54.3421208287361</v>
      </c>
      <c r="AK1359">
        <v>20.5608343675645</v>
      </c>
      <c r="AL1359">
        <v>79.737460622395702</v>
      </c>
      <c r="AM1359">
        <v>72.517644933918206</v>
      </c>
      <c r="AN1359">
        <v>0.99999998940262402</v>
      </c>
    </row>
    <row r="1360" spans="1:40" x14ac:dyDescent="0.25">
      <c r="A1360" t="str">
        <f>"20190312172641055"</f>
        <v>20190312172641055</v>
      </c>
      <c r="B1360" t="str">
        <f>"1552382801050451"</f>
        <v>1552382801050451</v>
      </c>
      <c r="C1360" t="s">
        <v>40</v>
      </c>
      <c r="D1360">
        <v>3.38029</v>
      </c>
      <c r="E1360">
        <v>0.62458910000000001</v>
      </c>
      <c r="F1360" t="s">
        <v>48</v>
      </c>
      <c r="G1360">
        <v>-220.69390000000001</v>
      </c>
      <c r="H1360" s="1">
        <v>-1.167553E-6</v>
      </c>
      <c r="I1360">
        <v>285.15839999999997</v>
      </c>
      <c r="J1360">
        <v>-199.98740000000001</v>
      </c>
      <c r="K1360">
        <v>1.108188</v>
      </c>
      <c r="L1360">
        <v>287.49259999999998</v>
      </c>
      <c r="M1360">
        <v>-0.74306969999999894</v>
      </c>
      <c r="N1360">
        <v>0</v>
      </c>
      <c r="O1360">
        <v>-0.66899540000000002</v>
      </c>
      <c r="P1360">
        <v>-0.89660759999999995</v>
      </c>
      <c r="Q1360">
        <v>0.16478300000000001</v>
      </c>
      <c r="R1360">
        <v>-0.41102539999999999</v>
      </c>
      <c r="S1360">
        <v>-3.2135769999999999</v>
      </c>
      <c r="T1360">
        <v>-0.17108519999999999</v>
      </c>
      <c r="U1360">
        <v>-0.37402340000000001</v>
      </c>
      <c r="V1360">
        <v>0.29550920000000003</v>
      </c>
      <c r="W1360">
        <v>0.17912449999999999</v>
      </c>
      <c r="X1360">
        <v>0.93839689999999998</v>
      </c>
      <c r="Y1360">
        <v>0.57711780000000001</v>
      </c>
      <c r="Z1360">
        <v>4.7832640000000003E-2</v>
      </c>
      <c r="AA1360">
        <v>0.81525890000000001</v>
      </c>
      <c r="AB1360">
        <v>13</v>
      </c>
      <c r="AC1360">
        <v>-20.706499999999998</v>
      </c>
      <c r="AD1360">
        <v>-1.108189167553</v>
      </c>
      <c r="AE1360">
        <v>-2.3342000000000098</v>
      </c>
      <c r="AF1360">
        <v>12.0856707870373</v>
      </c>
      <c r="AG1360">
        <v>-1.108189167553</v>
      </c>
      <c r="AH1360">
        <v>16.902615424188401</v>
      </c>
      <c r="AI1360">
        <v>93.052833692770406</v>
      </c>
      <c r="AJ1360">
        <v>54.434557394755501</v>
      </c>
      <c r="AK1360">
        <v>20.8084100733752</v>
      </c>
      <c r="AL1360">
        <v>79.681231513588102</v>
      </c>
      <c r="AM1360">
        <v>72.520339917410794</v>
      </c>
      <c r="AN1360">
        <v>1.00000000785725</v>
      </c>
    </row>
    <row r="1361" spans="1:40" x14ac:dyDescent="0.25">
      <c r="A1361" t="str">
        <f>"20190312172641101"</f>
        <v>20190312172641101</v>
      </c>
      <c r="B1361" t="str">
        <f>"1552382801090467"</f>
        <v>1552382801090467</v>
      </c>
      <c r="C1361" t="s">
        <v>40</v>
      </c>
      <c r="D1361">
        <v>3.4674559999999999</v>
      </c>
      <c r="E1361">
        <v>0.6100428</v>
      </c>
      <c r="F1361" t="s">
        <v>48</v>
      </c>
      <c r="G1361">
        <v>-221.31450000000001</v>
      </c>
      <c r="H1361" s="1">
        <v>-8.3725409999999995E-7</v>
      </c>
      <c r="I1361">
        <v>285.1413</v>
      </c>
      <c r="J1361">
        <v>-200.2055</v>
      </c>
      <c r="K1361">
        <v>1.107928</v>
      </c>
      <c r="L1361">
        <v>287.32240000000002</v>
      </c>
      <c r="M1361">
        <v>-0.75309469999999901</v>
      </c>
      <c r="N1361">
        <v>0</v>
      </c>
      <c r="O1361">
        <v>-0.65770909999999905</v>
      </c>
      <c r="P1361">
        <v>-0.90204439999999997</v>
      </c>
      <c r="Q1361">
        <v>0.16634699999999999</v>
      </c>
      <c r="R1361">
        <v>-0.3983023</v>
      </c>
      <c r="S1361">
        <v>-3.214188</v>
      </c>
      <c r="T1361">
        <v>-0.1670141</v>
      </c>
      <c r="U1361">
        <v>-0.35437010000000002</v>
      </c>
      <c r="V1361">
        <v>0.29454380000000002</v>
      </c>
      <c r="W1361">
        <v>0.1797887</v>
      </c>
      <c r="X1361">
        <v>0.9385734</v>
      </c>
      <c r="Y1361">
        <v>0.56980940000000002</v>
      </c>
      <c r="Z1361">
        <v>4.6109989999999997E-2</v>
      </c>
      <c r="AA1361">
        <v>0.8204823</v>
      </c>
      <c r="AB1361">
        <v>13</v>
      </c>
      <c r="AC1361">
        <v>-21.109000000000002</v>
      </c>
      <c r="AD1361">
        <v>-1.1079288372541001</v>
      </c>
      <c r="AE1361">
        <v>-2.18110000000001</v>
      </c>
      <c r="AF1361">
        <v>12.20936280077</v>
      </c>
      <c r="AG1361">
        <v>-1.1079288372541001</v>
      </c>
      <c r="AH1361">
        <v>17.286802094111302</v>
      </c>
      <c r="AI1361">
        <v>92.996723669100007</v>
      </c>
      <c r="AJ1361">
        <v>54.767114407490197</v>
      </c>
      <c r="AK1361">
        <v>21.1926773426629</v>
      </c>
      <c r="AL1361">
        <v>79.642547858652705</v>
      </c>
      <c r="AM1361">
        <v>72.577060880416198</v>
      </c>
      <c r="AN1361">
        <v>1.0000000269768401</v>
      </c>
    </row>
    <row r="1362" spans="1:40" x14ac:dyDescent="0.25">
      <c r="A1362" t="str">
        <f>"20190312172641144"</f>
        <v>20190312172641144</v>
      </c>
      <c r="B1362" t="str">
        <f>"1552382801140243"</f>
        <v>1552382801140243</v>
      </c>
      <c r="C1362" t="s">
        <v>40</v>
      </c>
      <c r="D1362">
        <v>3.4657960000000001</v>
      </c>
      <c r="E1362">
        <v>0.60811990000000005</v>
      </c>
      <c r="F1362" t="s">
        <v>48</v>
      </c>
      <c r="G1362">
        <v>-221.7192</v>
      </c>
      <c r="H1362" s="1">
        <v>-6.2191859999999995E-7</v>
      </c>
      <c r="I1362">
        <v>284.50940000000003</v>
      </c>
      <c r="J1362">
        <v>-200.4093</v>
      </c>
      <c r="K1362">
        <v>1.10788</v>
      </c>
      <c r="L1362">
        <v>287.1687</v>
      </c>
      <c r="M1362">
        <v>-0.76241300000000001</v>
      </c>
      <c r="N1362">
        <v>0</v>
      </c>
      <c r="O1362">
        <v>-0.64689859999999999</v>
      </c>
      <c r="P1362">
        <v>-0.90717449999999999</v>
      </c>
      <c r="Q1362">
        <v>0.16624349999999999</v>
      </c>
      <c r="R1362">
        <v>-0.38652009999999998</v>
      </c>
      <c r="S1362">
        <v>-3.1727449999999999</v>
      </c>
      <c r="T1362">
        <v>-0.1633927</v>
      </c>
      <c r="U1362">
        <v>-0.414856</v>
      </c>
      <c r="V1362">
        <v>0.2934001</v>
      </c>
      <c r="W1362">
        <v>0.17912500000000001</v>
      </c>
      <c r="X1362">
        <v>0.93905839999999996</v>
      </c>
      <c r="Y1362">
        <v>0.54125319999999899</v>
      </c>
      <c r="Z1362">
        <v>4.4455010000000003E-2</v>
      </c>
      <c r="AA1362">
        <v>0.83968369999999903</v>
      </c>
      <c r="AB1362">
        <v>13</v>
      </c>
      <c r="AC1362">
        <v>-21.309899999999999</v>
      </c>
      <c r="AD1362">
        <v>-1.1078806219185999</v>
      </c>
      <c r="AE1362">
        <v>-2.6592999999999698</v>
      </c>
      <c r="AF1362">
        <v>11.728108152392</v>
      </c>
      <c r="AG1362">
        <v>-1.1078806219185999</v>
      </c>
      <c r="AH1362">
        <v>17.921778926906601</v>
      </c>
      <c r="AI1362">
        <v>92.961051998534401</v>
      </c>
      <c r="AJ1362">
        <v>56.799049466577301</v>
      </c>
      <c r="AK1362">
        <v>21.446819815803501</v>
      </c>
      <c r="AL1362">
        <v>79.681202640937798</v>
      </c>
      <c r="AM1362">
        <v>72.649068764381994</v>
      </c>
      <c r="AN1362">
        <v>1.0000000314577799</v>
      </c>
    </row>
    <row r="1363" spans="1:40" x14ac:dyDescent="0.25">
      <c r="A1363" t="str">
        <f>"20190312172641165"</f>
        <v>20190312172641165</v>
      </c>
      <c r="B1363" t="str">
        <f>"1552382801159763"</f>
        <v>1552382801159763</v>
      </c>
      <c r="C1363" t="s">
        <v>40</v>
      </c>
      <c r="D1363">
        <v>3.4540289999999998</v>
      </c>
      <c r="E1363">
        <v>0.6071588</v>
      </c>
      <c r="F1363" t="s">
        <v>48</v>
      </c>
      <c r="G1363">
        <v>-221.38040000000001</v>
      </c>
      <c r="H1363" s="1">
        <v>-8.0223229999999998E-7</v>
      </c>
      <c r="I1363">
        <v>284.6062</v>
      </c>
      <c r="J1363">
        <v>-200.51249999999999</v>
      </c>
      <c r="K1363">
        <v>1.107926</v>
      </c>
      <c r="L1363">
        <v>287.09269999999998</v>
      </c>
      <c r="M1363">
        <v>-0.76708909999999997</v>
      </c>
      <c r="N1363">
        <v>0</v>
      </c>
      <c r="O1363">
        <v>-0.64135240000000004</v>
      </c>
      <c r="P1363">
        <v>-0.90985309999999997</v>
      </c>
      <c r="Q1363">
        <v>0.16594679999999901</v>
      </c>
      <c r="R1363">
        <v>-0.38030140000000001</v>
      </c>
      <c r="S1363">
        <v>-3.1725310000000002</v>
      </c>
      <c r="T1363">
        <v>-0.16760169999999999</v>
      </c>
      <c r="U1363">
        <v>-0.38766479999999998</v>
      </c>
      <c r="V1363">
        <v>0.29303059999999997</v>
      </c>
      <c r="W1363">
        <v>0.1786469</v>
      </c>
      <c r="X1363">
        <v>0.93926480000000001</v>
      </c>
      <c r="Y1363">
        <v>0.542161</v>
      </c>
      <c r="Z1363">
        <v>4.5455309999999999E-2</v>
      </c>
      <c r="AA1363">
        <v>0.83904419999999902</v>
      </c>
      <c r="AB1363">
        <v>13</v>
      </c>
      <c r="AC1363">
        <v>-20.867899999999999</v>
      </c>
      <c r="AD1363">
        <v>-1.1079268022322999</v>
      </c>
      <c r="AE1363">
        <v>-2.4864999999999702</v>
      </c>
      <c r="AF1363">
        <v>11.445884181874201</v>
      </c>
      <c r="AG1363">
        <v>-1.1079268022322999</v>
      </c>
      <c r="AH1363">
        <v>17.5555934534238</v>
      </c>
      <c r="AI1363">
        <v>93.026181072440195</v>
      </c>
      <c r="AJ1363">
        <v>56.896480345685099</v>
      </c>
      <c r="AK1363">
        <v>20.9865344448739</v>
      </c>
      <c r="AL1363">
        <v>79.709044587318303</v>
      </c>
      <c r="AM1363">
        <v>72.673190995376601</v>
      </c>
      <c r="AN1363">
        <v>1.0000000059675</v>
      </c>
    </row>
    <row r="1364" spans="1:40" x14ac:dyDescent="0.25">
      <c r="A1364" t="str">
        <f>"20190312172641187"</f>
        <v>20190312172641187</v>
      </c>
      <c r="B1364" t="str">
        <f>"1552382801180260"</f>
        <v>1552382801180260</v>
      </c>
      <c r="C1364" t="s">
        <v>40</v>
      </c>
      <c r="D1364">
        <v>3.444909</v>
      </c>
      <c r="E1364">
        <v>0.60677119999999996</v>
      </c>
      <c r="F1364" t="s">
        <v>48</v>
      </c>
      <c r="G1364">
        <v>-221.1728</v>
      </c>
      <c r="H1364" s="1">
        <v>-9.1266949999999997E-7</v>
      </c>
      <c r="I1364">
        <v>284.66500000000002</v>
      </c>
      <c r="J1364">
        <v>-200.6172</v>
      </c>
      <c r="K1364">
        <v>1.1079859999999999</v>
      </c>
      <c r="L1364">
        <v>287.01670000000001</v>
      </c>
      <c r="M1364">
        <v>-0.77177629999999997</v>
      </c>
      <c r="N1364">
        <v>0</v>
      </c>
      <c r="O1364">
        <v>-0.63570879999999996</v>
      </c>
      <c r="P1364">
        <v>-0.91239579999999998</v>
      </c>
      <c r="Q1364">
        <v>0.16623929999999901</v>
      </c>
      <c r="R1364">
        <v>-0.37403019999999998</v>
      </c>
      <c r="S1364">
        <v>-3.1724549999999998</v>
      </c>
      <c r="T1364">
        <v>-0.17012550000000001</v>
      </c>
      <c r="U1364">
        <v>-0.3727722</v>
      </c>
      <c r="V1364">
        <v>0.29254980000000003</v>
      </c>
      <c r="W1364">
        <v>0.17879329999999999</v>
      </c>
      <c r="X1364">
        <v>0.93938679999999997</v>
      </c>
      <c r="Y1364">
        <v>0.53984209999999999</v>
      </c>
      <c r="Z1364">
        <v>4.5877059999999997E-2</v>
      </c>
      <c r="AA1364">
        <v>0.84051520000000002</v>
      </c>
      <c r="AB1364">
        <v>13</v>
      </c>
      <c r="AC1364">
        <v>-20.555599999999998</v>
      </c>
      <c r="AD1364">
        <v>-1.1079869126694999</v>
      </c>
      <c r="AE1364">
        <v>-2.3516999999999899</v>
      </c>
      <c r="AF1364">
        <v>11.2215335706105</v>
      </c>
      <c r="AG1364">
        <v>-1.1079869126694999</v>
      </c>
      <c r="AH1364">
        <v>17.3117191657036</v>
      </c>
      <c r="AI1364">
        <v>93.074185111444706</v>
      </c>
      <c r="AJ1364">
        <v>57.0485129672931</v>
      </c>
      <c r="AK1364">
        <v>20.660253414398799</v>
      </c>
      <c r="AL1364">
        <v>79.700519110393401</v>
      </c>
      <c r="AM1364">
        <v>72.702035307050394</v>
      </c>
      <c r="AN1364">
        <v>0.99999999480958501</v>
      </c>
    </row>
    <row r="1365" spans="1:40" x14ac:dyDescent="0.25">
      <c r="A1365" t="str">
        <f>"20190312172641209"</f>
        <v>20190312172641209</v>
      </c>
      <c r="B1365" t="str">
        <f>"1552382801199780"</f>
        <v>1552382801199780</v>
      </c>
      <c r="C1365" t="s">
        <v>40</v>
      </c>
      <c r="D1365">
        <v>3.4630339999999902</v>
      </c>
      <c r="E1365">
        <v>0.59934960000000004</v>
      </c>
      <c r="F1365" t="s">
        <v>48</v>
      </c>
      <c r="G1365">
        <v>-221.37190000000001</v>
      </c>
      <c r="H1365" s="1">
        <v>-8.0671260000000001E-7</v>
      </c>
      <c r="I1365">
        <v>284.70339999999999</v>
      </c>
      <c r="J1365">
        <v>-200.7252</v>
      </c>
      <c r="K1365">
        <v>1.108034</v>
      </c>
      <c r="L1365">
        <v>286.93939999999998</v>
      </c>
      <c r="M1365">
        <v>-0.77655399999999997</v>
      </c>
      <c r="N1365">
        <v>0</v>
      </c>
      <c r="O1365">
        <v>-0.62986799999999998</v>
      </c>
      <c r="P1365">
        <v>-0.91510740000000002</v>
      </c>
      <c r="Q1365">
        <v>0.1663705</v>
      </c>
      <c r="R1365">
        <v>-0.36728660000000002</v>
      </c>
      <c r="S1365">
        <v>-3.1739039999999998</v>
      </c>
      <c r="T1365">
        <v>-0.1694379</v>
      </c>
      <c r="U1365">
        <v>-0.35375980000000001</v>
      </c>
      <c r="V1365">
        <v>0.29235990000000001</v>
      </c>
      <c r="W1365">
        <v>0.17878810000000001</v>
      </c>
      <c r="X1365">
        <v>0.93944689999999997</v>
      </c>
      <c r="Y1365">
        <v>0.53852800000000001</v>
      </c>
      <c r="Z1365">
        <v>4.5432010000000002E-2</v>
      </c>
      <c r="AA1365">
        <v>0.84138189999999902</v>
      </c>
      <c r="AB1365">
        <v>13</v>
      </c>
      <c r="AC1365">
        <v>-20.646699999999999</v>
      </c>
      <c r="AD1365">
        <v>-1.1080348067126</v>
      </c>
      <c r="AE1365">
        <v>-2.23599999999999</v>
      </c>
      <c r="AF1365">
        <v>11.237627887128101</v>
      </c>
      <c r="AG1365">
        <v>-1.1080348067126</v>
      </c>
      <c r="AH1365">
        <v>17.394154175088001</v>
      </c>
      <c r="AI1365">
        <v>93.062767345131604</v>
      </c>
      <c r="AJ1365">
        <v>57.1352059487077</v>
      </c>
      <c r="AK1365">
        <v>20.738095889670699</v>
      </c>
      <c r="AL1365">
        <v>79.700821845088797</v>
      </c>
      <c r="AM1365">
        <v>72.713634443493802</v>
      </c>
      <c r="AN1365">
        <v>0.999999986874614</v>
      </c>
    </row>
    <row r="1366" spans="1:40" x14ac:dyDescent="0.25">
      <c r="A1366" t="str">
        <f>"20190312172641231"</f>
        <v>20190312172641231</v>
      </c>
      <c r="B1366" t="str">
        <f>"1552382801220275"</f>
        <v>1552382801220275</v>
      </c>
      <c r="C1366" t="s">
        <v>40</v>
      </c>
      <c r="D1366">
        <v>3.6027979999999999</v>
      </c>
      <c r="E1366">
        <v>0.59918749999999998</v>
      </c>
      <c r="F1366" t="s">
        <v>48</v>
      </c>
      <c r="G1366">
        <v>-221.09790000000001</v>
      </c>
      <c r="H1366" s="1">
        <v>-9.5255459999999995E-7</v>
      </c>
      <c r="I1366">
        <v>284.44909999999999</v>
      </c>
      <c r="J1366">
        <v>-200.8355</v>
      </c>
      <c r="K1366">
        <v>1.1080650000000001</v>
      </c>
      <c r="L1366">
        <v>286.86180000000002</v>
      </c>
      <c r="M1366">
        <v>-0.78136859999999997</v>
      </c>
      <c r="N1366">
        <v>0</v>
      </c>
      <c r="O1366">
        <v>-0.62388920000000003</v>
      </c>
      <c r="P1366">
        <v>-0.91794109999999995</v>
      </c>
      <c r="Q1366">
        <v>0.1661144</v>
      </c>
      <c r="R1366">
        <v>-0.36026469999999999</v>
      </c>
      <c r="S1366">
        <v>-3.154709</v>
      </c>
      <c r="T1366">
        <v>-0.17157919999999999</v>
      </c>
      <c r="U1366">
        <v>-0.38562010000000002</v>
      </c>
      <c r="V1366">
        <v>0.29236010000000001</v>
      </c>
      <c r="W1366">
        <v>0.1784029</v>
      </c>
      <c r="X1366">
        <v>0.93952009999999997</v>
      </c>
      <c r="Y1366">
        <v>0.52300429999999998</v>
      </c>
      <c r="Z1366">
        <v>4.5562289999999998E-2</v>
      </c>
      <c r="AA1366">
        <v>0.85111139999999996</v>
      </c>
      <c r="AB1366">
        <v>13</v>
      </c>
      <c r="AC1366">
        <v>-20.2624</v>
      </c>
      <c r="AD1366">
        <v>-1.1080659525545999</v>
      </c>
      <c r="AE1366">
        <v>-2.4127000000000201</v>
      </c>
      <c r="AF1366">
        <v>10.7258691188805</v>
      </c>
      <c r="AG1366">
        <v>-1.1080659525545999</v>
      </c>
      <c r="AH1366">
        <v>17.2886351480584</v>
      </c>
      <c r="AI1366">
        <v>93.1173824552626</v>
      </c>
      <c r="AJ1366">
        <v>58.184535755821997</v>
      </c>
      <c r="AK1366">
        <v>20.375695909422198</v>
      </c>
      <c r="AL1366">
        <v>79.723253161695794</v>
      </c>
      <c r="AM1366">
        <v>72.714889894936206</v>
      </c>
      <c r="AN1366">
        <v>1.0000000205522099</v>
      </c>
    </row>
    <row r="1367" spans="1:40" x14ac:dyDescent="0.25">
      <c r="A1367" t="str">
        <f>"20190312172641255"</f>
        <v>20190312172641255</v>
      </c>
      <c r="B1367" t="str">
        <f>"1552382801250531"</f>
        <v>1552382801250531</v>
      </c>
      <c r="C1367" t="s">
        <v>40</v>
      </c>
      <c r="D1367">
        <v>3.3959459999999999</v>
      </c>
      <c r="E1367">
        <v>0.62377009999999999</v>
      </c>
      <c r="F1367" t="s">
        <v>48</v>
      </c>
      <c r="G1367">
        <v>-221.30070000000001</v>
      </c>
      <c r="H1367" s="1">
        <v>-8.446424E-7</v>
      </c>
      <c r="I1367">
        <v>284.50979999999998</v>
      </c>
      <c r="J1367">
        <v>-200.9478</v>
      </c>
      <c r="K1367">
        <v>1.1080779999999999</v>
      </c>
      <c r="L1367">
        <v>286.78399999999999</v>
      </c>
      <c r="M1367">
        <v>-0.78620590000000001</v>
      </c>
      <c r="N1367">
        <v>0</v>
      </c>
      <c r="O1367">
        <v>-0.61778559999999905</v>
      </c>
      <c r="P1367">
        <v>-0.92077180000000003</v>
      </c>
      <c r="Q1367">
        <v>0.16588539999999999</v>
      </c>
      <c r="R1367">
        <v>-0.35307440000000001</v>
      </c>
      <c r="S1367">
        <v>-3.1567379999999998</v>
      </c>
      <c r="T1367">
        <v>-0.17091809999999999</v>
      </c>
      <c r="U1367">
        <v>-0.36279299999999998</v>
      </c>
      <c r="V1367">
        <v>0.29240759999999899</v>
      </c>
      <c r="W1367">
        <v>0.1780534</v>
      </c>
      <c r="X1367">
        <v>0.93957159999999995</v>
      </c>
      <c r="Y1367">
        <v>0.52252469999999995</v>
      </c>
      <c r="Z1367">
        <v>4.5129250000000003E-2</v>
      </c>
      <c r="AA1367">
        <v>0.85142899999999999</v>
      </c>
      <c r="AB1367">
        <v>13</v>
      </c>
      <c r="AC1367">
        <v>-20.352900000000002</v>
      </c>
      <c r="AD1367">
        <v>-1.1080788446423999</v>
      </c>
      <c r="AE1367">
        <v>-2.2742</v>
      </c>
      <c r="AF1367">
        <v>10.755445584728999</v>
      </c>
      <c r="AG1367">
        <v>-1.1080788446423999</v>
      </c>
      <c r="AH1367">
        <v>17.3576489912138</v>
      </c>
      <c r="AI1367">
        <v>93.106106933162494</v>
      </c>
      <c r="AJ1367">
        <v>58.216103370406799</v>
      </c>
      <c r="AK1367">
        <v>20.4498270641635</v>
      </c>
      <c r="AL1367">
        <v>79.743603702824799</v>
      </c>
      <c r="AM1367">
        <v>72.713140036189003</v>
      </c>
      <c r="AN1367">
        <v>1.00000000465793</v>
      </c>
    </row>
    <row r="1368" spans="1:40" x14ac:dyDescent="0.25">
      <c r="A1368" t="str">
        <f>"20190312172641279"</f>
        <v>20190312172641279</v>
      </c>
      <c r="B1368" t="str">
        <f>"1552382801270052"</f>
        <v>1552382801270052</v>
      </c>
      <c r="C1368" t="s">
        <v>40</v>
      </c>
      <c r="D1368">
        <v>3.3952439999999999</v>
      </c>
      <c r="E1368">
        <v>0.62658910000000001</v>
      </c>
      <c r="F1368" t="s">
        <v>48</v>
      </c>
      <c r="G1368">
        <v>-226.8125</v>
      </c>
      <c r="H1368" s="1">
        <v>2.0884760000000002E-6</v>
      </c>
      <c r="I1368">
        <v>285.54809999999998</v>
      </c>
      <c r="J1368">
        <v>-201.06790000000001</v>
      </c>
      <c r="K1368">
        <v>1.10809</v>
      </c>
      <c r="L1368">
        <v>286.7022</v>
      </c>
      <c r="M1368">
        <v>-0.79129680000000002</v>
      </c>
      <c r="N1368">
        <v>0</v>
      </c>
      <c r="O1368">
        <v>-0.61125419999999997</v>
      </c>
      <c r="P1368">
        <v>-0.92348169999999996</v>
      </c>
      <c r="Q1368">
        <v>0.16617899999999999</v>
      </c>
      <c r="R1368">
        <v>-0.34578360000000002</v>
      </c>
      <c r="S1368">
        <v>-3.2239529999999998</v>
      </c>
      <c r="T1368">
        <v>-0.1381184</v>
      </c>
      <c r="U1368">
        <v>-0.15405269999999999</v>
      </c>
      <c r="V1368">
        <v>0.29202</v>
      </c>
      <c r="W1368">
        <v>0.17823449999999999</v>
      </c>
      <c r="X1368">
        <v>0.93965779999999999</v>
      </c>
      <c r="Y1368">
        <v>0.57184179999999996</v>
      </c>
      <c r="Z1368">
        <v>3.6782120000000001E-2</v>
      </c>
      <c r="AA1368">
        <v>0.81953889999999996</v>
      </c>
      <c r="AB1368">
        <v>13</v>
      </c>
      <c r="AC1368">
        <v>-25.744599999999899</v>
      </c>
      <c r="AD1368">
        <v>-1.1080879115240001</v>
      </c>
      <c r="AE1368">
        <v>-1.1541000000000201</v>
      </c>
      <c r="AF1368">
        <v>14.7975143013107</v>
      </c>
      <c r="AG1368">
        <v>-1.1080879115240001</v>
      </c>
      <c r="AH1368">
        <v>21.0404615563391</v>
      </c>
      <c r="AI1368">
        <v>92.466655725636699</v>
      </c>
      <c r="AJ1368">
        <v>54.881721221317598</v>
      </c>
      <c r="AK1368">
        <v>25.746753403505899</v>
      </c>
      <c r="AL1368">
        <v>79.733058708805501</v>
      </c>
      <c r="AM1368">
        <v>72.736181287598697</v>
      </c>
      <c r="AN1368">
        <v>0.99999999924554495</v>
      </c>
    </row>
    <row r="1369" spans="1:40" x14ac:dyDescent="0.25">
      <c r="A1369" t="str">
        <f>"20190312172641321"</f>
        <v>20190312172641321</v>
      </c>
      <c r="B1369" t="str">
        <f>"1552382801310067"</f>
        <v>1552382801310067</v>
      </c>
      <c r="C1369" t="s">
        <v>40</v>
      </c>
      <c r="D1369">
        <v>3.4069189999999998</v>
      </c>
      <c r="E1369">
        <v>0.6282373</v>
      </c>
      <c r="F1369" t="s">
        <v>48</v>
      </c>
      <c r="G1369">
        <v>-227.8075</v>
      </c>
      <c r="H1369" s="1">
        <v>2.617971E-6</v>
      </c>
      <c r="I1369">
        <v>285.81689999999998</v>
      </c>
      <c r="J1369">
        <v>-201.27</v>
      </c>
      <c r="K1369">
        <v>1.108087</v>
      </c>
      <c r="L1369">
        <v>286.56790000000001</v>
      </c>
      <c r="M1369">
        <v>-0.79966569999999904</v>
      </c>
      <c r="N1369">
        <v>0</v>
      </c>
      <c r="O1369">
        <v>-0.60026869999999999</v>
      </c>
      <c r="P1369">
        <v>-0.92769639999999998</v>
      </c>
      <c r="Q1369">
        <v>0.1668887</v>
      </c>
      <c r="R1369">
        <v>-0.33395809999999998</v>
      </c>
      <c r="S1369">
        <v>-3.232605</v>
      </c>
      <c r="T1369">
        <v>-0.13395889999999999</v>
      </c>
      <c r="U1369">
        <v>-0.1070251</v>
      </c>
      <c r="V1369">
        <v>0.2909678</v>
      </c>
      <c r="W1369">
        <v>0.17879329999999999</v>
      </c>
      <c r="X1369">
        <v>0.93987799999999999</v>
      </c>
      <c r="Y1369">
        <v>0.57259649999999995</v>
      </c>
      <c r="Z1369">
        <v>3.527193E-2</v>
      </c>
      <c r="AA1369">
        <v>0.81907819999999998</v>
      </c>
      <c r="AB1369">
        <v>13</v>
      </c>
      <c r="AC1369">
        <v>-26.537499999999898</v>
      </c>
      <c r="AD1369">
        <v>-1.1080843820290001</v>
      </c>
      <c r="AE1369">
        <v>-0.75100000000003297</v>
      </c>
      <c r="AF1369">
        <v>15.3040473080754</v>
      </c>
      <c r="AG1369">
        <v>-1.1080843820290001</v>
      </c>
      <c r="AH1369">
        <v>21.636537235963601</v>
      </c>
      <c r="AI1369">
        <v>92.394223403879494</v>
      </c>
      <c r="AJ1369">
        <v>54.727304763135301</v>
      </c>
      <c r="AK1369">
        <v>26.525109963367601</v>
      </c>
      <c r="AL1369">
        <v>79.700518954353598</v>
      </c>
      <c r="AM1369">
        <v>72.798500310789095</v>
      </c>
      <c r="AN1369">
        <v>0.99999997982286404</v>
      </c>
    </row>
    <row r="1370" spans="1:40" x14ac:dyDescent="0.25">
      <c r="A1370" t="str">
        <f>"20190312172641343"</f>
        <v>20190312172641343</v>
      </c>
      <c r="B1370" t="str">
        <f>"1552382801340323"</f>
        <v>1552382801340323</v>
      </c>
      <c r="C1370" t="s">
        <v>40</v>
      </c>
      <c r="D1370">
        <v>3.3905630000000002</v>
      </c>
      <c r="E1370">
        <v>0.62843419999999905</v>
      </c>
      <c r="F1370" t="s">
        <v>48</v>
      </c>
      <c r="G1370">
        <v>-228.83269999999999</v>
      </c>
      <c r="H1370" s="1">
        <v>3.1635369999999998E-6</v>
      </c>
      <c r="I1370">
        <v>286.1148</v>
      </c>
      <c r="J1370">
        <v>-201.37899999999999</v>
      </c>
      <c r="K1370">
        <v>1.108096</v>
      </c>
      <c r="L1370">
        <v>286.49709999999999</v>
      </c>
      <c r="M1370">
        <v>-0.80407910000000005</v>
      </c>
      <c r="N1370">
        <v>0</v>
      </c>
      <c r="O1370">
        <v>-0.59434580000000004</v>
      </c>
      <c r="P1370">
        <v>-0.93006659999999997</v>
      </c>
      <c r="Q1370">
        <v>0.16650009999999901</v>
      </c>
      <c r="R1370">
        <v>-0.32749660000000003</v>
      </c>
      <c r="S1370">
        <v>-3.2380680000000002</v>
      </c>
      <c r="T1370">
        <v>-0.13017770000000001</v>
      </c>
      <c r="U1370">
        <v>-5.3222659999999998E-2</v>
      </c>
      <c r="V1370">
        <v>0.29059669999999999</v>
      </c>
      <c r="W1370">
        <v>0.1783419</v>
      </c>
      <c r="X1370">
        <v>0.94007859999999999</v>
      </c>
      <c r="Y1370">
        <v>0.58021789999999995</v>
      </c>
      <c r="Z1370">
        <v>3.4217329999999997E-2</v>
      </c>
      <c r="AA1370">
        <v>0.81374219999999997</v>
      </c>
      <c r="AB1370">
        <v>13</v>
      </c>
      <c r="AC1370">
        <v>-27.453699999999898</v>
      </c>
      <c r="AD1370">
        <v>-1.1080928364630001</v>
      </c>
      <c r="AE1370">
        <v>-0.38229999999998598</v>
      </c>
      <c r="AF1370">
        <v>15.985235423162599</v>
      </c>
      <c r="AG1370">
        <v>-1.1080928364630001</v>
      </c>
      <c r="AH1370">
        <v>22.2682350629063</v>
      </c>
      <c r="AI1370">
        <v>92.314867832350799</v>
      </c>
      <c r="AJ1370">
        <v>54.327353321054602</v>
      </c>
      <c r="AK1370">
        <v>27.4341012990221</v>
      </c>
      <c r="AL1370">
        <v>79.726805211226306</v>
      </c>
      <c r="AM1370">
        <v>72.822597040387905</v>
      </c>
      <c r="AN1370">
        <v>1.0000000247622201</v>
      </c>
    </row>
    <row r="1371" spans="1:40" x14ac:dyDescent="0.25">
      <c r="A1371" t="str">
        <f>"20190312172641365"</f>
        <v>20190312172641365</v>
      </c>
      <c r="B1371" t="str">
        <f>"1552382801359843"</f>
        <v>1552382801359843</v>
      </c>
      <c r="C1371" t="s">
        <v>40</v>
      </c>
      <c r="D1371">
        <v>3.414482</v>
      </c>
      <c r="E1371">
        <v>0.62815889999999996</v>
      </c>
      <c r="F1371" t="s">
        <v>48</v>
      </c>
      <c r="G1371">
        <v>-228.14340000000001</v>
      </c>
      <c r="H1371" s="1">
        <v>2.7967470000000001E-6</v>
      </c>
      <c r="I1371">
        <v>286.25150000000002</v>
      </c>
      <c r="J1371">
        <v>-201.4906</v>
      </c>
      <c r="K1371">
        <v>1.108107</v>
      </c>
      <c r="L1371">
        <v>286.42579999999998</v>
      </c>
      <c r="M1371">
        <v>-0.80853120000000001</v>
      </c>
      <c r="N1371">
        <v>0</v>
      </c>
      <c r="O1371">
        <v>-0.58827659999999904</v>
      </c>
      <c r="P1371">
        <v>-0.9322336</v>
      </c>
      <c r="Q1371">
        <v>0.16634379999999999</v>
      </c>
      <c r="R1371">
        <v>-0.3213569</v>
      </c>
      <c r="S1371">
        <v>-3.2391200000000002</v>
      </c>
      <c r="T1371">
        <v>-0.134104799999999</v>
      </c>
      <c r="U1371">
        <v>-2.972412E-2</v>
      </c>
      <c r="V1371">
        <v>0.28972530000000002</v>
      </c>
      <c r="W1371">
        <v>0.17813880000000001</v>
      </c>
      <c r="X1371">
        <v>0.94038600000000006</v>
      </c>
      <c r="Y1371">
        <v>0.57994690000000004</v>
      </c>
      <c r="Z1371">
        <v>3.5042280000000002E-2</v>
      </c>
      <c r="AA1371">
        <v>0.81390019999999996</v>
      </c>
      <c r="AB1371">
        <v>13</v>
      </c>
      <c r="AC1371">
        <v>-26.652799999999999</v>
      </c>
      <c r="AD1371">
        <v>-1.108104203253</v>
      </c>
      <c r="AE1371">
        <v>-0.17429999999995899</v>
      </c>
      <c r="AF1371">
        <v>15.513093733651701</v>
      </c>
      <c r="AG1371">
        <v>-1.108104203253</v>
      </c>
      <c r="AH1371">
        <v>21.617044518512301</v>
      </c>
      <c r="AI1371">
        <v>92.384790429681402</v>
      </c>
      <c r="AJ1371">
        <v>54.335549002622599</v>
      </c>
      <c r="AK1371">
        <v>26.630444717084099</v>
      </c>
      <c r="AL1371">
        <v>79.738631153780204</v>
      </c>
      <c r="AM1371">
        <v>72.876359059145202</v>
      </c>
      <c r="AN1371">
        <v>1.00000000526076</v>
      </c>
    </row>
    <row r="1372" spans="1:40" x14ac:dyDescent="0.25">
      <c r="A1372" t="str">
        <f>"20190312172641388"</f>
        <v>20190312172641388</v>
      </c>
      <c r="B1372" t="str">
        <f>"1552382801380339"</f>
        <v>1552382801380339</v>
      </c>
      <c r="C1372" t="s">
        <v>40</v>
      </c>
      <c r="D1372">
        <v>3.3666659999999999</v>
      </c>
      <c r="E1372">
        <v>0.62767139999999999</v>
      </c>
      <c r="F1372" t="s">
        <v>48</v>
      </c>
      <c r="G1372">
        <v>-228.23089999999999</v>
      </c>
      <c r="H1372" s="1">
        <v>2.8432760000000001E-6</v>
      </c>
      <c r="I1372">
        <v>286.34309999999999</v>
      </c>
      <c r="J1372">
        <v>-201.59520000000001</v>
      </c>
      <c r="K1372">
        <v>1.108114</v>
      </c>
      <c r="L1372">
        <v>286.36</v>
      </c>
      <c r="M1372">
        <v>-0.81264579999999997</v>
      </c>
      <c r="N1372">
        <v>0</v>
      </c>
      <c r="O1372">
        <v>-0.58258069999999995</v>
      </c>
      <c r="P1372">
        <v>-0.93425270000000005</v>
      </c>
      <c r="Q1372">
        <v>0.16624829999999999</v>
      </c>
      <c r="R1372">
        <v>-0.31548880000000001</v>
      </c>
      <c r="S1372">
        <v>-3.2386020000000002</v>
      </c>
      <c r="T1372">
        <v>-0.13420589999999999</v>
      </c>
      <c r="U1372">
        <v>-1.0009769999999999E-2</v>
      </c>
      <c r="V1372">
        <v>0.28903050000000002</v>
      </c>
      <c r="W1372">
        <v>0.17800739999999901</v>
      </c>
      <c r="X1372">
        <v>0.94062469999999998</v>
      </c>
      <c r="Y1372">
        <v>0.57918130000000001</v>
      </c>
      <c r="Z1372">
        <v>3.487676E-2</v>
      </c>
      <c r="AA1372">
        <v>0.81445239999999997</v>
      </c>
      <c r="AB1372">
        <v>13</v>
      </c>
      <c r="AC1372">
        <v>-26.6356999999999</v>
      </c>
      <c r="AD1372">
        <v>-1.1081111567240001</v>
      </c>
      <c r="AE1372">
        <v>-1.6900000000020999E-2</v>
      </c>
      <c r="AF1372">
        <v>15.4785225949454</v>
      </c>
      <c r="AG1372">
        <v>-1.1081111567240001</v>
      </c>
      <c r="AH1372">
        <v>21.620052698825599</v>
      </c>
      <c r="AI1372">
        <v>92.386390639823205</v>
      </c>
      <c r="AJ1372">
        <v>54.399850865794697</v>
      </c>
      <c r="AK1372">
        <v>26.612764808600499</v>
      </c>
      <c r="AL1372">
        <v>79.746282517454802</v>
      </c>
      <c r="AM1372">
        <v>72.919113150779395</v>
      </c>
      <c r="AN1372">
        <v>1.0000000453175399</v>
      </c>
    </row>
    <row r="1373" spans="1:40" x14ac:dyDescent="0.25">
      <c r="A1373" t="str">
        <f>"20190312172641411"</f>
        <v>20190312172641411</v>
      </c>
      <c r="B1373" t="str">
        <f>"1552382801399860"</f>
        <v>1552382801399860</v>
      </c>
      <c r="C1373" t="s">
        <v>40</v>
      </c>
      <c r="D1373">
        <v>3.4302419999999998</v>
      </c>
      <c r="E1373">
        <v>0.62717299999999998</v>
      </c>
      <c r="F1373" t="s">
        <v>48</v>
      </c>
      <c r="G1373">
        <v>-228.2319</v>
      </c>
      <c r="H1373" s="1">
        <v>2.8437980000000001E-6</v>
      </c>
      <c r="I1373">
        <v>286.41899999999998</v>
      </c>
      <c r="J1373">
        <v>-201.71250000000001</v>
      </c>
      <c r="K1373">
        <v>1.1081299999999901</v>
      </c>
      <c r="L1373">
        <v>286.28750000000002</v>
      </c>
      <c r="M1373">
        <v>-0.81718429999999997</v>
      </c>
      <c r="N1373">
        <v>0</v>
      </c>
      <c r="O1373">
        <v>-0.57619849999999995</v>
      </c>
      <c r="P1373">
        <v>-0.93648900000000002</v>
      </c>
      <c r="Q1373">
        <v>0.1662332</v>
      </c>
      <c r="R1373">
        <v>-0.30879630000000002</v>
      </c>
      <c r="S1373">
        <v>-3.2375029999999998</v>
      </c>
      <c r="T1373">
        <v>-0.13468350000000001</v>
      </c>
      <c r="U1373">
        <v>7.1716310000000004E-3</v>
      </c>
      <c r="V1373">
        <v>0.28838530000000001</v>
      </c>
      <c r="W1373">
        <v>0.17795999999999901</v>
      </c>
      <c r="X1373">
        <v>0.94083159999999999</v>
      </c>
      <c r="Y1373">
        <v>0.57711889999999999</v>
      </c>
      <c r="Z1373">
        <v>3.4760260000000001E-2</v>
      </c>
      <c r="AA1373">
        <v>0.81592010000000004</v>
      </c>
      <c r="AB1373">
        <v>13</v>
      </c>
      <c r="AC1373">
        <v>-26.519399999999901</v>
      </c>
      <c r="AD1373">
        <v>-1.1081271562020001</v>
      </c>
      <c r="AE1373">
        <v>0.13150000000001599</v>
      </c>
      <c r="AF1373">
        <v>15.362653571905801</v>
      </c>
      <c r="AG1373">
        <v>-1.1081271562020001</v>
      </c>
      <c r="AH1373">
        <v>21.5600387115648</v>
      </c>
      <c r="AI1373">
        <v>92.396885897838203</v>
      </c>
      <c r="AJ1373">
        <v>54.528143134080103</v>
      </c>
      <c r="AK1373">
        <v>26.4966854494836</v>
      </c>
      <c r="AL1373">
        <v>79.749041635257896</v>
      </c>
      <c r="AM1373">
        <v>72.958561410211104</v>
      </c>
      <c r="AN1373">
        <v>0.99999997120732398</v>
      </c>
    </row>
    <row r="1374" spans="1:40" x14ac:dyDescent="0.25">
      <c r="A1374" t="str">
        <f>"20190312172641433"</f>
        <v>20190312172641433</v>
      </c>
      <c r="B1374" t="str">
        <f>"1552382801430115"</f>
        <v>1552382801430115</v>
      </c>
      <c r="C1374" t="s">
        <v>40</v>
      </c>
      <c r="D1374">
        <v>3.4095819999999999</v>
      </c>
      <c r="E1374">
        <v>0.62653340000000002</v>
      </c>
      <c r="F1374" t="s">
        <v>48</v>
      </c>
      <c r="G1374">
        <v>-228.17349999999999</v>
      </c>
      <c r="H1374" s="1">
        <v>2.8127420000000001E-6</v>
      </c>
      <c r="I1374">
        <v>286.50110000000001</v>
      </c>
      <c r="J1374">
        <v>-201.82089999999999</v>
      </c>
      <c r="K1374">
        <v>1.108144</v>
      </c>
      <c r="L1374">
        <v>286.22160000000002</v>
      </c>
      <c r="M1374">
        <v>-0.82131430000000005</v>
      </c>
      <c r="N1374">
        <v>0</v>
      </c>
      <c r="O1374">
        <v>-0.57029750000000001</v>
      </c>
      <c r="P1374">
        <v>-0.93862299999999999</v>
      </c>
      <c r="Q1374">
        <v>0.16617379999999901</v>
      </c>
      <c r="R1374">
        <v>-0.3022804</v>
      </c>
      <c r="S1374">
        <v>-3.236145</v>
      </c>
      <c r="T1374">
        <v>-0.13552239999999999</v>
      </c>
      <c r="U1374">
        <v>2.6123049999999998E-2</v>
      </c>
      <c r="V1374">
        <v>0.28814459999999997</v>
      </c>
      <c r="W1374">
        <v>0.17787220000000001</v>
      </c>
      <c r="X1374">
        <v>0.94092200000000004</v>
      </c>
      <c r="Y1374">
        <v>0.57601059999999904</v>
      </c>
      <c r="Z1374">
        <v>3.4772490000000003E-2</v>
      </c>
      <c r="AA1374">
        <v>0.81670229999999999</v>
      </c>
      <c r="AB1374">
        <v>13</v>
      </c>
      <c r="AC1374">
        <v>-26.352599999999899</v>
      </c>
      <c r="AD1374">
        <v>-1.108141187258</v>
      </c>
      <c r="AE1374">
        <v>0.27949999999998398</v>
      </c>
      <c r="AF1374">
        <v>15.2329999521708</v>
      </c>
      <c r="AG1374">
        <v>-1.108141187258</v>
      </c>
      <c r="AH1374">
        <v>21.4486340762328</v>
      </c>
      <c r="AI1374">
        <v>92.412016919092693</v>
      </c>
      <c r="AJ1374">
        <v>54.617310586031103</v>
      </c>
      <c r="AK1374">
        <v>26.3308975952183</v>
      </c>
      <c r="AL1374">
        <v>79.7541542714863</v>
      </c>
      <c r="AM1374">
        <v>72.973503179275696</v>
      </c>
      <c r="AN1374">
        <v>1.0000000200629999</v>
      </c>
    </row>
    <row r="1375" spans="1:40" x14ac:dyDescent="0.25">
      <c r="A1375" t="str">
        <f>"20190312172641456"</f>
        <v>20190312172641456</v>
      </c>
      <c r="B1375" t="str">
        <f>"1552382801450611"</f>
        <v>1552382801450611</v>
      </c>
      <c r="C1375" t="s">
        <v>40</v>
      </c>
      <c r="D1375">
        <v>3.3690509999999998</v>
      </c>
      <c r="E1375">
        <v>0.61811629999999995</v>
      </c>
      <c r="F1375" t="s">
        <v>48</v>
      </c>
      <c r="G1375">
        <v>-228.1969</v>
      </c>
      <c r="H1375" s="1">
        <v>2.8252000000000001E-6</v>
      </c>
      <c r="I1375">
        <v>286.57429999999999</v>
      </c>
      <c r="J1375">
        <v>-201.9358</v>
      </c>
      <c r="K1375">
        <v>1.1081449999999999</v>
      </c>
      <c r="L1375">
        <v>286.15300000000002</v>
      </c>
      <c r="M1375">
        <v>-0.82562539999999995</v>
      </c>
      <c r="N1375">
        <v>0</v>
      </c>
      <c r="O1375">
        <v>-0.56403930000000002</v>
      </c>
      <c r="P1375">
        <v>-0.94096979999999997</v>
      </c>
      <c r="Q1375">
        <v>0.16543379999999999</v>
      </c>
      <c r="R1375">
        <v>-0.29530970000000001</v>
      </c>
      <c r="S1375">
        <v>-3.234146</v>
      </c>
      <c r="T1375">
        <v>-0.13587669999999999</v>
      </c>
      <c r="U1375">
        <v>4.3243410000000003E-2</v>
      </c>
      <c r="V1375">
        <v>0.28803499999999999</v>
      </c>
      <c r="W1375">
        <v>0.1771064</v>
      </c>
      <c r="X1375">
        <v>0.94110000000000005</v>
      </c>
      <c r="Y1375">
        <v>0.57412730000000001</v>
      </c>
      <c r="Z1375">
        <v>3.4633579999999997E-2</v>
      </c>
      <c r="AA1375">
        <v>0.81803329999999996</v>
      </c>
      <c r="AB1375">
        <v>13</v>
      </c>
      <c r="AC1375">
        <v>-26.261099999999999</v>
      </c>
      <c r="AD1375">
        <v>-1.1081421748</v>
      </c>
      <c r="AE1375">
        <v>0.42129999999997297</v>
      </c>
      <c r="AF1375">
        <v>15.1347207558671</v>
      </c>
      <c r="AG1375">
        <v>-1.1081421748</v>
      </c>
      <c r="AH1375">
        <v>21.408261927684102</v>
      </c>
      <c r="AI1375">
        <v>92.420267226078593</v>
      </c>
      <c r="AJ1375">
        <v>54.741331712236601</v>
      </c>
      <c r="AK1375">
        <v>26.241216248527302</v>
      </c>
      <c r="AL1375">
        <v>79.798739309096305</v>
      </c>
      <c r="AM1375">
        <v>72.982638273976605</v>
      </c>
      <c r="AN1375">
        <v>1.0000000240729701</v>
      </c>
    </row>
    <row r="1376" spans="1:40" x14ac:dyDescent="0.25">
      <c r="A1376" t="str">
        <f>"20190312172641479"</f>
        <v>20190312172641479</v>
      </c>
      <c r="B1376" t="str">
        <f>"1552382801470131"</f>
        <v>1552382801470131</v>
      </c>
      <c r="C1376" t="s">
        <v>40</v>
      </c>
      <c r="D1376">
        <v>3.4521380000000002</v>
      </c>
      <c r="E1376">
        <v>0.61690990000000001</v>
      </c>
      <c r="F1376" t="s">
        <v>48</v>
      </c>
      <c r="G1376">
        <v>-230.56720000000001</v>
      </c>
      <c r="H1376" s="1">
        <v>-1.3035249999999999E-6</v>
      </c>
      <c r="I1376">
        <v>286.18490000000003</v>
      </c>
      <c r="J1376">
        <v>-202.04949999999999</v>
      </c>
      <c r="K1376">
        <v>1.108163</v>
      </c>
      <c r="L1376">
        <v>286.08620000000002</v>
      </c>
      <c r="M1376">
        <v>-0.82982900000000004</v>
      </c>
      <c r="N1376">
        <v>0</v>
      </c>
      <c r="O1376">
        <v>-0.55783719999999903</v>
      </c>
      <c r="P1376">
        <v>-0.94297140000000002</v>
      </c>
      <c r="Q1376">
        <v>0.16531570000000001</v>
      </c>
      <c r="R1376">
        <v>-0.28892210000000002</v>
      </c>
      <c r="S1376">
        <v>-3.211182</v>
      </c>
      <c r="T1376">
        <v>-0.1242851</v>
      </c>
      <c r="U1376">
        <v>3.5705569999999998E-3</v>
      </c>
      <c r="V1376">
        <v>0.28736790000000001</v>
      </c>
      <c r="W1376">
        <v>0.1769712</v>
      </c>
      <c r="X1376">
        <v>0.94132930000000004</v>
      </c>
      <c r="Y1376">
        <v>0.55801909999999999</v>
      </c>
      <c r="Z1376">
        <v>3.1377429999999998E-2</v>
      </c>
      <c r="AA1376">
        <v>0.82923469999999999</v>
      </c>
      <c r="AB1376">
        <v>13</v>
      </c>
      <c r="AC1376">
        <v>-28.517700000000001</v>
      </c>
      <c r="AD1376">
        <v>-1.1081643035249999</v>
      </c>
      <c r="AE1376">
        <v>9.8700000000008004E-2</v>
      </c>
      <c r="AF1376">
        <v>15.9676382264387</v>
      </c>
      <c r="AG1376">
        <v>-1.1081643035249999</v>
      </c>
      <c r="AH1376">
        <v>23.576534519616398</v>
      </c>
      <c r="AI1376">
        <v>92.228670513554903</v>
      </c>
      <c r="AJ1376">
        <v>55.8914619462399</v>
      </c>
      <c r="AK1376">
        <v>28.4964292255837</v>
      </c>
      <c r="AL1376">
        <v>79.806609605170493</v>
      </c>
      <c r="AM1376">
        <v>73.023679542229303</v>
      </c>
      <c r="AN1376">
        <v>0.99999998330916895</v>
      </c>
    </row>
    <row r="1377" spans="1:40" x14ac:dyDescent="0.25">
      <c r="A1377" t="str">
        <f>"20190312172641521"</f>
        <v>20190312172641521</v>
      </c>
      <c r="B1377" t="str">
        <f>"1552382801510147"</f>
        <v>1552382801510147</v>
      </c>
      <c r="C1377" t="s">
        <v>40</v>
      </c>
      <c r="D1377">
        <v>3.4007450000000001</v>
      </c>
      <c r="E1377">
        <v>0.61484780000000006</v>
      </c>
      <c r="F1377" t="s">
        <v>48</v>
      </c>
      <c r="G1377">
        <v>-229.80840000000001</v>
      </c>
      <c r="H1377" s="1">
        <v>3.6827509999999998E-6</v>
      </c>
      <c r="I1377">
        <v>286.2303</v>
      </c>
      <c r="J1377">
        <v>-202.25980000000001</v>
      </c>
      <c r="K1377">
        <v>1.1081719999999999</v>
      </c>
      <c r="L1377">
        <v>285.96550000000002</v>
      </c>
      <c r="M1377">
        <v>-0.83742999999999901</v>
      </c>
      <c r="N1377">
        <v>0</v>
      </c>
      <c r="O1377">
        <v>-0.5463616</v>
      </c>
      <c r="P1377">
        <v>-0.94655250000000002</v>
      </c>
      <c r="Q1377">
        <v>0.16491620000000001</v>
      </c>
      <c r="R1377">
        <v>-0.277202</v>
      </c>
      <c r="S1377">
        <v>-3.2090000000000001</v>
      </c>
      <c r="T1377">
        <v>-0.1281062</v>
      </c>
      <c r="U1377">
        <v>1.6662599999999899E-2</v>
      </c>
      <c r="V1377">
        <v>0.2861088</v>
      </c>
      <c r="W1377">
        <v>0.17655029999999999</v>
      </c>
      <c r="X1377">
        <v>0.94179179999999996</v>
      </c>
      <c r="Y1377">
        <v>0.54992220000000003</v>
      </c>
      <c r="Z1377">
        <v>3.1820130000000002E-2</v>
      </c>
      <c r="AA1377">
        <v>0.834609499999999</v>
      </c>
      <c r="AB1377">
        <v>13</v>
      </c>
      <c r="AC1377">
        <v>-27.5486</v>
      </c>
      <c r="AD1377">
        <v>-1.108168317249</v>
      </c>
      <c r="AE1377">
        <v>0.264799999999979</v>
      </c>
      <c r="AF1377">
        <v>15.2501018601572</v>
      </c>
      <c r="AG1377">
        <v>-1.108168317249</v>
      </c>
      <c r="AH1377">
        <v>22.890603928003799</v>
      </c>
      <c r="AI1377">
        <v>92.307151203342897</v>
      </c>
      <c r="AJ1377">
        <v>56.327785997508997</v>
      </c>
      <c r="AK1377">
        <v>27.5276841007969</v>
      </c>
      <c r="AL1377">
        <v>79.831111625616998</v>
      </c>
      <c r="AM1377">
        <v>73.101638954618494</v>
      </c>
      <c r="AN1377">
        <v>1.0000000242073801</v>
      </c>
    </row>
    <row r="1378" spans="1:40" x14ac:dyDescent="0.25">
      <c r="A1378" t="str">
        <f>"20190312172641544"</f>
        <v>20190312172641544</v>
      </c>
      <c r="B1378" t="str">
        <f>"1552382801540404"</f>
        <v>1552382801540404</v>
      </c>
      <c r="C1378" t="s">
        <v>40</v>
      </c>
      <c r="D1378">
        <v>3.3936860000000002</v>
      </c>
      <c r="E1378">
        <v>0.60821359999999902</v>
      </c>
      <c r="F1378" t="s">
        <v>48</v>
      </c>
      <c r="G1378">
        <v>-229.0761</v>
      </c>
      <c r="H1378" s="1">
        <v>3.2930850000000001E-6</v>
      </c>
      <c r="I1378">
        <v>286.30829999999997</v>
      </c>
      <c r="J1378">
        <v>-202.37100000000001</v>
      </c>
      <c r="K1378">
        <v>1.1081669999999999</v>
      </c>
      <c r="L1378">
        <v>285.90339999999998</v>
      </c>
      <c r="M1378">
        <v>-0.84136089999999997</v>
      </c>
      <c r="N1378">
        <v>0</v>
      </c>
      <c r="O1378">
        <v>-0.54028929999999997</v>
      </c>
      <c r="P1378">
        <v>-0.94830510000000001</v>
      </c>
      <c r="Q1378">
        <v>0.16470969999999999</v>
      </c>
      <c r="R1378">
        <v>-0.27127099999999998</v>
      </c>
      <c r="S1378">
        <v>-3.204453</v>
      </c>
      <c r="T1378">
        <v>-0.13242209999999999</v>
      </c>
      <c r="U1378">
        <v>4.0954589999999999E-2</v>
      </c>
      <c r="V1378">
        <v>0.2852015</v>
      </c>
      <c r="W1378">
        <v>0.176339</v>
      </c>
      <c r="X1378">
        <v>0.94210649999999996</v>
      </c>
      <c r="Y1378">
        <v>0.55015979999999998</v>
      </c>
      <c r="Z1378">
        <v>3.2739030000000002E-2</v>
      </c>
      <c r="AA1378">
        <v>0.83441739999999998</v>
      </c>
      <c r="AB1378">
        <v>12</v>
      </c>
      <c r="AC1378">
        <v>-26.705100000000002</v>
      </c>
      <c r="AD1378">
        <v>-1.1081637069150001</v>
      </c>
      <c r="AE1378">
        <v>0.40489999999999698</v>
      </c>
      <c r="AF1378">
        <v>14.745234184651601</v>
      </c>
      <c r="AG1378">
        <v>-1.1081637069150001</v>
      </c>
      <c r="AH1378">
        <v>22.2138392237425</v>
      </c>
      <c r="AI1378">
        <v>92.380014257974395</v>
      </c>
      <c r="AJ1378">
        <v>56.424352182783501</v>
      </c>
      <c r="AK1378">
        <v>26.685288288115299</v>
      </c>
      <c r="AL1378">
        <v>79.843410927201703</v>
      </c>
      <c r="AM1378">
        <v>73.157495283181404</v>
      </c>
      <c r="AN1378">
        <v>0.99999999793274896</v>
      </c>
    </row>
    <row r="1379" spans="1:40" x14ac:dyDescent="0.25">
      <c r="A1379" t="str">
        <f>"20190312172641566"</f>
        <v>20190312172641566</v>
      </c>
      <c r="B1379" t="str">
        <f>"1552382801559924"</f>
        <v>1552382801559924</v>
      </c>
      <c r="C1379" t="s">
        <v>40</v>
      </c>
      <c r="D1379">
        <v>3.4008069999999999</v>
      </c>
      <c r="E1379">
        <v>0.6080392</v>
      </c>
      <c r="F1379" t="s">
        <v>48</v>
      </c>
      <c r="G1379">
        <v>-227.84379999999999</v>
      </c>
      <c r="H1379" s="1">
        <v>2.63731E-6</v>
      </c>
      <c r="I1379">
        <v>285.983</v>
      </c>
      <c r="J1379">
        <v>-202.4846</v>
      </c>
      <c r="K1379">
        <v>1.108171</v>
      </c>
      <c r="L1379">
        <v>285.8408</v>
      </c>
      <c r="M1379">
        <v>-0.84532009999999902</v>
      </c>
      <c r="N1379">
        <v>0</v>
      </c>
      <c r="O1379">
        <v>-0.53407450000000001</v>
      </c>
      <c r="P1379">
        <v>-0.95010810000000001</v>
      </c>
      <c r="Q1379">
        <v>0.1641466</v>
      </c>
      <c r="R1379">
        <v>-0.26523799999999997</v>
      </c>
      <c r="S1379">
        <v>-3.1904750000000002</v>
      </c>
      <c r="T1379">
        <v>-0.13879759999999999</v>
      </c>
      <c r="U1379">
        <v>9.9792479999999996E-3</v>
      </c>
      <c r="V1379">
        <v>0.28428799999999999</v>
      </c>
      <c r="W1379">
        <v>0.1757744</v>
      </c>
      <c r="X1379">
        <v>0.94248799999999999</v>
      </c>
      <c r="Y1379">
        <v>0.53579909999999997</v>
      </c>
      <c r="Z1379">
        <v>3.3906159999999998E-2</v>
      </c>
      <c r="AA1379">
        <v>0.84366439999999998</v>
      </c>
      <c r="AB1379">
        <v>12</v>
      </c>
      <c r="AC1379">
        <v>-25.359199999999898</v>
      </c>
      <c r="AD1379">
        <v>-1.1081683626899901</v>
      </c>
      <c r="AE1379">
        <v>0.14220000000000199</v>
      </c>
      <c r="AF1379">
        <v>13.639217435725399</v>
      </c>
      <c r="AG1379">
        <v>-1.1081683626899901</v>
      </c>
      <c r="AH1379">
        <v>21.322099709869399</v>
      </c>
      <c r="AI1379">
        <v>92.506901393154706</v>
      </c>
      <c r="AJ1379">
        <v>57.393962799736897</v>
      </c>
      <c r="AK1379">
        <v>25.335513127163601</v>
      </c>
      <c r="AL1379">
        <v>79.876273134144398</v>
      </c>
      <c r="AM1379">
        <v>73.214815595228202</v>
      </c>
      <c r="AN1379">
        <v>0.99999996839167904</v>
      </c>
    </row>
    <row r="1380" spans="1:40" x14ac:dyDescent="0.25">
      <c r="A1380" t="str">
        <f>"20190312172641588"</f>
        <v>20190312172641588</v>
      </c>
      <c r="B1380" t="str">
        <f>"1552382801580419"</f>
        <v>1552382801580419</v>
      </c>
      <c r="C1380" t="s">
        <v>40</v>
      </c>
      <c r="D1380">
        <v>3.3842859999999999</v>
      </c>
      <c r="E1380">
        <v>0.60735509999999904</v>
      </c>
      <c r="F1380" t="s">
        <v>48</v>
      </c>
      <c r="G1380">
        <v>-227.4248</v>
      </c>
      <c r="H1380" s="1">
        <v>2.4143360000000001E-6</v>
      </c>
      <c r="I1380">
        <v>286.06560000000002</v>
      </c>
      <c r="J1380">
        <v>-202.59110000000001</v>
      </c>
      <c r="K1380">
        <v>1.108176</v>
      </c>
      <c r="L1380">
        <v>285.78320000000002</v>
      </c>
      <c r="M1380">
        <v>-0.84897350000000005</v>
      </c>
      <c r="N1380">
        <v>0</v>
      </c>
      <c r="O1380">
        <v>-0.52824819999999995</v>
      </c>
      <c r="P1380">
        <v>-0.9515747</v>
      </c>
      <c r="Q1380">
        <v>0.16396469999999999</v>
      </c>
      <c r="R1380">
        <v>-0.26004139999999998</v>
      </c>
      <c r="S1380">
        <v>-3.1900330000000001</v>
      </c>
      <c r="T1380">
        <v>-0.1417427</v>
      </c>
      <c r="U1380">
        <v>2.8747559999999998E-2</v>
      </c>
      <c r="V1380">
        <v>0.28296349999999998</v>
      </c>
      <c r="W1380">
        <v>0.1755969</v>
      </c>
      <c r="X1380">
        <v>0.94291959999999997</v>
      </c>
      <c r="Y1380">
        <v>0.53492249999999997</v>
      </c>
      <c r="Z1380">
        <v>3.4395740000000001E-2</v>
      </c>
      <c r="AA1380">
        <v>0.84420069999999903</v>
      </c>
      <c r="AB1380">
        <v>12</v>
      </c>
      <c r="AC1380">
        <v>-24.8337</v>
      </c>
      <c r="AD1380">
        <v>-1.108173585664</v>
      </c>
      <c r="AE1380">
        <v>0.28239999999999499</v>
      </c>
      <c r="AF1380">
        <v>13.332882896270901</v>
      </c>
      <c r="AG1380">
        <v>-1.108173585664</v>
      </c>
      <c r="AH1380">
        <v>20.8944456143849</v>
      </c>
      <c r="AI1380">
        <v>92.559974386939402</v>
      </c>
      <c r="AJ1380">
        <v>57.457785286479997</v>
      </c>
      <c r="AK1380">
        <v>24.810716889161501</v>
      </c>
      <c r="AL1380">
        <v>79.886604065377199</v>
      </c>
      <c r="AM1380">
        <v>73.295871339134905</v>
      </c>
      <c r="AN1380">
        <v>0.999999992843009</v>
      </c>
    </row>
    <row r="1381" spans="1:40" x14ac:dyDescent="0.25">
      <c r="A1381" t="str">
        <f>"20190312172641611"</f>
        <v>20190312172641611</v>
      </c>
      <c r="B1381" t="str">
        <f>"1552382801599940"</f>
        <v>1552382801599940</v>
      </c>
      <c r="C1381" t="s">
        <v>40</v>
      </c>
      <c r="D1381">
        <v>3.308011</v>
      </c>
      <c r="E1381">
        <v>0.60640559999999999</v>
      </c>
      <c r="F1381" t="s">
        <v>48</v>
      </c>
      <c r="G1381">
        <v>-227.702</v>
      </c>
      <c r="H1381" s="1">
        <v>2.5618460000000002E-6</v>
      </c>
      <c r="I1381">
        <v>286.10770000000002</v>
      </c>
      <c r="J1381">
        <v>-202.708</v>
      </c>
      <c r="K1381">
        <v>1.10819</v>
      </c>
      <c r="L1381">
        <v>285.72120000000001</v>
      </c>
      <c r="M1381">
        <v>-0.85292429999999997</v>
      </c>
      <c r="N1381">
        <v>0</v>
      </c>
      <c r="O1381">
        <v>-0.52184560000000002</v>
      </c>
      <c r="P1381">
        <v>-0.95323009999999997</v>
      </c>
      <c r="Q1381">
        <v>0.1638579</v>
      </c>
      <c r="R1381">
        <v>-0.25397500000000001</v>
      </c>
      <c r="S1381">
        <v>-3.1881710000000001</v>
      </c>
      <c r="T1381">
        <v>-0.14069760000000001</v>
      </c>
      <c r="U1381">
        <v>4.1198730000000003E-2</v>
      </c>
      <c r="V1381">
        <v>0.2818756</v>
      </c>
      <c r="W1381">
        <v>0.17548989999999901</v>
      </c>
      <c r="X1381">
        <v>0.94326529999999997</v>
      </c>
      <c r="Y1381">
        <v>0.53188869999999999</v>
      </c>
      <c r="Z1381">
        <v>3.3855839999999998E-2</v>
      </c>
      <c r="AA1381">
        <v>0.84613729999999998</v>
      </c>
      <c r="AB1381">
        <v>12</v>
      </c>
      <c r="AC1381">
        <v>-24.994</v>
      </c>
      <c r="AD1381">
        <v>-1.108187438154</v>
      </c>
      <c r="AE1381">
        <v>0.386500000000012</v>
      </c>
      <c r="AF1381">
        <v>13.347749956686201</v>
      </c>
      <c r="AG1381">
        <v>-1.108187438154</v>
      </c>
      <c r="AH1381">
        <v>21.076955487513999</v>
      </c>
      <c r="AI1381">
        <v>92.543404872212804</v>
      </c>
      <c r="AJ1381">
        <v>57.654474446183301</v>
      </c>
      <c r="AK1381">
        <v>24.9725561552466</v>
      </c>
      <c r="AL1381">
        <v>79.8928314108244</v>
      </c>
      <c r="AM1381">
        <v>73.362297137257499</v>
      </c>
      <c r="AN1381">
        <v>0.99999999253072902</v>
      </c>
    </row>
    <row r="1382" spans="1:40" x14ac:dyDescent="0.25">
      <c r="A1382" t="str">
        <f>"20190312172641634"</f>
        <v>20190312172641634</v>
      </c>
      <c r="B1382" t="str">
        <f>"1552382801630195"</f>
        <v>1552382801630195</v>
      </c>
      <c r="C1382" t="s">
        <v>40</v>
      </c>
      <c r="D1382">
        <v>3.2663929999999999</v>
      </c>
      <c r="E1382">
        <v>0.60577879999999995</v>
      </c>
      <c r="F1382" t="s">
        <v>48</v>
      </c>
      <c r="G1382">
        <v>-228.06450000000001</v>
      </c>
      <c r="H1382" s="1">
        <v>2.7547410000000001E-6</v>
      </c>
      <c r="I1382">
        <v>286.15260000000001</v>
      </c>
      <c r="J1382">
        <v>-202.822</v>
      </c>
      <c r="K1382">
        <v>1.108193</v>
      </c>
      <c r="L1382">
        <v>285.6617</v>
      </c>
      <c r="M1382">
        <v>-0.85671769999999903</v>
      </c>
      <c r="N1382">
        <v>0</v>
      </c>
      <c r="O1382">
        <v>-0.51559469999999996</v>
      </c>
      <c r="P1382">
        <v>-0.95480129999999996</v>
      </c>
      <c r="Q1382">
        <v>0.1639417</v>
      </c>
      <c r="R1382">
        <v>-0.24794720000000001</v>
      </c>
      <c r="S1382">
        <v>-3.1855929999999999</v>
      </c>
      <c r="T1382">
        <v>-0.13922409999999999</v>
      </c>
      <c r="U1382">
        <v>5.4199219999999999E-2</v>
      </c>
      <c r="V1382">
        <v>0.2809236</v>
      </c>
      <c r="W1382">
        <v>0.1755669</v>
      </c>
      <c r="X1382">
        <v>0.94353500000000001</v>
      </c>
      <c r="Y1382">
        <v>0.52918509999999996</v>
      </c>
      <c r="Z1382">
        <v>3.3236719999999997E-2</v>
      </c>
      <c r="AA1382">
        <v>0.84785519999999903</v>
      </c>
      <c r="AB1382">
        <v>12</v>
      </c>
      <c r="AC1382">
        <v>-25.2425</v>
      </c>
      <c r="AD1382">
        <v>-1.108190245259</v>
      </c>
      <c r="AE1382">
        <v>0.49090000000001</v>
      </c>
      <c r="AF1382">
        <v>13.410946754188</v>
      </c>
      <c r="AG1382">
        <v>-1.108190245259</v>
      </c>
      <c r="AH1382">
        <v>21.333593344976801</v>
      </c>
      <c r="AI1382">
        <v>92.518132932763393</v>
      </c>
      <c r="AJ1382">
        <v>57.845280246491598</v>
      </c>
      <c r="AK1382">
        <v>25.2230803723929</v>
      </c>
      <c r="AL1382">
        <v>79.888350655545807</v>
      </c>
      <c r="AM1382">
        <v>73.419877906340204</v>
      </c>
      <c r="AN1382">
        <v>1.0000000508187801</v>
      </c>
    </row>
    <row r="1383" spans="1:40" x14ac:dyDescent="0.25">
      <c r="A1383" t="str">
        <f>"20190312172641654"</f>
        <v>20190312172641654</v>
      </c>
      <c r="B1383" t="str">
        <f>"1552382801650691"</f>
        <v>1552382801650691</v>
      </c>
      <c r="C1383" t="s">
        <v>40</v>
      </c>
      <c r="D1383">
        <v>3.25468</v>
      </c>
      <c r="E1383">
        <v>0.60545559999999998</v>
      </c>
      <c r="F1383" t="s">
        <v>48</v>
      </c>
      <c r="G1383">
        <v>-228.47790000000001</v>
      </c>
      <c r="H1383" s="1">
        <v>2.9747340000000002E-6</v>
      </c>
      <c r="I1383">
        <v>286.22550000000001</v>
      </c>
      <c r="J1383">
        <v>-202.92500000000001</v>
      </c>
      <c r="K1383">
        <v>1.1081920000000001</v>
      </c>
      <c r="L1383">
        <v>285.60879999999997</v>
      </c>
      <c r="M1383">
        <v>-0.86009419999999903</v>
      </c>
      <c r="N1383">
        <v>0</v>
      </c>
      <c r="O1383">
        <v>-0.50994319999999904</v>
      </c>
      <c r="P1383">
        <v>-0.9563218</v>
      </c>
      <c r="Q1383">
        <v>0.16400719999999999</v>
      </c>
      <c r="R1383">
        <v>-0.2419721</v>
      </c>
      <c r="S1383">
        <v>-3.1838229999999998</v>
      </c>
      <c r="T1383">
        <v>-0.13752329999999999</v>
      </c>
      <c r="U1383">
        <v>6.997681E-2</v>
      </c>
      <c r="V1383">
        <v>0.28060200000000002</v>
      </c>
      <c r="W1383">
        <v>0.17561189999999999</v>
      </c>
      <c r="X1383">
        <v>0.94362219999999997</v>
      </c>
      <c r="Y1383">
        <v>0.527837</v>
      </c>
      <c r="Z1383">
        <v>3.2612009999999997E-2</v>
      </c>
      <c r="AA1383">
        <v>0.84871939999999901</v>
      </c>
      <c r="AB1383">
        <v>12</v>
      </c>
      <c r="AC1383">
        <v>-25.552899999999902</v>
      </c>
      <c r="AD1383">
        <v>-1.108189025266</v>
      </c>
      <c r="AE1383">
        <v>0.616700000000037</v>
      </c>
      <c r="AF1383">
        <v>13.536830653182401</v>
      </c>
      <c r="AG1383">
        <v>-1.108189025266</v>
      </c>
      <c r="AH1383">
        <v>21.624892494420202</v>
      </c>
      <c r="AI1383">
        <v>92.487210301535995</v>
      </c>
      <c r="AJ1383">
        <v>57.954104001195397</v>
      </c>
      <c r="AK1383">
        <v>25.536441460075999</v>
      </c>
      <c r="AL1383">
        <v>79.885730513429806</v>
      </c>
      <c r="AM1383">
        <v>73.439265073633194</v>
      </c>
      <c r="AN1383">
        <v>0.99999993907922302</v>
      </c>
    </row>
    <row r="1384" spans="1:40" x14ac:dyDescent="0.25">
      <c r="A1384" t="str">
        <f>"20190312172641679"</f>
        <v>20190312172641679</v>
      </c>
      <c r="B1384" t="str">
        <f>"1552382801670211"</f>
        <v>1552382801670211</v>
      </c>
      <c r="C1384" t="s">
        <v>40</v>
      </c>
      <c r="D1384">
        <v>3.2378960000000001</v>
      </c>
      <c r="E1384">
        <v>0.60520240000000003</v>
      </c>
      <c r="F1384" t="s">
        <v>48</v>
      </c>
      <c r="G1384">
        <v>-228.6482</v>
      </c>
      <c r="H1384" s="1">
        <v>3.0653399999999999E-6</v>
      </c>
      <c r="I1384">
        <v>286.3116</v>
      </c>
      <c r="J1384">
        <v>-203.05179999999999</v>
      </c>
      <c r="K1384">
        <v>1.1081780000000001</v>
      </c>
      <c r="L1384">
        <v>285.54500000000002</v>
      </c>
      <c r="M1384">
        <v>-0.8641915</v>
      </c>
      <c r="N1384">
        <v>0</v>
      </c>
      <c r="O1384">
        <v>-0.50296989999999997</v>
      </c>
      <c r="P1384">
        <v>-0.95805269999999998</v>
      </c>
      <c r="Q1384">
        <v>0.1642004</v>
      </c>
      <c r="R1384">
        <v>-0.23489019999999999</v>
      </c>
      <c r="S1384">
        <v>-3.1825559999999999</v>
      </c>
      <c r="T1384">
        <v>-0.1371087</v>
      </c>
      <c r="U1384">
        <v>8.6944579999999994E-2</v>
      </c>
      <c r="V1384">
        <v>0.2799314</v>
      </c>
      <c r="W1384">
        <v>0.17575940000000001</v>
      </c>
      <c r="X1384">
        <v>0.94379400000000002</v>
      </c>
      <c r="Y1384">
        <v>0.5255109</v>
      </c>
      <c r="Z1384">
        <v>3.2217559999999999E-2</v>
      </c>
      <c r="AA1384">
        <v>0.85017659999999995</v>
      </c>
      <c r="AB1384">
        <v>12</v>
      </c>
      <c r="AC1384">
        <v>-25.596399999999999</v>
      </c>
      <c r="AD1384">
        <v>-1.1081749346600001</v>
      </c>
      <c r="AE1384">
        <v>0.76659999999998196</v>
      </c>
      <c r="AF1384">
        <v>13.512718103236599</v>
      </c>
      <c r="AG1384">
        <v>-1.1081749346600001</v>
      </c>
      <c r="AH1384">
        <v>21.6960963484537</v>
      </c>
      <c r="AI1384">
        <v>92.482550130289496</v>
      </c>
      <c r="AJ1384">
        <v>58.084608897880102</v>
      </c>
      <c r="AK1384">
        <v>25.584022337872</v>
      </c>
      <c r="AL1384">
        <v>79.8771468428329</v>
      </c>
      <c r="AM1384">
        <v>73.479526208916297</v>
      </c>
      <c r="AN1384">
        <v>1.0000000349151501</v>
      </c>
    </row>
    <row r="1385" spans="1:40" x14ac:dyDescent="0.25">
      <c r="A1385" t="str">
        <f>"20190312172641703"</f>
        <v>20190312172641703</v>
      </c>
      <c r="B1385" t="str">
        <f>"1552382801690708"</f>
        <v>1552382801690708</v>
      </c>
      <c r="C1385" t="s">
        <v>40</v>
      </c>
      <c r="D1385">
        <v>3.2005859999999999</v>
      </c>
      <c r="E1385">
        <v>0.59994969999999903</v>
      </c>
      <c r="F1385" t="s">
        <v>48</v>
      </c>
      <c r="G1385">
        <v>-229.09950000000001</v>
      </c>
      <c r="H1385" s="1">
        <v>3.3054869999999998E-6</v>
      </c>
      <c r="I1385">
        <v>286.43430000000001</v>
      </c>
      <c r="J1385">
        <v>-203.16579999999999</v>
      </c>
      <c r="K1385">
        <v>1.1081620000000001</v>
      </c>
      <c r="L1385">
        <v>285.48860000000002</v>
      </c>
      <c r="M1385">
        <v>-0.86781679999999894</v>
      </c>
      <c r="N1385">
        <v>0</v>
      </c>
      <c r="O1385">
        <v>-0.49669069999999998</v>
      </c>
      <c r="P1385">
        <v>-0.95960060000000003</v>
      </c>
      <c r="Q1385">
        <v>0.1640731</v>
      </c>
      <c r="R1385">
        <v>-0.22857559999999999</v>
      </c>
      <c r="S1385">
        <v>-3.1811829999999999</v>
      </c>
      <c r="T1385">
        <v>-0.13534060000000001</v>
      </c>
      <c r="U1385">
        <v>0.1086121</v>
      </c>
      <c r="V1385">
        <v>0.27931159999999999</v>
      </c>
      <c r="W1385">
        <v>0.17556449999999901</v>
      </c>
      <c r="X1385">
        <v>0.94401380000000001</v>
      </c>
      <c r="Y1385">
        <v>0.52516839999999998</v>
      </c>
      <c r="Z1385">
        <v>3.1578380000000003E-2</v>
      </c>
      <c r="AA1385">
        <v>0.85041219999999995</v>
      </c>
      <c r="AB1385">
        <v>12</v>
      </c>
      <c r="AC1385">
        <v>-25.933700000000002</v>
      </c>
      <c r="AD1385">
        <v>-1.108158694513</v>
      </c>
      <c r="AE1385">
        <v>0.945699999999987</v>
      </c>
      <c r="AF1385">
        <v>13.678098352779999</v>
      </c>
      <c r="AG1385">
        <v>-1.108158694513</v>
      </c>
      <c r="AH1385">
        <v>21.9979871735698</v>
      </c>
      <c r="AI1385">
        <v>92.449616033277294</v>
      </c>
      <c r="AJ1385">
        <v>58.1271208464319</v>
      </c>
      <c r="AK1385">
        <v>25.9273953556675</v>
      </c>
      <c r="AL1385">
        <v>79.888489397504799</v>
      </c>
      <c r="AM1385">
        <v>73.517746880624998</v>
      </c>
      <c r="AN1385">
        <v>0.99999995907262396</v>
      </c>
    </row>
    <row r="1386" spans="1:40" x14ac:dyDescent="0.25">
      <c r="A1386" t="str">
        <f>"20190312172641722"</f>
        <v>20190312172641722</v>
      </c>
      <c r="B1386" t="str">
        <f>"1552382801719987"</f>
        <v>1552382801719987</v>
      </c>
      <c r="C1386" t="s">
        <v>40</v>
      </c>
      <c r="D1386">
        <v>3.1850830000000001</v>
      </c>
      <c r="E1386">
        <v>0.59862380000000004</v>
      </c>
      <c r="F1386" t="s">
        <v>48</v>
      </c>
      <c r="G1386">
        <v>-230.7894</v>
      </c>
      <c r="H1386" s="1">
        <v>-1.1886440000000001E-6</v>
      </c>
      <c r="I1386">
        <v>286.26240000000001</v>
      </c>
      <c r="J1386">
        <v>-203.2689</v>
      </c>
      <c r="K1386">
        <v>1.1081369999999999</v>
      </c>
      <c r="L1386">
        <v>285.43849999999998</v>
      </c>
      <c r="M1386">
        <v>-0.87104689999999996</v>
      </c>
      <c r="N1386">
        <v>0</v>
      </c>
      <c r="O1386">
        <v>-0.49100700000000003</v>
      </c>
      <c r="P1386">
        <v>-0.96082749999999995</v>
      </c>
      <c r="Q1386">
        <v>0.1643703</v>
      </c>
      <c r="R1386">
        <v>-0.2231447</v>
      </c>
      <c r="S1386">
        <v>-3.1691739999999999</v>
      </c>
      <c r="T1386">
        <v>-0.1271361</v>
      </c>
      <c r="U1386">
        <v>8.8775629999999994E-2</v>
      </c>
      <c r="V1386">
        <v>0.27845320000000001</v>
      </c>
      <c r="W1386">
        <v>0.17578559999999999</v>
      </c>
      <c r="X1386">
        <v>0.94422629999999996</v>
      </c>
      <c r="Y1386">
        <v>0.51446990000000004</v>
      </c>
      <c r="Z1386">
        <v>2.9356320000000002E-2</v>
      </c>
      <c r="AA1386">
        <v>0.85700580000000004</v>
      </c>
      <c r="AB1386">
        <v>12</v>
      </c>
      <c r="AC1386">
        <v>-27.520499999999998</v>
      </c>
      <c r="AD1386">
        <v>-1.108138188644</v>
      </c>
      <c r="AE1386">
        <v>0.82390000000003705</v>
      </c>
      <c r="AF1386">
        <v>14.208745030167</v>
      </c>
      <c r="AG1386">
        <v>-1.108138188644</v>
      </c>
      <c r="AH1386">
        <v>23.531219907030099</v>
      </c>
      <c r="AI1386">
        <v>92.308519475260098</v>
      </c>
      <c r="AJ1386">
        <v>58.875359974953703</v>
      </c>
      <c r="AK1386">
        <v>27.510629143849801</v>
      </c>
      <c r="AL1386">
        <v>79.875621939568205</v>
      </c>
      <c r="AM1386">
        <v>73.569163557795704</v>
      </c>
      <c r="AN1386">
        <v>1.00000003368464</v>
      </c>
    </row>
    <row r="1387" spans="1:40" x14ac:dyDescent="0.25">
      <c r="A1387" t="str">
        <f>"20190312172641767"</f>
        <v>20190312172641767</v>
      </c>
      <c r="B1387" t="str">
        <f>"1552382801760004"</f>
        <v>1552382801760004</v>
      </c>
      <c r="C1387" t="s">
        <v>40</v>
      </c>
      <c r="D1387">
        <v>3.301164</v>
      </c>
      <c r="E1387">
        <v>0.59857439999999995</v>
      </c>
      <c r="F1387" t="s">
        <v>48</v>
      </c>
      <c r="G1387">
        <v>-232.25399999999999</v>
      </c>
      <c r="H1387" s="1">
        <v>-4.1182489999999998E-7</v>
      </c>
      <c r="I1387">
        <v>286.3202</v>
      </c>
      <c r="J1387">
        <v>-203.49709999999999</v>
      </c>
      <c r="K1387">
        <v>1.108087</v>
      </c>
      <c r="L1387">
        <v>285.3306</v>
      </c>
      <c r="M1387">
        <v>-0.87803999999999904</v>
      </c>
      <c r="N1387">
        <v>0</v>
      </c>
      <c r="O1387">
        <v>-0.47839599999999999</v>
      </c>
      <c r="P1387">
        <v>-0.96357289999999995</v>
      </c>
      <c r="Q1387">
        <v>0.16365289999999999</v>
      </c>
      <c r="R1387">
        <v>-0.2115303</v>
      </c>
      <c r="S1387">
        <v>-3.1653899999999999</v>
      </c>
      <c r="T1387">
        <v>-0.121016899999999</v>
      </c>
      <c r="U1387">
        <v>9.6282960000000001E-2</v>
      </c>
      <c r="V1387">
        <v>0.27628019999999998</v>
      </c>
      <c r="W1387">
        <v>0.1748566</v>
      </c>
      <c r="X1387">
        <v>0.94503680000000001</v>
      </c>
      <c r="Y1387">
        <v>0.50421930000000004</v>
      </c>
      <c r="Z1387">
        <v>2.735305E-2</v>
      </c>
      <c r="AA1387">
        <v>0.86314239999999998</v>
      </c>
      <c r="AB1387">
        <v>12</v>
      </c>
      <c r="AC1387">
        <v>-28.756900000000002</v>
      </c>
      <c r="AD1387">
        <v>-1.1080874118249</v>
      </c>
      <c r="AE1387">
        <v>0.98959999999999504</v>
      </c>
      <c r="AF1387">
        <v>14.605772177954</v>
      </c>
      <c r="AG1387">
        <v>-1.1080874118249</v>
      </c>
      <c r="AH1387">
        <v>24.7418625309056</v>
      </c>
      <c r="AI1387">
        <v>92.208645385212094</v>
      </c>
      <c r="AJ1387">
        <v>59.445528984831597</v>
      </c>
      <c r="AK1387">
        <v>28.752672921395899</v>
      </c>
      <c r="AL1387">
        <v>79.929687451087702</v>
      </c>
      <c r="AM1387">
        <v>73.703792417054899</v>
      </c>
      <c r="AN1387">
        <v>1.00000006641491</v>
      </c>
    </row>
    <row r="1388" spans="1:40" x14ac:dyDescent="0.25">
      <c r="A1388" t="str">
        <f>"20190312172641790"</f>
        <v>20190312172641790</v>
      </c>
      <c r="B1388" t="str">
        <f>"1552382801780501"</f>
        <v>1552382801780501</v>
      </c>
      <c r="C1388" t="s">
        <v>40</v>
      </c>
      <c r="D1388">
        <v>3.235957</v>
      </c>
      <c r="E1388">
        <v>0.59143210000000002</v>
      </c>
      <c r="F1388" t="s">
        <v>48</v>
      </c>
      <c r="G1388">
        <v>-231.5171</v>
      </c>
      <c r="H1388" s="1">
        <v>-8.1272749999999998E-7</v>
      </c>
      <c r="I1388">
        <v>286.52080000000001</v>
      </c>
      <c r="J1388">
        <v>-203.6097</v>
      </c>
      <c r="K1388">
        <v>1.108058</v>
      </c>
      <c r="L1388">
        <v>285.27890000000002</v>
      </c>
      <c r="M1388">
        <v>-0.88141190000000003</v>
      </c>
      <c r="N1388">
        <v>0</v>
      </c>
      <c r="O1388">
        <v>-0.4721593</v>
      </c>
      <c r="P1388">
        <v>-0.96474729999999997</v>
      </c>
      <c r="Q1388">
        <v>0.16344220000000001</v>
      </c>
      <c r="R1388">
        <v>-0.20627590000000001</v>
      </c>
      <c r="S1388">
        <v>-3.1641539999999999</v>
      </c>
      <c r="T1388">
        <v>-0.12513079999999999</v>
      </c>
      <c r="U1388">
        <v>0.1343994</v>
      </c>
      <c r="V1388">
        <v>0.27474100000000001</v>
      </c>
      <c r="W1388">
        <v>0.17451710000000001</v>
      </c>
      <c r="X1388">
        <v>0.9455481</v>
      </c>
      <c r="Y1388">
        <v>0.50843850000000002</v>
      </c>
      <c r="Z1388">
        <v>2.816213E-2</v>
      </c>
      <c r="AA1388">
        <v>0.86063769999999995</v>
      </c>
      <c r="AB1388">
        <v>12</v>
      </c>
      <c r="AC1388">
        <v>-27.907399999999999</v>
      </c>
      <c r="AD1388">
        <v>-1.1080588127275</v>
      </c>
      <c r="AE1388">
        <v>1.24189999999998</v>
      </c>
      <c r="AF1388">
        <v>14.2502182032846</v>
      </c>
      <c r="AG1388">
        <v>-1.1080588127275</v>
      </c>
      <c r="AH1388">
        <v>23.975962254143401</v>
      </c>
      <c r="AI1388">
        <v>92.275049803007093</v>
      </c>
      <c r="AJ1388">
        <v>59.274681670597097</v>
      </c>
      <c r="AK1388">
        <v>27.913138110678201</v>
      </c>
      <c r="AL1388">
        <v>79.949442681941093</v>
      </c>
      <c r="AM1388">
        <v>73.798106697777897</v>
      </c>
      <c r="AN1388">
        <v>1.0000000223434999</v>
      </c>
    </row>
    <row r="1389" spans="1:40" x14ac:dyDescent="0.25">
      <c r="A1389" t="str">
        <f>"20190312172641811"</f>
        <v>20190312172641811</v>
      </c>
      <c r="B1389" t="str">
        <f>"1552382801800020"</f>
        <v>1552382801800020</v>
      </c>
      <c r="C1389" t="s">
        <v>40</v>
      </c>
      <c r="D1389">
        <v>3.2096740000000001</v>
      </c>
      <c r="E1389">
        <v>0.59143210000000002</v>
      </c>
      <c r="F1389" t="s">
        <v>48</v>
      </c>
      <c r="G1389">
        <v>-231.2004</v>
      </c>
      <c r="H1389" s="1">
        <v>-9.636801E-7</v>
      </c>
      <c r="I1389">
        <v>286.11880000000002</v>
      </c>
      <c r="J1389">
        <v>-203.72210000000001</v>
      </c>
      <c r="K1389">
        <v>1.1080179999999999</v>
      </c>
      <c r="L1389">
        <v>285.22809999999998</v>
      </c>
      <c r="M1389">
        <v>-0.88472280000000003</v>
      </c>
      <c r="N1389">
        <v>0</v>
      </c>
      <c r="O1389">
        <v>-0.46593020000000002</v>
      </c>
      <c r="P1389">
        <v>-0.96583540000000001</v>
      </c>
      <c r="Q1389">
        <v>0.162829</v>
      </c>
      <c r="R1389">
        <v>-0.20161570000000001</v>
      </c>
      <c r="S1389">
        <v>-3.1515659999999999</v>
      </c>
      <c r="T1389">
        <v>-0.12656880000000001</v>
      </c>
      <c r="U1389">
        <v>9.5947270000000001E-2</v>
      </c>
      <c r="V1389">
        <v>0.27267449999999999</v>
      </c>
      <c r="W1389">
        <v>0.17376629999999901</v>
      </c>
      <c r="X1389">
        <v>0.94628420000000002</v>
      </c>
      <c r="Y1389">
        <v>0.49192839999999999</v>
      </c>
      <c r="Z1389">
        <v>2.8035009999999999E-2</v>
      </c>
      <c r="AA1389">
        <v>0.87018419999999896</v>
      </c>
      <c r="AB1389">
        <v>12</v>
      </c>
      <c r="AC1389">
        <v>-27.478299999999901</v>
      </c>
      <c r="AD1389">
        <v>-1.1080189636801001</v>
      </c>
      <c r="AE1389">
        <v>0.89070000000003802</v>
      </c>
      <c r="AF1389">
        <v>13.5701375838026</v>
      </c>
      <c r="AG1389">
        <v>-1.1080189636801001</v>
      </c>
      <c r="AH1389">
        <v>23.859007538922398</v>
      </c>
      <c r="AI1389">
        <v>92.3116444153533</v>
      </c>
      <c r="AJ1389">
        <v>60.370352175319503</v>
      </c>
      <c r="AK1389">
        <v>27.470503832466601</v>
      </c>
      <c r="AL1389">
        <v>79.993127090245906</v>
      </c>
      <c r="AM1389">
        <v>73.925512286366896</v>
      </c>
      <c r="AN1389">
        <v>0.99999994856778796</v>
      </c>
    </row>
    <row r="1390" spans="1:40" x14ac:dyDescent="0.25">
      <c r="A1390" t="str">
        <f>"20190312172641944"</f>
        <v>20190312172641944</v>
      </c>
      <c r="B1390" t="str">
        <f>"1552382801940564"</f>
        <v>1552382801940564</v>
      </c>
      <c r="C1390" t="s">
        <v>40</v>
      </c>
      <c r="D1390">
        <v>3.2248230000000002</v>
      </c>
      <c r="E1390">
        <v>0.54397669999999998</v>
      </c>
      <c r="F1390" t="s">
        <v>48</v>
      </c>
      <c r="G1390">
        <v>-230.99610000000001</v>
      </c>
      <c r="H1390" s="1">
        <v>-1.0757219999999999E-6</v>
      </c>
      <c r="I1390">
        <v>286.1952</v>
      </c>
      <c r="J1390">
        <v>-204.4136</v>
      </c>
      <c r="K1390">
        <v>1.1078269999999999</v>
      </c>
      <c r="L1390">
        <v>284.9366</v>
      </c>
      <c r="M1390">
        <v>-0.90392550000000005</v>
      </c>
      <c r="N1390">
        <v>0</v>
      </c>
      <c r="O1390">
        <v>-0.42751719999999999</v>
      </c>
      <c r="P1390">
        <v>-0.97115989999999996</v>
      </c>
      <c r="Q1390">
        <v>0.16255459999999999</v>
      </c>
      <c r="R1390">
        <v>-0.17442589999999999</v>
      </c>
      <c r="S1390">
        <v>-3.1510310000000001</v>
      </c>
      <c r="T1390">
        <v>-0.12801209999999999</v>
      </c>
      <c r="U1390">
        <v>0.1117249</v>
      </c>
      <c r="V1390">
        <v>0.25856839999999998</v>
      </c>
      <c r="W1390">
        <v>0.1725894</v>
      </c>
      <c r="X1390">
        <v>0.95045009999999996</v>
      </c>
      <c r="Y1390">
        <v>0.45859759999999999</v>
      </c>
      <c r="Z1390">
        <v>2.6260499999999999E-2</v>
      </c>
      <c r="AA1390">
        <v>0.88825599999999905</v>
      </c>
      <c r="AB1390">
        <v>12</v>
      </c>
      <c r="AC1390">
        <v>-26.5825</v>
      </c>
      <c r="AD1390">
        <v>-1.107828075722</v>
      </c>
      <c r="AE1390">
        <v>1.2585999999999999</v>
      </c>
      <c r="AF1390">
        <v>12.4814507435414</v>
      </c>
      <c r="AG1390">
        <v>-1.107828075722</v>
      </c>
      <c r="AH1390">
        <v>23.451621844259101</v>
      </c>
      <c r="AI1390">
        <v>92.387884618061904</v>
      </c>
      <c r="AJ1390">
        <v>61.977144586493303</v>
      </c>
      <c r="AK1390">
        <v>26.5893298681057</v>
      </c>
      <c r="AL1390">
        <v>80.061594055630593</v>
      </c>
      <c r="AM1390">
        <v>74.781092863603504</v>
      </c>
      <c r="AN1390">
        <v>1.00000005553046</v>
      </c>
    </row>
    <row r="1391" spans="1:40" x14ac:dyDescent="0.25">
      <c r="A1391" t="str">
        <f>"20190312172641967"</f>
        <v>20190312172641967</v>
      </c>
      <c r="B1391" t="str">
        <f>"1552382801960084"</f>
        <v>1552382801960084</v>
      </c>
      <c r="C1391" t="s">
        <v>40</v>
      </c>
      <c r="D1391">
        <v>3.2883469999999999</v>
      </c>
      <c r="E1391">
        <v>0.54337769999999996</v>
      </c>
      <c r="F1391" t="s">
        <v>48</v>
      </c>
      <c r="G1391">
        <v>-212.7516</v>
      </c>
      <c r="H1391" s="1">
        <v>-7.2551759999999897E-8</v>
      </c>
      <c r="I1391">
        <v>284.48739999999998</v>
      </c>
      <c r="J1391">
        <v>-204.53450000000001</v>
      </c>
      <c r="K1391">
        <v>1.107785</v>
      </c>
      <c r="L1391">
        <v>284.88909999999998</v>
      </c>
      <c r="M1391">
        <v>-0.90708040000000001</v>
      </c>
      <c r="N1391">
        <v>0</v>
      </c>
      <c r="O1391">
        <v>-0.42078710000000003</v>
      </c>
      <c r="P1391">
        <v>-0.97212140000000002</v>
      </c>
      <c r="Q1391">
        <v>0.1618532</v>
      </c>
      <c r="R1391">
        <v>-0.1696579</v>
      </c>
      <c r="S1391">
        <v>-3.128403</v>
      </c>
      <c r="T1391">
        <v>-0.41565540000000001</v>
      </c>
      <c r="U1391">
        <v>-0.1685181</v>
      </c>
      <c r="V1391">
        <v>0.25621149999999998</v>
      </c>
      <c r="W1391">
        <v>0.1717312</v>
      </c>
      <c r="X1391">
        <v>0.95124339999999996</v>
      </c>
      <c r="Y1391">
        <v>0.36474879999999998</v>
      </c>
      <c r="Z1391">
        <v>7.8220200000000004E-2</v>
      </c>
      <c r="AA1391">
        <v>0.92781460000000004</v>
      </c>
      <c r="AB1391">
        <v>12</v>
      </c>
      <c r="AC1391">
        <v>-8.2170999999999808</v>
      </c>
      <c r="AD1391">
        <v>-1.10778507255176</v>
      </c>
      <c r="AE1391">
        <v>-0.401700000000005</v>
      </c>
      <c r="AF1391">
        <v>3.0384059396260401</v>
      </c>
      <c r="AG1391">
        <v>-1.10778507255176</v>
      </c>
      <c r="AH1391">
        <v>7.4873883247378599</v>
      </c>
      <c r="AI1391">
        <v>97.806317590984193</v>
      </c>
      <c r="AJ1391">
        <v>67.912529708870593</v>
      </c>
      <c r="AK1391">
        <v>8.1559844498591403</v>
      </c>
      <c r="AL1391">
        <v>80.111509763885294</v>
      </c>
      <c r="AM1391">
        <v>74.9254742051276</v>
      </c>
      <c r="AN1391">
        <v>0.99999997191462398</v>
      </c>
    </row>
    <row r="1392" spans="1:40" x14ac:dyDescent="0.25">
      <c r="A1392" t="str">
        <f>"20190312172641994"</f>
        <v>20190312172641994</v>
      </c>
      <c r="B1392" t="str">
        <f>"1552382801990340"</f>
        <v>1552382801990340</v>
      </c>
      <c r="C1392" t="s">
        <v>40</v>
      </c>
      <c r="D1392">
        <v>3.463517</v>
      </c>
      <c r="E1392">
        <v>0.53775589999999995</v>
      </c>
      <c r="F1392" t="s">
        <v>48</v>
      </c>
      <c r="G1392">
        <v>-214.12610000000001</v>
      </c>
      <c r="H1392" s="1">
        <v>6.5889979999999997E-7</v>
      </c>
      <c r="I1392">
        <v>284.3997</v>
      </c>
      <c r="J1392">
        <v>-204.67070000000001</v>
      </c>
      <c r="K1392">
        <v>1.1077539999999999</v>
      </c>
      <c r="L1392">
        <v>284.83690000000001</v>
      </c>
      <c r="M1392">
        <v>-0.91055640000000004</v>
      </c>
      <c r="N1392">
        <v>0</v>
      </c>
      <c r="O1392">
        <v>-0.4132169</v>
      </c>
      <c r="P1392">
        <v>-0.97315680000000004</v>
      </c>
      <c r="Q1392">
        <v>0.16143089999999999</v>
      </c>
      <c r="R1392">
        <v>-0.16403000000000001</v>
      </c>
      <c r="S1392">
        <v>-3.1182099999999999</v>
      </c>
      <c r="T1392">
        <v>-0.36013790000000001</v>
      </c>
      <c r="U1392">
        <v>-0.15908810000000001</v>
      </c>
      <c r="V1392">
        <v>0.25381429999999999</v>
      </c>
      <c r="W1392">
        <v>0.17113510000000001</v>
      </c>
      <c r="X1392">
        <v>0.95199319999999998</v>
      </c>
      <c r="Y1392">
        <v>0.36132989999999998</v>
      </c>
      <c r="Z1392">
        <v>6.7083279999999995E-2</v>
      </c>
      <c r="AA1392">
        <v>0.93002180000000001</v>
      </c>
      <c r="AB1392">
        <v>12</v>
      </c>
      <c r="AC1392">
        <v>-9.4553999999999903</v>
      </c>
      <c r="AD1392">
        <v>-1.1077533411002001</v>
      </c>
      <c r="AE1392">
        <v>-0.43720000000001802</v>
      </c>
      <c r="AF1392">
        <v>3.4618651755563299</v>
      </c>
      <c r="AG1392">
        <v>-1.1077533411002001</v>
      </c>
      <c r="AH1392">
        <v>8.6721682825706594</v>
      </c>
      <c r="AI1392">
        <v>96.765575620945</v>
      </c>
      <c r="AJ1392">
        <v>68.238482755523705</v>
      </c>
      <c r="AK1392">
        <v>9.4030915490424096</v>
      </c>
      <c r="AL1392">
        <v>80.146177152946194</v>
      </c>
      <c r="AM1392">
        <v>75.071423420012707</v>
      </c>
      <c r="AN1392">
        <v>0.99999998709136895</v>
      </c>
    </row>
    <row r="1393" spans="1:40" x14ac:dyDescent="0.25">
      <c r="A1393" t="str">
        <f>"20190312172642012"</f>
        <v>20190312172642012</v>
      </c>
      <c r="B1393" t="str">
        <f>"1552382802009859"</f>
        <v>1552382802009859</v>
      </c>
      <c r="C1393" t="s">
        <v>40</v>
      </c>
      <c r="D1393">
        <v>3.2786</v>
      </c>
      <c r="E1393">
        <v>0.53960869999999905</v>
      </c>
      <c r="F1393" t="s">
        <v>48</v>
      </c>
      <c r="G1393">
        <v>-246.6309</v>
      </c>
      <c r="H1393" s="1">
        <v>1.9918219999999999E-6</v>
      </c>
      <c r="I1393">
        <v>282.25310000000002</v>
      </c>
      <c r="J1393">
        <v>-204.77289999999999</v>
      </c>
      <c r="K1393">
        <v>1.1077440000000001</v>
      </c>
      <c r="L1393">
        <v>284.79849999999999</v>
      </c>
      <c r="M1393">
        <v>-0.91310599999999997</v>
      </c>
      <c r="N1393">
        <v>0</v>
      </c>
      <c r="O1393">
        <v>-0.40755649999999999</v>
      </c>
      <c r="P1393">
        <v>-0.97368330000000003</v>
      </c>
      <c r="Q1393">
        <v>0.16188949999999999</v>
      </c>
      <c r="R1393">
        <v>-0.1604151</v>
      </c>
      <c r="S1393">
        <v>-3.064362</v>
      </c>
      <c r="T1393">
        <v>-8.0899479999999996E-2</v>
      </c>
      <c r="U1393">
        <v>-0.1886902</v>
      </c>
      <c r="V1393">
        <v>0.25140410000000002</v>
      </c>
      <c r="W1393">
        <v>0.17147570000000001</v>
      </c>
      <c r="X1393">
        <v>0.95257130000000001</v>
      </c>
      <c r="Y1393">
        <v>0.35043590000000002</v>
      </c>
      <c r="Z1393">
        <v>1.5091459999999999E-2</v>
      </c>
      <c r="AA1393">
        <v>0.93646510000000005</v>
      </c>
      <c r="AB1393">
        <v>12</v>
      </c>
      <c r="AC1393">
        <v>-41.857999999999997</v>
      </c>
      <c r="AD1393">
        <v>-1.1077420081780001</v>
      </c>
      <c r="AE1393">
        <v>-2.5453999999999701</v>
      </c>
      <c r="AF1393">
        <v>14.7260001906374</v>
      </c>
      <c r="AG1393">
        <v>-1.1077420081780001</v>
      </c>
      <c r="AH1393">
        <v>39.233461804414397</v>
      </c>
      <c r="AI1393">
        <v>91.514199463271694</v>
      </c>
      <c r="AJ1393">
        <v>69.426733657757396</v>
      </c>
      <c r="AK1393">
        <v>41.920719210550097</v>
      </c>
      <c r="AL1393">
        <v>80.126369633896203</v>
      </c>
      <c r="AM1393">
        <v>75.215524120632196</v>
      </c>
      <c r="AN1393">
        <v>1.0000000093854899</v>
      </c>
    </row>
    <row r="1394" spans="1:40" x14ac:dyDescent="0.25">
      <c r="A1394" t="str">
        <f>"20190312172642035"</f>
        <v>20190312172642035</v>
      </c>
      <c r="B1394" t="str">
        <f>"1552382802030356"</f>
        <v>1552382802030356</v>
      </c>
      <c r="C1394" t="s">
        <v>40</v>
      </c>
      <c r="D1394">
        <v>3.2491189999999999</v>
      </c>
      <c r="E1394">
        <v>0.54044230000000004</v>
      </c>
      <c r="F1394" t="s">
        <v>48</v>
      </c>
      <c r="G1394">
        <v>-246.11949999999999</v>
      </c>
      <c r="H1394" s="1">
        <v>1.7196870000000001E-6</v>
      </c>
      <c r="I1394">
        <v>282.60879999999997</v>
      </c>
      <c r="J1394">
        <v>-204.8948</v>
      </c>
      <c r="K1394">
        <v>1.1077379999999999</v>
      </c>
      <c r="L1394">
        <v>284.75360000000001</v>
      </c>
      <c r="M1394">
        <v>-0.91608049999999996</v>
      </c>
      <c r="N1394">
        <v>0</v>
      </c>
      <c r="O1394">
        <v>-0.40083039999999998</v>
      </c>
      <c r="P1394">
        <v>-0.97447280000000003</v>
      </c>
      <c r="Q1394">
        <v>0.16233139999999999</v>
      </c>
      <c r="R1394">
        <v>-0.15508549999999999</v>
      </c>
      <c r="S1394">
        <v>-3.0679630000000002</v>
      </c>
      <c r="T1394">
        <v>-8.2195760000000007E-2</v>
      </c>
      <c r="U1394">
        <v>-0.1624756</v>
      </c>
      <c r="V1394">
        <v>0.24957460000000001</v>
      </c>
      <c r="W1394">
        <v>0.17178060000000001</v>
      </c>
      <c r="X1394">
        <v>0.95299730000000005</v>
      </c>
      <c r="Y1394">
        <v>0.35158450000000002</v>
      </c>
      <c r="Z1394">
        <v>1.5172710000000001E-2</v>
      </c>
      <c r="AA1394">
        <v>0.93603320000000001</v>
      </c>
      <c r="AB1394">
        <v>12</v>
      </c>
      <c r="AC1394">
        <v>-41.224699999999899</v>
      </c>
      <c r="AD1394">
        <v>-1.107736280313</v>
      </c>
      <c r="AE1394">
        <v>-2.1448000000000298</v>
      </c>
      <c r="AF1394">
        <v>14.5497838794046</v>
      </c>
      <c r="AG1394">
        <v>-1.107736280313</v>
      </c>
      <c r="AH1394">
        <v>38.599589831000799</v>
      </c>
      <c r="AI1394">
        <v>91.538235326145397</v>
      </c>
      <c r="AJ1394">
        <v>69.346496252856795</v>
      </c>
      <c r="AK1394">
        <v>41.265622807920899</v>
      </c>
      <c r="AL1394">
        <v>80.108636484151901</v>
      </c>
      <c r="AM1394">
        <v>75.324728231343698</v>
      </c>
      <c r="AN1394">
        <v>0.99999995465440406</v>
      </c>
    </row>
    <row r="1395" spans="1:40" x14ac:dyDescent="0.25">
      <c r="A1395" t="str">
        <f>"20190312172642057"</f>
        <v>20190312172642057</v>
      </c>
      <c r="B1395" t="str">
        <f>"1552382802049876"</f>
        <v>1552382802049876</v>
      </c>
      <c r="C1395" t="s">
        <v>40</v>
      </c>
      <c r="D1395">
        <v>3.2555049999999999</v>
      </c>
      <c r="E1395">
        <v>0.54094699999999996</v>
      </c>
      <c r="F1395" t="s">
        <v>48</v>
      </c>
      <c r="G1395">
        <v>-243.3074</v>
      </c>
      <c r="H1395" s="1">
        <v>2.232306E-7</v>
      </c>
      <c r="I1395">
        <v>283.01310000000001</v>
      </c>
      <c r="J1395">
        <v>-205.0196</v>
      </c>
      <c r="K1395">
        <v>1.107739</v>
      </c>
      <c r="L1395">
        <v>284.70870000000002</v>
      </c>
      <c r="M1395">
        <v>-0.91904819999999998</v>
      </c>
      <c r="N1395">
        <v>0</v>
      </c>
      <c r="O1395">
        <v>-0.39398359999999999</v>
      </c>
      <c r="P1395">
        <v>-0.97527269999999999</v>
      </c>
      <c r="Q1395">
        <v>0.16300490000000001</v>
      </c>
      <c r="R1395">
        <v>-0.14924200000000001</v>
      </c>
      <c r="S1395">
        <v>-3.0711979999999999</v>
      </c>
      <c r="T1395">
        <v>-8.8566900000000004E-2</v>
      </c>
      <c r="U1395">
        <v>-0.13916020000000001</v>
      </c>
      <c r="V1395">
        <v>0.2481236</v>
      </c>
      <c r="W1395">
        <v>0.1723179</v>
      </c>
      <c r="X1395">
        <v>0.95327919999999999</v>
      </c>
      <c r="Y1395">
        <v>0.35170040000000002</v>
      </c>
      <c r="Z1395">
        <v>1.61572E-2</v>
      </c>
      <c r="AA1395">
        <v>0.93597319999999995</v>
      </c>
      <c r="AB1395">
        <v>13</v>
      </c>
      <c r="AC1395">
        <v>-38.287799999999997</v>
      </c>
      <c r="AD1395">
        <v>-1.1077387767694</v>
      </c>
      <c r="AE1395">
        <v>-1.69560000000001</v>
      </c>
      <c r="AF1395">
        <v>13.5159969026488</v>
      </c>
      <c r="AG1395">
        <v>-1.1077387767694</v>
      </c>
      <c r="AH1395">
        <v>35.828723358383598</v>
      </c>
      <c r="AI1395">
        <v>91.656973986417896</v>
      </c>
      <c r="AJ1395">
        <v>69.331561208814605</v>
      </c>
      <c r="AK1395">
        <v>38.309354927504998</v>
      </c>
      <c r="AL1395">
        <v>80.077385973632104</v>
      </c>
      <c r="AM1395">
        <v>75.410527615650594</v>
      </c>
      <c r="AN1395">
        <v>1.0000000063450001</v>
      </c>
    </row>
    <row r="1396" spans="1:40" x14ac:dyDescent="0.25">
      <c r="A1396" t="str">
        <f>"20190312172642081"</f>
        <v>20190312172642081</v>
      </c>
      <c r="B1396" t="str">
        <f>"1552382802070372"</f>
        <v>1552382802070372</v>
      </c>
      <c r="C1396" t="s">
        <v>40</v>
      </c>
      <c r="D1396">
        <v>3.2812459999999999</v>
      </c>
      <c r="E1396">
        <v>0.54035100000000003</v>
      </c>
      <c r="F1396" t="s">
        <v>48</v>
      </c>
      <c r="G1396">
        <v>-241.35939999999999</v>
      </c>
      <c r="H1396" s="1">
        <v>-8.1336959999999901E-7</v>
      </c>
      <c r="I1396">
        <v>283.32470000000001</v>
      </c>
      <c r="J1396">
        <v>-205.1437</v>
      </c>
      <c r="K1396">
        <v>1.1077520000000001</v>
      </c>
      <c r="L1396">
        <v>284.66489999999999</v>
      </c>
      <c r="M1396">
        <v>-0.92191259999999997</v>
      </c>
      <c r="N1396">
        <v>0</v>
      </c>
      <c r="O1396">
        <v>-0.38723849999999999</v>
      </c>
      <c r="P1396">
        <v>-0.97590049999999995</v>
      </c>
      <c r="Q1396">
        <v>0.16388829999999999</v>
      </c>
      <c r="R1396">
        <v>-0.1440813</v>
      </c>
      <c r="S1396">
        <v>-3.0737920000000001</v>
      </c>
      <c r="T1396">
        <v>-9.3697909999999995E-2</v>
      </c>
      <c r="U1396">
        <v>-0.1170654</v>
      </c>
      <c r="V1396">
        <v>0.2461122</v>
      </c>
      <c r="W1396">
        <v>0.173067</v>
      </c>
      <c r="X1396">
        <v>0.95366479999999998</v>
      </c>
      <c r="Y1396">
        <v>0.35155989999999998</v>
      </c>
      <c r="Z1396">
        <v>1.689177E-2</v>
      </c>
      <c r="AA1396">
        <v>0.93601299999999998</v>
      </c>
      <c r="AB1396">
        <v>13</v>
      </c>
      <c r="AC1396">
        <v>-36.215699999999998</v>
      </c>
      <c r="AD1396">
        <v>-1.1077528133696</v>
      </c>
      <c r="AE1396">
        <v>-1.3401999999999801</v>
      </c>
      <c r="AF1396">
        <v>12.777417607270699</v>
      </c>
      <c r="AG1396">
        <v>-1.1077528133696</v>
      </c>
      <c r="AH1396">
        <v>33.877128929736102</v>
      </c>
      <c r="AI1396">
        <v>91.752433590061003</v>
      </c>
      <c r="AJ1396">
        <v>69.335057660398206</v>
      </c>
      <c r="AK1396">
        <v>36.223602547622001</v>
      </c>
      <c r="AL1396">
        <v>80.033810721097396</v>
      </c>
      <c r="AM1396">
        <v>75.529415537174799</v>
      </c>
      <c r="AN1396">
        <v>0.99999997611843905</v>
      </c>
    </row>
    <row r="1397" spans="1:40" x14ac:dyDescent="0.25">
      <c r="A1397" t="str">
        <f>"20190312172642104"</f>
        <v>20190312172642104</v>
      </c>
      <c r="B1397" t="str">
        <f>"1552382802100628"</f>
        <v>1552382802100628</v>
      </c>
      <c r="C1397" t="s">
        <v>40</v>
      </c>
      <c r="D1397">
        <v>3.3103120000000001</v>
      </c>
      <c r="E1397">
        <v>0.53952199999999995</v>
      </c>
      <c r="F1397" t="s">
        <v>48</v>
      </c>
      <c r="G1397">
        <v>-239.8372</v>
      </c>
      <c r="H1397" s="1">
        <v>3.7481499999999999E-6</v>
      </c>
      <c r="I1397">
        <v>283.47050000000002</v>
      </c>
      <c r="J1397">
        <v>-205.27090000000001</v>
      </c>
      <c r="K1397">
        <v>1.107772</v>
      </c>
      <c r="L1397">
        <v>284.62099999999998</v>
      </c>
      <c r="M1397">
        <v>-0.9247573</v>
      </c>
      <c r="N1397">
        <v>0</v>
      </c>
      <c r="O1397">
        <v>-0.38040000000000002</v>
      </c>
      <c r="P1397">
        <v>-0.97653809999999996</v>
      </c>
      <c r="Q1397">
        <v>0.16395860000000001</v>
      </c>
      <c r="R1397">
        <v>-0.13960919999999999</v>
      </c>
      <c r="S1397">
        <v>-3.0749360000000001</v>
      </c>
      <c r="T1397">
        <v>-9.8181370000000004E-2</v>
      </c>
      <c r="U1397">
        <v>-0.1058655</v>
      </c>
      <c r="V1397">
        <v>0.24339069999999999</v>
      </c>
      <c r="W1397">
        <v>0.1730013</v>
      </c>
      <c r="X1397">
        <v>0.95437490000000003</v>
      </c>
      <c r="Y1397">
        <v>0.3480145</v>
      </c>
      <c r="Z1397">
        <v>1.7436030000000002E-2</v>
      </c>
      <c r="AA1397">
        <v>0.93732700000000002</v>
      </c>
      <c r="AB1397">
        <v>13</v>
      </c>
      <c r="AC1397">
        <v>-34.566299999999899</v>
      </c>
      <c r="AD1397">
        <v>-1.1077682518500001</v>
      </c>
      <c r="AE1397">
        <v>-1.1504999999999601</v>
      </c>
      <c r="AF1397">
        <v>12.073424761594101</v>
      </c>
      <c r="AG1397">
        <v>-1.1077682518500001</v>
      </c>
      <c r="AH1397">
        <v>32.371818471649902</v>
      </c>
      <c r="AI1397">
        <v>91.836431745402194</v>
      </c>
      <c r="AJ1397">
        <v>69.546447850653607</v>
      </c>
      <c r="AK1397">
        <v>34.567750391588099</v>
      </c>
      <c r="AL1397">
        <v>80.037632605555302</v>
      </c>
      <c r="AM1397">
        <v>75.693033260831001</v>
      </c>
      <c r="AN1397">
        <v>0.99999996619909404</v>
      </c>
    </row>
    <row r="1398" spans="1:40" x14ac:dyDescent="0.25">
      <c r="A1398" t="str">
        <f>"20190312172642131"</f>
        <v>20190312172642131</v>
      </c>
      <c r="B1398" t="str">
        <f>"1552382802120148"</f>
        <v>1552382802120148</v>
      </c>
      <c r="C1398" t="s">
        <v>40</v>
      </c>
      <c r="D1398">
        <v>3.3227699999999998</v>
      </c>
      <c r="E1398">
        <v>0.53902950000000005</v>
      </c>
      <c r="F1398" t="s">
        <v>48</v>
      </c>
      <c r="G1398">
        <v>-237.16229999999999</v>
      </c>
      <c r="H1398" s="1">
        <v>2.3188799999999998E-6</v>
      </c>
      <c r="I1398">
        <v>283.60379999999998</v>
      </c>
      <c r="J1398">
        <v>-205.41909999999999</v>
      </c>
      <c r="K1398">
        <v>1.107799</v>
      </c>
      <c r="L1398">
        <v>284.57100000000003</v>
      </c>
      <c r="M1398">
        <v>-0.9279385</v>
      </c>
      <c r="N1398">
        <v>0</v>
      </c>
      <c r="O1398">
        <v>-0.37257960000000001</v>
      </c>
      <c r="P1398">
        <v>-0.97724619999999995</v>
      </c>
      <c r="Q1398">
        <v>0.16478319999999999</v>
      </c>
      <c r="R1398">
        <v>-0.13355410000000001</v>
      </c>
      <c r="S1398">
        <v>-3.0760040000000002</v>
      </c>
      <c r="T1398">
        <v>-0.1068472</v>
      </c>
      <c r="U1398">
        <v>-9.8114010000000001E-2</v>
      </c>
      <c r="V1398">
        <v>0.24117089999999999</v>
      </c>
      <c r="W1398">
        <v>0.1736588</v>
      </c>
      <c r="X1398">
        <v>0.95481899999999997</v>
      </c>
      <c r="Y1398">
        <v>0.34240569999999998</v>
      </c>
      <c r="Z1398">
        <v>1.861817E-2</v>
      </c>
      <c r="AA1398">
        <v>0.93936770000000003</v>
      </c>
      <c r="AB1398">
        <v>13</v>
      </c>
      <c r="AC1398">
        <v>-31.743200000000002</v>
      </c>
      <c r="AD1398">
        <v>-1.10779668112</v>
      </c>
      <c r="AE1398">
        <v>-0.96719999999999096</v>
      </c>
      <c r="AF1398">
        <v>10.9167095039817</v>
      </c>
      <c r="AG1398">
        <v>-1.10779668112</v>
      </c>
      <c r="AH1398">
        <v>29.781566802963301</v>
      </c>
      <c r="AI1398">
        <v>92.000240067304105</v>
      </c>
      <c r="AJ1398">
        <v>69.869120692602905</v>
      </c>
      <c r="AK1398">
        <v>31.7386748482099</v>
      </c>
      <c r="AL1398">
        <v>79.999382524028405</v>
      </c>
      <c r="AM1398">
        <v>75.824560318321502</v>
      </c>
      <c r="AN1398">
        <v>1.00000005229262</v>
      </c>
    </row>
    <row r="1399" spans="1:40" x14ac:dyDescent="0.25">
      <c r="A1399" t="str">
        <f>"20190312172642168"</f>
        <v>20190312172642168</v>
      </c>
      <c r="B1399" t="str">
        <f>"1552382802160164"</f>
        <v>1552382802160164</v>
      </c>
      <c r="C1399" t="s">
        <v>40</v>
      </c>
      <c r="D1399">
        <v>3.354816</v>
      </c>
      <c r="E1399">
        <v>0.53779540000000003</v>
      </c>
      <c r="F1399" t="s">
        <v>48</v>
      </c>
      <c r="G1399">
        <v>-236.65459999999999</v>
      </c>
      <c r="H1399" s="1">
        <v>2.04344E-6</v>
      </c>
      <c r="I1399">
        <v>283.72489999999999</v>
      </c>
      <c r="J1399">
        <v>-205.63040000000001</v>
      </c>
      <c r="K1399">
        <v>1.1078429999999999</v>
      </c>
      <c r="L1399">
        <v>284.5016</v>
      </c>
      <c r="M1399">
        <v>-0.93222709999999998</v>
      </c>
      <c r="N1399">
        <v>0</v>
      </c>
      <c r="O1399">
        <v>-0.36172490000000002</v>
      </c>
      <c r="P1399">
        <v>-0.9784505</v>
      </c>
      <c r="Q1399">
        <v>0.16404589999999999</v>
      </c>
      <c r="R1399">
        <v>-0.12539429999999999</v>
      </c>
      <c r="S1399">
        <v>-3.076889</v>
      </c>
      <c r="T1399">
        <v>-0.1091245</v>
      </c>
      <c r="U1399">
        <v>-8.3343509999999996E-2</v>
      </c>
      <c r="V1399">
        <v>0.23798459999999999</v>
      </c>
      <c r="W1399">
        <v>0.1727003</v>
      </c>
      <c r="X1399">
        <v>0.95579179999999997</v>
      </c>
      <c r="Y1399">
        <v>0.33593919999999999</v>
      </c>
      <c r="Z1399">
        <v>1.8537000000000001E-2</v>
      </c>
      <c r="AA1399">
        <v>0.94170120000000002</v>
      </c>
      <c r="AB1399">
        <v>13</v>
      </c>
      <c r="AC1399">
        <v>-31.024199999999901</v>
      </c>
      <c r="AD1399">
        <v>-1.10784095656</v>
      </c>
      <c r="AE1399">
        <v>-0.77670000000000505</v>
      </c>
      <c r="AF1399">
        <v>10.485368578979701</v>
      </c>
      <c r="AG1399">
        <v>-1.10784095656</v>
      </c>
      <c r="AH1399">
        <v>29.166956563194201</v>
      </c>
      <c r="AI1399">
        <v>92.047065011823193</v>
      </c>
      <c r="AJ1399">
        <v>70.226753726406301</v>
      </c>
      <c r="AK1399">
        <v>31.014216433457499</v>
      </c>
      <c r="AL1399">
        <v>80.055142672021901</v>
      </c>
      <c r="AM1399">
        <v>76.018121279167701</v>
      </c>
      <c r="AN1399">
        <v>1.0000000142022401</v>
      </c>
    </row>
    <row r="1400" spans="1:40" x14ac:dyDescent="0.25">
      <c r="A1400" t="str">
        <f>"20190312172642191"</f>
        <v>20190312172642191</v>
      </c>
      <c r="B1400" t="str">
        <f>"1552382802180660"</f>
        <v>1552382802180660</v>
      </c>
      <c r="C1400" t="s">
        <v>40</v>
      </c>
      <c r="D1400">
        <v>3.3459430000000001</v>
      </c>
      <c r="E1400">
        <v>0.53724830000000001</v>
      </c>
      <c r="F1400" t="s">
        <v>48</v>
      </c>
      <c r="G1400">
        <v>-234.55350000000001</v>
      </c>
      <c r="H1400" s="1">
        <v>9.1954270000000004E-7</v>
      </c>
      <c r="I1400">
        <v>283.85669999999999</v>
      </c>
      <c r="J1400">
        <v>-205.75649999999999</v>
      </c>
      <c r="K1400">
        <v>1.1078669999999999</v>
      </c>
      <c r="L1400">
        <v>284.46120000000002</v>
      </c>
      <c r="M1400">
        <v>-0.93465379999999998</v>
      </c>
      <c r="N1400">
        <v>0</v>
      </c>
      <c r="O1400">
        <v>-0.35541230000000001</v>
      </c>
      <c r="P1400">
        <v>-0.97928789999999999</v>
      </c>
      <c r="Q1400">
        <v>0.16259589999999999</v>
      </c>
      <c r="R1400">
        <v>-0.12065430000000001</v>
      </c>
      <c r="S1400">
        <v>-3.077026</v>
      </c>
      <c r="T1400">
        <v>-0.1178594</v>
      </c>
      <c r="U1400">
        <v>-6.8603520000000001E-2</v>
      </c>
      <c r="V1400">
        <v>0.236202</v>
      </c>
      <c r="W1400">
        <v>0.17112430000000001</v>
      </c>
      <c r="X1400">
        <v>0.95651719999999896</v>
      </c>
      <c r="Y1400">
        <v>0.3340127</v>
      </c>
      <c r="Z1400">
        <v>1.9757960000000001E-2</v>
      </c>
      <c r="AA1400">
        <v>0.94236149999999996</v>
      </c>
      <c r="AB1400">
        <v>13</v>
      </c>
      <c r="AC1400">
        <v>-28.797000000000001</v>
      </c>
      <c r="AD1400">
        <v>-1.1078660804573</v>
      </c>
      <c r="AE1400">
        <v>-0.60450000000003001</v>
      </c>
      <c r="AF1400">
        <v>9.6560292137597994</v>
      </c>
      <c r="AG1400">
        <v>-1.1078660804573</v>
      </c>
      <c r="AH1400">
        <v>27.091408807653199</v>
      </c>
      <c r="AI1400">
        <v>92.205943314196702</v>
      </c>
      <c r="AJ1400">
        <v>70.382710791130606</v>
      </c>
      <c r="AK1400">
        <v>28.782124636874901</v>
      </c>
      <c r="AL1400">
        <v>80.146805662824093</v>
      </c>
      <c r="AM1400">
        <v>76.128906990158498</v>
      </c>
      <c r="AN1400">
        <v>1.0000000323751601</v>
      </c>
    </row>
    <row r="1401" spans="1:40" x14ac:dyDescent="0.25">
      <c r="A1401" t="str">
        <f>"20190312172642212"</f>
        <v>20190312172642212</v>
      </c>
      <c r="B1401" t="str">
        <f>"1552382802209940"</f>
        <v>1552382802209940</v>
      </c>
      <c r="C1401" t="s">
        <v>40</v>
      </c>
      <c r="D1401">
        <v>3.3793319999999998</v>
      </c>
      <c r="E1401">
        <v>0.52839199999999997</v>
      </c>
      <c r="F1401" t="s">
        <v>48</v>
      </c>
      <c r="G1401">
        <v>-233.2569</v>
      </c>
      <c r="H1401" s="1">
        <v>2.259132E-7</v>
      </c>
      <c r="I1401">
        <v>283.9402</v>
      </c>
      <c r="J1401">
        <v>-205.87950000000001</v>
      </c>
      <c r="K1401">
        <v>1.1078779999999999</v>
      </c>
      <c r="L1401">
        <v>284.42259999999999</v>
      </c>
      <c r="M1401">
        <v>-0.93693409999999999</v>
      </c>
      <c r="N1401">
        <v>0</v>
      </c>
      <c r="O1401">
        <v>-0.3493619</v>
      </c>
      <c r="P1401">
        <v>-0.98000869999999995</v>
      </c>
      <c r="Q1401">
        <v>0.1612015</v>
      </c>
      <c r="R1401">
        <v>-0.1166075</v>
      </c>
      <c r="S1401">
        <v>-3.0768430000000002</v>
      </c>
      <c r="T1401">
        <v>-0.1239522</v>
      </c>
      <c r="U1401">
        <v>-5.8288569999999998E-2</v>
      </c>
      <c r="V1401">
        <v>0.23402400000000001</v>
      </c>
      <c r="W1401">
        <v>0.16960939999999999</v>
      </c>
      <c r="X1401">
        <v>0.95732200000000001</v>
      </c>
      <c r="Y1401">
        <v>0.33102799999999999</v>
      </c>
      <c r="Z1401">
        <v>2.049194E-2</v>
      </c>
      <c r="AA1401">
        <v>0.94339839999999997</v>
      </c>
      <c r="AB1401">
        <v>13</v>
      </c>
      <c r="AC1401">
        <v>-27.377399999999898</v>
      </c>
      <c r="AD1401">
        <v>-1.1078777740868</v>
      </c>
      <c r="AE1401">
        <v>-0.48239999999998401</v>
      </c>
      <c r="AF1401">
        <v>9.0982082697130799</v>
      </c>
      <c r="AG1401">
        <v>-1.1078777740868</v>
      </c>
      <c r="AH1401">
        <v>25.778451762912301</v>
      </c>
      <c r="AI1401">
        <v>92.320746266491497</v>
      </c>
      <c r="AJ1401">
        <v>70.560101195575498</v>
      </c>
      <c r="AK1401">
        <v>27.359337751016401</v>
      </c>
      <c r="AL1401">
        <v>80.234890433337199</v>
      </c>
      <c r="AM1401">
        <v>76.263056500627101</v>
      </c>
      <c r="AN1401">
        <v>0.99999999641418003</v>
      </c>
    </row>
    <row r="1402" spans="1:40" x14ac:dyDescent="0.25">
      <c r="A1402" t="str">
        <f>"20190312172642235"</f>
        <v>20190312172642235</v>
      </c>
      <c r="B1402" t="str">
        <f>"1552382802230435"</f>
        <v>1552382802230435</v>
      </c>
      <c r="C1402" t="s">
        <v>40</v>
      </c>
      <c r="D1402">
        <v>3.368433</v>
      </c>
      <c r="E1402">
        <v>0.52761259999999999</v>
      </c>
      <c r="F1402" t="s">
        <v>48</v>
      </c>
      <c r="G1402">
        <v>-230.1138</v>
      </c>
      <c r="H1402" s="1">
        <v>-1.4276910000000001E-6</v>
      </c>
      <c r="I1402">
        <v>283.50560000000002</v>
      </c>
      <c r="J1402">
        <v>-206.0069</v>
      </c>
      <c r="K1402">
        <v>1.1078760000000001</v>
      </c>
      <c r="L1402">
        <v>284.38330000000002</v>
      </c>
      <c r="M1402">
        <v>-0.93920420000000004</v>
      </c>
      <c r="N1402">
        <v>0</v>
      </c>
      <c r="O1402">
        <v>-0.3432173</v>
      </c>
      <c r="P1402">
        <v>-0.98060480000000005</v>
      </c>
      <c r="Q1402">
        <v>0.1603581</v>
      </c>
      <c r="R1402">
        <v>-0.1126928</v>
      </c>
      <c r="S1402">
        <v>-3.070465</v>
      </c>
      <c r="T1402">
        <v>-0.140367299999999</v>
      </c>
      <c r="U1402">
        <v>-0.1161804</v>
      </c>
      <c r="V1402">
        <v>0.23160149999999999</v>
      </c>
      <c r="W1402">
        <v>0.168642299999999</v>
      </c>
      <c r="X1402">
        <v>0.95808170000000004</v>
      </c>
      <c r="Y1402">
        <v>0.30681009999999997</v>
      </c>
      <c r="Z1402">
        <v>2.2413059999999999E-2</v>
      </c>
      <c r="AA1402">
        <v>0.95150679999999999</v>
      </c>
      <c r="AB1402">
        <v>13</v>
      </c>
      <c r="AC1402">
        <v>-24.1069</v>
      </c>
      <c r="AD1402">
        <v>-1.1078774276909999</v>
      </c>
      <c r="AE1402">
        <v>-0.87770000000000403</v>
      </c>
      <c r="AF1402">
        <v>7.4342476680832004</v>
      </c>
      <c r="AG1402">
        <v>-1.1078774276909999</v>
      </c>
      <c r="AH1402">
        <v>22.895368669661298</v>
      </c>
      <c r="AI1402">
        <v>92.635081402294304</v>
      </c>
      <c r="AJ1402">
        <v>72.011111420062505</v>
      </c>
      <c r="AK1402">
        <v>24.097579490581602</v>
      </c>
      <c r="AL1402">
        <v>80.2911112257067</v>
      </c>
      <c r="AM1402">
        <v>76.410331136224499</v>
      </c>
      <c r="AN1402">
        <v>1.00000001201321</v>
      </c>
    </row>
    <row r="1403" spans="1:40" x14ac:dyDescent="0.25">
      <c r="A1403" t="str">
        <f>"20190312172642257"</f>
        <v>20190312172642257</v>
      </c>
      <c r="B1403" t="str">
        <f>"1552382802249957"</f>
        <v>1552382802249957</v>
      </c>
      <c r="C1403" t="s">
        <v>40</v>
      </c>
      <c r="D1403">
        <v>3.4127480000000001</v>
      </c>
      <c r="E1403">
        <v>0.52711529999999995</v>
      </c>
      <c r="F1403" t="s">
        <v>48</v>
      </c>
      <c r="G1403">
        <v>-229.35390000000001</v>
      </c>
      <c r="H1403" s="1">
        <v>3.440893E-6</v>
      </c>
      <c r="I1403">
        <v>283.54259999999999</v>
      </c>
      <c r="J1403">
        <v>-206.1353</v>
      </c>
      <c r="K1403">
        <v>1.10788</v>
      </c>
      <c r="L1403">
        <v>284.34449999999998</v>
      </c>
      <c r="M1403">
        <v>-0.94139300000000004</v>
      </c>
      <c r="N1403">
        <v>0</v>
      </c>
      <c r="O1403">
        <v>-0.33717219999999998</v>
      </c>
      <c r="P1403">
        <v>-0.98109959999999996</v>
      </c>
      <c r="Q1403">
        <v>0.15973960000000001</v>
      </c>
      <c r="R1403">
        <v>-0.10921119999999999</v>
      </c>
      <c r="S1403">
        <v>-3.0704349999999998</v>
      </c>
      <c r="T1403">
        <v>-0.14569989999999999</v>
      </c>
      <c r="U1403">
        <v>-0.1105652</v>
      </c>
      <c r="V1403">
        <v>0.228854</v>
      </c>
      <c r="W1403">
        <v>0.16790189999999999</v>
      </c>
      <c r="X1403">
        <v>0.95887160000000005</v>
      </c>
      <c r="Y1403">
        <v>0.30238579999999998</v>
      </c>
      <c r="Z1403">
        <v>2.2889010000000001E-2</v>
      </c>
      <c r="AA1403">
        <v>0.95291079999999995</v>
      </c>
      <c r="AB1403">
        <v>13</v>
      </c>
      <c r="AC1403">
        <v>-23.218599999999999</v>
      </c>
      <c r="AD1403">
        <v>-1.1078765591069999</v>
      </c>
      <c r="AE1403">
        <v>-0.80189999999998895</v>
      </c>
      <c r="AF1403">
        <v>7.0580462462660503</v>
      </c>
      <c r="AG1403">
        <v>-1.1078765591069999</v>
      </c>
      <c r="AH1403">
        <v>22.079039376866898</v>
      </c>
      <c r="AI1403">
        <v>92.736372504157799</v>
      </c>
      <c r="AJ1403">
        <v>72.272387791892399</v>
      </c>
      <c r="AK1403">
        <v>23.2061928607406</v>
      </c>
      <c r="AL1403">
        <v>80.334146304199905</v>
      </c>
      <c r="AM1403">
        <v>76.576335046967003</v>
      </c>
      <c r="AN1403">
        <v>0.99999997331308399</v>
      </c>
    </row>
    <row r="1404" spans="1:40" x14ac:dyDescent="0.25">
      <c r="A1404" t="str">
        <f>"20190312172642280"</f>
        <v>20190312172642280</v>
      </c>
      <c r="B1404" t="str">
        <f>"1552382802270452"</f>
        <v>1552382802270452</v>
      </c>
      <c r="C1404" t="s">
        <v>40</v>
      </c>
      <c r="D1404">
        <v>3.4074810000000002</v>
      </c>
      <c r="E1404">
        <v>0.5268005</v>
      </c>
      <c r="F1404" t="s">
        <v>48</v>
      </c>
      <c r="G1404">
        <v>-229.44450000000001</v>
      </c>
      <c r="H1404" s="1">
        <v>3.4890809999999999E-6</v>
      </c>
      <c r="I1404">
        <v>283.55250000000001</v>
      </c>
      <c r="J1404">
        <v>-206.26320000000001</v>
      </c>
      <c r="K1404">
        <v>1.107898</v>
      </c>
      <c r="L1404">
        <v>284.30650000000003</v>
      </c>
      <c r="M1404">
        <v>-0.94348339999999997</v>
      </c>
      <c r="N1404">
        <v>0</v>
      </c>
      <c r="O1404">
        <v>-0.33128239999999998</v>
      </c>
      <c r="P1404">
        <v>-0.98162530000000003</v>
      </c>
      <c r="Q1404">
        <v>0.1587037</v>
      </c>
      <c r="R1404">
        <v>-0.1059491</v>
      </c>
      <c r="S1404">
        <v>-3.069931</v>
      </c>
      <c r="T1404">
        <v>-0.1459126</v>
      </c>
      <c r="U1404">
        <v>-0.1043091</v>
      </c>
      <c r="V1404">
        <v>0.22607720000000001</v>
      </c>
      <c r="W1404">
        <v>0.16674829999999999</v>
      </c>
      <c r="X1404">
        <v>0.95973129999999995</v>
      </c>
      <c r="Y1404">
        <v>0.29836889999999999</v>
      </c>
      <c r="Z1404">
        <v>2.2566920000000001E-2</v>
      </c>
      <c r="AA1404">
        <v>0.95418380000000003</v>
      </c>
      <c r="AB1404">
        <v>13</v>
      </c>
      <c r="AC1404">
        <v>-23.1813</v>
      </c>
      <c r="AD1404">
        <v>-1.1078945109189999</v>
      </c>
      <c r="AE1404">
        <v>-0.75400000000001899</v>
      </c>
      <c r="AF1404">
        <v>6.9526235187054102</v>
      </c>
      <c r="AG1404">
        <v>-1.1078945109189999</v>
      </c>
      <c r="AH1404">
        <v>22.071604560253199</v>
      </c>
      <c r="AI1404">
        <v>92.7410184667918</v>
      </c>
      <c r="AJ1404">
        <v>72.515411895496399</v>
      </c>
      <c r="AK1404">
        <v>23.1672642300374</v>
      </c>
      <c r="AL1404">
        <v>80.401188457866098</v>
      </c>
      <c r="AM1404">
        <v>76.744882418105703</v>
      </c>
      <c r="AN1404">
        <v>1.0000000320561999</v>
      </c>
    </row>
    <row r="1405" spans="1:40" x14ac:dyDescent="0.25">
      <c r="A1405" t="str">
        <f>"20190312172642305"</f>
        <v>20190312172642305</v>
      </c>
      <c r="B1405" t="str">
        <f>"1552382802300708"</f>
        <v>1552382802300708</v>
      </c>
      <c r="C1405" t="s">
        <v>40</v>
      </c>
      <c r="D1405">
        <v>3.44109</v>
      </c>
      <c r="E1405">
        <v>0.52627489999999999</v>
      </c>
      <c r="F1405" t="s">
        <v>48</v>
      </c>
      <c r="G1405">
        <v>-229.23779999999999</v>
      </c>
      <c r="H1405" s="1">
        <v>3.3791040000000001E-6</v>
      </c>
      <c r="I1405">
        <v>283.58249999999998</v>
      </c>
      <c r="J1405">
        <v>-206.40700000000001</v>
      </c>
      <c r="K1405">
        <v>1.1079239999999999</v>
      </c>
      <c r="L1405">
        <v>284.26459999999997</v>
      </c>
      <c r="M1405">
        <v>-0.94572970000000001</v>
      </c>
      <c r="N1405">
        <v>0</v>
      </c>
      <c r="O1405">
        <v>-0.32482</v>
      </c>
      <c r="P1405">
        <v>-0.98199749999999997</v>
      </c>
      <c r="Q1405">
        <v>0.1585165</v>
      </c>
      <c r="R1405">
        <v>-0.10273069999999999</v>
      </c>
      <c r="S1405">
        <v>-3.0696409999999998</v>
      </c>
      <c r="T1405">
        <v>-0.14802609999999999</v>
      </c>
      <c r="U1405">
        <v>-9.6740720000000002E-2</v>
      </c>
      <c r="V1405">
        <v>0.2226378</v>
      </c>
      <c r="W1405">
        <v>0.1664332</v>
      </c>
      <c r="X1405">
        <v>0.96058960000000004</v>
      </c>
      <c r="Y1405">
        <v>0.29417520000000003</v>
      </c>
      <c r="Z1405">
        <v>2.2500280000000001E-2</v>
      </c>
      <c r="AA1405">
        <v>0.95548659999999996</v>
      </c>
      <c r="AB1405">
        <v>13</v>
      </c>
      <c r="AC1405">
        <v>-22.830799999999901</v>
      </c>
      <c r="AD1405">
        <v>-1.107920620896</v>
      </c>
      <c r="AE1405">
        <v>-0.68209999999999105</v>
      </c>
      <c r="AF1405">
        <v>6.7552200256236796</v>
      </c>
      <c r="AG1405">
        <v>-1.107920620896</v>
      </c>
      <c r="AH1405">
        <v>21.7630731355504</v>
      </c>
      <c r="AI1405">
        <v>92.783525249714998</v>
      </c>
      <c r="AJ1405">
        <v>72.755748166657995</v>
      </c>
      <c r="AK1405">
        <v>22.8142902146902</v>
      </c>
      <c r="AL1405">
        <v>80.419497807451805</v>
      </c>
      <c r="AM1405">
        <v>76.950844220825005</v>
      </c>
      <c r="AN1405">
        <v>0.99999998983962002</v>
      </c>
    </row>
    <row r="1406" spans="1:40" x14ac:dyDescent="0.25">
      <c r="A1406" t="str">
        <f>"20190312172642328"</f>
        <v>20190312172642328</v>
      </c>
      <c r="B1406" t="str">
        <f>"1552382802320228"</f>
        <v>1552382802320228</v>
      </c>
      <c r="C1406" t="s">
        <v>40</v>
      </c>
      <c r="D1406">
        <v>3.3762789999999998</v>
      </c>
      <c r="E1406">
        <v>0.5260475</v>
      </c>
      <c r="F1406" t="s">
        <v>48</v>
      </c>
      <c r="G1406">
        <v>-229.52019999999999</v>
      </c>
      <c r="H1406" s="1">
        <v>3.529384E-6</v>
      </c>
      <c r="I1406">
        <v>283.57510000000002</v>
      </c>
      <c r="J1406">
        <v>-206.54060000000001</v>
      </c>
      <c r="K1406">
        <v>1.10795</v>
      </c>
      <c r="L1406">
        <v>284.22640000000001</v>
      </c>
      <c r="M1406">
        <v>-0.94772369999999995</v>
      </c>
      <c r="N1406">
        <v>0</v>
      </c>
      <c r="O1406">
        <v>-0.31896010000000002</v>
      </c>
      <c r="P1406">
        <v>-0.98228139999999997</v>
      </c>
      <c r="Q1406">
        <v>0.15875719999999999</v>
      </c>
      <c r="R1406">
        <v>-9.9597550000000007E-2</v>
      </c>
      <c r="S1406">
        <v>-3.0691679999999999</v>
      </c>
      <c r="T1406">
        <v>-0.1471189</v>
      </c>
      <c r="U1406">
        <v>-9.1552729999999999E-2</v>
      </c>
      <c r="V1406">
        <v>0.21971979999999999</v>
      </c>
      <c r="W1406">
        <v>0.16655410000000001</v>
      </c>
      <c r="X1406">
        <v>0.96124030000000005</v>
      </c>
      <c r="Y1406">
        <v>0.28988570000000002</v>
      </c>
      <c r="Z1406">
        <v>2.199682E-2</v>
      </c>
      <c r="AA1406">
        <v>0.9568084</v>
      </c>
      <c r="AB1406">
        <v>13</v>
      </c>
      <c r="AC1406">
        <v>-22.979599999999898</v>
      </c>
      <c r="AD1406">
        <v>-1.107946470616</v>
      </c>
      <c r="AE1406">
        <v>-0.651299999999992</v>
      </c>
      <c r="AF1406">
        <v>6.6970501947869803</v>
      </c>
      <c r="AG1406">
        <v>-1.107946470616</v>
      </c>
      <c r="AH1406">
        <v>21.936024326015701</v>
      </c>
      <c r="AI1406">
        <v>92.765633942141207</v>
      </c>
      <c r="AJ1406">
        <v>73.022612675273606</v>
      </c>
      <c r="AK1406">
        <v>22.9622993170283</v>
      </c>
      <c r="AL1406">
        <v>80.412472662890096</v>
      </c>
      <c r="AM1406">
        <v>77.1245604820257</v>
      </c>
      <c r="AN1406">
        <v>0.99999998654146904</v>
      </c>
    </row>
    <row r="1407" spans="1:40" x14ac:dyDescent="0.25">
      <c r="A1407" t="str">
        <f>"20190312172642348"</f>
        <v>20190312172642348</v>
      </c>
      <c r="B1407" t="str">
        <f>"1552382802339748"</f>
        <v>1552382802339748</v>
      </c>
      <c r="C1407" t="s">
        <v>40</v>
      </c>
      <c r="D1407">
        <v>3.3874059999999999</v>
      </c>
      <c r="E1407">
        <v>0.52572289999999999</v>
      </c>
      <c r="F1407" t="s">
        <v>48</v>
      </c>
      <c r="G1407">
        <v>-229.8289</v>
      </c>
      <c r="H1407" s="1">
        <v>3.6936600000000001E-6</v>
      </c>
      <c r="I1407">
        <v>283.59010000000001</v>
      </c>
      <c r="J1407">
        <v>-206.66079999999999</v>
      </c>
      <c r="K1407">
        <v>1.107972</v>
      </c>
      <c r="L1407">
        <v>284.19260000000003</v>
      </c>
      <c r="M1407">
        <v>-0.9494399</v>
      </c>
      <c r="N1407">
        <v>0</v>
      </c>
      <c r="O1407">
        <v>-0.31381900000000001</v>
      </c>
      <c r="P1407">
        <v>-0.98259870000000005</v>
      </c>
      <c r="Q1407">
        <v>0.15810070000000001</v>
      </c>
      <c r="R1407">
        <v>-9.7490999999999994E-2</v>
      </c>
      <c r="S1407">
        <v>-3.0691989999999998</v>
      </c>
      <c r="T1407">
        <v>-0.1460176</v>
      </c>
      <c r="U1407">
        <v>-8.3862300000000001E-2</v>
      </c>
      <c r="V1407">
        <v>0.2165783</v>
      </c>
      <c r="W1407">
        <v>0.1657942</v>
      </c>
      <c r="X1407">
        <v>0.9620843</v>
      </c>
      <c r="Y1407">
        <v>0.28711249999999999</v>
      </c>
      <c r="Z1407">
        <v>2.1534589999999999E-2</v>
      </c>
      <c r="AA1407">
        <v>0.95765480000000003</v>
      </c>
      <c r="AB1407">
        <v>13</v>
      </c>
      <c r="AC1407">
        <v>-23.168099999999999</v>
      </c>
      <c r="AD1407">
        <v>-1.1079683063400001</v>
      </c>
      <c r="AE1407">
        <v>-0.60250000000002002</v>
      </c>
      <c r="AF1407">
        <v>6.6835502365212598</v>
      </c>
      <c r="AG1407">
        <v>-1.1079683063400001</v>
      </c>
      <c r="AH1407">
        <v>22.1361067932304</v>
      </c>
      <c r="AI1407">
        <v>92.743292700915205</v>
      </c>
      <c r="AJ1407">
        <v>73.199370052644497</v>
      </c>
      <c r="AK1407">
        <v>23.149614715870701</v>
      </c>
      <c r="AL1407">
        <v>80.456626112450095</v>
      </c>
      <c r="AM1407">
        <v>77.313419237266004</v>
      </c>
      <c r="AN1407">
        <v>1.0000000385454999</v>
      </c>
    </row>
    <row r="1408" spans="1:40" x14ac:dyDescent="0.25">
      <c r="A1408" t="str">
        <f>"20190312172642370"</f>
        <v>20190312172642370</v>
      </c>
      <c r="B1408" t="str">
        <f>"1552382802360245"</f>
        <v>1552382802360245</v>
      </c>
      <c r="C1408" t="s">
        <v>40</v>
      </c>
      <c r="D1408">
        <v>3.3591660000000001</v>
      </c>
      <c r="E1408">
        <v>0.52547270000000001</v>
      </c>
      <c r="F1408" t="s">
        <v>48</v>
      </c>
      <c r="G1408">
        <v>-229.71170000000001</v>
      </c>
      <c r="H1408" s="1">
        <v>3.6312999999999999E-6</v>
      </c>
      <c r="I1408">
        <v>283.59230000000002</v>
      </c>
      <c r="J1408">
        <v>-206.7945</v>
      </c>
      <c r="K1408">
        <v>1.10799</v>
      </c>
      <c r="L1408">
        <v>284.15570000000002</v>
      </c>
      <c r="M1408">
        <v>-0.95126250000000001</v>
      </c>
      <c r="N1408">
        <v>0</v>
      </c>
      <c r="O1408">
        <v>-0.3082548</v>
      </c>
      <c r="P1408">
        <v>-0.98277630000000005</v>
      </c>
      <c r="Q1408">
        <v>0.15847269999999999</v>
      </c>
      <c r="R1408">
        <v>-9.5063549999999997E-2</v>
      </c>
      <c r="S1408">
        <v>-3.0689389999999999</v>
      </c>
      <c r="T1408">
        <v>-0.1475118</v>
      </c>
      <c r="U1408">
        <v>-7.9925540000000003E-2</v>
      </c>
      <c r="V1408">
        <v>0.21328140000000001</v>
      </c>
      <c r="W1408">
        <v>0.166051</v>
      </c>
      <c r="X1408">
        <v>0.96277619999999997</v>
      </c>
      <c r="Y1408">
        <v>0.28272419999999998</v>
      </c>
      <c r="Z1408">
        <v>2.1396100000000001E-2</v>
      </c>
      <c r="AA1408">
        <v>0.9589626</v>
      </c>
      <c r="AB1408">
        <v>13</v>
      </c>
      <c r="AC1408">
        <v>-22.917200000000001</v>
      </c>
      <c r="AD1408">
        <v>-1.1079863687</v>
      </c>
      <c r="AE1408">
        <v>-0.56340000000000101</v>
      </c>
      <c r="AF1408">
        <v>6.5134365481598904</v>
      </c>
      <c r="AG1408">
        <v>-1.1079863687</v>
      </c>
      <c r="AH1408">
        <v>21.9235929740648</v>
      </c>
      <c r="AI1408">
        <v>92.773564261393403</v>
      </c>
      <c r="AJ1408">
        <v>73.453466596534497</v>
      </c>
      <c r="AK1408">
        <v>22.897519917069499</v>
      </c>
      <c r="AL1408">
        <v>80.441704895079596</v>
      </c>
      <c r="AM1408">
        <v>77.509129621250906</v>
      </c>
      <c r="AN1408">
        <v>0.99999995073669801</v>
      </c>
    </row>
    <row r="1409" spans="1:40" x14ac:dyDescent="0.25">
      <c r="A1409" t="str">
        <f>"20190312172642393"</f>
        <v>20190312172642393</v>
      </c>
      <c r="B1409" t="str">
        <f>"1552382802390500"</f>
        <v>1552382802390500</v>
      </c>
      <c r="C1409" t="s">
        <v>40</v>
      </c>
      <c r="D1409">
        <v>3.3761969999999999</v>
      </c>
      <c r="E1409">
        <v>0.52219870000000002</v>
      </c>
      <c r="F1409" t="s">
        <v>48</v>
      </c>
      <c r="G1409">
        <v>-230.16589999999999</v>
      </c>
      <c r="H1409" s="1">
        <v>-1.403617E-6</v>
      </c>
      <c r="I1409">
        <v>283.58949999999999</v>
      </c>
      <c r="J1409">
        <v>-206.9265</v>
      </c>
      <c r="K1409">
        <v>1.108004</v>
      </c>
      <c r="L1409">
        <v>284.1198</v>
      </c>
      <c r="M1409">
        <v>-0.95298179999999999</v>
      </c>
      <c r="N1409">
        <v>0</v>
      </c>
      <c r="O1409">
        <v>-0.30290250000000002</v>
      </c>
      <c r="P1409">
        <v>-0.98291930000000005</v>
      </c>
      <c r="Q1409">
        <v>0.15922449999999999</v>
      </c>
      <c r="R1409">
        <v>-9.2289919999999998E-2</v>
      </c>
      <c r="S1409">
        <v>-3.0688629999999999</v>
      </c>
      <c r="T1409">
        <v>-0.14548849999999999</v>
      </c>
      <c r="U1409">
        <v>-7.4340820000000002E-2</v>
      </c>
      <c r="V1409">
        <v>0.2105329</v>
      </c>
      <c r="W1409">
        <v>0.1666918</v>
      </c>
      <c r="X1409">
        <v>0.96327030000000002</v>
      </c>
      <c r="Y1409">
        <v>0.27910190000000001</v>
      </c>
      <c r="Z1409">
        <v>2.0775689999999999E-2</v>
      </c>
      <c r="AA1409">
        <v>0.96003669999999997</v>
      </c>
      <c r="AB1409">
        <v>13</v>
      </c>
      <c r="AC1409">
        <v>-23.2393999999999</v>
      </c>
      <c r="AD1409">
        <v>-1.108005403617</v>
      </c>
      <c r="AE1409">
        <v>-0.53030000000001098</v>
      </c>
      <c r="AF1409">
        <v>6.5193417144276102</v>
      </c>
      <c r="AG1409">
        <v>-1.108005403617</v>
      </c>
      <c r="AH1409">
        <v>22.257630257168401</v>
      </c>
      <c r="AI1409">
        <v>92.735155868315999</v>
      </c>
      <c r="AJ1409">
        <v>73.674498266670497</v>
      </c>
      <c r="AK1409">
        <v>23.2192075021681</v>
      </c>
      <c r="AL1409">
        <v>80.404470965326198</v>
      </c>
      <c r="AM1409">
        <v>77.671271360178295</v>
      </c>
      <c r="AN1409">
        <v>0.99999996451586903</v>
      </c>
    </row>
    <row r="1410" spans="1:40" x14ac:dyDescent="0.25">
      <c r="A1410" t="str">
        <f>"20190312172642415"</f>
        <v>20190312172642415</v>
      </c>
      <c r="B1410" t="str">
        <f>"1552382802410020"</f>
        <v>1552382802410020</v>
      </c>
      <c r="C1410" t="s">
        <v>40</v>
      </c>
      <c r="D1410">
        <v>3.352198</v>
      </c>
      <c r="E1410">
        <v>0.52182969999999995</v>
      </c>
      <c r="F1410" t="s">
        <v>48</v>
      </c>
      <c r="G1410">
        <v>-232.86170000000001</v>
      </c>
      <c r="H1410" s="1">
        <v>4.1918479999999999E-8</v>
      </c>
      <c r="I1410">
        <v>283.3381</v>
      </c>
      <c r="J1410">
        <v>-207.0616</v>
      </c>
      <c r="K1410">
        <v>1.1080110000000001</v>
      </c>
      <c r="L1410">
        <v>284.0838</v>
      </c>
      <c r="M1410">
        <v>-0.95466930000000005</v>
      </c>
      <c r="N1410">
        <v>0</v>
      </c>
      <c r="O1410">
        <v>-0.29754520000000001</v>
      </c>
      <c r="P1410">
        <v>-0.98311720000000002</v>
      </c>
      <c r="Q1410">
        <v>0.1594942</v>
      </c>
      <c r="R1410">
        <v>-8.9679869999999995E-2</v>
      </c>
      <c r="S1410">
        <v>-3.0646360000000001</v>
      </c>
      <c r="T1410">
        <v>-0.13092770000000001</v>
      </c>
      <c r="U1410">
        <v>-9.2376710000000001E-2</v>
      </c>
      <c r="V1410">
        <v>0.20765520000000001</v>
      </c>
      <c r="W1410">
        <v>0.16685639999999999</v>
      </c>
      <c r="X1410">
        <v>0.96386629999999995</v>
      </c>
      <c r="Y1410">
        <v>0.26814850000000001</v>
      </c>
      <c r="Z1410">
        <v>1.826612E-2</v>
      </c>
      <c r="AA1410">
        <v>0.96320439999999996</v>
      </c>
      <c r="AB1410">
        <v>14</v>
      </c>
      <c r="AC1410">
        <v>-25.8001</v>
      </c>
      <c r="AD1410">
        <v>-1.1080109580815201</v>
      </c>
      <c r="AE1410">
        <v>-0.74569999999999903</v>
      </c>
      <c r="AF1410">
        <v>6.9522428503703599</v>
      </c>
      <c r="AG1410">
        <v>-1.1080109580815201</v>
      </c>
      <c r="AH1410">
        <v>24.807638780553201</v>
      </c>
      <c r="AI1410">
        <v>92.462612149570205</v>
      </c>
      <c r="AJ1410">
        <v>74.344681498394294</v>
      </c>
      <c r="AK1410">
        <v>25.787212156418999</v>
      </c>
      <c r="AL1410">
        <v>80.394906394655493</v>
      </c>
      <c r="AM1410">
        <v>77.842034560756503</v>
      </c>
      <c r="AN1410">
        <v>0.999999992291844</v>
      </c>
    </row>
    <row r="1411" spans="1:40" x14ac:dyDescent="0.25">
      <c r="A1411" t="str">
        <f>"20190312172642437"</f>
        <v>20190312172642437</v>
      </c>
      <c r="B1411" t="str">
        <f>"1552382802430195"</f>
        <v>1552382802430195</v>
      </c>
      <c r="C1411" t="s">
        <v>40</v>
      </c>
      <c r="D1411">
        <v>3.3817200000000001</v>
      </c>
      <c r="E1411">
        <v>0.52134199999999997</v>
      </c>
      <c r="F1411" t="s">
        <v>48</v>
      </c>
      <c r="G1411">
        <v>-233.79660000000001</v>
      </c>
      <c r="H1411" s="1">
        <v>5.4021620000000004E-7</v>
      </c>
      <c r="I1411">
        <v>283.31990000000002</v>
      </c>
      <c r="J1411">
        <v>-207.1942</v>
      </c>
      <c r="K1411">
        <v>1.1080030000000001</v>
      </c>
      <c r="L1411">
        <v>284.04899999999998</v>
      </c>
      <c r="M1411">
        <v>-0.95626169999999999</v>
      </c>
      <c r="N1411">
        <v>0</v>
      </c>
      <c r="O1411">
        <v>-0.29239029999999999</v>
      </c>
      <c r="P1411">
        <v>-0.98329319999999998</v>
      </c>
      <c r="Q1411">
        <v>0.15939439999999999</v>
      </c>
      <c r="R1411">
        <v>-8.7908410000000006E-2</v>
      </c>
      <c r="S1411">
        <v>-3.064133</v>
      </c>
      <c r="T1411">
        <v>-0.12699069999999901</v>
      </c>
      <c r="U1411">
        <v>-8.7554930000000003E-2</v>
      </c>
      <c r="V1411">
        <v>0.2041858</v>
      </c>
      <c r="W1411">
        <v>0.16666600000000001</v>
      </c>
      <c r="X1411">
        <v>0.9646401</v>
      </c>
      <c r="Y1411">
        <v>0.26449620000000001</v>
      </c>
      <c r="Z1411">
        <v>1.7440170000000001E-2</v>
      </c>
      <c r="AA1411">
        <v>0.964229</v>
      </c>
      <c r="AB1411">
        <v>14</v>
      </c>
      <c r="AC1411">
        <v>-26.602399999999999</v>
      </c>
      <c r="AD1411">
        <v>-1.1080024597838001</v>
      </c>
      <c r="AE1411">
        <v>-0.72910000000001596</v>
      </c>
      <c r="AF1411">
        <v>7.0690724286374396</v>
      </c>
      <c r="AG1411">
        <v>-1.1080024597838001</v>
      </c>
      <c r="AH1411">
        <v>25.6085633780724</v>
      </c>
      <c r="AI1411">
        <v>92.388251402900096</v>
      </c>
      <c r="AJ1411">
        <v>74.568189500600994</v>
      </c>
      <c r="AK1411">
        <v>26.589433479127699</v>
      </c>
      <c r="AL1411">
        <v>80.405970119951107</v>
      </c>
      <c r="AM1411">
        <v>78.048584764633702</v>
      </c>
      <c r="AN1411">
        <v>0.99999995950282405</v>
      </c>
    </row>
    <row r="1412" spans="1:40" x14ac:dyDescent="0.25">
      <c r="A1412" t="str">
        <f>"20190312172642459"</f>
        <v>20190312172642459</v>
      </c>
      <c r="B1412" t="str">
        <f>"1552382802449715"</f>
        <v>1552382802449715</v>
      </c>
      <c r="C1412" t="s">
        <v>40</v>
      </c>
      <c r="D1412">
        <v>3.3757389999999998</v>
      </c>
      <c r="E1412">
        <v>0.5209239</v>
      </c>
      <c r="F1412" t="s">
        <v>48</v>
      </c>
      <c r="G1412">
        <v>-233.72130000000001</v>
      </c>
      <c r="H1412" s="1">
        <v>5.0048279999999998E-7</v>
      </c>
      <c r="I1412">
        <v>283.31220000000002</v>
      </c>
      <c r="J1412">
        <v>-207.3278</v>
      </c>
      <c r="K1412">
        <v>1.1079939999999999</v>
      </c>
      <c r="L1412">
        <v>284.0147</v>
      </c>
      <c r="M1412">
        <v>-0.95780050000000005</v>
      </c>
      <c r="N1412">
        <v>0</v>
      </c>
      <c r="O1412">
        <v>-0.28731250000000003</v>
      </c>
      <c r="P1412">
        <v>-0.98346650000000002</v>
      </c>
      <c r="Q1412">
        <v>0.1592711</v>
      </c>
      <c r="R1412">
        <v>-8.6176349999999999E-2</v>
      </c>
      <c r="S1412">
        <v>-3.0640869999999998</v>
      </c>
      <c r="T1412">
        <v>-0.12798329999999999</v>
      </c>
      <c r="U1412">
        <v>-8.5113530000000007E-2</v>
      </c>
      <c r="V1412">
        <v>0.20076289999999999</v>
      </c>
      <c r="W1412">
        <v>0.1664582</v>
      </c>
      <c r="X1412">
        <v>0.96539419999999998</v>
      </c>
      <c r="Y1412">
        <v>0.26014490000000001</v>
      </c>
      <c r="Z1412">
        <v>1.728201E-2</v>
      </c>
      <c r="AA1412">
        <v>0.96541489999999996</v>
      </c>
      <c r="AB1412">
        <v>14</v>
      </c>
      <c r="AC1412">
        <v>-26.3935</v>
      </c>
      <c r="AD1412">
        <v>-1.1079934995172001</v>
      </c>
      <c r="AE1412">
        <v>-0.70249999999998602</v>
      </c>
      <c r="AF1412">
        <v>6.8984200606465196</v>
      </c>
      <c r="AG1412">
        <v>-1.1079934995172001</v>
      </c>
      <c r="AH1412">
        <v>25.437635909338599</v>
      </c>
      <c r="AI1412">
        <v>92.407229970950397</v>
      </c>
      <c r="AJ1412">
        <v>74.826920752616502</v>
      </c>
      <c r="AK1412">
        <v>26.379711324883299</v>
      </c>
      <c r="AL1412">
        <v>80.418045420472495</v>
      </c>
      <c r="AM1412">
        <v>78.252240418564995</v>
      </c>
      <c r="AN1412">
        <v>1.0000000178786399</v>
      </c>
    </row>
    <row r="1413" spans="1:40" x14ac:dyDescent="0.25">
      <c r="A1413" t="str">
        <f>"20190312172642481"</f>
        <v>20190312172642481</v>
      </c>
      <c r="B1413" t="str">
        <f>"1552382802470211"</f>
        <v>1552382802470211</v>
      </c>
      <c r="C1413" t="s">
        <v>40</v>
      </c>
      <c r="D1413">
        <v>3.3452790000000001</v>
      </c>
      <c r="E1413">
        <v>0.5204976</v>
      </c>
      <c r="F1413" t="s">
        <v>48</v>
      </c>
      <c r="G1413">
        <v>-233.76689999999999</v>
      </c>
      <c r="H1413" s="1">
        <v>5.2519109999999997E-7</v>
      </c>
      <c r="I1413">
        <v>283.3032</v>
      </c>
      <c r="J1413">
        <v>-207.46600000000001</v>
      </c>
      <c r="K1413">
        <v>1.107988</v>
      </c>
      <c r="L1413">
        <v>283.97980000000001</v>
      </c>
      <c r="M1413">
        <v>-0.95932360000000005</v>
      </c>
      <c r="N1413">
        <v>0</v>
      </c>
      <c r="O1413">
        <v>-0.28218900000000002</v>
      </c>
      <c r="P1413">
        <v>-0.98368900000000004</v>
      </c>
      <c r="Q1413">
        <v>0.15895689999999901</v>
      </c>
      <c r="R1413">
        <v>-8.4195599999999995E-2</v>
      </c>
      <c r="S1413">
        <v>-3.0640109999999998</v>
      </c>
      <c r="T1413">
        <v>-0.12840460000000001</v>
      </c>
      <c r="U1413">
        <v>-8.2458500000000004E-2</v>
      </c>
      <c r="V1413">
        <v>0.19754769999999999</v>
      </c>
      <c r="W1413">
        <v>0.1660594</v>
      </c>
      <c r="X1413">
        <v>0.96612580000000003</v>
      </c>
      <c r="Y1413">
        <v>0.25582169999999999</v>
      </c>
      <c r="Z1413">
        <v>1.7042140000000001E-2</v>
      </c>
      <c r="AA1413">
        <v>0.96657380000000004</v>
      </c>
      <c r="AB1413">
        <v>14</v>
      </c>
      <c r="AC1413">
        <v>-26.300899999999999</v>
      </c>
      <c r="AD1413">
        <v>-1.10798747480889</v>
      </c>
      <c r="AE1413">
        <v>-0.67660000000000697</v>
      </c>
      <c r="AF1413">
        <v>6.7609843675165298</v>
      </c>
      <c r="AG1413">
        <v>-1.10798747480889</v>
      </c>
      <c r="AH1413">
        <v>25.3778537831795</v>
      </c>
      <c r="AI1413">
        <v>92.415768486120498</v>
      </c>
      <c r="AJ1413">
        <v>75.082165004104198</v>
      </c>
      <c r="AK1413">
        <v>26.2863844699603</v>
      </c>
      <c r="AL1413">
        <v>80.4412167286346</v>
      </c>
      <c r="AM1413">
        <v>78.443793589787106</v>
      </c>
      <c r="AN1413">
        <v>0.99999993976464296</v>
      </c>
    </row>
    <row r="1414" spans="1:40" x14ac:dyDescent="0.25">
      <c r="A1414" t="str">
        <f>"20190312172642505"</f>
        <v>20190312172642505</v>
      </c>
      <c r="B1414" t="str">
        <f>"1552382802500467"</f>
        <v>1552382802500467</v>
      </c>
      <c r="C1414" t="s">
        <v>40</v>
      </c>
      <c r="D1414">
        <v>3.3795269999999902</v>
      </c>
      <c r="E1414">
        <v>0.51996620000000005</v>
      </c>
      <c r="F1414" t="s">
        <v>48</v>
      </c>
      <c r="G1414">
        <v>-233.77940000000001</v>
      </c>
      <c r="H1414" s="1">
        <v>5.3220390000000003E-7</v>
      </c>
      <c r="I1414">
        <v>283.2946</v>
      </c>
      <c r="J1414">
        <v>-207.6112</v>
      </c>
      <c r="K1414">
        <v>1.1079889999999999</v>
      </c>
      <c r="L1414">
        <v>283.94369999999998</v>
      </c>
      <c r="M1414">
        <v>-0.96085019999999999</v>
      </c>
      <c r="N1414">
        <v>0</v>
      </c>
      <c r="O1414">
        <v>-0.27694960000000002</v>
      </c>
      <c r="P1414">
        <v>-0.98397259999999998</v>
      </c>
      <c r="Q1414">
        <v>0.15872530000000001</v>
      </c>
      <c r="R1414">
        <v>-8.1266489999999997E-2</v>
      </c>
      <c r="S1414">
        <v>-3.0637660000000002</v>
      </c>
      <c r="T1414">
        <v>-0.12900690000000001</v>
      </c>
      <c r="U1414">
        <v>-7.9772949999999995E-2</v>
      </c>
      <c r="V1414">
        <v>0.1951445</v>
      </c>
      <c r="W1414">
        <v>0.16573689999999999</v>
      </c>
      <c r="X1414">
        <v>0.96666949999999996</v>
      </c>
      <c r="Y1414">
        <v>0.25139220000000001</v>
      </c>
      <c r="Z1414">
        <v>1.6817539999999999E-2</v>
      </c>
      <c r="AA1414">
        <v>0.96773920000000002</v>
      </c>
      <c r="AB1414">
        <v>14</v>
      </c>
      <c r="AC1414">
        <v>-26.168199999999999</v>
      </c>
      <c r="AD1414">
        <v>-1.1079884677960901</v>
      </c>
      <c r="AE1414">
        <v>-0.64909999999997503</v>
      </c>
      <c r="AF1414">
        <v>6.6119562461853798</v>
      </c>
      <c r="AG1414">
        <v>-1.1079884677960901</v>
      </c>
      <c r="AH1414">
        <v>25.279030095396301</v>
      </c>
      <c r="AI1414">
        <v>92.428106720491698</v>
      </c>
      <c r="AJ1414">
        <v>75.342150828505794</v>
      </c>
      <c r="AK1414">
        <v>26.152915065250198</v>
      </c>
      <c r="AL1414">
        <v>80.459954934165495</v>
      </c>
      <c r="AM1414">
        <v>78.586915700039398</v>
      </c>
      <c r="AN1414">
        <v>1.0000000090660499</v>
      </c>
    </row>
    <row r="1415" spans="1:40" x14ac:dyDescent="0.25">
      <c r="A1415" t="str">
        <f>"20190312172642527"</f>
        <v>20190312172642527</v>
      </c>
      <c r="B1415" t="str">
        <f>"1552382802519925"</f>
        <v>1552382802519925</v>
      </c>
      <c r="C1415" t="s">
        <v>40</v>
      </c>
      <c r="D1415">
        <v>3.351696</v>
      </c>
      <c r="E1415">
        <v>0.51982459999999997</v>
      </c>
      <c r="F1415" t="s">
        <v>48</v>
      </c>
      <c r="G1415">
        <v>-233.965</v>
      </c>
      <c r="H1415" s="1">
        <v>6.3101540000000004E-7</v>
      </c>
      <c r="I1415">
        <v>283.29289999999997</v>
      </c>
      <c r="J1415">
        <v>-207.7509</v>
      </c>
      <c r="K1415">
        <v>1.1080159999999999</v>
      </c>
      <c r="L1415">
        <v>283.90969999999999</v>
      </c>
      <c r="M1415">
        <v>-0.96224779999999999</v>
      </c>
      <c r="N1415">
        <v>0</v>
      </c>
      <c r="O1415">
        <v>-0.27205790000000002</v>
      </c>
      <c r="P1415">
        <v>-0.98414579999999996</v>
      </c>
      <c r="Q1415">
        <v>0.1588164</v>
      </c>
      <c r="R1415">
        <v>-7.8960879999999997E-2</v>
      </c>
      <c r="S1415">
        <v>-3.0633849999999998</v>
      </c>
      <c r="T1415">
        <v>-0.12879350000000001</v>
      </c>
      <c r="U1415">
        <v>-7.5653079999999998E-2</v>
      </c>
      <c r="V1415">
        <v>0.192465</v>
      </c>
      <c r="W1415">
        <v>0.1657477</v>
      </c>
      <c r="X1415">
        <v>0.96720470000000003</v>
      </c>
      <c r="Y1415">
        <v>0.24777299999999999</v>
      </c>
      <c r="Z1415">
        <v>1.651762E-2</v>
      </c>
      <c r="AA1415">
        <v>0.96867729999999996</v>
      </c>
      <c r="AB1415">
        <v>14</v>
      </c>
      <c r="AC1415">
        <v>-26.214099999999998</v>
      </c>
      <c r="AD1415">
        <v>-1.1080153689846</v>
      </c>
      <c r="AE1415">
        <v>-0.61680000000001201</v>
      </c>
      <c r="AF1415">
        <v>6.5267925461706797</v>
      </c>
      <c r="AG1415">
        <v>-1.1080153689846</v>
      </c>
      <c r="AH1415">
        <v>25.347813019280299</v>
      </c>
      <c r="AI1415">
        <v>92.423978959405503</v>
      </c>
      <c r="AJ1415">
        <v>75.560605762904203</v>
      </c>
      <c r="AK1415">
        <v>26.198059925480202</v>
      </c>
      <c r="AL1415">
        <v>80.459327412365795</v>
      </c>
      <c r="AM1415">
        <v>78.745667956910097</v>
      </c>
      <c r="AN1415">
        <v>1.00000000399119</v>
      </c>
    </row>
    <row r="1416" spans="1:40" x14ac:dyDescent="0.25">
      <c r="A1416" t="str">
        <f>"20190312172642549"</f>
        <v>20190312172642549</v>
      </c>
      <c r="B1416" t="str">
        <f>"1552382802540404"</f>
        <v>1552382802540404</v>
      </c>
      <c r="C1416" t="s">
        <v>40</v>
      </c>
      <c r="D1416">
        <v>3.371877</v>
      </c>
      <c r="E1416">
        <v>0.51600599999999996</v>
      </c>
      <c r="F1416" t="s">
        <v>48</v>
      </c>
      <c r="G1416">
        <v>-234.1369</v>
      </c>
      <c r="H1416" s="1">
        <v>7.2221640000000003E-7</v>
      </c>
      <c r="I1416">
        <v>283.29930000000002</v>
      </c>
      <c r="J1416">
        <v>-207.88380000000001</v>
      </c>
      <c r="K1416">
        <v>1.108058</v>
      </c>
      <c r="L1416">
        <v>283.8777</v>
      </c>
      <c r="M1416">
        <v>-0.96350979999999997</v>
      </c>
      <c r="N1416">
        <v>0</v>
      </c>
      <c r="O1416">
        <v>-0.2675575</v>
      </c>
      <c r="P1416">
        <v>-0.98429840000000002</v>
      </c>
      <c r="Q1416">
        <v>0.15880839999999999</v>
      </c>
      <c r="R1416">
        <v>-7.7049919999999994E-2</v>
      </c>
      <c r="S1416">
        <v>-3.063431</v>
      </c>
      <c r="T1416">
        <v>-0.12864110000000001</v>
      </c>
      <c r="U1416">
        <v>-7.0861820000000006E-2</v>
      </c>
      <c r="V1416">
        <v>0.1897952</v>
      </c>
      <c r="W1416">
        <v>0.1656725</v>
      </c>
      <c r="X1416">
        <v>0.96774499999999997</v>
      </c>
      <c r="Y1416">
        <v>0.24476590000000001</v>
      </c>
      <c r="Z1416">
        <v>1.6252559999999999E-2</v>
      </c>
      <c r="AA1416">
        <v>0.96944600000000003</v>
      </c>
      <c r="AB1416">
        <v>14</v>
      </c>
      <c r="AC1416">
        <v>-26.2530999999999</v>
      </c>
      <c r="AD1416">
        <v>-1.1080572777836</v>
      </c>
      <c r="AE1416">
        <v>-0.57839999999998704</v>
      </c>
      <c r="AF1416">
        <v>6.4556252133714498</v>
      </c>
      <c r="AG1416">
        <v>-1.1080572777836</v>
      </c>
      <c r="AH1416">
        <v>25.4054260007821</v>
      </c>
      <c r="AI1416">
        <v>92.420544031966003</v>
      </c>
      <c r="AJ1416">
        <v>75.742650863097296</v>
      </c>
      <c r="AK1416">
        <v>26.2362070068747</v>
      </c>
      <c r="AL1416">
        <v>80.463696325594199</v>
      </c>
      <c r="AM1416">
        <v>78.903923580842701</v>
      </c>
      <c r="AN1416">
        <v>0.99999999011214402</v>
      </c>
    </row>
    <row r="1417" spans="1:40" x14ac:dyDescent="0.25">
      <c r="A1417" t="str">
        <f>"20190312172642570"</f>
        <v>20190312172642570</v>
      </c>
      <c r="B1417" t="str">
        <f>"1552382802559923"</f>
        <v>1552382802559923</v>
      </c>
      <c r="C1417" t="s">
        <v>40</v>
      </c>
      <c r="D1417">
        <v>3.3528799999999999</v>
      </c>
      <c r="E1417">
        <v>0.51591599999999904</v>
      </c>
      <c r="F1417" t="s">
        <v>48</v>
      </c>
      <c r="G1417">
        <v>-235.1446</v>
      </c>
      <c r="H1417" s="1">
        <v>1.2703750000000001E-6</v>
      </c>
      <c r="I1417">
        <v>283.02690000000001</v>
      </c>
      <c r="J1417">
        <v>-208.0231</v>
      </c>
      <c r="K1417">
        <v>1.108101</v>
      </c>
      <c r="L1417">
        <v>283.84480000000002</v>
      </c>
      <c r="M1417">
        <v>-0.96476170000000006</v>
      </c>
      <c r="N1417">
        <v>0</v>
      </c>
      <c r="O1417">
        <v>-0.26301099999999999</v>
      </c>
      <c r="P1417">
        <v>-0.98449949999999997</v>
      </c>
      <c r="Q1417">
        <v>0.15845219999999999</v>
      </c>
      <c r="R1417">
        <v>-7.5193049999999997E-2</v>
      </c>
      <c r="S1417">
        <v>-3.0604550000000001</v>
      </c>
      <c r="T1417">
        <v>-0.12439699999999999</v>
      </c>
      <c r="U1417">
        <v>-9.5520019999999997E-2</v>
      </c>
      <c r="V1417">
        <v>0.18704019999999999</v>
      </c>
      <c r="W1417">
        <v>0.1652506</v>
      </c>
      <c r="X1417">
        <v>0.96835329999999997</v>
      </c>
      <c r="Y1417">
        <v>0.2323895</v>
      </c>
      <c r="Z1417">
        <v>1.529693E-2</v>
      </c>
      <c r="AA1417">
        <v>0.97250250000000005</v>
      </c>
      <c r="AB1417">
        <v>14</v>
      </c>
      <c r="AC1417">
        <v>-27.121500000000001</v>
      </c>
      <c r="AD1417">
        <v>-1.1080997296249999</v>
      </c>
      <c r="AE1417">
        <v>-0.81790000000000795</v>
      </c>
      <c r="AF1417">
        <v>6.3338015090301196</v>
      </c>
      <c r="AG1417">
        <v>-1.1080997296249999</v>
      </c>
      <c r="AH1417">
        <v>26.337768336173401</v>
      </c>
      <c r="AI1417">
        <v>92.342459108124501</v>
      </c>
      <c r="AJ1417">
        <v>76.4780700925253</v>
      </c>
      <c r="AK1417">
        <v>27.111307004578801</v>
      </c>
      <c r="AL1417">
        <v>80.488206935262994</v>
      </c>
      <c r="AM1417">
        <v>79.067783248110601</v>
      </c>
      <c r="AN1417">
        <v>0.99999995541864395</v>
      </c>
    </row>
    <row r="1418" spans="1:40" x14ac:dyDescent="0.25">
      <c r="A1418" t="str">
        <f>"20190312172642592"</f>
        <v>20190312172642592</v>
      </c>
      <c r="B1418" t="str">
        <f>"1552382802590179"</f>
        <v>1552382802590179</v>
      </c>
      <c r="C1418" t="s">
        <v>40</v>
      </c>
      <c r="D1418">
        <v>3.3848590000000001</v>
      </c>
      <c r="E1418">
        <v>0.51531210000000005</v>
      </c>
      <c r="F1418" t="s">
        <v>48</v>
      </c>
      <c r="G1418">
        <v>-235.00290000000001</v>
      </c>
      <c r="H1418" s="1">
        <v>1.1939229999999999E-6</v>
      </c>
      <c r="I1418">
        <v>283.05149999999998</v>
      </c>
      <c r="J1418">
        <v>-208.15950000000001</v>
      </c>
      <c r="K1418">
        <v>1.108133</v>
      </c>
      <c r="L1418">
        <v>283.81310000000002</v>
      </c>
      <c r="M1418">
        <v>-0.96592990000000001</v>
      </c>
      <c r="N1418">
        <v>0</v>
      </c>
      <c r="O1418">
        <v>-0.258691</v>
      </c>
      <c r="P1418">
        <v>-0.98465290000000005</v>
      </c>
      <c r="Q1418">
        <v>0.15861819999999999</v>
      </c>
      <c r="R1418">
        <v>-7.2796890000000003E-2</v>
      </c>
      <c r="S1418">
        <v>-3.0606080000000002</v>
      </c>
      <c r="T1418">
        <v>-0.12570329999999999</v>
      </c>
      <c r="U1418">
        <v>-8.9996339999999994E-2</v>
      </c>
      <c r="V1418">
        <v>0.18503420000000001</v>
      </c>
      <c r="W1418">
        <v>0.16534749999999901</v>
      </c>
      <c r="X1418">
        <v>0.96872210000000003</v>
      </c>
      <c r="Y1418">
        <v>0.22978850000000001</v>
      </c>
      <c r="Z1418">
        <v>1.523215E-2</v>
      </c>
      <c r="AA1418">
        <v>0.97312140000000003</v>
      </c>
      <c r="AB1418">
        <v>14</v>
      </c>
      <c r="AC1418">
        <v>-26.843399999999999</v>
      </c>
      <c r="AD1418">
        <v>-1.108131806077</v>
      </c>
      <c r="AE1418">
        <v>-0.76160000000004402</v>
      </c>
      <c r="AF1418">
        <v>6.1981210256929797</v>
      </c>
      <c r="AG1418">
        <v>-1.108131806077</v>
      </c>
      <c r="AH1418">
        <v>26.0822123347427</v>
      </c>
      <c r="AI1418">
        <v>92.366974190415405</v>
      </c>
      <c r="AJ1418">
        <v>76.6323049458112</v>
      </c>
      <c r="AK1418">
        <v>26.831445369628899</v>
      </c>
      <c r="AL1418">
        <v>80.482577759352097</v>
      </c>
      <c r="AM1418">
        <v>79.186271172772194</v>
      </c>
      <c r="AN1418">
        <v>0.99999997897714898</v>
      </c>
    </row>
    <row r="1419" spans="1:40" x14ac:dyDescent="0.25">
      <c r="A1419" t="str">
        <f>"20190312172642615"</f>
        <v>20190312172642615</v>
      </c>
      <c r="B1419" t="str">
        <f>"1552382802609700"</f>
        <v>1552382802609700</v>
      </c>
      <c r="C1419" t="s">
        <v>40</v>
      </c>
      <c r="D1419">
        <v>3.3470360000000001</v>
      </c>
      <c r="E1419">
        <v>0.51485590000000003</v>
      </c>
      <c r="F1419" t="s">
        <v>48</v>
      </c>
      <c r="G1419">
        <v>-235.05840000000001</v>
      </c>
      <c r="H1419" s="1">
        <v>1.223914E-6</v>
      </c>
      <c r="I1419">
        <v>283.0403</v>
      </c>
      <c r="J1419">
        <v>-208.3098</v>
      </c>
      <c r="K1419">
        <v>1.1081589999999999</v>
      </c>
      <c r="L1419">
        <v>283.77859999999998</v>
      </c>
      <c r="M1419">
        <v>-0.96715220000000002</v>
      </c>
      <c r="N1419">
        <v>0</v>
      </c>
      <c r="O1419">
        <v>-0.25408649999999999</v>
      </c>
      <c r="P1419">
        <v>-0.98486719999999905</v>
      </c>
      <c r="Q1419">
        <v>0.1585742</v>
      </c>
      <c r="R1419">
        <v>-6.9937280000000004E-2</v>
      </c>
      <c r="S1419">
        <v>-3.0605769999999999</v>
      </c>
      <c r="T1419">
        <v>-0.12608440000000001</v>
      </c>
      <c r="U1419">
        <v>-8.7921139999999995E-2</v>
      </c>
      <c r="V1419">
        <v>0.1832165</v>
      </c>
      <c r="W1419">
        <v>0.16522429999999999</v>
      </c>
      <c r="X1419">
        <v>0.96908859999999997</v>
      </c>
      <c r="Y1419">
        <v>0.22581390000000001</v>
      </c>
      <c r="Z1419">
        <v>1.501272E-2</v>
      </c>
      <c r="AA1419">
        <v>0.9740548</v>
      </c>
      <c r="AB1419">
        <v>14</v>
      </c>
      <c r="AC1419">
        <v>-26.7486</v>
      </c>
      <c r="AD1419">
        <v>-1.108157776086</v>
      </c>
      <c r="AE1419">
        <v>-0.73829999999998097</v>
      </c>
      <c r="AF1419">
        <v>6.0721681272566999</v>
      </c>
      <c r="AG1419">
        <v>-1.108157776086</v>
      </c>
      <c r="AH1419">
        <v>26.013683698675901</v>
      </c>
      <c r="AI1419">
        <v>92.375489153296201</v>
      </c>
      <c r="AJ1419">
        <v>76.861155587326706</v>
      </c>
      <c r="AK1419">
        <v>26.735949188258299</v>
      </c>
      <c r="AL1419">
        <v>80.489735579943499</v>
      </c>
      <c r="AM1419">
        <v>79.293988580122004</v>
      </c>
      <c r="AN1419">
        <v>1.00000003491634</v>
      </c>
    </row>
    <row r="1420" spans="1:40" x14ac:dyDescent="0.25">
      <c r="A1420" t="str">
        <f>"20190312172642638"</f>
        <v>20190312172642638</v>
      </c>
      <c r="B1420" t="str">
        <f>"1552382802630195"</f>
        <v>1552382802630195</v>
      </c>
      <c r="C1420" t="s">
        <v>40</v>
      </c>
      <c r="D1420">
        <v>3.3376199999999998</v>
      </c>
      <c r="E1420">
        <v>0.51171440000000001</v>
      </c>
      <c r="F1420" t="s">
        <v>48</v>
      </c>
      <c r="G1420">
        <v>-235.26560000000001</v>
      </c>
      <c r="H1420" s="1">
        <v>1.333921E-6</v>
      </c>
      <c r="I1420">
        <v>283.0462</v>
      </c>
      <c r="J1420">
        <v>-208.45079999999999</v>
      </c>
      <c r="K1420">
        <v>1.108177</v>
      </c>
      <c r="L1420">
        <v>283.74669999999998</v>
      </c>
      <c r="M1420">
        <v>-0.96824049999999995</v>
      </c>
      <c r="N1420">
        <v>0</v>
      </c>
      <c r="O1420">
        <v>-0.24990989999999999</v>
      </c>
      <c r="P1420">
        <v>-0.98494990000000004</v>
      </c>
      <c r="Q1420">
        <v>0.15874440000000001</v>
      </c>
      <c r="R1420">
        <v>-6.8366949999999996E-2</v>
      </c>
      <c r="S1420">
        <v>-3.0604710000000002</v>
      </c>
      <c r="T1420">
        <v>-0.12581629999999999</v>
      </c>
      <c r="U1420">
        <v>-8.3160399999999995E-2</v>
      </c>
      <c r="V1420">
        <v>0.18055850000000001</v>
      </c>
      <c r="W1420">
        <v>0.165326799999999</v>
      </c>
      <c r="X1420">
        <v>0.96956989999999998</v>
      </c>
      <c r="Y1420">
        <v>0.22312899999999999</v>
      </c>
      <c r="Z1420">
        <v>1.476004E-2</v>
      </c>
      <c r="AA1420">
        <v>0.97467720000000002</v>
      </c>
      <c r="AB1420">
        <v>14</v>
      </c>
      <c r="AC1420">
        <v>-26.814800000000002</v>
      </c>
      <c r="AD1420">
        <v>-1.1081756660790001</v>
      </c>
      <c r="AE1420">
        <v>-0.70049999999997603</v>
      </c>
      <c r="AF1420">
        <v>6.0129356661130204</v>
      </c>
      <c r="AG1420">
        <v>-1.1081756660790001</v>
      </c>
      <c r="AH1420">
        <v>26.094424136968101</v>
      </c>
      <c r="AI1420">
        <v>92.369743846278496</v>
      </c>
      <c r="AJ1420">
        <v>77.023843513548698</v>
      </c>
      <c r="AK1420">
        <v>26.801164520813</v>
      </c>
      <c r="AL1420">
        <v>80.483781080884</v>
      </c>
      <c r="AM1420">
        <v>79.450912367973103</v>
      </c>
      <c r="AN1420">
        <v>1.0000000568532399</v>
      </c>
    </row>
    <row r="1421" spans="1:40" x14ac:dyDescent="0.25">
      <c r="A1421" t="str">
        <f>"20190312172642659"</f>
        <v>20190312172642659</v>
      </c>
      <c r="B1421" t="str">
        <f>"1552382802649715"</f>
        <v>1552382802649715</v>
      </c>
      <c r="C1421" t="s">
        <v>40</v>
      </c>
      <c r="D1421">
        <v>3.3688069999999999</v>
      </c>
      <c r="E1421">
        <v>0.51161020000000001</v>
      </c>
      <c r="F1421" t="s">
        <v>48</v>
      </c>
      <c r="G1421">
        <v>-238.85130000000001</v>
      </c>
      <c r="H1421" s="1">
        <v>3.256307E-6</v>
      </c>
      <c r="I1421">
        <v>282.72050000000002</v>
      </c>
      <c r="J1421">
        <v>-208.59389999999999</v>
      </c>
      <c r="K1421">
        <v>1.1081890000000001</v>
      </c>
      <c r="L1421">
        <v>283.7149</v>
      </c>
      <c r="M1421">
        <v>-0.96928590000000003</v>
      </c>
      <c r="N1421">
        <v>0</v>
      </c>
      <c r="O1421">
        <v>-0.24582609999999999</v>
      </c>
      <c r="P1421">
        <v>-0.98499519999999996</v>
      </c>
      <c r="Q1421">
        <v>0.15938099999999999</v>
      </c>
      <c r="R1421">
        <v>-6.6198320000000005E-2</v>
      </c>
      <c r="S1421">
        <v>-3.0566559999999998</v>
      </c>
      <c r="T1421">
        <v>-0.1114227</v>
      </c>
      <c r="U1421">
        <v>-0.1031799</v>
      </c>
      <c r="V1421">
        <v>0.17856929999999999</v>
      </c>
      <c r="W1421">
        <v>0.16589670000000001</v>
      </c>
      <c r="X1421">
        <v>0.96984079999999995</v>
      </c>
      <c r="Y1421">
        <v>0.2126905</v>
      </c>
      <c r="Z1421">
        <v>1.275078E-2</v>
      </c>
      <c r="AA1421">
        <v>0.97703640000000003</v>
      </c>
      <c r="AB1421">
        <v>15</v>
      </c>
      <c r="AC1421">
        <v>-30.257400000000001</v>
      </c>
      <c r="AD1421">
        <v>-1.1081857436929901</v>
      </c>
      <c r="AE1421">
        <v>-0.99439999999998396</v>
      </c>
      <c r="AF1421">
        <v>6.4657129343996997</v>
      </c>
      <c r="AG1421">
        <v>-1.1081857436929901</v>
      </c>
      <c r="AH1421">
        <v>29.533750507012702</v>
      </c>
      <c r="AI1421">
        <v>92.099212171613004</v>
      </c>
      <c r="AJ1421">
        <v>77.651276430065295</v>
      </c>
      <c r="AK1421">
        <v>30.253527701791398</v>
      </c>
      <c r="AL1421">
        <v>80.450669910422206</v>
      </c>
      <c r="AM1421">
        <v>79.567414887415794</v>
      </c>
      <c r="AN1421">
        <v>0.99999994365900802</v>
      </c>
    </row>
    <row r="1422" spans="1:40" x14ac:dyDescent="0.25">
      <c r="A1422" t="str">
        <f>"20190312172642681"</f>
        <v>20190312172642681</v>
      </c>
      <c r="B1422" t="str">
        <f>"1552382802670211"</f>
        <v>1552382802670211</v>
      </c>
      <c r="C1422" t="s">
        <v>40</v>
      </c>
      <c r="D1422">
        <v>3.3501129999999999</v>
      </c>
      <c r="E1422">
        <v>0.51149109999999998</v>
      </c>
      <c r="F1422" t="s">
        <v>48</v>
      </c>
      <c r="G1422">
        <v>-238.34559999999999</v>
      </c>
      <c r="H1422" s="1">
        <v>2.9849349999999999E-6</v>
      </c>
      <c r="I1422">
        <v>282.7724</v>
      </c>
      <c r="J1422">
        <v>-208.7355</v>
      </c>
      <c r="K1422">
        <v>1.108209</v>
      </c>
      <c r="L1422">
        <v>283.68380000000002</v>
      </c>
      <c r="M1422">
        <v>-0.97026579999999996</v>
      </c>
      <c r="N1422">
        <v>0</v>
      </c>
      <c r="O1422">
        <v>-0.24193210000000001</v>
      </c>
      <c r="P1422">
        <v>-0.98511079999999995</v>
      </c>
      <c r="Q1422">
        <v>0.15938239999999901</v>
      </c>
      <c r="R1422">
        <v>-6.445236E-2</v>
      </c>
      <c r="S1422">
        <v>-3.057617</v>
      </c>
      <c r="T1422">
        <v>-0.1138893</v>
      </c>
      <c r="U1422">
        <v>-9.6862790000000004E-2</v>
      </c>
      <c r="V1422">
        <v>0.17637649999999999</v>
      </c>
      <c r="W1422">
        <v>0.165841299999999</v>
      </c>
      <c r="X1422">
        <v>0.97025150000000004</v>
      </c>
      <c r="Y1422">
        <v>0.2107842</v>
      </c>
      <c r="Z1422">
        <v>1.285303E-2</v>
      </c>
      <c r="AA1422">
        <v>0.97744810000000004</v>
      </c>
      <c r="AB1422">
        <v>15</v>
      </c>
      <c r="AC1422">
        <v>-29.6100999999999</v>
      </c>
      <c r="AD1422">
        <v>-1.1082060150649999</v>
      </c>
      <c r="AE1422">
        <v>-0.91140000000001398</v>
      </c>
      <c r="AF1422">
        <v>6.2707248445572201</v>
      </c>
      <c r="AG1422">
        <v>-1.1082060150649999</v>
      </c>
      <c r="AH1422">
        <v>28.910475387628999</v>
      </c>
      <c r="AI1422">
        <v>92.145368687772702</v>
      </c>
      <c r="AJ1422">
        <v>77.7620275011258</v>
      </c>
      <c r="AK1422">
        <v>29.603474420862799</v>
      </c>
      <c r="AL1422">
        <v>80.453889129404402</v>
      </c>
      <c r="AM1422">
        <v>79.697032120654299</v>
      </c>
      <c r="AN1422">
        <v>0.99999998989509498</v>
      </c>
    </row>
    <row r="1423" spans="1:40" x14ac:dyDescent="0.25">
      <c r="A1423" t="str">
        <f>"20190312172642706"</f>
        <v>20190312172642706</v>
      </c>
      <c r="B1423" t="str">
        <f>"1552382802700467"</f>
        <v>1552382802700467</v>
      </c>
      <c r="C1423" t="s">
        <v>40</v>
      </c>
      <c r="D1423">
        <v>3.3751329999999999</v>
      </c>
      <c r="E1423">
        <v>0.51138070000000002</v>
      </c>
      <c r="F1423" t="s">
        <v>48</v>
      </c>
      <c r="G1423">
        <v>-238.60830000000001</v>
      </c>
      <c r="H1423" s="1">
        <v>3.1244819999999998E-6</v>
      </c>
      <c r="I1423">
        <v>282.7774</v>
      </c>
      <c r="J1423">
        <v>-208.8937</v>
      </c>
      <c r="K1423">
        <v>1.108236</v>
      </c>
      <c r="L1423">
        <v>283.64960000000002</v>
      </c>
      <c r="M1423">
        <v>-0.97129860000000001</v>
      </c>
      <c r="N1423">
        <v>0</v>
      </c>
      <c r="O1423">
        <v>-0.23775479999999999</v>
      </c>
      <c r="P1423">
        <v>-0.98533820000000005</v>
      </c>
      <c r="Q1423">
        <v>0.1586997</v>
      </c>
      <c r="R1423">
        <v>-6.263639E-2</v>
      </c>
      <c r="S1423">
        <v>-3.057617</v>
      </c>
      <c r="T1423">
        <v>-0.1134303</v>
      </c>
      <c r="U1423">
        <v>-9.2773439999999999E-2</v>
      </c>
      <c r="V1423">
        <v>0.17398930000000001</v>
      </c>
      <c r="W1423">
        <v>0.1651029</v>
      </c>
      <c r="X1423">
        <v>0.97080829999999996</v>
      </c>
      <c r="Y1423">
        <v>0.20789009999999999</v>
      </c>
      <c r="Z1423">
        <v>1.259713E-2</v>
      </c>
      <c r="AA1423">
        <v>0.97807100000000002</v>
      </c>
      <c r="AB1423">
        <v>15</v>
      </c>
      <c r="AC1423">
        <v>-29.714600000000001</v>
      </c>
      <c r="AD1423">
        <v>-1.108232875518</v>
      </c>
      <c r="AE1423">
        <v>-0.87220000000001996</v>
      </c>
      <c r="AF1423">
        <v>6.2091534242725501</v>
      </c>
      <c r="AG1423">
        <v>-1.108232875518</v>
      </c>
      <c r="AH1423">
        <v>29.029525500687502</v>
      </c>
      <c r="AI1423">
        <v>92.137953686904694</v>
      </c>
      <c r="AJ1423">
        <v>77.926868796833006</v>
      </c>
      <c r="AK1423">
        <v>29.7068193711074</v>
      </c>
      <c r="AL1423">
        <v>80.496787808454201</v>
      </c>
      <c r="AM1423">
        <v>79.839261061419094</v>
      </c>
      <c r="AN1423">
        <v>0.99999999972589404</v>
      </c>
    </row>
    <row r="1424" spans="1:40" x14ac:dyDescent="0.25">
      <c r="A1424" t="str">
        <f>"20190312172642728"</f>
        <v>20190312172642728</v>
      </c>
      <c r="B1424" t="str">
        <f>"1552382802719987"</f>
        <v>1552382802719987</v>
      </c>
      <c r="C1424" t="s">
        <v>40</v>
      </c>
      <c r="D1424">
        <v>3.352449</v>
      </c>
      <c r="E1424">
        <v>0.5112409</v>
      </c>
      <c r="F1424" t="s">
        <v>48</v>
      </c>
      <c r="G1424">
        <v>-237.98560000000001</v>
      </c>
      <c r="H1424" s="1">
        <v>2.7917479999999999E-6</v>
      </c>
      <c r="I1424">
        <v>282.80930000000001</v>
      </c>
      <c r="J1424">
        <v>-209.04409999999999</v>
      </c>
      <c r="K1424">
        <v>1.1082719999999999</v>
      </c>
      <c r="L1424">
        <v>283.61750000000001</v>
      </c>
      <c r="M1424">
        <v>-0.9722227</v>
      </c>
      <c r="N1424">
        <v>0</v>
      </c>
      <c r="O1424">
        <v>-0.23395050000000001</v>
      </c>
      <c r="P1424">
        <v>-0.98551009999999994</v>
      </c>
      <c r="Q1424">
        <v>0.1579884</v>
      </c>
      <c r="R1424">
        <v>-6.1724130000000002E-2</v>
      </c>
      <c r="S1424">
        <v>-3.057785</v>
      </c>
      <c r="T1424">
        <v>-0.1164838</v>
      </c>
      <c r="U1424">
        <v>-8.8317870000000007E-2</v>
      </c>
      <c r="V1424">
        <v>0.17108480000000001</v>
      </c>
      <c r="W1424">
        <v>0.1643434</v>
      </c>
      <c r="X1424">
        <v>0.97145320000000002</v>
      </c>
      <c r="Y1424">
        <v>0.20547360000000001</v>
      </c>
      <c r="Z1424">
        <v>1.2748529999999999E-2</v>
      </c>
      <c r="AA1424">
        <v>0.97857959999999999</v>
      </c>
      <c r="AB1424">
        <v>15</v>
      </c>
      <c r="AC1424">
        <v>-28.941500000000001</v>
      </c>
      <c r="AD1424">
        <v>-1.10826920825199</v>
      </c>
      <c r="AE1424">
        <v>-0.80819999999999903</v>
      </c>
      <c r="AF1424">
        <v>5.97652113642875</v>
      </c>
      <c r="AG1424">
        <v>-1.10826920825199</v>
      </c>
      <c r="AH1424">
        <v>28.285927099803398</v>
      </c>
      <c r="AI1424">
        <v>92.195335357548302</v>
      </c>
      <c r="AJ1424">
        <v>78.0694735935907</v>
      </c>
      <c r="AK1424">
        <v>28.931656320154399</v>
      </c>
      <c r="AL1424">
        <v>80.540907016759306</v>
      </c>
      <c r="AM1424">
        <v>80.011933120212305</v>
      </c>
      <c r="AN1424">
        <v>1.0000000408524099</v>
      </c>
    </row>
    <row r="1425" spans="1:40" x14ac:dyDescent="0.25">
      <c r="A1425" t="str">
        <f>"20190312172642750"</f>
        <v>20190312172642750</v>
      </c>
      <c r="B1425" t="str">
        <f>"1552382802740483"</f>
        <v>1552382802740483</v>
      </c>
      <c r="C1425" t="s">
        <v>40</v>
      </c>
      <c r="D1425">
        <v>3.3861750000000002</v>
      </c>
      <c r="E1425">
        <v>0.51111269999999998</v>
      </c>
      <c r="F1425" t="s">
        <v>48</v>
      </c>
      <c r="G1425">
        <v>-237.28800000000001</v>
      </c>
      <c r="H1425" s="1">
        <v>2.420125E-6</v>
      </c>
      <c r="I1425">
        <v>282.81869999999998</v>
      </c>
      <c r="J1425">
        <v>-209.18940000000001</v>
      </c>
      <c r="K1425">
        <v>1.108311</v>
      </c>
      <c r="L1425">
        <v>283.58690000000001</v>
      </c>
      <c r="M1425">
        <v>-0.97306219999999999</v>
      </c>
      <c r="N1425">
        <v>0</v>
      </c>
      <c r="O1425">
        <v>-0.23043720000000001</v>
      </c>
      <c r="P1425">
        <v>-0.98557709999999998</v>
      </c>
      <c r="Q1425">
        <v>0.15774820000000001</v>
      </c>
      <c r="R1425">
        <v>-6.1267090000000003E-2</v>
      </c>
      <c r="S1425">
        <v>-3.057922</v>
      </c>
      <c r="T1425">
        <v>-0.11999020000000001</v>
      </c>
      <c r="U1425">
        <v>-8.6486820000000006E-2</v>
      </c>
      <c r="V1425">
        <v>0.1680073</v>
      </c>
      <c r="W1425">
        <v>0.1640527</v>
      </c>
      <c r="X1425">
        <v>0.97203919999999999</v>
      </c>
      <c r="Y1425">
        <v>0.2025101</v>
      </c>
      <c r="Z1425">
        <v>1.293893E-2</v>
      </c>
      <c r="AA1425">
        <v>0.97919469999999997</v>
      </c>
      <c r="AB1425">
        <v>15</v>
      </c>
      <c r="AC1425">
        <v>-28.098599999999902</v>
      </c>
      <c r="AD1425">
        <v>-1.1083085798749901</v>
      </c>
      <c r="AE1425">
        <v>-0.76820000000003497</v>
      </c>
      <c r="AF1425">
        <v>5.7187051757448</v>
      </c>
      <c r="AG1425">
        <v>-1.1083085798749901</v>
      </c>
      <c r="AH1425">
        <v>27.476660741990401</v>
      </c>
      <c r="AI1425">
        <v>92.261441931844203</v>
      </c>
      <c r="AJ1425">
        <v>78.242901480877507</v>
      </c>
      <c r="AK1425">
        <v>28.087342742341299</v>
      </c>
      <c r="AL1425">
        <v>80.557791434406298</v>
      </c>
      <c r="AM1425">
        <v>80.193877209860005</v>
      </c>
      <c r="AN1425">
        <v>0.99999997378360905</v>
      </c>
    </row>
    <row r="1426" spans="1:40" x14ac:dyDescent="0.25">
      <c r="A1426" t="str">
        <f>"20190312172642771"</f>
        <v>20190312172642771</v>
      </c>
      <c r="B1426" t="str">
        <f>"1552382802760003"</f>
        <v>1552382802760003</v>
      </c>
      <c r="C1426" t="s">
        <v>40</v>
      </c>
      <c r="D1426">
        <v>3.3535379999999999</v>
      </c>
      <c r="E1426">
        <v>0.51082039999999995</v>
      </c>
      <c r="F1426" t="s">
        <v>48</v>
      </c>
      <c r="G1426">
        <v>-237.17939999999999</v>
      </c>
      <c r="H1426" s="1">
        <v>2.3631220000000001E-6</v>
      </c>
      <c r="I1426">
        <v>282.80029999999999</v>
      </c>
      <c r="J1426">
        <v>-209.33410000000001</v>
      </c>
      <c r="K1426">
        <v>1.1083379999999901</v>
      </c>
      <c r="L1426">
        <v>283.55680000000001</v>
      </c>
      <c r="M1426">
        <v>-0.97385619999999995</v>
      </c>
      <c r="N1426">
        <v>0</v>
      </c>
      <c r="O1426">
        <v>-0.22706009999999999</v>
      </c>
      <c r="P1426">
        <v>-0.98558080000000003</v>
      </c>
      <c r="Q1426">
        <v>0.15772559999999999</v>
      </c>
      <c r="R1426">
        <v>-6.1262469999999999E-2</v>
      </c>
      <c r="S1426">
        <v>-3.057938</v>
      </c>
      <c r="T1426">
        <v>-0.1210836</v>
      </c>
      <c r="U1426">
        <v>-8.59375E-2</v>
      </c>
      <c r="V1426">
        <v>0.1646195</v>
      </c>
      <c r="W1426">
        <v>0.16397320000000001</v>
      </c>
      <c r="X1426">
        <v>0.9726321</v>
      </c>
      <c r="Y1426">
        <v>0.19928670000000001</v>
      </c>
      <c r="Z1426">
        <v>1.286229E-2</v>
      </c>
      <c r="AA1426">
        <v>0.97985679999999997</v>
      </c>
      <c r="AB1426">
        <v>15</v>
      </c>
      <c r="AC1426">
        <v>-27.845299999999899</v>
      </c>
      <c r="AD1426">
        <v>-1.10833563687799</v>
      </c>
      <c r="AE1426">
        <v>-0.75650000000001605</v>
      </c>
      <c r="AF1426">
        <v>5.5771385574020096</v>
      </c>
      <c r="AG1426">
        <v>-1.10833563687799</v>
      </c>
      <c r="AH1426">
        <v>27.2466063208762</v>
      </c>
      <c r="AI1426">
        <v>92.282123089531197</v>
      </c>
      <c r="AJ1426">
        <v>78.431858193595801</v>
      </c>
      <c r="AK1426">
        <v>27.833620648008399</v>
      </c>
      <c r="AL1426">
        <v>80.562409190750998</v>
      </c>
      <c r="AM1426">
        <v>80.393637804526506</v>
      </c>
      <c r="AN1426">
        <v>0.99999999602445</v>
      </c>
    </row>
    <row r="1427" spans="1:40" x14ac:dyDescent="0.25">
      <c r="A1427" t="str">
        <f>"20190312172642794"</f>
        <v>20190312172642794</v>
      </c>
      <c r="B1427" t="str">
        <f>"1552382802790259"</f>
        <v>1552382802790259</v>
      </c>
      <c r="C1427" t="s">
        <v>40</v>
      </c>
      <c r="D1427">
        <v>3.362266</v>
      </c>
      <c r="E1427">
        <v>0.51058919999999997</v>
      </c>
      <c r="F1427" t="s">
        <v>48</v>
      </c>
      <c r="G1427">
        <v>-237.5489</v>
      </c>
      <c r="H1427" s="1">
        <v>2.562452E-6</v>
      </c>
      <c r="I1427">
        <v>282.73790000000002</v>
      </c>
      <c r="J1427">
        <v>-209.48320000000001</v>
      </c>
      <c r="K1427">
        <v>1.1083499999999999</v>
      </c>
      <c r="L1427">
        <v>283.52620000000002</v>
      </c>
      <c r="M1427">
        <v>-0.97463330000000004</v>
      </c>
      <c r="N1427">
        <v>0</v>
      </c>
      <c r="O1427">
        <v>-0.22370290000000001</v>
      </c>
      <c r="P1427">
        <v>-0.98552499999999998</v>
      </c>
      <c r="Q1427">
        <v>0.15824489999999999</v>
      </c>
      <c r="R1427">
        <v>-6.0818690000000002E-2</v>
      </c>
      <c r="S1427">
        <v>-3.0576020000000002</v>
      </c>
      <c r="T1427">
        <v>-0.1201092</v>
      </c>
      <c r="U1427">
        <v>-8.8745119999999997E-2</v>
      </c>
      <c r="V1427">
        <v>0.1616746</v>
      </c>
      <c r="W1427">
        <v>0.16442899999999999</v>
      </c>
      <c r="X1427">
        <v>0.97304900000000005</v>
      </c>
      <c r="Y1427">
        <v>0.1950172</v>
      </c>
      <c r="Z1427">
        <v>1.254708E-2</v>
      </c>
      <c r="AA1427">
        <v>0.98071960000000002</v>
      </c>
      <c r="AB1427">
        <v>15</v>
      </c>
      <c r="AC1427">
        <v>-28.0657</v>
      </c>
      <c r="AD1427">
        <v>-1.108347437548</v>
      </c>
      <c r="AE1427">
        <v>-0.78829999999999201</v>
      </c>
      <c r="AF1427">
        <v>5.5016310640398496</v>
      </c>
      <c r="AG1427">
        <v>-1.108347437548</v>
      </c>
      <c r="AH1427">
        <v>27.487921927894</v>
      </c>
      <c r="AI1427">
        <v>92.264130918035093</v>
      </c>
      <c r="AJ1427">
        <v>78.681957284520607</v>
      </c>
      <c r="AK1427">
        <v>28.054985837122199</v>
      </c>
      <c r="AL1427">
        <v>80.535934126700994</v>
      </c>
      <c r="AM1427">
        <v>80.566339198350093</v>
      </c>
      <c r="AN1427">
        <v>0.99999996436357896</v>
      </c>
    </row>
    <row r="1428" spans="1:40" x14ac:dyDescent="0.25">
      <c r="A1428" t="str">
        <f>"20190312172642816"</f>
        <v>20190312172642816</v>
      </c>
      <c r="B1428" t="str">
        <f>"1552382802809779"</f>
        <v>1552382802809779</v>
      </c>
      <c r="C1428" t="s">
        <v>40</v>
      </c>
      <c r="D1428">
        <v>3.3576670000000002</v>
      </c>
      <c r="E1428">
        <v>0.51038339999999904</v>
      </c>
      <c r="F1428" t="s">
        <v>48</v>
      </c>
      <c r="G1428">
        <v>-238.27420000000001</v>
      </c>
      <c r="H1428" s="1">
        <v>2.95081E-6</v>
      </c>
      <c r="I1428">
        <v>282.68360000000001</v>
      </c>
      <c r="J1428">
        <v>-209.63589999999999</v>
      </c>
      <c r="K1428">
        <v>1.1083480000000001</v>
      </c>
      <c r="L1428">
        <v>283.49520000000001</v>
      </c>
      <c r="M1428">
        <v>-0.97538970000000003</v>
      </c>
      <c r="N1428">
        <v>0</v>
      </c>
      <c r="O1428">
        <v>-0.2203851</v>
      </c>
      <c r="P1428">
        <v>-0.98546529999999999</v>
      </c>
      <c r="Q1428">
        <v>0.15874920000000001</v>
      </c>
      <c r="R1428">
        <v>-6.0475849999999998E-2</v>
      </c>
      <c r="S1428">
        <v>-3.0574189999999999</v>
      </c>
      <c r="T1428">
        <v>-0.11769930000000001</v>
      </c>
      <c r="U1428">
        <v>-8.9477539999999994E-2</v>
      </c>
      <c r="V1428">
        <v>0.1586756</v>
      </c>
      <c r="W1428">
        <v>0.16486689999999901</v>
      </c>
      <c r="X1428">
        <v>0.97346849999999996</v>
      </c>
      <c r="Y1428">
        <v>0.19145960000000001</v>
      </c>
      <c r="Z1428">
        <v>1.2102720000000001E-2</v>
      </c>
      <c r="AA1428">
        <v>0.98142589999999996</v>
      </c>
      <c r="AB1428">
        <v>15</v>
      </c>
      <c r="AC1428">
        <v>-28.638300000000001</v>
      </c>
      <c r="AD1428">
        <v>-1.10834504919</v>
      </c>
      <c r="AE1428">
        <v>-0.81159999999999799</v>
      </c>
      <c r="AF1428">
        <v>5.5117046317468903</v>
      </c>
      <c r="AG1428">
        <v>-1.10834504919</v>
      </c>
      <c r="AH1428">
        <v>28.070993577612601</v>
      </c>
      <c r="AI1428">
        <v>92.218750010429304</v>
      </c>
      <c r="AJ1428">
        <v>78.891362796604</v>
      </c>
      <c r="AK1428">
        <v>28.628447340539601</v>
      </c>
      <c r="AL1428">
        <v>80.510497305676196</v>
      </c>
      <c r="AM1428">
        <v>80.742191654499095</v>
      </c>
      <c r="AN1428">
        <v>0.999999980621609</v>
      </c>
    </row>
    <row r="1429" spans="1:40" x14ac:dyDescent="0.25">
      <c r="A1429" t="str">
        <f>"20190312172642838"</f>
        <v>20190312172642838</v>
      </c>
      <c r="B1429" t="str">
        <f>"1552382802830276"</f>
        <v>1552382802830276</v>
      </c>
      <c r="C1429" t="s">
        <v>40</v>
      </c>
      <c r="D1429">
        <v>3.378844</v>
      </c>
      <c r="E1429">
        <v>0.51027540000000005</v>
      </c>
      <c r="F1429" t="s">
        <v>48</v>
      </c>
      <c r="G1429">
        <v>-238.7193</v>
      </c>
      <c r="H1429" s="1">
        <v>3.1898360000000001E-6</v>
      </c>
      <c r="I1429">
        <v>282.63389999999998</v>
      </c>
      <c r="J1429">
        <v>-209.78380000000001</v>
      </c>
      <c r="K1429">
        <v>1.108344</v>
      </c>
      <c r="L1429">
        <v>283.46559999999999</v>
      </c>
      <c r="M1429">
        <v>-0.97608669999999997</v>
      </c>
      <c r="N1429">
        <v>0</v>
      </c>
      <c r="O1429">
        <v>-0.21727949999999999</v>
      </c>
      <c r="P1429">
        <v>-0.98538539999999997</v>
      </c>
      <c r="Q1429">
        <v>0.15925029999999901</v>
      </c>
      <c r="R1429">
        <v>-6.0461139999999997E-2</v>
      </c>
      <c r="S1429">
        <v>-3.0574650000000001</v>
      </c>
      <c r="T1429">
        <v>-0.11651739999999999</v>
      </c>
      <c r="U1429">
        <v>-9.0545650000000005E-2</v>
      </c>
      <c r="V1429">
        <v>0.1555677</v>
      </c>
      <c r="W1429">
        <v>0.16530610000000001</v>
      </c>
      <c r="X1429">
        <v>0.97389550000000003</v>
      </c>
      <c r="Y1429">
        <v>0.18800320000000001</v>
      </c>
      <c r="Z1429">
        <v>1.1799260000000001E-2</v>
      </c>
      <c r="AA1429">
        <v>0.98209760000000002</v>
      </c>
      <c r="AB1429">
        <v>15</v>
      </c>
      <c r="AC1429">
        <v>-28.935499999999902</v>
      </c>
      <c r="AD1429">
        <v>-1.108340810164</v>
      </c>
      <c r="AE1429">
        <v>-0.83170000000001199</v>
      </c>
      <c r="AF1429">
        <v>5.4673861039364997</v>
      </c>
      <c r="AG1429">
        <v>-1.108340810164</v>
      </c>
      <c r="AH1429">
        <v>28.383289583420101</v>
      </c>
      <c r="AI1429">
        <v>92.195882652437504</v>
      </c>
      <c r="AJ1429">
        <v>79.096835007438898</v>
      </c>
      <c r="AK1429">
        <v>28.926317735537602</v>
      </c>
      <c r="AL1429">
        <v>80.484982436206593</v>
      </c>
      <c r="AM1429">
        <v>80.924384528317603</v>
      </c>
      <c r="AN1429">
        <v>0.99999993045037205</v>
      </c>
    </row>
    <row r="1430" spans="1:40" x14ac:dyDescent="0.25">
      <c r="A1430" t="str">
        <f>"20190312172642861"</f>
        <v>20190312172642861</v>
      </c>
      <c r="B1430" t="str">
        <f>"1552382802850771"</f>
        <v>1552382802850771</v>
      </c>
      <c r="C1430" t="s">
        <v>40</v>
      </c>
      <c r="D1430">
        <v>3.3847680000000002</v>
      </c>
      <c r="E1430">
        <v>0.51018790000000003</v>
      </c>
      <c r="F1430" t="s">
        <v>48</v>
      </c>
      <c r="G1430">
        <v>-239.15989999999999</v>
      </c>
      <c r="H1430" s="1">
        <v>3.426112E-6</v>
      </c>
      <c r="I1430">
        <v>282.59210000000002</v>
      </c>
      <c r="J1430">
        <v>-209.94479999999999</v>
      </c>
      <c r="K1430">
        <v>1.108341</v>
      </c>
      <c r="L1430">
        <v>283.43369999999999</v>
      </c>
      <c r="M1430">
        <v>-0.97681090000000004</v>
      </c>
      <c r="N1430">
        <v>0</v>
      </c>
      <c r="O1430">
        <v>-0.21400350000000001</v>
      </c>
      <c r="P1430">
        <v>-0.98530810000000002</v>
      </c>
      <c r="Q1430">
        <v>0.16017679999999901</v>
      </c>
      <c r="R1430">
        <v>-5.9261139999999997E-2</v>
      </c>
      <c r="S1430">
        <v>-3.0575559999999999</v>
      </c>
      <c r="T1430">
        <v>-0.1153595</v>
      </c>
      <c r="U1430">
        <v>-9.0911870000000006E-2</v>
      </c>
      <c r="V1430">
        <v>0.1534507</v>
      </c>
      <c r="W1430">
        <v>0.16616049999999999</v>
      </c>
      <c r="X1430">
        <v>0.97408600000000001</v>
      </c>
      <c r="Y1430">
        <v>0.1846006</v>
      </c>
      <c r="Z1430">
        <v>1.149644E-2</v>
      </c>
      <c r="AA1430">
        <v>0.98274640000000002</v>
      </c>
      <c r="AB1430">
        <v>15</v>
      </c>
      <c r="AC1430">
        <v>-29.2151</v>
      </c>
      <c r="AD1430">
        <v>-1.1083375738879999</v>
      </c>
      <c r="AE1430">
        <v>-0.84159999999997104</v>
      </c>
      <c r="AF1430">
        <v>5.4223687115528802</v>
      </c>
      <c r="AG1430">
        <v>-1.1083375738879999</v>
      </c>
      <c r="AH1430">
        <v>28.677111798829898</v>
      </c>
      <c r="AI1430">
        <v>92.174816524152803</v>
      </c>
      <c r="AJ1430">
        <v>79.292723298434396</v>
      </c>
      <c r="AK1430">
        <v>29.206287606341</v>
      </c>
      <c r="AL1430">
        <v>80.435342926035304</v>
      </c>
      <c r="AM1430">
        <v>81.047595776513802</v>
      </c>
      <c r="AN1430">
        <v>0.99999998224336895</v>
      </c>
    </row>
    <row r="1431" spans="1:40" x14ac:dyDescent="0.25">
      <c r="A1431" t="str">
        <f>"20190312172642882"</f>
        <v>20190312172642882</v>
      </c>
      <c r="B1431" t="str">
        <f>"1552382802880051"</f>
        <v>1552382802880051</v>
      </c>
      <c r="C1431" t="s">
        <v>40</v>
      </c>
      <c r="D1431">
        <v>3.3925860000000001</v>
      </c>
      <c r="E1431">
        <v>0.50997979999999998</v>
      </c>
      <c r="F1431" t="s">
        <v>48</v>
      </c>
      <c r="G1431">
        <v>-239.84870000000001</v>
      </c>
      <c r="H1431" s="1">
        <v>3.7932899999999999E-6</v>
      </c>
      <c r="I1431">
        <v>282.57780000000002</v>
      </c>
      <c r="J1431">
        <v>-210.09379999999999</v>
      </c>
      <c r="K1431">
        <v>1.1083369999999999</v>
      </c>
      <c r="L1431">
        <v>283.40469999999999</v>
      </c>
      <c r="M1431">
        <v>-0.97745320000000002</v>
      </c>
      <c r="N1431">
        <v>0</v>
      </c>
      <c r="O1431">
        <v>-0.21105199999999999</v>
      </c>
      <c r="P1431">
        <v>-0.98515699999999995</v>
      </c>
      <c r="Q1431">
        <v>0.1614052</v>
      </c>
      <c r="R1431">
        <v>-5.8430759999999998E-2</v>
      </c>
      <c r="S1431">
        <v>-3.057877</v>
      </c>
      <c r="T1431">
        <v>-0.1133353</v>
      </c>
      <c r="U1431">
        <v>-8.7524409999999997E-2</v>
      </c>
      <c r="V1431">
        <v>0.1512859</v>
      </c>
      <c r="W1431">
        <v>0.16732420000000001</v>
      </c>
      <c r="X1431">
        <v>0.97422549999999997</v>
      </c>
      <c r="Y1431">
        <v>0.1827356</v>
      </c>
      <c r="Z1431">
        <v>1.115229E-2</v>
      </c>
      <c r="AA1431">
        <v>0.9830989</v>
      </c>
      <c r="AB1431">
        <v>16</v>
      </c>
      <c r="AC1431">
        <v>-29.754899999999999</v>
      </c>
      <c r="AD1431">
        <v>-1.10833320671</v>
      </c>
      <c r="AE1431">
        <v>-0.826899999999966</v>
      </c>
      <c r="AF1431">
        <v>5.4641153704909797</v>
      </c>
      <c r="AG1431">
        <v>-1.10833320671</v>
      </c>
      <c r="AH1431">
        <v>29.2186511595899</v>
      </c>
      <c r="AI1431">
        <v>92.135341765123201</v>
      </c>
      <c r="AJ1431">
        <v>79.407590936152303</v>
      </c>
      <c r="AK1431">
        <v>29.745832226800101</v>
      </c>
      <c r="AL1431">
        <v>80.367721986386201</v>
      </c>
      <c r="AM1431">
        <v>81.173132392437694</v>
      </c>
      <c r="AN1431">
        <v>1.00000006814734</v>
      </c>
    </row>
    <row r="1432" spans="1:40" x14ac:dyDescent="0.25">
      <c r="A1432" t="str">
        <f>"20190312172642906"</f>
        <v>20190312172642906</v>
      </c>
      <c r="B1432" t="str">
        <f>"1552382802900547"</f>
        <v>1552382802900547</v>
      </c>
      <c r="C1432" t="s">
        <v>40</v>
      </c>
      <c r="D1432">
        <v>3.367451</v>
      </c>
      <c r="E1432">
        <v>0.50990939999999996</v>
      </c>
      <c r="F1432" t="s">
        <v>48</v>
      </c>
      <c r="G1432">
        <v>-240.89760000000001</v>
      </c>
      <c r="H1432" s="1">
        <v>-1.059141E-6</v>
      </c>
      <c r="I1432">
        <v>282.53230000000002</v>
      </c>
      <c r="J1432">
        <v>-210.2602</v>
      </c>
      <c r="K1432">
        <v>1.1083240000000001</v>
      </c>
      <c r="L1432">
        <v>283.37270000000001</v>
      </c>
      <c r="M1432">
        <v>-0.97814429999999997</v>
      </c>
      <c r="N1432">
        <v>0</v>
      </c>
      <c r="O1432">
        <v>-0.20782819999999999</v>
      </c>
      <c r="P1432">
        <v>-0.98516440000000005</v>
      </c>
      <c r="Q1432">
        <v>0.16185279999999999</v>
      </c>
      <c r="R1432">
        <v>-5.7053960000000001E-2</v>
      </c>
      <c r="S1432">
        <v>-3.0581049999999999</v>
      </c>
      <c r="T1432">
        <v>-0.11003259999999999</v>
      </c>
      <c r="U1432">
        <v>-8.6608889999999994E-2</v>
      </c>
      <c r="V1432">
        <v>0.14941869999999999</v>
      </c>
      <c r="W1432">
        <v>0.1676965</v>
      </c>
      <c r="X1432">
        <v>0.97444960000000003</v>
      </c>
      <c r="Y1432">
        <v>0.17980879999999999</v>
      </c>
      <c r="Z1432">
        <v>1.06604E-2</v>
      </c>
      <c r="AA1432">
        <v>0.98364379999999996</v>
      </c>
      <c r="AB1432">
        <v>16</v>
      </c>
      <c r="AC1432">
        <v>-30.6374</v>
      </c>
      <c r="AD1432">
        <v>-1.1083250591410001</v>
      </c>
      <c r="AE1432">
        <v>-0.84039999999998805</v>
      </c>
      <c r="AF1432">
        <v>5.5381551975907604</v>
      </c>
      <c r="AG1432">
        <v>-1.1083250591410001</v>
      </c>
      <c r="AH1432">
        <v>30.1037112278987</v>
      </c>
      <c r="AI1432">
        <v>92.073730935375295</v>
      </c>
      <c r="AJ1432">
        <v>79.575899276668395</v>
      </c>
      <c r="AK1432">
        <v>30.6289565137638</v>
      </c>
      <c r="AL1432">
        <v>80.346084805523603</v>
      </c>
      <c r="AM1432">
        <v>81.282365254803594</v>
      </c>
      <c r="AN1432">
        <v>1.0000000434810401</v>
      </c>
    </row>
    <row r="1433" spans="1:40" x14ac:dyDescent="0.25">
      <c r="A1433" t="str">
        <f>"20190312172642941"</f>
        <v>20190312172642941</v>
      </c>
      <c r="B1433" t="str">
        <f>"1552382802929827"</f>
        <v>1552382802929827</v>
      </c>
      <c r="C1433" t="s">
        <v>40</v>
      </c>
      <c r="D1433">
        <v>3.3716560000000002</v>
      </c>
      <c r="E1433">
        <v>0.50979669999999999</v>
      </c>
      <c r="F1433" t="s">
        <v>48</v>
      </c>
      <c r="G1433">
        <v>-241.11799999999999</v>
      </c>
      <c r="H1433" s="1">
        <v>-9.4182680000000005E-7</v>
      </c>
      <c r="I1433">
        <v>282.53769999999997</v>
      </c>
      <c r="J1433">
        <v>-210.50479999999999</v>
      </c>
      <c r="K1433">
        <v>1.1082829999999999</v>
      </c>
      <c r="L1433">
        <v>283.32659999999998</v>
      </c>
      <c r="M1433">
        <v>-0.97911859999999995</v>
      </c>
      <c r="N1433">
        <v>0</v>
      </c>
      <c r="O1433">
        <v>-0.20319229999999999</v>
      </c>
      <c r="P1433">
        <v>-0.98519100000000004</v>
      </c>
      <c r="Q1433">
        <v>0.16227849999999999</v>
      </c>
      <c r="R1433">
        <v>-5.5360399999999997E-2</v>
      </c>
      <c r="S1433">
        <v>-3.0584259999999999</v>
      </c>
      <c r="T1433">
        <v>-0.10984969999999999</v>
      </c>
      <c r="U1433">
        <v>-8.2763669999999998E-2</v>
      </c>
      <c r="V1433">
        <v>0.1464686</v>
      </c>
      <c r="W1433">
        <v>0.1680053</v>
      </c>
      <c r="X1433">
        <v>0.97484420000000005</v>
      </c>
      <c r="Y1433">
        <v>0.17639250000000001</v>
      </c>
      <c r="Z1433">
        <v>1.041722E-2</v>
      </c>
      <c r="AA1433">
        <v>0.98426480000000005</v>
      </c>
      <c r="AB1433">
        <v>16</v>
      </c>
      <c r="AC1433">
        <v>-30.613199999999999</v>
      </c>
      <c r="AD1433">
        <v>-1.1082839418268</v>
      </c>
      <c r="AE1433">
        <v>-0.78890000000001204</v>
      </c>
      <c r="AF1433">
        <v>5.4409215041459396</v>
      </c>
      <c r="AG1433">
        <v>-1.1082839418268</v>
      </c>
      <c r="AH1433">
        <v>30.0954312477615</v>
      </c>
      <c r="AI1433">
        <v>92.075387727450604</v>
      </c>
      <c r="AJ1433">
        <v>79.7522472692702</v>
      </c>
      <c r="AK1433">
        <v>30.603380566511401</v>
      </c>
      <c r="AL1433">
        <v>80.328137035935995</v>
      </c>
      <c r="AM1433">
        <v>81.455326225959595</v>
      </c>
      <c r="AN1433">
        <v>1.0000000229438399</v>
      </c>
    </row>
    <row r="1434" spans="1:40" x14ac:dyDescent="0.25">
      <c r="A1434" t="str">
        <f>"20190312172642961"</f>
        <v>20190312172642961</v>
      </c>
      <c r="B1434" t="str">
        <f>"1552382802950323"</f>
        <v>1552382802950323</v>
      </c>
      <c r="C1434" t="s">
        <v>40</v>
      </c>
      <c r="D1434">
        <v>3.4067129999999999</v>
      </c>
      <c r="E1434">
        <v>0.50974909999999996</v>
      </c>
      <c r="F1434" t="s">
        <v>48</v>
      </c>
      <c r="G1434">
        <v>-241.31989999999999</v>
      </c>
      <c r="H1434" s="1">
        <v>-8.3439769999999897E-7</v>
      </c>
      <c r="I1434">
        <v>282.53829999999999</v>
      </c>
      <c r="J1434">
        <v>-210.65190000000001</v>
      </c>
      <c r="K1434">
        <v>1.1082430000000001</v>
      </c>
      <c r="L1434">
        <v>283.29930000000002</v>
      </c>
      <c r="M1434">
        <v>-0.97968699999999997</v>
      </c>
      <c r="N1434">
        <v>0</v>
      </c>
      <c r="O1434">
        <v>-0.20043649999999999</v>
      </c>
      <c r="P1434">
        <v>-0.98533709999999997</v>
      </c>
      <c r="Q1434">
        <v>0.16179689999999999</v>
      </c>
      <c r="R1434">
        <v>-5.4155830000000002E-2</v>
      </c>
      <c r="S1434">
        <v>-3.0588069999999998</v>
      </c>
      <c r="T1434">
        <v>-0.1100117</v>
      </c>
      <c r="U1434">
        <v>-7.8247070000000002E-2</v>
      </c>
      <c r="V1434">
        <v>0.14493989999999901</v>
      </c>
      <c r="W1434">
        <v>0.16745109999999999</v>
      </c>
      <c r="X1434">
        <v>0.97516789999999998</v>
      </c>
      <c r="Y1434">
        <v>0.17508029999999999</v>
      </c>
      <c r="Z1434">
        <v>1.031079E-2</v>
      </c>
      <c r="AA1434">
        <v>0.98450020000000005</v>
      </c>
      <c r="AB1434">
        <v>16</v>
      </c>
      <c r="AC1434">
        <v>-30.6679999999999</v>
      </c>
      <c r="AD1434">
        <v>-1.1082438343976999</v>
      </c>
      <c r="AE1434">
        <v>-0.76100000000002399</v>
      </c>
      <c r="AF1434">
        <v>5.3945088140003303</v>
      </c>
      <c r="AG1434">
        <v>-1.1082438343976999</v>
      </c>
      <c r="AH1434">
        <v>30.158796580292901</v>
      </c>
      <c r="AI1434">
        <v>92.071647860630904</v>
      </c>
      <c r="AJ1434">
        <v>79.8587419970887</v>
      </c>
      <c r="AK1434">
        <v>30.657494041625402</v>
      </c>
      <c r="AL1434">
        <v>80.360345847938504</v>
      </c>
      <c r="AM1434">
        <v>81.545977761834394</v>
      </c>
      <c r="AN1434">
        <v>0.99999993934681297</v>
      </c>
    </row>
    <row r="1435" spans="1:40" x14ac:dyDescent="0.25">
      <c r="A1435" t="str">
        <f>"20190312172642985"</f>
        <v>20190312172642985</v>
      </c>
      <c r="B1435" t="str">
        <f>"1552382802980580"</f>
        <v>1552382802980580</v>
      </c>
      <c r="C1435" t="s">
        <v>40</v>
      </c>
      <c r="D1435">
        <v>3.3838279999999998</v>
      </c>
      <c r="E1435">
        <v>0.50959719999999997</v>
      </c>
      <c r="F1435" t="s">
        <v>48</v>
      </c>
      <c r="G1435">
        <v>-240.78579999999999</v>
      </c>
      <c r="H1435" s="1">
        <v>-1.1186369999999999E-6</v>
      </c>
      <c r="I1435">
        <v>282.56490000000002</v>
      </c>
      <c r="J1435">
        <v>-210.81970000000001</v>
      </c>
      <c r="K1435">
        <v>1.1081939999999999</v>
      </c>
      <c r="L1435">
        <v>283.2688</v>
      </c>
      <c r="M1435">
        <v>-0.98032300000000006</v>
      </c>
      <c r="N1435">
        <v>0</v>
      </c>
      <c r="O1435">
        <v>-0.19730410000000001</v>
      </c>
      <c r="P1435">
        <v>-0.985487</v>
      </c>
      <c r="Q1435">
        <v>0.16128039999999999</v>
      </c>
      <c r="R1435">
        <v>-5.2952270000000003E-2</v>
      </c>
      <c r="S1435">
        <v>-3.0590359999999999</v>
      </c>
      <c r="T1435">
        <v>-0.11250309999999999</v>
      </c>
      <c r="U1435">
        <v>-7.455444E-2</v>
      </c>
      <c r="V1435">
        <v>0.14304220000000001</v>
      </c>
      <c r="W1435">
        <v>0.16685359999999999</v>
      </c>
      <c r="X1435">
        <v>0.97555049999999999</v>
      </c>
      <c r="Y1435">
        <v>0.17311499999999999</v>
      </c>
      <c r="Z1435">
        <v>1.039436E-2</v>
      </c>
      <c r="AA1435">
        <v>0.98484680000000002</v>
      </c>
      <c r="AB1435">
        <v>16</v>
      </c>
      <c r="AC1435">
        <v>-29.966099999999901</v>
      </c>
      <c r="AD1435">
        <v>-1.108195118637</v>
      </c>
      <c r="AE1435">
        <v>-0.70389999999997599</v>
      </c>
      <c r="AF1435">
        <v>5.2153552200942004</v>
      </c>
      <c r="AG1435">
        <v>-1.108195118637</v>
      </c>
      <c r="AH1435">
        <v>29.475609041187901</v>
      </c>
      <c r="AI1435">
        <v>92.120233942691399</v>
      </c>
      <c r="AJ1435">
        <v>79.966050544295797</v>
      </c>
      <c r="AK1435">
        <v>29.953957248445398</v>
      </c>
      <c r="AL1435">
        <v>80.395069046969994</v>
      </c>
      <c r="AM1435">
        <v>81.658324284321196</v>
      </c>
      <c r="AN1435">
        <v>0.99999998643202404</v>
      </c>
    </row>
    <row r="1436" spans="1:40" x14ac:dyDescent="0.25">
      <c r="A1436" t="str">
        <f>"20190312172643005"</f>
        <v>20190312172643005</v>
      </c>
      <c r="B1436" t="str">
        <f>"1552382803000099"</f>
        <v>1552382803000099</v>
      </c>
      <c r="C1436" t="s">
        <v>40</v>
      </c>
      <c r="D1436">
        <v>3.3779400000000002</v>
      </c>
      <c r="E1436">
        <v>0.50950810000000002</v>
      </c>
      <c r="F1436" t="s">
        <v>48</v>
      </c>
      <c r="G1436">
        <v>-240.19120000000001</v>
      </c>
      <c r="H1436" s="1">
        <v>-1.4350429999999999E-6</v>
      </c>
      <c r="I1436">
        <v>282.57990000000001</v>
      </c>
      <c r="J1436">
        <v>-210.97329999999999</v>
      </c>
      <c r="K1436">
        <v>1.1081350000000001</v>
      </c>
      <c r="L1436">
        <v>283.24130000000002</v>
      </c>
      <c r="M1436">
        <v>-0.98089559999999998</v>
      </c>
      <c r="N1436">
        <v>0</v>
      </c>
      <c r="O1436">
        <v>-0.19443969999999999</v>
      </c>
      <c r="P1436">
        <v>-0.98566730000000002</v>
      </c>
      <c r="Q1436">
        <v>0.1607382</v>
      </c>
      <c r="R1436">
        <v>-5.1218710000000001E-2</v>
      </c>
      <c r="S1436">
        <v>-3.0592039999999998</v>
      </c>
      <c r="T1436">
        <v>-0.1154249</v>
      </c>
      <c r="U1436">
        <v>-7.1746829999999998E-2</v>
      </c>
      <c r="V1436">
        <v>0.1419395</v>
      </c>
      <c r="W1436">
        <v>0.16623959999999999</v>
      </c>
      <c r="X1436">
        <v>0.97581640000000003</v>
      </c>
      <c r="Y1436">
        <v>0.1711327</v>
      </c>
      <c r="Z1436">
        <v>1.0520150000000001E-2</v>
      </c>
      <c r="AA1436">
        <v>0.98519179999999995</v>
      </c>
      <c r="AB1436">
        <v>16</v>
      </c>
      <c r="AC1436">
        <v>-29.2179</v>
      </c>
      <c r="AD1436">
        <v>-1.1081364350430001</v>
      </c>
      <c r="AE1436">
        <v>-0.66140000000001398</v>
      </c>
      <c r="AF1436">
        <v>5.0252237985531103</v>
      </c>
      <c r="AG1436">
        <v>-1.1081364350430001</v>
      </c>
      <c r="AH1436">
        <v>28.747514842269599</v>
      </c>
      <c r="AI1436">
        <v>92.174557836280798</v>
      </c>
      <c r="AJ1436">
        <v>80.084567555406906</v>
      </c>
      <c r="AK1436">
        <v>29.204459423018399</v>
      </c>
      <c r="AL1436">
        <v>80.430747431642502</v>
      </c>
      <c r="AM1436">
        <v>81.723959452244202</v>
      </c>
      <c r="AN1436">
        <v>1.0000000363886801</v>
      </c>
    </row>
    <row r="1437" spans="1:40" x14ac:dyDescent="0.25">
      <c r="A1437" t="str">
        <f>"20190312172643027"</f>
        <v>20190312172643027</v>
      </c>
      <c r="B1437" t="str">
        <f>"1552382803020595"</f>
        <v>1552382803020595</v>
      </c>
      <c r="C1437" t="s">
        <v>40</v>
      </c>
      <c r="D1437">
        <v>3.3653279999999999</v>
      </c>
      <c r="E1437">
        <v>0.50939319999999999</v>
      </c>
      <c r="F1437" t="s">
        <v>48</v>
      </c>
      <c r="G1437">
        <v>-239.6908</v>
      </c>
      <c r="H1437" s="1">
        <v>3.7080630000000002E-6</v>
      </c>
      <c r="I1437">
        <v>282.60559999999998</v>
      </c>
      <c r="J1437">
        <v>-211.13059999999999</v>
      </c>
      <c r="K1437">
        <v>1.1080760000000001</v>
      </c>
      <c r="L1437">
        <v>283.21359999999999</v>
      </c>
      <c r="M1437">
        <v>-0.98147399999999996</v>
      </c>
      <c r="N1437">
        <v>0</v>
      </c>
      <c r="O1437">
        <v>-0.19149959999999999</v>
      </c>
      <c r="P1437">
        <v>-0.98591629999999997</v>
      </c>
      <c r="Q1437">
        <v>0.1596785</v>
      </c>
      <c r="R1437">
        <v>-4.9716749999999997E-2</v>
      </c>
      <c r="S1437">
        <v>-3.0593569999999999</v>
      </c>
      <c r="T1437">
        <v>-0.1180525</v>
      </c>
      <c r="U1437">
        <v>-6.7718509999999996E-2</v>
      </c>
      <c r="V1437">
        <v>0.14054800000000001</v>
      </c>
      <c r="W1437">
        <v>0.1651128</v>
      </c>
      <c r="X1437">
        <v>0.97620899999999999</v>
      </c>
      <c r="Y1437">
        <v>0.1694695</v>
      </c>
      <c r="Z1437">
        <v>1.0615609999999999E-2</v>
      </c>
      <c r="AA1437">
        <v>0.98547830000000003</v>
      </c>
      <c r="AB1437">
        <v>16</v>
      </c>
      <c r="AC1437">
        <v>-28.560199999999998</v>
      </c>
      <c r="AD1437">
        <v>-1.1080722919370001</v>
      </c>
      <c r="AE1437">
        <v>-0.60800000000000398</v>
      </c>
      <c r="AF1437">
        <v>4.8652998137643699</v>
      </c>
      <c r="AG1437">
        <v>-1.1080722919370001</v>
      </c>
      <c r="AH1437">
        <v>28.105754363774398</v>
      </c>
      <c r="AI1437">
        <v>92.224670589930795</v>
      </c>
      <c r="AJ1437">
        <v>80.179032160930106</v>
      </c>
      <c r="AK1437">
        <v>28.545269219939001</v>
      </c>
      <c r="AL1437">
        <v>80.496212635470101</v>
      </c>
      <c r="AM1437">
        <v>81.807237186012898</v>
      </c>
      <c r="AN1437">
        <v>0.999999994354419</v>
      </c>
    </row>
    <row r="1438" spans="1:40" x14ac:dyDescent="0.25">
      <c r="A1438" t="str">
        <f>"20190312172643050"</f>
        <v>20190312172643050</v>
      </c>
      <c r="B1438" t="str">
        <f>"1552382803040115"</f>
        <v>1552382803040115</v>
      </c>
      <c r="C1438" t="s">
        <v>40</v>
      </c>
      <c r="D1438">
        <v>3.3693520000000001</v>
      </c>
      <c r="E1438">
        <v>0.50929469999999999</v>
      </c>
      <c r="F1438" t="s">
        <v>48</v>
      </c>
      <c r="G1438">
        <v>-238.9014</v>
      </c>
      <c r="H1438" s="1">
        <v>3.2869420000000001E-6</v>
      </c>
      <c r="I1438">
        <v>282.62880000000001</v>
      </c>
      <c r="J1438">
        <v>-211.30099999999999</v>
      </c>
      <c r="K1438">
        <v>1.1080159999999999</v>
      </c>
      <c r="L1438">
        <v>283.18430000000001</v>
      </c>
      <c r="M1438">
        <v>-0.98209369999999996</v>
      </c>
      <c r="N1438">
        <v>0</v>
      </c>
      <c r="O1438">
        <v>-0.18829879999999999</v>
      </c>
      <c r="P1438">
        <v>-0.9861645</v>
      </c>
      <c r="Q1438">
        <v>0.1587044</v>
      </c>
      <c r="R1438">
        <v>-4.7880840000000001E-2</v>
      </c>
      <c r="S1438">
        <v>-3.0593569999999999</v>
      </c>
      <c r="T1438">
        <v>-0.1220704</v>
      </c>
      <c r="U1438">
        <v>-6.4422610000000005E-2</v>
      </c>
      <c r="V1438">
        <v>0.13922599999999999</v>
      </c>
      <c r="W1438">
        <v>0.1640701</v>
      </c>
      <c r="X1438">
        <v>0.97657419999999995</v>
      </c>
      <c r="Y1438">
        <v>0.16730300000000001</v>
      </c>
      <c r="Z1438">
        <v>1.0808E-2</v>
      </c>
      <c r="AA1438">
        <v>0.98584629999999995</v>
      </c>
      <c r="AB1438">
        <v>16</v>
      </c>
      <c r="AC1438">
        <v>-27.6004</v>
      </c>
      <c r="AD1438">
        <v>-1.108012713058</v>
      </c>
      <c r="AE1438">
        <v>-0.555499999999995</v>
      </c>
      <c r="AF1438">
        <v>4.6441702383906396</v>
      </c>
      <c r="AG1438">
        <v>-1.108012713058</v>
      </c>
      <c r="AH1438">
        <v>27.167496745310299</v>
      </c>
      <c r="AI1438">
        <v>92.302127239509701</v>
      </c>
      <c r="AJ1438">
        <v>80.299293107160295</v>
      </c>
      <c r="AK1438">
        <v>27.583851956931198</v>
      </c>
      <c r="AL1438">
        <v>80.556781257519205</v>
      </c>
      <c r="AM1438">
        <v>81.886261894310707</v>
      </c>
      <c r="AN1438">
        <v>1.00000002244782</v>
      </c>
    </row>
    <row r="1439" spans="1:40" x14ac:dyDescent="0.25">
      <c r="A1439" t="str">
        <f>"20190312172643072"</f>
        <v>20190312172643072</v>
      </c>
      <c r="B1439" t="str">
        <f>"1552382803060611"</f>
        <v>1552382803060611</v>
      </c>
      <c r="C1439" t="s">
        <v>40</v>
      </c>
      <c r="D1439">
        <v>3.4059179999999998</v>
      </c>
      <c r="E1439">
        <v>0.50922809999999996</v>
      </c>
      <c r="F1439" t="s">
        <v>48</v>
      </c>
      <c r="G1439">
        <v>-238.221</v>
      </c>
      <c r="H1439" s="1">
        <v>2.9236799999999999E-6</v>
      </c>
      <c r="I1439">
        <v>282.65629999999999</v>
      </c>
      <c r="J1439">
        <v>-211.4641</v>
      </c>
      <c r="K1439">
        <v>1.1079540000000001</v>
      </c>
      <c r="L1439">
        <v>283.1567</v>
      </c>
      <c r="M1439">
        <v>-0.98267910000000003</v>
      </c>
      <c r="N1439">
        <v>0</v>
      </c>
      <c r="O1439">
        <v>-0.1852212</v>
      </c>
      <c r="P1439">
        <v>-0.98643930000000002</v>
      </c>
      <c r="Q1439">
        <v>0.1576671</v>
      </c>
      <c r="R1439">
        <v>-4.559378E-2</v>
      </c>
      <c r="S1439">
        <v>-3.0594480000000002</v>
      </c>
      <c r="T1439">
        <v>-0.12592539999999999</v>
      </c>
      <c r="U1439">
        <v>-5.9997559999999998E-2</v>
      </c>
      <c r="V1439">
        <v>0.13847319999999999</v>
      </c>
      <c r="W1439">
        <v>0.1629679</v>
      </c>
      <c r="X1439">
        <v>0.97686569999999995</v>
      </c>
      <c r="Y1439">
        <v>0.165626</v>
      </c>
      <c r="Z1439">
        <v>1.0989850000000001E-2</v>
      </c>
      <c r="AA1439">
        <v>0.98612739999999999</v>
      </c>
      <c r="AB1439">
        <v>17</v>
      </c>
      <c r="AC1439">
        <v>-26.756899999999899</v>
      </c>
      <c r="AD1439">
        <v>-1.10795107632</v>
      </c>
      <c r="AE1439">
        <v>-0.50040000000001295</v>
      </c>
      <c r="AF1439">
        <v>4.4566515707018803</v>
      </c>
      <c r="AG1439">
        <v>-1.10795107632</v>
      </c>
      <c r="AH1439">
        <v>26.341441516523599</v>
      </c>
      <c r="AI1439">
        <v>92.374796740714302</v>
      </c>
      <c r="AJ1439">
        <v>80.397187090857798</v>
      </c>
      <c r="AK1439">
        <v>26.7387516533325</v>
      </c>
      <c r="AL1439">
        <v>80.620793866485997</v>
      </c>
      <c r="AM1439">
        <v>81.931930182076201</v>
      </c>
      <c r="AN1439">
        <v>0.99999997969256904</v>
      </c>
    </row>
    <row r="1440" spans="1:40" x14ac:dyDescent="0.25">
      <c r="A1440" t="str">
        <f>"20190312172643095"</f>
        <v>20190312172643095</v>
      </c>
      <c r="B1440" t="str">
        <f>"1552382803089892"</f>
        <v>1552382803089892</v>
      </c>
      <c r="C1440" t="s">
        <v>40</v>
      </c>
      <c r="D1440">
        <v>3.4250150000000001</v>
      </c>
      <c r="E1440">
        <v>0.50025120000000001</v>
      </c>
      <c r="F1440" t="s">
        <v>48</v>
      </c>
      <c r="G1440">
        <v>-237.66849999999999</v>
      </c>
      <c r="H1440" s="1">
        <v>2.6279310000000001E-6</v>
      </c>
      <c r="I1440">
        <v>282.69659999999999</v>
      </c>
      <c r="J1440">
        <v>-211.63200000000001</v>
      </c>
      <c r="K1440">
        <v>1.107904</v>
      </c>
      <c r="L1440">
        <v>283.12880000000001</v>
      </c>
      <c r="M1440">
        <v>-0.98327419999999999</v>
      </c>
      <c r="N1440">
        <v>0</v>
      </c>
      <c r="O1440">
        <v>-0.1820378</v>
      </c>
      <c r="P1440">
        <v>-0.98671779999999998</v>
      </c>
      <c r="Q1440">
        <v>0.15656059999999999</v>
      </c>
      <c r="R1440">
        <v>-4.3323019999999997E-2</v>
      </c>
      <c r="S1440">
        <v>-3.0594480000000002</v>
      </c>
      <c r="T1440">
        <v>-0.12935650000000001</v>
      </c>
      <c r="U1440">
        <v>-5.3710939999999999E-2</v>
      </c>
      <c r="V1440">
        <v>0.137599</v>
      </c>
      <c r="W1440">
        <v>0.16179869999999999</v>
      </c>
      <c r="X1440">
        <v>0.97718360000000004</v>
      </c>
      <c r="Y1440">
        <v>0.16444520000000001</v>
      </c>
      <c r="Z1440">
        <v>1.113198E-2</v>
      </c>
      <c r="AA1440">
        <v>0.98632339999999996</v>
      </c>
      <c r="AB1440">
        <v>17</v>
      </c>
      <c r="AC1440">
        <v>-26.036499999999901</v>
      </c>
      <c r="AD1440">
        <v>-1.1079013720690001</v>
      </c>
      <c r="AE1440">
        <v>-0.43220000000002201</v>
      </c>
      <c r="AF1440">
        <v>4.3069333639010301</v>
      </c>
      <c r="AG1440">
        <v>-1.1079013720690001</v>
      </c>
      <c r="AH1440">
        <v>25.633731931981799</v>
      </c>
      <c r="AI1440">
        <v>92.440641234596498</v>
      </c>
      <c r="AJ1440">
        <v>80.462350377587398</v>
      </c>
      <c r="AK1440">
        <v>26.016635701258899</v>
      </c>
      <c r="AL1440">
        <v>80.688685791450197</v>
      </c>
      <c r="AM1440">
        <v>81.984775055061206</v>
      </c>
      <c r="AN1440">
        <v>1.0000000461158201</v>
      </c>
    </row>
    <row r="1441" spans="1:40" x14ac:dyDescent="0.25">
      <c r="A1441" t="str">
        <f>"20190312172643121"</f>
        <v>20190312172643121</v>
      </c>
      <c r="B1441" t="str">
        <f>"1552382803110387"</f>
        <v>1552382803110387</v>
      </c>
      <c r="C1441" t="s">
        <v>40</v>
      </c>
      <c r="D1441">
        <v>3.3491070000000001</v>
      </c>
      <c r="E1441">
        <v>0.49541639999999998</v>
      </c>
      <c r="F1441" t="s">
        <v>48</v>
      </c>
      <c r="G1441">
        <v>-240.37440000000001</v>
      </c>
      <c r="H1441" s="1">
        <v>-1.3375549999999999E-6</v>
      </c>
      <c r="I1441">
        <v>282.01530000000002</v>
      </c>
      <c r="J1441">
        <v>-211.82210000000001</v>
      </c>
      <c r="K1441">
        <v>1.1078619999999999</v>
      </c>
      <c r="L1441">
        <v>283.09800000000001</v>
      </c>
      <c r="M1441">
        <v>-0.98393649999999999</v>
      </c>
      <c r="N1441">
        <v>0</v>
      </c>
      <c r="O1441">
        <v>-0.1784249</v>
      </c>
      <c r="P1441">
        <v>-0.98692769999999996</v>
      </c>
      <c r="Q1441">
        <v>0.15596660000000001</v>
      </c>
      <c r="R1441">
        <v>-4.0598330000000002E-2</v>
      </c>
      <c r="S1441">
        <v>-3.0538789999999998</v>
      </c>
      <c r="T1441">
        <v>-0.117714899999999</v>
      </c>
      <c r="U1441">
        <v>-0.1183167</v>
      </c>
      <c r="V1441">
        <v>0.136734299999999</v>
      </c>
      <c r="W1441">
        <v>0.16114029999999999</v>
      </c>
      <c r="X1441">
        <v>0.97741369999999905</v>
      </c>
      <c r="Y1441">
        <v>0.1399668</v>
      </c>
      <c r="Z1441">
        <v>9.5344000000000002E-3</v>
      </c>
      <c r="AA1441">
        <v>0.9901103</v>
      </c>
      <c r="AB1441">
        <v>17</v>
      </c>
      <c r="AC1441">
        <v>-28.552299999999999</v>
      </c>
      <c r="AD1441">
        <v>-1.107863337555</v>
      </c>
      <c r="AE1441">
        <v>-1.08269999999998</v>
      </c>
      <c r="AF1441">
        <v>4.0231524612002296</v>
      </c>
      <c r="AG1441">
        <v>-1.107863337555</v>
      </c>
      <c r="AH1441">
        <v>28.244842378154601</v>
      </c>
      <c r="AI1441">
        <v>92.223770563149998</v>
      </c>
      <c r="AJ1441">
        <v>81.893406795423701</v>
      </c>
      <c r="AK1441">
        <v>28.551431450411702</v>
      </c>
      <c r="AL1441">
        <v>80.726910530105201</v>
      </c>
      <c r="AM1441">
        <v>82.036346993993504</v>
      </c>
      <c r="AN1441">
        <v>1.0000000030141301</v>
      </c>
    </row>
    <row r="1442" spans="1:40" x14ac:dyDescent="0.25">
      <c r="A1442" t="str">
        <f>"20190312172643143"</f>
        <v>20190312172643143</v>
      </c>
      <c r="B1442" t="str">
        <f>"1552382803140644"</f>
        <v>1552382803140644</v>
      </c>
      <c r="C1442" t="s">
        <v>40</v>
      </c>
      <c r="D1442">
        <v>3.370422</v>
      </c>
      <c r="E1442">
        <v>0.49189739999999998</v>
      </c>
      <c r="F1442" t="s">
        <v>48</v>
      </c>
      <c r="G1442">
        <v>-244.6223</v>
      </c>
      <c r="H1442" s="1">
        <v>9.2294759999999997E-7</v>
      </c>
      <c r="I1442">
        <v>281.49799999999999</v>
      </c>
      <c r="J1442">
        <v>-211.999</v>
      </c>
      <c r="K1442">
        <v>1.1078220000000001</v>
      </c>
      <c r="L1442">
        <v>283.06990000000002</v>
      </c>
      <c r="M1442">
        <v>-0.98454149999999996</v>
      </c>
      <c r="N1442">
        <v>0</v>
      </c>
      <c r="O1442">
        <v>-0.175057399999999</v>
      </c>
      <c r="P1442">
        <v>-0.9870468</v>
      </c>
      <c r="Q1442">
        <v>0.15577589999999999</v>
      </c>
      <c r="R1442">
        <v>-3.8377269999999998E-2</v>
      </c>
      <c r="S1442">
        <v>-3.0499109999999998</v>
      </c>
      <c r="T1442">
        <v>-0.10301399999999999</v>
      </c>
      <c r="U1442">
        <v>-0.14877319999999999</v>
      </c>
      <c r="V1442">
        <v>0.13560359999999999</v>
      </c>
      <c r="W1442">
        <v>0.16089899999999999</v>
      </c>
      <c r="X1442">
        <v>0.97761089999999995</v>
      </c>
      <c r="Y1442">
        <v>0.12671269999999901</v>
      </c>
      <c r="Z1442">
        <v>8.0164219999999901E-3</v>
      </c>
      <c r="AA1442">
        <v>0.99190710000000004</v>
      </c>
      <c r="AB1442">
        <v>17</v>
      </c>
      <c r="AC1442">
        <v>-32.623299999999901</v>
      </c>
      <c r="AD1442">
        <v>-1.1078210770524</v>
      </c>
      <c r="AE1442">
        <v>-1.5719000000000201</v>
      </c>
      <c r="AF1442">
        <v>4.1586334739364599</v>
      </c>
      <c r="AG1442">
        <v>-1.1078210770524</v>
      </c>
      <c r="AH1442">
        <v>32.3574726203625</v>
      </c>
      <c r="AI1442">
        <v>91.944882293528593</v>
      </c>
      <c r="AJ1442">
        <v>82.676403080591299</v>
      </c>
      <c r="AK1442">
        <v>32.6424192468453</v>
      </c>
      <c r="AL1442">
        <v>80.740918280397807</v>
      </c>
      <c r="AM1442">
        <v>82.102939604329194</v>
      </c>
      <c r="AN1442">
        <v>0.99999994816638305</v>
      </c>
    </row>
    <row r="1443" spans="1:40" x14ac:dyDescent="0.25">
      <c r="A1443" t="str">
        <f>"20190312172643164"</f>
        <v>20190312172643164</v>
      </c>
      <c r="B1443" t="str">
        <f>"1552382803160163"</f>
        <v>1552382803160163</v>
      </c>
      <c r="C1443" t="s">
        <v>40</v>
      </c>
      <c r="D1443">
        <v>3.3898990000000002</v>
      </c>
      <c r="E1443">
        <v>0.49050480000000002</v>
      </c>
      <c r="F1443" t="s">
        <v>48</v>
      </c>
      <c r="G1443">
        <v>-248.4802</v>
      </c>
      <c r="H1443" s="1">
        <v>2.9759639999999998E-6</v>
      </c>
      <c r="I1443">
        <v>281.02620000000002</v>
      </c>
      <c r="J1443">
        <v>-212.15690000000001</v>
      </c>
      <c r="K1443">
        <v>1.1077969999999999</v>
      </c>
      <c r="L1443">
        <v>283.04539999999997</v>
      </c>
      <c r="M1443">
        <v>-0.98507140000000004</v>
      </c>
      <c r="N1443">
        <v>0</v>
      </c>
      <c r="O1443">
        <v>-0.1720526</v>
      </c>
      <c r="P1443">
        <v>-0.98721829999999999</v>
      </c>
      <c r="Q1443">
        <v>0.155171799999999</v>
      </c>
      <c r="R1443">
        <v>-3.6363060000000003E-2</v>
      </c>
      <c r="S1443">
        <v>-3.0473180000000002</v>
      </c>
      <c r="T1443">
        <v>-9.2537400000000006E-2</v>
      </c>
      <c r="U1443">
        <v>-0.17071529999999999</v>
      </c>
      <c r="V1443">
        <v>0.13463710000000001</v>
      </c>
      <c r="W1443">
        <v>0.1602565</v>
      </c>
      <c r="X1443">
        <v>0.97785</v>
      </c>
      <c r="Y1443">
        <v>0.11655459999999999</v>
      </c>
      <c r="Z1443">
        <v>6.9615129999999999E-3</v>
      </c>
      <c r="AA1443">
        <v>0.99315989999999998</v>
      </c>
      <c r="AB1443">
        <v>17</v>
      </c>
      <c r="AC1443">
        <v>-36.323299999999897</v>
      </c>
      <c r="AD1443">
        <v>-1.107794024036</v>
      </c>
      <c r="AE1443">
        <v>-2.0191999999999499</v>
      </c>
      <c r="AF1443">
        <v>4.2565837008118201</v>
      </c>
      <c r="AG1443">
        <v>-1.107794024036</v>
      </c>
      <c r="AH1443">
        <v>36.095564563818897</v>
      </c>
      <c r="AI1443">
        <v>91.745799835185096</v>
      </c>
      <c r="AJ1443">
        <v>83.274433938339598</v>
      </c>
      <c r="AK1443">
        <v>36.362556202535103</v>
      </c>
      <c r="AL1443">
        <v>80.778214907299898</v>
      </c>
      <c r="AM1443">
        <v>82.160415898446004</v>
      </c>
      <c r="AN1443">
        <v>0.99999995849432899</v>
      </c>
    </row>
    <row r="1444" spans="1:40" x14ac:dyDescent="0.25">
      <c r="A1444" t="str">
        <f>"20190312172643184"</f>
        <v>20190312172643184</v>
      </c>
      <c r="B1444" t="str">
        <f>"1552382803180660"</f>
        <v>1552382803180660</v>
      </c>
      <c r="C1444" t="s">
        <v>40</v>
      </c>
      <c r="D1444">
        <v>3.389202</v>
      </c>
      <c r="E1444">
        <v>0.48944759999999998</v>
      </c>
      <c r="F1444" t="s">
        <v>48</v>
      </c>
      <c r="G1444">
        <v>-249.66800000000001</v>
      </c>
      <c r="H1444" s="1">
        <v>3.6080379999999998E-6</v>
      </c>
      <c r="I1444">
        <v>280.87689999999998</v>
      </c>
      <c r="J1444">
        <v>-212.3135</v>
      </c>
      <c r="K1444">
        <v>1.1077699999999999</v>
      </c>
      <c r="L1444">
        <v>283.0215</v>
      </c>
      <c r="M1444">
        <v>-0.98558760000000001</v>
      </c>
      <c r="N1444">
        <v>0</v>
      </c>
      <c r="O1444">
        <v>-0.169071</v>
      </c>
      <c r="P1444">
        <v>-0.98727330000000002</v>
      </c>
      <c r="Q1444">
        <v>0.15507870000000001</v>
      </c>
      <c r="R1444">
        <v>-3.5249919999999997E-2</v>
      </c>
      <c r="S1444">
        <v>-3.0465089999999999</v>
      </c>
      <c r="T1444">
        <v>-8.9970709999999995E-2</v>
      </c>
      <c r="U1444">
        <v>-0.17611689999999999</v>
      </c>
      <c r="V1444">
        <v>0.13278889999999999</v>
      </c>
      <c r="W1444">
        <v>0.1601322</v>
      </c>
      <c r="X1444">
        <v>0.97812310000000002</v>
      </c>
      <c r="Y1444">
        <v>0.1117885</v>
      </c>
      <c r="Z1444">
        <v>6.6127010000000003E-3</v>
      </c>
      <c r="AA1444">
        <v>0.99370999999999998</v>
      </c>
      <c r="AB1444">
        <v>17</v>
      </c>
      <c r="AC1444">
        <v>-37.354500000000002</v>
      </c>
      <c r="AD1444">
        <v>-1.107766391962</v>
      </c>
      <c r="AE1444">
        <v>-2.14460000000002</v>
      </c>
      <c r="AF1444">
        <v>4.1982588780779198</v>
      </c>
      <c r="AG1444">
        <v>-1.107766391962</v>
      </c>
      <c r="AH1444">
        <v>37.146756685841602</v>
      </c>
      <c r="AI1444">
        <v>91.697331872208593</v>
      </c>
      <c r="AJ1444">
        <v>83.551896426951402</v>
      </c>
      <c r="AK1444">
        <v>37.3996531569965</v>
      </c>
      <c r="AL1444">
        <v>80.785430394202606</v>
      </c>
      <c r="AM1444">
        <v>82.268853965649697</v>
      </c>
      <c r="AN1444">
        <v>1.0000000060968299</v>
      </c>
    </row>
    <row r="1445" spans="1:40" x14ac:dyDescent="0.25">
      <c r="A1445" t="str">
        <f>"20190312172643207"</f>
        <v>20190312172643207</v>
      </c>
      <c r="B1445" t="str">
        <f>"1552382803200180"</f>
        <v>1552382803200180</v>
      </c>
      <c r="C1445" t="s">
        <v>40</v>
      </c>
      <c r="D1445">
        <v>3.3682120000000002</v>
      </c>
      <c r="E1445">
        <v>0.48859740000000002</v>
      </c>
      <c r="F1445" t="s">
        <v>48</v>
      </c>
      <c r="G1445">
        <v>-250.797</v>
      </c>
      <c r="H1445" s="1">
        <v>-1.112641E-6</v>
      </c>
      <c r="I1445">
        <v>280.73160000000001</v>
      </c>
      <c r="J1445">
        <v>-212.4932</v>
      </c>
      <c r="K1445">
        <v>1.1077360000000001</v>
      </c>
      <c r="L1445">
        <v>282.99470000000002</v>
      </c>
      <c r="M1445">
        <v>-0.98616839999999995</v>
      </c>
      <c r="N1445">
        <v>0</v>
      </c>
      <c r="O1445">
        <v>-0.1656502</v>
      </c>
      <c r="P1445">
        <v>-0.98735150000000005</v>
      </c>
      <c r="Q1445">
        <v>0.15476229999999999</v>
      </c>
      <c r="R1445">
        <v>-3.4437370000000002E-2</v>
      </c>
      <c r="S1445">
        <v>-3.0459589999999999</v>
      </c>
      <c r="T1445">
        <v>-8.767962E-2</v>
      </c>
      <c r="U1445">
        <v>-0.18124390000000001</v>
      </c>
      <c r="V1445">
        <v>0.13021340000000001</v>
      </c>
      <c r="W1445">
        <v>0.15978439999999999</v>
      </c>
      <c r="X1445">
        <v>0.97852620000000001</v>
      </c>
      <c r="Y1445">
        <v>0.1066714</v>
      </c>
      <c r="Z1445">
        <v>6.2744209999999996E-3</v>
      </c>
      <c r="AA1445">
        <v>0.99427460000000001</v>
      </c>
      <c r="AB1445">
        <v>17</v>
      </c>
      <c r="AC1445">
        <v>-38.303800000000003</v>
      </c>
      <c r="AD1445">
        <v>-1.1077371126410001</v>
      </c>
      <c r="AE1445">
        <v>-2.2631000000000001</v>
      </c>
      <c r="AF1445">
        <v>4.1098746790293301</v>
      </c>
      <c r="AG1445">
        <v>-1.1077371126410001</v>
      </c>
      <c r="AH1445">
        <v>38.117719604609</v>
      </c>
      <c r="AI1445">
        <v>91.655014413456996</v>
      </c>
      <c r="AJ1445">
        <v>83.846109173031294</v>
      </c>
      <c r="AK1445">
        <v>38.354643776779398</v>
      </c>
      <c r="AL1445">
        <v>80.8056182487516</v>
      </c>
      <c r="AM1445">
        <v>82.420128638118896</v>
      </c>
      <c r="AN1445">
        <v>1.0000000540546701</v>
      </c>
    </row>
    <row r="1446" spans="1:40" x14ac:dyDescent="0.25">
      <c r="A1446" t="str">
        <f>"20190312172643229"</f>
        <v>20190312172643229</v>
      </c>
      <c r="B1446" t="str">
        <f>"1552382803219701"</f>
        <v>1552382803219701</v>
      </c>
      <c r="C1446" t="s">
        <v>40</v>
      </c>
      <c r="D1446">
        <v>3.355556</v>
      </c>
      <c r="E1446">
        <v>0.4878866</v>
      </c>
      <c r="F1446" t="s">
        <v>48</v>
      </c>
      <c r="G1446">
        <v>-251.72200000000001</v>
      </c>
      <c r="H1446" s="1">
        <v>-6.2044010000000001E-7</v>
      </c>
      <c r="I1446">
        <v>280.60469999999998</v>
      </c>
      <c r="J1446">
        <v>-212.66040000000001</v>
      </c>
      <c r="K1446">
        <v>1.1077049999999999</v>
      </c>
      <c r="L1446">
        <v>282.97039999999998</v>
      </c>
      <c r="M1446">
        <v>-0.98669759999999995</v>
      </c>
      <c r="N1446">
        <v>0</v>
      </c>
      <c r="O1446">
        <v>-0.16247039999999999</v>
      </c>
      <c r="P1446">
        <v>-0.98743689999999995</v>
      </c>
      <c r="Q1446">
        <v>0.15428549999999999</v>
      </c>
      <c r="R1446">
        <v>-3.4128400000000003E-2</v>
      </c>
      <c r="S1446">
        <v>-3.0454409999999998</v>
      </c>
      <c r="T1446">
        <v>-8.5996749999999997E-2</v>
      </c>
      <c r="U1446">
        <v>-0.18554689999999999</v>
      </c>
      <c r="V1446">
        <v>0.12738050000000001</v>
      </c>
      <c r="W1446">
        <v>0.15928210000000001</v>
      </c>
      <c r="X1446">
        <v>0.97898079999999998</v>
      </c>
      <c r="Y1446">
        <v>0.1020626</v>
      </c>
      <c r="Z1446">
        <v>6.0011469999999897E-3</v>
      </c>
      <c r="AA1446">
        <v>0.99475990000000003</v>
      </c>
      <c r="AB1446">
        <v>17</v>
      </c>
      <c r="AC1446">
        <v>-39.061599999999999</v>
      </c>
      <c r="AD1446">
        <v>-1.1077056204400999</v>
      </c>
      <c r="AE1446">
        <v>-2.3656999999999999</v>
      </c>
      <c r="AF1446">
        <v>4.0089737650146402</v>
      </c>
      <c r="AG1446">
        <v>-1.1077056204400999</v>
      </c>
      <c r="AH1446">
        <v>38.895786187402301</v>
      </c>
      <c r="AI1446">
        <v>91.622682821298298</v>
      </c>
      <c r="AJ1446">
        <v>84.115325583733295</v>
      </c>
      <c r="AK1446">
        <v>39.117528878064903</v>
      </c>
      <c r="AL1446">
        <v>80.834770728805907</v>
      </c>
      <c r="AM1446">
        <v>82.586584675098095</v>
      </c>
      <c r="AN1446">
        <v>0.99999999296464903</v>
      </c>
    </row>
    <row r="1447" spans="1:40" x14ac:dyDescent="0.25">
      <c r="A1447" t="str">
        <f>"20190312172643250"</f>
        <v>20190312172643250</v>
      </c>
      <c r="B1447" t="str">
        <f>"1552382803240195"</f>
        <v>1552382803240195</v>
      </c>
      <c r="C1447" t="s">
        <v>40</v>
      </c>
      <c r="D1447">
        <v>3.358285</v>
      </c>
      <c r="E1447">
        <v>0.48732120000000001</v>
      </c>
      <c r="F1447" t="s">
        <v>48</v>
      </c>
      <c r="G1447">
        <v>-251.86600000000001</v>
      </c>
      <c r="H1447" s="1">
        <v>-5.4377430000000004E-7</v>
      </c>
      <c r="I1447">
        <v>280.52600000000001</v>
      </c>
      <c r="J1447">
        <v>-212.83670000000001</v>
      </c>
      <c r="K1447">
        <v>1.1076809999999999</v>
      </c>
      <c r="L1447">
        <v>282.94529999999997</v>
      </c>
      <c r="M1447">
        <v>-0.98724369999999995</v>
      </c>
      <c r="N1447">
        <v>0</v>
      </c>
      <c r="O1447">
        <v>-0.1591197</v>
      </c>
      <c r="P1447">
        <v>-0.98757209999999995</v>
      </c>
      <c r="Q1447">
        <v>0.1534846</v>
      </c>
      <c r="R1447">
        <v>-3.3824470000000002E-2</v>
      </c>
      <c r="S1447">
        <v>-3.0450590000000002</v>
      </c>
      <c r="T1447">
        <v>-8.6034299999999994E-2</v>
      </c>
      <c r="U1447">
        <v>-0.18984989999999999</v>
      </c>
      <c r="V1447">
        <v>0.1243804</v>
      </c>
      <c r="W1447">
        <v>0.15846009999999999</v>
      </c>
      <c r="X1447">
        <v>0.97949980000000003</v>
      </c>
      <c r="Y1447">
        <v>9.7279279999999996E-2</v>
      </c>
      <c r="Z1447">
        <v>5.8432390000000001E-3</v>
      </c>
      <c r="AA1447">
        <v>0.99524000000000001</v>
      </c>
      <c r="AB1447">
        <v>18</v>
      </c>
      <c r="AC1447">
        <v>-39.0292999999999</v>
      </c>
      <c r="AD1447">
        <v>-1.1076815437742999</v>
      </c>
      <c r="AE1447">
        <v>-2.4192999999999598</v>
      </c>
      <c r="AF1447">
        <v>3.8188864610623301</v>
      </c>
      <c r="AG1447">
        <v>-1.1076815437742999</v>
      </c>
      <c r="AH1447">
        <v>38.885786743938901</v>
      </c>
      <c r="AI1447">
        <v>91.6238505604707</v>
      </c>
      <c r="AJ1447">
        <v>84.391095222113293</v>
      </c>
      <c r="AK1447">
        <v>39.088556674556301</v>
      </c>
      <c r="AL1447">
        <v>80.882473534820605</v>
      </c>
      <c r="AM1447">
        <v>82.763108310758795</v>
      </c>
      <c r="AN1447">
        <v>0.99999997269810403</v>
      </c>
    </row>
    <row r="1448" spans="1:40" x14ac:dyDescent="0.25">
      <c r="A1448" t="str">
        <f>"20190312172643274"</f>
        <v>20190312172643274</v>
      </c>
      <c r="B1448" t="str">
        <f>"1552382803270451"</f>
        <v>1552382803270451</v>
      </c>
      <c r="C1448" t="s">
        <v>40</v>
      </c>
      <c r="D1448">
        <v>3.3595100000000002</v>
      </c>
      <c r="E1448">
        <v>0.48661759999999898</v>
      </c>
      <c r="F1448" t="s">
        <v>48</v>
      </c>
      <c r="G1448">
        <v>-250.78039999999999</v>
      </c>
      <c r="H1448" s="1">
        <v>-1.1215040000000001E-6</v>
      </c>
      <c r="I1448">
        <v>280.54309999999998</v>
      </c>
      <c r="J1448">
        <v>-213.01900000000001</v>
      </c>
      <c r="K1448">
        <v>1.1076539999999999</v>
      </c>
      <c r="L1448">
        <v>282.92009999999999</v>
      </c>
      <c r="M1448">
        <v>-0.98779589999999995</v>
      </c>
      <c r="N1448">
        <v>0</v>
      </c>
      <c r="O1448">
        <v>-0.15565489999999901</v>
      </c>
      <c r="P1448">
        <v>-0.98764750000000001</v>
      </c>
      <c r="Q1448">
        <v>0.1530629</v>
      </c>
      <c r="R1448">
        <v>-3.3533550000000002E-2</v>
      </c>
      <c r="S1448">
        <v>-3.0449519999999999</v>
      </c>
      <c r="T1448">
        <v>-8.8890549999999999E-2</v>
      </c>
      <c r="U1448">
        <v>-0.19277949999999999</v>
      </c>
      <c r="V1448">
        <v>0.1212463</v>
      </c>
      <c r="W1448">
        <v>0.1580213</v>
      </c>
      <c r="X1448">
        <v>0.97996349999999999</v>
      </c>
      <c r="Y1448">
        <v>9.2827019999999996E-2</v>
      </c>
      <c r="Z1448">
        <v>5.8723660000000004E-3</v>
      </c>
      <c r="AA1448">
        <v>0.99566500000000002</v>
      </c>
      <c r="AB1448">
        <v>18</v>
      </c>
      <c r="AC1448">
        <v>-37.761399999999902</v>
      </c>
      <c r="AD1448">
        <v>-1.107655121504</v>
      </c>
      <c r="AE1448">
        <v>-2.3769999999999998</v>
      </c>
      <c r="AF1448">
        <v>3.5267879080623898</v>
      </c>
      <c r="AG1448">
        <v>-1.107655121504</v>
      </c>
      <c r="AH1448">
        <v>37.638870561434601</v>
      </c>
      <c r="AI1448">
        <v>91.678294543620595</v>
      </c>
      <c r="AJ1448">
        <v>84.646975963522095</v>
      </c>
      <c r="AK1448">
        <v>37.819964436221703</v>
      </c>
      <c r="AL1448">
        <v>80.907935331679198</v>
      </c>
      <c r="AM1448">
        <v>82.946904947459103</v>
      </c>
      <c r="AN1448">
        <v>0.99999992892481204</v>
      </c>
    </row>
    <row r="1449" spans="1:40" x14ac:dyDescent="0.25">
      <c r="A1449" t="str">
        <f>"20190312172643296"</f>
        <v>20190312172643296</v>
      </c>
      <c r="B1449" t="str">
        <f>"1552382803289971"</f>
        <v>1552382803289971</v>
      </c>
      <c r="C1449" t="s">
        <v>40</v>
      </c>
      <c r="D1449">
        <v>3.3419880000000002</v>
      </c>
      <c r="E1449">
        <v>0.48630970000000001</v>
      </c>
      <c r="F1449" t="s">
        <v>48</v>
      </c>
      <c r="G1449">
        <v>-250.1559</v>
      </c>
      <c r="H1449" s="1">
        <v>-1.453846E-6</v>
      </c>
      <c r="I1449">
        <v>280.51119999999997</v>
      </c>
      <c r="J1449">
        <v>-213.19739999999999</v>
      </c>
      <c r="K1449">
        <v>1.1076280000000001</v>
      </c>
      <c r="L1449">
        <v>282.89600000000002</v>
      </c>
      <c r="M1449">
        <v>-0.98832350000000002</v>
      </c>
      <c r="N1449">
        <v>0</v>
      </c>
      <c r="O1449">
        <v>-0.15226999999999999</v>
      </c>
      <c r="P1449">
        <v>-0.98762550000000005</v>
      </c>
      <c r="Q1449">
        <v>0.15334220000000001</v>
      </c>
      <c r="R1449">
        <v>-3.2897309999999999E-2</v>
      </c>
      <c r="S1449">
        <v>-3.0448909999999998</v>
      </c>
      <c r="T1449">
        <v>-9.0817930000000005E-2</v>
      </c>
      <c r="U1449">
        <v>-0.19750980000000001</v>
      </c>
      <c r="V1449">
        <v>0.1185208</v>
      </c>
      <c r="W1449">
        <v>0.15828780000000001</v>
      </c>
      <c r="X1449">
        <v>0.98025390000000001</v>
      </c>
      <c r="Y1449">
        <v>8.7872210000000006E-2</v>
      </c>
      <c r="Z1449">
        <v>5.8258549999999996E-3</v>
      </c>
      <c r="AA1449">
        <v>0.99611470000000002</v>
      </c>
      <c r="AB1449">
        <v>18</v>
      </c>
      <c r="AC1449">
        <v>-36.958500000000001</v>
      </c>
      <c r="AD1449">
        <v>-1.1076294538460001</v>
      </c>
      <c r="AE1449">
        <v>-2.3847999999999798</v>
      </c>
      <c r="AF1449">
        <v>3.2678438810439698</v>
      </c>
      <c r="AG1449">
        <v>-1.1076294538460001</v>
      </c>
      <c r="AH1449">
        <v>36.857682940882803</v>
      </c>
      <c r="AI1449">
        <v>91.714585537300096</v>
      </c>
      <c r="AJ1449">
        <v>84.933339626951707</v>
      </c>
      <c r="AK1449">
        <v>37.018838966241901</v>
      </c>
      <c r="AL1449">
        <v>80.892471649363301</v>
      </c>
      <c r="AM1449">
        <v>83.105930998512903</v>
      </c>
      <c r="AN1449">
        <v>0.99999995806334396</v>
      </c>
    </row>
    <row r="1450" spans="1:40" x14ac:dyDescent="0.25">
      <c r="A1450" t="str">
        <f>"20190312172643320"</f>
        <v>20190312172643320</v>
      </c>
      <c r="B1450" t="str">
        <f>"1552382803310468"</f>
        <v>1552382803310468</v>
      </c>
      <c r="C1450" t="s">
        <v>40</v>
      </c>
      <c r="D1450">
        <v>3.328058</v>
      </c>
      <c r="E1450">
        <v>0.48602859999999998</v>
      </c>
      <c r="F1450" t="s">
        <v>48</v>
      </c>
      <c r="G1450">
        <v>-250.14349999999999</v>
      </c>
      <c r="H1450" s="1">
        <v>-1.4604170000000001E-6</v>
      </c>
      <c r="I1450">
        <v>280.49220000000003</v>
      </c>
      <c r="J1450">
        <v>-213.39089999999999</v>
      </c>
      <c r="K1450">
        <v>1.1075969999999999</v>
      </c>
      <c r="L1450">
        <v>282.87049999999999</v>
      </c>
      <c r="M1450">
        <v>-0.9888825</v>
      </c>
      <c r="N1450">
        <v>0</v>
      </c>
      <c r="O1450">
        <v>-0.14859620000000001</v>
      </c>
      <c r="P1450">
        <v>-0.98761860000000001</v>
      </c>
      <c r="Q1450">
        <v>0.15353939999999999</v>
      </c>
      <c r="R1450">
        <v>-3.2176980000000001E-2</v>
      </c>
      <c r="S1450">
        <v>-3.045166</v>
      </c>
      <c r="T1450">
        <v>-9.1292739999999997E-2</v>
      </c>
      <c r="U1450">
        <v>-0.19812009999999999</v>
      </c>
      <c r="V1450">
        <v>0.1155955</v>
      </c>
      <c r="W1450">
        <v>0.1584757</v>
      </c>
      <c r="X1450">
        <v>0.98057289999999997</v>
      </c>
      <c r="Y1450">
        <v>8.3979020000000001E-2</v>
      </c>
      <c r="Z1450">
        <v>5.6886539999999996E-3</v>
      </c>
      <c r="AA1450">
        <v>0.99645130000000004</v>
      </c>
      <c r="AB1450">
        <v>18</v>
      </c>
      <c r="AC1450">
        <v>-36.752600000000001</v>
      </c>
      <c r="AD1450">
        <v>-1.1075984604169999</v>
      </c>
      <c r="AE1450">
        <v>-2.3782999999999599</v>
      </c>
      <c r="AF1450">
        <v>3.10667521773536</v>
      </c>
      <c r="AG1450">
        <v>-1.1075984604169999</v>
      </c>
      <c r="AH1450">
        <v>36.664809594735402</v>
      </c>
      <c r="AI1450">
        <v>91.724133908165697</v>
      </c>
      <c r="AJ1450">
        <v>85.1567940745432</v>
      </c>
      <c r="AK1450">
        <v>36.812857371796298</v>
      </c>
      <c r="AL1450">
        <v>80.881568897796399</v>
      </c>
      <c r="AM1450">
        <v>83.276678406854501</v>
      </c>
      <c r="AN1450">
        <v>1.0000000396625699</v>
      </c>
    </row>
    <row r="1451" spans="1:40" x14ac:dyDescent="0.25">
      <c r="A1451" t="str">
        <f>"20190312172643342"</f>
        <v>20190312172643342</v>
      </c>
      <c r="B1451" t="str">
        <f>"1552382803330964"</f>
        <v>1552382803330964</v>
      </c>
      <c r="C1451" t="s">
        <v>40</v>
      </c>
      <c r="D1451">
        <v>3.2974459999999999</v>
      </c>
      <c r="E1451">
        <v>0.48573569999999999</v>
      </c>
      <c r="F1451" t="s">
        <v>48</v>
      </c>
      <c r="G1451">
        <v>-250.22620000000001</v>
      </c>
      <c r="H1451" s="1">
        <v>-1.4163999999999999E-6</v>
      </c>
      <c r="I1451">
        <v>280.47969999999998</v>
      </c>
      <c r="J1451">
        <v>-213.57169999999999</v>
      </c>
      <c r="K1451">
        <v>1.107569</v>
      </c>
      <c r="L1451">
        <v>282.84739999999999</v>
      </c>
      <c r="M1451">
        <v>-0.9893923</v>
      </c>
      <c r="N1451">
        <v>0</v>
      </c>
      <c r="O1451">
        <v>-0.1451635</v>
      </c>
      <c r="P1451">
        <v>-0.98771180000000003</v>
      </c>
      <c r="Q1451">
        <v>0.15310879999999999</v>
      </c>
      <c r="R1451">
        <v>-3.1348939999999999E-2</v>
      </c>
      <c r="S1451">
        <v>-3.04541</v>
      </c>
      <c r="T1451">
        <v>-9.1572169999999994E-2</v>
      </c>
      <c r="U1451">
        <v>-0.19766239999999999</v>
      </c>
      <c r="V1451">
        <v>0.1130282</v>
      </c>
      <c r="W1451">
        <v>0.15803919999999999</v>
      </c>
      <c r="X1451">
        <v>0.98094250000000005</v>
      </c>
      <c r="Y1451">
        <v>8.0677219999999994E-2</v>
      </c>
      <c r="Z1451">
        <v>5.5540729999999996E-3</v>
      </c>
      <c r="AA1451">
        <v>0.99672479999999997</v>
      </c>
      <c r="AB1451">
        <v>18</v>
      </c>
      <c r="AC1451">
        <v>-36.654499999999999</v>
      </c>
      <c r="AD1451">
        <v>-1.1075704164</v>
      </c>
      <c r="AE1451">
        <v>-2.3677000000000099</v>
      </c>
      <c r="AF1451">
        <v>2.9756510968291701</v>
      </c>
      <c r="AG1451">
        <v>-1.1075704164</v>
      </c>
      <c r="AH1451">
        <v>36.576683716820298</v>
      </c>
      <c r="AI1451">
        <v>91.728722954506196</v>
      </c>
      <c r="AJ1451">
        <v>85.349015060725407</v>
      </c>
      <c r="AK1451">
        <v>36.714234343067197</v>
      </c>
      <c r="AL1451">
        <v>80.906897113088604</v>
      </c>
      <c r="AM1451">
        <v>83.427132493613101</v>
      </c>
      <c r="AN1451">
        <v>0.99999997551906405</v>
      </c>
    </row>
    <row r="1452" spans="1:40" x14ac:dyDescent="0.25">
      <c r="A1452" t="str">
        <f>"20190312172643364"</f>
        <v>20190312172643364</v>
      </c>
      <c r="B1452" t="str">
        <f>"1552382803360243"</f>
        <v>1552382803360243</v>
      </c>
      <c r="C1452" t="s">
        <v>40</v>
      </c>
      <c r="D1452">
        <v>3.3374090000000001</v>
      </c>
      <c r="E1452">
        <v>0.48536119999999999</v>
      </c>
      <c r="F1452" t="s">
        <v>48</v>
      </c>
      <c r="G1452">
        <v>-249.59059999999999</v>
      </c>
      <c r="H1452" s="1">
        <v>3.5668450000000001E-6</v>
      </c>
      <c r="I1452">
        <v>280.51010000000002</v>
      </c>
      <c r="J1452">
        <v>-213.74879999999999</v>
      </c>
      <c r="K1452">
        <v>1.1075440000000001</v>
      </c>
      <c r="L1452">
        <v>282.8254</v>
      </c>
      <c r="M1452">
        <v>-0.98988039999999999</v>
      </c>
      <c r="N1452">
        <v>0</v>
      </c>
      <c r="O1452">
        <v>-0.14179849999999999</v>
      </c>
      <c r="P1452">
        <v>-0.98781830000000004</v>
      </c>
      <c r="Q1452">
        <v>0.15264430000000001</v>
      </c>
      <c r="R1452">
        <v>-3.025247E-2</v>
      </c>
      <c r="S1452">
        <v>-3.045563</v>
      </c>
      <c r="T1452">
        <v>-9.3649739999999995E-2</v>
      </c>
      <c r="U1452">
        <v>-0.1976318</v>
      </c>
      <c r="V1452">
        <v>0.1107963</v>
      </c>
      <c r="W1452">
        <v>0.15756689999999901</v>
      </c>
      <c r="X1452">
        <v>0.98127310000000001</v>
      </c>
      <c r="Y1452">
        <v>7.7299220000000002E-2</v>
      </c>
      <c r="Z1452">
        <v>5.5255819999999898E-3</v>
      </c>
      <c r="AA1452">
        <v>0.99699260000000001</v>
      </c>
      <c r="AB1452">
        <v>18</v>
      </c>
      <c r="AC1452">
        <v>-35.841799999999999</v>
      </c>
      <c r="AD1452">
        <v>-1.1075404331550001</v>
      </c>
      <c r="AE1452">
        <v>-2.3152999999999802</v>
      </c>
      <c r="AF1452">
        <v>2.7878342870246802</v>
      </c>
      <c r="AG1452">
        <v>-1.1075404331550001</v>
      </c>
      <c r="AH1452">
        <v>35.773921010797601</v>
      </c>
      <c r="AI1452">
        <v>91.767921911488003</v>
      </c>
      <c r="AJ1452">
        <v>85.543989587792396</v>
      </c>
      <c r="AK1452">
        <v>35.899472006002597</v>
      </c>
      <c r="AL1452">
        <v>80.934301697003093</v>
      </c>
      <c r="AM1452">
        <v>83.557973166202601</v>
      </c>
      <c r="AN1452">
        <v>1.00000002242645</v>
      </c>
    </row>
    <row r="1453" spans="1:40" x14ac:dyDescent="0.25">
      <c r="A1453" t="str">
        <f>"20190312172643385"</f>
        <v>20190312172643385</v>
      </c>
      <c r="B1453" t="str">
        <f>"1552382803379764"</f>
        <v>1552382803379764</v>
      </c>
      <c r="C1453" t="s">
        <v>40</v>
      </c>
      <c r="D1453">
        <v>3.3345940000000001</v>
      </c>
      <c r="E1453">
        <v>0.4851512</v>
      </c>
      <c r="F1453" t="s">
        <v>48</v>
      </c>
      <c r="G1453">
        <v>-249.02350000000001</v>
      </c>
      <c r="H1453" s="1">
        <v>3.2650640000000002E-6</v>
      </c>
      <c r="I1453">
        <v>280.53859999999997</v>
      </c>
      <c r="J1453">
        <v>-213.92959999999999</v>
      </c>
      <c r="K1453">
        <v>1.1075159999999999</v>
      </c>
      <c r="L1453">
        <v>282.80360000000002</v>
      </c>
      <c r="M1453">
        <v>-0.99036709999999994</v>
      </c>
      <c r="N1453">
        <v>0</v>
      </c>
      <c r="O1453">
        <v>-0.1383576</v>
      </c>
      <c r="P1453">
        <v>-0.98797950000000001</v>
      </c>
      <c r="Q1453">
        <v>0.15190989999999999</v>
      </c>
      <c r="R1453">
        <v>-2.8635500000000001E-2</v>
      </c>
      <c r="S1453">
        <v>-3.0457459999999998</v>
      </c>
      <c r="T1453">
        <v>-9.5628980000000002E-2</v>
      </c>
      <c r="U1453">
        <v>-0.1974487</v>
      </c>
      <c r="V1453">
        <v>0.10901139999999999</v>
      </c>
      <c r="W1453">
        <v>0.15682289999999999</v>
      </c>
      <c r="X1453">
        <v>0.98159209999999997</v>
      </c>
      <c r="Y1453">
        <v>7.3896530000000002E-2</v>
      </c>
      <c r="Z1453">
        <v>5.4817869999999897E-3</v>
      </c>
      <c r="AA1453">
        <v>0.99725090000000005</v>
      </c>
      <c r="AB1453">
        <v>18</v>
      </c>
      <c r="AC1453">
        <v>-35.093899999999998</v>
      </c>
      <c r="AD1453">
        <v>-1.1075127349360001</v>
      </c>
      <c r="AE1453">
        <v>-2.2650000000000401</v>
      </c>
      <c r="AF1453">
        <v>2.6097773148013901</v>
      </c>
      <c r="AG1453">
        <v>-1.1075127349360001</v>
      </c>
      <c r="AH1453">
        <v>35.035005072928897</v>
      </c>
      <c r="AI1453">
        <v>91.805609322966703</v>
      </c>
      <c r="AJ1453">
        <v>85.739872992939993</v>
      </c>
      <c r="AK1453">
        <v>35.149524926391997</v>
      </c>
      <c r="AL1453">
        <v>80.9774660031797</v>
      </c>
      <c r="AM1453">
        <v>83.662944250608504</v>
      </c>
      <c r="AN1453">
        <v>0.999999979038389</v>
      </c>
    </row>
    <row r="1454" spans="1:40" x14ac:dyDescent="0.25">
      <c r="A1454" t="str">
        <f>"20190312172643408"</f>
        <v>20190312172643408</v>
      </c>
      <c r="B1454" t="str">
        <f>"1552382803400259"</f>
        <v>1552382803400259</v>
      </c>
      <c r="C1454" t="s">
        <v>40</v>
      </c>
      <c r="D1454">
        <v>3.3027579999999999</v>
      </c>
      <c r="E1454">
        <v>0.48494409999999999</v>
      </c>
      <c r="F1454" t="s">
        <v>48</v>
      </c>
      <c r="G1454">
        <v>-248.31</v>
      </c>
      <c r="H1454" s="1">
        <v>2.885381E-6</v>
      </c>
      <c r="I1454">
        <v>280.61450000000002</v>
      </c>
      <c r="J1454">
        <v>-214.108</v>
      </c>
      <c r="K1454">
        <v>1.1074870000000001</v>
      </c>
      <c r="L1454">
        <v>282.78250000000003</v>
      </c>
      <c r="M1454">
        <v>-0.9908361</v>
      </c>
      <c r="N1454">
        <v>0</v>
      </c>
      <c r="O1454">
        <v>-0.13495889999999999</v>
      </c>
      <c r="P1454">
        <v>-0.98801530000000004</v>
      </c>
      <c r="Q1454">
        <v>0.1520059</v>
      </c>
      <c r="R1454">
        <v>-2.6837099999999999E-2</v>
      </c>
      <c r="S1454">
        <v>-3.045944</v>
      </c>
      <c r="T1454">
        <v>-9.8120449999999998E-2</v>
      </c>
      <c r="U1454">
        <v>-0.19393920000000001</v>
      </c>
      <c r="V1454">
        <v>0.1074354</v>
      </c>
      <c r="W1454">
        <v>0.1569062</v>
      </c>
      <c r="X1454">
        <v>0.98175259999999998</v>
      </c>
      <c r="Y1454">
        <v>7.1620740000000002E-2</v>
      </c>
      <c r="Z1454">
        <v>5.4795249999999998E-3</v>
      </c>
      <c r="AA1454">
        <v>0.99741690000000005</v>
      </c>
      <c r="AB1454">
        <v>18</v>
      </c>
      <c r="AC1454">
        <v>-34.201999999999998</v>
      </c>
      <c r="AD1454">
        <v>-1.107484114619</v>
      </c>
      <c r="AE1454">
        <v>-2.1680000000000001</v>
      </c>
      <c r="AF1454">
        <v>2.4651941158532802</v>
      </c>
      <c r="AG1454">
        <v>-1.107484114619</v>
      </c>
      <c r="AH1454">
        <v>34.1460194036326</v>
      </c>
      <c r="AI1454">
        <v>91.852847816986298</v>
      </c>
      <c r="AJ1454">
        <v>85.870658262074301</v>
      </c>
      <c r="AK1454">
        <v>34.252800530850401</v>
      </c>
      <c r="AL1454">
        <v>80.972634031150093</v>
      </c>
      <c r="AM1454">
        <v>83.7548440329535</v>
      </c>
      <c r="AN1454">
        <v>1.0000000441891701</v>
      </c>
    </row>
    <row r="1455" spans="1:40" x14ac:dyDescent="0.25">
      <c r="A1455" t="str">
        <f>"20190312172643429"</f>
        <v>20190312172643429</v>
      </c>
      <c r="B1455" t="str">
        <f>"1552382803419780"</f>
        <v>1552382803419780</v>
      </c>
      <c r="C1455" t="s">
        <v>40</v>
      </c>
      <c r="D1455">
        <v>3.270079</v>
      </c>
      <c r="E1455">
        <v>0.484763</v>
      </c>
      <c r="F1455" t="s">
        <v>48</v>
      </c>
      <c r="G1455">
        <v>-248.58320000000001</v>
      </c>
      <c r="H1455" s="1">
        <v>3.0307390000000001E-6</v>
      </c>
      <c r="I1455">
        <v>280.63400000000001</v>
      </c>
      <c r="J1455">
        <v>-214.29320000000001</v>
      </c>
      <c r="K1455">
        <v>1.1074600000000001</v>
      </c>
      <c r="L1455">
        <v>282.76150000000001</v>
      </c>
      <c r="M1455">
        <v>-0.99131130000000001</v>
      </c>
      <c r="N1455">
        <v>0</v>
      </c>
      <c r="O1455">
        <v>-0.13142509999999999</v>
      </c>
      <c r="P1455">
        <v>-0.98804829999999999</v>
      </c>
      <c r="Q1455">
        <v>0.15213589999999999</v>
      </c>
      <c r="R1455">
        <v>-2.479932E-2</v>
      </c>
      <c r="S1455">
        <v>-3.0462799999999999</v>
      </c>
      <c r="T1455">
        <v>-9.785903E-2</v>
      </c>
      <c r="U1455">
        <v>-0.18984989999999999</v>
      </c>
      <c r="V1455">
        <v>0.1059644</v>
      </c>
      <c r="W1455">
        <v>0.15702160000000001</v>
      </c>
      <c r="X1455">
        <v>0.98189400000000004</v>
      </c>
      <c r="Y1455">
        <v>6.9408189999999995E-2</v>
      </c>
      <c r="Z1455">
        <v>5.3167809999999996E-3</v>
      </c>
      <c r="AA1455">
        <v>0.99757419999999997</v>
      </c>
      <c r="AB1455">
        <v>18</v>
      </c>
      <c r="AC1455">
        <v>-34.2899999999999</v>
      </c>
      <c r="AD1455">
        <v>-1.1074569692609999</v>
      </c>
      <c r="AE1455">
        <v>-2.1274999999999902</v>
      </c>
      <c r="AF1455">
        <v>2.3950983671465198</v>
      </c>
      <c r="AG1455">
        <v>-1.1074569692609999</v>
      </c>
      <c r="AH1455">
        <v>34.236599657055898</v>
      </c>
      <c r="AI1455">
        <v>91.848196190718397</v>
      </c>
      <c r="AJ1455">
        <v>85.998264507972493</v>
      </c>
      <c r="AK1455">
        <v>34.338137882019701</v>
      </c>
      <c r="AL1455">
        <v>80.965939000270396</v>
      </c>
      <c r="AM1455">
        <v>83.840570727322699</v>
      </c>
      <c r="AN1455">
        <v>1.00000003208495</v>
      </c>
    </row>
    <row r="1456" spans="1:40" x14ac:dyDescent="0.25">
      <c r="A1456" t="str">
        <f>"20190312172643452"</f>
        <v>20190312172643452</v>
      </c>
      <c r="B1456" t="str">
        <f>"1552382803440275"</f>
        <v>1552382803440275</v>
      </c>
      <c r="C1456" t="s">
        <v>40</v>
      </c>
      <c r="D1456">
        <v>3.2983839999999902</v>
      </c>
      <c r="E1456">
        <v>0.48456749999999998</v>
      </c>
      <c r="F1456" t="s">
        <v>48</v>
      </c>
      <c r="G1456">
        <v>-248.8904</v>
      </c>
      <c r="H1456" s="1">
        <v>3.1942350000000002E-6</v>
      </c>
      <c r="I1456">
        <v>280.6576</v>
      </c>
      <c r="J1456">
        <v>-214.48849999999999</v>
      </c>
      <c r="K1456">
        <v>1.1074269999999999</v>
      </c>
      <c r="L1456">
        <v>282.74</v>
      </c>
      <c r="M1456">
        <v>-0.99179879999999998</v>
      </c>
      <c r="N1456">
        <v>0</v>
      </c>
      <c r="O1456">
        <v>-0.1276948</v>
      </c>
      <c r="P1456">
        <v>-0.98798779999999997</v>
      </c>
      <c r="Q1456">
        <v>0.1528929</v>
      </c>
      <c r="R1456">
        <v>-2.246298E-2</v>
      </c>
      <c r="S1456">
        <v>-3.0466769999999999</v>
      </c>
      <c r="T1456">
        <v>-9.7524169999999993E-2</v>
      </c>
      <c r="U1456">
        <v>-0.1852722</v>
      </c>
      <c r="V1456">
        <v>0.10458870000000001</v>
      </c>
      <c r="W1456">
        <v>0.15776189999999901</v>
      </c>
      <c r="X1456">
        <v>0.98192279999999998</v>
      </c>
      <c r="Y1456">
        <v>6.7159999999999997E-2</v>
      </c>
      <c r="Z1456">
        <v>5.1440440000000004E-3</v>
      </c>
      <c r="AA1456">
        <v>0.99772890000000003</v>
      </c>
      <c r="AB1456">
        <v>19</v>
      </c>
      <c r="AC1456">
        <v>-34.401899999999998</v>
      </c>
      <c r="AD1456">
        <v>-1.1074238057650001</v>
      </c>
      <c r="AE1456">
        <v>-2.0823999999999998</v>
      </c>
      <c r="AF1456">
        <v>2.3252551380723099</v>
      </c>
      <c r="AG1456">
        <v>-1.1074238057650001</v>
      </c>
      <c r="AH1456">
        <v>34.350710623190402</v>
      </c>
      <c r="AI1456">
        <v>91.842291405237901</v>
      </c>
      <c r="AJ1456">
        <v>86.127463696399801</v>
      </c>
      <c r="AK1456">
        <v>34.447126429658397</v>
      </c>
      <c r="AL1456">
        <v>80.922987298393096</v>
      </c>
      <c r="AM1456">
        <v>83.920110647163995</v>
      </c>
      <c r="AN1456">
        <v>0.99999999920956995</v>
      </c>
    </row>
    <row r="1457" spans="1:40" x14ac:dyDescent="0.25">
      <c r="A1457" t="str">
        <f>"20190312172643474"</f>
        <v>20190312172643474</v>
      </c>
      <c r="B1457" t="str">
        <f>"1552382803470532"</f>
        <v>1552382803470532</v>
      </c>
      <c r="C1457" t="s">
        <v>40</v>
      </c>
      <c r="D1457">
        <v>3.2809889999999999</v>
      </c>
      <c r="E1457">
        <v>0.4842919</v>
      </c>
      <c r="F1457" t="s">
        <v>48</v>
      </c>
      <c r="G1457">
        <v>-249.90610000000001</v>
      </c>
      <c r="H1457" s="1">
        <v>3.7347539999999998E-6</v>
      </c>
      <c r="I1457">
        <v>280.6472</v>
      </c>
      <c r="J1457">
        <v>-214.66759999999999</v>
      </c>
      <c r="K1457">
        <v>1.1074040000000001</v>
      </c>
      <c r="L1457">
        <v>282.72089999999997</v>
      </c>
      <c r="M1457">
        <v>-0.99223340000000004</v>
      </c>
      <c r="N1457">
        <v>0</v>
      </c>
      <c r="O1457">
        <v>-0.1242731</v>
      </c>
      <c r="P1457">
        <v>-0.98801910000000004</v>
      </c>
      <c r="Q1457">
        <v>0.15295599999999901</v>
      </c>
      <c r="R1457">
        <v>-2.0565969999999999E-2</v>
      </c>
      <c r="S1457">
        <v>-3.0471499999999998</v>
      </c>
      <c r="T1457">
        <v>-9.5277070000000005E-2</v>
      </c>
      <c r="U1457">
        <v>-0.18005370000000001</v>
      </c>
      <c r="V1457">
        <v>0.1030929</v>
      </c>
      <c r="W1457">
        <v>0.1578127</v>
      </c>
      <c r="X1457">
        <v>0.98207279999999997</v>
      </c>
      <c r="Y1457">
        <v>6.5437460000000003E-2</v>
      </c>
      <c r="Z1457">
        <v>4.8922369999999998E-3</v>
      </c>
      <c r="AA1457">
        <v>0.99784470000000003</v>
      </c>
      <c r="AB1457">
        <v>19</v>
      </c>
      <c r="AC1457">
        <v>-35.238500000000002</v>
      </c>
      <c r="AD1457">
        <v>-1.107400265246</v>
      </c>
      <c r="AE1457">
        <v>-2.0736999999999699</v>
      </c>
      <c r="AF1457">
        <v>2.3193543313146199</v>
      </c>
      <c r="AG1457">
        <v>-1.107400265246</v>
      </c>
      <c r="AH1457">
        <v>35.188402276561</v>
      </c>
      <c r="AI1457">
        <v>91.798637612388703</v>
      </c>
      <c r="AJ1457">
        <v>86.228948681085697</v>
      </c>
      <c r="AK1457">
        <v>35.282139881797697</v>
      </c>
      <c r="AL1457">
        <v>80.920039659433101</v>
      </c>
      <c r="AM1457">
        <v>84.007334919014994</v>
      </c>
      <c r="AN1457">
        <v>0.99999998940576895</v>
      </c>
    </row>
    <row r="1458" spans="1:40" x14ac:dyDescent="0.25">
      <c r="A1458" t="str">
        <f>"20190312172643495"</f>
        <v>20190312172643495</v>
      </c>
      <c r="B1458" t="str">
        <f>"1552382803490051"</f>
        <v>1552382803490051</v>
      </c>
      <c r="C1458" t="s">
        <v>40</v>
      </c>
      <c r="D1458">
        <v>3.2890779999999999</v>
      </c>
      <c r="E1458">
        <v>0.48409059999999998</v>
      </c>
      <c r="F1458" t="s">
        <v>48</v>
      </c>
      <c r="G1458">
        <v>-250.08170000000001</v>
      </c>
      <c r="H1458" s="1">
        <v>-1.4933139999999999E-6</v>
      </c>
      <c r="I1458">
        <v>280.66860000000003</v>
      </c>
      <c r="J1458">
        <v>-214.85300000000001</v>
      </c>
      <c r="K1458">
        <v>1.1073809999999999</v>
      </c>
      <c r="L1458">
        <v>282.70179999999999</v>
      </c>
      <c r="M1458">
        <v>-0.99267030000000001</v>
      </c>
      <c r="N1458">
        <v>0</v>
      </c>
      <c r="O1458">
        <v>-0.1207333</v>
      </c>
      <c r="P1458">
        <v>-0.98810330000000002</v>
      </c>
      <c r="Q1458">
        <v>0.152619</v>
      </c>
      <c r="R1458">
        <v>-1.8961970000000002E-2</v>
      </c>
      <c r="S1458">
        <v>-3.0474549999999998</v>
      </c>
      <c r="T1458">
        <v>-9.5294589999999998E-2</v>
      </c>
      <c r="U1458">
        <v>-0.17660519999999999</v>
      </c>
      <c r="V1458">
        <v>0.1011957</v>
      </c>
      <c r="W1458">
        <v>0.15746849999999901</v>
      </c>
      <c r="X1458">
        <v>0.98232540000000002</v>
      </c>
      <c r="Y1458">
        <v>6.3012250000000006E-2</v>
      </c>
      <c r="Z1458">
        <v>4.7452529999999996E-3</v>
      </c>
      <c r="AA1458">
        <v>0.99800149999999999</v>
      </c>
      <c r="AB1458">
        <v>19</v>
      </c>
      <c r="AC1458">
        <v>-35.228700000000003</v>
      </c>
      <c r="AD1458">
        <v>-1.107382493314</v>
      </c>
      <c r="AE1458">
        <v>-2.0331999999999599</v>
      </c>
      <c r="AF1458">
        <v>2.23281359797984</v>
      </c>
      <c r="AG1458">
        <v>-1.107382493314</v>
      </c>
      <c r="AH1458">
        <v>35.181824507733502</v>
      </c>
      <c r="AI1458">
        <v>91.799228288701698</v>
      </c>
      <c r="AJ1458">
        <v>86.368595111934297</v>
      </c>
      <c r="AK1458">
        <v>35.269994729837698</v>
      </c>
      <c r="AL1458">
        <v>80.940011078766801</v>
      </c>
      <c r="AM1458">
        <v>84.118338377430305</v>
      </c>
      <c r="AN1458">
        <v>1.00000004483794</v>
      </c>
    </row>
    <row r="1459" spans="1:40" x14ac:dyDescent="0.25">
      <c r="A1459" t="str">
        <f>"20190312172643521"</f>
        <v>20190312172643521</v>
      </c>
      <c r="B1459" t="str">
        <f>"1552382803510548"</f>
        <v>1552382803510548</v>
      </c>
      <c r="C1459" t="s">
        <v>40</v>
      </c>
      <c r="D1459">
        <v>3.279461</v>
      </c>
      <c r="E1459">
        <v>0.48386459999999998</v>
      </c>
      <c r="F1459" t="s">
        <v>48</v>
      </c>
      <c r="G1459">
        <v>-249.786</v>
      </c>
      <c r="H1459" s="1">
        <v>3.6708589999999998E-6</v>
      </c>
      <c r="I1459">
        <v>280.71809999999999</v>
      </c>
      <c r="J1459">
        <v>-215.0684</v>
      </c>
      <c r="K1459">
        <v>1.1073519999999999</v>
      </c>
      <c r="L1459">
        <v>282.68040000000002</v>
      </c>
      <c r="M1459">
        <v>-0.99316170000000004</v>
      </c>
      <c r="N1459">
        <v>0</v>
      </c>
      <c r="O1459">
        <v>-0.1166223</v>
      </c>
      <c r="P1459">
        <v>-0.98810229999999999</v>
      </c>
      <c r="Q1459">
        <v>0.1529597</v>
      </c>
      <c r="R1459">
        <v>-1.6047329999999999E-2</v>
      </c>
      <c r="S1459">
        <v>-3.0477289999999999</v>
      </c>
      <c r="T1459">
        <v>-9.6613050000000006E-2</v>
      </c>
      <c r="U1459">
        <v>-0.1730652</v>
      </c>
      <c r="V1459">
        <v>0.1000303</v>
      </c>
      <c r="W1459">
        <v>0.1577991</v>
      </c>
      <c r="X1459">
        <v>0.98239169999999998</v>
      </c>
      <c r="Y1459">
        <v>6.0041589999999999E-2</v>
      </c>
      <c r="Z1459">
        <v>4.6343649999999997E-3</v>
      </c>
      <c r="AA1459">
        <v>0.99818510000000005</v>
      </c>
      <c r="AB1459">
        <v>19</v>
      </c>
      <c r="AC1459">
        <v>-34.717599999999898</v>
      </c>
      <c r="AD1459">
        <v>-1.107348329141</v>
      </c>
      <c r="AE1459">
        <v>-1.9623000000000199</v>
      </c>
      <c r="AF1459">
        <v>2.09786822599574</v>
      </c>
      <c r="AG1459">
        <v>-1.107348329141</v>
      </c>
      <c r="AH1459">
        <v>34.674379660364998</v>
      </c>
      <c r="AI1459">
        <v>91.825819046048906</v>
      </c>
      <c r="AJ1459">
        <v>86.537712990417702</v>
      </c>
      <c r="AK1459">
        <v>34.755429449897797</v>
      </c>
      <c r="AL1459">
        <v>80.920829182846305</v>
      </c>
      <c r="AM1459">
        <v>84.185996319271695</v>
      </c>
      <c r="AN1459">
        <v>1.00000003455389</v>
      </c>
    </row>
    <row r="1460" spans="1:40" x14ac:dyDescent="0.25">
      <c r="A1460" t="str">
        <f>"20190312172643544"</f>
        <v>20190312172643544</v>
      </c>
      <c r="B1460" t="str">
        <f>"1552382803540109"</f>
        <v>1552382803540109</v>
      </c>
      <c r="C1460" t="s">
        <v>40</v>
      </c>
      <c r="D1460">
        <v>3.2464520000000001</v>
      </c>
      <c r="E1460">
        <v>0.4835507</v>
      </c>
      <c r="F1460" t="s">
        <v>48</v>
      </c>
      <c r="G1460">
        <v>-250.4135</v>
      </c>
      <c r="H1460" s="1">
        <v>-1.3167689999999901E-6</v>
      </c>
      <c r="I1460">
        <v>280.75470000000001</v>
      </c>
      <c r="J1460">
        <v>-215.26740000000001</v>
      </c>
      <c r="K1460">
        <v>1.107327</v>
      </c>
      <c r="L1460">
        <v>282.66140000000001</v>
      </c>
      <c r="M1460">
        <v>-0.99360009999999999</v>
      </c>
      <c r="N1460">
        <v>0</v>
      </c>
      <c r="O1460">
        <v>-0.1128277</v>
      </c>
      <c r="P1460">
        <v>-0.9881335</v>
      </c>
      <c r="Q1460">
        <v>0.152979</v>
      </c>
      <c r="R1460">
        <v>-1.3787850000000001E-2</v>
      </c>
      <c r="S1460">
        <v>-3.048187</v>
      </c>
      <c r="T1460">
        <v>-9.5499039999999993E-2</v>
      </c>
      <c r="U1460">
        <v>-0.16607669999999999</v>
      </c>
      <c r="V1460">
        <v>9.8531460000000001E-2</v>
      </c>
      <c r="W1460">
        <v>0.1578146</v>
      </c>
      <c r="X1460">
        <v>0.98254059999999999</v>
      </c>
      <c r="Y1460">
        <v>5.852301E-2</v>
      </c>
      <c r="Z1460">
        <v>4.4389219999999997E-3</v>
      </c>
      <c r="AA1460">
        <v>0.99827619999999895</v>
      </c>
      <c r="AB1460">
        <v>19</v>
      </c>
      <c r="AC1460">
        <v>-35.146099999999898</v>
      </c>
      <c r="AD1460">
        <v>-1.107328316769</v>
      </c>
      <c r="AE1460">
        <v>-1.9067000000000001</v>
      </c>
      <c r="AF1460">
        <v>2.0689383721408299</v>
      </c>
      <c r="AG1460">
        <v>-1.107328316769</v>
      </c>
      <c r="AH1460">
        <v>35.102060168982803</v>
      </c>
      <c r="AI1460">
        <v>91.803723101610402</v>
      </c>
      <c r="AJ1460">
        <v>86.626851796270302</v>
      </c>
      <c r="AK1460">
        <v>35.180410885828501</v>
      </c>
      <c r="AL1460">
        <v>80.919929179823697</v>
      </c>
      <c r="AM1460">
        <v>84.273391194438105</v>
      </c>
      <c r="AN1460">
        <v>0.99999996361562504</v>
      </c>
    </row>
    <row r="1461" spans="1:40" x14ac:dyDescent="0.25">
      <c r="A1461" t="str">
        <f>"20190312172643585"</f>
        <v>20190312172643585</v>
      </c>
      <c r="B1461" t="str">
        <f>"1552382803580125"</f>
        <v>1552382803580125</v>
      </c>
      <c r="C1461" t="s">
        <v>40</v>
      </c>
      <c r="D1461">
        <v>3.2753359999999998</v>
      </c>
      <c r="E1461">
        <v>0.48323640000000001</v>
      </c>
      <c r="F1461" t="s">
        <v>48</v>
      </c>
      <c r="G1461">
        <v>-250.7039</v>
      </c>
      <c r="H1461" s="1">
        <v>-1.1622310000000001E-6</v>
      </c>
      <c r="I1461">
        <v>280.77699999999999</v>
      </c>
      <c r="J1461">
        <v>-215.63200000000001</v>
      </c>
      <c r="K1461">
        <v>1.1072900000000001</v>
      </c>
      <c r="L1461">
        <v>282.62869999999998</v>
      </c>
      <c r="M1461">
        <v>-0.99436429999999998</v>
      </c>
      <c r="N1461">
        <v>0</v>
      </c>
      <c r="O1461">
        <v>-0.10588</v>
      </c>
      <c r="P1461">
        <v>-0.98805460000000001</v>
      </c>
      <c r="Q1461">
        <v>0.1537732</v>
      </c>
      <c r="R1461">
        <v>-1.0097E-2</v>
      </c>
      <c r="S1461">
        <v>-3.048492</v>
      </c>
      <c r="T1461">
        <v>-9.5260020000000001E-2</v>
      </c>
      <c r="U1461">
        <v>-0.16210939999999999</v>
      </c>
      <c r="V1461">
        <v>9.533722E-2</v>
      </c>
      <c r="W1461">
        <v>0.15861310000000001</v>
      </c>
      <c r="X1461">
        <v>0.98272720000000002</v>
      </c>
      <c r="Y1461">
        <v>5.2851799999999997E-2</v>
      </c>
      <c r="Z1461">
        <v>4.1234710000000001E-3</v>
      </c>
      <c r="AA1461">
        <v>0.99859390000000003</v>
      </c>
      <c r="AB1461">
        <v>19</v>
      </c>
      <c r="AC1461">
        <v>-35.071899999999999</v>
      </c>
      <c r="AD1461">
        <v>-1.107291162231</v>
      </c>
      <c r="AE1461">
        <v>-1.8516999999999899</v>
      </c>
      <c r="AF1461">
        <v>1.8703164684431699</v>
      </c>
      <c r="AG1461">
        <v>-1.107291162231</v>
      </c>
      <c r="AH1461">
        <v>35.035986397213101</v>
      </c>
      <c r="AI1461">
        <v>91.807623861882803</v>
      </c>
      <c r="AJ1461">
        <v>86.944295517668706</v>
      </c>
      <c r="AK1461">
        <v>35.103340585132102</v>
      </c>
      <c r="AL1461">
        <v>80.873595478596997</v>
      </c>
      <c r="AM1461">
        <v>84.458909930047398</v>
      </c>
      <c r="AN1461">
        <v>1.0000000253143799</v>
      </c>
    </row>
    <row r="1462" spans="1:40" x14ac:dyDescent="0.25">
      <c r="A1462" t="str">
        <f>"20190312172643609"</f>
        <v>20190312172643609</v>
      </c>
      <c r="B1462" t="str">
        <f>"1552382803600621"</f>
        <v>1552382803600621</v>
      </c>
      <c r="C1462" t="s">
        <v>40</v>
      </c>
      <c r="D1462">
        <v>3.255064</v>
      </c>
      <c r="E1462">
        <v>0.47788310000000001</v>
      </c>
      <c r="F1462" t="s">
        <v>48</v>
      </c>
      <c r="G1462">
        <v>-252.06319999999999</v>
      </c>
      <c r="H1462" s="1">
        <v>-4.3885570000000002E-7</v>
      </c>
      <c r="I1462">
        <v>280.80189999999999</v>
      </c>
      <c r="J1462">
        <v>-215.83789999999999</v>
      </c>
      <c r="K1462">
        <v>1.1072599999999999</v>
      </c>
      <c r="L1462">
        <v>282.6112</v>
      </c>
      <c r="M1462">
        <v>-0.99477409999999999</v>
      </c>
      <c r="N1462">
        <v>0</v>
      </c>
      <c r="O1462">
        <v>-0.10195890000000001</v>
      </c>
      <c r="P1462">
        <v>-0.98809340000000001</v>
      </c>
      <c r="Q1462">
        <v>0.15369179999999999</v>
      </c>
      <c r="R1462">
        <v>-7.0977760000000001E-3</v>
      </c>
      <c r="S1462">
        <v>-3.049118</v>
      </c>
      <c r="T1462">
        <v>-9.2674850000000003E-2</v>
      </c>
      <c r="U1462">
        <v>-0.1528931</v>
      </c>
      <c r="V1462">
        <v>9.4454910000000003E-2</v>
      </c>
      <c r="W1462">
        <v>0.15853399999999901</v>
      </c>
      <c r="X1462">
        <v>0.98282510000000001</v>
      </c>
      <c r="Y1462">
        <v>5.1942269999999999E-2</v>
      </c>
      <c r="Z1462">
        <v>3.8789919999999999E-3</v>
      </c>
      <c r="AA1462">
        <v>0.99864260000000005</v>
      </c>
      <c r="AB1462">
        <v>19</v>
      </c>
      <c r="AC1462">
        <v>-36.225299999999997</v>
      </c>
      <c r="AD1462">
        <v>-1.1072604388556999</v>
      </c>
      <c r="AE1462">
        <v>-1.8092999999999999</v>
      </c>
      <c r="AF1462">
        <v>1.89191112857147</v>
      </c>
      <c r="AG1462">
        <v>-1.1072604388556999</v>
      </c>
      <c r="AH1462">
        <v>36.187262552444601</v>
      </c>
      <c r="AI1462">
        <v>91.750204721098299</v>
      </c>
      <c r="AJ1462">
        <v>87.007236403418503</v>
      </c>
      <c r="AK1462">
        <v>36.253597399946798</v>
      </c>
      <c r="AL1462">
        <v>80.878185127776504</v>
      </c>
      <c r="AM1462">
        <v>84.510419396716202</v>
      </c>
      <c r="AN1462">
        <v>0.99999996818455805</v>
      </c>
    </row>
    <row r="1463" spans="1:40" x14ac:dyDescent="0.25">
      <c r="A1463" t="str">
        <f>"20190312172643630"</f>
        <v>20190312172643630</v>
      </c>
      <c r="B1463" t="str">
        <f>"1552382803620141"</f>
        <v>1552382803620141</v>
      </c>
      <c r="C1463" t="s">
        <v>40</v>
      </c>
      <c r="D1463">
        <v>3.303874</v>
      </c>
      <c r="E1463">
        <v>0.47726550000000001</v>
      </c>
      <c r="F1463" t="s">
        <v>48</v>
      </c>
      <c r="G1463">
        <v>-254.6568</v>
      </c>
      <c r="H1463" s="1">
        <v>9.4133410000000002E-7</v>
      </c>
      <c r="I1463">
        <v>280.23869999999999</v>
      </c>
      <c r="J1463">
        <v>-216.03319999999999</v>
      </c>
      <c r="K1463">
        <v>1.1072420000000001</v>
      </c>
      <c r="L1463">
        <v>282.59550000000002</v>
      </c>
      <c r="M1463">
        <v>-0.99514780000000003</v>
      </c>
      <c r="N1463">
        <v>0</v>
      </c>
      <c r="O1463">
        <v>-9.8243120000000003E-2</v>
      </c>
      <c r="P1463">
        <v>-0.98808910000000005</v>
      </c>
      <c r="Q1463">
        <v>0.1538216</v>
      </c>
      <c r="R1463">
        <v>-4.3728170000000002E-3</v>
      </c>
      <c r="S1463">
        <v>-3.0483250000000002</v>
      </c>
      <c r="T1463">
        <v>-8.6949470000000001E-2</v>
      </c>
      <c r="U1463">
        <v>-0.1863098</v>
      </c>
      <c r="V1463">
        <v>9.3501429999999996E-2</v>
      </c>
      <c r="W1463">
        <v>0.15866820000000001</v>
      </c>
      <c r="X1463">
        <v>0.98289470000000001</v>
      </c>
      <c r="Y1463">
        <v>3.729702E-2</v>
      </c>
      <c r="Z1463">
        <v>3.3249489999999998E-3</v>
      </c>
      <c r="AA1463">
        <v>0.99929869999999998</v>
      </c>
      <c r="AB1463">
        <v>20</v>
      </c>
      <c r="AC1463">
        <v>-38.623600000000003</v>
      </c>
      <c r="AD1463">
        <v>-1.1072410586658901</v>
      </c>
      <c r="AE1463">
        <v>-2.3568000000000202</v>
      </c>
      <c r="AF1463">
        <v>1.44797418729224</v>
      </c>
      <c r="AG1463">
        <v>-1.1072410586658901</v>
      </c>
      <c r="AH1463">
        <v>38.636658713694501</v>
      </c>
      <c r="AI1463">
        <v>91.640369934903603</v>
      </c>
      <c r="AJ1463">
        <v>87.853748104950398</v>
      </c>
      <c r="AK1463">
        <v>38.6796329942201</v>
      </c>
      <c r="AL1463">
        <v>80.870398246188898</v>
      </c>
      <c r="AM1463">
        <v>84.565883335826697</v>
      </c>
      <c r="AN1463">
        <v>1.0000000531956801</v>
      </c>
    </row>
    <row r="1464" spans="1:40" x14ac:dyDescent="0.25">
      <c r="A1464" t="str">
        <f>"20190312172643653"</f>
        <v>20190312172643653</v>
      </c>
      <c r="B1464" t="str">
        <f>"1552382803650398"</f>
        <v>1552382803650398</v>
      </c>
      <c r="C1464" t="s">
        <v>40</v>
      </c>
      <c r="D1464">
        <v>3.2772260000000002</v>
      </c>
      <c r="E1464">
        <v>0.476858</v>
      </c>
      <c r="F1464" t="s">
        <v>48</v>
      </c>
      <c r="G1464">
        <v>-254.90719999999999</v>
      </c>
      <c r="H1464" s="1">
        <v>1.0745719999999999E-6</v>
      </c>
      <c r="I1464">
        <v>280.2663</v>
      </c>
      <c r="J1464">
        <v>-216.2329</v>
      </c>
      <c r="K1464">
        <v>1.107219</v>
      </c>
      <c r="L1464">
        <v>282.58010000000002</v>
      </c>
      <c r="M1464">
        <v>-0.9955155</v>
      </c>
      <c r="N1464">
        <v>0</v>
      </c>
      <c r="O1464">
        <v>-9.4444509999999995E-2</v>
      </c>
      <c r="P1464">
        <v>-0.9880563</v>
      </c>
      <c r="Q1464">
        <v>0.154090899999999</v>
      </c>
      <c r="R1464">
        <v>-1.0199250000000001E-3</v>
      </c>
      <c r="S1464">
        <v>-3.0488590000000002</v>
      </c>
      <c r="T1464">
        <v>-8.6840029999999999E-2</v>
      </c>
      <c r="U1464">
        <v>-0.18267820000000001</v>
      </c>
      <c r="V1464">
        <v>9.3091129999999994E-2</v>
      </c>
      <c r="W1464">
        <v>0.15894169999999999</v>
      </c>
      <c r="X1464">
        <v>0.98288940000000002</v>
      </c>
      <c r="Y1464">
        <v>3.4682480000000002E-2</v>
      </c>
      <c r="Z1464">
        <v>3.1756089999999998E-3</v>
      </c>
      <c r="AA1464">
        <v>0.99939330000000004</v>
      </c>
      <c r="AB1464">
        <v>20</v>
      </c>
      <c r="AC1464">
        <v>-38.674299999999903</v>
      </c>
      <c r="AD1464">
        <v>-1.1072179254279999</v>
      </c>
      <c r="AE1464">
        <v>-2.3138000000000098</v>
      </c>
      <c r="AF1464">
        <v>1.3480702091105501</v>
      </c>
      <c r="AG1464">
        <v>-1.1072179254279999</v>
      </c>
      <c r="AH1464">
        <v>38.688357357328101</v>
      </c>
      <c r="AI1464">
        <v>91.638300571482006</v>
      </c>
      <c r="AJ1464">
        <v>88.004373866942998</v>
      </c>
      <c r="AK1464">
        <v>38.727667368838603</v>
      </c>
      <c r="AL1464">
        <v>80.854525924455999</v>
      </c>
      <c r="AM1464">
        <v>84.589558341753602</v>
      </c>
      <c r="AN1464">
        <v>0.99999999755796298</v>
      </c>
    </row>
    <row r="1465" spans="1:40" x14ac:dyDescent="0.25">
      <c r="A1465" t="str">
        <f>"20190312172643674"</f>
        <v>20190312172643674</v>
      </c>
      <c r="B1465" t="str">
        <f>"1552382803669918"</f>
        <v>1552382803669918</v>
      </c>
      <c r="C1465" t="s">
        <v>40</v>
      </c>
      <c r="D1465">
        <v>3.404131</v>
      </c>
      <c r="E1465">
        <v>0.49192859999999999</v>
      </c>
      <c r="F1465" t="s">
        <v>48</v>
      </c>
      <c r="G1465">
        <v>-254.47239999999999</v>
      </c>
      <c r="H1465" s="1">
        <v>8.4320409999999998E-7</v>
      </c>
      <c r="I1465">
        <v>280.37040000000002</v>
      </c>
      <c r="J1465">
        <v>-216.42590000000001</v>
      </c>
      <c r="K1465">
        <v>1.107197</v>
      </c>
      <c r="L1465">
        <v>282.56610000000001</v>
      </c>
      <c r="M1465">
        <v>-0.99585679999999999</v>
      </c>
      <c r="N1465">
        <v>0</v>
      </c>
      <c r="O1465">
        <v>-9.0775610000000007E-2</v>
      </c>
      <c r="P1465">
        <v>-0.98804800000000004</v>
      </c>
      <c r="Q1465">
        <v>0.15412799999999999</v>
      </c>
      <c r="R1465">
        <v>2.4478759999999999E-3</v>
      </c>
      <c r="S1465">
        <v>-3.0498500000000002</v>
      </c>
      <c r="T1465">
        <v>-8.8307860000000002E-2</v>
      </c>
      <c r="U1465">
        <v>-0.17623900000000001</v>
      </c>
      <c r="V1465">
        <v>9.2926960000000003E-2</v>
      </c>
      <c r="W1465">
        <v>0.1589827</v>
      </c>
      <c r="X1465">
        <v>0.9828983</v>
      </c>
      <c r="Y1465">
        <v>3.3122449999999998E-2</v>
      </c>
      <c r="Z1465">
        <v>3.1002830000000001E-3</v>
      </c>
      <c r="AA1465">
        <v>0.99944650000000002</v>
      </c>
      <c r="AB1465">
        <v>20</v>
      </c>
      <c r="AC1465">
        <v>-38.046499999999902</v>
      </c>
      <c r="AD1465">
        <v>-1.1071961567959001</v>
      </c>
      <c r="AE1465">
        <v>-2.19569999999998</v>
      </c>
      <c r="AF1465">
        <v>1.2660412370285901</v>
      </c>
      <c r="AG1465">
        <v>-1.1071961567959001</v>
      </c>
      <c r="AH1465">
        <v>38.0566122290357</v>
      </c>
      <c r="AI1465">
        <v>91.665537968291005</v>
      </c>
      <c r="AJ1465">
        <v>88.094626053993196</v>
      </c>
      <c r="AK1465">
        <v>38.093759043899396</v>
      </c>
      <c r="AL1465">
        <v>80.852146505136204</v>
      </c>
      <c r="AM1465">
        <v>84.599092019980901</v>
      </c>
      <c r="AN1465">
        <v>0.99999999346850998</v>
      </c>
    </row>
    <row r="1466" spans="1:40" x14ac:dyDescent="0.25">
      <c r="A1466" t="str">
        <f>"20190312172643698"</f>
        <v>20190312172643698</v>
      </c>
      <c r="B1466" t="str">
        <f>"1552382803690414"</f>
        <v>1552382803690414</v>
      </c>
      <c r="C1466" t="s">
        <v>40</v>
      </c>
      <c r="D1466">
        <v>3.4086889999999999</v>
      </c>
      <c r="E1466">
        <v>0.50593750000000004</v>
      </c>
      <c r="F1466" t="s">
        <v>48</v>
      </c>
      <c r="G1466">
        <v>-267.23660000000001</v>
      </c>
      <c r="H1466" s="1">
        <v>2.3141469999999998E-6</v>
      </c>
      <c r="I1466">
        <v>281.80220000000003</v>
      </c>
      <c r="J1466">
        <v>-216.63130000000001</v>
      </c>
      <c r="K1466">
        <v>1.107173</v>
      </c>
      <c r="L1466">
        <v>282.55180000000001</v>
      </c>
      <c r="M1466">
        <v>-0.9962048</v>
      </c>
      <c r="N1466">
        <v>0</v>
      </c>
      <c r="O1466">
        <v>-8.687127E-2</v>
      </c>
      <c r="P1466">
        <v>-0.98798299999999994</v>
      </c>
      <c r="Q1466">
        <v>0.1544421</v>
      </c>
      <c r="R1466">
        <v>6.1138340000000003E-3</v>
      </c>
      <c r="S1466">
        <v>-3.0467529999999998</v>
      </c>
      <c r="T1466">
        <v>-6.639051E-2</v>
      </c>
      <c r="U1466">
        <v>-4.5806880000000001E-2</v>
      </c>
      <c r="V1466">
        <v>9.2727160000000003E-2</v>
      </c>
      <c r="W1466">
        <v>0.15930239999999901</v>
      </c>
      <c r="X1466">
        <v>0.9828654</v>
      </c>
      <c r="Y1466">
        <v>7.1848980000000007E-2</v>
      </c>
      <c r="Z1466">
        <v>2.6732489999999999E-3</v>
      </c>
      <c r="AA1466">
        <v>0.99741199999999997</v>
      </c>
      <c r="AB1466">
        <v>20</v>
      </c>
      <c r="AC1466">
        <v>-50.6053</v>
      </c>
      <c r="AD1466">
        <v>-1.1071706858529999</v>
      </c>
      <c r="AE1466">
        <v>-0.74959999999998606</v>
      </c>
      <c r="AF1466">
        <v>3.6476995053212198</v>
      </c>
      <c r="AG1466">
        <v>-1.1071706858529999</v>
      </c>
      <c r="AH1466">
        <v>50.454956956762203</v>
      </c>
      <c r="AI1466">
        <v>91.253810851909194</v>
      </c>
      <c r="AJ1466">
        <v>85.864929601917694</v>
      </c>
      <c r="AK1466">
        <v>50.598757100520302</v>
      </c>
      <c r="AL1466">
        <v>80.833592532425698</v>
      </c>
      <c r="AM1466">
        <v>84.6104565952554</v>
      </c>
      <c r="AN1466">
        <v>0.99999998768229204</v>
      </c>
    </row>
    <row r="1467" spans="1:40" x14ac:dyDescent="0.25">
      <c r="A1467" t="str">
        <f>"20190312172643720"</f>
        <v>20190312172643720</v>
      </c>
      <c r="B1467" t="str">
        <f>"1552382803709933"</f>
        <v>1552382803709933</v>
      </c>
      <c r="C1467" t="s">
        <v>40</v>
      </c>
      <c r="D1467">
        <v>3.3974549999999999</v>
      </c>
      <c r="E1467">
        <v>0.51186599999999904</v>
      </c>
      <c r="F1467" t="s">
        <v>48</v>
      </c>
      <c r="G1467">
        <v>-253.32320000000001</v>
      </c>
      <c r="H1467" s="1">
        <v>2.316373E-7</v>
      </c>
      <c r="I1467">
        <v>283.4923</v>
      </c>
      <c r="J1467">
        <v>-216.84010000000001</v>
      </c>
      <c r="K1467">
        <v>1.107151</v>
      </c>
      <c r="L1467">
        <v>282.53820000000002</v>
      </c>
      <c r="M1467">
        <v>-0.99654259999999995</v>
      </c>
      <c r="N1467">
        <v>0</v>
      </c>
      <c r="O1467">
        <v>-8.2905419999999994E-2</v>
      </c>
      <c r="P1467">
        <v>-0.98788869999999895</v>
      </c>
      <c r="Q1467">
        <v>0.1547857</v>
      </c>
      <c r="R1467">
        <v>1.0832359999999999E-2</v>
      </c>
      <c r="S1467">
        <v>-3.0504150000000001</v>
      </c>
      <c r="T1467">
        <v>-9.20459E-2</v>
      </c>
      <c r="U1467">
        <v>7.8186039999999998E-2</v>
      </c>
      <c r="V1467">
        <v>9.3516390000000005E-2</v>
      </c>
      <c r="W1467">
        <v>0.15964739999999999</v>
      </c>
      <c r="X1467">
        <v>0.98273469999999996</v>
      </c>
      <c r="Y1467">
        <v>0.1083271</v>
      </c>
      <c r="Z1467">
        <v>4.1329660000000001E-3</v>
      </c>
      <c r="AA1467">
        <v>0.99410670000000001</v>
      </c>
      <c r="AB1467">
        <v>20</v>
      </c>
      <c r="AC1467">
        <v>-36.4831</v>
      </c>
      <c r="AD1467">
        <v>-1.1071507683627</v>
      </c>
      <c r="AE1467">
        <v>0.95409999999998196</v>
      </c>
      <c r="AF1467">
        <v>3.9718514110185001</v>
      </c>
      <c r="AG1467">
        <v>-1.1071507683627</v>
      </c>
      <c r="AH1467">
        <v>36.245042464946899</v>
      </c>
      <c r="AI1467">
        <v>91.739223059738194</v>
      </c>
      <c r="AJ1467">
        <v>83.746292216586696</v>
      </c>
      <c r="AK1467">
        <v>36.478822482926901</v>
      </c>
      <c r="AL1467">
        <v>80.813569798250597</v>
      </c>
      <c r="AM1467">
        <v>84.564139521534898</v>
      </c>
      <c r="AN1467">
        <v>1.0000000490547301</v>
      </c>
    </row>
    <row r="1468" spans="1:40" x14ac:dyDescent="0.25">
      <c r="A1468" t="str">
        <f>"20190312172643744"</f>
        <v>20190312172643744</v>
      </c>
      <c r="B1468" t="str">
        <f>"1552382803740191"</f>
        <v>1552382803740191</v>
      </c>
      <c r="C1468" t="s">
        <v>40</v>
      </c>
      <c r="D1468">
        <v>3.3795980000000001</v>
      </c>
      <c r="E1468">
        <v>0.51592769999999999</v>
      </c>
      <c r="F1468" t="s">
        <v>48</v>
      </c>
      <c r="G1468">
        <v>-250.41679999999999</v>
      </c>
      <c r="H1468" s="1">
        <v>-1.3149830000000001E-6</v>
      </c>
      <c r="I1468">
        <v>284.07839999999999</v>
      </c>
      <c r="J1468">
        <v>-217.05770000000001</v>
      </c>
      <c r="K1468">
        <v>1.1071260000000001</v>
      </c>
      <c r="L1468">
        <v>282.52480000000003</v>
      </c>
      <c r="M1468">
        <v>-0.99687769999999998</v>
      </c>
      <c r="N1468">
        <v>0</v>
      </c>
      <c r="O1468">
        <v>-7.8774579999999997E-2</v>
      </c>
      <c r="P1468">
        <v>-0.98783580000000004</v>
      </c>
      <c r="Q1468">
        <v>0.15468879999999999</v>
      </c>
      <c r="R1468">
        <v>1.5874659999999999E-2</v>
      </c>
      <c r="S1468">
        <v>-3.0510100000000002</v>
      </c>
      <c r="T1468">
        <v>-0.1006035</v>
      </c>
      <c r="U1468">
        <v>0.13995360000000001</v>
      </c>
      <c r="V1468">
        <v>9.4470709999999999E-2</v>
      </c>
      <c r="W1468">
        <v>0.159552799999999</v>
      </c>
      <c r="X1468">
        <v>0.9826587</v>
      </c>
      <c r="Y1468">
        <v>0.1242635</v>
      </c>
      <c r="Z1468">
        <v>4.6417100000000003E-3</v>
      </c>
      <c r="AA1468">
        <v>0.99223839999999996</v>
      </c>
      <c r="AB1468">
        <v>20</v>
      </c>
      <c r="AC1468">
        <v>-33.359099999999899</v>
      </c>
      <c r="AD1468">
        <v>-1.1071273149830001</v>
      </c>
      <c r="AE1468">
        <v>1.5535999999999599</v>
      </c>
      <c r="AF1468">
        <v>4.1720743151468804</v>
      </c>
      <c r="AG1468">
        <v>-1.1071273149830001</v>
      </c>
      <c r="AH1468">
        <v>33.096670459053698</v>
      </c>
      <c r="AI1468">
        <v>91.900872898172196</v>
      </c>
      <c r="AJ1468">
        <v>82.815349021590393</v>
      </c>
      <c r="AK1468">
        <v>33.376961072840203</v>
      </c>
      <c r="AL1468">
        <v>80.819059587684805</v>
      </c>
      <c r="AM1468">
        <v>84.508582676494598</v>
      </c>
      <c r="AN1468">
        <v>0.99999996586071604</v>
      </c>
    </row>
    <row r="1469" spans="1:40" x14ac:dyDescent="0.25">
      <c r="A1469" t="str">
        <f>"20190312172643766"</f>
        <v>20190312172643766</v>
      </c>
      <c r="B1469" t="str">
        <f>"1552382803760687"</f>
        <v>1552382803760687</v>
      </c>
      <c r="C1469" t="s">
        <v>40</v>
      </c>
      <c r="D1469">
        <v>3.3976739999999999</v>
      </c>
      <c r="E1469">
        <v>0.51712320000000001</v>
      </c>
      <c r="F1469" t="s">
        <v>48</v>
      </c>
      <c r="G1469">
        <v>-248.50880000000001</v>
      </c>
      <c r="H1469" s="1">
        <v>2.9911520000000002E-6</v>
      </c>
      <c r="I1469">
        <v>284.46010000000001</v>
      </c>
      <c r="J1469">
        <v>-217.26570000000001</v>
      </c>
      <c r="K1469">
        <v>1.107102</v>
      </c>
      <c r="L1469">
        <v>282.5129</v>
      </c>
      <c r="M1469">
        <v>-0.99718169999999995</v>
      </c>
      <c r="N1469">
        <v>0</v>
      </c>
      <c r="O1469">
        <v>-7.4826009999999998E-2</v>
      </c>
      <c r="P1469">
        <v>-0.98783449999999995</v>
      </c>
      <c r="Q1469">
        <v>0.15423529999999999</v>
      </c>
      <c r="R1469">
        <v>1.986425E-2</v>
      </c>
      <c r="S1469">
        <v>-3.0507200000000001</v>
      </c>
      <c r="T1469">
        <v>-0.10738979999999999</v>
      </c>
      <c r="U1469">
        <v>0.18771360000000001</v>
      </c>
      <c r="V1469">
        <v>9.4560179999999994E-2</v>
      </c>
      <c r="W1469">
        <v>0.1591079</v>
      </c>
      <c r="X1469">
        <v>0.98272230000000005</v>
      </c>
      <c r="Y1469">
        <v>0.13579840000000001</v>
      </c>
      <c r="Z1469">
        <v>5.0175469999999998E-3</v>
      </c>
      <c r="AA1469">
        <v>0.99072380000000004</v>
      </c>
      <c r="AB1469">
        <v>20</v>
      </c>
      <c r="AC1469">
        <v>-31.243099999999998</v>
      </c>
      <c r="AD1469">
        <v>-1.1070990088479999</v>
      </c>
      <c r="AE1469">
        <v>1.9472</v>
      </c>
      <c r="AF1469">
        <v>4.2742262079417204</v>
      </c>
      <c r="AG1469">
        <v>-1.1070990088479999</v>
      </c>
      <c r="AH1469">
        <v>30.971069255184201</v>
      </c>
      <c r="AI1469">
        <v>92.028030994276193</v>
      </c>
      <c r="AJ1469">
        <v>82.142412134319898</v>
      </c>
      <c r="AK1469">
        <v>31.284210213803799</v>
      </c>
      <c r="AL1469">
        <v>80.844880973052398</v>
      </c>
      <c r="AM1469">
        <v>84.503767327897293</v>
      </c>
      <c r="AN1469">
        <v>1.0000000352006599</v>
      </c>
    </row>
    <row r="1470" spans="1:40" x14ac:dyDescent="0.25">
      <c r="A1470" t="str">
        <f>"20190312172643787"</f>
        <v>20190312172643787</v>
      </c>
      <c r="B1470" t="str">
        <f>"1552382803780205"</f>
        <v>1552382803780205</v>
      </c>
      <c r="C1470" t="s">
        <v>40</v>
      </c>
      <c r="D1470">
        <v>3.3740999999999999</v>
      </c>
      <c r="E1470">
        <v>0.51774129999999996</v>
      </c>
      <c r="F1470" t="s">
        <v>48</v>
      </c>
      <c r="G1470">
        <v>-247.64359999999999</v>
      </c>
      <c r="H1470" s="1">
        <v>2.5307580000000001E-6</v>
      </c>
      <c r="I1470">
        <v>284.60500000000002</v>
      </c>
      <c r="J1470">
        <v>-217.45480000000001</v>
      </c>
      <c r="K1470">
        <v>1.1070739999999999</v>
      </c>
      <c r="L1470">
        <v>282.5027</v>
      </c>
      <c r="M1470">
        <v>-0.99744429999999995</v>
      </c>
      <c r="N1470">
        <v>0</v>
      </c>
      <c r="O1470">
        <v>-7.1239839999999999E-2</v>
      </c>
      <c r="P1470">
        <v>-0.98776470000000005</v>
      </c>
      <c r="Q1470">
        <v>0.154119799999999</v>
      </c>
      <c r="R1470">
        <v>2.3839559999999999E-2</v>
      </c>
      <c r="S1470">
        <v>-3.0500790000000002</v>
      </c>
      <c r="T1470">
        <v>-0.11115800000000001</v>
      </c>
      <c r="U1470">
        <v>0.2100525</v>
      </c>
      <c r="V1470">
        <v>9.4990740000000004E-2</v>
      </c>
      <c r="W1470">
        <v>0.15899829999999901</v>
      </c>
      <c r="X1470">
        <v>0.98269850000000003</v>
      </c>
      <c r="Y1470">
        <v>0.1394638</v>
      </c>
      <c r="Z1470">
        <v>5.1298209999999997E-3</v>
      </c>
      <c r="AA1470">
        <v>0.99021389999999998</v>
      </c>
      <c r="AB1470">
        <v>20</v>
      </c>
      <c r="AC1470">
        <v>-30.188799999999901</v>
      </c>
      <c r="AD1470">
        <v>-1.1070714692419901</v>
      </c>
      <c r="AE1470">
        <v>2.1023000000000098</v>
      </c>
      <c r="AF1470">
        <v>4.2419585453886501</v>
      </c>
      <c r="AG1470">
        <v>-1.1070714692419901</v>
      </c>
      <c r="AH1470">
        <v>29.922279257028698</v>
      </c>
      <c r="AI1470">
        <v>92.097918516347406</v>
      </c>
      <c r="AJ1470">
        <v>81.931180692547599</v>
      </c>
      <c r="AK1470">
        <v>30.241736317123301</v>
      </c>
      <c r="AL1470">
        <v>80.851241429275603</v>
      </c>
      <c r="AM1470">
        <v>84.478762777552205</v>
      </c>
      <c r="AN1470">
        <v>1.0000000209954401</v>
      </c>
    </row>
    <row r="1471" spans="1:40" x14ac:dyDescent="0.25">
      <c r="A1471" t="str">
        <f>"20190312172643809"</f>
        <v>20190312172643809</v>
      </c>
      <c r="B1471" t="str">
        <f>"1552382803800703"</f>
        <v>1552382803800703</v>
      </c>
      <c r="C1471" t="s">
        <v>40</v>
      </c>
      <c r="D1471">
        <v>3.4056160000000002</v>
      </c>
      <c r="E1471">
        <v>0.51817789999999997</v>
      </c>
      <c r="F1471" t="s">
        <v>48</v>
      </c>
      <c r="G1471">
        <v>-247.2955</v>
      </c>
      <c r="H1471" s="1">
        <v>2.3455120000000002E-6</v>
      </c>
      <c r="I1471">
        <v>284.72919999999999</v>
      </c>
      <c r="J1471">
        <v>-217.65889999999999</v>
      </c>
      <c r="K1471">
        <v>1.107056</v>
      </c>
      <c r="L1471">
        <v>282.49259999999998</v>
      </c>
      <c r="M1471">
        <v>-0.99771319999999997</v>
      </c>
      <c r="N1471">
        <v>0</v>
      </c>
      <c r="O1471">
        <v>-6.7368639999999994E-2</v>
      </c>
      <c r="P1471">
        <v>-0.98757709999999999</v>
      </c>
      <c r="Q1471">
        <v>0.1546141</v>
      </c>
      <c r="R1471">
        <v>2.8037380000000001E-2</v>
      </c>
      <c r="S1471">
        <v>-3.0493009999999998</v>
      </c>
      <c r="T1471">
        <v>-0.11312709999999999</v>
      </c>
      <c r="U1471">
        <v>0.2275085</v>
      </c>
      <c r="V1471">
        <v>9.5360219999999996E-2</v>
      </c>
      <c r="W1471">
        <v>0.15949959999999999</v>
      </c>
      <c r="X1471">
        <v>0.98258140000000005</v>
      </c>
      <c r="Y1471">
        <v>0.14127429999999999</v>
      </c>
      <c r="Z1471">
        <v>5.111254E-3</v>
      </c>
      <c r="AA1471">
        <v>0.98995730000000004</v>
      </c>
      <c r="AB1471">
        <v>20</v>
      </c>
      <c r="AC1471">
        <v>-29.636600000000001</v>
      </c>
      <c r="AD1471">
        <v>-1.1070536544880001</v>
      </c>
      <c r="AE1471">
        <v>2.2366000000000099</v>
      </c>
      <c r="AF1471">
        <v>4.2222677146709398</v>
      </c>
      <c r="AG1471">
        <v>-1.1070536544880001</v>
      </c>
      <c r="AH1471">
        <v>29.37782923672</v>
      </c>
      <c r="AI1471">
        <v>92.136144145014796</v>
      </c>
      <c r="AJ1471">
        <v>81.821289681325297</v>
      </c>
      <c r="AK1471">
        <v>29.700336077393999</v>
      </c>
      <c r="AL1471">
        <v>80.822147125508394</v>
      </c>
      <c r="AM1471">
        <v>84.456764182791204</v>
      </c>
      <c r="AN1471">
        <v>0.99999995079228299</v>
      </c>
    </row>
    <row r="1472" spans="1:40" x14ac:dyDescent="0.25">
      <c r="A1472" t="str">
        <f>"20190312172643831"</f>
        <v>20190312172643831</v>
      </c>
      <c r="B1472" t="str">
        <f>"1552382803820222"</f>
        <v>1552382803820222</v>
      </c>
      <c r="C1472" t="s">
        <v>40</v>
      </c>
      <c r="D1472">
        <v>3.4099249999999999</v>
      </c>
      <c r="E1472">
        <v>0.51833300000000004</v>
      </c>
      <c r="F1472" t="s">
        <v>48</v>
      </c>
      <c r="G1472">
        <v>-247.42949999999999</v>
      </c>
      <c r="H1472" s="1">
        <v>2.416818E-6</v>
      </c>
      <c r="I1472">
        <v>284.87369999999999</v>
      </c>
      <c r="J1472">
        <v>-217.875</v>
      </c>
      <c r="K1472">
        <v>1.107037</v>
      </c>
      <c r="L1472">
        <v>282.48270000000002</v>
      </c>
      <c r="M1472">
        <v>-0.99798109999999995</v>
      </c>
      <c r="N1472">
        <v>0</v>
      </c>
      <c r="O1472">
        <v>-6.3271179999999996E-2</v>
      </c>
      <c r="P1472">
        <v>-0.98739189999999999</v>
      </c>
      <c r="Q1472">
        <v>0.15494059999999901</v>
      </c>
      <c r="R1472">
        <v>3.2408680000000002E-2</v>
      </c>
      <c r="S1472">
        <v>-3.0485530000000001</v>
      </c>
      <c r="T1472">
        <v>-0.11336400000000001</v>
      </c>
      <c r="U1472">
        <v>0.24383540000000001</v>
      </c>
      <c r="V1472">
        <v>9.5682909999999996E-2</v>
      </c>
      <c r="W1472">
        <v>0.1598357</v>
      </c>
      <c r="X1472">
        <v>0.98249549999999997</v>
      </c>
      <c r="Y1472">
        <v>0.14249890000000001</v>
      </c>
      <c r="Z1472">
        <v>4.9929559999999998E-3</v>
      </c>
      <c r="AA1472">
        <v>0.98978239999999995</v>
      </c>
      <c r="AB1472">
        <v>21</v>
      </c>
      <c r="AC1472">
        <v>-29.554499999999901</v>
      </c>
      <c r="AD1472">
        <v>-1.1070345831820001</v>
      </c>
      <c r="AE1472">
        <v>2.39099999999996</v>
      </c>
      <c r="AF1472">
        <v>4.25026118827342</v>
      </c>
      <c r="AG1472">
        <v>-1.1070345831820001</v>
      </c>
      <c r="AH1472">
        <v>29.3031516280803</v>
      </c>
      <c r="AI1472">
        <v>92.141146197207306</v>
      </c>
      <c r="AJ1472">
        <v>81.747115221575001</v>
      </c>
      <c r="AK1472">
        <v>29.630473183450299</v>
      </c>
      <c r="AL1472">
        <v>80.802640566739896</v>
      </c>
      <c r="AM1472">
        <v>84.437640587747296</v>
      </c>
      <c r="AN1472">
        <v>1.0000000388904</v>
      </c>
    </row>
    <row r="1473" spans="1:40" x14ac:dyDescent="0.25">
      <c r="A1473" t="str">
        <f>"20190312172643854"</f>
        <v>20190312172643854</v>
      </c>
      <c r="B1473" t="str">
        <f>"1552382803850478"</f>
        <v>1552382803850478</v>
      </c>
      <c r="C1473" t="s">
        <v>40</v>
      </c>
      <c r="D1473">
        <v>3.3538339999999902</v>
      </c>
      <c r="E1473">
        <v>0.51838099999999998</v>
      </c>
      <c r="F1473" t="s">
        <v>48</v>
      </c>
      <c r="G1473">
        <v>-247.6952</v>
      </c>
      <c r="H1473" s="1">
        <v>2.558234E-6</v>
      </c>
      <c r="I1473">
        <v>285.00529999999998</v>
      </c>
      <c r="J1473">
        <v>-218.0805</v>
      </c>
      <c r="K1473">
        <v>1.1070150000000001</v>
      </c>
      <c r="L1473">
        <v>282.47410000000002</v>
      </c>
      <c r="M1473">
        <v>-0.99822040000000001</v>
      </c>
      <c r="N1473">
        <v>0</v>
      </c>
      <c r="O1473">
        <v>-5.9375659999999997E-2</v>
      </c>
      <c r="P1473">
        <v>-0.98721510000000001</v>
      </c>
      <c r="Q1473">
        <v>0.15533069999999999</v>
      </c>
      <c r="R1473">
        <v>3.5762849999999999E-2</v>
      </c>
      <c r="S1473">
        <v>-3.0475919999999999</v>
      </c>
      <c r="T1473">
        <v>-0.1131376</v>
      </c>
      <c r="U1473">
        <v>0.2578125</v>
      </c>
      <c r="V1473">
        <v>9.5193349999999996E-2</v>
      </c>
      <c r="W1473">
        <v>0.16023950000000001</v>
      </c>
      <c r="X1473">
        <v>0.98247720000000005</v>
      </c>
      <c r="Y1473">
        <v>0.1431722</v>
      </c>
      <c r="Z1473">
        <v>4.8518859999999997E-3</v>
      </c>
      <c r="AA1473">
        <v>0.98968590000000001</v>
      </c>
      <c r="AB1473">
        <v>21</v>
      </c>
      <c r="AC1473">
        <v>-29.614699999999999</v>
      </c>
      <c r="AD1473">
        <v>-1.1070124417660001</v>
      </c>
      <c r="AE1473">
        <v>2.5311999999999499</v>
      </c>
      <c r="AF1473">
        <v>4.2792173256011701</v>
      </c>
      <c r="AG1473">
        <v>-1.1070124417660001</v>
      </c>
      <c r="AH1473">
        <v>29.371412392477801</v>
      </c>
      <c r="AI1473">
        <v>92.135934887187503</v>
      </c>
      <c r="AJ1473">
        <v>81.710712707490401</v>
      </c>
      <c r="AK1473">
        <v>29.7021387006886</v>
      </c>
      <c r="AL1473">
        <v>80.779201700880904</v>
      </c>
      <c r="AM1473">
        <v>84.4658207418572</v>
      </c>
      <c r="AN1473">
        <v>0.99999995988215495</v>
      </c>
    </row>
    <row r="1474" spans="1:40" x14ac:dyDescent="0.25">
      <c r="A1474" t="str">
        <f>"20190312172643874"</f>
        <v>20190312172643874</v>
      </c>
      <c r="B1474" t="str">
        <f>"1552382803869998"</f>
        <v>1552382803869998</v>
      </c>
      <c r="C1474" t="s">
        <v>40</v>
      </c>
      <c r="D1474">
        <v>3.382161</v>
      </c>
      <c r="E1474">
        <v>0.51838409999999902</v>
      </c>
      <c r="F1474" t="s">
        <v>48</v>
      </c>
      <c r="G1474">
        <v>-248.16409999999999</v>
      </c>
      <c r="H1474" s="1">
        <v>2.8077619999999998E-6</v>
      </c>
      <c r="I1474">
        <v>285.12270000000001</v>
      </c>
      <c r="J1474">
        <v>-218.28270000000001</v>
      </c>
      <c r="K1474">
        <v>1.106992</v>
      </c>
      <c r="L1474">
        <v>282.46640000000002</v>
      </c>
      <c r="M1474">
        <v>-0.99844080000000002</v>
      </c>
      <c r="N1474">
        <v>0</v>
      </c>
      <c r="O1474">
        <v>-5.5546900000000003E-2</v>
      </c>
      <c r="P1474">
        <v>-0.98707509999999998</v>
      </c>
      <c r="Q1474">
        <v>0.15545819999999999</v>
      </c>
      <c r="R1474">
        <v>3.8933889999999999E-2</v>
      </c>
      <c r="S1474">
        <v>-3.046783</v>
      </c>
      <c r="T1474">
        <v>-0.1121151</v>
      </c>
      <c r="U1474">
        <v>0.26824949999999997</v>
      </c>
      <c r="V1474">
        <v>9.458925E-2</v>
      </c>
      <c r="W1474">
        <v>0.1603812</v>
      </c>
      <c r="X1474">
        <v>0.98251250000000001</v>
      </c>
      <c r="Y1474">
        <v>0.14276920000000001</v>
      </c>
      <c r="Z1474">
        <v>4.6607130000000004E-3</v>
      </c>
      <c r="AA1474">
        <v>0.98974499999999999</v>
      </c>
      <c r="AB1474">
        <v>21</v>
      </c>
      <c r="AC1474">
        <v>-29.8813999999999</v>
      </c>
      <c r="AD1474">
        <v>-1.106989192238</v>
      </c>
      <c r="AE1474">
        <v>2.6562999999999799</v>
      </c>
      <c r="AF1474">
        <v>4.3061796945715196</v>
      </c>
      <c r="AG1474">
        <v>-1.106989192238</v>
      </c>
      <c r="AH1474">
        <v>29.647343197713901</v>
      </c>
      <c r="AI1474">
        <v>92.116163770325002</v>
      </c>
      <c r="AJ1474">
        <v>81.735767690819898</v>
      </c>
      <c r="AK1474">
        <v>29.978885358143401</v>
      </c>
      <c r="AL1474">
        <v>80.7709772002612</v>
      </c>
      <c r="AM1474">
        <v>84.500921212766698</v>
      </c>
      <c r="AN1474">
        <v>1.0000000340926201</v>
      </c>
    </row>
    <row r="1475" spans="1:40" x14ac:dyDescent="0.25">
      <c r="A1475" t="str">
        <f>"20190312172643898"</f>
        <v>20190312172643898</v>
      </c>
      <c r="B1475" t="str">
        <f>"1552382803890494"</f>
        <v>1552382803890494</v>
      </c>
      <c r="C1475" t="s">
        <v>40</v>
      </c>
      <c r="D1475">
        <v>3.3701780000000001</v>
      </c>
      <c r="E1475">
        <v>0.51826379999999905</v>
      </c>
      <c r="F1475" t="s">
        <v>48</v>
      </c>
      <c r="G1475">
        <v>-248.44919999999999</v>
      </c>
      <c r="H1475" s="1">
        <v>2.9594399999999998E-6</v>
      </c>
      <c r="I1475">
        <v>285.221</v>
      </c>
      <c r="J1475">
        <v>-218.49889999999999</v>
      </c>
      <c r="K1475">
        <v>1.106981</v>
      </c>
      <c r="L1475">
        <v>282.459</v>
      </c>
      <c r="M1475">
        <v>-0.99865999999999999</v>
      </c>
      <c r="N1475">
        <v>0</v>
      </c>
      <c r="O1475">
        <v>-5.1453260000000001E-2</v>
      </c>
      <c r="P1475">
        <v>-0.98689640000000001</v>
      </c>
      <c r="Q1475">
        <v>0.15575339999999999</v>
      </c>
      <c r="R1475">
        <v>4.2151790000000001E-2</v>
      </c>
      <c r="S1475">
        <v>-3.0459139999999998</v>
      </c>
      <c r="T1475">
        <v>-0.1117727</v>
      </c>
      <c r="U1475">
        <v>0.27813719999999997</v>
      </c>
      <c r="V1475">
        <v>9.3772369999999994E-2</v>
      </c>
      <c r="W1475">
        <v>0.16069420000000001</v>
      </c>
      <c r="X1475">
        <v>0.98253970000000002</v>
      </c>
      <c r="Y1475">
        <v>0.14192769999999999</v>
      </c>
      <c r="Z1475">
        <v>4.481896E-3</v>
      </c>
      <c r="AA1475">
        <v>0.98986689999999999</v>
      </c>
      <c r="AB1475">
        <v>21</v>
      </c>
      <c r="AC1475">
        <v>-29.950299999999999</v>
      </c>
      <c r="AD1475">
        <v>-1.10697804056</v>
      </c>
      <c r="AE1475">
        <v>2.762</v>
      </c>
      <c r="AF1475">
        <v>4.2935897126220901</v>
      </c>
      <c r="AG1475">
        <v>-1.10697804056</v>
      </c>
      <c r="AH1475">
        <v>29.728241982282899</v>
      </c>
      <c r="AI1475">
        <v>92.110633990578506</v>
      </c>
      <c r="AJ1475">
        <v>81.781715242945396</v>
      </c>
      <c r="AK1475">
        <v>30.057090417400399</v>
      </c>
      <c r="AL1475">
        <v>80.752808321489795</v>
      </c>
      <c r="AM1475">
        <v>84.548274322747503</v>
      </c>
      <c r="AN1475">
        <v>1.00000007268257</v>
      </c>
    </row>
    <row r="1476" spans="1:40" x14ac:dyDescent="0.25">
      <c r="A1476" t="str">
        <f>"20190312172643921"</f>
        <v>20190312172643921</v>
      </c>
      <c r="B1476" t="str">
        <f>"1552382803910013"</f>
        <v>1552382803910013</v>
      </c>
      <c r="C1476" t="s">
        <v>40</v>
      </c>
      <c r="D1476">
        <v>3.3024719999999999</v>
      </c>
      <c r="E1476">
        <v>0.51828549999999995</v>
      </c>
      <c r="F1476" t="s">
        <v>48</v>
      </c>
      <c r="G1476">
        <v>-248.512</v>
      </c>
      <c r="H1476" s="1">
        <v>2.9928899999999999E-6</v>
      </c>
      <c r="I1476">
        <v>285.29199999999997</v>
      </c>
      <c r="J1476">
        <v>-218.7236</v>
      </c>
      <c r="K1476">
        <v>1.106957</v>
      </c>
      <c r="L1476">
        <v>282.45229999999998</v>
      </c>
      <c r="M1476">
        <v>-0.99887009999999998</v>
      </c>
      <c r="N1476">
        <v>0</v>
      </c>
      <c r="O1476">
        <v>-4.7198560000000001E-2</v>
      </c>
      <c r="P1476">
        <v>-0.98666419999999999</v>
      </c>
      <c r="Q1476">
        <v>0.15620609999999999</v>
      </c>
      <c r="R1476">
        <v>4.575692E-2</v>
      </c>
      <c r="S1476">
        <v>-3.0452729999999999</v>
      </c>
      <c r="T1476">
        <v>-0.112319</v>
      </c>
      <c r="U1476">
        <v>0.28744509999999901</v>
      </c>
      <c r="V1476">
        <v>9.3184779999999995E-2</v>
      </c>
      <c r="W1476">
        <v>0.1611639</v>
      </c>
      <c r="X1476">
        <v>0.98251860000000002</v>
      </c>
      <c r="Y1476">
        <v>0.14073179999999999</v>
      </c>
      <c r="Z1476">
        <v>4.3255699999999999E-3</v>
      </c>
      <c r="AA1476">
        <v>0.99003830000000004</v>
      </c>
      <c r="AB1476">
        <v>21</v>
      </c>
      <c r="AC1476">
        <v>-29.788399999999999</v>
      </c>
      <c r="AD1476">
        <v>-1.1069540071099999</v>
      </c>
      <c r="AE1476">
        <v>2.8397000000000499</v>
      </c>
      <c r="AF1476">
        <v>4.23672853953485</v>
      </c>
      <c r="AG1476">
        <v>-1.1069540071099999</v>
      </c>
      <c r="AH1476">
        <v>29.580688446708901</v>
      </c>
      <c r="AI1476">
        <v>92.121465500967005</v>
      </c>
      <c r="AJ1476">
        <v>81.849178221043303</v>
      </c>
      <c r="AK1476">
        <v>29.9030490898976</v>
      </c>
      <c r="AL1476">
        <v>80.725540438369094</v>
      </c>
      <c r="AM1476">
        <v>84.582115997058096</v>
      </c>
      <c r="AN1476">
        <v>1.0000000026164</v>
      </c>
    </row>
    <row r="1477" spans="1:40" x14ac:dyDescent="0.25">
      <c r="A1477" t="str">
        <f>"20190312172644032"</f>
        <v>20190312172644032</v>
      </c>
      <c r="B1477" t="str">
        <f>"1552382804029979"</f>
        <v>1552382804029979</v>
      </c>
      <c r="C1477" t="s">
        <v>40</v>
      </c>
      <c r="D1477">
        <v>3.4545319999999999</v>
      </c>
      <c r="E1477">
        <v>0.5009808</v>
      </c>
      <c r="F1477" t="s">
        <v>48</v>
      </c>
      <c r="G1477">
        <v>-248.45179999999999</v>
      </c>
      <c r="H1477" s="1">
        <v>2.9608449999999999E-6</v>
      </c>
      <c r="I1477">
        <v>285.36410000000001</v>
      </c>
      <c r="J1477">
        <v>-219.80799999999999</v>
      </c>
      <c r="K1477">
        <v>1.106846</v>
      </c>
      <c r="L1477">
        <v>282.43299999999999</v>
      </c>
      <c r="M1477">
        <v>-0.99962720000000005</v>
      </c>
      <c r="N1477">
        <v>0</v>
      </c>
      <c r="O1477">
        <v>-2.6707089999999999E-2</v>
      </c>
      <c r="P1477">
        <v>-0.98585149999999999</v>
      </c>
      <c r="Q1477">
        <v>0.15630759999999999</v>
      </c>
      <c r="R1477">
        <v>6.0537899999999999E-2</v>
      </c>
      <c r="S1477">
        <v>-3.0446620000000002</v>
      </c>
      <c r="T1477">
        <v>-0.1133707</v>
      </c>
      <c r="U1477">
        <v>0.29821779999999998</v>
      </c>
      <c r="V1477">
        <v>8.7802119999999997E-2</v>
      </c>
      <c r="W1477">
        <v>0.16137190000000001</v>
      </c>
      <c r="X1477">
        <v>0.98298010000000002</v>
      </c>
      <c r="Y1477">
        <v>0.1239234</v>
      </c>
      <c r="Z1477">
        <v>3.2928969999999999E-3</v>
      </c>
      <c r="AA1477">
        <v>0.99228629999999995</v>
      </c>
      <c r="AB1477">
        <v>22</v>
      </c>
      <c r="AC1477">
        <v>-28.643799999999999</v>
      </c>
      <c r="AD1477">
        <v>-1.1068430391549999</v>
      </c>
      <c r="AE1477">
        <v>2.93110000000001</v>
      </c>
      <c r="AF1477">
        <v>3.68960716773447</v>
      </c>
      <c r="AG1477">
        <v>-1.1068430391549999</v>
      </c>
      <c r="AH1477">
        <v>28.513166114882299</v>
      </c>
      <c r="AI1477">
        <v>92.204666582720606</v>
      </c>
      <c r="AJ1477">
        <v>82.626889741874606</v>
      </c>
      <c r="AK1477">
        <v>28.7721904703204</v>
      </c>
      <c r="AL1477">
        <v>80.713464733810099</v>
      </c>
      <c r="AM1477">
        <v>84.895750695729504</v>
      </c>
      <c r="AN1477">
        <v>0.99999998969105697</v>
      </c>
    </row>
    <row r="1478" spans="1:40" x14ac:dyDescent="0.25">
      <c r="A1478" t="str">
        <f>"20190312172644055"</f>
        <v>20190312172644055</v>
      </c>
      <c r="B1478" t="str">
        <f>"1552382804050476"</f>
        <v>1552382804050476</v>
      </c>
      <c r="C1478" t="s">
        <v>40</v>
      </c>
      <c r="D1478">
        <v>3.2941470000000002</v>
      </c>
      <c r="E1478">
        <v>0.49881710000000001</v>
      </c>
      <c r="F1478" t="s">
        <v>44</v>
      </c>
      <c r="G1478">
        <v>-220.64160000000001</v>
      </c>
      <c r="H1478">
        <v>0.93907859999999999</v>
      </c>
      <c r="I1478">
        <v>282.49160000000001</v>
      </c>
      <c r="J1478">
        <v>-220.03039999999999</v>
      </c>
      <c r="K1478">
        <v>1.106822</v>
      </c>
      <c r="L1478">
        <v>282.43180000000001</v>
      </c>
      <c r="M1478">
        <v>-0.99973029999999996</v>
      </c>
      <c r="N1478">
        <v>0</v>
      </c>
      <c r="O1478">
        <v>-2.2511639999999999E-2</v>
      </c>
      <c r="P1478">
        <v>-0.98566679999999995</v>
      </c>
      <c r="Q1478">
        <v>0.15639320000000001</v>
      </c>
      <c r="R1478">
        <v>6.3265500000000002E-2</v>
      </c>
      <c r="S1478">
        <v>-3.1294249999999999</v>
      </c>
      <c r="T1478">
        <v>-0.62973829999999997</v>
      </c>
      <c r="U1478">
        <v>0.219696</v>
      </c>
      <c r="V1478">
        <v>8.6404529999999993E-2</v>
      </c>
      <c r="W1478">
        <v>0.16148289999999901</v>
      </c>
      <c r="X1478">
        <v>0.98308569999999995</v>
      </c>
      <c r="Y1478">
        <v>9.0220270000000005E-2</v>
      </c>
      <c r="Z1478">
        <v>1.3457169999999999E-2</v>
      </c>
      <c r="AA1478">
        <v>0.99583089999999996</v>
      </c>
      <c r="AB1478">
        <v>22</v>
      </c>
      <c r="AC1478">
        <v>-0.61120000000002495</v>
      </c>
      <c r="AD1478">
        <v>-0.16774339999999999</v>
      </c>
      <c r="AE1478">
        <v>5.97999999999956E-2</v>
      </c>
      <c r="AF1478">
        <v>6.8438136932322993E-2</v>
      </c>
      <c r="AG1478">
        <v>-0.16774339999999999</v>
      </c>
      <c r="AH1478">
        <v>0.56736853982084201</v>
      </c>
      <c r="AI1478">
        <v>106.35822368989</v>
      </c>
      <c r="AJ1478">
        <v>83.121996678665795</v>
      </c>
      <c r="AK1478">
        <v>0.595591039899662</v>
      </c>
      <c r="AL1478">
        <v>80.707020306704095</v>
      </c>
      <c r="AM1478">
        <v>84.977115354567701</v>
      </c>
      <c r="AN1478">
        <v>0.99999998167071003</v>
      </c>
    </row>
    <row r="1479" spans="1:40" x14ac:dyDescent="0.25">
      <c r="A1479" t="str">
        <f>"20190312172644077"</f>
        <v>20190312172644077</v>
      </c>
      <c r="B1479" t="str">
        <f>"1552382804069995"</f>
        <v>1552382804069995</v>
      </c>
      <c r="C1479" t="s">
        <v>40</v>
      </c>
      <c r="D1479">
        <v>3.538951</v>
      </c>
      <c r="E1479">
        <v>0.49776619999999999</v>
      </c>
      <c r="F1479" t="s">
        <v>44</v>
      </c>
      <c r="G1479">
        <v>-220.8501</v>
      </c>
      <c r="H1479">
        <v>0.96000770000000002</v>
      </c>
      <c r="I1479">
        <v>282.48680000000002</v>
      </c>
      <c r="J1479">
        <v>-220.2578</v>
      </c>
      <c r="K1479">
        <v>1.1067990000000001</v>
      </c>
      <c r="L1479">
        <v>282.43150000000003</v>
      </c>
      <c r="M1479">
        <v>-0.99981739999999997</v>
      </c>
      <c r="N1479">
        <v>0</v>
      </c>
      <c r="O1479">
        <v>-1.8231669999999998E-2</v>
      </c>
      <c r="P1479">
        <v>-0.98547419999999997</v>
      </c>
      <c r="Q1479">
        <v>0.1563851</v>
      </c>
      <c r="R1479">
        <v>6.6214389999999998E-2</v>
      </c>
      <c r="S1479">
        <v>-3.1188349999999998</v>
      </c>
      <c r="T1479">
        <v>-0.55851770000000001</v>
      </c>
      <c r="U1479">
        <v>0.2088623</v>
      </c>
      <c r="V1479">
        <v>8.5144529999999996E-2</v>
      </c>
      <c r="W1479">
        <v>0.16149939999999999</v>
      </c>
      <c r="X1479">
        <v>0.98319290000000004</v>
      </c>
      <c r="Y1479">
        <v>8.3388589999999999E-2</v>
      </c>
      <c r="Z1479">
        <v>1.063557E-2</v>
      </c>
      <c r="AA1479">
        <v>0.99646040000000002</v>
      </c>
      <c r="AB1479">
        <v>22</v>
      </c>
      <c r="AC1479">
        <v>-0.59229999999999405</v>
      </c>
      <c r="AD1479">
        <v>-0.14679130000000001</v>
      </c>
      <c r="AE1479">
        <v>5.5299999999988303E-2</v>
      </c>
      <c r="AF1479">
        <v>6.2296361669636098E-2</v>
      </c>
      <c r="AG1479">
        <v>-0.14679130000000001</v>
      </c>
      <c r="AH1479">
        <v>0.55726152314115796</v>
      </c>
      <c r="AI1479">
        <v>104.669959251687</v>
      </c>
      <c r="AJ1479">
        <v>83.621378265562697</v>
      </c>
      <c r="AK1479">
        <v>0.57962826674220003</v>
      </c>
      <c r="AL1479">
        <v>80.706062176367794</v>
      </c>
      <c r="AM1479">
        <v>85.050532348149005</v>
      </c>
      <c r="AN1479">
        <v>0.99999996289984405</v>
      </c>
    </row>
    <row r="1480" spans="1:40" x14ac:dyDescent="0.25">
      <c r="A1480" t="str">
        <f>"20190312172644101"</f>
        <v>20190312172644101</v>
      </c>
      <c r="B1480" t="str">
        <f>"1552382804090492"</f>
        <v>1552382804090492</v>
      </c>
      <c r="C1480" t="s">
        <v>40</v>
      </c>
      <c r="D1480">
        <v>3.3079930000000002</v>
      </c>
      <c r="E1480">
        <v>0.4971428</v>
      </c>
      <c r="F1480" t="s">
        <v>44</v>
      </c>
      <c r="G1480">
        <v>-221.05969999999999</v>
      </c>
      <c r="H1480">
        <v>0.98096870000000003</v>
      </c>
      <c r="I1480">
        <v>282.48509999999999</v>
      </c>
      <c r="J1480">
        <v>-220.48660000000001</v>
      </c>
      <c r="K1480">
        <v>1.106778</v>
      </c>
      <c r="L1480">
        <v>282.43209999999999</v>
      </c>
      <c r="M1480">
        <v>-0.99988639999999995</v>
      </c>
      <c r="N1480">
        <v>0</v>
      </c>
      <c r="O1480">
        <v>-1.3935609999999999E-2</v>
      </c>
      <c r="P1480">
        <v>-0.98526389999999997</v>
      </c>
      <c r="Q1480">
        <v>0.15611229999999901</v>
      </c>
      <c r="R1480">
        <v>6.9885509999999998E-2</v>
      </c>
      <c r="S1480">
        <v>-3.1076510000000002</v>
      </c>
      <c r="T1480">
        <v>-0.4874753</v>
      </c>
      <c r="U1480">
        <v>0.20745849999999999</v>
      </c>
      <c r="V1480">
        <v>8.4588709999999998E-2</v>
      </c>
      <c r="W1480">
        <v>0.16124810000000001</v>
      </c>
      <c r="X1480">
        <v>0.98328210000000005</v>
      </c>
      <c r="Y1480">
        <v>7.9371289999999997E-2</v>
      </c>
      <c r="Z1480">
        <v>8.3511809999999992E-3</v>
      </c>
      <c r="AA1480">
        <v>0.99681010000000003</v>
      </c>
      <c r="AB1480">
        <v>22</v>
      </c>
      <c r="AC1480">
        <v>-0.57309999999998196</v>
      </c>
      <c r="AD1480">
        <v>-0.12580930000000001</v>
      </c>
      <c r="AE1480">
        <v>5.2999999999997202E-2</v>
      </c>
      <c r="AF1480">
        <v>5.82005332773156E-2</v>
      </c>
      <c r="AG1480">
        <v>-0.12580930000000001</v>
      </c>
      <c r="AH1480">
        <v>0.546206783344374</v>
      </c>
      <c r="AI1480">
        <v>102.900305697702</v>
      </c>
      <c r="AJ1480">
        <v>83.917852998300603</v>
      </c>
      <c r="AK1480">
        <v>0.563522077838714</v>
      </c>
      <c r="AL1480">
        <v>80.720651649696606</v>
      </c>
      <c r="AM1480">
        <v>85.083127226722496</v>
      </c>
      <c r="AN1480">
        <v>0.99999994389673996</v>
      </c>
    </row>
    <row r="1481" spans="1:40" x14ac:dyDescent="0.25">
      <c r="A1481" t="str">
        <f>"20190312172644123"</f>
        <v>20190312172644123</v>
      </c>
      <c r="B1481" t="str">
        <f>"1552382804120748"</f>
        <v>1552382804120748</v>
      </c>
      <c r="C1481" t="s">
        <v>40</v>
      </c>
      <c r="D1481">
        <v>3.3121969999999998</v>
      </c>
      <c r="E1481">
        <v>0.49695030000000001</v>
      </c>
      <c r="F1481" t="s">
        <v>44</v>
      </c>
      <c r="G1481">
        <v>-221.26840000000001</v>
      </c>
      <c r="H1481">
        <v>0.99819550000000001</v>
      </c>
      <c r="I1481">
        <v>282.48590000000002</v>
      </c>
      <c r="J1481">
        <v>-220.71129999999999</v>
      </c>
      <c r="K1481">
        <v>1.106762</v>
      </c>
      <c r="L1481">
        <v>282.43369999999999</v>
      </c>
      <c r="M1481">
        <v>-0.99993600000000005</v>
      </c>
      <c r="N1481">
        <v>0</v>
      </c>
      <c r="O1481">
        <v>-9.7406290000000006E-3</v>
      </c>
      <c r="P1481">
        <v>-0.9850447</v>
      </c>
      <c r="Q1481">
        <v>0.15633269999999999</v>
      </c>
      <c r="R1481">
        <v>7.2436440000000005E-2</v>
      </c>
      <c r="S1481">
        <v>-3.0979610000000002</v>
      </c>
      <c r="T1481">
        <v>-0.43015959999999998</v>
      </c>
      <c r="U1481">
        <v>0.21240229999999999</v>
      </c>
      <c r="V1481">
        <v>8.3013219999999999E-2</v>
      </c>
      <c r="W1481">
        <v>0.16149749999999999</v>
      </c>
      <c r="X1481">
        <v>0.98337549999999996</v>
      </c>
      <c r="Y1481">
        <v>7.7284950000000005E-2</v>
      </c>
      <c r="Z1481">
        <v>6.6784309999999899E-3</v>
      </c>
      <c r="AA1481">
        <v>0.9969867</v>
      </c>
      <c r="AB1481">
        <v>22</v>
      </c>
      <c r="AC1481">
        <v>-0.55710000000001902</v>
      </c>
      <c r="AD1481">
        <v>-0.1085665</v>
      </c>
      <c r="AE1481">
        <v>5.2200000000027502E-2</v>
      </c>
      <c r="AF1481">
        <v>5.5533456039952203E-2</v>
      </c>
      <c r="AG1481">
        <v>-0.1085665</v>
      </c>
      <c r="AH1481">
        <v>0.53637235134202799</v>
      </c>
      <c r="AI1481">
        <v>101.383329826178</v>
      </c>
      <c r="AJ1481">
        <v>84.088927327858201</v>
      </c>
      <c r="AK1481">
        <v>0.55005995032011501</v>
      </c>
      <c r="AL1481">
        <v>80.706172886767902</v>
      </c>
      <c r="AM1481">
        <v>85.174725078000904</v>
      </c>
      <c r="AN1481">
        <v>1.00000000560063</v>
      </c>
    </row>
    <row r="1482" spans="1:40" x14ac:dyDescent="0.25">
      <c r="A1482" t="str">
        <f>"20190312172644147"</f>
        <v>20190312172644147</v>
      </c>
      <c r="B1482" t="str">
        <f>"1552382804140267"</f>
        <v>1552382804140267</v>
      </c>
      <c r="C1482" t="s">
        <v>40</v>
      </c>
      <c r="D1482">
        <v>3.3381959999999999</v>
      </c>
      <c r="E1482">
        <v>0.49696390000000001</v>
      </c>
      <c r="F1482" t="s">
        <v>44</v>
      </c>
      <c r="G1482">
        <v>-221.47749999999999</v>
      </c>
      <c r="H1482">
        <v>1.0145569999999999</v>
      </c>
      <c r="I1482">
        <v>282.4873</v>
      </c>
      <c r="J1482">
        <v>-220.94839999999999</v>
      </c>
      <c r="K1482">
        <v>1.1067640000000001</v>
      </c>
      <c r="L1482">
        <v>282.43619999999999</v>
      </c>
      <c r="M1482">
        <v>-0.99996890000000005</v>
      </c>
      <c r="N1482">
        <v>0</v>
      </c>
      <c r="O1482">
        <v>-5.3536E-3</v>
      </c>
      <c r="P1482">
        <v>-0.98484119999999997</v>
      </c>
      <c r="Q1482">
        <v>0.15624189999999999</v>
      </c>
      <c r="R1482">
        <v>7.5339760000000006E-2</v>
      </c>
      <c r="S1482">
        <v>-3.088638</v>
      </c>
      <c r="T1482">
        <v>-0.37171660000000001</v>
      </c>
      <c r="U1482">
        <v>0.21621699999999999</v>
      </c>
      <c r="V1482">
        <v>8.1596689999999999E-2</v>
      </c>
      <c r="W1482">
        <v>0.16143629999999901</v>
      </c>
      <c r="X1482">
        <v>0.98350409999999999</v>
      </c>
      <c r="Y1482">
        <v>7.4598540000000005E-2</v>
      </c>
      <c r="Z1482">
        <v>5.1086600000000001E-3</v>
      </c>
      <c r="AA1482">
        <v>0.99720050000000005</v>
      </c>
      <c r="AB1482">
        <v>22</v>
      </c>
      <c r="AC1482">
        <v>-0.52909999999999902</v>
      </c>
      <c r="AD1482">
        <v>-9.22069999999999E-2</v>
      </c>
      <c r="AE1482">
        <v>5.1100000000019401E-2</v>
      </c>
      <c r="AF1482">
        <v>5.2356505109708802E-2</v>
      </c>
      <c r="AG1482">
        <v>-9.22069999999999E-2</v>
      </c>
      <c r="AH1482">
        <v>0.51337156606989198</v>
      </c>
      <c r="AI1482">
        <v>100.130911084545</v>
      </c>
      <c r="AJ1482">
        <v>84.176789278365703</v>
      </c>
      <c r="AK1482">
        <v>0.52420768720551603</v>
      </c>
      <c r="AL1482">
        <v>80.709726022851001</v>
      </c>
      <c r="AM1482">
        <v>85.257301590837699</v>
      </c>
      <c r="AN1482">
        <v>1.0000000067467201</v>
      </c>
    </row>
    <row r="1483" spans="1:40" x14ac:dyDescent="0.25">
      <c r="A1483" t="str">
        <f>"20190312172644169"</f>
        <v>20190312172644169</v>
      </c>
      <c r="B1483" t="str">
        <f>"1552382804160763"</f>
        <v>1552382804160763</v>
      </c>
      <c r="C1483" t="s">
        <v>40</v>
      </c>
      <c r="D1483">
        <v>3.3271519999999999</v>
      </c>
      <c r="E1483">
        <v>0.4971738</v>
      </c>
      <c r="F1483" t="s">
        <v>44</v>
      </c>
      <c r="G1483">
        <v>-221.6842</v>
      </c>
      <c r="H1483">
        <v>1.0237350000000001</v>
      </c>
      <c r="I1483">
        <v>282.4898</v>
      </c>
      <c r="J1483">
        <v>-221.17689999999999</v>
      </c>
      <c r="K1483">
        <v>1.106778</v>
      </c>
      <c r="L1483">
        <v>282.43970000000002</v>
      </c>
      <c r="M1483">
        <v>-0.9999827</v>
      </c>
      <c r="N1483">
        <v>0</v>
      </c>
      <c r="O1483">
        <v>-1.180906E-3</v>
      </c>
      <c r="P1483">
        <v>-0.98467769999999999</v>
      </c>
      <c r="Q1483">
        <v>0.15609049999999999</v>
      </c>
      <c r="R1483">
        <v>7.775551E-2</v>
      </c>
      <c r="S1483">
        <v>-3.0842130000000001</v>
      </c>
      <c r="T1483">
        <v>-0.34800679999999901</v>
      </c>
      <c r="U1483">
        <v>0.22451779999999999</v>
      </c>
      <c r="V1483">
        <v>7.9898590000000005E-2</v>
      </c>
      <c r="W1483">
        <v>0.16131819999999999</v>
      </c>
      <c r="X1483">
        <v>0.98366290000000001</v>
      </c>
      <c r="Y1483">
        <v>7.3311219999999996E-2</v>
      </c>
      <c r="Z1483">
        <v>4.2502089999999996E-3</v>
      </c>
      <c r="AA1483">
        <v>0.99729999999999996</v>
      </c>
      <c r="AB1483">
        <v>22</v>
      </c>
      <c r="AC1483">
        <v>-0.50730000000001496</v>
      </c>
      <c r="AD1483">
        <v>-8.3042999999999895E-2</v>
      </c>
      <c r="AE1483">
        <v>5.0099999999986197E-2</v>
      </c>
      <c r="AF1483">
        <v>4.93884006137736E-2</v>
      </c>
      <c r="AG1483">
        <v>-8.3042999999999895E-2</v>
      </c>
      <c r="AH1483">
        <v>0.49412753900013601</v>
      </c>
      <c r="AI1483">
        <v>99.493535035900393</v>
      </c>
      <c r="AJ1483">
        <v>84.292202764160393</v>
      </c>
      <c r="AK1483">
        <v>0.50348523192097405</v>
      </c>
      <c r="AL1483">
        <v>80.716582681660995</v>
      </c>
      <c r="AM1483">
        <v>85.3563115392204</v>
      </c>
      <c r="AN1483">
        <v>1.00000002358581</v>
      </c>
    </row>
    <row r="1484" spans="1:40" x14ac:dyDescent="0.25">
      <c r="A1484" t="str">
        <f>"20190312172644190"</f>
        <v>20190312172644190</v>
      </c>
      <c r="B1484" t="str">
        <f>"1552382804180284"</f>
        <v>1552382804180284</v>
      </c>
      <c r="C1484" t="s">
        <v>40</v>
      </c>
      <c r="D1484">
        <v>3.3322970000000001</v>
      </c>
      <c r="E1484">
        <v>0.49705189999999999</v>
      </c>
      <c r="F1484" t="s">
        <v>44</v>
      </c>
      <c r="G1484">
        <v>-222.0838</v>
      </c>
      <c r="H1484">
        <v>1.0087010000000001</v>
      </c>
      <c r="I1484">
        <v>282.50850000000003</v>
      </c>
      <c r="J1484">
        <v>-221.39609999999999</v>
      </c>
      <c r="K1484">
        <v>1.106803</v>
      </c>
      <c r="L1484">
        <v>282.44380000000001</v>
      </c>
      <c r="M1484">
        <v>-0.99997930000000002</v>
      </c>
      <c r="N1484">
        <v>0</v>
      </c>
      <c r="O1484">
        <v>2.7501510000000002E-3</v>
      </c>
      <c r="P1484">
        <v>-0.98459750000000001</v>
      </c>
      <c r="Q1484">
        <v>0.155490299999999</v>
      </c>
      <c r="R1484">
        <v>7.9941570000000003E-2</v>
      </c>
      <c r="S1484">
        <v>-3.08107</v>
      </c>
      <c r="T1484">
        <v>-0.33311059999999998</v>
      </c>
      <c r="U1484">
        <v>0.23345949999999999</v>
      </c>
      <c r="V1484">
        <v>7.8200439999999996E-2</v>
      </c>
      <c r="W1484">
        <v>0.16075210000000001</v>
      </c>
      <c r="X1484">
        <v>0.98389199999999999</v>
      </c>
      <c r="Y1484">
        <v>7.2409379999999995E-2</v>
      </c>
      <c r="Z1484">
        <v>3.601323E-3</v>
      </c>
      <c r="AA1484">
        <v>0.99736849999999999</v>
      </c>
      <c r="AB1484">
        <v>23</v>
      </c>
      <c r="AC1484">
        <v>-0.68770000000000597</v>
      </c>
      <c r="AD1484">
        <v>-9.8101999999999898E-2</v>
      </c>
      <c r="AE1484">
        <v>6.4700000000016106E-2</v>
      </c>
      <c r="AF1484">
        <v>6.1566576326017003E-2</v>
      </c>
      <c r="AG1484">
        <v>-9.8101999999999898E-2</v>
      </c>
      <c r="AH1484">
        <v>0.674274451357046</v>
      </c>
      <c r="AI1484">
        <v>98.244211847746897</v>
      </c>
      <c r="AJ1484">
        <v>84.782909787927693</v>
      </c>
      <c r="AK1484">
        <v>0.68414945843532804</v>
      </c>
      <c r="AL1484">
        <v>80.749446587630601</v>
      </c>
      <c r="AM1484">
        <v>85.455643568821699</v>
      </c>
      <c r="AN1484">
        <v>1.0000000070673001</v>
      </c>
    </row>
    <row r="1485" spans="1:40" x14ac:dyDescent="0.25">
      <c r="A1485" t="str">
        <f>"20190312172644212"</f>
        <v>20190312172644212</v>
      </c>
      <c r="B1485" t="str">
        <f>"1552382804200798"</f>
        <v>1552382804200798</v>
      </c>
      <c r="C1485" t="s">
        <v>40</v>
      </c>
      <c r="D1485">
        <v>3.348322</v>
      </c>
      <c r="E1485">
        <v>0.49693619999999999</v>
      </c>
      <c r="F1485" t="s">
        <v>44</v>
      </c>
      <c r="G1485">
        <v>-222.29060000000001</v>
      </c>
      <c r="H1485">
        <v>1.0127549999999901</v>
      </c>
      <c r="I1485">
        <v>282.5129</v>
      </c>
      <c r="J1485">
        <v>-221.62029999999999</v>
      </c>
      <c r="K1485">
        <v>1.106832</v>
      </c>
      <c r="L1485">
        <v>282.44889999999998</v>
      </c>
      <c r="M1485">
        <v>-0.99996050000000003</v>
      </c>
      <c r="N1485">
        <v>0</v>
      </c>
      <c r="O1485">
        <v>6.7036140000000001E-3</v>
      </c>
      <c r="P1485">
        <v>-0.98455269999999995</v>
      </c>
      <c r="Q1485">
        <v>0.1547877</v>
      </c>
      <c r="R1485">
        <v>8.1834149999999994E-2</v>
      </c>
      <c r="S1485">
        <v>-3.078735</v>
      </c>
      <c r="T1485">
        <v>-0.32371149999999999</v>
      </c>
      <c r="U1485">
        <v>0.2378845</v>
      </c>
      <c r="V1485">
        <v>7.6183760000000003E-2</v>
      </c>
      <c r="W1485">
        <v>0.16008610000000001</v>
      </c>
      <c r="X1485">
        <v>0.9841588</v>
      </c>
      <c r="Y1485">
        <v>7.0004960000000005E-2</v>
      </c>
      <c r="Z1485">
        <v>2.9629439999999999E-3</v>
      </c>
      <c r="AA1485">
        <v>0.99754229999999999</v>
      </c>
      <c r="AB1485">
        <v>23</v>
      </c>
      <c r="AC1485">
        <v>-0.67030000000002499</v>
      </c>
      <c r="AD1485">
        <v>-9.4077000000000202E-2</v>
      </c>
      <c r="AE1485">
        <v>6.4000000000021304E-2</v>
      </c>
      <c r="AF1485">
        <v>5.8365734316144002E-2</v>
      </c>
      <c r="AG1485">
        <v>-9.4077000000000202E-2</v>
      </c>
      <c r="AH1485">
        <v>0.65787209411875402</v>
      </c>
      <c r="AI1485">
        <v>98.106817412564794</v>
      </c>
      <c r="AJ1485">
        <v>84.930051622297199</v>
      </c>
      <c r="AK1485">
        <v>0.66712272715854704</v>
      </c>
      <c r="AL1485">
        <v>80.788106510749401</v>
      </c>
      <c r="AM1485">
        <v>85.573559572788994</v>
      </c>
      <c r="AN1485">
        <v>1.0000000341591899</v>
      </c>
    </row>
    <row r="1486" spans="1:40" x14ac:dyDescent="0.25">
      <c r="A1486" t="str">
        <f>"20190312172644233"</f>
        <v>20190312172644233</v>
      </c>
      <c r="B1486" t="str">
        <f>"1552382804230382"</f>
        <v>1552382804230382</v>
      </c>
      <c r="C1486" t="s">
        <v>40</v>
      </c>
      <c r="D1486">
        <v>3.3662130000000001</v>
      </c>
      <c r="E1486">
        <v>0.49661280000000002</v>
      </c>
      <c r="F1486" t="s">
        <v>44</v>
      </c>
      <c r="G1486">
        <v>-222.49799999999999</v>
      </c>
      <c r="H1486">
        <v>1.0164709999999999</v>
      </c>
      <c r="I1486">
        <v>282.51819999999998</v>
      </c>
      <c r="J1486">
        <v>-221.84</v>
      </c>
      <c r="K1486">
        <v>1.106867</v>
      </c>
      <c r="L1486">
        <v>282.45460000000003</v>
      </c>
      <c r="M1486">
        <v>-0.99992780000000003</v>
      </c>
      <c r="N1486">
        <v>0</v>
      </c>
      <c r="O1486">
        <v>1.0499420000000001E-2</v>
      </c>
      <c r="P1486">
        <v>-0.98455420000000005</v>
      </c>
      <c r="Q1486">
        <v>0.15417629999999999</v>
      </c>
      <c r="R1486">
        <v>8.2962389999999997E-2</v>
      </c>
      <c r="S1486">
        <v>-3.0766909999999998</v>
      </c>
      <c r="T1486">
        <v>-0.31678970000000001</v>
      </c>
      <c r="U1486">
        <v>0.24255370000000001</v>
      </c>
      <c r="V1486">
        <v>7.3555679999999998E-2</v>
      </c>
      <c r="W1486">
        <v>0.15951509999999999</v>
      </c>
      <c r="X1486">
        <v>0.98445139999999998</v>
      </c>
      <c r="Y1486">
        <v>6.7819500000000005E-2</v>
      </c>
      <c r="Z1486">
        <v>2.400489E-3</v>
      </c>
      <c r="AA1486">
        <v>0.99769470000000005</v>
      </c>
      <c r="AB1486">
        <v>23</v>
      </c>
      <c r="AC1486">
        <v>-0.65799999999998704</v>
      </c>
      <c r="AD1486">
        <v>-9.0396000000000101E-2</v>
      </c>
      <c r="AE1486">
        <v>6.3599999999951196E-2</v>
      </c>
      <c r="AF1486">
        <v>5.5647234892439799E-2</v>
      </c>
      <c r="AG1486">
        <v>-9.0396000000000101E-2</v>
      </c>
      <c r="AH1486">
        <v>0.64654209992235301</v>
      </c>
      <c r="AI1486">
        <v>97.930245631573797</v>
      </c>
      <c r="AJ1486">
        <v>85.080732497325798</v>
      </c>
      <c r="AK1486">
        <v>0.65519824369360202</v>
      </c>
      <c r="AL1486">
        <v>80.821248275561203</v>
      </c>
      <c r="AM1486">
        <v>85.726946435843004</v>
      </c>
      <c r="AN1486">
        <v>1.0000000320751099</v>
      </c>
    </row>
    <row r="1487" spans="1:40" x14ac:dyDescent="0.25">
      <c r="A1487" t="str">
        <f>"20190312172644255"</f>
        <v>20190312172644255</v>
      </c>
      <c r="B1487" t="str">
        <f>"1552382804249902"</f>
        <v>1552382804249902</v>
      </c>
      <c r="C1487" t="s">
        <v>40</v>
      </c>
      <c r="D1487">
        <v>3.335925</v>
      </c>
      <c r="E1487">
        <v>0.49660680000000001</v>
      </c>
      <c r="F1487" t="s">
        <v>44</v>
      </c>
      <c r="G1487">
        <v>-222.70650000000001</v>
      </c>
      <c r="H1487">
        <v>1.020559</v>
      </c>
      <c r="I1487">
        <v>282.5231</v>
      </c>
      <c r="J1487">
        <v>-222.0711</v>
      </c>
      <c r="K1487">
        <v>1.1069119999999999</v>
      </c>
      <c r="L1487">
        <v>282.46140000000003</v>
      </c>
      <c r="M1487">
        <v>-0.99987919999999997</v>
      </c>
      <c r="N1487">
        <v>0</v>
      </c>
      <c r="O1487">
        <v>1.4392250000000001E-2</v>
      </c>
      <c r="P1487">
        <v>-0.9843539</v>
      </c>
      <c r="Q1487">
        <v>0.15466920000000001</v>
      </c>
      <c r="R1487">
        <v>8.4411230000000004E-2</v>
      </c>
      <c r="S1487">
        <v>-3.074554</v>
      </c>
      <c r="T1487">
        <v>-0.30621859999999901</v>
      </c>
      <c r="U1487">
        <v>0.2431335</v>
      </c>
      <c r="V1487">
        <v>7.1157330000000005E-2</v>
      </c>
      <c r="W1487">
        <v>0.16004749999999901</v>
      </c>
      <c r="X1487">
        <v>0.98454120000000001</v>
      </c>
      <c r="Y1487">
        <v>6.4232319999999996E-2</v>
      </c>
      <c r="Z1487">
        <v>1.758396E-3</v>
      </c>
      <c r="AA1487">
        <v>0.99793339999999997</v>
      </c>
      <c r="AB1487">
        <v>23</v>
      </c>
      <c r="AC1487">
        <v>-0.63540000000000396</v>
      </c>
      <c r="AD1487">
        <v>-8.6353000000000096E-2</v>
      </c>
      <c r="AE1487">
        <v>6.1699999999973401E-2</v>
      </c>
      <c r="AF1487">
        <v>5.1604400228816898E-2</v>
      </c>
      <c r="AG1487">
        <v>-8.6353000000000096E-2</v>
      </c>
      <c r="AH1487">
        <v>0.62479029294689603</v>
      </c>
      <c r="AI1487">
        <v>97.842692326390704</v>
      </c>
      <c r="AJ1487">
        <v>85.278386533644806</v>
      </c>
      <c r="AK1487">
        <v>0.63283707610462003</v>
      </c>
      <c r="AL1487">
        <v>80.7903464313939</v>
      </c>
      <c r="AM1487">
        <v>85.866157827529094</v>
      </c>
      <c r="AN1487">
        <v>0.99999997118320905</v>
      </c>
    </row>
    <row r="1488" spans="1:40" x14ac:dyDescent="0.25">
      <c r="A1488" t="str">
        <f>"20190312172644279"</f>
        <v>20190312172644279</v>
      </c>
      <c r="B1488" t="str">
        <f>"1552382804270398"</f>
        <v>1552382804270398</v>
      </c>
      <c r="C1488" t="s">
        <v>40</v>
      </c>
      <c r="D1488">
        <v>3.310378</v>
      </c>
      <c r="E1488">
        <v>0.49670039999999999</v>
      </c>
      <c r="F1488" t="s">
        <v>44</v>
      </c>
      <c r="G1488">
        <v>-222.916</v>
      </c>
      <c r="H1488">
        <v>1.0249680000000001</v>
      </c>
      <c r="I1488">
        <v>282.52960000000002</v>
      </c>
      <c r="J1488">
        <v>-222.31100000000001</v>
      </c>
      <c r="K1488">
        <v>1.106965</v>
      </c>
      <c r="L1488">
        <v>282.4692</v>
      </c>
      <c r="M1488">
        <v>-0.99981509999999996</v>
      </c>
      <c r="N1488">
        <v>0</v>
      </c>
      <c r="O1488">
        <v>1.8305620000000002E-2</v>
      </c>
      <c r="P1488">
        <v>-0.98404630000000004</v>
      </c>
      <c r="Q1488">
        <v>0.1554449</v>
      </c>
      <c r="R1488">
        <v>8.6544280000000001E-2</v>
      </c>
      <c r="S1488">
        <v>-3.073318</v>
      </c>
      <c r="T1488">
        <v>-0.29809419999999998</v>
      </c>
      <c r="U1488">
        <v>0.24749760000000001</v>
      </c>
      <c r="V1488">
        <v>6.9421250000000004E-2</v>
      </c>
      <c r="W1488">
        <v>0.1608599</v>
      </c>
      <c r="X1488">
        <v>0.98453279999999999</v>
      </c>
      <c r="Y1488">
        <v>6.1808090000000003E-2</v>
      </c>
      <c r="Z1488">
        <v>1.2175249999999999E-3</v>
      </c>
      <c r="AA1488">
        <v>0.99808730000000001</v>
      </c>
      <c r="AB1488">
        <v>23</v>
      </c>
      <c r="AC1488">
        <v>-0.60500000000001797</v>
      </c>
      <c r="AD1488">
        <v>-8.1996999999999806E-2</v>
      </c>
      <c r="AE1488">
        <v>6.0400000000015497E-2</v>
      </c>
      <c r="AF1488">
        <v>4.8433885388619098E-2</v>
      </c>
      <c r="AG1488">
        <v>-8.1996999999999806E-2</v>
      </c>
      <c r="AH1488">
        <v>0.59517935106915398</v>
      </c>
      <c r="AI1488">
        <v>97.818653164772698</v>
      </c>
      <c r="AJ1488">
        <v>85.3476951645371</v>
      </c>
      <c r="AK1488">
        <v>0.60275020464694695</v>
      </c>
      <c r="AL1488">
        <v>80.743188837397298</v>
      </c>
      <c r="AM1488">
        <v>85.966643048927395</v>
      </c>
      <c r="AN1488">
        <v>1.0000000258277</v>
      </c>
    </row>
    <row r="1489" spans="1:40" x14ac:dyDescent="0.25">
      <c r="A1489" t="str">
        <f>"20190312172644300"</f>
        <v>20190312172644300</v>
      </c>
      <c r="B1489" t="str">
        <f>"1552382804289920"</f>
        <v>1552382804289920</v>
      </c>
      <c r="C1489" t="s">
        <v>40</v>
      </c>
      <c r="D1489">
        <v>3.3925040000000002</v>
      </c>
      <c r="E1489">
        <v>0.49670740000000002</v>
      </c>
      <c r="F1489" t="s">
        <v>44</v>
      </c>
      <c r="G1489">
        <v>-223.12629999999999</v>
      </c>
      <c r="H1489">
        <v>1.0294239999999999</v>
      </c>
      <c r="I1489">
        <v>282.53660000000002</v>
      </c>
      <c r="J1489">
        <v>-222.541</v>
      </c>
      <c r="K1489">
        <v>1.1070230000000001</v>
      </c>
      <c r="L1489">
        <v>282.47750000000002</v>
      </c>
      <c r="M1489">
        <v>-0.99974220000000003</v>
      </c>
      <c r="N1489">
        <v>0</v>
      </c>
      <c r="O1489">
        <v>2.1926620000000001E-2</v>
      </c>
      <c r="P1489">
        <v>-0.9838633</v>
      </c>
      <c r="Q1489">
        <v>0.15561810000000001</v>
      </c>
      <c r="R1489">
        <v>8.829658E-2</v>
      </c>
      <c r="S1489">
        <v>-3.0724490000000002</v>
      </c>
      <c r="T1489">
        <v>-0.29215039999999998</v>
      </c>
      <c r="U1489">
        <v>0.25390629999999997</v>
      </c>
      <c r="V1489">
        <v>6.7583969999999993E-2</v>
      </c>
      <c r="W1489">
        <v>0.16107070000000001</v>
      </c>
      <c r="X1489">
        <v>0.98462609999999995</v>
      </c>
      <c r="Y1489">
        <v>6.0314729999999997E-2</v>
      </c>
      <c r="Z1489">
        <v>7.8011420000000001E-4</v>
      </c>
      <c r="AA1489">
        <v>0.99817909999999999</v>
      </c>
      <c r="AB1489">
        <v>23</v>
      </c>
      <c r="AC1489">
        <v>-0.58529999999998905</v>
      </c>
      <c r="AD1489">
        <v>-7.7598999999999904E-2</v>
      </c>
      <c r="AE1489">
        <v>5.9100000000000798E-2</v>
      </c>
      <c r="AF1489">
        <v>4.5460896743261099E-2</v>
      </c>
      <c r="AG1489">
        <v>-7.7598999999999904E-2</v>
      </c>
      <c r="AH1489">
        <v>0.57642535361636005</v>
      </c>
      <c r="AI1489">
        <v>97.643671385181406</v>
      </c>
      <c r="AJ1489">
        <v>85.490591931279596</v>
      </c>
      <c r="AK1489">
        <v>0.58339907972626004</v>
      </c>
      <c r="AL1489">
        <v>80.730950696233407</v>
      </c>
      <c r="AM1489">
        <v>86.073420997609901</v>
      </c>
      <c r="AN1489">
        <v>0.99999996010032899</v>
      </c>
    </row>
    <row r="1490" spans="1:40" x14ac:dyDescent="0.25">
      <c r="A1490" t="str">
        <f>"20190312172644323"</f>
        <v>20190312172644323</v>
      </c>
      <c r="B1490" t="str">
        <f>"1552382804320173"</f>
        <v>1552382804320173</v>
      </c>
      <c r="C1490" t="s">
        <v>40</v>
      </c>
      <c r="D1490">
        <v>3.3228569999999999</v>
      </c>
      <c r="E1490">
        <v>0.49681609999999998</v>
      </c>
      <c r="F1490" t="s">
        <v>44</v>
      </c>
      <c r="G1490">
        <v>-223.33680000000001</v>
      </c>
      <c r="H1490">
        <v>1.0322119999999999</v>
      </c>
      <c r="I1490">
        <v>282.54450000000003</v>
      </c>
      <c r="J1490">
        <v>-222.77080000000001</v>
      </c>
      <c r="K1490">
        <v>1.107094</v>
      </c>
      <c r="L1490">
        <v>282.4864</v>
      </c>
      <c r="M1490">
        <v>-0.99965950000000003</v>
      </c>
      <c r="N1490">
        <v>0</v>
      </c>
      <c r="O1490">
        <v>2.541026E-2</v>
      </c>
      <c r="P1490">
        <v>-0.98368529999999998</v>
      </c>
      <c r="Q1490">
        <v>0.1558707</v>
      </c>
      <c r="R1490">
        <v>8.9820349999999993E-2</v>
      </c>
      <c r="S1490">
        <v>-3.0717469999999998</v>
      </c>
      <c r="T1490">
        <v>-0.28870430000000002</v>
      </c>
      <c r="U1490">
        <v>0.25775150000000002</v>
      </c>
      <c r="V1490">
        <v>6.5650639999999996E-2</v>
      </c>
      <c r="W1490">
        <v>0.16136059999999999</v>
      </c>
      <c r="X1490">
        <v>0.98470950000000002</v>
      </c>
      <c r="Y1490">
        <v>5.8124700000000001E-2</v>
      </c>
      <c r="Z1490">
        <v>3.4267869999999998E-4</v>
      </c>
      <c r="AA1490">
        <v>0.99830929999999996</v>
      </c>
      <c r="AB1490">
        <v>23</v>
      </c>
      <c r="AC1490">
        <v>-0.56600000000000195</v>
      </c>
      <c r="AD1490">
        <v>-7.4881999999999893E-2</v>
      </c>
      <c r="AE1490">
        <v>5.8100000000024403E-2</v>
      </c>
      <c r="AF1490">
        <v>4.2954764950595102E-2</v>
      </c>
      <c r="AG1490">
        <v>-7.4881999999999893E-2</v>
      </c>
      <c r="AH1490">
        <v>0.55763487578455895</v>
      </c>
      <c r="AI1490">
        <v>97.625886567144804</v>
      </c>
      <c r="AJ1490">
        <v>85.595189121334499</v>
      </c>
      <c r="AK1490">
        <v>0.56427748532722899</v>
      </c>
      <c r="AL1490">
        <v>80.714121100615799</v>
      </c>
      <c r="AM1490">
        <v>86.185731686211298</v>
      </c>
      <c r="AN1490">
        <v>1.0000000245775</v>
      </c>
    </row>
    <row r="1491" spans="1:40" x14ac:dyDescent="0.25">
      <c r="A1491" t="str">
        <f>"20190312172644346"</f>
        <v>20190312172644346</v>
      </c>
      <c r="B1491" t="str">
        <f>"1552382804340669"</f>
        <v>1552382804340669</v>
      </c>
      <c r="C1491" t="s">
        <v>40</v>
      </c>
      <c r="D1491">
        <v>3.3300920000000001</v>
      </c>
      <c r="E1491">
        <v>0.49690669999999998</v>
      </c>
      <c r="F1491" t="s">
        <v>44</v>
      </c>
      <c r="G1491">
        <v>-223.54810000000001</v>
      </c>
      <c r="H1491">
        <v>1.0353669999999999</v>
      </c>
      <c r="I1491">
        <v>282.553</v>
      </c>
      <c r="J1491">
        <v>-223.01840000000001</v>
      </c>
      <c r="K1491">
        <v>1.1071770000000001</v>
      </c>
      <c r="L1491">
        <v>282.49680000000001</v>
      </c>
      <c r="M1491">
        <v>-0.99956149999999999</v>
      </c>
      <c r="N1491">
        <v>0</v>
      </c>
      <c r="O1491">
        <v>2.9012909999999999E-2</v>
      </c>
      <c r="P1491">
        <v>-0.98365970000000003</v>
      </c>
      <c r="Q1491">
        <v>0.15526470000000001</v>
      </c>
      <c r="R1491">
        <v>9.11415E-2</v>
      </c>
      <c r="S1491">
        <v>-3.0706790000000002</v>
      </c>
      <c r="T1491">
        <v>-0.28332410000000002</v>
      </c>
      <c r="U1491">
        <v>0.26266479999999998</v>
      </c>
      <c r="V1491">
        <v>6.3384430000000005E-2</v>
      </c>
      <c r="W1491">
        <v>0.16079769999999999</v>
      </c>
      <c r="X1491">
        <v>0.98494999999999999</v>
      </c>
      <c r="Y1491">
        <v>5.6170209999999998E-2</v>
      </c>
      <c r="Z1491" s="1">
        <v>-8.4211819999999906E-5</v>
      </c>
      <c r="AA1491">
        <v>0.99842120000000001</v>
      </c>
      <c r="AB1491">
        <v>23</v>
      </c>
      <c r="AC1491">
        <v>-0.52969999999999096</v>
      </c>
      <c r="AD1491">
        <v>-7.1810000000000096E-2</v>
      </c>
      <c r="AE1491">
        <v>5.61999999999898E-2</v>
      </c>
      <c r="AF1491">
        <v>4.0079531247735202E-2</v>
      </c>
      <c r="AG1491">
        <v>-7.1810000000000096E-2</v>
      </c>
      <c r="AH1491">
        <v>0.52162754776839704</v>
      </c>
      <c r="AI1491">
        <v>97.815619531852207</v>
      </c>
      <c r="AJ1491">
        <v>85.606281006260701</v>
      </c>
      <c r="AK1491">
        <v>0.52807039636388398</v>
      </c>
      <c r="AL1491">
        <v>80.746799345654594</v>
      </c>
      <c r="AM1491">
        <v>86.317925296044606</v>
      </c>
      <c r="AN1491">
        <v>0.99999999439585696</v>
      </c>
    </row>
    <row r="1492" spans="1:40" x14ac:dyDescent="0.25">
      <c r="A1492" t="str">
        <f>"20190312172644370"</f>
        <v>20190312172644370</v>
      </c>
      <c r="B1492" t="str">
        <f>"1552382804360190"</f>
        <v>1552382804360190</v>
      </c>
      <c r="C1492" t="s">
        <v>40</v>
      </c>
      <c r="D1492">
        <v>3.3471060000000001</v>
      </c>
      <c r="E1492">
        <v>0.49698680000000001</v>
      </c>
      <c r="F1492" t="s">
        <v>44</v>
      </c>
      <c r="G1492">
        <v>-223.76050000000001</v>
      </c>
      <c r="H1492">
        <v>1.038859</v>
      </c>
      <c r="I1492">
        <v>282.56139999999999</v>
      </c>
      <c r="J1492">
        <v>-223.27209999999999</v>
      </c>
      <c r="K1492">
        <v>1.1072630000000001</v>
      </c>
      <c r="L1492">
        <v>282.50810000000001</v>
      </c>
      <c r="M1492">
        <v>-0.99945309999999998</v>
      </c>
      <c r="N1492">
        <v>0</v>
      </c>
      <c r="O1492">
        <v>3.2528729999999999E-2</v>
      </c>
      <c r="P1492">
        <v>-0.98363900000000004</v>
      </c>
      <c r="Q1492">
        <v>0.15457219999999999</v>
      </c>
      <c r="R1492">
        <v>9.2529189999999997E-2</v>
      </c>
      <c r="S1492">
        <v>-3.0696870000000001</v>
      </c>
      <c r="T1492">
        <v>-0.2825375</v>
      </c>
      <c r="U1492">
        <v>0.26693729999999999</v>
      </c>
      <c r="V1492">
        <v>6.1267410000000001E-2</v>
      </c>
      <c r="W1492">
        <v>0.16014400000000001</v>
      </c>
      <c r="X1492">
        <v>0.98519049999999997</v>
      </c>
      <c r="Y1492">
        <v>5.4088919999999999E-2</v>
      </c>
      <c r="Z1492">
        <v>-5.0137960000000003E-4</v>
      </c>
      <c r="AA1492">
        <v>0.99853599999999998</v>
      </c>
      <c r="AB1492">
        <v>23</v>
      </c>
      <c r="AC1492">
        <v>-0.48840000000001199</v>
      </c>
      <c r="AD1492">
        <v>-6.8403999999999895E-2</v>
      </c>
      <c r="AE1492">
        <v>5.3299999999978802E-2</v>
      </c>
      <c r="AF1492">
        <v>3.6673556292550903E-2</v>
      </c>
      <c r="AG1492">
        <v>-6.8403999999999895E-2</v>
      </c>
      <c r="AH1492">
        <v>0.48055960616297699</v>
      </c>
      <c r="AI1492">
        <v>98.078019484133705</v>
      </c>
      <c r="AJ1492">
        <v>85.635973044154397</v>
      </c>
      <c r="AK1492">
        <v>0.48678700888854698</v>
      </c>
      <c r="AL1492">
        <v>80.7847459544261</v>
      </c>
      <c r="AM1492">
        <v>86.4414504968843</v>
      </c>
      <c r="AN1492">
        <v>1.00000005877717</v>
      </c>
    </row>
    <row r="1493" spans="1:40" x14ac:dyDescent="0.25">
      <c r="A1493" t="str">
        <f>"20190312172644391"</f>
        <v>20190312172644391</v>
      </c>
      <c r="B1493" t="str">
        <f>"1552382804380686"</f>
        <v>1552382804380686</v>
      </c>
      <c r="C1493" t="s">
        <v>40</v>
      </c>
      <c r="D1493">
        <v>3.3570799999999998</v>
      </c>
      <c r="E1493">
        <v>0.49713740000000001</v>
      </c>
      <c r="F1493" t="s">
        <v>44</v>
      </c>
      <c r="G1493">
        <v>-224.17679999999999</v>
      </c>
      <c r="H1493">
        <v>1.0239830000000001</v>
      </c>
      <c r="I1493">
        <v>282.58850000000001</v>
      </c>
      <c r="J1493">
        <v>-223.4941</v>
      </c>
      <c r="K1493">
        <v>1.107329</v>
      </c>
      <c r="L1493">
        <v>282.51859999999999</v>
      </c>
      <c r="M1493">
        <v>-0.99935309999999999</v>
      </c>
      <c r="N1493">
        <v>0</v>
      </c>
      <c r="O1493">
        <v>3.546854E-2</v>
      </c>
      <c r="P1493">
        <v>-0.98354280000000005</v>
      </c>
      <c r="Q1493">
        <v>0.1545984</v>
      </c>
      <c r="R1493">
        <v>9.350501E-2</v>
      </c>
      <c r="S1493">
        <v>-3.068695</v>
      </c>
      <c r="T1493">
        <v>-0.28248200000000001</v>
      </c>
      <c r="U1493">
        <v>0.27206419999999998</v>
      </c>
      <c r="V1493">
        <v>5.9317990000000001E-2</v>
      </c>
      <c r="W1493">
        <v>0.1601986</v>
      </c>
      <c r="X1493">
        <v>0.98530079999999998</v>
      </c>
      <c r="Y1493">
        <v>5.2852490000000002E-2</v>
      </c>
      <c r="Z1493">
        <v>-8.2727080000000001E-4</v>
      </c>
      <c r="AA1493">
        <v>0.99860199999999999</v>
      </c>
      <c r="AB1493">
        <v>24</v>
      </c>
      <c r="AC1493">
        <v>-0.68269999999998199</v>
      </c>
      <c r="AD1493">
        <v>-8.3345999999999906E-2</v>
      </c>
      <c r="AE1493">
        <v>6.9900000000018198E-2</v>
      </c>
      <c r="AF1493">
        <v>4.4977811181641902E-2</v>
      </c>
      <c r="AG1493">
        <v>-8.3345999999999906E-2</v>
      </c>
      <c r="AH1493">
        <v>0.67479672989327799</v>
      </c>
      <c r="AI1493">
        <v>97.025665897365499</v>
      </c>
      <c r="AJ1493">
        <v>86.186655313979898</v>
      </c>
      <c r="AK1493">
        <v>0.68141043864131801</v>
      </c>
      <c r="AL1493">
        <v>80.781575591549696</v>
      </c>
      <c r="AM1493">
        <v>86.554784747890196</v>
      </c>
      <c r="AN1493">
        <v>0.99999994093011801</v>
      </c>
    </row>
    <row r="1494" spans="1:40" x14ac:dyDescent="0.25">
      <c r="A1494" t="str">
        <f>"20190312172644412"</f>
        <v>20190312172644412</v>
      </c>
      <c r="B1494" t="str">
        <f>"1552382804409965"</f>
        <v>1552382804409965</v>
      </c>
      <c r="C1494" t="s">
        <v>40</v>
      </c>
      <c r="D1494">
        <v>3.3542640000000001</v>
      </c>
      <c r="E1494">
        <v>0.49742229999999998</v>
      </c>
      <c r="F1494" t="s">
        <v>44</v>
      </c>
      <c r="G1494">
        <v>-224.39070000000001</v>
      </c>
      <c r="H1494">
        <v>1.025388</v>
      </c>
      <c r="I1494">
        <v>282.59930000000003</v>
      </c>
      <c r="J1494">
        <v>-223.72190000000001</v>
      </c>
      <c r="K1494">
        <v>1.107383</v>
      </c>
      <c r="L1494">
        <v>282.52999999999997</v>
      </c>
      <c r="M1494">
        <v>-0.99924559999999996</v>
      </c>
      <c r="N1494">
        <v>0</v>
      </c>
      <c r="O1494">
        <v>3.8375159999999998E-2</v>
      </c>
      <c r="P1494">
        <v>-0.98329569999999999</v>
      </c>
      <c r="Q1494">
        <v>0.1553628</v>
      </c>
      <c r="R1494">
        <v>9.4826240000000006E-2</v>
      </c>
      <c r="S1494">
        <v>-3.0680540000000001</v>
      </c>
      <c r="T1494">
        <v>-0.28044010000000003</v>
      </c>
      <c r="U1494">
        <v>0.2758179</v>
      </c>
      <c r="V1494">
        <v>5.7759539999999998E-2</v>
      </c>
      <c r="W1494">
        <v>0.16098499999999999</v>
      </c>
      <c r="X1494">
        <v>0.98526530000000001</v>
      </c>
      <c r="Y1494">
        <v>5.1198140000000003E-2</v>
      </c>
      <c r="Z1494">
        <v>-1.160976E-3</v>
      </c>
      <c r="AA1494">
        <v>0.99868789999999996</v>
      </c>
      <c r="AB1494">
        <v>24</v>
      </c>
      <c r="AC1494">
        <v>-0.66880000000000395</v>
      </c>
      <c r="AD1494">
        <v>-8.1994999999999998E-2</v>
      </c>
      <c r="AE1494">
        <v>6.9300000000055206E-2</v>
      </c>
      <c r="AF1494">
        <v>4.29445540789226E-2</v>
      </c>
      <c r="AG1494">
        <v>-8.1994999999999998E-2</v>
      </c>
      <c r="AH1494">
        <v>0.66113496388328197</v>
      </c>
      <c r="AI1494">
        <v>97.055094931054498</v>
      </c>
      <c r="AJ1494">
        <v>86.283527542848006</v>
      </c>
      <c r="AK1494">
        <v>0.66758284521023004</v>
      </c>
      <c r="AL1494">
        <v>80.735926459626498</v>
      </c>
      <c r="AM1494">
        <v>86.644970082061107</v>
      </c>
      <c r="AN1494">
        <v>1.0000000230350501</v>
      </c>
    </row>
    <row r="1495" spans="1:40" x14ac:dyDescent="0.25">
      <c r="A1495" t="str">
        <f>"20190312172644435"</f>
        <v>20190312172644435</v>
      </c>
      <c r="B1495" t="str">
        <f>"1552382804430462"</f>
        <v>1552382804430462</v>
      </c>
      <c r="C1495" t="s">
        <v>40</v>
      </c>
      <c r="D1495">
        <v>3.3910979999999999</v>
      </c>
      <c r="E1495">
        <v>0.4975173</v>
      </c>
      <c r="F1495" t="s">
        <v>44</v>
      </c>
      <c r="G1495">
        <v>-224.60589999999999</v>
      </c>
      <c r="H1495">
        <v>1.0278499999999999</v>
      </c>
      <c r="I1495">
        <v>282.61079999999998</v>
      </c>
      <c r="J1495">
        <v>-223.96080000000001</v>
      </c>
      <c r="K1495">
        <v>1.107442</v>
      </c>
      <c r="L1495">
        <v>282.54239999999999</v>
      </c>
      <c r="M1495">
        <v>-0.99912849999999997</v>
      </c>
      <c r="N1495">
        <v>0</v>
      </c>
      <c r="O1495">
        <v>4.1309199999999997E-2</v>
      </c>
      <c r="P1495">
        <v>-0.98326899999999995</v>
      </c>
      <c r="Q1495">
        <v>0.1550877</v>
      </c>
      <c r="R1495">
        <v>9.5549700000000001E-2</v>
      </c>
      <c r="S1495">
        <v>-3.0675509999999999</v>
      </c>
      <c r="T1495">
        <v>-0.27599469999999998</v>
      </c>
      <c r="U1495">
        <v>0.28021239999999997</v>
      </c>
      <c r="V1495">
        <v>5.5565290000000003E-2</v>
      </c>
      <c r="W1495">
        <v>0.16073519999999999</v>
      </c>
      <c r="X1495">
        <v>0.98543230000000004</v>
      </c>
      <c r="Y1495">
        <v>4.971851E-2</v>
      </c>
      <c r="Z1495">
        <v>-1.4715430000000001E-3</v>
      </c>
      <c r="AA1495">
        <v>0.99876220000000004</v>
      </c>
      <c r="AB1495">
        <v>24</v>
      </c>
      <c r="AC1495">
        <v>-0.64509999999998502</v>
      </c>
      <c r="AD1495">
        <v>-7.9592000000000093E-2</v>
      </c>
      <c r="AE1495">
        <v>6.8399999999996894E-2</v>
      </c>
      <c r="AF1495">
        <v>4.1074270438470999E-2</v>
      </c>
      <c r="AG1495">
        <v>-7.9592000000000093E-2</v>
      </c>
      <c r="AH1495">
        <v>0.63777436993773595</v>
      </c>
      <c r="AI1495">
        <v>97.098978530294204</v>
      </c>
      <c r="AJ1495">
        <v>86.3150969498964</v>
      </c>
      <c r="AK1495">
        <v>0.64403270810225899</v>
      </c>
      <c r="AL1495">
        <v>80.750428155653395</v>
      </c>
      <c r="AM1495">
        <v>86.772696691695501</v>
      </c>
      <c r="AN1495">
        <v>1.00000006192755</v>
      </c>
    </row>
    <row r="1496" spans="1:40" x14ac:dyDescent="0.25">
      <c r="A1496" t="str">
        <f>"20190312172644457"</f>
        <v>20190312172644457</v>
      </c>
      <c r="B1496" t="str">
        <f>"1552382804449982"</f>
        <v>1552382804449982</v>
      </c>
      <c r="C1496" t="s">
        <v>40</v>
      </c>
      <c r="D1496">
        <v>3.3659279999999998</v>
      </c>
      <c r="E1496">
        <v>0.48251460000000002</v>
      </c>
      <c r="F1496" t="s">
        <v>44</v>
      </c>
      <c r="G1496">
        <v>-224.8219</v>
      </c>
      <c r="H1496">
        <v>1.0302450000000001</v>
      </c>
      <c r="I1496">
        <v>282.62169999999998</v>
      </c>
      <c r="J1496">
        <v>-224.20349999999999</v>
      </c>
      <c r="K1496">
        <v>1.1074919999999999</v>
      </c>
      <c r="L1496">
        <v>282.5557</v>
      </c>
      <c r="M1496">
        <v>-0.99900639999999996</v>
      </c>
      <c r="N1496">
        <v>0</v>
      </c>
      <c r="O1496">
        <v>4.4165790000000003E-2</v>
      </c>
      <c r="P1496">
        <v>-0.98345680000000002</v>
      </c>
      <c r="Q1496">
        <v>0.15369630000000001</v>
      </c>
      <c r="R1496">
        <v>9.5866779999999999E-2</v>
      </c>
      <c r="S1496">
        <v>-3.0670169999999999</v>
      </c>
      <c r="T1496">
        <v>-0.27493759999999901</v>
      </c>
      <c r="U1496">
        <v>0.28198240000000002</v>
      </c>
      <c r="V1496">
        <v>5.3026869999999997E-2</v>
      </c>
      <c r="W1496">
        <v>0.1593716</v>
      </c>
      <c r="X1496">
        <v>0.98579349999999999</v>
      </c>
      <c r="Y1496">
        <v>4.7470529999999997E-2</v>
      </c>
      <c r="Z1496">
        <v>-1.821088E-3</v>
      </c>
      <c r="AA1496">
        <v>0.99887099999999995</v>
      </c>
      <c r="AB1496">
        <v>24</v>
      </c>
      <c r="AC1496">
        <v>-0.61840000000000805</v>
      </c>
      <c r="AD1496">
        <v>-7.7246999999999802E-2</v>
      </c>
      <c r="AE1496">
        <v>6.5999999999973996E-2</v>
      </c>
      <c r="AF1496">
        <v>3.8036169053652903E-2</v>
      </c>
      <c r="AG1496">
        <v>-7.7246999999999802E-2</v>
      </c>
      <c r="AH1496">
        <v>0.61128080025258402</v>
      </c>
      <c r="AI1496">
        <v>97.188482834704899</v>
      </c>
      <c r="AJ1496">
        <v>86.439433634491806</v>
      </c>
      <c r="AK1496">
        <v>0.61731520791465799</v>
      </c>
      <c r="AL1496">
        <v>80.829576378366895</v>
      </c>
      <c r="AM1496">
        <v>86.920967127115205</v>
      </c>
      <c r="AN1496">
        <v>0.99999999023540298</v>
      </c>
    </row>
    <row r="1497" spans="1:40" x14ac:dyDescent="0.25">
      <c r="A1497" t="str">
        <f>"20190312172644480"</f>
        <v>20190312172644480</v>
      </c>
      <c r="B1497" t="str">
        <f>"1552382804470478"</f>
        <v>1552382804470478</v>
      </c>
      <c r="C1497" t="s">
        <v>40</v>
      </c>
      <c r="D1497">
        <v>3.3682759999999998</v>
      </c>
      <c r="E1497">
        <v>0.48049199999999997</v>
      </c>
      <c r="F1497" t="s">
        <v>48</v>
      </c>
      <c r="G1497">
        <v>-246.8272</v>
      </c>
      <c r="H1497" s="1">
        <v>2.0962860000000002E-6</v>
      </c>
      <c r="I1497">
        <v>283.75069999999999</v>
      </c>
      <c r="J1497">
        <v>-224.45259999999999</v>
      </c>
      <c r="K1497">
        <v>1.107551</v>
      </c>
      <c r="L1497">
        <v>282.56979999999999</v>
      </c>
      <c r="M1497">
        <v>-0.99887870000000001</v>
      </c>
      <c r="N1497">
        <v>0</v>
      </c>
      <c r="O1497">
        <v>4.6963409999999997E-2</v>
      </c>
      <c r="P1497">
        <v>-0.98356770000000004</v>
      </c>
      <c r="Q1497">
        <v>0.15301380000000001</v>
      </c>
      <c r="R1497">
        <v>9.5820359999999993E-2</v>
      </c>
      <c r="S1497">
        <v>-3.0581049999999999</v>
      </c>
      <c r="T1497">
        <v>-0.14970240000000001</v>
      </c>
      <c r="U1497">
        <v>0.16152949999999999</v>
      </c>
      <c r="V1497">
        <v>5.0185420000000001E-2</v>
      </c>
      <c r="W1497">
        <v>0.1587191</v>
      </c>
      <c r="X1497">
        <v>0.98604749999999997</v>
      </c>
      <c r="Y1497">
        <v>5.838584E-3</v>
      </c>
      <c r="Z1497">
        <v>-2.1519849999999999E-3</v>
      </c>
      <c r="AA1497">
        <v>0.9999806</v>
      </c>
      <c r="AB1497">
        <v>24</v>
      </c>
      <c r="AC1497">
        <v>-22.374600000000001</v>
      </c>
      <c r="AD1497">
        <v>-1.1075489037140001</v>
      </c>
      <c r="AE1497">
        <v>1.1809000000000001</v>
      </c>
      <c r="AF1497">
        <v>0.12847671845011999</v>
      </c>
      <c r="AG1497">
        <v>-1.1075489037140001</v>
      </c>
      <c r="AH1497">
        <v>22.350757868720098</v>
      </c>
      <c r="AI1497">
        <v>92.836815123811505</v>
      </c>
      <c r="AJ1497">
        <v>89.670655791534003</v>
      </c>
      <c r="AK1497">
        <v>22.378551073459999</v>
      </c>
      <c r="AL1497">
        <v>80.867443976626802</v>
      </c>
      <c r="AM1497">
        <v>87.086414366604203</v>
      </c>
      <c r="AN1497">
        <v>1.0000000006708101</v>
      </c>
    </row>
    <row r="1498" spans="1:40" x14ac:dyDescent="0.25">
      <c r="A1498" t="str">
        <f>"20190312172644501"</f>
        <v>20190312172644501</v>
      </c>
      <c r="B1498" t="str">
        <f>"1552382804489997"</f>
        <v>1552382804489997</v>
      </c>
      <c r="C1498" t="s">
        <v>40</v>
      </c>
      <c r="D1498">
        <v>3.3074349999999999</v>
      </c>
      <c r="E1498">
        <v>0.480624</v>
      </c>
      <c r="F1498" t="s">
        <v>48</v>
      </c>
      <c r="G1498">
        <v>-250.02940000000001</v>
      </c>
      <c r="H1498" s="1">
        <v>-1.5211619999999999E-6</v>
      </c>
      <c r="I1498">
        <v>283.78530000000001</v>
      </c>
      <c r="J1498">
        <v>-224.6833</v>
      </c>
      <c r="K1498">
        <v>1.1076159999999999</v>
      </c>
      <c r="L1498">
        <v>282.58339999999998</v>
      </c>
      <c r="M1498">
        <v>-0.99875990000000003</v>
      </c>
      <c r="N1498">
        <v>0</v>
      </c>
      <c r="O1498">
        <v>4.9423219999999997E-2</v>
      </c>
      <c r="P1498">
        <v>-0.98327830000000005</v>
      </c>
      <c r="Q1498">
        <v>0.1542972</v>
      </c>
      <c r="R1498">
        <v>9.672857E-2</v>
      </c>
      <c r="S1498">
        <v>-3.0565799999999999</v>
      </c>
      <c r="T1498">
        <v>-0.13235930000000001</v>
      </c>
      <c r="U1498">
        <v>0.1452637</v>
      </c>
      <c r="V1498">
        <v>4.8654969999999999E-2</v>
      </c>
      <c r="W1498">
        <v>0.160024</v>
      </c>
      <c r="X1498">
        <v>0.98591329999999999</v>
      </c>
      <c r="Y1498">
        <v>-1.9071310000000001E-3</v>
      </c>
      <c r="Z1498">
        <v>-2.1779770000000002E-3</v>
      </c>
      <c r="AA1498">
        <v>0.99999579999999999</v>
      </c>
      <c r="AB1498">
        <v>24</v>
      </c>
      <c r="AC1498">
        <v>-25.3461</v>
      </c>
      <c r="AD1498">
        <v>-1.1076175211620001</v>
      </c>
      <c r="AE1498">
        <v>1.20190000000002</v>
      </c>
      <c r="AF1498">
        <v>-5.21778750832564E-2</v>
      </c>
      <c r="AG1498">
        <v>-1.1076175211620001</v>
      </c>
      <c r="AH1498">
        <v>25.326270709076301</v>
      </c>
      <c r="AI1498">
        <v>92.5041689603528</v>
      </c>
      <c r="AJ1498">
        <v>90.118042163838496</v>
      </c>
      <c r="AK1498">
        <v>25.350533073946401</v>
      </c>
      <c r="AL1498">
        <v>80.791710831855198</v>
      </c>
      <c r="AM1498">
        <v>87.174736738859707</v>
      </c>
      <c r="AN1498">
        <v>1.0000000108992899</v>
      </c>
    </row>
    <row r="1499" spans="1:40" x14ac:dyDescent="0.25">
      <c r="A1499" t="str">
        <f>"20190312172644525"</f>
        <v>20190312172644525</v>
      </c>
      <c r="B1499" t="str">
        <f>"1552382804520254"</f>
        <v>1552382804520254</v>
      </c>
      <c r="C1499" t="s">
        <v>40</v>
      </c>
      <c r="D1499">
        <v>3.3411379999999999</v>
      </c>
      <c r="E1499">
        <v>0.47992469999999998</v>
      </c>
      <c r="F1499" t="s">
        <v>48</v>
      </c>
      <c r="G1499">
        <v>-249.97800000000001</v>
      </c>
      <c r="H1499" s="1">
        <v>-1.548519E-6</v>
      </c>
      <c r="I1499">
        <v>283.80950000000001</v>
      </c>
      <c r="J1499">
        <v>-224.935</v>
      </c>
      <c r="K1499">
        <v>1.107704</v>
      </c>
      <c r="L1499">
        <v>282.59879999999998</v>
      </c>
      <c r="M1499">
        <v>-0.99863139999999995</v>
      </c>
      <c r="N1499">
        <v>0</v>
      </c>
      <c r="O1499">
        <v>5.1956679999999998E-2</v>
      </c>
      <c r="P1499">
        <v>-0.98300240000000005</v>
      </c>
      <c r="Q1499">
        <v>0.15517639999999999</v>
      </c>
      <c r="R1499">
        <v>9.8115759999999996E-2</v>
      </c>
      <c r="S1499">
        <v>-3.0574340000000002</v>
      </c>
      <c r="T1499">
        <v>-0.13388050000000001</v>
      </c>
      <c r="U1499">
        <v>0.1481934</v>
      </c>
      <c r="V1499">
        <v>4.7519980000000003E-2</v>
      </c>
      <c r="W1499">
        <v>0.1609276</v>
      </c>
      <c r="X1499">
        <v>0.98582150000000002</v>
      </c>
      <c r="Y1499">
        <v>-3.496117E-3</v>
      </c>
      <c r="Z1499">
        <v>-2.3477049999999998E-3</v>
      </c>
      <c r="AA1499">
        <v>0.99999110000000002</v>
      </c>
      <c r="AB1499">
        <v>24</v>
      </c>
      <c r="AC1499">
        <v>-25.0429999999999</v>
      </c>
      <c r="AD1499">
        <v>-1.1077055485189999</v>
      </c>
      <c r="AE1499">
        <v>1.2107000000000301</v>
      </c>
      <c r="AF1499">
        <v>-9.1930310790387201E-2</v>
      </c>
      <c r="AG1499">
        <v>-1.1077055485189999</v>
      </c>
      <c r="AH1499">
        <v>25.023235913368801</v>
      </c>
      <c r="AI1499">
        <v>92.5346449318438</v>
      </c>
      <c r="AJ1499">
        <v>90.210492165729093</v>
      </c>
      <c r="AK1499">
        <v>25.047910059331699</v>
      </c>
      <c r="AL1499">
        <v>80.739257865700395</v>
      </c>
      <c r="AM1499">
        <v>87.240282910689999</v>
      </c>
      <c r="AN1499">
        <v>0.99999993540160304</v>
      </c>
    </row>
    <row r="1500" spans="1:40" x14ac:dyDescent="0.25">
      <c r="A1500" t="str">
        <f>"20190312172644547"</f>
        <v>20190312172644547</v>
      </c>
      <c r="B1500" t="str">
        <f>"1552382804540749"</f>
        <v>1552382804540749</v>
      </c>
      <c r="C1500" t="s">
        <v>40</v>
      </c>
      <c r="D1500">
        <v>3.3940450000000002</v>
      </c>
      <c r="E1500">
        <v>0.47949920000000001</v>
      </c>
      <c r="F1500" t="s">
        <v>48</v>
      </c>
      <c r="G1500">
        <v>-252.58869999999999</v>
      </c>
      <c r="H1500" s="1">
        <v>-1.592375E-7</v>
      </c>
      <c r="I1500">
        <v>283.90879999999999</v>
      </c>
      <c r="J1500">
        <v>-225.17580000000001</v>
      </c>
      <c r="K1500">
        <v>1.107799</v>
      </c>
      <c r="L1500">
        <v>282.61380000000003</v>
      </c>
      <c r="M1500">
        <v>-0.99851109999999998</v>
      </c>
      <c r="N1500">
        <v>0</v>
      </c>
      <c r="O1500">
        <v>5.4215840000000001E-2</v>
      </c>
      <c r="P1500">
        <v>-0.98295809999999995</v>
      </c>
      <c r="Q1500">
        <v>0.15503400000000001</v>
      </c>
      <c r="R1500">
        <v>9.8780789999999993E-2</v>
      </c>
      <c r="S1500">
        <v>-3.0567470000000001</v>
      </c>
      <c r="T1500">
        <v>-0.1224421</v>
      </c>
      <c r="U1500">
        <v>0.14480589999999999</v>
      </c>
      <c r="V1500">
        <v>4.5915020000000001E-2</v>
      </c>
      <c r="W1500">
        <v>0.16081329999999999</v>
      </c>
      <c r="X1500">
        <v>0.98591629999999997</v>
      </c>
      <c r="Y1500">
        <v>-6.8574040000000001E-3</v>
      </c>
      <c r="Z1500">
        <v>-2.305358E-3</v>
      </c>
      <c r="AA1500">
        <v>0.99997380000000002</v>
      </c>
      <c r="AB1500">
        <v>24</v>
      </c>
      <c r="AC1500">
        <v>-27.412899999999901</v>
      </c>
      <c r="AD1500">
        <v>-1.1077991592375001</v>
      </c>
      <c r="AE1500">
        <v>1.29499999999995</v>
      </c>
      <c r="AF1500">
        <v>-0.19283081399478599</v>
      </c>
      <c r="AG1500">
        <v>-1.1077991592375001</v>
      </c>
      <c r="AH1500">
        <v>27.398147306742601</v>
      </c>
      <c r="AI1500">
        <v>92.315342377336407</v>
      </c>
      <c r="AJ1500">
        <v>90.403246586604894</v>
      </c>
      <c r="AK1500">
        <v>27.421212200448</v>
      </c>
      <c r="AL1500">
        <v>80.745894065077096</v>
      </c>
      <c r="AM1500">
        <v>87.333609919619306</v>
      </c>
      <c r="AN1500">
        <v>1.00000002856208</v>
      </c>
    </row>
    <row r="1501" spans="1:40" x14ac:dyDescent="0.25">
      <c r="A1501" t="str">
        <f>"20190312172644571"</f>
        <v>20190312172644571</v>
      </c>
      <c r="B1501" t="str">
        <f>"1552382804560270"</f>
        <v>1552382804560270</v>
      </c>
      <c r="C1501" t="s">
        <v>40</v>
      </c>
      <c r="D1501">
        <v>3.4149189999999998</v>
      </c>
      <c r="E1501">
        <v>0.4792109</v>
      </c>
      <c r="F1501" t="s">
        <v>48</v>
      </c>
      <c r="G1501">
        <v>-253.4562</v>
      </c>
      <c r="H1501" s="1">
        <v>3.0241490000000001E-7</v>
      </c>
      <c r="I1501">
        <v>283.9341</v>
      </c>
      <c r="J1501">
        <v>-225.43639999999999</v>
      </c>
      <c r="K1501">
        <v>1.1079110000000001</v>
      </c>
      <c r="L1501">
        <v>282.63049999999998</v>
      </c>
      <c r="M1501">
        <v>-0.99838709999999997</v>
      </c>
      <c r="N1501">
        <v>0</v>
      </c>
      <c r="O1501">
        <v>5.6451710000000002E-2</v>
      </c>
      <c r="P1501">
        <v>-0.98317840000000001</v>
      </c>
      <c r="Q1501">
        <v>0.15364520000000001</v>
      </c>
      <c r="R1501">
        <v>9.8760020000000004E-2</v>
      </c>
      <c r="S1501">
        <v>-3.056549</v>
      </c>
      <c r="T1501">
        <v>-0.11973109999999999</v>
      </c>
      <c r="U1501">
        <v>0.1427002</v>
      </c>
      <c r="V1501">
        <v>4.3620909999999999E-2</v>
      </c>
      <c r="W1501">
        <v>0.15945960000000001</v>
      </c>
      <c r="X1501">
        <v>0.98624029999999996</v>
      </c>
      <c r="Y1501">
        <v>-9.7791609999999998E-3</v>
      </c>
      <c r="Z1501">
        <v>-2.3990639999999998E-3</v>
      </c>
      <c r="AA1501">
        <v>0.99994930000000004</v>
      </c>
      <c r="AB1501">
        <v>24</v>
      </c>
      <c r="AC1501">
        <v>-28.0198</v>
      </c>
      <c r="AD1501">
        <v>-1.1079106975851001</v>
      </c>
      <c r="AE1501">
        <v>1.3036000000000101</v>
      </c>
      <c r="AF1501">
        <v>-0.27983674050588497</v>
      </c>
      <c r="AG1501">
        <v>-1.1079106975851001</v>
      </c>
      <c r="AH1501">
        <v>28.005018425196901</v>
      </c>
      <c r="AI1501">
        <v>92.265392465837195</v>
      </c>
      <c r="AJ1501">
        <v>90.572502054373999</v>
      </c>
      <c r="AK1501">
        <v>28.028321956741799</v>
      </c>
      <c r="AL1501">
        <v>80.824469482210205</v>
      </c>
      <c r="AM1501">
        <v>87.467487178041495</v>
      </c>
      <c r="AN1501">
        <v>1.0000000385827299</v>
      </c>
    </row>
    <row r="1502" spans="1:40" x14ac:dyDescent="0.25">
      <c r="A1502" t="str">
        <f>"20190312172644590"</f>
        <v>20190312172644590</v>
      </c>
      <c r="B1502" t="str">
        <f>"1552382804579789"</f>
        <v>1552382804579789</v>
      </c>
      <c r="C1502" t="s">
        <v>40</v>
      </c>
      <c r="D1502">
        <v>3.3927299999999998</v>
      </c>
      <c r="E1502">
        <v>0.4790008</v>
      </c>
      <c r="F1502" t="s">
        <v>48</v>
      </c>
      <c r="G1502">
        <v>-253.06229999999999</v>
      </c>
      <c r="H1502" s="1">
        <v>9.2805749999999997E-8</v>
      </c>
      <c r="I1502">
        <v>283.90379999999999</v>
      </c>
      <c r="J1502">
        <v>-225.6611</v>
      </c>
      <c r="K1502">
        <v>1.1080179999999999</v>
      </c>
      <c r="L1502">
        <v>282.64519999999999</v>
      </c>
      <c r="M1502">
        <v>-0.99828609999999895</v>
      </c>
      <c r="N1502">
        <v>0</v>
      </c>
      <c r="O1502">
        <v>5.8209549999999999E-2</v>
      </c>
      <c r="P1502">
        <v>-0.98332039999999998</v>
      </c>
      <c r="Q1502">
        <v>0.15298499999999901</v>
      </c>
      <c r="R1502">
        <v>9.8369310000000001E-2</v>
      </c>
      <c r="S1502">
        <v>-3.0563349999999998</v>
      </c>
      <c r="T1502">
        <v>-0.12257170000000001</v>
      </c>
      <c r="U1502">
        <v>0.1408691</v>
      </c>
      <c r="V1502">
        <v>4.1440669999999999E-2</v>
      </c>
      <c r="W1502">
        <v>0.1588302</v>
      </c>
      <c r="X1502">
        <v>0.98643579999999997</v>
      </c>
      <c r="Y1502">
        <v>-1.212863E-2</v>
      </c>
      <c r="Z1502">
        <v>-2.5735189999999998E-3</v>
      </c>
      <c r="AA1502">
        <v>0.99992309999999995</v>
      </c>
      <c r="AB1502">
        <v>25</v>
      </c>
      <c r="AC1502">
        <v>-27.4011999999999</v>
      </c>
      <c r="AD1502">
        <v>-1.10801790719425</v>
      </c>
      <c r="AE1502">
        <v>1.2585999999999999</v>
      </c>
      <c r="AF1502">
        <v>-0.33802326586626003</v>
      </c>
      <c r="AG1502">
        <v>-1.10801790719425</v>
      </c>
      <c r="AH1502">
        <v>27.383319100754498</v>
      </c>
      <c r="AI1502">
        <v>92.316932720631101</v>
      </c>
      <c r="AJ1502">
        <v>90.7072306616936</v>
      </c>
      <c r="AK1502">
        <v>27.407811448283798</v>
      </c>
      <c r="AL1502">
        <v>80.860996389117204</v>
      </c>
      <c r="AM1502">
        <v>87.594389683604902</v>
      </c>
      <c r="AN1502">
        <v>0.99999997454186396</v>
      </c>
    </row>
    <row r="1503" spans="1:40" x14ac:dyDescent="0.25">
      <c r="A1503" t="str">
        <f>"20190312172644612"</f>
        <v>20190312172644612</v>
      </c>
      <c r="B1503" t="str">
        <f>"1552382804600286"</f>
        <v>1552382804600286</v>
      </c>
      <c r="C1503" t="s">
        <v>40</v>
      </c>
      <c r="D1503">
        <v>3.3904999999999998</v>
      </c>
      <c r="E1503">
        <v>0.47892420000000002</v>
      </c>
      <c r="F1503" t="s">
        <v>48</v>
      </c>
      <c r="G1503">
        <v>-252.50749999999999</v>
      </c>
      <c r="H1503" s="1">
        <v>-2.024086E-7</v>
      </c>
      <c r="I1503">
        <v>283.85939999999999</v>
      </c>
      <c r="J1503">
        <v>-225.9025</v>
      </c>
      <c r="K1503">
        <v>1.1081209999999999</v>
      </c>
      <c r="L1503">
        <v>282.66129999999998</v>
      </c>
      <c r="M1503">
        <v>-0.9981833</v>
      </c>
      <c r="N1503">
        <v>0</v>
      </c>
      <c r="O1503">
        <v>5.9944310000000001E-2</v>
      </c>
      <c r="P1503">
        <v>-0.98330580000000001</v>
      </c>
      <c r="Q1503">
        <v>0.15357609999999999</v>
      </c>
      <c r="R1503">
        <v>9.7590449999999995E-2</v>
      </c>
      <c r="S1503">
        <v>-3.0566559999999998</v>
      </c>
      <c r="T1503">
        <v>-0.12615570000000001</v>
      </c>
      <c r="U1503">
        <v>0.1382446</v>
      </c>
      <c r="V1503">
        <v>3.8909810000000003E-2</v>
      </c>
      <c r="W1503">
        <v>0.1594525</v>
      </c>
      <c r="X1503">
        <v>0.9864385</v>
      </c>
      <c r="Y1503">
        <v>-1.472087E-2</v>
      </c>
      <c r="Z1503">
        <v>-2.773331E-3</v>
      </c>
      <c r="AA1503">
        <v>0.99988779999999999</v>
      </c>
      <c r="AB1503">
        <v>25</v>
      </c>
      <c r="AC1503">
        <v>-26.604999999999901</v>
      </c>
      <c r="AD1503">
        <v>-1.1081212024086</v>
      </c>
      <c r="AE1503">
        <v>1.1981000000000099</v>
      </c>
      <c r="AF1503">
        <v>-0.39821287222984197</v>
      </c>
      <c r="AG1503">
        <v>-1.1081212024086</v>
      </c>
      <c r="AH1503">
        <v>26.582953051298201</v>
      </c>
      <c r="AI1503">
        <v>92.386748409598695</v>
      </c>
      <c r="AJ1503">
        <v>90.858227093002995</v>
      </c>
      <c r="AK1503">
        <v>26.609019129204398</v>
      </c>
      <c r="AL1503">
        <v>80.824881139104505</v>
      </c>
      <c r="AM1503">
        <v>87.741153901020496</v>
      </c>
      <c r="AN1503">
        <v>0.99999999367636705</v>
      </c>
    </row>
    <row r="1504" spans="1:40" x14ac:dyDescent="0.25">
      <c r="A1504" t="str">
        <f>"20190312172644646"</f>
        <v>20190312172644646</v>
      </c>
      <c r="B1504" t="str">
        <f>"1552382804640302"</f>
        <v>1552382804640302</v>
      </c>
      <c r="C1504" t="s">
        <v>40</v>
      </c>
      <c r="D1504">
        <v>3.4072260000000001</v>
      </c>
      <c r="E1504">
        <v>0.47847430000000002</v>
      </c>
      <c r="F1504" t="s">
        <v>48</v>
      </c>
      <c r="G1504">
        <v>-252.47190000000001</v>
      </c>
      <c r="H1504" s="1">
        <v>-2.2137889999999999E-7</v>
      </c>
      <c r="I1504">
        <v>283.82490000000001</v>
      </c>
      <c r="J1504">
        <v>-226.2774</v>
      </c>
      <c r="K1504">
        <v>1.108271</v>
      </c>
      <c r="L1504">
        <v>282.68650000000002</v>
      </c>
      <c r="M1504">
        <v>-0.99803719999999996</v>
      </c>
      <c r="N1504">
        <v>0</v>
      </c>
      <c r="O1504">
        <v>6.2328069999999999E-2</v>
      </c>
      <c r="P1504">
        <v>-0.98332920000000001</v>
      </c>
      <c r="Q1504">
        <v>0.1532618</v>
      </c>
      <c r="R1504">
        <v>9.784938E-2</v>
      </c>
      <c r="S1504">
        <v>-3.0575559999999999</v>
      </c>
      <c r="T1504">
        <v>-0.12752060000000001</v>
      </c>
      <c r="U1504">
        <v>0.13391110000000001</v>
      </c>
      <c r="V1504">
        <v>3.675026E-2</v>
      </c>
      <c r="W1504">
        <v>0.15918089999999999</v>
      </c>
      <c r="X1504">
        <v>0.98656520000000003</v>
      </c>
      <c r="Y1504">
        <v>-1.85297E-2</v>
      </c>
      <c r="Z1504">
        <v>-2.9810779999999999E-3</v>
      </c>
      <c r="AA1504">
        <v>0.99982389999999999</v>
      </c>
      <c r="AB1504">
        <v>25</v>
      </c>
      <c r="AC1504">
        <v>-26.194500000000001</v>
      </c>
      <c r="AD1504">
        <v>-1.1082712213788899</v>
      </c>
      <c r="AE1504">
        <v>1.1383999999999901</v>
      </c>
      <c r="AF1504">
        <v>-0.495610746982101</v>
      </c>
      <c r="AG1504">
        <v>-1.1082712213788899</v>
      </c>
      <c r="AH1504">
        <v>26.167770111024002</v>
      </c>
      <c r="AI1504">
        <v>92.424737435143598</v>
      </c>
      <c r="AJ1504">
        <v>91.085037406710498</v>
      </c>
      <c r="AK1504">
        <v>26.195917386036701</v>
      </c>
      <c r="AL1504">
        <v>80.8406442209955</v>
      </c>
      <c r="AM1504">
        <v>87.866677573179203</v>
      </c>
      <c r="AN1504">
        <v>1.00000001719295</v>
      </c>
    </row>
    <row r="1505" spans="1:40" x14ac:dyDescent="0.25">
      <c r="A1505" t="str">
        <f>"20190312172644668"</f>
        <v>20190312172644668</v>
      </c>
      <c r="B1505" t="str">
        <f>"1552382804659822"</f>
        <v>1552382804659822</v>
      </c>
      <c r="C1505" t="s">
        <v>40</v>
      </c>
      <c r="D1505">
        <v>3.3932389999999999</v>
      </c>
      <c r="E1505">
        <v>0.47835610000000001</v>
      </c>
      <c r="F1505" t="s">
        <v>48</v>
      </c>
      <c r="G1505">
        <v>-252.41810000000001</v>
      </c>
      <c r="H1505" s="1">
        <v>-2.4998010000000001E-7</v>
      </c>
      <c r="I1505">
        <v>283.7978</v>
      </c>
      <c r="J1505">
        <v>-226.52529999999999</v>
      </c>
      <c r="K1505">
        <v>1.1083700000000001</v>
      </c>
      <c r="L1505">
        <v>282.70350000000002</v>
      </c>
      <c r="M1505">
        <v>-0.99795279999999997</v>
      </c>
      <c r="N1505">
        <v>0</v>
      </c>
      <c r="O1505">
        <v>6.3664330000000005E-2</v>
      </c>
      <c r="P1505">
        <v>-0.98370239999999998</v>
      </c>
      <c r="Q1505">
        <v>0.1516845</v>
      </c>
      <c r="R1505">
        <v>9.6549159999999995E-2</v>
      </c>
      <c r="S1505">
        <v>-3.0581209999999999</v>
      </c>
      <c r="T1505">
        <v>-0.12965309999999999</v>
      </c>
      <c r="U1505">
        <v>0.13000490000000001</v>
      </c>
      <c r="V1505">
        <v>3.4062960000000003E-2</v>
      </c>
      <c r="W1505">
        <v>0.15763759999999999</v>
      </c>
      <c r="X1505">
        <v>0.98690940000000005</v>
      </c>
      <c r="Y1505">
        <v>-2.1145290000000001E-2</v>
      </c>
      <c r="Z1505">
        <v>-3.1423139999999998E-3</v>
      </c>
      <c r="AA1505">
        <v>0.99977150000000004</v>
      </c>
      <c r="AB1505">
        <v>25</v>
      </c>
      <c r="AC1505">
        <v>-25.892800000000001</v>
      </c>
      <c r="AD1505">
        <v>-1.1083702499801</v>
      </c>
      <c r="AE1505">
        <v>1.0942999999999701</v>
      </c>
      <c r="AF1505">
        <v>-0.55538247724900103</v>
      </c>
      <c r="AG1505">
        <v>-1.1083702499801</v>
      </c>
      <c r="AH1505">
        <v>25.8626350177401</v>
      </c>
      <c r="AI1505">
        <v>92.453403954324997</v>
      </c>
      <c r="AJ1505">
        <v>91.230198775271006</v>
      </c>
      <c r="AK1505">
        <v>25.892331381471099</v>
      </c>
      <c r="AL1505">
        <v>80.930199698848398</v>
      </c>
      <c r="AM1505">
        <v>88.023233527820693</v>
      </c>
      <c r="AN1505">
        <v>1.0000000309930399</v>
      </c>
    </row>
    <row r="1506" spans="1:40" x14ac:dyDescent="0.25">
      <c r="A1506" t="str">
        <f>"20190312172644692"</f>
        <v>20190312172644692</v>
      </c>
      <c r="B1506" t="str">
        <f>"1552382804680330"</f>
        <v>1552382804680330</v>
      </c>
      <c r="C1506" t="s">
        <v>40</v>
      </c>
      <c r="D1506">
        <v>3.364331</v>
      </c>
      <c r="E1506">
        <v>0.47821259999999999</v>
      </c>
      <c r="F1506" t="s">
        <v>48</v>
      </c>
      <c r="G1506">
        <v>-251.3313</v>
      </c>
      <c r="H1506" s="1">
        <v>-8.2832039999999996E-7</v>
      </c>
      <c r="I1506">
        <v>283.72899999999998</v>
      </c>
      <c r="J1506">
        <v>-226.79069999999999</v>
      </c>
      <c r="K1506">
        <v>1.1085069999999999</v>
      </c>
      <c r="L1506">
        <v>282.72190000000001</v>
      </c>
      <c r="M1506">
        <v>-0.99787709999999996</v>
      </c>
      <c r="N1506">
        <v>0</v>
      </c>
      <c r="O1506">
        <v>6.4835509999999999E-2</v>
      </c>
      <c r="P1506">
        <v>-0.98399479999999995</v>
      </c>
      <c r="Q1506">
        <v>0.15081900000000001</v>
      </c>
      <c r="R1506">
        <v>9.4908080000000006E-2</v>
      </c>
      <c r="S1506">
        <v>-3.0583650000000002</v>
      </c>
      <c r="T1506">
        <v>-0.1366521</v>
      </c>
      <c r="U1506">
        <v>0.1264343</v>
      </c>
      <c r="V1506">
        <v>3.119249E-2</v>
      </c>
      <c r="W1506">
        <v>0.1568078</v>
      </c>
      <c r="X1506">
        <v>0.98713640000000002</v>
      </c>
      <c r="Y1506">
        <v>-2.3475260000000001E-2</v>
      </c>
      <c r="Z1506">
        <v>-3.415796E-3</v>
      </c>
      <c r="AA1506">
        <v>0.99971860000000001</v>
      </c>
      <c r="AB1506">
        <v>25</v>
      </c>
      <c r="AC1506">
        <v>-24.540600000000001</v>
      </c>
      <c r="AD1506">
        <v>-1.1085078283204</v>
      </c>
      <c r="AE1506">
        <v>1.0071000000000301</v>
      </c>
      <c r="AF1506">
        <v>-0.58495980074779697</v>
      </c>
      <c r="AG1506">
        <v>-1.1085078283204</v>
      </c>
      <c r="AH1506">
        <v>24.504347167983099</v>
      </c>
      <c r="AI1506">
        <v>92.589397569845204</v>
      </c>
      <c r="AJ1506">
        <v>91.367486484126502</v>
      </c>
      <c r="AK1506">
        <v>24.536381104453401</v>
      </c>
      <c r="AL1506">
        <v>80.978341878731598</v>
      </c>
      <c r="AM1506">
        <v>88.190114811179896</v>
      </c>
      <c r="AN1506">
        <v>0.99999996488909904</v>
      </c>
    </row>
    <row r="1507" spans="1:40" x14ac:dyDescent="0.25">
      <c r="A1507" t="str">
        <f>"20190312172644714"</f>
        <v>20190312172644714</v>
      </c>
      <c r="B1507" t="str">
        <f>"1552382804710574"</f>
        <v>1552382804710574</v>
      </c>
      <c r="C1507" t="s">
        <v>40</v>
      </c>
      <c r="D1507">
        <v>3.4320200000000001</v>
      </c>
      <c r="E1507">
        <v>0.478016</v>
      </c>
      <c r="F1507" t="s">
        <v>48</v>
      </c>
      <c r="G1507">
        <v>-250.92920000000001</v>
      </c>
      <c r="H1507" s="1">
        <v>-1.04231E-6</v>
      </c>
      <c r="I1507">
        <v>283.67869999999999</v>
      </c>
      <c r="J1507">
        <v>-227.03229999999999</v>
      </c>
      <c r="K1507">
        <v>1.108644</v>
      </c>
      <c r="L1507">
        <v>282.73860000000002</v>
      </c>
      <c r="M1507">
        <v>-0.99781920000000002</v>
      </c>
      <c r="N1507">
        <v>0</v>
      </c>
      <c r="O1507">
        <v>6.5721539999999995E-2</v>
      </c>
      <c r="P1507">
        <v>-0.98396110000000003</v>
      </c>
      <c r="Q1507">
        <v>0.1517695</v>
      </c>
      <c r="R1507">
        <v>9.3737310000000004E-2</v>
      </c>
      <c r="S1507">
        <v>-3.0586090000000001</v>
      </c>
      <c r="T1507">
        <v>-0.14045969999999999</v>
      </c>
      <c r="U1507">
        <v>0.1212463</v>
      </c>
      <c r="V1507">
        <v>2.9101330000000002E-2</v>
      </c>
      <c r="W1507">
        <v>0.1577887</v>
      </c>
      <c r="X1507">
        <v>0.98704400000000003</v>
      </c>
      <c r="Y1507">
        <v>-2.6050520000000001E-2</v>
      </c>
      <c r="Z1507">
        <v>-3.6103900000000002E-3</v>
      </c>
      <c r="AA1507">
        <v>0.99965409999999999</v>
      </c>
      <c r="AB1507">
        <v>25</v>
      </c>
      <c r="AC1507">
        <v>-23.896899999999999</v>
      </c>
      <c r="AD1507">
        <v>-1.1086450423100001</v>
      </c>
      <c r="AE1507">
        <v>0.94009999999997196</v>
      </c>
      <c r="AF1507">
        <v>-0.63114679085635195</v>
      </c>
      <c r="AG1507">
        <v>-1.1086450423100001</v>
      </c>
      <c r="AH1507">
        <v>23.855753706427901</v>
      </c>
      <c r="AI1507">
        <v>92.659854777555907</v>
      </c>
      <c r="AJ1507">
        <v>91.515509172452198</v>
      </c>
      <c r="AK1507">
        <v>23.8898393674632</v>
      </c>
      <c r="AL1507">
        <v>80.921432390236106</v>
      </c>
      <c r="AM1507">
        <v>88.311219656000006</v>
      </c>
      <c r="AN1507">
        <v>1.00000000959572</v>
      </c>
    </row>
    <row r="1508" spans="1:40" x14ac:dyDescent="0.25">
      <c r="A1508" t="str">
        <f>"20190312172644735"</f>
        <v>20190312172644735</v>
      </c>
      <c r="B1508" t="str">
        <f>"1552382804730094"</f>
        <v>1552382804730094</v>
      </c>
      <c r="C1508" t="s">
        <v>40</v>
      </c>
      <c r="D1508">
        <v>3.3707630000000002</v>
      </c>
      <c r="E1508">
        <v>0.4778152</v>
      </c>
      <c r="F1508" t="s">
        <v>48</v>
      </c>
      <c r="G1508">
        <v>-251.72319999999999</v>
      </c>
      <c r="H1508" s="1">
        <v>-6.1976890000000003E-7</v>
      </c>
      <c r="I1508">
        <v>283.67039999999997</v>
      </c>
      <c r="J1508">
        <v>-227.28720000000001</v>
      </c>
      <c r="K1508">
        <v>1.108787</v>
      </c>
      <c r="L1508">
        <v>282.75630000000001</v>
      </c>
      <c r="M1508">
        <v>-0.99777000000000005</v>
      </c>
      <c r="N1508">
        <v>0</v>
      </c>
      <c r="O1508">
        <v>6.6462800000000002E-2</v>
      </c>
      <c r="P1508">
        <v>-0.98392460000000004</v>
      </c>
      <c r="Q1508">
        <v>0.1527094</v>
      </c>
      <c r="R1508">
        <v>9.2588920000000005E-2</v>
      </c>
      <c r="S1508">
        <v>-3.0590820000000001</v>
      </c>
      <c r="T1508">
        <v>-0.13735520000000001</v>
      </c>
      <c r="U1508">
        <v>0.115448</v>
      </c>
      <c r="V1508">
        <v>2.7172580000000002E-2</v>
      </c>
      <c r="W1508">
        <v>0.1587595</v>
      </c>
      <c r="X1508">
        <v>0.98694329999999997</v>
      </c>
      <c r="Y1508">
        <v>-2.8691990000000001E-2</v>
      </c>
      <c r="Z1508">
        <v>-3.6227360000000001E-3</v>
      </c>
      <c r="AA1508">
        <v>0.99958179999999996</v>
      </c>
      <c r="AB1508">
        <v>25</v>
      </c>
      <c r="AC1508">
        <v>-24.4359999999999</v>
      </c>
      <c r="AD1508">
        <v>-1.1087876197688999</v>
      </c>
      <c r="AE1508">
        <v>0.91409999999996205</v>
      </c>
      <c r="AF1508">
        <v>-0.71057588961771501</v>
      </c>
      <c r="AG1508">
        <v>-1.1087876197688999</v>
      </c>
      <c r="AH1508">
        <v>24.392570572119599</v>
      </c>
      <c r="AI1508">
        <v>92.601540776624702</v>
      </c>
      <c r="AJ1508">
        <v>91.668601872642299</v>
      </c>
      <c r="AK1508">
        <v>24.428095038223798</v>
      </c>
      <c r="AL1508">
        <v>80.865099518933107</v>
      </c>
      <c r="AM1508">
        <v>88.422927686199898</v>
      </c>
      <c r="AN1508">
        <v>1.00000000267949</v>
      </c>
    </row>
    <row r="1509" spans="1:40" x14ac:dyDescent="0.25">
      <c r="A1509" t="str">
        <f>"20190312172644761"</f>
        <v>20190312172644761</v>
      </c>
      <c r="B1509" t="str">
        <f>"1552382804750590"</f>
        <v>1552382804750590</v>
      </c>
      <c r="C1509" t="s">
        <v>40</v>
      </c>
      <c r="D1509">
        <v>3.3550659999999999</v>
      </c>
      <c r="E1509">
        <v>0.47766249999999999</v>
      </c>
      <c r="F1509" t="s">
        <v>48</v>
      </c>
      <c r="G1509">
        <v>-252.81649999999999</v>
      </c>
      <c r="H1509" s="1">
        <v>-3.7993000000000001E-8</v>
      </c>
      <c r="I1509">
        <v>283.66520000000003</v>
      </c>
      <c r="J1509">
        <v>-227.5652</v>
      </c>
      <c r="K1509">
        <v>1.1089439999999999</v>
      </c>
      <c r="L1509">
        <v>282.77550000000002</v>
      </c>
      <c r="M1509">
        <v>-0.99773250000000002</v>
      </c>
      <c r="N1509">
        <v>0</v>
      </c>
      <c r="O1509">
        <v>6.7021120000000003E-2</v>
      </c>
      <c r="P1509">
        <v>-0.98411590000000004</v>
      </c>
      <c r="Q1509">
        <v>0.1525716</v>
      </c>
      <c r="R1509">
        <v>9.0763460000000004E-2</v>
      </c>
      <c r="S1509">
        <v>-3.0593569999999999</v>
      </c>
      <c r="T1509">
        <v>-0.13287399999999999</v>
      </c>
      <c r="U1509">
        <v>0.10891720000000001</v>
      </c>
      <c r="V1509">
        <v>2.472512E-2</v>
      </c>
      <c r="W1509">
        <v>0.15865689999999999</v>
      </c>
      <c r="X1509">
        <v>0.98702409999999996</v>
      </c>
      <c r="Y1509">
        <v>-3.1388640000000002E-2</v>
      </c>
      <c r="Z1509">
        <v>-3.5872220000000002E-3</v>
      </c>
      <c r="AA1509">
        <v>0.99950079999999997</v>
      </c>
      <c r="AB1509">
        <v>25</v>
      </c>
      <c r="AC1509">
        <v>-25.251299999999901</v>
      </c>
      <c r="AD1509">
        <v>-1.108944037993</v>
      </c>
      <c r="AE1509">
        <v>0.88970000000000404</v>
      </c>
      <c r="AF1509">
        <v>-0.80315602252500295</v>
      </c>
      <c r="AG1509">
        <v>-1.108944037993</v>
      </c>
      <c r="AH1509">
        <v>25.205599232700301</v>
      </c>
      <c r="AI1509">
        <v>92.517880868890202</v>
      </c>
      <c r="AJ1509">
        <v>91.825066136671794</v>
      </c>
      <c r="AK1509">
        <v>25.242762312302901</v>
      </c>
      <c r="AL1509">
        <v>80.8710531251605</v>
      </c>
      <c r="AM1509">
        <v>88.5650311726056</v>
      </c>
      <c r="AN1509">
        <v>0.99999995872871605</v>
      </c>
    </row>
    <row r="1510" spans="1:40" x14ac:dyDescent="0.25">
      <c r="A1510" t="str">
        <f>"20190312172644783"</f>
        <v>20190312172644783</v>
      </c>
      <c r="B1510" t="str">
        <f>"1552382804770109"</f>
        <v>1552382804770109</v>
      </c>
      <c r="C1510" t="s">
        <v>40</v>
      </c>
      <c r="D1510">
        <v>3.4048319999999999</v>
      </c>
      <c r="E1510">
        <v>0.47753259999999997</v>
      </c>
      <c r="F1510" t="s">
        <v>48</v>
      </c>
      <c r="G1510">
        <v>-253.16499999999999</v>
      </c>
      <c r="H1510" s="1">
        <v>1.47476799999999E-7</v>
      </c>
      <c r="I1510">
        <v>283.6266</v>
      </c>
      <c r="J1510">
        <v>-227.82079999999999</v>
      </c>
      <c r="K1510">
        <v>1.109089</v>
      </c>
      <c r="L1510">
        <v>282.79309999999998</v>
      </c>
      <c r="M1510">
        <v>-0.99771359999999998</v>
      </c>
      <c r="N1510">
        <v>0</v>
      </c>
      <c r="O1510">
        <v>6.7300979999999996E-2</v>
      </c>
      <c r="P1510">
        <v>-0.98453579999999996</v>
      </c>
      <c r="Q1510">
        <v>0.15135779999999999</v>
      </c>
      <c r="R1510">
        <v>8.8207450000000007E-2</v>
      </c>
      <c r="S1510">
        <v>-3.0595859999999999</v>
      </c>
      <c r="T1510">
        <v>-0.1325363</v>
      </c>
      <c r="U1510">
        <v>0.1017151</v>
      </c>
      <c r="V1510">
        <v>2.1812669999999999E-2</v>
      </c>
      <c r="W1510">
        <v>0.15747559999999999</v>
      </c>
      <c r="X1510">
        <v>0.98728199999999999</v>
      </c>
      <c r="Y1510">
        <v>-3.4019290000000001E-2</v>
      </c>
      <c r="Z1510">
        <v>-3.6470700000000001E-3</v>
      </c>
      <c r="AA1510">
        <v>0.99941449999999998</v>
      </c>
      <c r="AB1510">
        <v>25</v>
      </c>
      <c r="AC1510">
        <v>-25.344200000000001</v>
      </c>
      <c r="AD1510">
        <v>-1.1090888525232001</v>
      </c>
      <c r="AE1510">
        <v>0.83350000000001501</v>
      </c>
      <c r="AF1510">
        <v>-0.87244293673928397</v>
      </c>
      <c r="AG1510">
        <v>-1.1090888525232001</v>
      </c>
      <c r="AH1510">
        <v>25.294444535450801</v>
      </c>
      <c r="AI1510">
        <v>92.509157301870204</v>
      </c>
      <c r="AJ1510">
        <v>91.975433361950394</v>
      </c>
      <c r="AK1510">
        <v>25.333775066453398</v>
      </c>
      <c r="AL1510">
        <v>80.939599207761802</v>
      </c>
      <c r="AM1510">
        <v>88.734332602171904</v>
      </c>
      <c r="AN1510">
        <v>1.00000005234594</v>
      </c>
    </row>
    <row r="1511" spans="1:40" x14ac:dyDescent="0.25">
      <c r="A1511" t="str">
        <f>"20190312172644803"</f>
        <v>20190312172644803</v>
      </c>
      <c r="B1511" t="str">
        <f>"1552382804800366"</f>
        <v>1552382804800366</v>
      </c>
      <c r="C1511" t="s">
        <v>40</v>
      </c>
      <c r="D1511">
        <v>3.4134479999999998</v>
      </c>
      <c r="E1511">
        <v>0.47740280000000002</v>
      </c>
      <c r="F1511" t="s">
        <v>48</v>
      </c>
      <c r="G1511">
        <v>-252.7337</v>
      </c>
      <c r="H1511" s="1">
        <v>-8.2070580000000006E-8</v>
      </c>
      <c r="I1511">
        <v>283.55520000000001</v>
      </c>
      <c r="J1511">
        <v>-228.05179999999999</v>
      </c>
      <c r="K1511">
        <v>1.109226</v>
      </c>
      <c r="L1511">
        <v>282.80880000000002</v>
      </c>
      <c r="M1511">
        <v>-0.99770959999999997</v>
      </c>
      <c r="N1511">
        <v>0</v>
      </c>
      <c r="O1511">
        <v>6.7357230000000004E-2</v>
      </c>
      <c r="P1511">
        <v>-0.98459450000000004</v>
      </c>
      <c r="Q1511">
        <v>0.152114</v>
      </c>
      <c r="R1511">
        <v>8.6229500000000001E-2</v>
      </c>
      <c r="S1511">
        <v>-3.0596770000000002</v>
      </c>
      <c r="T1511">
        <v>-0.1362131</v>
      </c>
      <c r="U1511">
        <v>9.3597410000000006E-2</v>
      </c>
      <c r="V1511">
        <v>1.9728510000000001E-2</v>
      </c>
      <c r="W1511">
        <v>0.1582586</v>
      </c>
      <c r="X1511">
        <v>0.98720059999999998</v>
      </c>
      <c r="Y1511">
        <v>-3.6717300000000001E-2</v>
      </c>
      <c r="Z1511">
        <v>-3.8107689999999999E-3</v>
      </c>
      <c r="AA1511">
        <v>0.99931840000000005</v>
      </c>
      <c r="AB1511">
        <v>25</v>
      </c>
      <c r="AC1511">
        <v>-24.681899999999999</v>
      </c>
      <c r="AD1511">
        <v>-1.1092260820705799</v>
      </c>
      <c r="AE1511">
        <v>0.74639999999999396</v>
      </c>
      <c r="AF1511">
        <v>-0.91598335986663404</v>
      </c>
      <c r="AG1511">
        <v>-1.1092260820705799</v>
      </c>
      <c r="AH1511">
        <v>24.626427637725499</v>
      </c>
      <c r="AI1511">
        <v>92.577199527760499</v>
      </c>
      <c r="AJ1511">
        <v>92.130142418833501</v>
      </c>
      <c r="AK1511">
        <v>24.6684078572742</v>
      </c>
      <c r="AL1511">
        <v>80.894166535165894</v>
      </c>
      <c r="AM1511">
        <v>88.855136517350999</v>
      </c>
      <c r="AN1511">
        <v>1.0000000116105701</v>
      </c>
    </row>
    <row r="1512" spans="1:40" x14ac:dyDescent="0.25">
      <c r="A1512" t="str">
        <f>"20190312172644825"</f>
        <v>20190312172644825</v>
      </c>
      <c r="B1512" t="str">
        <f>"1552382804819886"</f>
        <v>1552382804819886</v>
      </c>
      <c r="C1512" t="s">
        <v>40</v>
      </c>
      <c r="D1512">
        <v>3.3657379999999999</v>
      </c>
      <c r="E1512">
        <v>0.4773289</v>
      </c>
      <c r="F1512" t="s">
        <v>48</v>
      </c>
      <c r="G1512">
        <v>-253.60050000000001</v>
      </c>
      <c r="H1512" s="1">
        <v>3.7922480000000002E-7</v>
      </c>
      <c r="I1512">
        <v>283.53199999999998</v>
      </c>
      <c r="J1512">
        <v>-228.3058</v>
      </c>
      <c r="K1512">
        <v>1.1093839999999999</v>
      </c>
      <c r="L1512">
        <v>282.82589999999999</v>
      </c>
      <c r="M1512">
        <v>-0.99771969999999999</v>
      </c>
      <c r="N1512">
        <v>0</v>
      </c>
      <c r="O1512">
        <v>6.7203750000000007E-2</v>
      </c>
      <c r="P1512">
        <v>-0.98449819999999999</v>
      </c>
      <c r="Q1512">
        <v>0.15356439999999999</v>
      </c>
      <c r="R1512">
        <v>8.4742250000000005E-2</v>
      </c>
      <c r="S1512">
        <v>-3.0598749999999999</v>
      </c>
      <c r="T1512">
        <v>-0.13284789999999999</v>
      </c>
      <c r="U1512">
        <v>8.6608889999999994E-2</v>
      </c>
      <c r="V1512">
        <v>1.834353E-2</v>
      </c>
      <c r="W1512">
        <v>0.15973780000000001</v>
      </c>
      <c r="X1512">
        <v>0.98698900000000001</v>
      </c>
      <c r="Y1512">
        <v>-3.8849040000000001E-2</v>
      </c>
      <c r="Z1512">
        <v>-3.756255E-3</v>
      </c>
      <c r="AA1512">
        <v>0.99923799999999996</v>
      </c>
      <c r="AB1512">
        <v>26</v>
      </c>
      <c r="AC1512">
        <v>-25.294699999999999</v>
      </c>
      <c r="AD1512">
        <v>-1.1093836207751999</v>
      </c>
      <c r="AE1512">
        <v>0.70609999999999196</v>
      </c>
      <c r="AF1512">
        <v>-0.99351865501457304</v>
      </c>
      <c r="AG1512">
        <v>-1.1093836207751999</v>
      </c>
      <c r="AH1512">
        <v>25.236460932789001</v>
      </c>
      <c r="AI1512">
        <v>92.515130698499803</v>
      </c>
      <c r="AJ1512">
        <v>92.254477947219002</v>
      </c>
      <c r="AK1512">
        <v>25.280363362659401</v>
      </c>
      <c r="AL1512">
        <v>80.808322174171906</v>
      </c>
      <c r="AM1512">
        <v>88.935260814188496</v>
      </c>
      <c r="AN1512">
        <v>0.99999996798134905</v>
      </c>
    </row>
    <row r="1513" spans="1:40" x14ac:dyDescent="0.25">
      <c r="A1513" t="str">
        <f>"20190312172644848"</f>
        <v>20190312172644848</v>
      </c>
      <c r="B1513" t="str">
        <f>"1552382804840382"</f>
        <v>1552382804840382</v>
      </c>
      <c r="C1513" t="s">
        <v>40</v>
      </c>
      <c r="D1513">
        <v>3.3570220000000002</v>
      </c>
      <c r="E1513">
        <v>0.47726839999999998</v>
      </c>
      <c r="F1513" t="s">
        <v>48</v>
      </c>
      <c r="G1513">
        <v>-255.06209999999999</v>
      </c>
      <c r="H1513" s="1">
        <v>1.156988E-6</v>
      </c>
      <c r="I1513">
        <v>283.52820000000003</v>
      </c>
      <c r="J1513">
        <v>-228.56270000000001</v>
      </c>
      <c r="K1513">
        <v>1.1095549999999901</v>
      </c>
      <c r="L1513">
        <v>282.84289999999999</v>
      </c>
      <c r="M1513">
        <v>-0.99774589999999996</v>
      </c>
      <c r="N1513">
        <v>0</v>
      </c>
      <c r="O1513">
        <v>6.6811499999999996E-2</v>
      </c>
      <c r="P1513">
        <v>-0.98457110000000003</v>
      </c>
      <c r="Q1513">
        <v>0.15419769999999999</v>
      </c>
      <c r="R1513">
        <v>8.2721429999999999E-2</v>
      </c>
      <c r="S1513">
        <v>-3.06012</v>
      </c>
      <c r="T1513">
        <v>-0.1268803</v>
      </c>
      <c r="U1513">
        <v>8.0322270000000001E-2</v>
      </c>
      <c r="V1513">
        <v>1.6646850000000001E-2</v>
      </c>
      <c r="W1513">
        <v>0.16040099999999999</v>
      </c>
      <c r="X1513">
        <v>0.98691150000000005</v>
      </c>
      <c r="Y1513">
        <v>-4.0517339999999999E-2</v>
      </c>
      <c r="Z1513">
        <v>-3.605877E-3</v>
      </c>
      <c r="AA1513">
        <v>0.99917230000000001</v>
      </c>
      <c r="AB1513">
        <v>26</v>
      </c>
      <c r="AC1513">
        <v>-26.499399999999898</v>
      </c>
      <c r="AD1513">
        <v>-1.10955384301199</v>
      </c>
      <c r="AE1513">
        <v>0.68530000000003999</v>
      </c>
      <c r="AF1513">
        <v>-1.0848301519775101</v>
      </c>
      <c r="AG1513">
        <v>-1.10955384301199</v>
      </c>
      <c r="AH1513">
        <v>26.4396523457442</v>
      </c>
      <c r="AI1513">
        <v>92.4010195213081</v>
      </c>
      <c r="AJ1513">
        <v>92.349552243789901</v>
      </c>
      <c r="AK1513">
        <v>26.485150223342099</v>
      </c>
      <c r="AL1513">
        <v>80.769827114802297</v>
      </c>
      <c r="AM1513">
        <v>89.033648097281997</v>
      </c>
      <c r="AN1513">
        <v>0.999999953624085</v>
      </c>
    </row>
    <row r="1514" spans="1:40" x14ac:dyDescent="0.25">
      <c r="A1514" t="str">
        <f>"20190312172644882"</f>
        <v>20190312172644882</v>
      </c>
      <c r="B1514" t="str">
        <f>"1552382804870641"</f>
        <v>1552382804870641</v>
      </c>
      <c r="C1514" t="s">
        <v>40</v>
      </c>
      <c r="D1514">
        <v>3.3251780000000002</v>
      </c>
      <c r="E1514">
        <v>0.47726289999999999</v>
      </c>
      <c r="F1514" t="s">
        <v>48</v>
      </c>
      <c r="G1514">
        <v>-255.94130000000001</v>
      </c>
      <c r="H1514" s="1">
        <v>1.6248830000000001E-6</v>
      </c>
      <c r="I1514">
        <v>283.49489999999997</v>
      </c>
      <c r="J1514">
        <v>-228.9555</v>
      </c>
      <c r="K1514">
        <v>1.109818</v>
      </c>
      <c r="L1514">
        <v>282.86810000000003</v>
      </c>
      <c r="M1514">
        <v>-0.99781980000000003</v>
      </c>
      <c r="N1514">
        <v>0</v>
      </c>
      <c r="O1514">
        <v>6.5695619999999996E-2</v>
      </c>
      <c r="P1514">
        <v>-0.98512100000000002</v>
      </c>
      <c r="Q1514">
        <v>0.152634299999999</v>
      </c>
      <c r="R1514">
        <v>7.8993179999999996E-2</v>
      </c>
      <c r="S1514">
        <v>-3.0602870000000002</v>
      </c>
      <c r="T1514">
        <v>-0.12402199999999999</v>
      </c>
      <c r="U1514">
        <v>7.2875980000000007E-2</v>
      </c>
      <c r="V1514">
        <v>1.3893819999999999E-2</v>
      </c>
      <c r="W1514">
        <v>0.15888569999999999</v>
      </c>
      <c r="X1514">
        <v>0.98719920000000005</v>
      </c>
      <c r="Y1514">
        <v>-4.1834919999999998E-2</v>
      </c>
      <c r="Z1514">
        <v>-3.5062610000000001E-3</v>
      </c>
      <c r="AA1514">
        <v>0.99911839999999996</v>
      </c>
      <c r="AB1514">
        <v>26</v>
      </c>
      <c r="AC1514">
        <v>-26.985800000000001</v>
      </c>
      <c r="AD1514">
        <v>-1.109816375117</v>
      </c>
      <c r="AE1514">
        <v>0.62679999999994596</v>
      </c>
      <c r="AF1514">
        <v>-1.1455018152503</v>
      </c>
      <c r="AG1514">
        <v>-1.109816375117</v>
      </c>
      <c r="AH1514">
        <v>26.9231675870823</v>
      </c>
      <c r="AI1514">
        <v>92.358356781834004</v>
      </c>
      <c r="AJ1514">
        <v>92.4362979737421</v>
      </c>
      <c r="AK1514">
        <v>26.970369291452698</v>
      </c>
      <c r="AL1514">
        <v>80.857775644098595</v>
      </c>
      <c r="AM1514">
        <v>89.193673684716899</v>
      </c>
      <c r="AN1514">
        <v>0.99999998218966102</v>
      </c>
    </row>
    <row r="1515" spans="1:40" x14ac:dyDescent="0.25">
      <c r="A1515" t="str">
        <f>"20190312172644903"</f>
        <v>20190312172644903</v>
      </c>
      <c r="B1515" t="str">
        <f>"1552382804899918"</f>
        <v>1552382804899918</v>
      </c>
      <c r="C1515" t="s">
        <v>40</v>
      </c>
      <c r="D1515">
        <v>3.3478349999999999</v>
      </c>
      <c r="E1515">
        <v>0.47726540000000001</v>
      </c>
      <c r="F1515" t="s">
        <v>48</v>
      </c>
      <c r="G1515">
        <v>-255.2013</v>
      </c>
      <c r="H1515" s="1">
        <v>1.231108E-6</v>
      </c>
      <c r="I1515">
        <v>283.39729999999997</v>
      </c>
      <c r="J1515">
        <v>-229.21350000000001</v>
      </c>
      <c r="K1515">
        <v>1.109982</v>
      </c>
      <c r="L1515">
        <v>282.88409999999999</v>
      </c>
      <c r="M1515">
        <v>-0.99788529999999998</v>
      </c>
      <c r="N1515">
        <v>0</v>
      </c>
      <c r="O1515">
        <v>6.469068E-2</v>
      </c>
      <c r="P1515">
        <v>-0.98532149999999996</v>
      </c>
      <c r="Q1515">
        <v>0.1524692</v>
      </c>
      <c r="R1515">
        <v>7.6779E-2</v>
      </c>
      <c r="S1515">
        <v>-3.0604100000000001</v>
      </c>
      <c r="T1515">
        <v>-0.12941059999999999</v>
      </c>
      <c r="U1515">
        <v>6.1706539999999997E-2</v>
      </c>
      <c r="V1515">
        <v>1.260212E-2</v>
      </c>
      <c r="W1515">
        <v>0.15875059999999999</v>
      </c>
      <c r="X1515">
        <v>0.98723830000000001</v>
      </c>
      <c r="Y1515">
        <v>-4.4464900000000002E-2</v>
      </c>
      <c r="Z1515">
        <v>-3.6717400000000002E-3</v>
      </c>
      <c r="AA1515">
        <v>0.99900420000000001</v>
      </c>
      <c r="AB1515">
        <v>26</v>
      </c>
      <c r="AC1515">
        <v>-25.9878</v>
      </c>
      <c r="AD1515">
        <v>-1.109980768892</v>
      </c>
      <c r="AE1515">
        <v>0.513199999999983</v>
      </c>
      <c r="AF1515">
        <v>-1.1669491112983901</v>
      </c>
      <c r="AG1515">
        <v>-1.109980768892</v>
      </c>
      <c r="AH1515">
        <v>25.919297099185101</v>
      </c>
      <c r="AI1515">
        <v>92.449685935370198</v>
      </c>
      <c r="AJ1515">
        <v>92.577852990741405</v>
      </c>
      <c r="AK1515">
        <v>25.9692855052174</v>
      </c>
      <c r="AL1515">
        <v>80.865616102999397</v>
      </c>
      <c r="AM1515">
        <v>89.268657755173706</v>
      </c>
      <c r="AN1515">
        <v>1.00000001370787</v>
      </c>
    </row>
    <row r="1516" spans="1:40" x14ac:dyDescent="0.25">
      <c r="A1516" t="str">
        <f>"20190312172644926"</f>
        <v>20190312172644926</v>
      </c>
      <c r="B1516" t="str">
        <f>"1552382804920414"</f>
        <v>1552382804920414</v>
      </c>
      <c r="C1516" t="s">
        <v>40</v>
      </c>
      <c r="D1516">
        <v>3.3336160000000001</v>
      </c>
      <c r="E1516">
        <v>0.47723860000000001</v>
      </c>
      <c r="F1516" t="s">
        <v>48</v>
      </c>
      <c r="G1516">
        <v>-255.18109999999999</v>
      </c>
      <c r="H1516" s="1">
        <v>1.2203429999999999E-6</v>
      </c>
      <c r="I1516">
        <v>283.34809999999999</v>
      </c>
      <c r="J1516">
        <v>-229.4692</v>
      </c>
      <c r="K1516">
        <v>1.110144</v>
      </c>
      <c r="L1516">
        <v>282.89940000000001</v>
      </c>
      <c r="M1516">
        <v>-0.99796320000000005</v>
      </c>
      <c r="N1516">
        <v>0</v>
      </c>
      <c r="O1516">
        <v>6.3473950000000001E-2</v>
      </c>
      <c r="P1516">
        <v>-0.98545119999999997</v>
      </c>
      <c r="Q1516">
        <v>0.1525368</v>
      </c>
      <c r="R1516">
        <v>7.4957499999999996E-2</v>
      </c>
      <c r="S1516">
        <v>-3.0606840000000002</v>
      </c>
      <c r="T1516">
        <v>-0.1308281</v>
      </c>
      <c r="U1516">
        <v>5.46875E-2</v>
      </c>
      <c r="V1516">
        <v>1.191911E-2</v>
      </c>
      <c r="W1516">
        <v>0.15884809999999999</v>
      </c>
      <c r="X1516">
        <v>0.98723110000000003</v>
      </c>
      <c r="Y1516">
        <v>-4.553683E-2</v>
      </c>
      <c r="Z1516">
        <v>-3.6827330000000001E-3</v>
      </c>
      <c r="AA1516">
        <v>0.99895579999999995</v>
      </c>
      <c r="AB1516">
        <v>26</v>
      </c>
      <c r="AC1516">
        <v>-25.711899999999901</v>
      </c>
      <c r="AD1516">
        <v>-1.110142779657</v>
      </c>
      <c r="AE1516">
        <v>0.44869999999997301</v>
      </c>
      <c r="AF1516">
        <v>-1.1820708248673</v>
      </c>
      <c r="AG1516">
        <v>-1.110142779657</v>
      </c>
      <c r="AH1516">
        <v>25.640746499816998</v>
      </c>
      <c r="AI1516">
        <v>92.476505023522606</v>
      </c>
      <c r="AJ1516">
        <v>92.639538958261795</v>
      </c>
      <c r="AK1516">
        <v>25.691975196432502</v>
      </c>
      <c r="AL1516">
        <v>80.859957974470703</v>
      </c>
      <c r="AM1516">
        <v>89.3082860537763</v>
      </c>
      <c r="AN1516">
        <v>1.000000014432</v>
      </c>
    </row>
    <row r="1517" spans="1:40" x14ac:dyDescent="0.25">
      <c r="A1517" t="str">
        <f>"20190312172644948"</f>
        <v>20190312172644948</v>
      </c>
      <c r="B1517" t="str">
        <f>"1552382804939934"</f>
        <v>1552382804939934</v>
      </c>
      <c r="C1517" t="s">
        <v>40</v>
      </c>
      <c r="D1517">
        <v>3.3331729999999999</v>
      </c>
      <c r="E1517">
        <v>0.47721829999999998</v>
      </c>
      <c r="F1517" t="s">
        <v>48</v>
      </c>
      <c r="G1517">
        <v>-255.5059</v>
      </c>
      <c r="H1517" s="1">
        <v>1.3931639999999999E-6</v>
      </c>
      <c r="I1517">
        <v>283.30279999999999</v>
      </c>
      <c r="J1517">
        <v>-229.7268</v>
      </c>
      <c r="K1517">
        <v>1.1103069999999999</v>
      </c>
      <c r="L1517">
        <v>282.91430000000003</v>
      </c>
      <c r="M1517">
        <v>-0.99805520000000003</v>
      </c>
      <c r="N1517">
        <v>0</v>
      </c>
      <c r="O1517">
        <v>6.2009920000000003E-2</v>
      </c>
      <c r="P1517">
        <v>-0.98562810000000001</v>
      </c>
      <c r="Q1517">
        <v>0.1523021</v>
      </c>
      <c r="R1517">
        <v>7.3086460000000006E-2</v>
      </c>
      <c r="S1517">
        <v>-3.060883</v>
      </c>
      <c r="T1517">
        <v>-0.13050899999999999</v>
      </c>
      <c r="U1517">
        <v>4.7424319999999999E-2</v>
      </c>
      <c r="V1517">
        <v>1.1427410000000001E-2</v>
      </c>
      <c r="W1517">
        <v>0.15864510000000001</v>
      </c>
      <c r="X1517">
        <v>0.98726950000000002</v>
      </c>
      <c r="Y1517">
        <v>-4.64433E-2</v>
      </c>
      <c r="Z1517">
        <v>-3.630674E-3</v>
      </c>
      <c r="AA1517">
        <v>0.99891430000000003</v>
      </c>
      <c r="AB1517">
        <v>26</v>
      </c>
      <c r="AC1517">
        <v>-25.7791</v>
      </c>
      <c r="AD1517">
        <v>-1.110305606836</v>
      </c>
      <c r="AE1517">
        <v>0.38849999999996399</v>
      </c>
      <c r="AF1517">
        <v>-1.2085985857831001</v>
      </c>
      <c r="AG1517">
        <v>-1.110305606836</v>
      </c>
      <c r="AH1517">
        <v>25.705904058401799</v>
      </c>
      <c r="AI1517">
        <v>92.470492496636098</v>
      </c>
      <c r="AJ1517">
        <v>92.691857895298497</v>
      </c>
      <c r="AK1517">
        <v>25.758241254827301</v>
      </c>
      <c r="AL1517">
        <v>80.871737895583294</v>
      </c>
      <c r="AM1517">
        <v>89.3368445734571</v>
      </c>
      <c r="AN1517">
        <v>0.999999959541783</v>
      </c>
    </row>
    <row r="1518" spans="1:40" x14ac:dyDescent="0.25">
      <c r="A1518" t="str">
        <f>"20190312172644972"</f>
        <v>20190312172644972</v>
      </c>
      <c r="B1518" t="str">
        <f>"1552382804960431"</f>
        <v>1552382804960431</v>
      </c>
      <c r="C1518" t="s">
        <v>40</v>
      </c>
      <c r="D1518">
        <v>3.3366760000000002</v>
      </c>
      <c r="E1518">
        <v>0.47720639999999998</v>
      </c>
      <c r="F1518" t="s">
        <v>48</v>
      </c>
      <c r="G1518">
        <v>-255.85390000000001</v>
      </c>
      <c r="H1518" s="1">
        <v>1.5783579999999999E-6</v>
      </c>
      <c r="I1518">
        <v>283.26159999999999</v>
      </c>
      <c r="J1518">
        <v>-230.01009999999999</v>
      </c>
      <c r="K1518">
        <v>1.110493</v>
      </c>
      <c r="L1518">
        <v>282.93</v>
      </c>
      <c r="M1518">
        <v>-0.9981719</v>
      </c>
      <c r="N1518">
        <v>0</v>
      </c>
      <c r="O1518">
        <v>6.0099739999999999E-2</v>
      </c>
      <c r="P1518">
        <v>-0.98610379999999997</v>
      </c>
      <c r="Q1518">
        <v>0.1505995</v>
      </c>
      <c r="R1518">
        <v>7.0138569999999997E-2</v>
      </c>
      <c r="S1518">
        <v>-3.0608059999999999</v>
      </c>
      <c r="T1518">
        <v>-0.1300732</v>
      </c>
      <c r="U1518">
        <v>4.0679930000000003E-2</v>
      </c>
      <c r="V1518">
        <v>1.028067E-2</v>
      </c>
      <c r="W1518">
        <v>0.15697829999999999</v>
      </c>
      <c r="X1518">
        <v>0.98754850000000005</v>
      </c>
      <c r="Y1518">
        <v>-4.673393E-2</v>
      </c>
      <c r="Z1518">
        <v>-3.543919E-3</v>
      </c>
      <c r="AA1518">
        <v>0.99890109999999999</v>
      </c>
      <c r="AB1518">
        <v>26</v>
      </c>
      <c r="AC1518">
        <v>-25.843800000000002</v>
      </c>
      <c r="AD1518">
        <v>-1.1104914216420001</v>
      </c>
      <c r="AE1518">
        <v>0.33159999999998002</v>
      </c>
      <c r="AF1518">
        <v>-1.2199846741075</v>
      </c>
      <c r="AG1518">
        <v>-1.1104914216420001</v>
      </c>
      <c r="AH1518">
        <v>25.769439746890001</v>
      </c>
      <c r="AI1518">
        <v>92.464783059159302</v>
      </c>
      <c r="AJ1518">
        <v>92.710490471340805</v>
      </c>
      <c r="AK1518">
        <v>25.8221915931083</v>
      </c>
      <c r="AL1518">
        <v>80.968450398068398</v>
      </c>
      <c r="AM1518">
        <v>89.4035556490944</v>
      </c>
      <c r="AN1518">
        <v>0.99999995934939301</v>
      </c>
    </row>
    <row r="1519" spans="1:40" x14ac:dyDescent="0.25">
      <c r="A1519" t="str">
        <f>"20190312172644995"</f>
        <v>20190312172644995</v>
      </c>
      <c r="B1519" t="str">
        <f>"1552382804990686"</f>
        <v>1552382804990686</v>
      </c>
      <c r="C1519" t="s">
        <v>40</v>
      </c>
      <c r="D1519">
        <v>3.3847930000000002</v>
      </c>
      <c r="E1519">
        <v>0.47721819999999998</v>
      </c>
      <c r="F1519" t="s">
        <v>48</v>
      </c>
      <c r="G1519">
        <v>-255.1232</v>
      </c>
      <c r="H1519" s="1">
        <v>1.1894940000000001E-6</v>
      </c>
      <c r="I1519">
        <v>283.18869999999998</v>
      </c>
      <c r="J1519">
        <v>-230.28870000000001</v>
      </c>
      <c r="K1519">
        <v>1.1106689999999999</v>
      </c>
      <c r="L1519">
        <v>282.94459999999998</v>
      </c>
      <c r="M1519">
        <v>-0.99829690000000004</v>
      </c>
      <c r="N1519">
        <v>0</v>
      </c>
      <c r="O1519">
        <v>5.7979799999999998E-2</v>
      </c>
      <c r="P1519">
        <v>-0.98641020000000001</v>
      </c>
      <c r="Q1519">
        <v>0.14972179999999999</v>
      </c>
      <c r="R1519">
        <v>6.7663039999999994E-2</v>
      </c>
      <c r="S1519">
        <v>-3.0607150000000001</v>
      </c>
      <c r="T1519">
        <v>-0.13534409999999999</v>
      </c>
      <c r="U1519">
        <v>3.1524660000000003E-2</v>
      </c>
      <c r="V1519">
        <v>9.825673E-3</v>
      </c>
      <c r="W1519">
        <v>0.15613669999999999</v>
      </c>
      <c r="X1519">
        <v>0.98768659999999997</v>
      </c>
      <c r="Y1519">
        <v>-4.759294E-2</v>
      </c>
      <c r="Z1519">
        <v>-3.61305E-3</v>
      </c>
      <c r="AA1519">
        <v>0.99886030000000003</v>
      </c>
      <c r="AB1519">
        <v>26</v>
      </c>
      <c r="AC1519">
        <v>-24.834499999999899</v>
      </c>
      <c r="AD1519">
        <v>-1.1106678105059999</v>
      </c>
      <c r="AE1519">
        <v>0.24410000000000301</v>
      </c>
      <c r="AF1519">
        <v>-1.1938523517116599</v>
      </c>
      <c r="AG1519">
        <v>-1.1106678105059999</v>
      </c>
      <c r="AH1519">
        <v>24.757360667426902</v>
      </c>
      <c r="AI1519">
        <v>92.565710700495003</v>
      </c>
      <c r="AJ1519">
        <v>92.760785178068204</v>
      </c>
      <c r="AK1519">
        <v>24.811001060820502</v>
      </c>
      <c r="AL1519">
        <v>81.017273079840095</v>
      </c>
      <c r="AM1519">
        <v>89.430030716979999</v>
      </c>
      <c r="AN1519">
        <v>1.0000000163781699</v>
      </c>
    </row>
    <row r="1520" spans="1:40" x14ac:dyDescent="0.25">
      <c r="A1520" t="str">
        <f>"20190312172645015"</f>
        <v>20190312172645015</v>
      </c>
      <c r="B1520" t="str">
        <f>"1552382805010206"</f>
        <v>1552382805010206</v>
      </c>
      <c r="C1520" t="s">
        <v>40</v>
      </c>
      <c r="D1520">
        <v>3.3450880000000001</v>
      </c>
      <c r="E1520">
        <v>0.47724430000000001</v>
      </c>
      <c r="F1520" t="s">
        <v>48</v>
      </c>
      <c r="G1520">
        <v>-254.76240000000001</v>
      </c>
      <c r="H1520" s="1">
        <v>9.9752029999999992E-7</v>
      </c>
      <c r="I1520">
        <v>283.14179999999999</v>
      </c>
      <c r="J1520">
        <v>-230.5189</v>
      </c>
      <c r="K1520">
        <v>1.1108009999999999</v>
      </c>
      <c r="L1520">
        <v>282.95600000000002</v>
      </c>
      <c r="M1520">
        <v>-0.99840510000000005</v>
      </c>
      <c r="N1520">
        <v>0</v>
      </c>
      <c r="O1520">
        <v>5.608552E-2</v>
      </c>
      <c r="P1520">
        <v>-0.98646590000000001</v>
      </c>
      <c r="Q1520">
        <v>0.15004229999999999</v>
      </c>
      <c r="R1520">
        <v>6.6125939999999994E-2</v>
      </c>
      <c r="S1520">
        <v>-3.06073</v>
      </c>
      <c r="T1520">
        <v>-0.13890250000000001</v>
      </c>
      <c r="U1520">
        <v>2.4658200000000002E-2</v>
      </c>
      <c r="V1520">
        <v>1.011373E-2</v>
      </c>
      <c r="W1520">
        <v>0.1564876</v>
      </c>
      <c r="X1520">
        <v>0.98762819999999996</v>
      </c>
      <c r="Y1520">
        <v>-4.7934490000000003E-2</v>
      </c>
      <c r="Z1520">
        <v>-3.6299470000000001E-3</v>
      </c>
      <c r="AA1520">
        <v>0.99884390000000001</v>
      </c>
      <c r="AB1520">
        <v>26</v>
      </c>
      <c r="AC1520">
        <v>-24.243500000000001</v>
      </c>
      <c r="AD1520">
        <v>-1.1108000024797</v>
      </c>
      <c r="AE1520">
        <v>0.185800000000028</v>
      </c>
      <c r="AF1520">
        <v>-1.1717703119838501</v>
      </c>
      <c r="AG1520">
        <v>-1.1108000024797</v>
      </c>
      <c r="AH1520">
        <v>24.1650318380944</v>
      </c>
      <c r="AI1520">
        <v>92.628792220457001</v>
      </c>
      <c r="AJ1520">
        <v>92.776116646621702</v>
      </c>
      <c r="AK1520">
        <v>24.218911743628599</v>
      </c>
      <c r="AL1520">
        <v>80.996918164236803</v>
      </c>
      <c r="AM1520">
        <v>89.413287520898805</v>
      </c>
      <c r="AN1520">
        <v>1.0000000589617499</v>
      </c>
    </row>
    <row r="1521" spans="1:40" x14ac:dyDescent="0.25">
      <c r="A1521" t="str">
        <f>"20190312172645038"</f>
        <v>20190312172645038</v>
      </c>
      <c r="B1521" t="str">
        <f>"1552382805030702"</f>
        <v>1552382805030702</v>
      </c>
      <c r="C1521" t="s">
        <v>40</v>
      </c>
      <c r="D1521">
        <v>3.3447830000000001</v>
      </c>
      <c r="E1521">
        <v>0.47727370000000002</v>
      </c>
      <c r="F1521" t="s">
        <v>48</v>
      </c>
      <c r="G1521">
        <v>-255.33009999999999</v>
      </c>
      <c r="H1521" s="1">
        <v>1.29964499999999E-6</v>
      </c>
      <c r="I1521">
        <v>283.11660000000001</v>
      </c>
      <c r="J1521">
        <v>-230.80500000000001</v>
      </c>
      <c r="K1521">
        <v>1.1109329999999999</v>
      </c>
      <c r="L1521">
        <v>282.96940000000001</v>
      </c>
      <c r="M1521">
        <v>-0.99854339999999997</v>
      </c>
      <c r="N1521">
        <v>0</v>
      </c>
      <c r="O1521">
        <v>5.3560440000000001E-2</v>
      </c>
      <c r="P1521">
        <v>-0.98645479999999997</v>
      </c>
      <c r="Q1521">
        <v>0.15105629999999901</v>
      </c>
      <c r="R1521">
        <v>6.3944849999999998E-2</v>
      </c>
      <c r="S1521">
        <v>-3.0606840000000002</v>
      </c>
      <c r="T1521">
        <v>-0.13702710000000001</v>
      </c>
      <c r="U1521">
        <v>1.9805909999999999E-2</v>
      </c>
      <c r="V1521">
        <v>1.038061E-2</v>
      </c>
      <c r="W1521">
        <v>0.15753629999999999</v>
      </c>
      <c r="X1521">
        <v>0.98745859999999996</v>
      </c>
      <c r="Y1521">
        <v>-4.6998140000000001E-2</v>
      </c>
      <c r="Z1521">
        <v>-3.447285E-3</v>
      </c>
      <c r="AA1521">
        <v>0.99888900000000003</v>
      </c>
      <c r="AB1521">
        <v>27</v>
      </c>
      <c r="AC1521">
        <v>-24.525099999999899</v>
      </c>
      <c r="AD1521">
        <v>-1.1109317003550001</v>
      </c>
      <c r="AE1521">
        <v>0.147199999999998</v>
      </c>
      <c r="AF1521">
        <v>-1.1642254948227599</v>
      </c>
      <c r="AG1521">
        <v>-1.1109317003550001</v>
      </c>
      <c r="AH1521">
        <v>24.4476177669778</v>
      </c>
      <c r="AI1521">
        <v>92.598864135233896</v>
      </c>
      <c r="AJ1521">
        <v>92.726435439321705</v>
      </c>
      <c r="AK1521">
        <v>24.500522539854</v>
      </c>
      <c r="AL1521">
        <v>80.936076594782904</v>
      </c>
      <c r="AM1521">
        <v>89.397703120174398</v>
      </c>
      <c r="AN1521">
        <v>0.99999996479780995</v>
      </c>
    </row>
    <row r="1522" spans="1:40" x14ac:dyDescent="0.25">
      <c r="A1522" t="str">
        <f>"20190312172645059"</f>
        <v>20190312172645059</v>
      </c>
      <c r="B1522" t="str">
        <f>"1552382805050222"</f>
        <v>1552382805050222</v>
      </c>
      <c r="C1522" t="s">
        <v>40</v>
      </c>
      <c r="D1522">
        <v>3.3611219999999999</v>
      </c>
      <c r="E1522">
        <v>0.47729510000000003</v>
      </c>
      <c r="F1522" t="s">
        <v>48</v>
      </c>
      <c r="G1522">
        <v>-256.38510000000002</v>
      </c>
      <c r="H1522" s="1">
        <v>1.8610419999999999E-6</v>
      </c>
      <c r="I1522">
        <v>283.07679999999999</v>
      </c>
      <c r="J1522">
        <v>-231.0531</v>
      </c>
      <c r="K1522">
        <v>1.111032</v>
      </c>
      <c r="L1522">
        <v>282.9803</v>
      </c>
      <c r="M1522">
        <v>-0.99866560000000004</v>
      </c>
      <c r="N1522">
        <v>0</v>
      </c>
      <c r="O1522">
        <v>5.1232489999999999E-2</v>
      </c>
      <c r="P1522">
        <v>-0.98642620000000003</v>
      </c>
      <c r="Q1522">
        <v>0.1522039</v>
      </c>
      <c r="R1522">
        <v>6.1626489999999999E-2</v>
      </c>
      <c r="S1522">
        <v>-3.0607150000000001</v>
      </c>
      <c r="T1522">
        <v>-0.13292519999999999</v>
      </c>
      <c r="U1522">
        <v>1.2847900000000001E-2</v>
      </c>
      <c r="V1522">
        <v>1.0327869999999999E-2</v>
      </c>
      <c r="W1522">
        <v>0.15871199999999999</v>
      </c>
      <c r="X1522">
        <v>0.98727089999999995</v>
      </c>
      <c r="Y1522">
        <v>-4.6948490000000002E-2</v>
      </c>
      <c r="Z1522">
        <v>-3.2421870000000001E-3</v>
      </c>
      <c r="AA1522">
        <v>0.99889209999999995</v>
      </c>
      <c r="AB1522">
        <v>27</v>
      </c>
      <c r="AC1522">
        <v>-25.332000000000001</v>
      </c>
      <c r="AD1522">
        <v>-1.111030138958</v>
      </c>
      <c r="AE1522">
        <v>9.6499999999991801E-2</v>
      </c>
      <c r="AF1522">
        <v>-1.1991689115539499</v>
      </c>
      <c r="AG1522">
        <v>-1.111030138958</v>
      </c>
      <c r="AH1522">
        <v>25.255095709099699</v>
      </c>
      <c r="AI1522">
        <v>92.516118723712395</v>
      </c>
      <c r="AJ1522">
        <v>92.718491074190794</v>
      </c>
      <c r="AK1522">
        <v>25.307948421867401</v>
      </c>
      <c r="AL1522">
        <v>80.867855964721798</v>
      </c>
      <c r="AM1522">
        <v>89.400649023147906</v>
      </c>
      <c r="AN1522">
        <v>0.99999999691477304</v>
      </c>
    </row>
    <row r="1523" spans="1:40" x14ac:dyDescent="0.25">
      <c r="A1523" t="str">
        <f>"20190312172645084"</f>
        <v>20190312172645084</v>
      </c>
      <c r="B1523" t="str">
        <f>"1552382805080478"</f>
        <v>1552382805080478</v>
      </c>
      <c r="C1523" t="s">
        <v>40</v>
      </c>
      <c r="D1523">
        <v>3.3363619999999998</v>
      </c>
      <c r="E1523">
        <v>0.47733439999999999</v>
      </c>
      <c r="F1523" t="s">
        <v>48</v>
      </c>
      <c r="G1523">
        <v>-257.51949999999999</v>
      </c>
      <c r="H1523" s="1">
        <v>2.464697E-6</v>
      </c>
      <c r="I1523">
        <v>283.02780000000001</v>
      </c>
      <c r="J1523">
        <v>-231.3322</v>
      </c>
      <c r="K1523">
        <v>1.111135</v>
      </c>
      <c r="L1523">
        <v>282.99180000000001</v>
      </c>
      <c r="M1523">
        <v>-0.99880210000000003</v>
      </c>
      <c r="N1523">
        <v>0</v>
      </c>
      <c r="O1523">
        <v>4.8489930000000001E-2</v>
      </c>
      <c r="P1523">
        <v>-0.98661589999999999</v>
      </c>
      <c r="Q1523">
        <v>0.1520986</v>
      </c>
      <c r="R1523">
        <v>5.8781859999999998E-2</v>
      </c>
      <c r="S1523">
        <v>-3.0607600000000001</v>
      </c>
      <c r="T1523">
        <v>-0.12848760000000001</v>
      </c>
      <c r="U1523">
        <v>5.493164E-3</v>
      </c>
      <c r="V1523">
        <v>1.015452E-2</v>
      </c>
      <c r="W1523">
        <v>0.15863859999999999</v>
      </c>
      <c r="X1523">
        <v>0.98728450000000001</v>
      </c>
      <c r="Y1523">
        <v>-4.6614580000000003E-2</v>
      </c>
      <c r="Z1523">
        <v>-3.0120680000000001E-3</v>
      </c>
      <c r="AA1523">
        <v>0.99890840000000003</v>
      </c>
      <c r="AB1523">
        <v>27</v>
      </c>
      <c r="AC1523">
        <v>-26.1873</v>
      </c>
      <c r="AD1523">
        <v>-1.1111325353029999</v>
      </c>
      <c r="AE1523">
        <v>3.6000000000001302E-2</v>
      </c>
      <c r="AF1523">
        <v>-1.2316726501456301</v>
      </c>
      <c r="AG1523">
        <v>-1.1111325353029999</v>
      </c>
      <c r="AH1523">
        <v>26.111230933943801</v>
      </c>
      <c r="AI1523">
        <v>92.433980929006097</v>
      </c>
      <c r="AJ1523">
        <v>92.700653013045297</v>
      </c>
      <c r="AK1523">
        <v>26.163868481435799</v>
      </c>
      <c r="AL1523">
        <v>80.872115484092006</v>
      </c>
      <c r="AM1523">
        <v>89.410716339436902</v>
      </c>
      <c r="AN1523">
        <v>1.0000000018133199</v>
      </c>
    </row>
    <row r="1524" spans="1:40" x14ac:dyDescent="0.25">
      <c r="A1524" t="str">
        <f>"20190312172645105"</f>
        <v>20190312172645105</v>
      </c>
      <c r="B1524" t="str">
        <f>"1552382805099999"</f>
        <v>1552382805099999</v>
      </c>
      <c r="C1524" t="s">
        <v>40</v>
      </c>
      <c r="D1524">
        <v>3.3471199999999999</v>
      </c>
      <c r="E1524">
        <v>0.47735420000000001</v>
      </c>
      <c r="F1524" t="s">
        <v>48</v>
      </c>
      <c r="G1524">
        <v>-257.92160000000001</v>
      </c>
      <c r="H1524" s="1">
        <v>2.6787089999999999E-6</v>
      </c>
      <c r="I1524">
        <v>282.96769999999998</v>
      </c>
      <c r="J1524">
        <v>-231.60230000000001</v>
      </c>
      <c r="K1524">
        <v>1.1112139999999999</v>
      </c>
      <c r="L1524">
        <v>283.00200000000001</v>
      </c>
      <c r="M1524">
        <v>-0.99893169999999998</v>
      </c>
      <c r="N1524">
        <v>0</v>
      </c>
      <c r="O1524">
        <v>4.5738029999999999E-2</v>
      </c>
      <c r="P1524">
        <v>-0.98671980000000004</v>
      </c>
      <c r="Q1524">
        <v>0.15236710000000001</v>
      </c>
      <c r="R1524">
        <v>5.6287419999999998E-2</v>
      </c>
      <c r="S1524">
        <v>-3.0605769999999999</v>
      </c>
      <c r="T1524">
        <v>-0.12789710000000001</v>
      </c>
      <c r="U1524">
        <v>-2.7770999999999998E-3</v>
      </c>
      <c r="V1524">
        <v>1.034888E-2</v>
      </c>
      <c r="W1524">
        <v>0.158938</v>
      </c>
      <c r="X1524">
        <v>0.98723439999999996</v>
      </c>
      <c r="Y1524">
        <v>-4.6564899999999999E-2</v>
      </c>
      <c r="Z1524">
        <v>-2.8825600000000002E-3</v>
      </c>
      <c r="AA1524">
        <v>0.99891110000000005</v>
      </c>
      <c r="AB1524">
        <v>27</v>
      </c>
      <c r="AC1524">
        <v>-26.319299999999998</v>
      </c>
      <c r="AD1524">
        <v>-1.111211321291</v>
      </c>
      <c r="AE1524">
        <v>-3.4300000000030098E-2</v>
      </c>
      <c r="AF1524">
        <v>-1.23588018421384</v>
      </c>
      <c r="AG1524">
        <v>-1.111211321291</v>
      </c>
      <c r="AH1524">
        <v>26.243405563131098</v>
      </c>
      <c r="AI1524">
        <v>92.421917140931498</v>
      </c>
      <c r="AJ1524">
        <v>92.6962370077581</v>
      </c>
      <c r="AK1524">
        <v>26.2959792740502</v>
      </c>
      <c r="AL1524">
        <v>80.854741352071201</v>
      </c>
      <c r="AM1524">
        <v>89.399407649219896</v>
      </c>
      <c r="AN1524">
        <v>1.0000000738523001</v>
      </c>
    </row>
    <row r="1525" spans="1:40" x14ac:dyDescent="0.25">
      <c r="A1525" t="str">
        <f>"20190312172645128"</f>
        <v>20190312172645128</v>
      </c>
      <c r="B1525" t="str">
        <f>"1552382805120494"</f>
        <v>1552382805120494</v>
      </c>
      <c r="C1525" t="s">
        <v>40</v>
      </c>
      <c r="D1525">
        <v>3.2994849999999998</v>
      </c>
      <c r="E1525">
        <v>0.47739280000000001</v>
      </c>
      <c r="F1525" t="s">
        <v>48</v>
      </c>
      <c r="G1525">
        <v>-258.49439999999998</v>
      </c>
      <c r="H1525" s="1">
        <v>2.9835279999999998E-6</v>
      </c>
      <c r="I1525">
        <v>282.9058</v>
      </c>
      <c r="J1525">
        <v>-231.86799999999999</v>
      </c>
      <c r="K1525">
        <v>1.1112740000000001</v>
      </c>
      <c r="L1525">
        <v>283.01130000000001</v>
      </c>
      <c r="M1525">
        <v>-0.99905480000000002</v>
      </c>
      <c r="N1525">
        <v>0</v>
      </c>
      <c r="O1525">
        <v>4.2961520000000003E-2</v>
      </c>
      <c r="P1525">
        <v>-0.98682150000000002</v>
      </c>
      <c r="Q1525">
        <v>0.15260079999999901</v>
      </c>
      <c r="R1525">
        <v>5.3818949999999997E-2</v>
      </c>
      <c r="S1525">
        <v>-3.0605319999999998</v>
      </c>
      <c r="T1525">
        <v>-0.1264641</v>
      </c>
      <c r="U1525">
        <v>-1.095581E-2</v>
      </c>
      <c r="V1525">
        <v>1.0598740000000001E-2</v>
      </c>
      <c r="W1525">
        <v>0.1592016</v>
      </c>
      <c r="X1525">
        <v>0.98718919999999999</v>
      </c>
      <c r="Y1525">
        <v>-4.646227E-2</v>
      </c>
      <c r="Z1525">
        <v>-2.7336320000000002E-3</v>
      </c>
      <c r="AA1525">
        <v>0.99891629999999998</v>
      </c>
      <c r="AB1525">
        <v>27</v>
      </c>
      <c r="AC1525">
        <v>-26.626399999999901</v>
      </c>
      <c r="AD1525">
        <v>-1.1112710164720001</v>
      </c>
      <c r="AE1525">
        <v>-0.10550000000000601</v>
      </c>
      <c r="AF1525">
        <v>-1.24716590390394</v>
      </c>
      <c r="AG1525">
        <v>-1.1112710164720001</v>
      </c>
      <c r="AH1525">
        <v>26.551035310053301</v>
      </c>
      <c r="AI1525">
        <v>92.394030766567894</v>
      </c>
      <c r="AJ1525">
        <v>92.689343621729606</v>
      </c>
      <c r="AK1525">
        <v>26.603530256332601</v>
      </c>
      <c r="AL1525">
        <v>80.839442716623793</v>
      </c>
      <c r="AM1525">
        <v>89.384880082601001</v>
      </c>
      <c r="AN1525">
        <v>0.99999999966439301</v>
      </c>
    </row>
    <row r="1526" spans="1:40" x14ac:dyDescent="0.25">
      <c r="A1526" t="str">
        <f>"20190312172645150"</f>
        <v>20190312172645150</v>
      </c>
      <c r="B1526" t="str">
        <f>"1552382805140016"</f>
        <v>1552382805140016</v>
      </c>
      <c r="C1526" t="s">
        <v>40</v>
      </c>
      <c r="D1526">
        <v>3.3320449999999999</v>
      </c>
      <c r="E1526">
        <v>0.47744740000000002</v>
      </c>
      <c r="F1526" t="s">
        <v>48</v>
      </c>
      <c r="G1526">
        <v>-259.04680000000002</v>
      </c>
      <c r="H1526" s="1">
        <v>3.2774359999999999E-6</v>
      </c>
      <c r="I1526">
        <v>282.84269999999998</v>
      </c>
      <c r="J1526">
        <v>-232.1413</v>
      </c>
      <c r="K1526">
        <v>1.111321</v>
      </c>
      <c r="L1526">
        <v>283.02010000000001</v>
      </c>
      <c r="M1526">
        <v>-0.99917520000000004</v>
      </c>
      <c r="N1526">
        <v>0</v>
      </c>
      <c r="O1526">
        <v>4.0059289999999997E-2</v>
      </c>
      <c r="P1526">
        <v>-0.9871818</v>
      </c>
      <c r="Q1526">
        <v>0.1511593</v>
      </c>
      <c r="R1526">
        <v>5.1216020000000001E-2</v>
      </c>
      <c r="S1526">
        <v>-3.0604550000000001</v>
      </c>
      <c r="T1526">
        <v>-0.1251343</v>
      </c>
      <c r="U1526">
        <v>-1.8981930000000001E-2</v>
      </c>
      <c r="V1526">
        <v>1.08416E-2</v>
      </c>
      <c r="W1526">
        <v>0.15779199999999999</v>
      </c>
      <c r="X1526">
        <v>0.98741290000000004</v>
      </c>
      <c r="Y1526">
        <v>-4.6184580000000003E-2</v>
      </c>
      <c r="Z1526">
        <v>-2.5807650000000001E-3</v>
      </c>
      <c r="AA1526">
        <v>0.99892959999999997</v>
      </c>
      <c r="AB1526">
        <v>27</v>
      </c>
      <c r="AC1526">
        <v>-26.9055</v>
      </c>
      <c r="AD1526">
        <v>-1.1113177225640001</v>
      </c>
      <c r="AE1526">
        <v>-0.177400000000034</v>
      </c>
      <c r="AF1526">
        <v>-1.2529590978703999</v>
      </c>
      <c r="AG1526">
        <v>-1.1113177225640001</v>
      </c>
      <c r="AH1526">
        <v>26.831022097896899</v>
      </c>
      <c r="AI1526">
        <v>92.369207005017699</v>
      </c>
      <c r="AJ1526">
        <v>92.673664539893196</v>
      </c>
      <c r="AK1526">
        <v>26.8832416274387</v>
      </c>
      <c r="AL1526">
        <v>80.921241242570005</v>
      </c>
      <c r="AM1526">
        <v>89.370928855888707</v>
      </c>
      <c r="AN1526">
        <v>1.00000004532048</v>
      </c>
    </row>
    <row r="1527" spans="1:40" x14ac:dyDescent="0.25">
      <c r="A1527" t="str">
        <f>"20190312172645174"</f>
        <v>20190312172645174</v>
      </c>
      <c r="B1527" t="str">
        <f>"1552382805170270"</f>
        <v>1552382805170270</v>
      </c>
      <c r="C1527" t="s">
        <v>40</v>
      </c>
      <c r="D1527">
        <v>3.3818030000000001</v>
      </c>
      <c r="E1527">
        <v>0.47745539999999997</v>
      </c>
      <c r="F1527" t="s">
        <v>48</v>
      </c>
      <c r="G1527">
        <v>-258.48309999999998</v>
      </c>
      <c r="H1527" s="1">
        <v>2.9774789999999999E-6</v>
      </c>
      <c r="I1527">
        <v>282.78469999999999</v>
      </c>
      <c r="J1527">
        <v>-232.42660000000001</v>
      </c>
      <c r="K1527">
        <v>1.111354</v>
      </c>
      <c r="L1527">
        <v>283.02820000000003</v>
      </c>
      <c r="M1527">
        <v>-0.99929299999999999</v>
      </c>
      <c r="N1527">
        <v>0</v>
      </c>
      <c r="O1527">
        <v>3.7002819999999999E-2</v>
      </c>
      <c r="P1527">
        <v>-0.98752459999999997</v>
      </c>
      <c r="Q1527">
        <v>0.14992549999999999</v>
      </c>
      <c r="R1527">
        <v>4.8144029999999997E-2</v>
      </c>
      <c r="S1527">
        <v>-3.0601349999999998</v>
      </c>
      <c r="T1527">
        <v>-0.1291022</v>
      </c>
      <c r="U1527">
        <v>-2.734375E-2</v>
      </c>
      <c r="V1527">
        <v>1.077471E-2</v>
      </c>
      <c r="W1527">
        <v>0.1565879</v>
      </c>
      <c r="X1527">
        <v>0.98760530000000002</v>
      </c>
      <c r="Y1527">
        <v>-4.5857469999999997E-2</v>
      </c>
      <c r="Z1527">
        <v>-2.5270739999999998E-3</v>
      </c>
      <c r="AA1527">
        <v>0.99894479999999997</v>
      </c>
      <c r="AB1527">
        <v>27</v>
      </c>
      <c r="AC1527">
        <v>-26.0564999999999</v>
      </c>
      <c r="AD1527">
        <v>-1.1113510225209999</v>
      </c>
      <c r="AE1527">
        <v>-0.24350000000003999</v>
      </c>
      <c r="AF1527">
        <v>-1.2053260797643901</v>
      </c>
      <c r="AG1527">
        <v>-1.1113510225209999</v>
      </c>
      <c r="AH1527">
        <v>25.982382396227599</v>
      </c>
      <c r="AI1527">
        <v>92.446605964896094</v>
      </c>
      <c r="AJ1527">
        <v>92.656054398689193</v>
      </c>
      <c r="AK1527">
        <v>26.034056676546101</v>
      </c>
      <c r="AL1527">
        <v>80.991099555899297</v>
      </c>
      <c r="AM1527">
        <v>89.374931547350201</v>
      </c>
      <c r="AN1527">
        <v>1.0000000466950401</v>
      </c>
    </row>
    <row r="1528" spans="1:40" x14ac:dyDescent="0.25">
      <c r="A1528" t="str">
        <f>"20190312172645196"</f>
        <v>20190312172645196</v>
      </c>
      <c r="B1528" t="str">
        <f>"1552382805190766"</f>
        <v>1552382805190766</v>
      </c>
      <c r="C1528" t="s">
        <v>40</v>
      </c>
      <c r="D1528">
        <v>3.3385039999999999</v>
      </c>
      <c r="E1528">
        <v>0.47750310000000001</v>
      </c>
      <c r="F1528" t="s">
        <v>48</v>
      </c>
      <c r="G1528">
        <v>-258.11700000000002</v>
      </c>
      <c r="H1528" s="1">
        <v>2.7826959999999999E-6</v>
      </c>
      <c r="I1528">
        <v>282.72019999999998</v>
      </c>
      <c r="J1528">
        <v>-232.69569999999999</v>
      </c>
      <c r="K1528">
        <v>1.1113679999999999</v>
      </c>
      <c r="L1528">
        <v>283.0351</v>
      </c>
      <c r="M1528">
        <v>-0.99939560000000005</v>
      </c>
      <c r="N1528">
        <v>0</v>
      </c>
      <c r="O1528">
        <v>3.4107829999999999E-2</v>
      </c>
      <c r="P1528">
        <v>-0.987815</v>
      </c>
      <c r="Q1528">
        <v>0.1489558</v>
      </c>
      <c r="R1528">
        <v>4.5099340000000002E-2</v>
      </c>
      <c r="S1528">
        <v>-3.0597690000000002</v>
      </c>
      <c r="T1528">
        <v>-0.13236329999999999</v>
      </c>
      <c r="U1528">
        <v>-3.668213E-2</v>
      </c>
      <c r="V1528">
        <v>1.058198E-2</v>
      </c>
      <c r="W1528">
        <v>0.15564539999999999</v>
      </c>
      <c r="X1528">
        <v>0.98775630000000003</v>
      </c>
      <c r="Y1528">
        <v>-4.6011919999999998E-2</v>
      </c>
      <c r="Z1528">
        <v>-2.4693509999999998E-3</v>
      </c>
      <c r="AA1528">
        <v>0.99893779999999999</v>
      </c>
      <c r="AB1528">
        <v>27</v>
      </c>
      <c r="AC1528">
        <v>-25.421299999999999</v>
      </c>
      <c r="AD1528">
        <v>-1.1113652173040001</v>
      </c>
      <c r="AE1528">
        <v>-0.314900000000022</v>
      </c>
      <c r="AF1528">
        <v>-1.1795476300113801</v>
      </c>
      <c r="AG1528">
        <v>-1.1113652173040001</v>
      </c>
      <c r="AH1528">
        <v>25.3473296554555</v>
      </c>
      <c r="AI1528">
        <v>92.507841121695506</v>
      </c>
      <c r="AJ1528">
        <v>92.664358749759302</v>
      </c>
      <c r="AK1528">
        <v>25.399086320575201</v>
      </c>
      <c r="AL1528">
        <v>81.045770651714506</v>
      </c>
      <c r="AM1528">
        <v>89.386205282566706</v>
      </c>
      <c r="AN1528">
        <v>0.99999998851578498</v>
      </c>
    </row>
    <row r="1529" spans="1:40" x14ac:dyDescent="0.25">
      <c r="A1529" t="str">
        <f>"20190312172645216"</f>
        <v>20190312172645216</v>
      </c>
      <c r="B1529" t="str">
        <f>"1552382805210287"</f>
        <v>1552382805210287</v>
      </c>
      <c r="C1529" t="s">
        <v>40</v>
      </c>
      <c r="D1529">
        <v>3.3619979999999998</v>
      </c>
      <c r="E1529">
        <v>0.47756759999999898</v>
      </c>
      <c r="F1529" t="s">
        <v>48</v>
      </c>
      <c r="G1529">
        <v>-257.89449999999999</v>
      </c>
      <c r="H1529" s="1">
        <v>2.6642619999999999E-6</v>
      </c>
      <c r="I1529">
        <v>282.6558</v>
      </c>
      <c r="J1529">
        <v>-232.94829999999999</v>
      </c>
      <c r="K1529">
        <v>1.111367</v>
      </c>
      <c r="L1529">
        <v>283.041</v>
      </c>
      <c r="M1529">
        <v>-0.9994847</v>
      </c>
      <c r="N1529">
        <v>0</v>
      </c>
      <c r="O1529">
        <v>3.1386890000000001E-2</v>
      </c>
      <c r="P1529">
        <v>-0.98805980000000004</v>
      </c>
      <c r="Q1529">
        <v>0.14800969999999999</v>
      </c>
      <c r="R1529">
        <v>4.27926E-2</v>
      </c>
      <c r="S1529">
        <v>-3.0594480000000002</v>
      </c>
      <c r="T1529">
        <v>-0.13493359999999999</v>
      </c>
      <c r="U1529">
        <v>-4.605103E-2</v>
      </c>
      <c r="V1529">
        <v>1.095982E-2</v>
      </c>
      <c r="W1529">
        <v>0.15472729999999901</v>
      </c>
      <c r="X1529">
        <v>0.98789640000000001</v>
      </c>
      <c r="Y1529">
        <v>-4.6351440000000001E-2</v>
      </c>
      <c r="Z1529">
        <v>-2.405061E-3</v>
      </c>
      <c r="AA1529">
        <v>0.99892230000000004</v>
      </c>
      <c r="AB1529">
        <v>27</v>
      </c>
      <c r="AC1529">
        <v>-24.946200000000001</v>
      </c>
      <c r="AD1529">
        <v>-1.1113643357380001</v>
      </c>
      <c r="AE1529">
        <v>-0.38519999999999699</v>
      </c>
      <c r="AF1529">
        <v>-1.1656984782166799</v>
      </c>
      <c r="AG1529">
        <v>-1.1113643357380001</v>
      </c>
      <c r="AH1529">
        <v>24.8724645392277</v>
      </c>
      <c r="AI1529">
        <v>92.555616470066795</v>
      </c>
      <c r="AJ1529">
        <v>92.683319367115502</v>
      </c>
      <c r="AK1529">
        <v>24.924555680773999</v>
      </c>
      <c r="AL1529">
        <v>81.0990188902624</v>
      </c>
      <c r="AM1529">
        <v>89.364381052936196</v>
      </c>
      <c r="AN1529">
        <v>0.99999997607634095</v>
      </c>
    </row>
    <row r="1530" spans="1:40" x14ac:dyDescent="0.25">
      <c r="A1530" t="str">
        <f>"20190312172645239"</f>
        <v>20190312172645239</v>
      </c>
      <c r="B1530" t="str">
        <f>"1552382805230782"</f>
        <v>1552382805230782</v>
      </c>
      <c r="C1530" t="s">
        <v>40</v>
      </c>
      <c r="D1530">
        <v>3.3712810000000002</v>
      </c>
      <c r="E1530">
        <v>0.47763359999999999</v>
      </c>
      <c r="F1530" t="s">
        <v>48</v>
      </c>
      <c r="G1530">
        <v>-257.68790000000001</v>
      </c>
      <c r="H1530" s="1">
        <v>2.5543100000000001E-6</v>
      </c>
      <c r="I1530">
        <v>282.61099999999999</v>
      </c>
      <c r="J1530">
        <v>-233.23400000000001</v>
      </c>
      <c r="K1530">
        <v>1.1113839999999999</v>
      </c>
      <c r="L1530">
        <v>283.04669999999999</v>
      </c>
      <c r="M1530">
        <v>-0.99957629999999997</v>
      </c>
      <c r="N1530">
        <v>0</v>
      </c>
      <c r="O1530">
        <v>2.831297E-2</v>
      </c>
      <c r="P1530">
        <v>-0.98817200000000005</v>
      </c>
      <c r="Q1530">
        <v>0.1479779</v>
      </c>
      <c r="R1530">
        <v>4.0230580000000002E-2</v>
      </c>
      <c r="S1530">
        <v>-3.0591430000000002</v>
      </c>
      <c r="T1530">
        <v>-0.13742480000000001</v>
      </c>
      <c r="U1530">
        <v>-5.316162E-2</v>
      </c>
      <c r="V1530">
        <v>1.1431759999999999E-2</v>
      </c>
      <c r="W1530">
        <v>0.15472549999999999</v>
      </c>
      <c r="X1530">
        <v>0.98789139999999998</v>
      </c>
      <c r="Y1530">
        <v>-4.5603169999999998E-2</v>
      </c>
      <c r="Z1530">
        <v>-2.2948510000000001E-3</v>
      </c>
      <c r="AA1530">
        <v>0.99895699999999998</v>
      </c>
      <c r="AB1530">
        <v>27</v>
      </c>
      <c r="AC1530">
        <v>-24.453900000000001</v>
      </c>
      <c r="AD1530">
        <v>-1.11138144569</v>
      </c>
      <c r="AE1530">
        <v>-0.43569999999999698</v>
      </c>
      <c r="AF1530">
        <v>-1.1255794729559301</v>
      </c>
      <c r="AG1530">
        <v>-1.11138144569</v>
      </c>
      <c r="AH1530">
        <v>24.381415534832598</v>
      </c>
      <c r="AI1530">
        <v>92.607141897512093</v>
      </c>
      <c r="AJ1530">
        <v>92.6432097945153</v>
      </c>
      <c r="AK1530">
        <v>24.432673233806</v>
      </c>
      <c r="AL1530">
        <v>81.099123869906904</v>
      </c>
      <c r="AM1530">
        <v>89.337009749791207</v>
      </c>
      <c r="AN1530">
        <v>1.00000004184045</v>
      </c>
    </row>
    <row r="1531" spans="1:40" x14ac:dyDescent="0.25">
      <c r="A1531" t="str">
        <f>"20190312172645261"</f>
        <v>20190312172645261</v>
      </c>
      <c r="B1531" t="str">
        <f>"1552382805250302"</f>
        <v>1552382805250302</v>
      </c>
      <c r="C1531" t="s">
        <v>40</v>
      </c>
      <c r="D1531">
        <v>3.3680560000000002</v>
      </c>
      <c r="E1531">
        <v>0.47771019999999997</v>
      </c>
      <c r="F1531" t="s">
        <v>48</v>
      </c>
      <c r="G1531">
        <v>-258.02440000000001</v>
      </c>
      <c r="H1531" s="1">
        <v>2.733411E-6</v>
      </c>
      <c r="I1531">
        <v>282.55180000000001</v>
      </c>
      <c r="J1531">
        <v>-233.4984</v>
      </c>
      <c r="K1531">
        <v>1.111394</v>
      </c>
      <c r="L1531">
        <v>283.05119999999999</v>
      </c>
      <c r="M1531">
        <v>-0.9996526</v>
      </c>
      <c r="N1531">
        <v>0</v>
      </c>
      <c r="O1531">
        <v>2.5473220000000001E-2</v>
      </c>
      <c r="P1531">
        <v>-0.98821650000000005</v>
      </c>
      <c r="Q1531">
        <v>0.1482224</v>
      </c>
      <c r="R1531">
        <v>3.819326E-2</v>
      </c>
      <c r="S1531">
        <v>-3.0589140000000001</v>
      </c>
      <c r="T1531">
        <v>-0.13713429999999999</v>
      </c>
      <c r="U1531">
        <v>-6.1065670000000002E-2</v>
      </c>
      <c r="V1531">
        <v>1.219787E-2</v>
      </c>
      <c r="W1531">
        <v>0.1549992</v>
      </c>
      <c r="X1531">
        <v>0.98783929999999998</v>
      </c>
      <c r="Y1531">
        <v>-4.5350349999999998E-2</v>
      </c>
      <c r="Z1531">
        <v>-2.1572509999999998E-3</v>
      </c>
      <c r="AA1531">
        <v>0.99896879999999999</v>
      </c>
      <c r="AB1531">
        <v>28</v>
      </c>
      <c r="AC1531">
        <v>-24.526</v>
      </c>
      <c r="AD1531">
        <v>-1.111391266589</v>
      </c>
      <c r="AE1531">
        <v>-0.49939999999998003</v>
      </c>
      <c r="AF1531">
        <v>-1.12170604561599</v>
      </c>
      <c r="AG1531">
        <v>-1.111391266589</v>
      </c>
      <c r="AH1531">
        <v>24.455123308599699</v>
      </c>
      <c r="AI1531">
        <v>92.599353164128502</v>
      </c>
      <c r="AJ1531">
        <v>92.626198489992206</v>
      </c>
      <c r="AK1531">
        <v>24.506049682456698</v>
      </c>
      <c r="AL1531">
        <v>81.083250246206205</v>
      </c>
      <c r="AM1531">
        <v>89.292545910393798</v>
      </c>
      <c r="AN1531">
        <v>1.0000000113288301</v>
      </c>
    </row>
    <row r="1532" spans="1:40" x14ac:dyDescent="0.25">
      <c r="A1532" t="str">
        <f>"20190312172645283"</f>
        <v>20190312172645283</v>
      </c>
      <c r="B1532" t="str">
        <f>"1552382805280558"</f>
        <v>1552382805280558</v>
      </c>
      <c r="C1532" t="s">
        <v>40</v>
      </c>
      <c r="D1532">
        <v>3.3638340000000002</v>
      </c>
      <c r="E1532">
        <v>0.48241899999999999</v>
      </c>
      <c r="F1532" t="s">
        <v>48</v>
      </c>
      <c r="G1532">
        <v>-258.46289999999999</v>
      </c>
      <c r="H1532" s="1">
        <v>2.9667310000000001E-6</v>
      </c>
      <c r="I1532">
        <v>282.50549999999998</v>
      </c>
      <c r="J1532">
        <v>-233.76900000000001</v>
      </c>
      <c r="K1532">
        <v>1.111405</v>
      </c>
      <c r="L1532">
        <v>283.05509999999998</v>
      </c>
      <c r="M1532">
        <v>-0.999722</v>
      </c>
      <c r="N1532">
        <v>0</v>
      </c>
      <c r="O1532">
        <v>2.2573670000000001E-2</v>
      </c>
      <c r="P1532">
        <v>-0.98821349999999997</v>
      </c>
      <c r="Q1532">
        <v>0.1487193</v>
      </c>
      <c r="R1532">
        <v>3.6286190000000003E-2</v>
      </c>
      <c r="S1532">
        <v>-3.0587770000000001</v>
      </c>
      <c r="T1532">
        <v>-0.1361734</v>
      </c>
      <c r="U1532">
        <v>-6.6864010000000001E-2</v>
      </c>
      <c r="V1532">
        <v>1.315204E-2</v>
      </c>
      <c r="W1532">
        <v>0.15552669999999999</v>
      </c>
      <c r="X1532">
        <v>0.98774419999999996</v>
      </c>
      <c r="Y1532">
        <v>-4.4351479999999999E-2</v>
      </c>
      <c r="Z1532">
        <v>-1.990992E-3</v>
      </c>
      <c r="AA1532">
        <v>0.99901399999999996</v>
      </c>
      <c r="AB1532">
        <v>28</v>
      </c>
      <c r="AC1532">
        <v>-24.6938999999999</v>
      </c>
      <c r="AD1532">
        <v>-1.111402033269</v>
      </c>
      <c r="AE1532">
        <v>-0.54959999999999798</v>
      </c>
      <c r="AF1532">
        <v>-1.1046682586748999</v>
      </c>
      <c r="AG1532">
        <v>-1.111402033269</v>
      </c>
      <c r="AH1532">
        <v>24.625343019799999</v>
      </c>
      <c r="AI1532">
        <v>92.5815525620811</v>
      </c>
      <c r="AJ1532">
        <v>92.568509391734096</v>
      </c>
      <c r="AK1532">
        <v>24.6751499546424</v>
      </c>
      <c r="AL1532">
        <v>81.052656215589806</v>
      </c>
      <c r="AM1532">
        <v>89.237138669386297</v>
      </c>
      <c r="AN1532">
        <v>1.0000000676013401</v>
      </c>
    </row>
    <row r="1533" spans="1:40" x14ac:dyDescent="0.25">
      <c r="A1533" t="str">
        <f>"20190312172645305"</f>
        <v>20190312172645305</v>
      </c>
      <c r="B1533" t="str">
        <f>"1552382805300079"</f>
        <v>1552382805300079</v>
      </c>
      <c r="C1533" t="s">
        <v>40</v>
      </c>
      <c r="D1533">
        <v>3.3327529999999999</v>
      </c>
      <c r="E1533">
        <v>0.48244090000000001</v>
      </c>
      <c r="F1533" t="s">
        <v>48</v>
      </c>
      <c r="G1533">
        <v>-259.46749999999997</v>
      </c>
      <c r="H1533" s="1">
        <v>3.5013299999999998E-6</v>
      </c>
      <c r="I1533">
        <v>282.75470000000001</v>
      </c>
      <c r="J1533">
        <v>-234.0487</v>
      </c>
      <c r="K1533">
        <v>1.1114200000000001</v>
      </c>
      <c r="L1533">
        <v>283.05829999999997</v>
      </c>
      <c r="M1533">
        <v>-0.99978489999999998</v>
      </c>
      <c r="N1533">
        <v>0</v>
      </c>
      <c r="O1533">
        <v>1.9580759999999999E-2</v>
      </c>
      <c r="P1533">
        <v>-0.98818059999999996</v>
      </c>
      <c r="Q1533">
        <v>0.14959839999999999</v>
      </c>
      <c r="R1533">
        <v>3.346064E-2</v>
      </c>
      <c r="S1533">
        <v>-3.057007</v>
      </c>
      <c r="T1533">
        <v>-0.13220850000000001</v>
      </c>
      <c r="U1533">
        <v>-3.5736080000000003E-2</v>
      </c>
      <c r="V1533">
        <v>1.3278140000000001E-2</v>
      </c>
      <c r="W1533">
        <v>0.15643299999999999</v>
      </c>
      <c r="X1533">
        <v>0.98759929999999996</v>
      </c>
      <c r="Y1533">
        <v>-3.1219259999999999E-2</v>
      </c>
      <c r="Z1533">
        <v>-1.5211440000000001E-3</v>
      </c>
      <c r="AA1533">
        <v>0.99951140000000005</v>
      </c>
      <c r="AB1533">
        <v>28</v>
      </c>
      <c r="AC1533">
        <v>-25.418799999999901</v>
      </c>
      <c r="AD1533">
        <v>-1.1114164986699999</v>
      </c>
      <c r="AE1533">
        <v>-0.30359999999996001</v>
      </c>
      <c r="AF1533">
        <v>-0.79974411023025704</v>
      </c>
      <c r="AG1533">
        <v>-1.1114164986699999</v>
      </c>
      <c r="AH1533">
        <v>25.359506070140899</v>
      </c>
      <c r="AI1533">
        <v>92.508217982011203</v>
      </c>
      <c r="AJ1533">
        <v>91.806296250695397</v>
      </c>
      <c r="AK1533">
        <v>25.3964443455551</v>
      </c>
      <c r="AL1533">
        <v>81.0000848501479</v>
      </c>
      <c r="AM1533">
        <v>89.229712347891194</v>
      </c>
      <c r="AN1533">
        <v>0.99999998492567399</v>
      </c>
    </row>
    <row r="1534" spans="1:40" x14ac:dyDescent="0.25">
      <c r="A1534" t="str">
        <f>"20190312172645327"</f>
        <v>20190312172645327</v>
      </c>
      <c r="B1534" t="str">
        <f>"1552382805320575"</f>
        <v>1552382805320575</v>
      </c>
      <c r="C1534" t="s">
        <v>40</v>
      </c>
      <c r="D1534">
        <v>3.3505950000000002</v>
      </c>
      <c r="E1534">
        <v>0.48256789999999999</v>
      </c>
      <c r="F1534" t="s">
        <v>48</v>
      </c>
      <c r="G1534">
        <v>-260.83929999999998</v>
      </c>
      <c r="H1534" s="1">
        <v>-1.0901449999999999E-6</v>
      </c>
      <c r="I1534">
        <v>282.66989999999998</v>
      </c>
      <c r="J1534">
        <v>-234.31950000000001</v>
      </c>
      <c r="K1534">
        <v>1.111435</v>
      </c>
      <c r="L1534">
        <v>283.06060000000002</v>
      </c>
      <c r="M1534">
        <v>-0.99983730000000004</v>
      </c>
      <c r="N1534">
        <v>0</v>
      </c>
      <c r="O1534">
        <v>1.668853E-2</v>
      </c>
      <c r="P1534">
        <v>-0.98823360000000005</v>
      </c>
      <c r="Q1534">
        <v>0.1497511</v>
      </c>
      <c r="R1534">
        <v>3.113308E-2</v>
      </c>
      <c r="S1534">
        <v>-3.0565950000000002</v>
      </c>
      <c r="T1534">
        <v>-0.12680419999999901</v>
      </c>
      <c r="U1534">
        <v>-4.431152E-2</v>
      </c>
      <c r="V1534">
        <v>1.3804220000000001E-2</v>
      </c>
      <c r="W1534">
        <v>0.1566147</v>
      </c>
      <c r="X1534">
        <v>0.98756330000000003</v>
      </c>
      <c r="Y1534">
        <v>-3.113952E-2</v>
      </c>
      <c r="Z1534">
        <v>-1.3376169999999999E-3</v>
      </c>
      <c r="AA1534">
        <v>0.99951420000000002</v>
      </c>
      <c r="AB1534">
        <v>28</v>
      </c>
      <c r="AC1534">
        <v>-26.519799999999901</v>
      </c>
      <c r="AD1534">
        <v>-1.111436090145</v>
      </c>
      <c r="AE1534">
        <v>-0.39070000000003802</v>
      </c>
      <c r="AF1534">
        <v>-0.83177181251864996</v>
      </c>
      <c r="AG1534">
        <v>-1.111436090145</v>
      </c>
      <c r="AH1534">
        <v>26.463115959160898</v>
      </c>
      <c r="AI1534">
        <v>92.403791611290799</v>
      </c>
      <c r="AJ1534">
        <v>91.800291764733799</v>
      </c>
      <c r="AK1534">
        <v>26.4995026519098</v>
      </c>
      <c r="AL1534">
        <v>80.98954438749</v>
      </c>
      <c r="AM1534">
        <v>89.199168256189196</v>
      </c>
      <c r="AN1534">
        <v>0.99999999612639401</v>
      </c>
    </row>
    <row r="1535" spans="1:40" x14ac:dyDescent="0.25">
      <c r="A1535" t="str">
        <f>"20190312172645351"</f>
        <v>20190312172645351</v>
      </c>
      <c r="B1535" t="str">
        <f>"1552382805340477"</f>
        <v>1552382805340477</v>
      </c>
      <c r="C1535" t="s">
        <v>40</v>
      </c>
      <c r="D1535">
        <v>3.331464</v>
      </c>
      <c r="E1535">
        <v>0.4826724</v>
      </c>
      <c r="F1535" t="s">
        <v>48</v>
      </c>
      <c r="G1535">
        <v>-261.65789999999998</v>
      </c>
      <c r="H1535" s="1">
        <v>-6.5455589999999996E-7</v>
      </c>
      <c r="I1535">
        <v>282.60879999999997</v>
      </c>
      <c r="J1535">
        <v>-234.60890000000001</v>
      </c>
      <c r="K1535">
        <v>1.1114520000000001</v>
      </c>
      <c r="L1535">
        <v>283.06220000000002</v>
      </c>
      <c r="M1535">
        <v>-0.99988370000000004</v>
      </c>
      <c r="N1535">
        <v>0</v>
      </c>
      <c r="O1535">
        <v>1.3604120000000001E-2</v>
      </c>
      <c r="P1535">
        <v>-0.98829769999999995</v>
      </c>
      <c r="Q1535">
        <v>0.1498968</v>
      </c>
      <c r="R1535">
        <v>2.8261049999999999E-2</v>
      </c>
      <c r="S1535">
        <v>-3.0561069999999999</v>
      </c>
      <c r="T1535">
        <v>-0.1242452</v>
      </c>
      <c r="U1535">
        <v>-5.0506589999999997E-2</v>
      </c>
      <c r="V1535">
        <v>1.3975359999999999E-2</v>
      </c>
      <c r="W1535">
        <v>0.1567895</v>
      </c>
      <c r="X1535">
        <v>0.9875332</v>
      </c>
      <c r="Y1535">
        <v>-3.008916E-2</v>
      </c>
      <c r="Z1535">
        <v>-1.1641609999999999E-3</v>
      </c>
      <c r="AA1535">
        <v>0.9995465</v>
      </c>
      <c r="AB1535">
        <v>28</v>
      </c>
      <c r="AC1535">
        <v>-27.0489999999999</v>
      </c>
      <c r="AD1535">
        <v>-1.1114526545559</v>
      </c>
      <c r="AE1535">
        <v>-0.45340000000004399</v>
      </c>
      <c r="AF1535">
        <v>-0.81996057869991201</v>
      </c>
      <c r="AG1535">
        <v>-1.1114526545559</v>
      </c>
      <c r="AH1535">
        <v>26.994762911249701</v>
      </c>
      <c r="AI1535">
        <v>92.356616032628594</v>
      </c>
      <c r="AJ1535">
        <v>91.739813023140002</v>
      </c>
      <c r="AK1535">
        <v>27.030073751074401</v>
      </c>
      <c r="AL1535">
        <v>80.979404202557106</v>
      </c>
      <c r="AM1535">
        <v>89.189216426581794</v>
      </c>
      <c r="AN1535">
        <v>1.0000000395498001</v>
      </c>
    </row>
    <row r="1536" spans="1:40" x14ac:dyDescent="0.25">
      <c r="A1536" t="str">
        <f>"20190312172645374"</f>
        <v>20190312172645374</v>
      </c>
      <c r="B1536" t="str">
        <f>"1552382805370734"</f>
        <v>1552382805370734</v>
      </c>
      <c r="C1536" t="s">
        <v>40</v>
      </c>
      <c r="D1536">
        <v>3.3180320000000001</v>
      </c>
      <c r="E1536">
        <v>0.48294150000000002</v>
      </c>
      <c r="F1536" t="s">
        <v>48</v>
      </c>
      <c r="G1536">
        <v>-262.22500000000002</v>
      </c>
      <c r="H1536" s="1">
        <v>-3.5273270000000001E-7</v>
      </c>
      <c r="I1536">
        <v>282.53789999999998</v>
      </c>
      <c r="J1536">
        <v>-234.90639999999999</v>
      </c>
      <c r="K1536">
        <v>1.1114630000000001</v>
      </c>
      <c r="L1536">
        <v>283.06290000000001</v>
      </c>
      <c r="M1536">
        <v>-0.99992159999999997</v>
      </c>
      <c r="N1536">
        <v>0</v>
      </c>
      <c r="O1536">
        <v>1.044838E-2</v>
      </c>
      <c r="P1536">
        <v>-0.98831570000000002</v>
      </c>
      <c r="Q1536">
        <v>0.1503227</v>
      </c>
      <c r="R1536">
        <v>2.5213880000000001E-2</v>
      </c>
      <c r="S1536">
        <v>-3.0558169999999998</v>
      </c>
      <c r="T1536">
        <v>-0.12298580000000001</v>
      </c>
      <c r="U1536">
        <v>-5.8013919999999997E-2</v>
      </c>
      <c r="V1536">
        <v>1.4042890000000001E-2</v>
      </c>
      <c r="W1536">
        <v>0.15724340000000001</v>
      </c>
      <c r="X1536">
        <v>0.98746</v>
      </c>
      <c r="Y1536">
        <v>-2.9394799999999999E-2</v>
      </c>
      <c r="Z1536">
        <v>-1.0115429999999999E-3</v>
      </c>
      <c r="AA1536">
        <v>0.99956739999999999</v>
      </c>
      <c r="AB1536">
        <v>28</v>
      </c>
      <c r="AC1536">
        <v>-27.3186</v>
      </c>
      <c r="AD1536">
        <v>-1.11146335273269</v>
      </c>
      <c r="AE1536">
        <v>-0.525000000000034</v>
      </c>
      <c r="AF1536">
        <v>-0.80907449573418699</v>
      </c>
      <c r="AG1536">
        <v>-1.11146335273269</v>
      </c>
      <c r="AH1536">
        <v>27.2665059490046</v>
      </c>
      <c r="AI1536">
        <v>92.333227155502797</v>
      </c>
      <c r="AJ1536">
        <v>91.699629424203493</v>
      </c>
      <c r="AK1536">
        <v>27.301140983321901</v>
      </c>
      <c r="AL1536">
        <v>80.953070382809798</v>
      </c>
      <c r="AM1536">
        <v>89.185238800326502</v>
      </c>
      <c r="AN1536">
        <v>0.99999997060155499</v>
      </c>
    </row>
    <row r="1537" spans="1:40" x14ac:dyDescent="0.25">
      <c r="A1537" t="str">
        <f>"20190312172645398"</f>
        <v>20190312172645398</v>
      </c>
      <c r="B1537" t="str">
        <f>"1552382805390254"</f>
        <v>1552382805390254</v>
      </c>
      <c r="C1537" t="s">
        <v>40</v>
      </c>
      <c r="D1537">
        <v>3.2895509999999999</v>
      </c>
      <c r="E1537">
        <v>0.48321779999999998</v>
      </c>
      <c r="F1537" t="s">
        <v>48</v>
      </c>
      <c r="G1537">
        <v>-263.0181</v>
      </c>
      <c r="H1537" s="1">
        <v>6.9275420000000005E-8</v>
      </c>
      <c r="I1537">
        <v>282.4606</v>
      </c>
      <c r="J1537">
        <v>-235.1918</v>
      </c>
      <c r="K1537">
        <v>1.111462</v>
      </c>
      <c r="L1537">
        <v>283.06270000000001</v>
      </c>
      <c r="M1537">
        <v>-0.99994810000000001</v>
      </c>
      <c r="N1537">
        <v>0</v>
      </c>
      <c r="O1537">
        <v>7.4362999999999999E-3</v>
      </c>
      <c r="P1537">
        <v>-0.98838419999999905</v>
      </c>
      <c r="Q1537">
        <v>0.15026629999999999</v>
      </c>
      <c r="R1537">
        <v>2.2734629999999999E-2</v>
      </c>
      <c r="S1537">
        <v>-3.0555110000000001</v>
      </c>
      <c r="T1537">
        <v>-0.12080689999999999</v>
      </c>
      <c r="U1537">
        <v>-6.5460210000000005E-2</v>
      </c>
      <c r="V1537">
        <v>1.453988E-2</v>
      </c>
      <c r="W1537">
        <v>0.15721660000000001</v>
      </c>
      <c r="X1537">
        <v>0.98745709999999998</v>
      </c>
      <c r="Y1537">
        <v>-2.8824599999999999E-2</v>
      </c>
      <c r="Z1537">
        <v>-8.6341110000000005E-4</v>
      </c>
      <c r="AA1537">
        <v>0.99958409999999998</v>
      </c>
      <c r="AB1537">
        <v>28</v>
      </c>
      <c r="AC1537">
        <v>-27.8263</v>
      </c>
      <c r="AD1537">
        <v>-1.1114619307245801</v>
      </c>
      <c r="AE1537">
        <v>-0.60210000000000696</v>
      </c>
      <c r="AF1537">
        <v>-0.80772501684616704</v>
      </c>
      <c r="AG1537">
        <v>-1.1114619307245801</v>
      </c>
      <c r="AH1537">
        <v>27.776757884624001</v>
      </c>
      <c r="AI1537">
        <v>92.290449382770802</v>
      </c>
      <c r="AJ1537">
        <v>91.665644231617193</v>
      </c>
      <c r="AK1537">
        <v>27.810718183953998</v>
      </c>
      <c r="AL1537">
        <v>80.954625479757297</v>
      </c>
      <c r="AM1537">
        <v>89.156405316844001</v>
      </c>
      <c r="AN1537">
        <v>0.99999999588319199</v>
      </c>
    </row>
    <row r="1538" spans="1:40" x14ac:dyDescent="0.25">
      <c r="A1538" t="str">
        <f>"20190312172645418"</f>
        <v>20190312172645418</v>
      </c>
      <c r="B1538" t="str">
        <f>"1552382805410749"</f>
        <v>1552382805410749</v>
      </c>
      <c r="C1538" t="s">
        <v>40</v>
      </c>
      <c r="D1538">
        <v>3.263773</v>
      </c>
      <c r="E1538">
        <v>0.48331819999999998</v>
      </c>
      <c r="F1538" t="s">
        <v>48</v>
      </c>
      <c r="G1538">
        <v>-263.41820000000001</v>
      </c>
      <c r="H1538" s="1">
        <v>2.8220799999999998E-7</v>
      </c>
      <c r="I1538">
        <v>282.40429999999998</v>
      </c>
      <c r="J1538">
        <v>-235.4598</v>
      </c>
      <c r="K1538">
        <v>1.1114539999999999</v>
      </c>
      <c r="L1538">
        <v>283.06180000000001</v>
      </c>
      <c r="M1538">
        <v>-0.99996490000000005</v>
      </c>
      <c r="N1538">
        <v>0</v>
      </c>
      <c r="O1538">
        <v>4.6352800000000003E-3</v>
      </c>
      <c r="P1538">
        <v>-0.98851259999999996</v>
      </c>
      <c r="Q1538">
        <v>0.14981410000000001</v>
      </c>
      <c r="R1538">
        <v>1.9962259999999999E-2</v>
      </c>
      <c r="S1538">
        <v>-3.0551910000000002</v>
      </c>
      <c r="T1538">
        <v>-0.1203034</v>
      </c>
      <c r="U1538">
        <v>-7.1258539999999995E-2</v>
      </c>
      <c r="V1538">
        <v>1.4539750000000001E-2</v>
      </c>
      <c r="W1538">
        <v>0.1567895</v>
      </c>
      <c r="X1538">
        <v>0.98752499999999999</v>
      </c>
      <c r="Y1538">
        <v>-2.7926090000000001E-2</v>
      </c>
      <c r="Z1538">
        <v>-7.3196429999999998E-4</v>
      </c>
      <c r="AA1538">
        <v>0.99960970000000005</v>
      </c>
      <c r="AB1538">
        <v>28</v>
      </c>
      <c r="AC1538">
        <v>-27.958400000000001</v>
      </c>
      <c r="AD1538">
        <v>-1.1114537177920001</v>
      </c>
      <c r="AE1538">
        <v>-0.65750000000002695</v>
      </c>
      <c r="AF1538">
        <v>-0.785849859858752</v>
      </c>
      <c r="AG1538">
        <v>-1.1114537177920001</v>
      </c>
      <c r="AH1538">
        <v>27.9109666503564</v>
      </c>
      <c r="AI1538">
        <v>92.279490802274097</v>
      </c>
      <c r="AJ1538">
        <v>91.612770658192701</v>
      </c>
      <c r="AK1538">
        <v>27.944139792205799</v>
      </c>
      <c r="AL1538">
        <v>80.979403739421102</v>
      </c>
      <c r="AM1538">
        <v>89.156470853047196</v>
      </c>
      <c r="AN1538">
        <v>0.99999998863265604</v>
      </c>
    </row>
    <row r="1539" spans="1:40" x14ac:dyDescent="0.25">
      <c r="A1539" t="str">
        <f>"20190312172645441"</f>
        <v>20190312172645441</v>
      </c>
      <c r="B1539" t="str">
        <f>"1552382805430269"</f>
        <v>1552382805430269</v>
      </c>
      <c r="C1539" t="s">
        <v>40</v>
      </c>
      <c r="D1539">
        <v>3.2989959999999998</v>
      </c>
      <c r="E1539">
        <v>0.48637049999999998</v>
      </c>
      <c r="F1539" t="s">
        <v>48</v>
      </c>
      <c r="G1539">
        <v>-263.46969999999999</v>
      </c>
      <c r="H1539" s="1">
        <v>3.095928E-7</v>
      </c>
      <c r="I1539">
        <v>282.33929999999998</v>
      </c>
      <c r="J1539">
        <v>-235.7406</v>
      </c>
      <c r="K1539">
        <v>1.111426</v>
      </c>
      <c r="L1539">
        <v>283.06</v>
      </c>
      <c r="M1539">
        <v>-0.99997389999999997</v>
      </c>
      <c r="N1539">
        <v>0</v>
      </c>
      <c r="O1539">
        <v>1.746287E-3</v>
      </c>
      <c r="P1539">
        <v>-0.98872479999999996</v>
      </c>
      <c r="Q1539">
        <v>0.14880699999999999</v>
      </c>
      <c r="R1539">
        <v>1.6727809999999999E-2</v>
      </c>
      <c r="S1539">
        <v>-3.0548250000000001</v>
      </c>
      <c r="T1539">
        <v>-0.12121800000000001</v>
      </c>
      <c r="U1539">
        <v>-7.8796389999999994E-2</v>
      </c>
      <c r="V1539">
        <v>1.4172540000000001E-2</v>
      </c>
      <c r="W1539">
        <v>0.15580649999999999</v>
      </c>
      <c r="X1539">
        <v>0.98768590000000001</v>
      </c>
      <c r="Y1539">
        <v>-2.75082E-2</v>
      </c>
      <c r="Z1539">
        <v>-6.1472610000000004E-4</v>
      </c>
      <c r="AA1539">
        <v>0.99962139999999999</v>
      </c>
      <c r="AB1539">
        <v>28</v>
      </c>
      <c r="AC1539">
        <v>-27.729099999999899</v>
      </c>
      <c r="AD1539">
        <v>-1.1114256904072</v>
      </c>
      <c r="AE1539">
        <v>-0.72070000000002199</v>
      </c>
      <c r="AF1539">
        <v>-0.76789025064851801</v>
      </c>
      <c r="AG1539">
        <v>-1.1114256904072</v>
      </c>
      <c r="AH1539">
        <v>27.683354971729599</v>
      </c>
      <c r="AI1539">
        <v>92.298181547627294</v>
      </c>
      <c r="AJ1539">
        <v>91.588882264681601</v>
      </c>
      <c r="AK1539">
        <v>27.7162960186444</v>
      </c>
      <c r="AL1539">
        <v>81.036426241610201</v>
      </c>
      <c r="AM1539">
        <v>89.177905646326394</v>
      </c>
      <c r="AN1539">
        <v>0.99999998169555504</v>
      </c>
    </row>
    <row r="1540" spans="1:40" x14ac:dyDescent="0.25">
      <c r="A1540" t="str">
        <f>"20190312172645462"</f>
        <v>20190312172645462</v>
      </c>
      <c r="B1540" t="str">
        <f>"1552382805460526"</f>
        <v>1552382805460526</v>
      </c>
      <c r="C1540" t="s">
        <v>40</v>
      </c>
      <c r="D1540">
        <v>3.23916</v>
      </c>
      <c r="E1540">
        <v>0.48649219999999999</v>
      </c>
      <c r="F1540" t="s">
        <v>48</v>
      </c>
      <c r="G1540">
        <v>-263.00830000000002</v>
      </c>
      <c r="H1540" s="1">
        <v>6.4072139999999998E-8</v>
      </c>
      <c r="I1540">
        <v>282.48779999999999</v>
      </c>
      <c r="J1540">
        <v>-236.0171</v>
      </c>
      <c r="K1540">
        <v>1.111391</v>
      </c>
      <c r="L1540">
        <v>283.05759999999998</v>
      </c>
      <c r="M1540">
        <v>-0.9999749</v>
      </c>
      <c r="N1540">
        <v>0</v>
      </c>
      <c r="O1540">
        <v>-1.0314740000000001E-3</v>
      </c>
      <c r="P1540">
        <v>-0.98888549999999997</v>
      </c>
      <c r="Q1540">
        <v>0.14802029999999999</v>
      </c>
      <c r="R1540">
        <v>1.3994009999999999E-2</v>
      </c>
      <c r="S1540">
        <v>-3.0540310000000002</v>
      </c>
      <c r="T1540">
        <v>-0.1244817</v>
      </c>
      <c r="U1540">
        <v>-6.4086909999999997E-2</v>
      </c>
      <c r="V1540">
        <v>1.4201800000000001E-2</v>
      </c>
      <c r="W1540">
        <v>0.15504299999999999</v>
      </c>
      <c r="X1540">
        <v>0.98780570000000001</v>
      </c>
      <c r="Y1540">
        <v>-1.9932780000000001E-2</v>
      </c>
      <c r="Z1540">
        <v>-3.639933E-4</v>
      </c>
      <c r="AA1540">
        <v>0.9998013</v>
      </c>
      <c r="AB1540">
        <v>28</v>
      </c>
      <c r="AC1540">
        <v>-26.991199999999999</v>
      </c>
      <c r="AD1540">
        <v>-1.11139093592786</v>
      </c>
      <c r="AE1540">
        <v>-0.56979999999998598</v>
      </c>
      <c r="AF1540">
        <v>-0.54104138270509805</v>
      </c>
      <c r="AG1540">
        <v>-1.11139093592786</v>
      </c>
      <c r="AH1540">
        <v>26.9461075071859</v>
      </c>
      <c r="AI1540">
        <v>92.361347663472102</v>
      </c>
      <c r="AJ1540">
        <v>91.150267174864197</v>
      </c>
      <c r="AK1540">
        <v>26.974443930859501</v>
      </c>
      <c r="AL1540">
        <v>81.080710437544894</v>
      </c>
      <c r="AM1540">
        <v>89.176308515054501</v>
      </c>
      <c r="AN1540">
        <v>1.0000000619623599</v>
      </c>
    </row>
    <row r="1541" spans="1:40" x14ac:dyDescent="0.25">
      <c r="A1541" t="str">
        <f>"20190312172645484"</f>
        <v>20190312172645484</v>
      </c>
      <c r="B1541" t="str">
        <f>"1552382805480046"</f>
        <v>1552382805480046</v>
      </c>
      <c r="C1541" t="s">
        <v>40</v>
      </c>
      <c r="D1541">
        <v>3.214407</v>
      </c>
      <c r="E1541">
        <v>0.48666939999999997</v>
      </c>
      <c r="F1541" t="s">
        <v>48</v>
      </c>
      <c r="G1541">
        <v>-262.64960000000002</v>
      </c>
      <c r="H1541" s="1">
        <v>-1.2678189999999901E-7</v>
      </c>
      <c r="I1541">
        <v>282.43540000000002</v>
      </c>
      <c r="J1541">
        <v>-236.29769999999999</v>
      </c>
      <c r="K1541">
        <v>1.1113379999999999</v>
      </c>
      <c r="L1541">
        <v>283.05450000000002</v>
      </c>
      <c r="M1541">
        <v>-0.99996819999999997</v>
      </c>
      <c r="N1541">
        <v>0</v>
      </c>
      <c r="O1541">
        <v>-3.759414E-3</v>
      </c>
      <c r="P1541">
        <v>-0.98897950000000001</v>
      </c>
      <c r="Q1541">
        <v>0.1476374</v>
      </c>
      <c r="R1541">
        <v>1.109014E-2</v>
      </c>
      <c r="S1541">
        <v>-3.0538020000000001</v>
      </c>
      <c r="T1541">
        <v>-0.12743689999999999</v>
      </c>
      <c r="U1541">
        <v>-7.13501E-2</v>
      </c>
      <c r="V1541">
        <v>1.401725E-2</v>
      </c>
      <c r="W1541">
        <v>0.15468119999999999</v>
      </c>
      <c r="X1541">
        <v>0.98786499999999999</v>
      </c>
      <c r="Y1541">
        <v>-1.9585559999999998E-2</v>
      </c>
      <c r="Z1541">
        <v>-2.5163010000000001E-4</v>
      </c>
      <c r="AA1541">
        <v>0.99980809999999998</v>
      </c>
      <c r="AB1541">
        <v>28</v>
      </c>
      <c r="AC1541">
        <v>-26.351900000000001</v>
      </c>
      <c r="AD1541">
        <v>-1.1113381267819</v>
      </c>
      <c r="AE1541">
        <v>-0.61910000000000298</v>
      </c>
      <c r="AF1541">
        <v>-0.51910272660683099</v>
      </c>
      <c r="AG1541">
        <v>-1.1113381267819</v>
      </c>
      <c r="AH1541">
        <v>26.307278016854401</v>
      </c>
      <c r="AI1541">
        <v>92.418523725209397</v>
      </c>
      <c r="AJ1541">
        <v>91.130429991796305</v>
      </c>
      <c r="AK1541">
        <v>26.3358580025197</v>
      </c>
      <c r="AL1541">
        <v>81.101692695350906</v>
      </c>
      <c r="AM1541">
        <v>89.187059597048702</v>
      </c>
      <c r="AN1541">
        <v>1.000000007578</v>
      </c>
    </row>
    <row r="1542" spans="1:40" x14ac:dyDescent="0.25">
      <c r="A1542" t="str">
        <f>"20190312172645507"</f>
        <v>20190312172645507</v>
      </c>
      <c r="B1542" t="str">
        <f>"1552382805500541"</f>
        <v>1552382805500541</v>
      </c>
      <c r="C1542" t="s">
        <v>40</v>
      </c>
      <c r="D1542">
        <v>3.2193339999999999</v>
      </c>
      <c r="E1542">
        <v>0.4889328</v>
      </c>
      <c r="F1542" t="s">
        <v>48</v>
      </c>
      <c r="G1542">
        <v>-262.80079999999998</v>
      </c>
      <c r="H1542" s="1">
        <v>-4.6359050000000001E-8</v>
      </c>
      <c r="I1542">
        <v>282.37299999999999</v>
      </c>
      <c r="J1542">
        <v>-236.58369999999999</v>
      </c>
      <c r="K1542">
        <v>1.111264</v>
      </c>
      <c r="L1542">
        <v>283.05070000000001</v>
      </c>
      <c r="M1542">
        <v>-0.99995429999999996</v>
      </c>
      <c r="N1542">
        <v>0</v>
      </c>
      <c r="O1542">
        <v>-6.4219409999999996E-3</v>
      </c>
      <c r="P1542">
        <v>-0.98903030000000003</v>
      </c>
      <c r="Q1542">
        <v>0.1474606</v>
      </c>
      <c r="R1542">
        <v>8.6273389999999995E-3</v>
      </c>
      <c r="S1542">
        <v>-3.0534210000000002</v>
      </c>
      <c r="T1542">
        <v>-0.12803729999999999</v>
      </c>
      <c r="U1542">
        <v>-7.8521729999999998E-2</v>
      </c>
      <c r="V1542">
        <v>1.4216390000000001E-2</v>
      </c>
      <c r="W1542">
        <v>0.1545262</v>
      </c>
      <c r="X1542">
        <v>0.98788640000000005</v>
      </c>
      <c r="Y1542">
        <v>-1.9275690000000002E-2</v>
      </c>
      <c r="Z1542">
        <v>-1.3476929999999999E-4</v>
      </c>
      <c r="AA1542">
        <v>0.99981419999999999</v>
      </c>
      <c r="AB1542">
        <v>29</v>
      </c>
      <c r="AC1542">
        <v>-26.217099999999899</v>
      </c>
      <c r="AD1542">
        <v>-1.11126404635905</v>
      </c>
      <c r="AE1542">
        <v>-0.67770000000001496</v>
      </c>
      <c r="AF1542">
        <v>-0.50840431434778099</v>
      </c>
      <c r="AG1542">
        <v>-1.11126404635905</v>
      </c>
      <c r="AH1542">
        <v>26.173917455682901</v>
      </c>
      <c r="AI1542">
        <v>92.430684572374304</v>
      </c>
      <c r="AJ1542">
        <v>91.112777975078799</v>
      </c>
      <c r="AK1542">
        <v>26.202429996175599</v>
      </c>
      <c r="AL1542">
        <v>81.110681513006796</v>
      </c>
      <c r="AM1542">
        <v>89.175529771898695</v>
      </c>
      <c r="AN1542">
        <v>0.99999999576801601</v>
      </c>
    </row>
    <row r="1543" spans="1:40" x14ac:dyDescent="0.25">
      <c r="A1543" t="str">
        <f>"20190312172645529"</f>
        <v>20190312172645529</v>
      </c>
      <c r="B1543" t="str">
        <f>"1552382805520061"</f>
        <v>1552382805520061</v>
      </c>
      <c r="C1543" t="s">
        <v>40</v>
      </c>
      <c r="D1543">
        <v>3.207309</v>
      </c>
      <c r="E1543">
        <v>0.48993350000000002</v>
      </c>
      <c r="F1543" t="s">
        <v>48</v>
      </c>
      <c r="G1543">
        <v>-260.91149999999999</v>
      </c>
      <c r="H1543" s="1">
        <v>-1.051746E-6</v>
      </c>
      <c r="I1543">
        <v>282.51209999999998</v>
      </c>
      <c r="J1543">
        <v>-236.86799999999999</v>
      </c>
      <c r="K1543">
        <v>1.1111679999999999</v>
      </c>
      <c r="L1543">
        <v>283.0462</v>
      </c>
      <c r="M1543">
        <v>-0.99993520000000002</v>
      </c>
      <c r="N1543">
        <v>0</v>
      </c>
      <c r="O1543">
        <v>-8.9090349999999992E-3</v>
      </c>
      <c r="P1543">
        <v>-0.98900440000000001</v>
      </c>
      <c r="Q1543">
        <v>0.1477453</v>
      </c>
      <c r="R1543">
        <v>6.4643770000000003E-3</v>
      </c>
      <c r="S1543">
        <v>-3.0546720000000001</v>
      </c>
      <c r="T1543">
        <v>-0.13953409999999999</v>
      </c>
      <c r="U1543">
        <v>-6.7626950000000005E-2</v>
      </c>
      <c r="V1543">
        <v>1.4547839999999999E-2</v>
      </c>
      <c r="W1543">
        <v>0.154831</v>
      </c>
      <c r="X1543">
        <v>0.98783390000000004</v>
      </c>
      <c r="Y1543">
        <v>-1.322099E-2</v>
      </c>
      <c r="Z1543">
        <v>1.0492350000000001E-4</v>
      </c>
      <c r="AA1543">
        <v>0.99991260000000004</v>
      </c>
      <c r="AB1543">
        <v>29</v>
      </c>
      <c r="AC1543">
        <v>-24.043499999999899</v>
      </c>
      <c r="AD1543">
        <v>-1.111169051746</v>
      </c>
      <c r="AE1543">
        <v>-0.534100000000023</v>
      </c>
      <c r="AF1543">
        <v>-0.31918764857640902</v>
      </c>
      <c r="AG1543">
        <v>-1.111169051746</v>
      </c>
      <c r="AH1543">
        <v>23.996078135950299</v>
      </c>
      <c r="AI1543">
        <v>92.651026154199002</v>
      </c>
      <c r="AJ1543">
        <v>90.762083976821003</v>
      </c>
      <c r="AK1543">
        <v>24.023911907164401</v>
      </c>
      <c r="AL1543">
        <v>81.093005471836804</v>
      </c>
      <c r="AM1543">
        <v>89.156265460337394</v>
      </c>
      <c r="AN1543">
        <v>1.0000000460994301</v>
      </c>
    </row>
    <row r="1544" spans="1:40" x14ac:dyDescent="0.25">
      <c r="A1544" t="str">
        <f>"20190312172645551"</f>
        <v>20190312172645551</v>
      </c>
      <c r="B1544" t="str">
        <f>"1552382805540557"</f>
        <v>1552382805540557</v>
      </c>
      <c r="C1544" t="s">
        <v>40</v>
      </c>
      <c r="D1544">
        <v>3.2026289999999999</v>
      </c>
      <c r="E1544">
        <v>0.49033910000000003</v>
      </c>
      <c r="F1544" t="s">
        <v>48</v>
      </c>
      <c r="G1544">
        <v>-260.40350000000001</v>
      </c>
      <c r="H1544" s="1">
        <v>-1.3220889999999999E-6</v>
      </c>
      <c r="I1544">
        <v>282.53370000000001</v>
      </c>
      <c r="J1544">
        <v>-237.1542</v>
      </c>
      <c r="K1544">
        <v>1.1110530000000001</v>
      </c>
      <c r="L1544">
        <v>283.0412</v>
      </c>
      <c r="M1544">
        <v>-0.99991169999999996</v>
      </c>
      <c r="N1544">
        <v>0</v>
      </c>
      <c r="O1544">
        <v>-1.122955E-2</v>
      </c>
      <c r="P1544">
        <v>-0.98900600000000005</v>
      </c>
      <c r="Q1544">
        <v>0.1477861</v>
      </c>
      <c r="R1544">
        <v>5.1235539999999998E-3</v>
      </c>
      <c r="S1544">
        <v>-3.0553439999999998</v>
      </c>
      <c r="T1544">
        <v>-0.1442504</v>
      </c>
      <c r="U1544">
        <v>-6.6528320000000002E-2</v>
      </c>
      <c r="V1544">
        <v>1.554578E-2</v>
      </c>
      <c r="W1544">
        <v>0.15489269999999999</v>
      </c>
      <c r="X1544">
        <v>0.98780900000000005</v>
      </c>
      <c r="Y1544">
        <v>-1.0541480000000001E-2</v>
      </c>
      <c r="Z1544">
        <v>2.8112930000000002E-4</v>
      </c>
      <c r="AA1544">
        <v>0.99994439999999996</v>
      </c>
      <c r="AB1544">
        <v>29</v>
      </c>
      <c r="AC1544">
        <v>-23.249300000000002</v>
      </c>
      <c r="AD1544">
        <v>-1.1110543220889999</v>
      </c>
      <c r="AE1544">
        <v>-0.50749999999999296</v>
      </c>
      <c r="AF1544">
        <v>-0.24582110136645199</v>
      </c>
      <c r="AG1544">
        <v>-1.1110543220889999</v>
      </c>
      <c r="AH1544">
        <v>23.2005737675204</v>
      </c>
      <c r="AI1544">
        <v>92.741594320606396</v>
      </c>
      <c r="AJ1544">
        <v>90.607053288360106</v>
      </c>
      <c r="AK1544">
        <v>23.228462989674199</v>
      </c>
      <c r="AL1544">
        <v>81.089426920824806</v>
      </c>
      <c r="AM1544">
        <v>89.098374220770495</v>
      </c>
      <c r="AN1544">
        <v>1.0000000201350401</v>
      </c>
    </row>
    <row r="1545" spans="1:40" x14ac:dyDescent="0.25">
      <c r="A1545" t="str">
        <f>"20190312172645573"</f>
        <v>20190312172645573</v>
      </c>
      <c r="B1545" t="str">
        <f>"1552382805569838"</f>
        <v>1552382805569838</v>
      </c>
      <c r="C1545" t="s">
        <v>40</v>
      </c>
      <c r="D1545">
        <v>3.2089859999999999</v>
      </c>
      <c r="E1545">
        <v>0.49065039999999999</v>
      </c>
      <c r="F1545" t="s">
        <v>48</v>
      </c>
      <c r="G1545">
        <v>-261.26889999999997</v>
      </c>
      <c r="H1545" s="1">
        <v>-8.6157209999999899E-7</v>
      </c>
      <c r="I1545">
        <v>282.50760000000002</v>
      </c>
      <c r="J1545">
        <v>-237.44149999999999</v>
      </c>
      <c r="K1545">
        <v>1.1109420000000001</v>
      </c>
      <c r="L1545">
        <v>283.03570000000002</v>
      </c>
      <c r="M1545">
        <v>-0.99988469999999996</v>
      </c>
      <c r="N1545">
        <v>0</v>
      </c>
      <c r="O1545">
        <v>-1.339942E-2</v>
      </c>
      <c r="P1545">
        <v>-0.98904840000000005</v>
      </c>
      <c r="Q1545">
        <v>0.14754389999999901</v>
      </c>
      <c r="R1545">
        <v>3.714934E-3</v>
      </c>
      <c r="S1545">
        <v>-3.0547179999999998</v>
      </c>
      <c r="T1545">
        <v>-0.14074229999999999</v>
      </c>
      <c r="U1545">
        <v>-6.7596439999999994E-2</v>
      </c>
      <c r="V1545">
        <v>1.6328740000000001E-2</v>
      </c>
      <c r="W1545">
        <v>0.15467129999999901</v>
      </c>
      <c r="X1545">
        <v>0.98783109999999996</v>
      </c>
      <c r="Y1545">
        <v>-8.7295979999999999E-3</v>
      </c>
      <c r="Z1545">
        <v>4.159667E-4</v>
      </c>
      <c r="AA1545">
        <v>0.99996180000000001</v>
      </c>
      <c r="AB1545">
        <v>29</v>
      </c>
      <c r="AC1545">
        <v>-23.827399999999901</v>
      </c>
      <c r="AD1545">
        <v>-1.1109428615721</v>
      </c>
      <c r="AE1545">
        <v>-0.52809999999999402</v>
      </c>
      <c r="AF1545">
        <v>-0.208318466762658</v>
      </c>
      <c r="AG1545">
        <v>-1.1109428615721</v>
      </c>
      <c r="AH1545">
        <v>23.7806668824987</v>
      </c>
      <c r="AI1545">
        <v>92.674595133809802</v>
      </c>
      <c r="AJ1545">
        <v>90.501897768731993</v>
      </c>
      <c r="AK1545">
        <v>23.807513687944098</v>
      </c>
      <c r="AL1545">
        <v>81.102267307544693</v>
      </c>
      <c r="AM1545">
        <v>89.052993279865703</v>
      </c>
      <c r="AN1545">
        <v>1.00000006046044</v>
      </c>
    </row>
    <row r="1546" spans="1:40" x14ac:dyDescent="0.25">
      <c r="A1546" t="str">
        <f>"20190312172645599"</f>
        <v>20190312172645599</v>
      </c>
      <c r="B1546" t="str">
        <f>"1552382805590333"</f>
        <v>1552382805590333</v>
      </c>
      <c r="C1546" t="s">
        <v>40</v>
      </c>
      <c r="D1546">
        <v>3.1947399999999999</v>
      </c>
      <c r="E1546">
        <v>0.49091509999999999</v>
      </c>
      <c r="F1546" t="s">
        <v>48</v>
      </c>
      <c r="G1546">
        <v>-262.2029</v>
      </c>
      <c r="H1546" s="1">
        <v>-3.644887E-7</v>
      </c>
      <c r="I1546">
        <v>282.47280000000001</v>
      </c>
      <c r="J1546">
        <v>-237.75710000000001</v>
      </c>
      <c r="K1546">
        <v>1.110816</v>
      </c>
      <c r="L1546">
        <v>283.0292</v>
      </c>
      <c r="M1546">
        <v>-0.99985299999999999</v>
      </c>
      <c r="N1546">
        <v>0</v>
      </c>
      <c r="O1546">
        <v>-1.557858E-2</v>
      </c>
      <c r="P1546">
        <v>-0.98909130000000001</v>
      </c>
      <c r="Q1546">
        <v>0.14728229999999901</v>
      </c>
      <c r="R1546">
        <v>2.537947E-3</v>
      </c>
      <c r="S1546">
        <v>-3.0539399999999999</v>
      </c>
      <c r="T1546">
        <v>-0.13701729999999901</v>
      </c>
      <c r="U1546">
        <v>-6.9427489999999994E-2</v>
      </c>
      <c r="V1546">
        <v>1.7357939999999999E-2</v>
      </c>
      <c r="W1546">
        <v>0.15443289999999901</v>
      </c>
      <c r="X1546">
        <v>0.98785080000000003</v>
      </c>
      <c r="Y1546">
        <v>-7.1586280000000002E-3</v>
      </c>
      <c r="Z1546">
        <v>5.3798159999999997E-4</v>
      </c>
      <c r="AA1546">
        <v>0.99997429999999998</v>
      </c>
      <c r="AB1546">
        <v>29</v>
      </c>
      <c r="AC1546">
        <v>-24.445799999999899</v>
      </c>
      <c r="AD1546">
        <v>-1.1108163644886999</v>
      </c>
      <c r="AE1546">
        <v>-0.55639999999999601</v>
      </c>
      <c r="AF1546">
        <v>-0.17513043798865399</v>
      </c>
      <c r="AG1546">
        <v>-1.1108163644886999</v>
      </c>
      <c r="AH1546">
        <v>24.401144242237599</v>
      </c>
      <c r="AI1546">
        <v>92.606416429152205</v>
      </c>
      <c r="AJ1546">
        <v>90.411212792909595</v>
      </c>
      <c r="AK1546">
        <v>24.4270428827644</v>
      </c>
      <c r="AL1546">
        <v>81.116092293995493</v>
      </c>
      <c r="AM1546">
        <v>88.993335465213605</v>
      </c>
      <c r="AN1546">
        <v>1.0000000108720399</v>
      </c>
    </row>
    <row r="1547" spans="1:40" x14ac:dyDescent="0.25">
      <c r="A1547" t="str">
        <f>"20190312172645620"</f>
        <v>20190312172645620</v>
      </c>
      <c r="B1547" t="str">
        <f>"1552382805609854"</f>
        <v>1552382805609854</v>
      </c>
      <c r="C1547" t="s">
        <v>40</v>
      </c>
      <c r="D1547">
        <v>3.192672</v>
      </c>
      <c r="E1547">
        <v>0.4912453</v>
      </c>
      <c r="F1547" t="s">
        <v>48</v>
      </c>
      <c r="G1547">
        <v>-262.90159999999997</v>
      </c>
      <c r="H1547" s="1">
        <v>7.2787999999999902E-9</v>
      </c>
      <c r="I1547">
        <v>282.44240000000002</v>
      </c>
      <c r="J1547">
        <v>-238.04179999999999</v>
      </c>
      <c r="K1547">
        <v>1.110681</v>
      </c>
      <c r="L1547">
        <v>283.02289999999999</v>
      </c>
      <c r="M1547">
        <v>-0.99982400000000005</v>
      </c>
      <c r="N1547">
        <v>0</v>
      </c>
      <c r="O1547">
        <v>-1.7338309999999999E-2</v>
      </c>
      <c r="P1547">
        <v>-0.9891548</v>
      </c>
      <c r="Q1547">
        <v>0.14686099999999999</v>
      </c>
      <c r="R1547">
        <v>2.2568599999999999E-3</v>
      </c>
      <c r="S1547">
        <v>-3.0533450000000002</v>
      </c>
      <c r="T1547">
        <v>-0.13488849999999999</v>
      </c>
      <c r="U1547">
        <v>-7.1258539999999995E-2</v>
      </c>
      <c r="V1547">
        <v>1.8867829999999999E-2</v>
      </c>
      <c r="W1547">
        <v>0.15403339999999999</v>
      </c>
      <c r="X1547">
        <v>0.98788549999999997</v>
      </c>
      <c r="Y1547">
        <v>-6.005018E-3</v>
      </c>
      <c r="Z1547">
        <v>6.3287439999999999E-4</v>
      </c>
      <c r="AA1547">
        <v>0.99998180000000003</v>
      </c>
      <c r="AB1547">
        <v>29</v>
      </c>
      <c r="AC1547">
        <v>-24.8597999999999</v>
      </c>
      <c r="AD1547">
        <v>-1.1106809927212</v>
      </c>
      <c r="AE1547">
        <v>-0.58049999999997204</v>
      </c>
      <c r="AF1547">
        <v>-0.14907733658656699</v>
      </c>
      <c r="AG1547">
        <v>-1.1106809927212</v>
      </c>
      <c r="AH1547">
        <v>24.816618451059099</v>
      </c>
      <c r="AI1547">
        <v>92.562546897951506</v>
      </c>
      <c r="AJ1547">
        <v>90.344180633788298</v>
      </c>
      <c r="AK1547">
        <v>24.841907891007899</v>
      </c>
      <c r="AL1547">
        <v>81.139259262755104</v>
      </c>
      <c r="AM1547">
        <v>88.905829057799195</v>
      </c>
      <c r="AN1547">
        <v>1.00000002221735</v>
      </c>
    </row>
    <row r="1548" spans="1:40" x14ac:dyDescent="0.25">
      <c r="A1548" t="str">
        <f>"20190312172645643"</f>
        <v>20190312172645643</v>
      </c>
      <c r="B1548" t="str">
        <f>"1552382805630353"</f>
        <v>1552382805630353</v>
      </c>
      <c r="C1548" t="s">
        <v>40</v>
      </c>
      <c r="D1548">
        <v>3.211913</v>
      </c>
      <c r="E1548">
        <v>0.49174709999999999</v>
      </c>
      <c r="F1548" t="s">
        <v>48</v>
      </c>
      <c r="G1548">
        <v>-263.09620000000001</v>
      </c>
      <c r="H1548" s="1">
        <v>1.1083839999999901E-7</v>
      </c>
      <c r="I1548">
        <v>282.44869999999997</v>
      </c>
      <c r="J1548">
        <v>-238.33189999999999</v>
      </c>
      <c r="K1548">
        <v>1.1105320000000001</v>
      </c>
      <c r="L1548">
        <v>283.01620000000003</v>
      </c>
      <c r="M1548">
        <v>-0.99979510000000005</v>
      </c>
      <c r="N1548">
        <v>0</v>
      </c>
      <c r="O1548">
        <v>-1.8913079999999999E-2</v>
      </c>
      <c r="P1548">
        <v>-0.98918709999999999</v>
      </c>
      <c r="Q1548">
        <v>0.1466491</v>
      </c>
      <c r="R1548">
        <v>1.685092E-3</v>
      </c>
      <c r="S1548">
        <v>-3.0531459999999999</v>
      </c>
      <c r="T1548">
        <v>-0.13534839999999901</v>
      </c>
      <c r="U1548">
        <v>-6.997681E-2</v>
      </c>
      <c r="V1548">
        <v>1.9909489999999998E-2</v>
      </c>
      <c r="W1548">
        <v>0.1538397</v>
      </c>
      <c r="X1548">
        <v>0.98789519999999997</v>
      </c>
      <c r="Y1548">
        <v>-4.015472E-3</v>
      </c>
      <c r="Z1548">
        <v>7.4890030000000004E-4</v>
      </c>
      <c r="AA1548">
        <v>0.99999170000000004</v>
      </c>
      <c r="AB1548">
        <v>29</v>
      </c>
      <c r="AC1548">
        <v>-24.764299999999999</v>
      </c>
      <c r="AD1548">
        <v>-1.1105318891616001</v>
      </c>
      <c r="AE1548">
        <v>-0.56750000000005196</v>
      </c>
      <c r="AF1548">
        <v>-9.8818490616438603E-2</v>
      </c>
      <c r="AG1548">
        <v>-1.1105318891616001</v>
      </c>
      <c r="AH1548">
        <v>24.720916246296898</v>
      </c>
      <c r="AI1548">
        <v>92.572134945362393</v>
      </c>
      <c r="AJ1548">
        <v>90.229030843239798</v>
      </c>
      <c r="AK1548">
        <v>24.746045062339899</v>
      </c>
      <c r="AL1548">
        <v>81.150490988866395</v>
      </c>
      <c r="AM1548">
        <v>88.845449044799295</v>
      </c>
      <c r="AN1548">
        <v>0.99999998363559495</v>
      </c>
    </row>
    <row r="1549" spans="1:40" x14ac:dyDescent="0.25">
      <c r="A1549" t="str">
        <f>"20190312172645663"</f>
        <v>20190312172645663</v>
      </c>
      <c r="B1549" t="str">
        <f>"1552382805660606"</f>
        <v>1552382805660606</v>
      </c>
      <c r="C1549" t="s">
        <v>40</v>
      </c>
      <c r="D1549">
        <v>3.2070289999999999</v>
      </c>
      <c r="E1549">
        <v>0.4923903</v>
      </c>
      <c r="F1549" t="s">
        <v>48</v>
      </c>
      <c r="G1549">
        <v>-262.88690000000003</v>
      </c>
      <c r="H1549" s="1">
        <v>-5.126708E-10</v>
      </c>
      <c r="I1549">
        <v>282.4699</v>
      </c>
      <c r="J1549">
        <v>-238.60910000000001</v>
      </c>
      <c r="K1549">
        <v>1.1103749999999999</v>
      </c>
      <c r="L1549">
        <v>283.00959999999998</v>
      </c>
      <c r="M1549">
        <v>-0.99976989999999999</v>
      </c>
      <c r="N1549">
        <v>0</v>
      </c>
      <c r="O1549">
        <v>-2.0203249999999999E-2</v>
      </c>
      <c r="P1549">
        <v>-0.98930280000000004</v>
      </c>
      <c r="Q1549">
        <v>0.14586729999999901</v>
      </c>
      <c r="R1549">
        <v>1.772856E-3</v>
      </c>
      <c r="S1549">
        <v>-3.0534059999999998</v>
      </c>
      <c r="T1549">
        <v>-0.1380942</v>
      </c>
      <c r="U1549">
        <v>-6.7932129999999993E-2</v>
      </c>
      <c r="V1549">
        <v>2.1335590000000001E-2</v>
      </c>
      <c r="W1549">
        <v>0.15307689999999999</v>
      </c>
      <c r="X1549">
        <v>0.98798390000000003</v>
      </c>
      <c r="Y1549">
        <v>-2.0577019999999998E-3</v>
      </c>
      <c r="Z1549">
        <v>8.6656250000000004E-4</v>
      </c>
      <c r="AA1549">
        <v>0.99999749999999998</v>
      </c>
      <c r="AB1549">
        <v>29</v>
      </c>
      <c r="AC1549">
        <v>-24.277799999999999</v>
      </c>
      <c r="AD1549">
        <v>-1.11037500051267</v>
      </c>
      <c r="AE1549">
        <v>-0.53969999999998197</v>
      </c>
      <c r="AF1549">
        <v>-4.8984213162064499E-2</v>
      </c>
      <c r="AG1549">
        <v>-1.11037500051267</v>
      </c>
      <c r="AH1549">
        <v>24.233082676884301</v>
      </c>
      <c r="AI1549">
        <v>92.623488083152793</v>
      </c>
      <c r="AJ1549">
        <v>90.115816253831298</v>
      </c>
      <c r="AK1549">
        <v>24.2585578326415</v>
      </c>
      <c r="AL1549">
        <v>81.194719940383393</v>
      </c>
      <c r="AM1549">
        <v>88.762885421065107</v>
      </c>
      <c r="AN1549">
        <v>0.99999996568673299</v>
      </c>
    </row>
    <row r="1550" spans="1:40" x14ac:dyDescent="0.25">
      <c r="A1550" t="str">
        <f>"20190312172645685"</f>
        <v>20190312172645685</v>
      </c>
      <c r="B1550" t="str">
        <f>"1552382805680126"</f>
        <v>1552382805680126</v>
      </c>
      <c r="C1550" t="s">
        <v>40</v>
      </c>
      <c r="D1550">
        <v>3.224386</v>
      </c>
      <c r="E1550">
        <v>0.49286439999999998</v>
      </c>
      <c r="F1550" t="s">
        <v>48</v>
      </c>
      <c r="G1550">
        <v>-262.50110000000001</v>
      </c>
      <c r="H1550" s="1">
        <v>-2.058372E-7</v>
      </c>
      <c r="I1550">
        <v>282.51600000000002</v>
      </c>
      <c r="J1550">
        <v>-238.9008</v>
      </c>
      <c r="K1550">
        <v>1.110198</v>
      </c>
      <c r="L1550">
        <v>283.0025</v>
      </c>
      <c r="M1550">
        <v>-0.99974600000000002</v>
      </c>
      <c r="N1550">
        <v>0</v>
      </c>
      <c r="O1550">
        <v>-2.1338289999999999E-2</v>
      </c>
      <c r="P1550">
        <v>-0.98944120000000002</v>
      </c>
      <c r="Q1550">
        <v>0.14492160000000001</v>
      </c>
      <c r="R1550">
        <v>2.1098340000000001E-3</v>
      </c>
      <c r="S1550">
        <v>-3.0534669999999999</v>
      </c>
      <c r="T1550">
        <v>-0.14190910000000001</v>
      </c>
      <c r="U1550">
        <v>-6.3079830000000003E-2</v>
      </c>
      <c r="V1550">
        <v>2.2864849999999999E-2</v>
      </c>
      <c r="W1550">
        <v>0.15214849999999999</v>
      </c>
      <c r="X1550">
        <v>0.98809309999999995</v>
      </c>
      <c r="Y1550">
        <v>6.6124459999999995E-4</v>
      </c>
      <c r="Z1550">
        <v>1.006322E-3</v>
      </c>
      <c r="AA1550">
        <v>0.99999930000000004</v>
      </c>
      <c r="AB1550">
        <v>29</v>
      </c>
      <c r="AC1550">
        <v>-23.600300000000001</v>
      </c>
      <c r="AD1550">
        <v>-1.1101982058372</v>
      </c>
      <c r="AE1550">
        <v>-0.48650000000003402</v>
      </c>
      <c r="AF1550">
        <v>1.71760761715045E-2</v>
      </c>
      <c r="AG1550">
        <v>-1.1101982058372</v>
      </c>
      <c r="AH1550">
        <v>23.553208321184801</v>
      </c>
      <c r="AI1550">
        <v>92.698681542342996</v>
      </c>
      <c r="AJ1550">
        <v>89.9582173058824</v>
      </c>
      <c r="AK1550">
        <v>23.5793650740423</v>
      </c>
      <c r="AL1550">
        <v>81.248543880652093</v>
      </c>
      <c r="AM1550">
        <v>88.6743904560674</v>
      </c>
      <c r="AN1550">
        <v>0.99999997084268999</v>
      </c>
    </row>
    <row r="1551" spans="1:40" x14ac:dyDescent="0.25">
      <c r="A1551" t="str">
        <f>"20190312172645708"</f>
        <v>20190312172645708</v>
      </c>
      <c r="B1551" t="str">
        <f>"1552382805700622"</f>
        <v>1552382805700622</v>
      </c>
      <c r="C1551" t="s">
        <v>40</v>
      </c>
      <c r="D1551">
        <v>3.2395209999999999</v>
      </c>
      <c r="E1551">
        <v>0.4927125</v>
      </c>
      <c r="F1551" t="s">
        <v>48</v>
      </c>
      <c r="G1551">
        <v>-262.02370000000002</v>
      </c>
      <c r="H1551" s="1">
        <v>-4.5988039999999998E-7</v>
      </c>
      <c r="I1551">
        <v>282.55759999999998</v>
      </c>
      <c r="J1551">
        <v>-239.18889999999999</v>
      </c>
      <c r="K1551">
        <v>1.1100239999999999</v>
      </c>
      <c r="L1551">
        <v>282.99540000000002</v>
      </c>
      <c r="M1551">
        <v>-0.99972640000000002</v>
      </c>
      <c r="N1551">
        <v>0</v>
      </c>
      <c r="O1551">
        <v>-2.223236E-2</v>
      </c>
      <c r="P1551">
        <v>-0.98963219999999996</v>
      </c>
      <c r="Q1551">
        <v>0.1436009</v>
      </c>
      <c r="R1551">
        <v>2.6151410000000001E-3</v>
      </c>
      <c r="S1551">
        <v>-3.053604</v>
      </c>
      <c r="T1551">
        <v>-0.14661250000000001</v>
      </c>
      <c r="U1551">
        <v>-5.8746340000000001E-2</v>
      </c>
      <c r="V1551">
        <v>2.4325659999999999E-2</v>
      </c>
      <c r="W1551">
        <v>0.150844799999999</v>
      </c>
      <c r="X1551">
        <v>0.98825810000000003</v>
      </c>
      <c r="Y1551">
        <v>2.9697730000000002E-3</v>
      </c>
      <c r="Z1551">
        <v>1.13788E-3</v>
      </c>
      <c r="AA1551">
        <v>0.99999490000000002</v>
      </c>
      <c r="AB1551">
        <v>29</v>
      </c>
      <c r="AC1551">
        <v>-22.834800000000001</v>
      </c>
      <c r="AD1551">
        <v>-1.1100244598804001</v>
      </c>
      <c r="AE1551">
        <v>-0.43780000000003799</v>
      </c>
      <c r="AF1551">
        <v>6.9828179708427807E-2</v>
      </c>
      <c r="AG1551">
        <v>-1.1100244598804001</v>
      </c>
      <c r="AH1551">
        <v>22.7850670298408</v>
      </c>
      <c r="AI1551">
        <v>92.789071240759</v>
      </c>
      <c r="AJ1551">
        <v>89.824409230055494</v>
      </c>
      <c r="AK1551">
        <v>22.812196514815302</v>
      </c>
      <c r="AL1551">
        <v>81.324112724177994</v>
      </c>
      <c r="AM1551">
        <v>88.589967267014202</v>
      </c>
      <c r="AN1551">
        <v>0.99999998181854199</v>
      </c>
    </row>
    <row r="1552" spans="1:40" x14ac:dyDescent="0.25">
      <c r="A1552" t="str">
        <f>"20190312172645731"</f>
        <v>20190312172645731</v>
      </c>
      <c r="B1552" t="str">
        <f>"1552382805720141"</f>
        <v>1552382805720141</v>
      </c>
      <c r="C1552" t="s">
        <v>40</v>
      </c>
      <c r="D1552">
        <v>3.255789</v>
      </c>
      <c r="E1552">
        <v>0.47531950000000001</v>
      </c>
      <c r="F1552" t="s">
        <v>48</v>
      </c>
      <c r="G1552">
        <v>-261.56970000000001</v>
      </c>
      <c r="H1552" s="1">
        <v>-7.0147669999999899E-7</v>
      </c>
      <c r="I1552">
        <v>282.56349999999998</v>
      </c>
      <c r="J1552">
        <v>-239.49010000000001</v>
      </c>
      <c r="K1552">
        <v>1.1098440000000001</v>
      </c>
      <c r="L1552">
        <v>282.98790000000002</v>
      </c>
      <c r="M1552">
        <v>-0.99971100000000002</v>
      </c>
      <c r="N1552">
        <v>0</v>
      </c>
      <c r="O1552">
        <v>-2.2908310000000001E-2</v>
      </c>
      <c r="P1552">
        <v>-0.98975340000000001</v>
      </c>
      <c r="Q1552">
        <v>0.1427581</v>
      </c>
      <c r="R1552">
        <v>2.9532849999999999E-3</v>
      </c>
      <c r="S1552">
        <v>-3.0535429999999999</v>
      </c>
      <c r="T1552">
        <v>-0.15144739999999901</v>
      </c>
      <c r="U1552">
        <v>-5.892944E-2</v>
      </c>
      <c r="V1552">
        <v>2.540268E-2</v>
      </c>
      <c r="W1552">
        <v>0.15001800000000001</v>
      </c>
      <c r="X1552">
        <v>0.98835689999999998</v>
      </c>
      <c r="Y1552">
        <v>3.582057E-3</v>
      </c>
      <c r="Z1552">
        <v>1.224047E-3</v>
      </c>
      <c r="AA1552">
        <v>0.99999280000000002</v>
      </c>
      <c r="AB1552">
        <v>29</v>
      </c>
      <c r="AC1552">
        <v>-22.079599999999999</v>
      </c>
      <c r="AD1552">
        <v>-1.1098447014766999</v>
      </c>
      <c r="AE1552">
        <v>-0.42440000000004802</v>
      </c>
      <c r="AF1552">
        <v>8.1325734479639006E-2</v>
      </c>
      <c r="AG1552">
        <v>-1.1098447014766999</v>
      </c>
      <c r="AH1552">
        <v>22.027892067105199</v>
      </c>
      <c r="AI1552">
        <v>92.884309548622099</v>
      </c>
      <c r="AJ1552">
        <v>89.788468176321402</v>
      </c>
      <c r="AK1552">
        <v>22.055983271133499</v>
      </c>
      <c r="AL1552">
        <v>81.372030567137401</v>
      </c>
      <c r="AM1552">
        <v>88.527712012906704</v>
      </c>
      <c r="AN1552">
        <v>1.00000002912639</v>
      </c>
    </row>
    <row r="1553" spans="1:40" x14ac:dyDescent="0.25">
      <c r="A1553" t="str">
        <f>"20190312172645752"</f>
        <v>20190312172645752</v>
      </c>
      <c r="B1553" t="str">
        <f>"1552382805750398"</f>
        <v>1552382805750398</v>
      </c>
      <c r="C1553" t="s">
        <v>40</v>
      </c>
      <c r="D1553">
        <v>3.271579</v>
      </c>
      <c r="E1553">
        <v>0.47346739999999998</v>
      </c>
      <c r="F1553" t="s">
        <v>48</v>
      </c>
      <c r="G1553">
        <v>-269.81020000000001</v>
      </c>
      <c r="H1553" s="1">
        <v>3.6836909999999999E-6</v>
      </c>
      <c r="I1553">
        <v>281.03550000000001</v>
      </c>
      <c r="J1553">
        <v>-239.77590000000001</v>
      </c>
      <c r="K1553">
        <v>1.1096809999999999</v>
      </c>
      <c r="L1553">
        <v>282.98090000000002</v>
      </c>
      <c r="M1553">
        <v>-0.99970079999999995</v>
      </c>
      <c r="N1553">
        <v>0</v>
      </c>
      <c r="O1553">
        <v>-2.3341339999999999E-2</v>
      </c>
      <c r="P1553">
        <v>-0.98987570000000003</v>
      </c>
      <c r="Q1553">
        <v>0.1418827</v>
      </c>
      <c r="R1553">
        <v>3.9444110000000001E-3</v>
      </c>
      <c r="S1553">
        <v>-3.0477289999999999</v>
      </c>
      <c r="T1553">
        <v>-0.11155950000000001</v>
      </c>
      <c r="U1553">
        <v>-0.1962585</v>
      </c>
      <c r="V1553">
        <v>2.6885010000000001E-2</v>
      </c>
      <c r="W1553">
        <v>0.1491585</v>
      </c>
      <c r="X1553">
        <v>0.98844770000000004</v>
      </c>
      <c r="Y1553">
        <v>-4.0938960000000003E-2</v>
      </c>
      <c r="Z1553">
        <v>1.047828E-4</v>
      </c>
      <c r="AA1553">
        <v>0.99916170000000004</v>
      </c>
      <c r="AB1553">
        <v>30</v>
      </c>
      <c r="AC1553">
        <v>-30.034300000000002</v>
      </c>
      <c r="AD1553">
        <v>-1.1096773163089999</v>
      </c>
      <c r="AE1553">
        <v>-1.9454</v>
      </c>
      <c r="AF1553">
        <v>-1.2421218832487999</v>
      </c>
      <c r="AG1553">
        <v>-1.1096773163089999</v>
      </c>
      <c r="AH1553">
        <v>30.030703222611599</v>
      </c>
      <c r="AI1553">
        <v>92.114391738331804</v>
      </c>
      <c r="AJ1553">
        <v>92.368502591141706</v>
      </c>
      <c r="AK1553">
        <v>30.076857990218201</v>
      </c>
      <c r="AL1553">
        <v>81.421836081304406</v>
      </c>
      <c r="AM1553">
        <v>88.441983412183703</v>
      </c>
      <c r="AN1553">
        <v>0.99999995876011905</v>
      </c>
    </row>
    <row r="1554" spans="1:40" x14ac:dyDescent="0.25">
      <c r="A1554" t="str">
        <f>"20190312172645774"</f>
        <v>20190312172645774</v>
      </c>
      <c r="B1554" t="str">
        <f>"1552382805769917"</f>
        <v>1552382805769917</v>
      </c>
      <c r="C1554" t="s">
        <v>40</v>
      </c>
      <c r="D1554">
        <v>3.2320440000000001</v>
      </c>
      <c r="E1554">
        <v>0.47305740000000002</v>
      </c>
      <c r="F1554" t="s">
        <v>48</v>
      </c>
      <c r="G1554">
        <v>-269.30119999999999</v>
      </c>
      <c r="H1554" s="1">
        <v>3.4128709999999998E-6</v>
      </c>
      <c r="I1554">
        <v>280.96120000000002</v>
      </c>
      <c r="J1554">
        <v>-240.07239999999999</v>
      </c>
      <c r="K1554">
        <v>1.109542</v>
      </c>
      <c r="L1554">
        <v>282.97370000000001</v>
      </c>
      <c r="M1554">
        <v>-0.99969399999999997</v>
      </c>
      <c r="N1554">
        <v>0</v>
      </c>
      <c r="O1554">
        <v>-2.3622170000000001E-2</v>
      </c>
      <c r="P1554">
        <v>-0.98981430000000004</v>
      </c>
      <c r="Q1554">
        <v>0.14228339999999901</v>
      </c>
      <c r="R1554">
        <v>4.8173419999999996E-3</v>
      </c>
      <c r="S1554">
        <v>-3.0479430000000001</v>
      </c>
      <c r="T1554">
        <v>-0.11455369999999999</v>
      </c>
      <c r="U1554">
        <v>-0.20849609999999999</v>
      </c>
      <c r="V1554">
        <v>2.808542E-2</v>
      </c>
      <c r="W1554">
        <v>0.14957429999999999</v>
      </c>
      <c r="X1554">
        <v>0.98835150000000005</v>
      </c>
      <c r="Y1554">
        <v>-4.464448E-2</v>
      </c>
      <c r="Z1554" s="1">
        <v>4.8565620000000003E-5</v>
      </c>
      <c r="AA1554">
        <v>0.99900290000000003</v>
      </c>
      <c r="AB1554">
        <v>30</v>
      </c>
      <c r="AC1554">
        <v>-29.2288</v>
      </c>
      <c r="AD1554">
        <v>-1.109538587129</v>
      </c>
      <c r="AE1554">
        <v>-2.0124999999999802</v>
      </c>
      <c r="AF1554">
        <v>-1.31957956918707</v>
      </c>
      <c r="AG1554">
        <v>-1.109538587129</v>
      </c>
      <c r="AH1554">
        <v>29.2262681573146</v>
      </c>
      <c r="AI1554">
        <v>92.171907738068199</v>
      </c>
      <c r="AJ1554">
        <v>92.585175303841893</v>
      </c>
      <c r="AK1554">
        <v>29.277074931061801</v>
      </c>
      <c r="AL1554">
        <v>81.397742346887796</v>
      </c>
      <c r="AM1554">
        <v>88.372296588246897</v>
      </c>
      <c r="AN1554">
        <v>0.99999997479465697</v>
      </c>
    </row>
    <row r="1555" spans="1:40" x14ac:dyDescent="0.25">
      <c r="A1555" t="str">
        <f>"20190312172645799"</f>
        <v>20190312172645799</v>
      </c>
      <c r="B1555" t="str">
        <f>"1552382805790413"</f>
        <v>1552382805790413</v>
      </c>
      <c r="C1555" t="s">
        <v>40</v>
      </c>
      <c r="D1555">
        <v>3.3474050000000002</v>
      </c>
      <c r="E1555">
        <v>0.47319020000000001</v>
      </c>
      <c r="F1555" t="s">
        <v>48</v>
      </c>
      <c r="G1555">
        <v>-270.96719999999999</v>
      </c>
      <c r="H1555" s="1">
        <v>-8.5750029999999997E-7</v>
      </c>
      <c r="I1555">
        <v>280.85109999999997</v>
      </c>
      <c r="J1555">
        <v>-240.38419999999999</v>
      </c>
      <c r="K1555">
        <v>1.1094250000000001</v>
      </c>
      <c r="L1555">
        <v>282.96620000000001</v>
      </c>
      <c r="M1555">
        <v>-0.99969039999999998</v>
      </c>
      <c r="N1555">
        <v>0</v>
      </c>
      <c r="O1555">
        <v>-2.376499E-2</v>
      </c>
      <c r="P1555">
        <v>-0.98971019999999998</v>
      </c>
      <c r="Q1555">
        <v>0.14296229999999999</v>
      </c>
      <c r="R1555">
        <v>5.9794440000000004E-3</v>
      </c>
      <c r="S1555">
        <v>-3.0476070000000002</v>
      </c>
      <c r="T1555">
        <v>-0.10945050000000001</v>
      </c>
      <c r="U1555">
        <v>-0.20938109999999999</v>
      </c>
      <c r="V1555">
        <v>2.9429480000000001E-2</v>
      </c>
      <c r="W1555">
        <v>0.15027019999999999</v>
      </c>
      <c r="X1555">
        <v>0.9882069</v>
      </c>
      <c r="Y1555">
        <v>-4.4799270000000002E-2</v>
      </c>
      <c r="Z1555" s="1">
        <v>4.87506E-5</v>
      </c>
      <c r="AA1555">
        <v>0.998996</v>
      </c>
      <c r="AB1555">
        <v>30</v>
      </c>
      <c r="AC1555">
        <v>-30.582999999999998</v>
      </c>
      <c r="AD1555">
        <v>-1.1094258575003</v>
      </c>
      <c r="AE1555">
        <v>-2.1151000000000399</v>
      </c>
      <c r="AF1555">
        <v>-1.38586313952708</v>
      </c>
      <c r="AG1555">
        <v>-1.1094258575003</v>
      </c>
      <c r="AH1555">
        <v>30.584572850090598</v>
      </c>
      <c r="AI1555">
        <v>92.075310667548607</v>
      </c>
      <c r="AJ1555">
        <v>92.594439731781705</v>
      </c>
      <c r="AK1555">
        <v>30.6360496604456</v>
      </c>
      <c r="AL1555">
        <v>81.357415091842995</v>
      </c>
      <c r="AM1555">
        <v>88.2941965130141</v>
      </c>
      <c r="AN1555">
        <v>1.00000005225435</v>
      </c>
    </row>
    <row r="1556" spans="1:40" x14ac:dyDescent="0.25">
      <c r="A1556" t="str">
        <f>"20190312172645821"</f>
        <v>20190312172645821</v>
      </c>
      <c r="B1556" t="str">
        <f>"1552382805809933"</f>
        <v>1552382805809933</v>
      </c>
      <c r="C1556" t="s">
        <v>40</v>
      </c>
      <c r="D1556">
        <v>3.2231209999999999</v>
      </c>
      <c r="E1556">
        <v>0.4733038</v>
      </c>
      <c r="F1556" t="s">
        <v>48</v>
      </c>
      <c r="G1556">
        <v>-271.37599999999998</v>
      </c>
      <c r="H1556" s="1">
        <v>-6.4119599999999999E-7</v>
      </c>
      <c r="I1556">
        <v>280.87889999999999</v>
      </c>
      <c r="J1556">
        <v>-240.6908</v>
      </c>
      <c r="K1556">
        <v>1.109318</v>
      </c>
      <c r="L1556">
        <v>282.9588</v>
      </c>
      <c r="M1556">
        <v>-0.99969059999999998</v>
      </c>
      <c r="N1556">
        <v>0</v>
      </c>
      <c r="O1556">
        <v>-2.3754440000000002E-2</v>
      </c>
      <c r="P1556">
        <v>-0.98963690000000004</v>
      </c>
      <c r="Q1556">
        <v>0.14339959999999999</v>
      </c>
      <c r="R1556">
        <v>7.4566750000000003E-3</v>
      </c>
      <c r="S1556">
        <v>-3.048203</v>
      </c>
      <c r="T1556">
        <v>-0.109117699999999</v>
      </c>
      <c r="U1556">
        <v>-0.20529169999999999</v>
      </c>
      <c r="V1556">
        <v>3.093243E-2</v>
      </c>
      <c r="W1556">
        <v>0.15072459999999999</v>
      </c>
      <c r="X1556">
        <v>0.98809179999999996</v>
      </c>
      <c r="Y1556">
        <v>-4.3463330000000001E-2</v>
      </c>
      <c r="Z1556" s="1">
        <v>7.2098739999999997E-5</v>
      </c>
      <c r="AA1556">
        <v>0.99905500000000003</v>
      </c>
      <c r="AB1556">
        <v>30</v>
      </c>
      <c r="AC1556">
        <v>-30.685199999999899</v>
      </c>
      <c r="AD1556">
        <v>-1.1093186411959901</v>
      </c>
      <c r="AE1556">
        <v>-2.0798999999999999</v>
      </c>
      <c r="AF1556">
        <v>-1.3486289759921299</v>
      </c>
      <c r="AG1556">
        <v>-1.1093186411959901</v>
      </c>
      <c r="AH1556">
        <v>30.6860277937541</v>
      </c>
      <c r="AI1556">
        <v>92.068380946292706</v>
      </c>
      <c r="AJ1556">
        <v>92.516489134584006</v>
      </c>
      <c r="AK1556">
        <v>30.7356745447638</v>
      </c>
      <c r="AL1556">
        <v>81.331080035786698</v>
      </c>
      <c r="AM1556">
        <v>88.206928679276999</v>
      </c>
      <c r="AN1556">
        <v>1.00000006274905</v>
      </c>
    </row>
    <row r="1557" spans="1:40" x14ac:dyDescent="0.25">
      <c r="A1557" t="str">
        <f>"20190312172645842"</f>
        <v>20190312172645842</v>
      </c>
      <c r="B1557" t="str">
        <f>"1552382805830430"</f>
        <v>1552382805830430</v>
      </c>
      <c r="C1557" t="s">
        <v>40</v>
      </c>
      <c r="D1557">
        <v>3.2810510000000002</v>
      </c>
      <c r="E1557">
        <v>0.47338829999999998</v>
      </c>
      <c r="F1557" t="s">
        <v>48</v>
      </c>
      <c r="G1557">
        <v>-272.98829999999998</v>
      </c>
      <c r="H1557" s="1">
        <v>2.185612E-7</v>
      </c>
      <c r="I1557">
        <v>280.83819999999997</v>
      </c>
      <c r="J1557">
        <v>-240.9753</v>
      </c>
      <c r="K1557">
        <v>1.1092109999999999</v>
      </c>
      <c r="L1557">
        <v>282.95209999999997</v>
      </c>
      <c r="M1557">
        <v>-0.99969379999999997</v>
      </c>
      <c r="N1557">
        <v>0</v>
      </c>
      <c r="O1557">
        <v>-2.3607220000000002E-2</v>
      </c>
      <c r="P1557">
        <v>-0.98955400000000004</v>
      </c>
      <c r="Q1557">
        <v>0.14391370000000001</v>
      </c>
      <c r="R1557">
        <v>8.4717159999999903E-3</v>
      </c>
      <c r="S1557">
        <v>-3.0480800000000001</v>
      </c>
      <c r="T1557">
        <v>-0.1046922</v>
      </c>
      <c r="U1557">
        <v>-0.20013429999999999</v>
      </c>
      <c r="V1557">
        <v>3.183656E-2</v>
      </c>
      <c r="W1557">
        <v>0.15125350000000001</v>
      </c>
      <c r="X1557">
        <v>0.98798220000000003</v>
      </c>
      <c r="Y1557">
        <v>-4.1931889999999999E-2</v>
      </c>
      <c r="Z1557" s="1">
        <v>9.040482E-5</v>
      </c>
      <c r="AA1557">
        <v>0.99912049999999997</v>
      </c>
      <c r="AB1557">
        <v>30</v>
      </c>
      <c r="AC1557">
        <v>-32.012999999999899</v>
      </c>
      <c r="AD1557">
        <v>-1.1092107814387999</v>
      </c>
      <c r="AE1557">
        <v>-2.1139000000000001</v>
      </c>
      <c r="AF1557">
        <v>-1.3559313486504101</v>
      </c>
      <c r="AG1557">
        <v>-1.1092107814387999</v>
      </c>
      <c r="AH1557">
        <v>32.015713333441902</v>
      </c>
      <c r="AI1557">
        <v>91.982490065363095</v>
      </c>
      <c r="AJ1557">
        <v>92.4251448795968</v>
      </c>
      <c r="AK1557">
        <v>32.063605515116997</v>
      </c>
      <c r="AL1557">
        <v>81.300424368296305</v>
      </c>
      <c r="AM1557">
        <v>88.154349796212699</v>
      </c>
      <c r="AN1557">
        <v>1.0000000076658599</v>
      </c>
    </row>
    <row r="1558" spans="1:40" x14ac:dyDescent="0.25">
      <c r="A1558" t="str">
        <f>"20190312172645864"</f>
        <v>20190312172645864</v>
      </c>
      <c r="B1558" t="str">
        <f>"1552382805860560"</f>
        <v>1552382805860560</v>
      </c>
      <c r="C1558" t="s">
        <v>40</v>
      </c>
      <c r="D1558">
        <v>3.1648520000000002</v>
      </c>
      <c r="E1558">
        <v>0.47325830000000002</v>
      </c>
      <c r="F1558" t="s">
        <v>48</v>
      </c>
      <c r="G1558">
        <v>-273.52249999999998</v>
      </c>
      <c r="H1558" s="1">
        <v>5.0218499999999899E-7</v>
      </c>
      <c r="I1558">
        <v>280.85390000000001</v>
      </c>
      <c r="J1558">
        <v>-241.27029999999999</v>
      </c>
      <c r="K1558">
        <v>1.1091</v>
      </c>
      <c r="L1558">
        <v>282.94540000000001</v>
      </c>
      <c r="M1558">
        <v>-0.99970009999999998</v>
      </c>
      <c r="N1558">
        <v>0</v>
      </c>
      <c r="O1558">
        <v>-2.3323799999999999E-2</v>
      </c>
      <c r="P1558">
        <v>-0.98948879999999995</v>
      </c>
      <c r="Q1558">
        <v>0.14427599999999999</v>
      </c>
      <c r="R1558">
        <v>9.8191200000000006E-3</v>
      </c>
      <c r="S1558">
        <v>-3.0484619999999998</v>
      </c>
      <c r="T1558">
        <v>-0.10389180000000001</v>
      </c>
      <c r="U1558">
        <v>-0.19653319999999999</v>
      </c>
      <c r="V1558">
        <v>3.2942829999999999E-2</v>
      </c>
      <c r="W1558">
        <v>0.15163099999999999</v>
      </c>
      <c r="X1558">
        <v>0.98788799999999999</v>
      </c>
      <c r="Y1558">
        <v>-4.1032199999999998E-2</v>
      </c>
      <c r="Z1558" s="1">
        <v>9.5378960000000007E-5</v>
      </c>
      <c r="AA1558">
        <v>0.99915779999999998</v>
      </c>
      <c r="AB1558">
        <v>30</v>
      </c>
      <c r="AC1558">
        <v>-32.252199999999903</v>
      </c>
      <c r="AD1558">
        <v>-1.1090994978149999</v>
      </c>
      <c r="AE1558">
        <v>-2.0914999999999901</v>
      </c>
      <c r="AF1558">
        <v>-1.33709161970919</v>
      </c>
      <c r="AG1558">
        <v>-1.1090994978149999</v>
      </c>
      <c r="AH1558">
        <v>32.2542260581235</v>
      </c>
      <c r="AI1558">
        <v>91.967718091000194</v>
      </c>
      <c r="AJ1558">
        <v>92.373824352186801</v>
      </c>
      <c r="AK1558">
        <v>32.300975438894802</v>
      </c>
      <c r="AL1558">
        <v>81.278542284779107</v>
      </c>
      <c r="AM1558">
        <v>88.090081102068197</v>
      </c>
      <c r="AN1558">
        <v>0.999999945376702</v>
      </c>
    </row>
    <row r="1559" spans="1:40" x14ac:dyDescent="0.25">
      <c r="A1559" t="str">
        <f>"20190312172645884"</f>
        <v>20190312172645884</v>
      </c>
      <c r="B1559" t="str">
        <f>"1552382805881056"</f>
        <v>1552382805881056</v>
      </c>
      <c r="C1559" t="s">
        <v>40</v>
      </c>
      <c r="D1559">
        <v>3.3418600000000001</v>
      </c>
      <c r="E1559">
        <v>0.4731553</v>
      </c>
      <c r="F1559" t="s">
        <v>48</v>
      </c>
      <c r="G1559">
        <v>-274.2989</v>
      </c>
      <c r="H1559" s="1">
        <v>9.1583840000000005E-7</v>
      </c>
      <c r="I1559">
        <v>280.84199999999998</v>
      </c>
      <c r="J1559">
        <v>-241.5532</v>
      </c>
      <c r="K1559">
        <v>1.1089869999999999</v>
      </c>
      <c r="L1559">
        <v>282.9391</v>
      </c>
      <c r="M1559">
        <v>-0.99970899999999996</v>
      </c>
      <c r="N1559">
        <v>0</v>
      </c>
      <c r="O1559">
        <v>-2.2934929999999999E-2</v>
      </c>
      <c r="P1559">
        <v>-0.98948659999999999</v>
      </c>
      <c r="Q1559">
        <v>0.14421729999999899</v>
      </c>
      <c r="R1559">
        <v>1.0850200000000001E-2</v>
      </c>
      <c r="S1559">
        <v>-3.0487060000000001</v>
      </c>
      <c r="T1559">
        <v>-0.10237540000000001</v>
      </c>
      <c r="U1559">
        <v>-0.19415279999999999</v>
      </c>
      <c r="V1559">
        <v>3.3629439999999997E-2</v>
      </c>
      <c r="W1559">
        <v>0.15158769999999999</v>
      </c>
      <c r="X1559">
        <v>0.98787159999999996</v>
      </c>
      <c r="Y1559">
        <v>-4.0639090000000003E-2</v>
      </c>
      <c r="Z1559" s="1">
        <v>8.7541639999999998E-5</v>
      </c>
      <c r="AA1559">
        <v>0.99917389999999995</v>
      </c>
      <c r="AB1559">
        <v>30</v>
      </c>
      <c r="AC1559">
        <v>-32.745699999999999</v>
      </c>
      <c r="AD1559">
        <v>-1.1089860841615999</v>
      </c>
      <c r="AE1559">
        <v>-2.09710000000001</v>
      </c>
      <c r="AF1559">
        <v>-1.34397184775637</v>
      </c>
      <c r="AG1559">
        <v>-1.1089860841615999</v>
      </c>
      <c r="AH1559">
        <v>32.747777700628198</v>
      </c>
      <c r="AI1559">
        <v>91.937919839775702</v>
      </c>
      <c r="AJ1559">
        <v>92.350105302192702</v>
      </c>
      <c r="AK1559">
        <v>32.7941009145271</v>
      </c>
      <c r="AL1559">
        <v>81.281052984839306</v>
      </c>
      <c r="AM1559">
        <v>88.050271738553405</v>
      </c>
      <c r="AN1559">
        <v>1.00000003405628</v>
      </c>
    </row>
    <row r="1560" spans="1:40" x14ac:dyDescent="0.25">
      <c r="A1560" t="str">
        <f>"20190312172645909"</f>
        <v>20190312172645909</v>
      </c>
      <c r="B1560" t="str">
        <f>"1552382805900576"</f>
        <v>1552382805900576</v>
      </c>
      <c r="C1560" t="s">
        <v>40</v>
      </c>
      <c r="D1560">
        <v>3.275064</v>
      </c>
      <c r="E1560">
        <v>0.4729622</v>
      </c>
      <c r="F1560" t="s">
        <v>48</v>
      </c>
      <c r="G1560">
        <v>-273.30270000000002</v>
      </c>
      <c r="H1560" s="1">
        <v>3.8124289999999998E-7</v>
      </c>
      <c r="I1560">
        <v>280.94409999999999</v>
      </c>
      <c r="J1560">
        <v>-241.8708</v>
      </c>
      <c r="K1560">
        <v>1.108873</v>
      </c>
      <c r="L1560">
        <v>282.93239999999997</v>
      </c>
      <c r="M1560">
        <v>-0.99972150000000004</v>
      </c>
      <c r="N1560">
        <v>0</v>
      </c>
      <c r="O1560">
        <v>-2.2377480000000002E-2</v>
      </c>
      <c r="P1560">
        <v>-0.98948689999999995</v>
      </c>
      <c r="Q1560">
        <v>0.1441366</v>
      </c>
      <c r="R1560">
        <v>1.1847979999999999E-2</v>
      </c>
      <c r="S1560">
        <v>-3.0494840000000001</v>
      </c>
      <c r="T1560">
        <v>-0.10651620000000001</v>
      </c>
      <c r="U1560">
        <v>-0.19161990000000001</v>
      </c>
      <c r="V1560">
        <v>3.4118589999999997E-2</v>
      </c>
      <c r="W1560">
        <v>0.15152409999999999</v>
      </c>
      <c r="X1560">
        <v>0.98786459999999998</v>
      </c>
      <c r="Y1560">
        <v>-4.0352449999999998E-2</v>
      </c>
      <c r="Z1560" s="1">
        <v>7.6625029999999994E-5</v>
      </c>
      <c r="AA1560">
        <v>0.99918549999999995</v>
      </c>
      <c r="AB1560">
        <v>30</v>
      </c>
      <c r="AC1560">
        <v>-31.431899999999999</v>
      </c>
      <c r="AD1560">
        <v>-1.1088726187571001</v>
      </c>
      <c r="AE1560">
        <v>-1.98829999999998</v>
      </c>
      <c r="AF1560">
        <v>-1.28282540589552</v>
      </c>
      <c r="AG1560">
        <v>-1.1088726187571001</v>
      </c>
      <c r="AH1560">
        <v>31.429562543215201</v>
      </c>
      <c r="AI1560">
        <v>92.018945993879996</v>
      </c>
      <c r="AJ1560">
        <v>92.337280595225394</v>
      </c>
      <c r="AK1560">
        <v>31.475270311222399</v>
      </c>
      <c r="AL1560">
        <v>81.284739716948394</v>
      </c>
      <c r="AM1560">
        <v>88.021920735165907</v>
      </c>
      <c r="AN1560">
        <v>1.00000004949877</v>
      </c>
    </row>
    <row r="1561" spans="1:40" x14ac:dyDescent="0.25">
      <c r="A1561" t="str">
        <f>"20190312172645930"</f>
        <v>20190312172645930</v>
      </c>
      <c r="B1561" t="str">
        <f>"1552382805920096"</f>
        <v>1552382805920096</v>
      </c>
      <c r="C1561" t="s">
        <v>40</v>
      </c>
      <c r="D1561">
        <v>3.1558139999999999</v>
      </c>
      <c r="E1561">
        <v>0.47274149999999998</v>
      </c>
      <c r="F1561" t="s">
        <v>48</v>
      </c>
      <c r="G1561">
        <v>-273.7235</v>
      </c>
      <c r="H1561" s="1">
        <v>6.0474619999999999E-7</v>
      </c>
      <c r="I1561">
        <v>280.95429999999999</v>
      </c>
      <c r="J1561">
        <v>-242.1737</v>
      </c>
      <c r="K1561">
        <v>1.1087769999999999</v>
      </c>
      <c r="L1561">
        <v>282.92630000000003</v>
      </c>
      <c r="M1561">
        <v>-0.99973559999999995</v>
      </c>
      <c r="N1561">
        <v>0</v>
      </c>
      <c r="O1561">
        <v>-2.1730320000000001E-2</v>
      </c>
      <c r="P1561">
        <v>-0.98944869999999996</v>
      </c>
      <c r="Q1561">
        <v>0.14434060000000001</v>
      </c>
      <c r="R1561">
        <v>1.253627E-2</v>
      </c>
      <c r="S1561">
        <v>-3.0496219999999998</v>
      </c>
      <c r="T1561">
        <v>-0.1061648</v>
      </c>
      <c r="U1561">
        <v>-0.18939210000000001</v>
      </c>
      <c r="V1561">
        <v>3.4201860000000001E-2</v>
      </c>
      <c r="W1561">
        <v>0.15174560000000001</v>
      </c>
      <c r="X1561">
        <v>0.98782769999999998</v>
      </c>
      <c r="Y1561">
        <v>-4.0269079999999999E-2</v>
      </c>
      <c r="Z1561" s="1">
        <v>5.5332440000000002E-5</v>
      </c>
      <c r="AA1561">
        <v>0.99918879999999999</v>
      </c>
      <c r="AB1561">
        <v>30</v>
      </c>
      <c r="AC1561">
        <v>-31.549800000000001</v>
      </c>
      <c r="AD1561">
        <v>-1.1087763952537999</v>
      </c>
      <c r="AE1561">
        <v>-1.97200000000003</v>
      </c>
      <c r="AF1561">
        <v>-1.28434759863131</v>
      </c>
      <c r="AG1561">
        <v>-1.1087763952537999</v>
      </c>
      <c r="AH1561">
        <v>31.546392426093298</v>
      </c>
      <c r="AI1561">
        <v>92.011309132464007</v>
      </c>
      <c r="AJ1561">
        <v>92.331394280457005</v>
      </c>
      <c r="AK1561">
        <v>31.591989632656201</v>
      </c>
      <c r="AL1561">
        <v>81.271900059180396</v>
      </c>
      <c r="AM1561">
        <v>88.017022862739395</v>
      </c>
      <c r="AN1561">
        <v>1.0000000296170499</v>
      </c>
    </row>
    <row r="1562" spans="1:40" x14ac:dyDescent="0.25">
      <c r="A1562" t="str">
        <f>"20190312172645953"</f>
        <v>20190312172645953</v>
      </c>
      <c r="B1562" t="str">
        <f>"1552382805950287"</f>
        <v>1552382805950287</v>
      </c>
      <c r="C1562" t="s">
        <v>40</v>
      </c>
      <c r="D1562">
        <v>3.171119</v>
      </c>
      <c r="E1562">
        <v>0.4726397</v>
      </c>
      <c r="F1562" t="s">
        <v>48</v>
      </c>
      <c r="G1562">
        <v>-274.36559999999997</v>
      </c>
      <c r="H1562" s="1">
        <v>9.4721379999999999E-7</v>
      </c>
      <c r="I1562">
        <v>280.93709999999999</v>
      </c>
      <c r="J1562">
        <v>-242.47149999999999</v>
      </c>
      <c r="K1562">
        <v>1.1087009999999999</v>
      </c>
      <c r="L1562">
        <v>282.9205</v>
      </c>
      <c r="M1562">
        <v>-0.99975060000000004</v>
      </c>
      <c r="N1562">
        <v>0</v>
      </c>
      <c r="O1562">
        <v>-2.1016960000000001E-2</v>
      </c>
      <c r="P1562">
        <v>-0.98937900000000001</v>
      </c>
      <c r="Q1562">
        <v>0.1447155</v>
      </c>
      <c r="R1562">
        <v>1.3667530000000001E-2</v>
      </c>
      <c r="S1562">
        <v>-3.0497130000000001</v>
      </c>
      <c r="T1562">
        <v>-0.1050402</v>
      </c>
      <c r="U1562">
        <v>-0.188446</v>
      </c>
      <c r="V1562">
        <v>3.4654200000000003E-2</v>
      </c>
      <c r="W1562">
        <v>0.1521381</v>
      </c>
      <c r="X1562">
        <v>0.9877515</v>
      </c>
      <c r="Y1562">
        <v>-4.0670999999999999E-2</v>
      </c>
      <c r="Z1562" s="1">
        <v>2.330547E-5</v>
      </c>
      <c r="AA1562">
        <v>0.99917259999999997</v>
      </c>
      <c r="AB1562">
        <v>30</v>
      </c>
      <c r="AC1562">
        <v>-31.894099999999899</v>
      </c>
      <c r="AD1562">
        <v>-1.1087000527862001</v>
      </c>
      <c r="AE1562">
        <v>-1.98340000000001</v>
      </c>
      <c r="AF1562">
        <v>-1.3110475881633501</v>
      </c>
      <c r="AG1562">
        <v>-1.1087000527862001</v>
      </c>
      <c r="AH1562">
        <v>31.890353475882701</v>
      </c>
      <c r="AI1562">
        <v>91.989463999664196</v>
      </c>
      <c r="AJ1562">
        <v>92.354166980339201</v>
      </c>
      <c r="AK1562">
        <v>31.936541866680301</v>
      </c>
      <c r="AL1562">
        <v>81.249146771511505</v>
      </c>
      <c r="AM1562">
        <v>87.990663290582802</v>
      </c>
      <c r="AN1562">
        <v>0.99999997040074895</v>
      </c>
    </row>
    <row r="1563" spans="1:40" x14ac:dyDescent="0.25">
      <c r="A1563" t="str">
        <f>"20190312172645975"</f>
        <v>20190312172645975</v>
      </c>
      <c r="B1563" t="str">
        <f>"1552382805970782"</f>
        <v>1552382805970782</v>
      </c>
      <c r="C1563" t="s">
        <v>40</v>
      </c>
      <c r="D1563">
        <v>3.1720280000000001</v>
      </c>
      <c r="E1563">
        <v>0.47251929999999998</v>
      </c>
      <c r="F1563" t="s">
        <v>48</v>
      </c>
      <c r="G1563">
        <v>-275.2029</v>
      </c>
      <c r="H1563" s="1">
        <v>1.39355E-6</v>
      </c>
      <c r="I1563">
        <v>280.91969999999998</v>
      </c>
      <c r="J1563">
        <v>-242.77330000000001</v>
      </c>
      <c r="K1563">
        <v>1.1086469999999999</v>
      </c>
      <c r="L1563">
        <v>282.91489999999999</v>
      </c>
      <c r="M1563">
        <v>-0.99976670000000001</v>
      </c>
      <c r="N1563">
        <v>0</v>
      </c>
      <c r="O1563">
        <v>-2.0232340000000001E-2</v>
      </c>
      <c r="P1563">
        <v>-0.98927900000000002</v>
      </c>
      <c r="Q1563">
        <v>0.1453025</v>
      </c>
      <c r="R1563">
        <v>1.4649239999999999E-2</v>
      </c>
      <c r="S1563">
        <v>-3.0498959999999999</v>
      </c>
      <c r="T1563">
        <v>-0.10330780000000001</v>
      </c>
      <c r="U1563">
        <v>-0.18643190000000001</v>
      </c>
      <c r="V1563">
        <v>3.487958E-2</v>
      </c>
      <c r="W1563">
        <v>0.15274470000000001</v>
      </c>
      <c r="X1563">
        <v>0.98765000000000003</v>
      </c>
      <c r="Y1563">
        <v>-4.0793950000000002E-2</v>
      </c>
      <c r="Z1563" s="1">
        <v>-5.6909629999999998E-6</v>
      </c>
      <c r="AA1563">
        <v>0.99916760000000004</v>
      </c>
      <c r="AB1563">
        <v>30</v>
      </c>
      <c r="AC1563">
        <v>-32.429599999999901</v>
      </c>
      <c r="AD1563">
        <v>-1.1086456064500001</v>
      </c>
      <c r="AE1563">
        <v>-1.9952000000000101</v>
      </c>
      <c r="AF1563">
        <v>-1.33708935008564</v>
      </c>
      <c r="AG1563">
        <v>-1.1086456064500001</v>
      </c>
      <c r="AH1563">
        <v>32.425577366121502</v>
      </c>
      <c r="AI1563">
        <v>91.956545177157807</v>
      </c>
      <c r="AJ1563">
        <v>92.361290231865794</v>
      </c>
      <c r="AK1563">
        <v>32.472064463737802</v>
      </c>
      <c r="AL1563">
        <v>81.213980628250894</v>
      </c>
      <c r="AM1563">
        <v>87.977398347130105</v>
      </c>
      <c r="AN1563">
        <v>1.00000002548953</v>
      </c>
    </row>
    <row r="1564" spans="1:40" x14ac:dyDescent="0.25">
      <c r="A1564" t="str">
        <f>"20190312172646001"</f>
        <v>20190312172646001</v>
      </c>
      <c r="B1564" t="str">
        <f>"1552382805990302"</f>
        <v>1552382805990302</v>
      </c>
      <c r="C1564" t="s">
        <v>40</v>
      </c>
      <c r="D1564">
        <v>3.1383740000000002</v>
      </c>
      <c r="E1564">
        <v>0.47244530000000001</v>
      </c>
      <c r="F1564" t="s">
        <v>48</v>
      </c>
      <c r="G1564">
        <v>-276.22219999999999</v>
      </c>
      <c r="H1564" s="1">
        <v>1.9373099999999999E-6</v>
      </c>
      <c r="I1564">
        <v>280.8888</v>
      </c>
      <c r="J1564">
        <v>-243.1191</v>
      </c>
      <c r="K1564">
        <v>1.1086009999999999</v>
      </c>
      <c r="L1564">
        <v>282.90890000000002</v>
      </c>
      <c r="M1564">
        <v>-0.99978529999999999</v>
      </c>
      <c r="N1564">
        <v>0</v>
      </c>
      <c r="O1564">
        <v>-1.9281400000000001E-2</v>
      </c>
      <c r="P1564">
        <v>-0.98931440000000004</v>
      </c>
      <c r="Q1564">
        <v>0.14502229999999999</v>
      </c>
      <c r="R1564">
        <v>1.503733E-2</v>
      </c>
      <c r="S1564">
        <v>-3.0500790000000002</v>
      </c>
      <c r="T1564">
        <v>-0.1010929</v>
      </c>
      <c r="U1564">
        <v>-0.18475340000000001</v>
      </c>
      <c r="V1564">
        <v>3.434487E-2</v>
      </c>
      <c r="W1564">
        <v>0.15249019999999999</v>
      </c>
      <c r="X1564">
        <v>0.98770800000000003</v>
      </c>
      <c r="Y1564">
        <v>-4.1192590000000001E-2</v>
      </c>
      <c r="Z1564" s="1">
        <v>-4.3633859999999898E-5</v>
      </c>
      <c r="AA1564">
        <v>0.99915120000000002</v>
      </c>
      <c r="AB1564">
        <v>30</v>
      </c>
      <c r="AC1564">
        <v>-33.103099999999898</v>
      </c>
      <c r="AD1564">
        <v>-1.10859906269</v>
      </c>
      <c r="AE1564">
        <v>-2.02010000000001</v>
      </c>
      <c r="AF1564">
        <v>-1.3798900961218501</v>
      </c>
      <c r="AG1564">
        <v>-1.10859906269</v>
      </c>
      <c r="AH1564">
        <v>33.0989133774723</v>
      </c>
      <c r="AI1564">
        <v>91.916656470197594</v>
      </c>
      <c r="AJ1564">
        <v>92.387272388203897</v>
      </c>
      <c r="AK1564">
        <v>33.146208762520402</v>
      </c>
      <c r="AL1564">
        <v>81.228734689899497</v>
      </c>
      <c r="AM1564">
        <v>88.008496873264704</v>
      </c>
      <c r="AN1564">
        <v>0.99999996222767695</v>
      </c>
    </row>
    <row r="1565" spans="1:40" x14ac:dyDescent="0.25">
      <c r="A1565" t="str">
        <f>"20190312172646043"</f>
        <v>20190312172646043</v>
      </c>
      <c r="B1565" t="str">
        <f>"1552382806030329"</f>
        <v>1552382806030329</v>
      </c>
      <c r="C1565" t="s">
        <v>40</v>
      </c>
      <c r="D1565">
        <v>3.244154</v>
      </c>
      <c r="E1565">
        <v>0.47223769999999998</v>
      </c>
      <c r="F1565" t="s">
        <v>48</v>
      </c>
      <c r="G1565">
        <v>-276.1216</v>
      </c>
      <c r="H1565" s="1">
        <v>1.8824030000000001E-6</v>
      </c>
      <c r="I1565">
        <v>280.91950000000003</v>
      </c>
      <c r="J1565">
        <v>-243.7003</v>
      </c>
      <c r="K1565">
        <v>1.108557</v>
      </c>
      <c r="L1565">
        <v>282.89949999999999</v>
      </c>
      <c r="M1565">
        <v>-0.99981529999999996</v>
      </c>
      <c r="N1565">
        <v>0</v>
      </c>
      <c r="O1565">
        <v>-1.762708E-2</v>
      </c>
      <c r="P1565">
        <v>-0.98925859999999999</v>
      </c>
      <c r="Q1565">
        <v>0.14531279999999999</v>
      </c>
      <c r="R1565">
        <v>1.5863149999999999E-2</v>
      </c>
      <c r="S1565">
        <v>-3.050217</v>
      </c>
      <c r="T1565">
        <v>-0.102461</v>
      </c>
      <c r="U1565">
        <v>-0.18386839999999999</v>
      </c>
      <c r="V1565">
        <v>3.3551159999999997E-2</v>
      </c>
      <c r="W1565">
        <v>0.15282570000000001</v>
      </c>
      <c r="X1565">
        <v>0.98768350000000005</v>
      </c>
      <c r="Y1565">
        <v>-4.255221E-2</v>
      </c>
      <c r="Z1565">
        <v>-1.2251419999999999E-4</v>
      </c>
      <c r="AA1565">
        <v>0.99909420000000004</v>
      </c>
      <c r="AB1565">
        <v>30</v>
      </c>
      <c r="AC1565">
        <v>-32.421300000000002</v>
      </c>
      <c r="AD1565">
        <v>-1.1085551175970001</v>
      </c>
      <c r="AE1565">
        <v>-1.97999999999996</v>
      </c>
      <c r="AF1565">
        <v>-1.4065444534209799</v>
      </c>
      <c r="AG1565">
        <v>-1.1085551175970001</v>
      </c>
      <c r="AH1565">
        <v>32.413411189512701</v>
      </c>
      <c r="AI1565">
        <v>91.956941081961602</v>
      </c>
      <c r="AJ1565">
        <v>92.484728731084303</v>
      </c>
      <c r="AK1565">
        <v>32.4628477907997</v>
      </c>
      <c r="AL1565">
        <v>81.209284624474805</v>
      </c>
      <c r="AM1565">
        <v>88.054436505174806</v>
      </c>
      <c r="AN1565">
        <v>1.00000003554504</v>
      </c>
    </row>
    <row r="1566" spans="1:40" x14ac:dyDescent="0.25">
      <c r="A1566" t="str">
        <f>"20190312172646067"</f>
        <v>20190312172646067</v>
      </c>
      <c r="B1566" t="str">
        <f>"1552382806060575"</f>
        <v>1552382806060575</v>
      </c>
      <c r="C1566" t="s">
        <v>40</v>
      </c>
      <c r="D1566">
        <v>3.1739630000000001</v>
      </c>
      <c r="E1566">
        <v>0.4721302</v>
      </c>
      <c r="F1566" t="s">
        <v>48</v>
      </c>
      <c r="G1566">
        <v>-275.96080000000001</v>
      </c>
      <c r="H1566" s="1">
        <v>1.7948419999999901E-6</v>
      </c>
      <c r="I1566">
        <v>280.96559999999999</v>
      </c>
      <c r="J1566">
        <v>-244.02690000000001</v>
      </c>
      <c r="K1566">
        <v>1.1085480000000001</v>
      </c>
      <c r="L1566">
        <v>282.8947</v>
      </c>
      <c r="M1566">
        <v>-0.99983120000000003</v>
      </c>
      <c r="N1566">
        <v>0</v>
      </c>
      <c r="O1566">
        <v>-1.6688399999999999E-2</v>
      </c>
      <c r="P1566">
        <v>-0.98919509999999999</v>
      </c>
      <c r="Q1566">
        <v>0.1456953</v>
      </c>
      <c r="R1566">
        <v>1.6311340000000001E-2</v>
      </c>
      <c r="S1566">
        <v>-3.050888</v>
      </c>
      <c r="T1566">
        <v>-0.10483629999999999</v>
      </c>
      <c r="U1566">
        <v>-0.18289179999999999</v>
      </c>
      <c r="V1566">
        <v>3.3076830000000002E-2</v>
      </c>
      <c r="W1566">
        <v>0.15323429999999999</v>
      </c>
      <c r="X1566">
        <v>0.98763610000000002</v>
      </c>
      <c r="Y1566">
        <v>-4.3156800000000002E-2</v>
      </c>
      <c r="Z1566">
        <v>-1.67907599999999E-4</v>
      </c>
      <c r="AA1566">
        <v>0.99906830000000002</v>
      </c>
      <c r="AB1566">
        <v>31</v>
      </c>
      <c r="AC1566">
        <v>-31.933899999999898</v>
      </c>
      <c r="AD1566">
        <v>-1.108546205158</v>
      </c>
      <c r="AE1566">
        <v>-1.9291</v>
      </c>
      <c r="AF1566">
        <v>-1.3942159128582501</v>
      </c>
      <c r="AG1566">
        <v>-1.108546205158</v>
      </c>
      <c r="AH1566">
        <v>31.9233179346047</v>
      </c>
      <c r="AI1566">
        <v>91.986920422531</v>
      </c>
      <c r="AJ1566">
        <v>92.500741184606298</v>
      </c>
      <c r="AK1566">
        <v>31.9729720334925</v>
      </c>
      <c r="AL1566">
        <v>81.185593747632694</v>
      </c>
      <c r="AM1566">
        <v>88.081829257658796</v>
      </c>
      <c r="AN1566">
        <v>0.99999994670127301</v>
      </c>
    </row>
    <row r="1567" spans="1:40" x14ac:dyDescent="0.25">
      <c r="A1567" t="str">
        <f>"20190312172646088"</f>
        <v>20190312172646088</v>
      </c>
      <c r="B1567" t="str">
        <f>"1552382806080095"</f>
        <v>1552382806080095</v>
      </c>
      <c r="C1567" t="s">
        <v>40</v>
      </c>
      <c r="D1567">
        <v>3.1937500000000001</v>
      </c>
      <c r="E1567">
        <v>0.47203800000000001</v>
      </c>
      <c r="F1567" t="s">
        <v>48</v>
      </c>
      <c r="G1567">
        <v>-276.02870000000001</v>
      </c>
      <c r="H1567" s="1">
        <v>1.8302099999999999E-6</v>
      </c>
      <c r="I1567">
        <v>280.98230000000001</v>
      </c>
      <c r="J1567">
        <v>-244.32849999999999</v>
      </c>
      <c r="K1567">
        <v>1.1085389999999999</v>
      </c>
      <c r="L1567">
        <v>282.89049999999997</v>
      </c>
      <c r="M1567">
        <v>-0.99984510000000004</v>
      </c>
      <c r="N1567">
        <v>0</v>
      </c>
      <c r="O1567">
        <v>-1.5822340000000001E-2</v>
      </c>
      <c r="P1567">
        <v>-0.98908870000000004</v>
      </c>
      <c r="Q1567">
        <v>0.14635709999999999</v>
      </c>
      <c r="R1567">
        <v>1.683012E-2</v>
      </c>
      <c r="S1567">
        <v>-3.0513460000000001</v>
      </c>
      <c r="T1567">
        <v>-0.1056989</v>
      </c>
      <c r="U1567">
        <v>-0.18234249999999999</v>
      </c>
      <c r="V1567">
        <v>3.2743019999999998E-2</v>
      </c>
      <c r="W1567">
        <v>0.1539198</v>
      </c>
      <c r="X1567">
        <v>0.98754070000000005</v>
      </c>
      <c r="Y1567">
        <v>-4.3832820000000002E-2</v>
      </c>
      <c r="Z1567">
        <v>-2.109135E-4</v>
      </c>
      <c r="AA1567">
        <v>0.99903889999999995</v>
      </c>
      <c r="AB1567">
        <v>31</v>
      </c>
      <c r="AC1567">
        <v>-31.700199999999999</v>
      </c>
      <c r="AD1567">
        <v>-1.1085371697899999</v>
      </c>
      <c r="AE1567">
        <v>-1.9081999999999599</v>
      </c>
      <c r="AF1567">
        <v>-1.40466336391178</v>
      </c>
      <c r="AG1567">
        <v>-1.1085371697899999</v>
      </c>
      <c r="AH1567">
        <v>31.687814746164801</v>
      </c>
      <c r="AI1567">
        <v>92.001601437437202</v>
      </c>
      <c r="AJ1567">
        <v>92.538156391506107</v>
      </c>
      <c r="AK1567">
        <v>31.7382976419653</v>
      </c>
      <c r="AL1567">
        <v>81.1458466203471</v>
      </c>
      <c r="AM1567">
        <v>88.100989815015893</v>
      </c>
      <c r="AN1567">
        <v>1.0000000221736201</v>
      </c>
    </row>
    <row r="1568" spans="1:40" x14ac:dyDescent="0.25">
      <c r="A1568" t="str">
        <f>"20190312172646111"</f>
        <v>20190312172646111</v>
      </c>
      <c r="B1568" t="str">
        <f>"1552382806100591"</f>
        <v>1552382806100591</v>
      </c>
      <c r="C1568" t="s">
        <v>40</v>
      </c>
      <c r="D1568">
        <v>3.1729859999999999</v>
      </c>
      <c r="E1568">
        <v>0.47198610000000002</v>
      </c>
      <c r="F1568" t="s">
        <v>48</v>
      </c>
      <c r="G1568">
        <v>-276.72919999999999</v>
      </c>
      <c r="H1568" s="1">
        <v>2.2036279999999999E-6</v>
      </c>
      <c r="I1568">
        <v>280.96800000000002</v>
      </c>
      <c r="J1568">
        <v>-244.63290000000001</v>
      </c>
      <c r="K1568">
        <v>1.108528</v>
      </c>
      <c r="L1568">
        <v>282.88650000000001</v>
      </c>
      <c r="M1568">
        <v>-0.99985849999999998</v>
      </c>
      <c r="N1568">
        <v>0</v>
      </c>
      <c r="O1568">
        <v>-1.494974E-2</v>
      </c>
      <c r="P1568">
        <v>-0.98900350000000004</v>
      </c>
      <c r="Q1568">
        <v>0.14685909999999999</v>
      </c>
      <c r="R1568">
        <v>1.7459220000000001E-2</v>
      </c>
      <c r="S1568">
        <v>-3.05159</v>
      </c>
      <c r="T1568">
        <v>-0.104405</v>
      </c>
      <c r="U1568">
        <v>-0.18106079999999999</v>
      </c>
      <c r="V1568">
        <v>3.2512649999999997E-2</v>
      </c>
      <c r="W1568">
        <v>0.1544461</v>
      </c>
      <c r="X1568">
        <v>0.98746610000000001</v>
      </c>
      <c r="Y1568">
        <v>-4.4281439999999998E-2</v>
      </c>
      <c r="Z1568">
        <v>-2.4579529999999998E-4</v>
      </c>
      <c r="AA1568">
        <v>0.99901910000000005</v>
      </c>
      <c r="AB1568">
        <v>31</v>
      </c>
      <c r="AC1568">
        <v>-32.0962999999999</v>
      </c>
      <c r="AD1568">
        <v>-1.1085257963720001</v>
      </c>
      <c r="AE1568">
        <v>-1.9184999999999901</v>
      </c>
      <c r="AF1568">
        <v>-1.4367322875442601</v>
      </c>
      <c r="AG1568">
        <v>-1.1085257963720001</v>
      </c>
      <c r="AH1568">
        <v>32.083260934447303</v>
      </c>
      <c r="AI1568">
        <v>91.976890077853895</v>
      </c>
      <c r="AJ1568">
        <v>92.564070284015997</v>
      </c>
      <c r="AK1568">
        <v>32.134540004411498</v>
      </c>
      <c r="AL1568">
        <v>81.115326568763294</v>
      </c>
      <c r="AM1568">
        <v>88.114198644571701</v>
      </c>
      <c r="AN1568">
        <v>0.99999998443222105</v>
      </c>
    </row>
    <row r="1569" spans="1:40" x14ac:dyDescent="0.25">
      <c r="A1569" t="str">
        <f>"20190312172646133"</f>
        <v>20190312172646133</v>
      </c>
      <c r="B1569" t="str">
        <f>"1552382806120111"</f>
        <v>1552382806120111</v>
      </c>
      <c r="C1569" t="s">
        <v>40</v>
      </c>
      <c r="D1569">
        <v>3.1919900000000001</v>
      </c>
      <c r="E1569">
        <v>0.47193659999999998</v>
      </c>
      <c r="F1569" t="s">
        <v>48</v>
      </c>
      <c r="G1569">
        <v>-277.28879999999998</v>
      </c>
      <c r="H1569" s="1">
        <v>2.501694E-6</v>
      </c>
      <c r="I1569">
        <v>280.96249999999998</v>
      </c>
      <c r="J1569">
        <v>-244.95050000000001</v>
      </c>
      <c r="K1569">
        <v>1.108519</v>
      </c>
      <c r="L1569">
        <v>282.8827</v>
      </c>
      <c r="M1569">
        <v>-0.99987139999999997</v>
      </c>
      <c r="N1569">
        <v>0</v>
      </c>
      <c r="O1569">
        <v>-1.4040789999999999E-2</v>
      </c>
      <c r="P1569">
        <v>-0.98908459999999998</v>
      </c>
      <c r="Q1569">
        <v>0.14629049999999999</v>
      </c>
      <c r="R1569">
        <v>1.7637599999999899E-2</v>
      </c>
      <c r="S1569">
        <v>-3.0519099999999999</v>
      </c>
      <c r="T1569">
        <v>-0.1035988</v>
      </c>
      <c r="U1569">
        <v>-0.17980960000000001</v>
      </c>
      <c r="V1569">
        <v>3.1795860000000002E-2</v>
      </c>
      <c r="W1569">
        <v>0.15390479999999901</v>
      </c>
      <c r="X1569">
        <v>0.98757399999999995</v>
      </c>
      <c r="Y1569">
        <v>-4.4774719999999997E-2</v>
      </c>
      <c r="Z1569">
        <v>-2.8304920000000002E-4</v>
      </c>
      <c r="AA1569">
        <v>0.99899709999999997</v>
      </c>
      <c r="AB1569">
        <v>31</v>
      </c>
      <c r="AC1569">
        <v>-32.338299999999897</v>
      </c>
      <c r="AD1569">
        <v>-1.1085164983059901</v>
      </c>
      <c r="AE1569">
        <v>-1.9202000000000199</v>
      </c>
      <c r="AF1569">
        <v>-1.46422732093538</v>
      </c>
      <c r="AG1569">
        <v>-1.1085164983059901</v>
      </c>
      <c r="AH1569">
        <v>32.324225363529301</v>
      </c>
      <c r="AI1569">
        <v>91.962102713682995</v>
      </c>
      <c r="AJ1569">
        <v>92.593619305702106</v>
      </c>
      <c r="AK1569">
        <v>32.376354270155602</v>
      </c>
      <c r="AL1569">
        <v>81.1467165340365</v>
      </c>
      <c r="AM1569">
        <v>88.155946281522006</v>
      </c>
      <c r="AN1569">
        <v>1.00000003482608</v>
      </c>
    </row>
    <row r="1570" spans="1:40" x14ac:dyDescent="0.25">
      <c r="A1570" t="str">
        <f>"20190312172646155"</f>
        <v>20190312172646155</v>
      </c>
      <c r="B1570" t="str">
        <f>"1552382806150876"</f>
        <v>1552382806150876</v>
      </c>
      <c r="C1570" t="s">
        <v>40</v>
      </c>
      <c r="D1570">
        <v>3.2241909999999998</v>
      </c>
      <c r="E1570">
        <v>0.47182069999999998</v>
      </c>
      <c r="F1570" t="s">
        <v>48</v>
      </c>
      <c r="G1570">
        <v>-276.7364</v>
      </c>
      <c r="H1570" s="1">
        <v>2.2052909999999998E-6</v>
      </c>
      <c r="I1570">
        <v>281.01710000000003</v>
      </c>
      <c r="J1570">
        <v>-245.25319999999999</v>
      </c>
      <c r="K1570">
        <v>1.108508</v>
      </c>
      <c r="L1570">
        <v>282.8793</v>
      </c>
      <c r="M1570">
        <v>-0.99988290000000002</v>
      </c>
      <c r="N1570">
        <v>0</v>
      </c>
      <c r="O1570">
        <v>-1.317524E-2</v>
      </c>
      <c r="P1570">
        <v>-0.98929129999999998</v>
      </c>
      <c r="Q1570">
        <v>0.1448894</v>
      </c>
      <c r="R1570">
        <v>1.7607970000000001E-2</v>
      </c>
      <c r="S1570">
        <v>-3.0520170000000002</v>
      </c>
      <c r="T1570">
        <v>-0.1064377</v>
      </c>
      <c r="U1570">
        <v>-0.1791382</v>
      </c>
      <c r="V1570">
        <v>3.0913570000000001E-2</v>
      </c>
      <c r="W1570">
        <v>0.15253120000000001</v>
      </c>
      <c r="X1570">
        <v>0.98781509999999995</v>
      </c>
      <c r="Y1570">
        <v>-4.541655E-2</v>
      </c>
      <c r="Z1570">
        <v>-3.3211409999999998E-4</v>
      </c>
      <c r="AA1570">
        <v>0.99896810000000003</v>
      </c>
      <c r="AB1570">
        <v>31</v>
      </c>
      <c r="AC1570">
        <v>-31.4832</v>
      </c>
      <c r="AD1570">
        <v>-1.108505794709</v>
      </c>
      <c r="AE1570">
        <v>-1.8621999999999701</v>
      </c>
      <c r="AF1570">
        <v>-1.4454413986480401</v>
      </c>
      <c r="AG1570">
        <v>-1.108505794709</v>
      </c>
      <c r="AH1570">
        <v>31.466130150021701</v>
      </c>
      <c r="AI1570">
        <v>92.015488609266697</v>
      </c>
      <c r="AJ1570">
        <v>92.630114100724697</v>
      </c>
      <c r="AK1570">
        <v>31.518810773123001</v>
      </c>
      <c r="AL1570">
        <v>81.226358478266704</v>
      </c>
      <c r="AM1570">
        <v>88.207519601267407</v>
      </c>
      <c r="AN1570">
        <v>1.0000000437857901</v>
      </c>
    </row>
    <row r="1571" spans="1:40" x14ac:dyDescent="0.25">
      <c r="A1571" t="str">
        <f>"20190312172646176"</f>
        <v>20190312172646176</v>
      </c>
      <c r="B1571" t="str">
        <f>"1552382806170396"</f>
        <v>1552382806170396</v>
      </c>
      <c r="C1571" t="s">
        <v>40</v>
      </c>
      <c r="D1571">
        <v>3.1819929999999998</v>
      </c>
      <c r="E1571">
        <v>0.47167809999999999</v>
      </c>
      <c r="F1571" t="s">
        <v>48</v>
      </c>
      <c r="G1571">
        <v>-275.5668</v>
      </c>
      <c r="H1571" s="1">
        <v>1.579442E-6</v>
      </c>
      <c r="I1571">
        <v>281.09609999999998</v>
      </c>
      <c r="J1571">
        <v>-245.54599999999999</v>
      </c>
      <c r="K1571">
        <v>1.1084989999999999</v>
      </c>
      <c r="L1571">
        <v>282.87630000000001</v>
      </c>
      <c r="M1571">
        <v>-0.99989340000000004</v>
      </c>
      <c r="N1571">
        <v>0</v>
      </c>
      <c r="O1571">
        <v>-1.2338419999999999E-2</v>
      </c>
      <c r="P1571">
        <v>-0.98930510000000005</v>
      </c>
      <c r="Q1571">
        <v>0.14478920000000001</v>
      </c>
      <c r="R1571">
        <v>1.765539E-2</v>
      </c>
      <c r="S1571">
        <v>-3.051987</v>
      </c>
      <c r="T1571">
        <v>-0.111605</v>
      </c>
      <c r="U1571">
        <v>-0.1795349</v>
      </c>
      <c r="V1571">
        <v>3.0136010000000001E-2</v>
      </c>
      <c r="W1571">
        <v>0.15245629999999999</v>
      </c>
      <c r="X1571">
        <v>0.98785069999999997</v>
      </c>
      <c r="Y1571">
        <v>-4.6379429999999999E-2</v>
      </c>
      <c r="Z1571">
        <v>-3.9637089999999998E-4</v>
      </c>
      <c r="AA1571">
        <v>0.99892380000000003</v>
      </c>
      <c r="AB1571">
        <v>31</v>
      </c>
      <c r="AC1571">
        <v>-30.020800000000001</v>
      </c>
      <c r="AD1571">
        <v>-1.1084974205579901</v>
      </c>
      <c r="AE1571">
        <v>-1.78020000000003</v>
      </c>
      <c r="AF1571">
        <v>-1.4077313700012299</v>
      </c>
      <c r="AG1571">
        <v>-1.1084974205579901</v>
      </c>
      <c r="AH1571">
        <v>29.999721719674302</v>
      </c>
      <c r="AI1571">
        <v>92.113807205566104</v>
      </c>
      <c r="AJ1571">
        <v>92.686623042984394</v>
      </c>
      <c r="AK1571">
        <v>30.053182483713201</v>
      </c>
      <c r="AL1571">
        <v>81.230700807167693</v>
      </c>
      <c r="AM1571">
        <v>88.252639959097806</v>
      </c>
      <c r="AN1571">
        <v>1.00000005399944</v>
      </c>
    </row>
    <row r="1572" spans="1:40" x14ac:dyDescent="0.25">
      <c r="A1572" t="str">
        <f>"20190312172646200"</f>
        <v>20190312172646200</v>
      </c>
      <c r="B1572" t="str">
        <f>"1552382806189916"</f>
        <v>1552382806189916</v>
      </c>
      <c r="C1572" t="s">
        <v>40</v>
      </c>
      <c r="D1572">
        <v>3.22166</v>
      </c>
      <c r="E1572">
        <v>0.4715221</v>
      </c>
      <c r="F1572" t="s">
        <v>48</v>
      </c>
      <c r="G1572">
        <v>-275.4778</v>
      </c>
      <c r="H1572" s="1">
        <v>1.5315629999999999E-6</v>
      </c>
      <c r="I1572">
        <v>281.10789999999997</v>
      </c>
      <c r="J1572">
        <v>-245.875</v>
      </c>
      <c r="K1572">
        <v>1.108492</v>
      </c>
      <c r="L1572">
        <v>282.8732</v>
      </c>
      <c r="M1572">
        <v>-0.99990449999999997</v>
      </c>
      <c r="N1572">
        <v>0</v>
      </c>
      <c r="O1572">
        <v>-1.139862E-2</v>
      </c>
      <c r="P1572">
        <v>-0.98931159999999996</v>
      </c>
      <c r="Q1572">
        <v>0.14467369999999999</v>
      </c>
      <c r="R1572">
        <v>1.8224239999999999E-2</v>
      </c>
      <c r="S1572">
        <v>-3.0522</v>
      </c>
      <c r="T1572">
        <v>-0.1130357</v>
      </c>
      <c r="U1572">
        <v>-0.1803284</v>
      </c>
      <c r="V1572">
        <v>2.9777459999999999E-2</v>
      </c>
      <c r="W1572">
        <v>0.15236769999999999</v>
      </c>
      <c r="X1572">
        <v>0.98787519999999995</v>
      </c>
      <c r="Y1572">
        <v>-4.7570910000000001E-2</v>
      </c>
      <c r="Z1572">
        <v>-4.5820909999999998E-4</v>
      </c>
      <c r="AA1572">
        <v>0.99886779999999997</v>
      </c>
      <c r="AB1572">
        <v>31</v>
      </c>
      <c r="AC1572">
        <v>-29.602799999999998</v>
      </c>
      <c r="AD1572">
        <v>-1.1084904684370001</v>
      </c>
      <c r="AE1572">
        <v>-1.7653000000000201</v>
      </c>
      <c r="AF1572">
        <v>-1.42575188515857</v>
      </c>
      <c r="AG1572">
        <v>-1.1084904684370001</v>
      </c>
      <c r="AH1572">
        <v>29.5796707569157</v>
      </c>
      <c r="AI1572">
        <v>92.143653781497704</v>
      </c>
      <c r="AJ1572">
        <v>92.759543601111602</v>
      </c>
      <c r="AK1572">
        <v>29.634750575029098</v>
      </c>
      <c r="AL1572">
        <v>81.235836850029401</v>
      </c>
      <c r="AM1572">
        <v>88.273459705926598</v>
      </c>
      <c r="AN1572">
        <v>1.00000001195119</v>
      </c>
    </row>
    <row r="1573" spans="1:40" x14ac:dyDescent="0.25">
      <c r="A1573" t="str">
        <f>"20190312172646223"</f>
        <v>20190312172646223</v>
      </c>
      <c r="B1573" t="str">
        <f>"1552382806220172"</f>
        <v>1552382806220172</v>
      </c>
      <c r="C1573" t="s">
        <v>40</v>
      </c>
      <c r="D1573">
        <v>2.7025109999999999</v>
      </c>
      <c r="E1573">
        <v>0.48046949999999999</v>
      </c>
      <c r="F1573" t="s">
        <v>48</v>
      </c>
      <c r="G1573">
        <v>-275.67200000000003</v>
      </c>
      <c r="H1573" s="1">
        <v>1.6346359999999999E-6</v>
      </c>
      <c r="I1573">
        <v>281.1146</v>
      </c>
      <c r="J1573">
        <v>-246.19229999999999</v>
      </c>
      <c r="K1573">
        <v>1.1084849999999999</v>
      </c>
      <c r="L1573">
        <v>282.87049999999999</v>
      </c>
      <c r="M1573">
        <v>-0.99991390000000002</v>
      </c>
      <c r="N1573">
        <v>0</v>
      </c>
      <c r="O1573">
        <v>-1.0492090000000001E-2</v>
      </c>
      <c r="P1573">
        <v>-0.98939319999999997</v>
      </c>
      <c r="Q1573">
        <v>0.14410789999999901</v>
      </c>
      <c r="R1573">
        <v>1.8280709999999999E-2</v>
      </c>
      <c r="S1573">
        <v>-3.0523220000000002</v>
      </c>
      <c r="T1573">
        <v>-0.11355079999999999</v>
      </c>
      <c r="U1573">
        <v>-0.18014530000000001</v>
      </c>
      <c r="V1573">
        <v>2.8939360000000001E-2</v>
      </c>
      <c r="W1573">
        <v>0.15182950000000001</v>
      </c>
      <c r="X1573">
        <v>0.98798299999999994</v>
      </c>
      <c r="Y1573">
        <v>-4.8412999999999998E-2</v>
      </c>
      <c r="Z1573">
        <v>-5.0960000000000003E-4</v>
      </c>
      <c r="AA1573">
        <v>0.99882729999999997</v>
      </c>
      <c r="AB1573">
        <v>31</v>
      </c>
      <c r="AC1573">
        <v>-29.479700000000001</v>
      </c>
      <c r="AD1573">
        <v>-1.1084833653640001</v>
      </c>
      <c r="AE1573">
        <v>-1.75589999999999</v>
      </c>
      <c r="AF1573">
        <v>-1.4444550072162701</v>
      </c>
      <c r="AG1573">
        <v>-1.1084833653640001</v>
      </c>
      <c r="AH1573">
        <v>29.455002284420299</v>
      </c>
      <c r="AI1573">
        <v>92.152616989174902</v>
      </c>
      <c r="AJ1573">
        <v>92.807500313303393</v>
      </c>
      <c r="AK1573">
        <v>29.5112240548298</v>
      </c>
      <c r="AL1573">
        <v>81.267036734932802</v>
      </c>
      <c r="AM1573">
        <v>88.322208757212096</v>
      </c>
      <c r="AN1573">
        <v>1.0000000459582199</v>
      </c>
    </row>
    <row r="1574" spans="1:40" x14ac:dyDescent="0.25">
      <c r="A1574" t="str">
        <f>"20190312172646332"</f>
        <v>20190312172646332</v>
      </c>
      <c r="B1574" t="str">
        <f>"1552382806329990"</f>
        <v>1552382806329990</v>
      </c>
      <c r="C1574" t="s">
        <v>40</v>
      </c>
      <c r="D1574">
        <v>3.5169619999999999</v>
      </c>
      <c r="E1574">
        <v>0.55848900000000001</v>
      </c>
      <c r="F1574" t="s">
        <v>44</v>
      </c>
      <c r="G1574">
        <v>-248.37649999999999</v>
      </c>
      <c r="H1574">
        <v>0.98249790000000004</v>
      </c>
      <c r="I1574">
        <v>282.83350000000002</v>
      </c>
      <c r="J1574">
        <v>-247.74449999999999</v>
      </c>
      <c r="K1574">
        <v>1.1084590000000001</v>
      </c>
      <c r="L1574">
        <v>282.86130000000003</v>
      </c>
      <c r="M1574">
        <v>-0.99994989999999995</v>
      </c>
      <c r="N1574">
        <v>0</v>
      </c>
      <c r="O1574">
        <v>-6.0614789999999998E-3</v>
      </c>
      <c r="P1574">
        <v>-0.98926780000000003</v>
      </c>
      <c r="Q1574">
        <v>0.144003399999999</v>
      </c>
      <c r="R1574">
        <v>2.4752420000000001E-2</v>
      </c>
      <c r="S1574">
        <v>-3.0957949999999999</v>
      </c>
      <c r="T1574">
        <v>-0.41819919999999999</v>
      </c>
      <c r="U1574">
        <v>-9.6710210000000005E-2</v>
      </c>
      <c r="V1574">
        <v>3.103527E-2</v>
      </c>
      <c r="W1574">
        <v>0.15184449999999999</v>
      </c>
      <c r="X1574">
        <v>0.98791700000000005</v>
      </c>
      <c r="Y1574">
        <v>-2.4992919999999998E-2</v>
      </c>
      <c r="Z1574">
        <v>-8.6513619999999895E-4</v>
      </c>
      <c r="AA1574">
        <v>0.99968729999999995</v>
      </c>
      <c r="AB1574">
        <v>32</v>
      </c>
      <c r="AC1574">
        <v>-0.632000000000005</v>
      </c>
      <c r="AD1574">
        <v>-0.12596109999999999</v>
      </c>
      <c r="AE1574">
        <v>-2.78000000000133E-2</v>
      </c>
      <c r="AF1574">
        <v>-2.3054494776567999E-2</v>
      </c>
      <c r="AG1574">
        <v>-0.12596109999999999</v>
      </c>
      <c r="AH1574">
        <v>0.60805015476973201</v>
      </c>
      <c r="AI1574">
        <v>101.695439252911</v>
      </c>
      <c r="AJ1574">
        <v>92.171355118357496</v>
      </c>
      <c r="AK1574">
        <v>0.62138772047579804</v>
      </c>
      <c r="AL1574">
        <v>81.2661665439324</v>
      </c>
      <c r="AM1574">
        <v>88.200653119640805</v>
      </c>
      <c r="AN1574">
        <v>0.99999996952661097</v>
      </c>
    </row>
    <row r="1575" spans="1:40" x14ac:dyDescent="0.25">
      <c r="A1575" t="str">
        <f>"20190312172646355"</f>
        <v>20190312172646355</v>
      </c>
      <c r="B1575" t="str">
        <f>"1552382806350486"</f>
        <v>1552382806350486</v>
      </c>
      <c r="C1575" t="s">
        <v>40</v>
      </c>
      <c r="D1575">
        <v>3.421748</v>
      </c>
      <c r="E1575">
        <v>0.5609826</v>
      </c>
      <c r="F1575" t="s">
        <v>44</v>
      </c>
      <c r="G1575">
        <v>-248.67609999999999</v>
      </c>
      <c r="H1575">
        <v>1.013582</v>
      </c>
      <c r="I1575">
        <v>283.02300000000002</v>
      </c>
      <c r="J1575">
        <v>-248.04849999999999</v>
      </c>
      <c r="K1575">
        <v>1.108452</v>
      </c>
      <c r="L1575">
        <v>282.8603</v>
      </c>
      <c r="M1575">
        <v>-0.99995449999999997</v>
      </c>
      <c r="N1575">
        <v>0</v>
      </c>
      <c r="O1575">
        <v>-5.1944119999999998E-3</v>
      </c>
      <c r="P1575">
        <v>-0.98924060000000003</v>
      </c>
      <c r="Q1575">
        <v>0.14387440000000001</v>
      </c>
      <c r="R1575">
        <v>2.6520160000000001E-2</v>
      </c>
      <c r="S1575">
        <v>-3.0646969999999998</v>
      </c>
      <c r="T1575">
        <v>-0.31220379999999998</v>
      </c>
      <c r="U1575">
        <v>0.53167719999999996</v>
      </c>
      <c r="V1575">
        <v>3.1946309999999999E-2</v>
      </c>
      <c r="W1575">
        <v>0.1517376</v>
      </c>
      <c r="X1575">
        <v>0.98790440000000002</v>
      </c>
      <c r="Y1575">
        <v>0.17514080000000001</v>
      </c>
      <c r="Z1575">
        <v>9.3563799999999992E-3</v>
      </c>
      <c r="AA1575">
        <v>0.98449889999999995</v>
      </c>
      <c r="AB1575">
        <v>32</v>
      </c>
      <c r="AC1575">
        <v>-0.62760000000000005</v>
      </c>
      <c r="AD1575">
        <v>-9.4869999999999996E-2</v>
      </c>
      <c r="AE1575">
        <v>0.16269999999997201</v>
      </c>
      <c r="AF1575">
        <v>0.16247903042494699</v>
      </c>
      <c r="AG1575">
        <v>-9.4869999999999996E-2</v>
      </c>
      <c r="AH1575">
        <v>0.61360820817109896</v>
      </c>
      <c r="AI1575">
        <v>98.500455931722996</v>
      </c>
      <c r="AJ1575">
        <v>75.168866658432904</v>
      </c>
      <c r="AK1575">
        <v>0.64180587825508195</v>
      </c>
      <c r="AL1575">
        <v>81.272363400805006</v>
      </c>
      <c r="AM1575">
        <v>88.1478459707415</v>
      </c>
      <c r="AN1575">
        <v>0.999999984757867</v>
      </c>
    </row>
    <row r="1576" spans="1:40" x14ac:dyDescent="0.25">
      <c r="A1576" t="str">
        <f>"20190312172646377"</f>
        <v>20190312172646377</v>
      </c>
      <c r="B1576" t="str">
        <f>"1552382806370006"</f>
        <v>1552382806370006</v>
      </c>
      <c r="C1576" t="s">
        <v>40</v>
      </c>
      <c r="D1576">
        <v>3.3393329999999999</v>
      </c>
      <c r="E1576">
        <v>0.55969099999999905</v>
      </c>
      <c r="F1576" t="s">
        <v>48</v>
      </c>
      <c r="G1576">
        <v>-262.93270000000001</v>
      </c>
      <c r="H1576" s="1">
        <v>2.3858719999999999E-8</v>
      </c>
      <c r="I1576">
        <v>285.58580000000001</v>
      </c>
      <c r="J1576">
        <v>-248.37809999999999</v>
      </c>
      <c r="K1576">
        <v>1.1084459999999901</v>
      </c>
      <c r="L1576">
        <v>282.85950000000003</v>
      </c>
      <c r="M1576">
        <v>-0.99995880000000004</v>
      </c>
      <c r="N1576">
        <v>0</v>
      </c>
      <c r="O1576">
        <v>-4.2542750000000001E-3</v>
      </c>
      <c r="P1576">
        <v>-0.98921859999999995</v>
      </c>
      <c r="Q1576">
        <v>0.1437011</v>
      </c>
      <c r="R1576">
        <v>2.8224989999999998E-2</v>
      </c>
      <c r="S1576">
        <v>-3.0506899999999999</v>
      </c>
      <c r="T1576">
        <v>-0.22718969999999999</v>
      </c>
      <c r="U1576">
        <v>0.55862429999999996</v>
      </c>
      <c r="V1576">
        <v>3.2721989999999999E-2</v>
      </c>
      <c r="W1576">
        <v>0.15158859999999999</v>
      </c>
      <c r="X1576">
        <v>0.9879019</v>
      </c>
      <c r="Y1576">
        <v>0.1837984</v>
      </c>
      <c r="Z1576">
        <v>7.0921219999999898E-3</v>
      </c>
      <c r="AA1576">
        <v>0.98293830000000004</v>
      </c>
      <c r="AB1576">
        <v>32</v>
      </c>
      <c r="AC1576">
        <v>-14.554600000000001</v>
      </c>
      <c r="AD1576">
        <v>-1.1084459761412699</v>
      </c>
      <c r="AE1576">
        <v>2.7262999999999802</v>
      </c>
      <c r="AF1576">
        <v>2.77266026342877</v>
      </c>
      <c r="AG1576">
        <v>-1.1084459761412699</v>
      </c>
      <c r="AH1576">
        <v>14.461834033362299</v>
      </c>
      <c r="AI1576">
        <v>94.304838890853901</v>
      </c>
      <c r="AJ1576">
        <v>79.146804820986503</v>
      </c>
      <c r="AK1576">
        <v>14.766886639604801</v>
      </c>
      <c r="AL1576">
        <v>81.281000500267893</v>
      </c>
      <c r="AM1576">
        <v>88.102901977982498</v>
      </c>
      <c r="AN1576">
        <v>0.99999999815156504</v>
      </c>
    </row>
    <row r="1577" spans="1:40" x14ac:dyDescent="0.25">
      <c r="A1577" t="str">
        <f>"20190312172646400"</f>
        <v>20190312172646400</v>
      </c>
      <c r="B1577" t="str">
        <f>"1552382806390502"</f>
        <v>1552382806390502</v>
      </c>
      <c r="C1577" t="s">
        <v>40</v>
      </c>
      <c r="D1577">
        <v>3.3683339999999902</v>
      </c>
      <c r="E1577">
        <v>0.55922190000000005</v>
      </c>
      <c r="F1577" t="s">
        <v>48</v>
      </c>
      <c r="G1577">
        <v>-265.08969999999999</v>
      </c>
      <c r="H1577" s="1">
        <v>1.1717069999999999E-6</v>
      </c>
      <c r="I1577">
        <v>285.8981</v>
      </c>
      <c r="J1577">
        <v>-248.70699999999999</v>
      </c>
      <c r="K1577">
        <v>1.1084430000000001</v>
      </c>
      <c r="L1577">
        <v>282.85899999999998</v>
      </c>
      <c r="M1577">
        <v>-0.99996200000000002</v>
      </c>
      <c r="N1577">
        <v>0</v>
      </c>
      <c r="O1577">
        <v>-3.316762E-3</v>
      </c>
      <c r="P1577">
        <v>-0.98917480000000002</v>
      </c>
      <c r="Q1577">
        <v>0.14361090000000001</v>
      </c>
      <c r="R1577">
        <v>3.0151870000000001E-2</v>
      </c>
      <c r="S1577">
        <v>-3.046249</v>
      </c>
      <c r="T1577">
        <v>-0.20205149999999999</v>
      </c>
      <c r="U1577">
        <v>0.553894</v>
      </c>
      <c r="V1577">
        <v>3.3722679999999998E-2</v>
      </c>
      <c r="W1577">
        <v>0.15152170000000001</v>
      </c>
      <c r="X1577">
        <v>0.98787849999999999</v>
      </c>
      <c r="Y1577">
        <v>0.1817636</v>
      </c>
      <c r="Z1577">
        <v>6.1905789999999999E-3</v>
      </c>
      <c r="AA1577">
        <v>0.98332269999999999</v>
      </c>
      <c r="AB1577">
        <v>32</v>
      </c>
      <c r="AC1577">
        <v>-16.3827</v>
      </c>
      <c r="AD1577">
        <v>-1.108441828293</v>
      </c>
      <c r="AE1577">
        <v>3.0390999999999599</v>
      </c>
      <c r="AF1577">
        <v>3.07979298355002</v>
      </c>
      <c r="AG1577">
        <v>-1.108441828293</v>
      </c>
      <c r="AH1577">
        <v>16.300392419057602</v>
      </c>
      <c r="AI1577">
        <v>93.822748852814001</v>
      </c>
      <c r="AJ1577">
        <v>79.300672449293003</v>
      </c>
      <c r="AK1577">
        <v>16.625780015491099</v>
      </c>
      <c r="AL1577">
        <v>81.2848782906552</v>
      </c>
      <c r="AM1577">
        <v>88.044883814008003</v>
      </c>
      <c r="AN1577">
        <v>0.99999998773976095</v>
      </c>
    </row>
    <row r="1578" spans="1:40" x14ac:dyDescent="0.25">
      <c r="A1578" t="str">
        <f>"20190312172646423"</f>
        <v>20190312172646423</v>
      </c>
      <c r="B1578" t="str">
        <f>"1552382806420758"</f>
        <v>1552382806420758</v>
      </c>
      <c r="C1578" t="s">
        <v>40</v>
      </c>
      <c r="D1578">
        <v>3.392547</v>
      </c>
      <c r="E1578">
        <v>0.55913029999999997</v>
      </c>
      <c r="F1578" t="s">
        <v>48</v>
      </c>
      <c r="G1578">
        <v>-266.45249999999999</v>
      </c>
      <c r="H1578" s="1">
        <v>1.896909E-6</v>
      </c>
      <c r="I1578">
        <v>286.10230000000001</v>
      </c>
      <c r="J1578">
        <v>-249.04079999999999</v>
      </c>
      <c r="K1578">
        <v>1.1084369999999999</v>
      </c>
      <c r="L1578">
        <v>282.85890000000001</v>
      </c>
      <c r="M1578">
        <v>-0.99996450000000003</v>
      </c>
      <c r="N1578">
        <v>0</v>
      </c>
      <c r="O1578">
        <v>-2.365303E-3</v>
      </c>
      <c r="P1578">
        <v>-0.98918340000000005</v>
      </c>
      <c r="Q1578">
        <v>0.1431808</v>
      </c>
      <c r="R1578">
        <v>3.186634E-2</v>
      </c>
      <c r="S1578">
        <v>-3.043488</v>
      </c>
      <c r="T1578">
        <v>-0.19010569999999999</v>
      </c>
      <c r="U1578">
        <v>0.55624390000000001</v>
      </c>
      <c r="V1578">
        <v>3.4496470000000001E-2</v>
      </c>
      <c r="W1578">
        <v>0.15111629999999901</v>
      </c>
      <c r="X1578">
        <v>0.98791390000000001</v>
      </c>
      <c r="Y1578">
        <v>0.18176629999999999</v>
      </c>
      <c r="Z1578">
        <v>5.7712680000000004E-3</v>
      </c>
      <c r="AA1578">
        <v>0.9833248</v>
      </c>
      <c r="AB1578">
        <v>32</v>
      </c>
      <c r="AC1578">
        <v>-17.4116999999999</v>
      </c>
      <c r="AD1578">
        <v>-1.108435103091</v>
      </c>
      <c r="AE1578">
        <v>3.2433999999999998</v>
      </c>
      <c r="AF1578">
        <v>3.2717615989933599</v>
      </c>
      <c r="AG1578">
        <v>-1.108435103091</v>
      </c>
      <c r="AH1578">
        <v>17.3360786033371</v>
      </c>
      <c r="AI1578">
        <v>93.595107634062899</v>
      </c>
      <c r="AJ1578">
        <v>79.3125237490149</v>
      </c>
      <c r="AK1578">
        <v>17.6768966077051</v>
      </c>
      <c r="AL1578">
        <v>81.308376762520098</v>
      </c>
      <c r="AM1578">
        <v>88.000129961815503</v>
      </c>
      <c r="AN1578">
        <v>1.0000000081906799</v>
      </c>
    </row>
    <row r="1579" spans="1:40" x14ac:dyDescent="0.25">
      <c r="A1579" t="str">
        <f>"20190312172646446"</f>
        <v>20190312172646446</v>
      </c>
      <c r="B1579" t="str">
        <f>"1552382806440278"</f>
        <v>1552382806440278</v>
      </c>
      <c r="C1579" t="s">
        <v>40</v>
      </c>
      <c r="D1579">
        <v>3.3555630000000001</v>
      </c>
      <c r="E1579">
        <v>0.55919209999999997</v>
      </c>
      <c r="F1579" t="s">
        <v>48</v>
      </c>
      <c r="G1579">
        <v>-267.6859</v>
      </c>
      <c r="H1579" s="1">
        <v>2.5532700000000002E-6</v>
      </c>
      <c r="I1579">
        <v>286.29939999999999</v>
      </c>
      <c r="J1579">
        <v>-249.3578</v>
      </c>
      <c r="K1579">
        <v>1.108433</v>
      </c>
      <c r="L1579">
        <v>282.85899999999998</v>
      </c>
      <c r="M1579">
        <v>-0.99996609999999997</v>
      </c>
      <c r="N1579">
        <v>0</v>
      </c>
      <c r="O1579">
        <v>-1.4617499999999999E-3</v>
      </c>
      <c r="P1579">
        <v>-0.98908490000000004</v>
      </c>
      <c r="Q1579">
        <v>0.1436085</v>
      </c>
      <c r="R1579">
        <v>3.2985239999999999E-2</v>
      </c>
      <c r="S1579">
        <v>-3.0408780000000002</v>
      </c>
      <c r="T1579">
        <v>-0.1807772</v>
      </c>
      <c r="U1579">
        <v>0.56112669999999998</v>
      </c>
      <c r="V1579">
        <v>3.4723490000000003E-2</v>
      </c>
      <c r="W1579">
        <v>0.15156220000000001</v>
      </c>
      <c r="X1579">
        <v>0.98783759999999998</v>
      </c>
      <c r="Y1579">
        <v>0.18258730000000001</v>
      </c>
      <c r="Z1579">
        <v>5.4633599999999996E-3</v>
      </c>
      <c r="AA1579">
        <v>0.9831744</v>
      </c>
      <c r="AB1579">
        <v>32</v>
      </c>
      <c r="AC1579">
        <v>-18.328099999999999</v>
      </c>
      <c r="AD1579">
        <v>-1.1084304467299999</v>
      </c>
      <c r="AE1579">
        <v>3.4403999999999502</v>
      </c>
      <c r="AF1579">
        <v>3.4549818777044501</v>
      </c>
      <c r="AG1579">
        <v>-1.1084304467299999</v>
      </c>
      <c r="AH1579">
        <v>18.258543942708201</v>
      </c>
      <c r="AI1579">
        <v>93.413590223346802</v>
      </c>
      <c r="AJ1579">
        <v>79.284869120116795</v>
      </c>
      <c r="AK1579">
        <v>18.615583384312998</v>
      </c>
      <c r="AL1579">
        <v>81.282530565804606</v>
      </c>
      <c r="AM1579">
        <v>87.986824326626106</v>
      </c>
      <c r="AN1579">
        <v>0.99999997260018902</v>
      </c>
    </row>
    <row r="1580" spans="1:40" x14ac:dyDescent="0.25">
      <c r="A1580" t="str">
        <f>"20190312172646466"</f>
        <v>20190312172646466</v>
      </c>
      <c r="B1580" t="str">
        <f>"1552382806460774"</f>
        <v>1552382806460774</v>
      </c>
      <c r="C1580" t="s">
        <v>40</v>
      </c>
      <c r="D1580">
        <v>3.3663379999999998</v>
      </c>
      <c r="E1580">
        <v>0.55917819999999996</v>
      </c>
      <c r="F1580" t="s">
        <v>48</v>
      </c>
      <c r="G1580">
        <v>-268.74270000000001</v>
      </c>
      <c r="H1580" s="1">
        <v>3.1156669999999998E-6</v>
      </c>
      <c r="I1580">
        <v>286.46300000000002</v>
      </c>
      <c r="J1580">
        <v>-249.64779999999999</v>
      </c>
      <c r="K1580">
        <v>1.10843799999999</v>
      </c>
      <c r="L1580">
        <v>282.85939999999999</v>
      </c>
      <c r="M1580">
        <v>-0.99996689999999999</v>
      </c>
      <c r="N1580">
        <v>0</v>
      </c>
      <c r="O1580">
        <v>-6.3577670000000003E-4</v>
      </c>
      <c r="P1580">
        <v>-0.98898549999999996</v>
      </c>
      <c r="Q1580">
        <v>0.144086299999999</v>
      </c>
      <c r="R1580">
        <v>3.3868309999999999E-2</v>
      </c>
      <c r="S1580">
        <v>-3.0394739999999998</v>
      </c>
      <c r="T1580">
        <v>-0.173796799999999</v>
      </c>
      <c r="U1580">
        <v>0.56509399999999999</v>
      </c>
      <c r="V1580">
        <v>3.4791599999999999E-2</v>
      </c>
      <c r="W1580">
        <v>0.15205189999999999</v>
      </c>
      <c r="X1580">
        <v>0.98775990000000002</v>
      </c>
      <c r="Y1580">
        <v>0.18312100000000001</v>
      </c>
      <c r="Z1580">
        <v>5.2228309999999998E-3</v>
      </c>
      <c r="AA1580">
        <v>0.98307650000000002</v>
      </c>
      <c r="AB1580">
        <v>32</v>
      </c>
      <c r="AC1580">
        <v>-19.094899999999999</v>
      </c>
      <c r="AD1580">
        <v>-1.1084348843330001</v>
      </c>
      <c r="AE1580">
        <v>3.6035999999999699</v>
      </c>
      <c r="AF1580">
        <v>3.6040131276942202</v>
      </c>
      <c r="AG1580">
        <v>-1.1084348843330001</v>
      </c>
      <c r="AH1580">
        <v>19.030683481274099</v>
      </c>
      <c r="AI1580">
        <v>93.275318517582406</v>
      </c>
      <c r="AJ1580">
        <v>79.276373950161599</v>
      </c>
      <c r="AK1580">
        <v>19.400630203213499</v>
      </c>
      <c r="AL1580">
        <v>81.254143429194002</v>
      </c>
      <c r="AM1580">
        <v>87.982720207278504</v>
      </c>
      <c r="AN1580">
        <v>0.99999992788608705</v>
      </c>
    </row>
    <row r="1581" spans="1:40" x14ac:dyDescent="0.25">
      <c r="A1581" t="str">
        <f>"20190312172646491"</f>
        <v>20190312172646491</v>
      </c>
      <c r="B1581" t="str">
        <f>"1552382806480294"</f>
        <v>1552382806480294</v>
      </c>
      <c r="C1581" t="s">
        <v>40</v>
      </c>
      <c r="D1581">
        <v>3.329021</v>
      </c>
      <c r="E1581">
        <v>0.55908239999999998</v>
      </c>
      <c r="F1581" t="s">
        <v>48</v>
      </c>
      <c r="G1581">
        <v>-269.78109999999998</v>
      </c>
      <c r="H1581" s="1">
        <v>3.6682310000000001E-6</v>
      </c>
      <c r="I1581">
        <v>286.62240000000003</v>
      </c>
      <c r="J1581">
        <v>-249.99930000000001</v>
      </c>
      <c r="K1581">
        <v>1.108433</v>
      </c>
      <c r="L1581">
        <v>282.86020000000002</v>
      </c>
      <c r="M1581">
        <v>-0.99996700000000005</v>
      </c>
      <c r="N1581">
        <v>0</v>
      </c>
      <c r="O1581">
        <v>3.6503209999999998E-4</v>
      </c>
      <c r="P1581">
        <v>-0.98878500000000003</v>
      </c>
      <c r="Q1581">
        <v>0.14517939999999999</v>
      </c>
      <c r="R1581">
        <v>3.5035740000000003E-2</v>
      </c>
      <c r="S1581">
        <v>-3.0383450000000001</v>
      </c>
      <c r="T1581">
        <v>-0.16727529999999999</v>
      </c>
      <c r="U1581">
        <v>0.56787109999999996</v>
      </c>
      <c r="V1581">
        <v>3.4972650000000001E-2</v>
      </c>
      <c r="W1581">
        <v>0.15314990000000001</v>
      </c>
      <c r="X1581">
        <v>0.98758389999999996</v>
      </c>
      <c r="Y1581">
        <v>0.1830939</v>
      </c>
      <c r="Z1581">
        <v>4.9732359999999998E-3</v>
      </c>
      <c r="AA1581">
        <v>0.98308280000000003</v>
      </c>
      <c r="AB1581">
        <v>32</v>
      </c>
      <c r="AC1581">
        <v>-19.781799999999901</v>
      </c>
      <c r="AD1581">
        <v>-1.1084293317689999</v>
      </c>
      <c r="AE1581">
        <v>3.7622</v>
      </c>
      <c r="AF1581">
        <v>3.7436350275633998</v>
      </c>
      <c r="AG1581">
        <v>-1.1084293317689999</v>
      </c>
      <c r="AH1581">
        <v>19.723408659038</v>
      </c>
      <c r="AI1581">
        <v>93.160257649302693</v>
      </c>
      <c r="AJ1581">
        <v>79.252722909762895</v>
      </c>
      <c r="AK1581">
        <v>20.1061251347578</v>
      </c>
      <c r="AL1581">
        <v>81.190487469246804</v>
      </c>
      <c r="AM1581">
        <v>87.971870269899497</v>
      </c>
      <c r="AN1581">
        <v>0.99999996882861997</v>
      </c>
    </row>
    <row r="1582" spans="1:40" x14ac:dyDescent="0.25">
      <c r="A1582" t="str">
        <f>"20190312172646512"</f>
        <v>20190312172646512</v>
      </c>
      <c r="B1582" t="str">
        <f>"1552382806500808"</f>
        <v>1552382806500808</v>
      </c>
      <c r="C1582" t="s">
        <v>40</v>
      </c>
      <c r="D1582">
        <v>3.3312629999999999</v>
      </c>
      <c r="E1582">
        <v>0.55908009999999997</v>
      </c>
      <c r="F1582" t="s">
        <v>48</v>
      </c>
      <c r="G1582">
        <v>-271.0498</v>
      </c>
      <c r="H1582" s="1">
        <v>-1.074129E-6</v>
      </c>
      <c r="I1582">
        <v>286.81200000000001</v>
      </c>
      <c r="J1582">
        <v>-250.30709999999999</v>
      </c>
      <c r="K1582">
        <v>1.108433</v>
      </c>
      <c r="L1582">
        <v>282.86110000000002</v>
      </c>
      <c r="M1582">
        <v>-0.99996620000000003</v>
      </c>
      <c r="N1582">
        <v>0</v>
      </c>
      <c r="O1582">
        <v>1.2414699999999999E-3</v>
      </c>
      <c r="P1582">
        <v>-0.98867320000000003</v>
      </c>
      <c r="Q1582">
        <v>0.14578729999999901</v>
      </c>
      <c r="R1582">
        <v>3.5658130000000003E-2</v>
      </c>
      <c r="S1582">
        <v>-3.0372919999999999</v>
      </c>
      <c r="T1582">
        <v>-0.15993199999999999</v>
      </c>
      <c r="U1582">
        <v>0.57019039999999999</v>
      </c>
      <c r="V1582">
        <v>3.4730919999999998E-2</v>
      </c>
      <c r="W1582">
        <v>0.15375629999999901</v>
      </c>
      <c r="X1582">
        <v>0.98749819999999999</v>
      </c>
      <c r="Y1582">
        <v>0.18304309999999999</v>
      </c>
      <c r="Z1582">
        <v>4.709459E-3</v>
      </c>
      <c r="AA1582">
        <v>0.98309360000000001</v>
      </c>
      <c r="AB1582">
        <v>32</v>
      </c>
      <c r="AC1582">
        <v>-20.742699999999999</v>
      </c>
      <c r="AD1582">
        <v>-1.108434074129</v>
      </c>
      <c r="AE1582">
        <v>3.9508999999999901</v>
      </c>
      <c r="AF1582">
        <v>3.91435835643609</v>
      </c>
      <c r="AG1582">
        <v>-1.108434074129</v>
      </c>
      <c r="AH1582">
        <v>20.690574667942901</v>
      </c>
      <c r="AI1582">
        <v>93.013167060349005</v>
      </c>
      <c r="AJ1582">
        <v>79.287076656652502</v>
      </c>
      <c r="AK1582">
        <v>21.086742458924501</v>
      </c>
      <c r="AL1582">
        <v>81.155326835223306</v>
      </c>
      <c r="AM1582">
        <v>87.985702409521494</v>
      </c>
      <c r="AN1582">
        <v>0.99999996579848704</v>
      </c>
    </row>
    <row r="1583" spans="1:40" x14ac:dyDescent="0.25">
      <c r="A1583" t="str">
        <f>"20190312172646534"</f>
        <v>20190312172646534</v>
      </c>
      <c r="B1583" t="str">
        <f>"1552382806530070"</f>
        <v>1552382806530070</v>
      </c>
      <c r="C1583" t="s">
        <v>40</v>
      </c>
      <c r="D1583">
        <v>3.3348849999999999</v>
      </c>
      <c r="E1583">
        <v>0.55920729999999996</v>
      </c>
      <c r="F1583" t="s">
        <v>48</v>
      </c>
      <c r="G1583">
        <v>-272.12369999999999</v>
      </c>
      <c r="H1583" s="1">
        <v>-5.0960139999999995E-7</v>
      </c>
      <c r="I1583">
        <v>286.97140000000002</v>
      </c>
      <c r="J1583">
        <v>-250.63200000000001</v>
      </c>
      <c r="K1583">
        <v>1.108417</v>
      </c>
      <c r="L1583">
        <v>282.86239999999998</v>
      </c>
      <c r="M1583">
        <v>-0.99996479999999999</v>
      </c>
      <c r="N1583">
        <v>0</v>
      </c>
      <c r="O1583">
        <v>2.1660849999999999E-3</v>
      </c>
      <c r="P1583">
        <v>-0.98869229999999997</v>
      </c>
      <c r="Q1583">
        <v>0.14563329999999999</v>
      </c>
      <c r="R1583">
        <v>3.5760849999999997E-2</v>
      </c>
      <c r="S1583">
        <v>-3.0364990000000001</v>
      </c>
      <c r="T1583">
        <v>-0.15427489999999999</v>
      </c>
      <c r="U1583">
        <v>0.57208249999999905</v>
      </c>
      <c r="V1583">
        <v>3.3920190000000003E-2</v>
      </c>
      <c r="W1583">
        <v>0.1535985</v>
      </c>
      <c r="X1583">
        <v>0.98755099999999996</v>
      </c>
      <c r="Y1583">
        <v>0.1827907</v>
      </c>
      <c r="Z1583">
        <v>4.4911070000000003E-3</v>
      </c>
      <c r="AA1583">
        <v>0.98314159999999995</v>
      </c>
      <c r="AB1583">
        <v>32</v>
      </c>
      <c r="AC1583">
        <v>-21.491699999999899</v>
      </c>
      <c r="AD1583">
        <v>-1.1084175096014</v>
      </c>
      <c r="AE1583">
        <v>4.1090000000000302</v>
      </c>
      <c r="AF1583">
        <v>4.0520380499548798</v>
      </c>
      <c r="AG1583">
        <v>-1.1084175096014</v>
      </c>
      <c r="AH1583">
        <v>21.445518985793999</v>
      </c>
      <c r="AI1583">
        <v>92.907363875632498</v>
      </c>
      <c r="AJ1583">
        <v>79.300347805719099</v>
      </c>
      <c r="AK1583">
        <v>21.8530978651523</v>
      </c>
      <c r="AL1583">
        <v>81.164477355723207</v>
      </c>
      <c r="AM1583">
        <v>88.0327902258595</v>
      </c>
      <c r="AN1583">
        <v>1.0000000280464401</v>
      </c>
    </row>
    <row r="1584" spans="1:40" x14ac:dyDescent="0.25">
      <c r="A1584" t="str">
        <f>"20190312172646555"</f>
        <v>20190312172646555</v>
      </c>
      <c r="B1584" t="str">
        <f>"1552382806550565"</f>
        <v>1552382806550565</v>
      </c>
      <c r="C1584" t="s">
        <v>40</v>
      </c>
      <c r="D1584">
        <v>3.281857</v>
      </c>
      <c r="E1584">
        <v>0.55921019999999999</v>
      </c>
      <c r="F1584" t="s">
        <v>48</v>
      </c>
      <c r="G1584">
        <v>-272.84469999999999</v>
      </c>
      <c r="H1584" s="1">
        <v>-1.29754699999999E-7</v>
      </c>
      <c r="I1584">
        <v>287.05889999999999</v>
      </c>
      <c r="J1584">
        <v>-250.93989999999999</v>
      </c>
      <c r="K1584">
        <v>1.108406</v>
      </c>
      <c r="L1584">
        <v>282.86399999999998</v>
      </c>
      <c r="M1584">
        <v>-0.99996240000000003</v>
      </c>
      <c r="N1584">
        <v>0</v>
      </c>
      <c r="O1584">
        <v>3.0418279999999999E-3</v>
      </c>
      <c r="P1584">
        <v>-0.98866949999999998</v>
      </c>
      <c r="Q1584">
        <v>0.14566089999999901</v>
      </c>
      <c r="R1584">
        <v>3.6275750000000002E-2</v>
      </c>
      <c r="S1584">
        <v>-3.0358890000000001</v>
      </c>
      <c r="T1584">
        <v>-0.1514914</v>
      </c>
      <c r="U1584">
        <v>0.57354740000000004</v>
      </c>
      <c r="V1584">
        <v>3.357044E-2</v>
      </c>
      <c r="W1584">
        <v>0.15361920000000001</v>
      </c>
      <c r="X1584">
        <v>0.98755970000000004</v>
      </c>
      <c r="Y1584">
        <v>0.18243319999999999</v>
      </c>
      <c r="Z1584">
        <v>4.3587259999999899E-3</v>
      </c>
      <c r="AA1584">
        <v>0.98320859999999999</v>
      </c>
      <c r="AB1584">
        <v>32</v>
      </c>
      <c r="AC1584">
        <v>-21.904799999999899</v>
      </c>
      <c r="AD1584">
        <v>-1.1084061297546901</v>
      </c>
      <c r="AE1584">
        <v>4.1948999999999597</v>
      </c>
      <c r="AF1584">
        <v>4.11807658280234</v>
      </c>
      <c r="AG1584">
        <v>-1.1084061297546901</v>
      </c>
      <c r="AH1584">
        <v>21.863458998137599</v>
      </c>
      <c r="AI1584">
        <v>92.852157100856402</v>
      </c>
      <c r="AJ1584">
        <v>79.333066472428499</v>
      </c>
      <c r="AK1584">
        <v>22.2755013019583</v>
      </c>
      <c r="AL1584">
        <v>81.163276811988496</v>
      </c>
      <c r="AM1584">
        <v>88.053075510021898</v>
      </c>
      <c r="AN1584">
        <v>0.99999999705726095</v>
      </c>
    </row>
    <row r="1585" spans="1:40" x14ac:dyDescent="0.25">
      <c r="A1585" t="str">
        <f>"20190312172646578"</f>
        <v>20190312172646578</v>
      </c>
      <c r="B1585" t="str">
        <f>"1552382806570086"</f>
        <v>1552382806570086</v>
      </c>
      <c r="C1585" t="s">
        <v>40</v>
      </c>
      <c r="D1585">
        <v>3.3432789999999999</v>
      </c>
      <c r="E1585">
        <v>0.55913259999999998</v>
      </c>
      <c r="F1585" t="s">
        <v>48</v>
      </c>
      <c r="G1585">
        <v>-273.40210000000002</v>
      </c>
      <c r="H1585" s="1">
        <v>1.6422889999999999E-7</v>
      </c>
      <c r="I1585">
        <v>287.11959999999999</v>
      </c>
      <c r="J1585">
        <v>-251.27379999999999</v>
      </c>
      <c r="K1585">
        <v>1.1084050000000001</v>
      </c>
      <c r="L1585">
        <v>282.86590000000001</v>
      </c>
      <c r="M1585">
        <v>-0.99995889999999998</v>
      </c>
      <c r="N1585">
        <v>0</v>
      </c>
      <c r="O1585">
        <v>3.9897070000000003E-3</v>
      </c>
      <c r="P1585">
        <v>-0.98877009999999999</v>
      </c>
      <c r="Q1585">
        <v>0.14489730000000001</v>
      </c>
      <c r="R1585">
        <v>3.6587849999999998E-2</v>
      </c>
      <c r="S1585">
        <v>-3.035355</v>
      </c>
      <c r="T1585">
        <v>-0.14978050000000001</v>
      </c>
      <c r="U1585">
        <v>0.57507319999999995</v>
      </c>
      <c r="V1585">
        <v>3.2944679999999997E-2</v>
      </c>
      <c r="W1585">
        <v>0.1528851</v>
      </c>
      <c r="X1585">
        <v>0.98769470000000004</v>
      </c>
      <c r="Y1585">
        <v>0.18201629999999999</v>
      </c>
      <c r="Z1585">
        <v>4.2535890000000003E-3</v>
      </c>
      <c r="AA1585">
        <v>0.98328629999999995</v>
      </c>
      <c r="AB1585">
        <v>32</v>
      </c>
      <c r="AC1585">
        <v>-22.128299999999999</v>
      </c>
      <c r="AD1585">
        <v>-1.1084048357710901</v>
      </c>
      <c r="AE1585">
        <v>4.2536999999999798</v>
      </c>
      <c r="AF1585">
        <v>4.1553235972074702</v>
      </c>
      <c r="AG1585">
        <v>-1.1084048357710901</v>
      </c>
      <c r="AH1585">
        <v>22.091642695580099</v>
      </c>
      <c r="AI1585">
        <v>92.822874823061198</v>
      </c>
      <c r="AJ1585">
        <v>79.347424953204793</v>
      </c>
      <c r="AK1585">
        <v>22.506353602186401</v>
      </c>
      <c r="AL1585">
        <v>81.205840586073094</v>
      </c>
      <c r="AM1585">
        <v>88.0896003935907</v>
      </c>
      <c r="AN1585">
        <v>1.0000000130752</v>
      </c>
    </row>
    <row r="1586" spans="1:40" x14ac:dyDescent="0.25">
      <c r="A1586" t="str">
        <f>"20190312172646601"</f>
        <v>20190312172646601</v>
      </c>
      <c r="B1586" t="str">
        <f>"1552382806590585"</f>
        <v>1552382806590585</v>
      </c>
      <c r="C1586" t="s">
        <v>40</v>
      </c>
      <c r="D1586">
        <v>3.3362210000000001</v>
      </c>
      <c r="E1586">
        <v>0.55902580000000002</v>
      </c>
      <c r="F1586" t="s">
        <v>48</v>
      </c>
      <c r="G1586">
        <v>-273.56979999999999</v>
      </c>
      <c r="H1586" s="1">
        <v>2.5470200000000003E-7</v>
      </c>
      <c r="I1586">
        <v>287.09140000000002</v>
      </c>
      <c r="J1586">
        <v>-251.60390000000001</v>
      </c>
      <c r="K1586">
        <v>1.108436</v>
      </c>
      <c r="L1586">
        <v>282.86810000000003</v>
      </c>
      <c r="M1586">
        <v>-0.99995339999999999</v>
      </c>
      <c r="N1586">
        <v>0</v>
      </c>
      <c r="O1586">
        <v>4.9249840000000003E-3</v>
      </c>
      <c r="P1586">
        <v>-0.98882510000000001</v>
      </c>
      <c r="Q1586">
        <v>0.14434729999999901</v>
      </c>
      <c r="R1586">
        <v>3.726877E-2</v>
      </c>
      <c r="S1586">
        <v>-3.0348820000000001</v>
      </c>
      <c r="T1586">
        <v>-0.15087339999999999</v>
      </c>
      <c r="U1586">
        <v>0.57516480000000003</v>
      </c>
      <c r="V1586">
        <v>3.2701620000000001E-2</v>
      </c>
      <c r="W1586">
        <v>0.15250620000000001</v>
      </c>
      <c r="X1586">
        <v>0.98776129999999995</v>
      </c>
      <c r="Y1586">
        <v>0.18115229999999999</v>
      </c>
      <c r="Z1586">
        <v>4.2179089999999997E-3</v>
      </c>
      <c r="AA1586">
        <v>0.98344600000000004</v>
      </c>
      <c r="AB1586">
        <v>32</v>
      </c>
      <c r="AC1586">
        <v>-21.965899999999898</v>
      </c>
      <c r="AD1586">
        <v>-1.108435745298</v>
      </c>
      <c r="AE1586">
        <v>4.2232999999999903</v>
      </c>
      <c r="AF1586">
        <v>4.1049831270846404</v>
      </c>
      <c r="AG1586">
        <v>-1.108435745298</v>
      </c>
      <c r="AH1586">
        <v>21.932576254645902</v>
      </c>
      <c r="AI1586">
        <v>92.843872556173906</v>
      </c>
      <c r="AJ1586">
        <v>79.398957487608499</v>
      </c>
      <c r="AK1586">
        <v>22.3409359123775</v>
      </c>
      <c r="AL1586">
        <v>81.227807100697603</v>
      </c>
      <c r="AM1586">
        <v>88.103812419978993</v>
      </c>
      <c r="AN1586">
        <v>0.99999996138337599</v>
      </c>
    </row>
    <row r="1587" spans="1:40" x14ac:dyDescent="0.25">
      <c r="A1587" t="str">
        <f>"20190312172646624"</f>
        <v>20190312172646624</v>
      </c>
      <c r="B1587" t="str">
        <f>"1552382806620838"</f>
        <v>1552382806620838</v>
      </c>
      <c r="C1587" t="s">
        <v>40</v>
      </c>
      <c r="D1587">
        <v>3.2903419999999999</v>
      </c>
      <c r="E1587">
        <v>0.55874959999999996</v>
      </c>
      <c r="F1587" t="s">
        <v>48</v>
      </c>
      <c r="G1587">
        <v>-273.76060000000001</v>
      </c>
      <c r="H1587" s="1">
        <v>3.5686160000000001E-7</v>
      </c>
      <c r="I1587">
        <v>287.07619999999997</v>
      </c>
      <c r="J1587">
        <v>-251.93639999999999</v>
      </c>
      <c r="K1587">
        <v>1.1085480000000001</v>
      </c>
      <c r="L1587">
        <v>282.8707</v>
      </c>
      <c r="M1587">
        <v>-0.99994430000000001</v>
      </c>
      <c r="N1587">
        <v>0</v>
      </c>
      <c r="O1587">
        <v>5.847756E-3</v>
      </c>
      <c r="P1587">
        <v>-0.98891879999999999</v>
      </c>
      <c r="Q1587">
        <v>0.14347079999999901</v>
      </c>
      <c r="R1587">
        <v>3.8160970000000002E-2</v>
      </c>
      <c r="S1587">
        <v>-3.034348</v>
      </c>
      <c r="T1587">
        <v>-0.15179999999999999</v>
      </c>
      <c r="U1587">
        <v>0.57629390000000003</v>
      </c>
      <c r="V1587">
        <v>3.2681469999999997E-2</v>
      </c>
      <c r="W1587">
        <v>0.1521071</v>
      </c>
      <c r="X1587">
        <v>0.98782349999999997</v>
      </c>
      <c r="Y1587">
        <v>0.1806287</v>
      </c>
      <c r="Z1587">
        <v>4.1856790000000003E-3</v>
      </c>
      <c r="AA1587">
        <v>0.98354240000000004</v>
      </c>
      <c r="AB1587">
        <v>32</v>
      </c>
      <c r="AC1587">
        <v>-21.824200000000001</v>
      </c>
      <c r="AD1587">
        <v>-1.10854764313839</v>
      </c>
      <c r="AE1587">
        <v>4.2054999999999696</v>
      </c>
      <c r="AF1587">
        <v>4.0676814017006802</v>
      </c>
      <c r="AG1587">
        <v>-1.10854764313839</v>
      </c>
      <c r="AH1587">
        <v>21.794203106678498</v>
      </c>
      <c r="AI1587">
        <v>92.862457054518998</v>
      </c>
      <c r="AJ1587">
        <v>79.427924237070798</v>
      </c>
      <c r="AK1587">
        <v>22.1982476542182</v>
      </c>
      <c r="AL1587">
        <v>81.250943744327401</v>
      </c>
      <c r="AM1587">
        <v>88.105099192000793</v>
      </c>
      <c r="AN1587">
        <v>0.99999995775200901</v>
      </c>
    </row>
    <row r="1588" spans="1:40" x14ac:dyDescent="0.25">
      <c r="A1588" t="str">
        <f>"20190312172646647"</f>
        <v>20190312172646647</v>
      </c>
      <c r="B1588" t="str">
        <f>"1552382806640358"</f>
        <v>1552382806640358</v>
      </c>
      <c r="C1588" t="s">
        <v>40</v>
      </c>
      <c r="D1588">
        <v>3.3294899999999998</v>
      </c>
      <c r="E1588">
        <v>0.55860519999999902</v>
      </c>
      <c r="F1588" t="s">
        <v>48</v>
      </c>
      <c r="G1588">
        <v>-274.03919999999999</v>
      </c>
      <c r="H1588" s="1">
        <v>5.0507909999999898E-7</v>
      </c>
      <c r="I1588">
        <v>287.07709999999997</v>
      </c>
      <c r="J1588">
        <v>-252.25399999999999</v>
      </c>
      <c r="K1588">
        <v>1.1086720000000001</v>
      </c>
      <c r="L1588">
        <v>282.8734</v>
      </c>
      <c r="M1588">
        <v>-0.99993350000000003</v>
      </c>
      <c r="N1588">
        <v>0</v>
      </c>
      <c r="O1588">
        <v>6.7384539999999996E-3</v>
      </c>
      <c r="P1588">
        <v>-0.98906139999999998</v>
      </c>
      <c r="Q1588">
        <v>0.14234440000000001</v>
      </c>
      <c r="R1588">
        <v>3.8674380000000001E-2</v>
      </c>
      <c r="S1588">
        <v>-3.0334319999999999</v>
      </c>
      <c r="T1588">
        <v>-0.15213989999999999</v>
      </c>
      <c r="U1588">
        <v>0.57730099999999995</v>
      </c>
      <c r="V1588">
        <v>3.231175E-2</v>
      </c>
      <c r="W1588">
        <v>0.15153349999999999</v>
      </c>
      <c r="X1588">
        <v>0.98792389999999997</v>
      </c>
      <c r="Y1588">
        <v>0.180122799999999</v>
      </c>
      <c r="Z1588">
        <v>4.1393489999999996E-3</v>
      </c>
      <c r="AA1588">
        <v>0.98363540000000005</v>
      </c>
      <c r="AB1588">
        <v>32</v>
      </c>
      <c r="AC1588">
        <v>-21.7851999999999</v>
      </c>
      <c r="AD1588">
        <v>-1.10867149492089</v>
      </c>
      <c r="AE1588">
        <v>4.2036999999999596</v>
      </c>
      <c r="AF1588">
        <v>4.0466952511474901</v>
      </c>
      <c r="AG1588">
        <v>-1.10867149492089</v>
      </c>
      <c r="AH1588">
        <v>21.7587031337391</v>
      </c>
      <c r="AI1588">
        <v>92.867779454616695</v>
      </c>
      <c r="AJ1588">
        <v>79.464470026249202</v>
      </c>
      <c r="AK1588">
        <v>22.159559043480499</v>
      </c>
      <c r="AL1588">
        <v>81.284194774673594</v>
      </c>
      <c r="AM1588">
        <v>88.126710784719094</v>
      </c>
      <c r="AN1588">
        <v>1.0000000415007599</v>
      </c>
    </row>
    <row r="1589" spans="1:40" x14ac:dyDescent="0.25">
      <c r="A1589" t="str">
        <f>"20190312172646667"</f>
        <v>20190312172646667</v>
      </c>
      <c r="B1589" t="str">
        <f>"1552382806660855"</f>
        <v>1552382806660855</v>
      </c>
      <c r="C1589" t="s">
        <v>40</v>
      </c>
      <c r="D1589">
        <v>3.322829</v>
      </c>
      <c r="E1589">
        <v>0.55847100000000005</v>
      </c>
      <c r="F1589" t="s">
        <v>48</v>
      </c>
      <c r="G1589">
        <v>-274.16180000000003</v>
      </c>
      <c r="H1589" s="1">
        <v>5.7157130000000003E-7</v>
      </c>
      <c r="I1589">
        <v>287.0496</v>
      </c>
      <c r="J1589">
        <v>-252.56049999999999</v>
      </c>
      <c r="K1589">
        <v>1.108733</v>
      </c>
      <c r="L1589">
        <v>282.87630000000001</v>
      </c>
      <c r="M1589">
        <v>-0.99992320000000001</v>
      </c>
      <c r="N1589">
        <v>0</v>
      </c>
      <c r="O1589">
        <v>7.6164219999999899E-3</v>
      </c>
      <c r="P1589">
        <v>-0.98912599999999995</v>
      </c>
      <c r="Q1589">
        <v>0.1417543</v>
      </c>
      <c r="R1589">
        <v>3.918953E-2</v>
      </c>
      <c r="S1589">
        <v>-3.032654</v>
      </c>
      <c r="T1589">
        <v>-0.1534712</v>
      </c>
      <c r="U1589">
        <v>0.57809449999999996</v>
      </c>
      <c r="V1589">
        <v>3.1959910000000001E-2</v>
      </c>
      <c r="W1589">
        <v>0.1513737</v>
      </c>
      <c r="X1589">
        <v>0.98795980000000005</v>
      </c>
      <c r="Y1589">
        <v>0.17955179999999901</v>
      </c>
      <c r="Z1589">
        <v>4.1181719999999998E-3</v>
      </c>
      <c r="AA1589">
        <v>0.9837399</v>
      </c>
      <c r="AB1589">
        <v>32</v>
      </c>
      <c r="AC1589">
        <v>-21.601299999999998</v>
      </c>
      <c r="AD1589">
        <v>-1.1087324284286999</v>
      </c>
      <c r="AE1589">
        <v>4.1732999999999798</v>
      </c>
      <c r="AF1589">
        <v>3.99849157367212</v>
      </c>
      <c r="AG1589">
        <v>-1.1087324284286999</v>
      </c>
      <c r="AH1589">
        <v>21.5776601811585</v>
      </c>
      <c r="AI1589">
        <v>92.892307948335599</v>
      </c>
      <c r="AJ1589">
        <v>79.501774822227802</v>
      </c>
      <c r="AK1589">
        <v>21.972998005646101</v>
      </c>
      <c r="AL1589">
        <v>81.293457124008398</v>
      </c>
      <c r="AM1589">
        <v>88.147161863467801</v>
      </c>
      <c r="AN1589">
        <v>0.999999999657469</v>
      </c>
    </row>
    <row r="1590" spans="1:40" x14ac:dyDescent="0.25">
      <c r="A1590" t="str">
        <f>"20190312172646690"</f>
        <v>20190312172646690</v>
      </c>
      <c r="B1590" t="str">
        <f>"1552382806680374"</f>
        <v>1552382806680374</v>
      </c>
      <c r="C1590" t="s">
        <v>40</v>
      </c>
      <c r="D1590">
        <v>3.281946</v>
      </c>
      <c r="E1590">
        <v>0.55834530000000004</v>
      </c>
      <c r="F1590" t="s">
        <v>48</v>
      </c>
      <c r="G1590">
        <v>-274.43560000000002</v>
      </c>
      <c r="H1590" s="1">
        <v>7.1697760000000003E-7</v>
      </c>
      <c r="I1590">
        <v>287.0557</v>
      </c>
      <c r="J1590">
        <v>-252.88759999999999</v>
      </c>
      <c r="K1590">
        <v>1.10876</v>
      </c>
      <c r="L1590">
        <v>282.87979999999999</v>
      </c>
      <c r="M1590">
        <v>-0.99991180000000002</v>
      </c>
      <c r="N1590">
        <v>0</v>
      </c>
      <c r="O1590">
        <v>8.5431689999999998E-3</v>
      </c>
      <c r="P1590">
        <v>-0.98905449999999995</v>
      </c>
      <c r="Q1590">
        <v>0.14210680000000001</v>
      </c>
      <c r="R1590">
        <v>3.9715979999999998E-2</v>
      </c>
      <c r="S1590">
        <v>-3.0320589999999998</v>
      </c>
      <c r="T1590">
        <v>-0.15367890000000001</v>
      </c>
      <c r="U1590">
        <v>0.57928469999999999</v>
      </c>
      <c r="V1590">
        <v>3.1576659999999999E-2</v>
      </c>
      <c r="W1590">
        <v>0.1521023</v>
      </c>
      <c r="X1590">
        <v>0.98786019999999997</v>
      </c>
      <c r="Y1590">
        <v>0.17904929999999999</v>
      </c>
      <c r="Z1590">
        <v>4.0652609999999997E-3</v>
      </c>
      <c r="AA1590">
        <v>0.98383169999999998</v>
      </c>
      <c r="AB1590">
        <v>32</v>
      </c>
      <c r="AC1590">
        <v>-21.547999999999998</v>
      </c>
      <c r="AD1590">
        <v>-1.10875928302239</v>
      </c>
      <c r="AE1590">
        <v>4.1759000000000102</v>
      </c>
      <c r="AF1590">
        <v>3.9814898499121201</v>
      </c>
      <c r="AG1590">
        <v>-1.10875928302239</v>
      </c>
      <c r="AH1590">
        <v>21.5279555081753</v>
      </c>
      <c r="AI1590">
        <v>92.899232032495902</v>
      </c>
      <c r="AJ1590">
        <v>79.5218234189594</v>
      </c>
      <c r="AK1590">
        <v>21.9210966179755</v>
      </c>
      <c r="AL1590">
        <v>81.2512222414436</v>
      </c>
      <c r="AM1590">
        <v>88.169180674917399</v>
      </c>
      <c r="AN1590">
        <v>0.99999998493304199</v>
      </c>
    </row>
    <row r="1591" spans="1:40" x14ac:dyDescent="0.25">
      <c r="A1591" t="str">
        <f>"20190312172646711"</f>
        <v>20190312172646711</v>
      </c>
      <c r="B1591" t="str">
        <f>"1552382806700870"</f>
        <v>1552382806700870</v>
      </c>
      <c r="C1591" t="s">
        <v>40</v>
      </c>
      <c r="D1591">
        <v>3.2806099999999998</v>
      </c>
      <c r="E1591">
        <v>0.55825780000000003</v>
      </c>
      <c r="F1591" t="s">
        <v>48</v>
      </c>
      <c r="G1591">
        <v>-275.09120000000001</v>
      </c>
      <c r="H1591" s="1">
        <v>1.062893E-6</v>
      </c>
      <c r="I1591">
        <v>287.12419999999997</v>
      </c>
      <c r="J1591">
        <v>-253.20570000000001</v>
      </c>
      <c r="K1591">
        <v>1.108784</v>
      </c>
      <c r="L1591">
        <v>282.88350000000003</v>
      </c>
      <c r="M1591">
        <v>-0.99990020000000002</v>
      </c>
      <c r="N1591">
        <v>0</v>
      </c>
      <c r="O1591">
        <v>9.4334450000000004E-3</v>
      </c>
      <c r="P1591">
        <v>-0.98905120000000002</v>
      </c>
      <c r="Q1591">
        <v>0.1420525</v>
      </c>
      <c r="R1591">
        <v>3.9985189999999997E-2</v>
      </c>
      <c r="S1591">
        <v>-3.0316770000000002</v>
      </c>
      <c r="T1591">
        <v>-0.1513892</v>
      </c>
      <c r="U1591">
        <v>0.57952879999999996</v>
      </c>
      <c r="V1591">
        <v>3.096908E-2</v>
      </c>
      <c r="W1591">
        <v>0.1523861</v>
      </c>
      <c r="X1591">
        <v>0.98783569999999998</v>
      </c>
      <c r="Y1591">
        <v>0.17828069999999999</v>
      </c>
      <c r="Z1591">
        <v>3.9422090000000003E-3</v>
      </c>
      <c r="AA1591">
        <v>0.98397179999999995</v>
      </c>
      <c r="AB1591">
        <v>32</v>
      </c>
      <c r="AC1591">
        <v>-21.8855</v>
      </c>
      <c r="AD1591">
        <v>-1.1087829371069999</v>
      </c>
      <c r="AE1591">
        <v>4.24069999999994</v>
      </c>
      <c r="AF1591">
        <v>4.0240892261107204</v>
      </c>
      <c r="AG1591">
        <v>-1.1087829371069999</v>
      </c>
      <c r="AH1591">
        <v>21.870428607452599</v>
      </c>
      <c r="AI1591">
        <v>92.854450913458194</v>
      </c>
      <c r="AJ1591">
        <v>79.574367935508704</v>
      </c>
      <c r="AK1591">
        <v>22.265182262335099</v>
      </c>
      <c r="AL1591">
        <v>81.234769946684096</v>
      </c>
      <c r="AM1591">
        <v>88.204340458797205</v>
      </c>
      <c r="AN1591">
        <v>0.99999998879187302</v>
      </c>
    </row>
    <row r="1592" spans="1:40" x14ac:dyDescent="0.25">
      <c r="A1592" t="str">
        <f>"20190312172646735"</f>
        <v>20190312172646735</v>
      </c>
      <c r="B1592" t="str">
        <f>"1552382806730150"</f>
        <v>1552382806730150</v>
      </c>
      <c r="C1592" t="s">
        <v>40</v>
      </c>
      <c r="D1592">
        <v>3.2448459999999999</v>
      </c>
      <c r="E1592">
        <v>0.55821069999999995</v>
      </c>
      <c r="F1592" t="s">
        <v>48</v>
      </c>
      <c r="G1592">
        <v>-275.62540000000001</v>
      </c>
      <c r="H1592" s="1">
        <v>1.345044E-6</v>
      </c>
      <c r="I1592">
        <v>287.17219999999998</v>
      </c>
      <c r="J1592">
        <v>-253.5342</v>
      </c>
      <c r="K1592">
        <v>1.1088129999999901</v>
      </c>
      <c r="L1592">
        <v>282.88760000000002</v>
      </c>
      <c r="M1592">
        <v>-0.99988770000000005</v>
      </c>
      <c r="N1592">
        <v>0</v>
      </c>
      <c r="O1592">
        <v>1.035732E-2</v>
      </c>
      <c r="P1592">
        <v>-0.98903920000000001</v>
      </c>
      <c r="Q1592">
        <v>0.14201229999999901</v>
      </c>
      <c r="R1592">
        <v>4.042743E-2</v>
      </c>
      <c r="S1592">
        <v>-3.0313110000000001</v>
      </c>
      <c r="T1592">
        <v>-0.14991550000000001</v>
      </c>
      <c r="U1592">
        <v>0.5798645</v>
      </c>
      <c r="V1592">
        <v>3.0498379999999999E-2</v>
      </c>
      <c r="W1592">
        <v>0.15266740000000001</v>
      </c>
      <c r="X1592">
        <v>0.98780690000000004</v>
      </c>
      <c r="Y1592">
        <v>0.17750439999999901</v>
      </c>
      <c r="Z1592">
        <v>3.8400550000000002E-3</v>
      </c>
      <c r="AA1592">
        <v>0.98411249999999995</v>
      </c>
      <c r="AB1592">
        <v>32</v>
      </c>
      <c r="AC1592">
        <v>-22.091200000000001</v>
      </c>
      <c r="AD1592">
        <v>-1.1088116549560001</v>
      </c>
      <c r="AE1592">
        <v>4.2845999999999496</v>
      </c>
      <c r="AF1592">
        <v>4.0457282731192201</v>
      </c>
      <c r="AG1592">
        <v>-1.1088116549560001</v>
      </c>
      <c r="AH1592">
        <v>22.080783434822301</v>
      </c>
      <c r="AI1592">
        <v>92.827762675292007</v>
      </c>
      <c r="AJ1592">
        <v>79.617205925875595</v>
      </c>
      <c r="AK1592">
        <v>22.4757286342758</v>
      </c>
      <c r="AL1592">
        <v>81.218461740812302</v>
      </c>
      <c r="AM1592">
        <v>88.231563755418193</v>
      </c>
      <c r="AN1592">
        <v>0.99999997894649695</v>
      </c>
    </row>
    <row r="1593" spans="1:40" x14ac:dyDescent="0.25">
      <c r="A1593" t="str">
        <f>"20190312172646757"</f>
        <v>20190312172646757</v>
      </c>
      <c r="B1593" t="str">
        <f>"1552382806750646"</f>
        <v>1552382806750646</v>
      </c>
      <c r="C1593" t="s">
        <v>40</v>
      </c>
      <c r="D1593">
        <v>3.2350129999999999</v>
      </c>
      <c r="E1593">
        <v>0.55823940000000005</v>
      </c>
      <c r="F1593" t="s">
        <v>48</v>
      </c>
      <c r="G1593">
        <v>-276.18669999999997</v>
      </c>
      <c r="H1593" s="1">
        <v>1.6410250000000001E-6</v>
      </c>
      <c r="I1593">
        <v>287.23469999999998</v>
      </c>
      <c r="J1593">
        <v>-253.8621</v>
      </c>
      <c r="K1593">
        <v>1.108835</v>
      </c>
      <c r="L1593">
        <v>282.892</v>
      </c>
      <c r="M1593">
        <v>-0.9998745</v>
      </c>
      <c r="N1593">
        <v>0</v>
      </c>
      <c r="O1593">
        <v>1.1288039999999999E-2</v>
      </c>
      <c r="P1593">
        <v>-0.98896770000000001</v>
      </c>
      <c r="Q1593">
        <v>0.14244219999999999</v>
      </c>
      <c r="R1593">
        <v>4.0663209999999998E-2</v>
      </c>
      <c r="S1593">
        <v>-3.0307460000000002</v>
      </c>
      <c r="T1593">
        <v>-0.14835110000000001</v>
      </c>
      <c r="U1593">
        <v>0.58160400000000001</v>
      </c>
      <c r="V1593">
        <v>2.9813280000000001E-2</v>
      </c>
      <c r="W1593">
        <v>0.1533822</v>
      </c>
      <c r="X1593">
        <v>0.98771710000000001</v>
      </c>
      <c r="Y1593">
        <v>0.17717249999999901</v>
      </c>
      <c r="Z1593">
        <v>3.7473789999999999E-3</v>
      </c>
      <c r="AA1593">
        <v>0.98417270000000001</v>
      </c>
      <c r="AB1593">
        <v>32</v>
      </c>
      <c r="AC1593">
        <v>-22.324599999999901</v>
      </c>
      <c r="AD1593">
        <v>-1.1088333589749999</v>
      </c>
      <c r="AE1593">
        <v>4.3426999999999696</v>
      </c>
      <c r="AF1593">
        <v>4.0807067712203802</v>
      </c>
      <c r="AG1593">
        <v>-1.1088333589749999</v>
      </c>
      <c r="AH1593">
        <v>22.319147786455801</v>
      </c>
      <c r="AI1593">
        <v>92.797858335184898</v>
      </c>
      <c r="AJ1593">
        <v>79.638804853284</v>
      </c>
      <c r="AK1593">
        <v>22.7162064853337</v>
      </c>
      <c r="AL1593">
        <v>81.177018802859195</v>
      </c>
      <c r="AM1593">
        <v>88.271107544866794</v>
      </c>
      <c r="AN1593">
        <v>1.0000000002867999</v>
      </c>
    </row>
    <row r="1594" spans="1:40" x14ac:dyDescent="0.25">
      <c r="A1594" t="str">
        <f>"20190312172646778"</f>
        <v>20190312172646778</v>
      </c>
      <c r="B1594" t="str">
        <f>"1552382806770166"</f>
        <v>1552382806770166</v>
      </c>
      <c r="C1594" t="s">
        <v>40</v>
      </c>
      <c r="D1594">
        <v>3.22858</v>
      </c>
      <c r="E1594">
        <v>0.55825340000000001</v>
      </c>
      <c r="F1594" t="s">
        <v>48</v>
      </c>
      <c r="G1594">
        <v>-276.78590000000003</v>
      </c>
      <c r="H1594" s="1">
        <v>1.9570230000000001E-6</v>
      </c>
      <c r="I1594">
        <v>287.29939999999999</v>
      </c>
      <c r="J1594">
        <v>-254.16919999999999</v>
      </c>
      <c r="K1594">
        <v>1.1088559999999901</v>
      </c>
      <c r="L1594">
        <v>282.8965</v>
      </c>
      <c r="M1594">
        <v>-0.99986149999999996</v>
      </c>
      <c r="N1594">
        <v>0</v>
      </c>
      <c r="O1594">
        <v>1.216356E-2</v>
      </c>
      <c r="P1594">
        <v>-0.98887519999999995</v>
      </c>
      <c r="Q1594">
        <v>0.14298169999999999</v>
      </c>
      <c r="R1594">
        <v>4.1012720000000003E-2</v>
      </c>
      <c r="S1594">
        <v>-3.0306090000000001</v>
      </c>
      <c r="T1594">
        <v>-0.14659179999999999</v>
      </c>
      <c r="U1594">
        <v>0.58267209999999903</v>
      </c>
      <c r="V1594">
        <v>2.9296639999999999E-2</v>
      </c>
      <c r="W1594">
        <v>0.154156399999999</v>
      </c>
      <c r="X1594">
        <v>0.98761200000000005</v>
      </c>
      <c r="Y1594">
        <v>0.1766596</v>
      </c>
      <c r="Z1594">
        <v>3.648826E-3</v>
      </c>
      <c r="AA1594">
        <v>0.98426530000000001</v>
      </c>
      <c r="AB1594">
        <v>32</v>
      </c>
      <c r="AC1594">
        <v>-22.616700000000002</v>
      </c>
      <c r="AD1594">
        <v>-1.10885404297699</v>
      </c>
      <c r="AE1594">
        <v>4.4028999999999803</v>
      </c>
      <c r="AF1594">
        <v>4.1179198639165202</v>
      </c>
      <c r="AG1594">
        <v>-1.10885404297699</v>
      </c>
      <c r="AH1594">
        <v>22.616206253860899</v>
      </c>
      <c r="AI1594">
        <v>92.761585900223096</v>
      </c>
      <c r="AJ1594">
        <v>79.680728718579402</v>
      </c>
      <c r="AK1594">
        <v>23.014769314756201</v>
      </c>
      <c r="AL1594">
        <v>81.132126274771295</v>
      </c>
      <c r="AM1594">
        <v>88.300869444223906</v>
      </c>
      <c r="AN1594">
        <v>0.999999975660124</v>
      </c>
    </row>
    <row r="1595" spans="1:40" x14ac:dyDescent="0.25">
      <c r="A1595" t="str">
        <f>"20190312172646801"</f>
        <v>20190312172646801</v>
      </c>
      <c r="B1595" t="str">
        <f>"1552382806790665"</f>
        <v>1552382806790665</v>
      </c>
      <c r="C1595" t="s">
        <v>40</v>
      </c>
      <c r="D1595">
        <v>3.230969</v>
      </c>
      <c r="E1595">
        <v>0.5582125</v>
      </c>
      <c r="F1595" t="s">
        <v>48</v>
      </c>
      <c r="G1595">
        <v>-277.52109999999999</v>
      </c>
      <c r="H1595" s="1">
        <v>2.344002E-6</v>
      </c>
      <c r="I1595">
        <v>287.39789999999999</v>
      </c>
      <c r="J1595">
        <v>-254.5016</v>
      </c>
      <c r="K1595">
        <v>1.1088659999999999</v>
      </c>
      <c r="L1595">
        <v>282.9015</v>
      </c>
      <c r="M1595">
        <v>-0.99984689999999998</v>
      </c>
      <c r="N1595">
        <v>0</v>
      </c>
      <c r="O1595">
        <v>1.3110790000000001E-2</v>
      </c>
      <c r="P1595">
        <v>-0.98889830000000001</v>
      </c>
      <c r="Q1595">
        <v>0.14286499999999999</v>
      </c>
      <c r="R1595">
        <v>4.0864879999999999E-2</v>
      </c>
      <c r="S1595">
        <v>-3.0303040000000001</v>
      </c>
      <c r="T1595">
        <v>-0.14389199999999999</v>
      </c>
      <c r="U1595">
        <v>0.58413700000000002</v>
      </c>
      <c r="V1595">
        <v>2.8208759999999999E-2</v>
      </c>
      <c r="W1595">
        <v>0.1542647</v>
      </c>
      <c r="X1595">
        <v>0.98762680000000003</v>
      </c>
      <c r="Y1595">
        <v>0.17621249999999999</v>
      </c>
      <c r="Z1595">
        <v>3.5268629999999999E-3</v>
      </c>
      <c r="AA1595">
        <v>0.9843459</v>
      </c>
      <c r="AB1595">
        <v>32</v>
      </c>
      <c r="AC1595">
        <v>-23.019499999999901</v>
      </c>
      <c r="AD1595">
        <v>-1.1088636559980001</v>
      </c>
      <c r="AE1595">
        <v>4.4963999999999897</v>
      </c>
      <c r="AF1595">
        <v>4.1848357334175503</v>
      </c>
      <c r="AG1595">
        <v>-1.1088636559980001</v>
      </c>
      <c r="AH1595">
        <v>23.025012620654401</v>
      </c>
      <c r="AI1595">
        <v>92.712807402613606</v>
      </c>
      <c r="AJ1595">
        <v>79.698839492027602</v>
      </c>
      <c r="AK1595">
        <v>23.428479141945498</v>
      </c>
      <c r="AL1595">
        <v>81.125846359772495</v>
      </c>
      <c r="AM1595">
        <v>88.363953267120706</v>
      </c>
      <c r="AN1595">
        <v>1.00000001394253</v>
      </c>
    </row>
    <row r="1596" spans="1:40" x14ac:dyDescent="0.25">
      <c r="A1596" t="str">
        <f>"20190312172646825"</f>
        <v>20190312172646825</v>
      </c>
      <c r="B1596" t="str">
        <f>"1552382806819942"</f>
        <v>1552382806819942</v>
      </c>
      <c r="C1596" t="s">
        <v>40</v>
      </c>
      <c r="D1596">
        <v>3.1953589999999998</v>
      </c>
      <c r="E1596">
        <v>0.5263063</v>
      </c>
      <c r="F1596" t="s">
        <v>48</v>
      </c>
      <c r="G1596">
        <v>-278.029</v>
      </c>
      <c r="H1596" s="1">
        <v>2.6125739999999999E-6</v>
      </c>
      <c r="I1596">
        <v>287.43599999999998</v>
      </c>
      <c r="J1596">
        <v>-254.84440000000001</v>
      </c>
      <c r="K1596">
        <v>1.1088750000000001</v>
      </c>
      <c r="L1596">
        <v>282.90699999999998</v>
      </c>
      <c r="M1596">
        <v>-0.99983129999999998</v>
      </c>
      <c r="N1596">
        <v>0</v>
      </c>
      <c r="O1596">
        <v>1.4084889999999999E-2</v>
      </c>
      <c r="P1596">
        <v>-0.98898220000000003</v>
      </c>
      <c r="Q1596">
        <v>0.1423739</v>
      </c>
      <c r="R1596">
        <v>4.0544230000000001E-2</v>
      </c>
      <c r="S1596">
        <v>-3.030151</v>
      </c>
      <c r="T1596">
        <v>-0.14281360000000001</v>
      </c>
      <c r="U1596">
        <v>0.5840149</v>
      </c>
      <c r="V1596">
        <v>2.6920199999999998E-2</v>
      </c>
      <c r="W1596">
        <v>0.15397729999999901</v>
      </c>
      <c r="X1596">
        <v>0.98770760000000002</v>
      </c>
      <c r="Y1596">
        <v>0.1752291</v>
      </c>
      <c r="Z1596">
        <v>3.432254E-3</v>
      </c>
      <c r="AA1596">
        <v>0.98452169999999894</v>
      </c>
      <c r="AB1596">
        <v>32</v>
      </c>
      <c r="AC1596">
        <v>-23.1845999999999</v>
      </c>
      <c r="AD1596">
        <v>-1.108872387426</v>
      </c>
      <c r="AE1596">
        <v>4.5289999999999901</v>
      </c>
      <c r="AF1596">
        <v>4.1927370252192002</v>
      </c>
      <c r="AG1596">
        <v>-1.108872387426</v>
      </c>
      <c r="AH1596">
        <v>23.194986153231199</v>
      </c>
      <c r="AI1596">
        <v>92.693446217832104</v>
      </c>
      <c r="AJ1596">
        <v>79.753826558672102</v>
      </c>
      <c r="AK1596">
        <v>23.5969494719726</v>
      </c>
      <c r="AL1596">
        <v>81.142512207997498</v>
      </c>
      <c r="AM1596">
        <v>88.438776731491998</v>
      </c>
      <c r="AN1596">
        <v>1.0000000045905399</v>
      </c>
    </row>
    <row r="1597" spans="1:40" x14ac:dyDescent="0.25">
      <c r="A1597" t="str">
        <f>"20190312172646847"</f>
        <v>20190312172646847</v>
      </c>
      <c r="B1597" t="str">
        <f>"1552382806840438"</f>
        <v>1552382806840438</v>
      </c>
      <c r="C1597" t="s">
        <v>40</v>
      </c>
      <c r="D1597">
        <v>3.2511839999999999</v>
      </c>
      <c r="E1597">
        <v>0.51696819999999999</v>
      </c>
      <c r="F1597" t="s">
        <v>49</v>
      </c>
      <c r="G1597">
        <v>-281.89139999999998</v>
      </c>
      <c r="H1597" s="1">
        <v>7.3097619999999899E-6</v>
      </c>
      <c r="I1597">
        <v>285.8442</v>
      </c>
      <c r="J1597">
        <v>-255.15790000000001</v>
      </c>
      <c r="K1597">
        <v>1.108886</v>
      </c>
      <c r="L1597">
        <v>282.91239999999999</v>
      </c>
      <c r="M1597">
        <v>-0.9998165</v>
      </c>
      <c r="N1597">
        <v>0</v>
      </c>
      <c r="O1597">
        <v>1.497332E-2</v>
      </c>
      <c r="P1597">
        <v>-0.9889365</v>
      </c>
      <c r="Q1597">
        <v>0.14265520000000001</v>
      </c>
      <c r="R1597">
        <v>4.0666819999999999E-2</v>
      </c>
      <c r="S1597">
        <v>-3.0378270000000001</v>
      </c>
      <c r="T1597">
        <v>-0.1245441</v>
      </c>
      <c r="U1597">
        <v>0.32989499999999999</v>
      </c>
      <c r="V1597">
        <v>2.6163579999999999E-2</v>
      </c>
      <c r="W1597">
        <v>0.15441830000000001</v>
      </c>
      <c r="X1597">
        <v>0.98765910000000001</v>
      </c>
      <c r="Y1597">
        <v>9.2997319999999994E-2</v>
      </c>
      <c r="Z1597">
        <v>1.288242E-3</v>
      </c>
      <c r="AA1597">
        <v>0.99566560000000004</v>
      </c>
      <c r="AB1597">
        <v>32</v>
      </c>
      <c r="AC1597">
        <v>-26.7334999999999</v>
      </c>
      <c r="AD1597">
        <v>-1.1088786902379999</v>
      </c>
      <c r="AE1597">
        <v>2.9318</v>
      </c>
      <c r="AF1597">
        <v>2.52685764180664</v>
      </c>
      <c r="AG1597">
        <v>-1.1088786902379999</v>
      </c>
      <c r="AH1597">
        <v>26.728963636981401</v>
      </c>
      <c r="AI1597">
        <v>92.365079461425097</v>
      </c>
      <c r="AJ1597">
        <v>84.599518397127795</v>
      </c>
      <c r="AK1597">
        <v>26.871027494286398</v>
      </c>
      <c r="AL1597">
        <v>81.116939059891607</v>
      </c>
      <c r="AM1597">
        <v>88.482561235386598</v>
      </c>
      <c r="AN1597">
        <v>1.00000002105305</v>
      </c>
    </row>
    <row r="1598" spans="1:40" x14ac:dyDescent="0.25">
      <c r="A1598" t="str">
        <f>"20190312172646868"</f>
        <v>20190312172646868</v>
      </c>
      <c r="B1598" t="str">
        <f>"1552382806859959"</f>
        <v>1552382806859959</v>
      </c>
      <c r="C1598" t="s">
        <v>40</v>
      </c>
      <c r="D1598">
        <v>3.196199</v>
      </c>
      <c r="E1598">
        <v>0.5138528</v>
      </c>
      <c r="F1598" t="s">
        <v>49</v>
      </c>
      <c r="G1598">
        <v>-288.85210000000001</v>
      </c>
      <c r="H1598" s="1">
        <v>4.2419089999999996E-6</v>
      </c>
      <c r="I1598">
        <v>285.7527</v>
      </c>
      <c r="J1598">
        <v>-255.4675</v>
      </c>
      <c r="K1598">
        <v>1.1088929999999999</v>
      </c>
      <c r="L1598">
        <v>282.91800000000001</v>
      </c>
      <c r="M1598">
        <v>-0.99980139999999995</v>
      </c>
      <c r="N1598">
        <v>0</v>
      </c>
      <c r="O1598">
        <v>1.5849640000000002E-2</v>
      </c>
      <c r="P1598">
        <v>-0.98883719999999997</v>
      </c>
      <c r="Q1598">
        <v>0.14328279999999999</v>
      </c>
      <c r="R1598">
        <v>4.0878900000000003E-2</v>
      </c>
      <c r="S1598">
        <v>-3.0374759999999998</v>
      </c>
      <c r="T1598">
        <v>-9.9963780000000002E-2</v>
      </c>
      <c r="U1598">
        <v>0.25604250000000001</v>
      </c>
      <c r="V1598">
        <v>2.5510669999999999E-2</v>
      </c>
      <c r="W1598">
        <v>0.15518189999999901</v>
      </c>
      <c r="X1598">
        <v>0.98755649999999995</v>
      </c>
      <c r="Y1598">
        <v>6.816316E-2</v>
      </c>
      <c r="Z1598">
        <v>5.988578E-4</v>
      </c>
      <c r="AA1598">
        <v>0.99767399999999995</v>
      </c>
      <c r="AB1598">
        <v>32</v>
      </c>
      <c r="AC1598">
        <v>-33.384599999999999</v>
      </c>
      <c r="AD1598">
        <v>-1.1088887580910001</v>
      </c>
      <c r="AE1598">
        <v>2.83469999999999</v>
      </c>
      <c r="AF1598">
        <v>2.3026490932597499</v>
      </c>
      <c r="AG1598">
        <v>-1.1088887580910001</v>
      </c>
      <c r="AH1598">
        <v>33.388764797369603</v>
      </c>
      <c r="AI1598">
        <v>91.897671701071999</v>
      </c>
      <c r="AJ1598">
        <v>86.054855342945999</v>
      </c>
      <c r="AK1598">
        <v>33.486436684403699</v>
      </c>
      <c r="AL1598">
        <v>81.072654251560394</v>
      </c>
      <c r="AM1598">
        <v>88.520258097514002</v>
      </c>
      <c r="AN1598">
        <v>1.00000002853185</v>
      </c>
    </row>
    <row r="1599" spans="1:40" x14ac:dyDescent="0.25">
      <c r="A1599" t="str">
        <f>"20190312172646891"</f>
        <v>20190312172646891</v>
      </c>
      <c r="B1599" t="str">
        <f>"1552382806880454"</f>
        <v>1552382806880454</v>
      </c>
      <c r="C1599" t="s">
        <v>40</v>
      </c>
      <c r="D1599">
        <v>3.3349120000000001</v>
      </c>
      <c r="E1599">
        <v>0.51234199999999996</v>
      </c>
      <c r="F1599" t="s">
        <v>49</v>
      </c>
      <c r="G1599">
        <v>-290.024</v>
      </c>
      <c r="H1599" s="1">
        <v>2.1286080000000001E-6</v>
      </c>
      <c r="I1599">
        <v>285.54750000000001</v>
      </c>
      <c r="J1599">
        <v>-255.79490000000001</v>
      </c>
      <c r="K1599">
        <v>1.1089</v>
      </c>
      <c r="L1599">
        <v>282.92419999999998</v>
      </c>
      <c r="M1599">
        <v>-0.99978480000000003</v>
      </c>
      <c r="N1599">
        <v>0</v>
      </c>
      <c r="O1599">
        <v>1.6776559999999999E-2</v>
      </c>
      <c r="P1599">
        <v>-0.98885009999999995</v>
      </c>
      <c r="Q1599">
        <v>0.1431279</v>
      </c>
      <c r="R1599">
        <v>4.1112030000000001E-2</v>
      </c>
      <c r="S1599">
        <v>-3.0384220000000002</v>
      </c>
      <c r="T1599">
        <v>-9.750056E-2</v>
      </c>
      <c r="U1599">
        <v>0.2312012</v>
      </c>
      <c r="V1599">
        <v>2.4825699999999999E-2</v>
      </c>
      <c r="W1599">
        <v>0.15515219999999999</v>
      </c>
      <c r="X1599">
        <v>0.98757859999999997</v>
      </c>
      <c r="Y1599">
        <v>5.9111410000000003E-2</v>
      </c>
      <c r="Z1599">
        <v>4.094403E-4</v>
      </c>
      <c r="AA1599">
        <v>0.99825129999999995</v>
      </c>
      <c r="AB1599">
        <v>32</v>
      </c>
      <c r="AC1599">
        <v>-34.229099999999903</v>
      </c>
      <c r="AD1599">
        <v>-1.1088978713919999</v>
      </c>
      <c r="AE1599">
        <v>2.6233000000000199</v>
      </c>
      <c r="AF1599">
        <v>2.0465061295801701</v>
      </c>
      <c r="AG1599">
        <v>-1.1088978713919999</v>
      </c>
      <c r="AH1599">
        <v>34.232577131750602</v>
      </c>
      <c r="AI1599">
        <v>91.852032510788902</v>
      </c>
      <c r="AJ1599">
        <v>86.578791787044494</v>
      </c>
      <c r="AK1599">
        <v>34.311618715951603</v>
      </c>
      <c r="AL1599">
        <v>81.074376595237297</v>
      </c>
      <c r="AM1599">
        <v>88.560004912317893</v>
      </c>
      <c r="AN1599">
        <v>1.0000000058616401</v>
      </c>
    </row>
    <row r="1600" spans="1:40" x14ac:dyDescent="0.25">
      <c r="A1600" t="str">
        <f>"20190312172646913"</f>
        <v>20190312172646913</v>
      </c>
      <c r="B1600" t="str">
        <f>"1552382806910711"</f>
        <v>1552382806910711</v>
      </c>
      <c r="C1600" t="s">
        <v>40</v>
      </c>
      <c r="D1600">
        <v>3.1701000000000001</v>
      </c>
      <c r="E1600">
        <v>0.51090939999999996</v>
      </c>
      <c r="F1600" t="s">
        <v>49</v>
      </c>
      <c r="G1600">
        <v>-289.53590000000003</v>
      </c>
      <c r="H1600" s="1">
        <v>4.017705E-6</v>
      </c>
      <c r="I1600">
        <v>285.37009999999998</v>
      </c>
      <c r="J1600">
        <v>-256.1148</v>
      </c>
      <c r="K1600">
        <v>1.1089089999999999</v>
      </c>
      <c r="L1600">
        <v>282.93049999999999</v>
      </c>
      <c r="M1600">
        <v>-0.99976779999999998</v>
      </c>
      <c r="N1600">
        <v>0</v>
      </c>
      <c r="O1600">
        <v>1.7682630000000001E-2</v>
      </c>
      <c r="P1600">
        <v>-0.98889879999999997</v>
      </c>
      <c r="Q1600">
        <v>0.14275929999999901</v>
      </c>
      <c r="R1600">
        <v>4.121532E-2</v>
      </c>
      <c r="S1600">
        <v>-3.039139</v>
      </c>
      <c r="T1600">
        <v>-9.9880930000000007E-2</v>
      </c>
      <c r="U1600">
        <v>0.22030640000000001</v>
      </c>
      <c r="V1600">
        <v>2.4030099999999999E-2</v>
      </c>
      <c r="W1600">
        <v>0.1548861</v>
      </c>
      <c r="X1600">
        <v>0.98763999999999996</v>
      </c>
      <c r="Y1600">
        <v>5.4631209999999999E-2</v>
      </c>
      <c r="Z1600">
        <v>3.1615830000000003E-4</v>
      </c>
      <c r="AA1600">
        <v>0.99850649999999996</v>
      </c>
      <c r="AB1600">
        <v>32</v>
      </c>
      <c r="AC1600">
        <v>-33.421100000000003</v>
      </c>
      <c r="AD1600">
        <v>-1.1089049822949999</v>
      </c>
      <c r="AE1600">
        <v>2.43959999999998</v>
      </c>
      <c r="AF1600">
        <v>1.84617906060661</v>
      </c>
      <c r="AG1600">
        <v>-1.1089049822949999</v>
      </c>
      <c r="AH1600">
        <v>33.422415973967503</v>
      </c>
      <c r="AI1600">
        <v>91.897399473109104</v>
      </c>
      <c r="AJ1600">
        <v>86.838323084141805</v>
      </c>
      <c r="AK1600">
        <v>33.4917293808561</v>
      </c>
      <c r="AL1600">
        <v>81.089809148904806</v>
      </c>
      <c r="AM1600">
        <v>88.6062211741705</v>
      </c>
      <c r="AN1600">
        <v>0.99999995963960897</v>
      </c>
    </row>
    <row r="1601" spans="1:40" x14ac:dyDescent="0.25">
      <c r="A1601" t="str">
        <f>"20190312172646935"</f>
        <v>20190312172646935</v>
      </c>
      <c r="B1601" t="str">
        <f>"1552382806930230"</f>
        <v>1552382806930230</v>
      </c>
      <c r="C1601" t="s">
        <v>40</v>
      </c>
      <c r="D1601">
        <v>3.1859839999999999</v>
      </c>
      <c r="E1601">
        <v>0.51041999999999998</v>
      </c>
      <c r="F1601" t="s">
        <v>49</v>
      </c>
      <c r="G1601">
        <v>-290.25880000000001</v>
      </c>
      <c r="H1601" s="1">
        <v>2.1928820000000001E-6</v>
      </c>
      <c r="I1601">
        <v>285.28870000000001</v>
      </c>
      <c r="J1601">
        <v>-256.4255</v>
      </c>
      <c r="K1601">
        <v>1.108835</v>
      </c>
      <c r="L1601">
        <v>282.93700000000001</v>
      </c>
      <c r="M1601">
        <v>-0.99975510000000001</v>
      </c>
      <c r="N1601">
        <v>0</v>
      </c>
      <c r="O1601">
        <v>1.855745E-2</v>
      </c>
      <c r="P1601">
        <v>-0.98884090000000002</v>
      </c>
      <c r="Q1601">
        <v>0.14301</v>
      </c>
      <c r="R1601">
        <v>4.1738379999999999E-2</v>
      </c>
      <c r="S1601">
        <v>-3.0391849999999998</v>
      </c>
      <c r="T1601">
        <v>-9.870458E-2</v>
      </c>
      <c r="U1601">
        <v>0.2098999</v>
      </c>
      <c r="V1601">
        <v>2.3683840000000001E-2</v>
      </c>
      <c r="W1601">
        <v>0.154887</v>
      </c>
      <c r="X1601">
        <v>0.98764819999999998</v>
      </c>
      <c r="Y1601">
        <v>5.0357180000000001E-2</v>
      </c>
      <c r="Z1601">
        <v>2.148032E-4</v>
      </c>
      <c r="AA1601">
        <v>0.99873129999999999</v>
      </c>
      <c r="AB1601">
        <v>32</v>
      </c>
      <c r="AC1601">
        <v>-33.833300000000001</v>
      </c>
      <c r="AD1601">
        <v>-1.108832807118</v>
      </c>
      <c r="AE1601">
        <v>2.3516999999999899</v>
      </c>
      <c r="AF1601">
        <v>1.7215493372965001</v>
      </c>
      <c r="AG1601">
        <v>-1.108832807118</v>
      </c>
      <c r="AH1601">
        <v>33.834950368643497</v>
      </c>
      <c r="AI1601">
        <v>91.874591814272407</v>
      </c>
      <c r="AJ1601">
        <v>87.087256735439396</v>
      </c>
      <c r="AK1601">
        <v>33.896859865826201</v>
      </c>
      <c r="AL1601">
        <v>81.089756749488004</v>
      </c>
      <c r="AM1601">
        <v>88.626308379150203</v>
      </c>
      <c r="AN1601">
        <v>0.99999993700469003</v>
      </c>
    </row>
    <row r="1602" spans="1:40" x14ac:dyDescent="0.25">
      <c r="A1602" t="str">
        <f>"20190312172646958"</f>
        <v>20190312172646958</v>
      </c>
      <c r="B1602" t="str">
        <f>"1552382806950726"</f>
        <v>1552382806950726</v>
      </c>
      <c r="C1602" t="s">
        <v>40</v>
      </c>
      <c r="D1602">
        <v>3.1709109999999998</v>
      </c>
      <c r="E1602">
        <v>0.51004709999999998</v>
      </c>
      <c r="F1602" t="s">
        <v>49</v>
      </c>
      <c r="G1602">
        <v>-291.10489999999999</v>
      </c>
      <c r="H1602" s="1">
        <v>2.3410480000000002E-6</v>
      </c>
      <c r="I1602">
        <v>285.31049999999999</v>
      </c>
      <c r="J1602">
        <v>-256.76659999999998</v>
      </c>
      <c r="K1602">
        <v>1.1085659999999999</v>
      </c>
      <c r="L1602">
        <v>282.9443</v>
      </c>
      <c r="M1602">
        <v>-0.9997509</v>
      </c>
      <c r="N1602">
        <v>0</v>
      </c>
      <c r="O1602">
        <v>1.948807E-2</v>
      </c>
      <c r="P1602">
        <v>-0.9886412</v>
      </c>
      <c r="Q1602">
        <v>0.14420759999999999</v>
      </c>
      <c r="R1602">
        <v>4.2340419999999997E-2</v>
      </c>
      <c r="S1602">
        <v>-3.0391240000000002</v>
      </c>
      <c r="T1602">
        <v>-9.7172380000000003E-2</v>
      </c>
      <c r="U1602">
        <v>0.20800779999999999</v>
      </c>
      <c r="V1602">
        <v>2.3351899999999998E-2</v>
      </c>
      <c r="W1602">
        <v>0.15491199999999999</v>
      </c>
      <c r="X1602">
        <v>0.98765219999999998</v>
      </c>
      <c r="Y1602">
        <v>4.8812000000000001E-2</v>
      </c>
      <c r="Z1602">
        <v>1.5711769999999999E-4</v>
      </c>
      <c r="AA1602">
        <v>0.99880800000000003</v>
      </c>
      <c r="AB1602">
        <v>32</v>
      </c>
      <c r="AC1602">
        <v>-34.338299999999997</v>
      </c>
      <c r="AD1602">
        <v>-1.108563658952</v>
      </c>
      <c r="AE1602">
        <v>2.3661999999999899</v>
      </c>
      <c r="AF1602">
        <v>1.69476579421287</v>
      </c>
      <c r="AG1602">
        <v>-1.108563658952</v>
      </c>
      <c r="AH1602">
        <v>34.342270024732798</v>
      </c>
      <c r="AI1602">
        <v>91.846612093030799</v>
      </c>
      <c r="AJ1602">
        <v>87.174787349633206</v>
      </c>
      <c r="AK1602">
        <v>34.401928070020197</v>
      </c>
      <c r="AL1602">
        <v>81.088307003857096</v>
      </c>
      <c r="AM1602">
        <v>88.645559564828304</v>
      </c>
      <c r="AN1602">
        <v>0.99999995357122395</v>
      </c>
    </row>
    <row r="1603" spans="1:40" x14ac:dyDescent="0.25">
      <c r="A1603" t="str">
        <f>"20190312172646980"</f>
        <v>20190312172646980</v>
      </c>
      <c r="B1603" t="str">
        <f>"1552382806970246"</f>
        <v>1552382806970246</v>
      </c>
      <c r="C1603" t="s">
        <v>40</v>
      </c>
      <c r="D1603">
        <v>3.1856800000000001</v>
      </c>
      <c r="E1603">
        <v>0.50978270000000003</v>
      </c>
      <c r="F1603" t="s">
        <v>49</v>
      </c>
      <c r="G1603">
        <v>-292.79590000000002</v>
      </c>
      <c r="H1603" s="1">
        <v>2.634003E-6</v>
      </c>
      <c r="I1603">
        <v>285.39060000000001</v>
      </c>
      <c r="J1603">
        <v>-257.10270000000003</v>
      </c>
      <c r="K1603">
        <v>1.108303</v>
      </c>
      <c r="L1603">
        <v>282.95159999999998</v>
      </c>
      <c r="M1603">
        <v>-0.9997471</v>
      </c>
      <c r="N1603">
        <v>0</v>
      </c>
      <c r="O1603">
        <v>2.037974E-2</v>
      </c>
      <c r="P1603">
        <v>-0.98841480000000004</v>
      </c>
      <c r="Q1603">
        <v>0.14564389999999999</v>
      </c>
      <c r="R1603">
        <v>4.2713950000000001E-2</v>
      </c>
      <c r="S1603">
        <v>-3.0392459999999999</v>
      </c>
      <c r="T1603">
        <v>-9.3512650000000003E-2</v>
      </c>
      <c r="U1603">
        <v>0.20635990000000001</v>
      </c>
      <c r="V1603">
        <v>2.2828560000000001E-2</v>
      </c>
      <c r="W1603">
        <v>0.15500720000000001</v>
      </c>
      <c r="X1603">
        <v>0.98764960000000002</v>
      </c>
      <c r="Y1603">
        <v>4.7381800000000002E-2</v>
      </c>
      <c r="Z1603">
        <v>1.018501E-4</v>
      </c>
      <c r="AA1603">
        <v>0.99887689999999996</v>
      </c>
      <c r="AB1603">
        <v>33</v>
      </c>
      <c r="AC1603">
        <v>-35.693199999999898</v>
      </c>
      <c r="AD1603">
        <v>-1.1083003659970001</v>
      </c>
      <c r="AE1603">
        <v>2.43900000000002</v>
      </c>
      <c r="AF1603">
        <v>1.7094019262135201</v>
      </c>
      <c r="AG1603">
        <v>-1.1083003659970001</v>
      </c>
      <c r="AH1603">
        <v>35.701233378376799</v>
      </c>
      <c r="AI1603">
        <v>91.77607172095</v>
      </c>
      <c r="AJ1603">
        <v>87.258728520681402</v>
      </c>
      <c r="AK1603">
        <v>35.7593127644245</v>
      </c>
      <c r="AL1603">
        <v>81.082786654111601</v>
      </c>
      <c r="AM1603">
        <v>88.675899547842604</v>
      </c>
      <c r="AN1603">
        <v>1.0000000537918301</v>
      </c>
    </row>
    <row r="1604" spans="1:40" x14ac:dyDescent="0.25">
      <c r="A1604" t="str">
        <f>"20190312172647002"</f>
        <v>20190312172647002</v>
      </c>
      <c r="B1604" t="str">
        <f>"1552382806990742"</f>
        <v>1552382806990742</v>
      </c>
      <c r="C1604" t="s">
        <v>40</v>
      </c>
      <c r="D1604">
        <v>3.1456949999999999</v>
      </c>
      <c r="E1604">
        <v>0.50958139999999996</v>
      </c>
      <c r="F1604" t="s">
        <v>49</v>
      </c>
      <c r="G1604">
        <v>-294.79379999999998</v>
      </c>
      <c r="H1604" s="1">
        <v>2.9792319999999998E-6</v>
      </c>
      <c r="I1604">
        <v>285.49540000000002</v>
      </c>
      <c r="J1604">
        <v>-257.4271</v>
      </c>
      <c r="K1604">
        <v>1.108101</v>
      </c>
      <c r="L1604">
        <v>282.95890000000003</v>
      </c>
      <c r="M1604">
        <v>-0.99974099999999999</v>
      </c>
      <c r="N1604">
        <v>0</v>
      </c>
      <c r="O1604">
        <v>2.122667E-2</v>
      </c>
      <c r="P1604">
        <v>-0.98818720000000004</v>
      </c>
      <c r="Q1604">
        <v>0.1469858</v>
      </c>
      <c r="R1604">
        <v>4.3376699999999997E-2</v>
      </c>
      <c r="S1604">
        <v>-3.0394589999999999</v>
      </c>
      <c r="T1604">
        <v>-8.9374899999999993E-2</v>
      </c>
      <c r="U1604">
        <v>0.20513919999999999</v>
      </c>
      <c r="V1604">
        <v>2.264302E-2</v>
      </c>
      <c r="W1604">
        <v>0.1550646</v>
      </c>
      <c r="X1604">
        <v>0.98764479999999999</v>
      </c>
      <c r="Y1604">
        <v>4.6133710000000001E-2</v>
      </c>
      <c r="Z1604" s="1">
        <v>5.4162929999999998E-5</v>
      </c>
      <c r="AA1604">
        <v>0.99893529999999997</v>
      </c>
      <c r="AB1604">
        <v>33</v>
      </c>
      <c r="AC1604">
        <v>-37.366699999999902</v>
      </c>
      <c r="AD1604">
        <v>-1.108098020768</v>
      </c>
      <c r="AE1604">
        <v>2.5364999999999802</v>
      </c>
      <c r="AF1604">
        <v>1.74120693848418</v>
      </c>
      <c r="AG1604">
        <v>-1.108098020768</v>
      </c>
      <c r="AH1604">
        <v>37.379402856007303</v>
      </c>
      <c r="AI1604">
        <v>91.696175879131403</v>
      </c>
      <c r="AJ1604">
        <v>87.332976546918005</v>
      </c>
      <c r="AK1604">
        <v>37.436338505494199</v>
      </c>
      <c r="AL1604">
        <v>81.079457084711706</v>
      </c>
      <c r="AM1604">
        <v>88.686651059882706</v>
      </c>
      <c r="AN1604">
        <v>0.99999999374745996</v>
      </c>
    </row>
    <row r="1605" spans="1:40" x14ac:dyDescent="0.25">
      <c r="A1605" t="str">
        <f>"20190312172647025"</f>
        <v>20190312172647025</v>
      </c>
      <c r="B1605" t="str">
        <f>"1552382807020022"</f>
        <v>1552382807020022</v>
      </c>
      <c r="C1605" t="s">
        <v>40</v>
      </c>
      <c r="D1605">
        <v>3.1399949999999999</v>
      </c>
      <c r="E1605">
        <v>0.50920639999999995</v>
      </c>
      <c r="F1605" t="s">
        <v>49</v>
      </c>
      <c r="G1605">
        <v>-297.35250000000002</v>
      </c>
      <c r="H1605" s="1">
        <v>3.4181590000000001E-6</v>
      </c>
      <c r="I1605">
        <v>285.66640000000001</v>
      </c>
      <c r="J1605">
        <v>-257.77589999999998</v>
      </c>
      <c r="K1605">
        <v>1.1079019999999999</v>
      </c>
      <c r="L1605">
        <v>282.96690000000001</v>
      </c>
      <c r="M1605">
        <v>-0.99973199999999995</v>
      </c>
      <c r="N1605">
        <v>0</v>
      </c>
      <c r="O1605">
        <v>2.2114419999999999E-2</v>
      </c>
      <c r="P1605">
        <v>-0.98794700000000002</v>
      </c>
      <c r="Q1605">
        <v>0.1484367</v>
      </c>
      <c r="R1605">
        <v>4.3909299999999998E-2</v>
      </c>
      <c r="S1605">
        <v>-3.0393680000000001</v>
      </c>
      <c r="T1605">
        <v>-8.4355239999999998E-2</v>
      </c>
      <c r="U1605">
        <v>0.20611570000000001</v>
      </c>
      <c r="V1605">
        <v>2.229648E-2</v>
      </c>
      <c r="W1605">
        <v>0.15517539999999999</v>
      </c>
      <c r="X1605">
        <v>0.98763529999999999</v>
      </c>
      <c r="Y1605">
        <v>4.5570149999999997E-2</v>
      </c>
      <c r="Z1605" s="1">
        <v>1.872639E-5</v>
      </c>
      <c r="AA1605">
        <v>0.99896119999999999</v>
      </c>
      <c r="AB1605">
        <v>33</v>
      </c>
      <c r="AC1605">
        <v>-39.576599999999999</v>
      </c>
      <c r="AD1605">
        <v>-1.1078985818410001</v>
      </c>
      <c r="AE1605">
        <v>2.6995</v>
      </c>
      <c r="AF1605">
        <v>1.82218438086727</v>
      </c>
      <c r="AG1605">
        <v>-1.1078985818410001</v>
      </c>
      <c r="AH1605">
        <v>39.5957346524022</v>
      </c>
      <c r="AI1605">
        <v>91.601038533892407</v>
      </c>
      <c r="AJ1605">
        <v>87.365123628512507</v>
      </c>
      <c r="AK1605">
        <v>39.6531209093176</v>
      </c>
      <c r="AL1605">
        <v>81.073031090181402</v>
      </c>
      <c r="AM1605">
        <v>88.706731888094893</v>
      </c>
      <c r="AN1605">
        <v>1.0000000117958201</v>
      </c>
    </row>
    <row r="1606" spans="1:40" x14ac:dyDescent="0.25">
      <c r="A1606" t="str">
        <f>"20190312172647049"</f>
        <v>20190312172647049</v>
      </c>
      <c r="B1606" t="str">
        <f>"1552382807040518"</f>
        <v>1552382807040518</v>
      </c>
      <c r="C1606" t="s">
        <v>40</v>
      </c>
      <c r="D1606">
        <v>3.151227</v>
      </c>
      <c r="E1606">
        <v>0.50905529999999999</v>
      </c>
      <c r="F1606" t="s">
        <v>49</v>
      </c>
      <c r="G1606">
        <v>-300.25749999999999</v>
      </c>
      <c r="H1606" s="1">
        <v>3.812012E-6</v>
      </c>
      <c r="I1606">
        <v>285.83929999999998</v>
      </c>
      <c r="J1606">
        <v>-258.11950000000002</v>
      </c>
      <c r="K1606">
        <v>1.1077250000000001</v>
      </c>
      <c r="L1606">
        <v>282.9751</v>
      </c>
      <c r="M1606">
        <v>-0.99972050000000001</v>
      </c>
      <c r="N1606">
        <v>0</v>
      </c>
      <c r="O1606">
        <v>2.296685E-2</v>
      </c>
      <c r="P1606">
        <v>-0.98769119999999999</v>
      </c>
      <c r="Q1606">
        <v>0.15000849999999999</v>
      </c>
      <c r="R1606">
        <v>4.4311169999999997E-2</v>
      </c>
      <c r="S1606">
        <v>-3.0393680000000001</v>
      </c>
      <c r="T1606">
        <v>-7.9265119999999994E-2</v>
      </c>
      <c r="U1606">
        <v>0.2055054</v>
      </c>
      <c r="V1606">
        <v>2.1867080000000001E-2</v>
      </c>
      <c r="W1606">
        <v>0.15550600000000001</v>
      </c>
      <c r="X1606">
        <v>0.9875929</v>
      </c>
      <c r="Y1606">
        <v>4.4520509999999999E-2</v>
      </c>
      <c r="Z1606" s="1">
        <v>-1.8257589999999999E-5</v>
      </c>
      <c r="AA1606">
        <v>0.99900849999999997</v>
      </c>
      <c r="AB1606">
        <v>33</v>
      </c>
      <c r="AC1606">
        <v>-42.137999999999899</v>
      </c>
      <c r="AD1606">
        <v>-1.107721187988</v>
      </c>
      <c r="AE1606">
        <v>2.8641999999999799</v>
      </c>
      <c r="AF1606">
        <v>1.8943490557187199</v>
      </c>
      <c r="AG1606">
        <v>-1.107721187988</v>
      </c>
      <c r="AH1606">
        <v>42.163664032991797</v>
      </c>
      <c r="AI1606">
        <v>91.503409113815707</v>
      </c>
      <c r="AJ1606">
        <v>87.427518076166606</v>
      </c>
      <c r="AK1606">
        <v>42.220731510268998</v>
      </c>
      <c r="AL1606">
        <v>81.053856332397601</v>
      </c>
      <c r="AM1606">
        <v>88.731575827101594</v>
      </c>
      <c r="AN1606">
        <v>1.0000000106770599</v>
      </c>
    </row>
    <row r="1607" spans="1:40" x14ac:dyDescent="0.25">
      <c r="A1607" t="str">
        <f>"20190312172647070"</f>
        <v>20190312172647070</v>
      </c>
      <c r="B1607" t="str">
        <f>"1552382807060038"</f>
        <v>1552382807060038</v>
      </c>
      <c r="C1607" t="s">
        <v>40</v>
      </c>
      <c r="D1607">
        <v>3.1315080000000002</v>
      </c>
      <c r="E1607">
        <v>0.50886609999999999</v>
      </c>
      <c r="F1607" t="s">
        <v>49</v>
      </c>
      <c r="G1607">
        <v>-303.52879999999999</v>
      </c>
      <c r="H1607" s="1">
        <v>3.2133919999999998E-6</v>
      </c>
      <c r="I1607">
        <v>286.04899999999998</v>
      </c>
      <c r="J1607">
        <v>-258.47019999999998</v>
      </c>
      <c r="K1607">
        <v>1.107567</v>
      </c>
      <c r="L1607">
        <v>282.98379999999997</v>
      </c>
      <c r="M1607">
        <v>-0.99970599999999998</v>
      </c>
      <c r="N1607">
        <v>0</v>
      </c>
      <c r="O1607">
        <v>2.3828269999999999E-2</v>
      </c>
      <c r="P1607">
        <v>-0.9874077</v>
      </c>
      <c r="Q1607">
        <v>0.1517597</v>
      </c>
      <c r="R1607">
        <v>4.4669439999999998E-2</v>
      </c>
      <c r="S1607">
        <v>-3.0394290000000002</v>
      </c>
      <c r="T1607">
        <v>-7.414424E-2</v>
      </c>
      <c r="U1607">
        <v>0.2057495</v>
      </c>
      <c r="V1607">
        <v>2.1398710000000001E-2</v>
      </c>
      <c r="W1607">
        <v>0.15616869999999999</v>
      </c>
      <c r="X1607">
        <v>0.9874986</v>
      </c>
      <c r="Y1607">
        <v>4.3739739999999999E-2</v>
      </c>
      <c r="Z1607" s="1">
        <v>-4.755973E-5</v>
      </c>
      <c r="AA1607">
        <v>0.99904300000000001</v>
      </c>
      <c r="AB1607">
        <v>34</v>
      </c>
      <c r="AC1607">
        <v>-45.058599999999998</v>
      </c>
      <c r="AD1607">
        <v>-1.1075637866079999</v>
      </c>
      <c r="AE1607">
        <v>3.0652000000000599</v>
      </c>
      <c r="AF1607">
        <v>1.98945388280994</v>
      </c>
      <c r="AG1607">
        <v>-1.1075637866079999</v>
      </c>
      <c r="AH1607">
        <v>45.091726232964703</v>
      </c>
      <c r="AI1607">
        <v>91.405675536190699</v>
      </c>
      <c r="AJ1607">
        <v>87.473739759080701</v>
      </c>
      <c r="AK1607">
        <v>45.149179383039403</v>
      </c>
      <c r="AL1607">
        <v>81.015416934463204</v>
      </c>
      <c r="AM1607">
        <v>88.7586170583794</v>
      </c>
      <c r="AN1607">
        <v>1.0000000263256501</v>
      </c>
    </row>
    <row r="1608" spans="1:40" x14ac:dyDescent="0.25">
      <c r="A1608" t="str">
        <f>"20190312172647093"</f>
        <v>20190312172647093</v>
      </c>
      <c r="B1608" t="str">
        <f>"1552382807090294"</f>
        <v>1552382807090294</v>
      </c>
      <c r="C1608" t="s">
        <v>40</v>
      </c>
      <c r="D1608">
        <v>3.13497</v>
      </c>
      <c r="E1608">
        <v>0.49092970000000002</v>
      </c>
      <c r="F1608" t="s">
        <v>49</v>
      </c>
      <c r="G1608">
        <v>-307.5677</v>
      </c>
      <c r="H1608" s="1">
        <v>2.4748259999999999E-6</v>
      </c>
      <c r="I1608">
        <v>286.30239999999998</v>
      </c>
      <c r="J1608">
        <v>-258.8066</v>
      </c>
      <c r="K1608">
        <v>1.1074710000000001</v>
      </c>
      <c r="L1608">
        <v>282.99250000000001</v>
      </c>
      <c r="M1608">
        <v>-0.99968919999999994</v>
      </c>
      <c r="N1608">
        <v>0</v>
      </c>
      <c r="O1608">
        <v>2.465606E-2</v>
      </c>
      <c r="P1608">
        <v>-0.98724259999999997</v>
      </c>
      <c r="Q1608">
        <v>0.15266270000000001</v>
      </c>
      <c r="R1608">
        <v>4.5238250000000001E-2</v>
      </c>
      <c r="S1608">
        <v>-3.03952</v>
      </c>
      <c r="T1608">
        <v>-6.8567039999999996E-2</v>
      </c>
      <c r="U1608">
        <v>0.2054443</v>
      </c>
      <c r="V1608">
        <v>2.117774E-2</v>
      </c>
      <c r="W1608">
        <v>0.1562808</v>
      </c>
      <c r="X1608">
        <v>0.98748559999999996</v>
      </c>
      <c r="Y1608">
        <v>4.2811969999999998E-2</v>
      </c>
      <c r="Z1608" s="1">
        <v>-7.3070059999999994E-5</v>
      </c>
      <c r="AA1608">
        <v>0.99908319999999995</v>
      </c>
      <c r="AB1608">
        <v>34</v>
      </c>
      <c r="AC1608">
        <v>-48.761099999999999</v>
      </c>
      <c r="AD1608">
        <v>-1.107468525174</v>
      </c>
      <c r="AE1608">
        <v>3.3098999999999701</v>
      </c>
      <c r="AF1608">
        <v>2.1055478359286401</v>
      </c>
      <c r="AG1608">
        <v>-1.107468525174</v>
      </c>
      <c r="AH1608">
        <v>48.802826705836999</v>
      </c>
      <c r="AI1608">
        <v>91.298765762875803</v>
      </c>
      <c r="AJ1608">
        <v>87.529564502520799</v>
      </c>
      <c r="AK1608">
        <v>48.860778879420202</v>
      </c>
      <c r="AL1608">
        <v>81.008913974727704</v>
      </c>
      <c r="AM1608">
        <v>88.771415861868505</v>
      </c>
      <c r="AN1608">
        <v>0.99999999766375303</v>
      </c>
    </row>
    <row r="1609" spans="1:40" x14ac:dyDescent="0.25">
      <c r="A1609" t="str">
        <f>"20190312172647115"</f>
        <v>20190312172647115</v>
      </c>
      <c r="B1609" t="str">
        <f>"1552382807110791"</f>
        <v>1552382807110791</v>
      </c>
      <c r="C1609" t="s">
        <v>40</v>
      </c>
      <c r="D1609">
        <v>3.091567</v>
      </c>
      <c r="E1609">
        <v>0.48979739999999999</v>
      </c>
      <c r="F1609" t="s">
        <v>49</v>
      </c>
      <c r="G1609">
        <v>-302.6549</v>
      </c>
      <c r="H1609" s="1">
        <v>3.5548330000000001E-6</v>
      </c>
      <c r="I1609">
        <v>283.91669999999999</v>
      </c>
      <c r="J1609">
        <v>-259.15140000000002</v>
      </c>
      <c r="K1609">
        <v>1.1074440000000001</v>
      </c>
      <c r="L1609">
        <v>283.0018</v>
      </c>
      <c r="M1609">
        <v>-0.99966940000000004</v>
      </c>
      <c r="N1609">
        <v>0</v>
      </c>
      <c r="O1609">
        <v>2.551022E-2</v>
      </c>
      <c r="P1609">
        <v>-0.98706389999999999</v>
      </c>
      <c r="Q1609">
        <v>0.15373029999999999</v>
      </c>
      <c r="R1609">
        <v>4.5520079999999997E-2</v>
      </c>
      <c r="S1609">
        <v>-3.0476990000000002</v>
      </c>
      <c r="T1609">
        <v>-7.6975230000000006E-2</v>
      </c>
      <c r="U1609">
        <v>6.4239500000000005E-2</v>
      </c>
      <c r="V1609">
        <v>2.0650229999999999E-2</v>
      </c>
      <c r="W1609">
        <v>0.15689310000000001</v>
      </c>
      <c r="X1609">
        <v>0.98739969999999999</v>
      </c>
      <c r="Y1609">
        <v>-4.4286550000000001E-3</v>
      </c>
      <c r="Z1609">
        <v>-6.9995279999999897E-4</v>
      </c>
      <c r="AA1609">
        <v>0.99998989999999999</v>
      </c>
      <c r="AB1609">
        <v>35</v>
      </c>
      <c r="AC1609">
        <v>-43.503499999999903</v>
      </c>
      <c r="AD1609">
        <v>-1.1074404451669999</v>
      </c>
      <c r="AE1609">
        <v>0.91489999999998795</v>
      </c>
      <c r="AF1609">
        <v>-0.19506098013328499</v>
      </c>
      <c r="AG1609">
        <v>-1.1074404451669999</v>
      </c>
      <c r="AH1609">
        <v>43.484514921387799</v>
      </c>
      <c r="AI1609">
        <v>91.458848350469793</v>
      </c>
      <c r="AJ1609">
        <v>90.257013237196205</v>
      </c>
      <c r="AK1609">
        <v>43.499051841091401</v>
      </c>
      <c r="AL1609">
        <v>80.9733938184077</v>
      </c>
      <c r="AM1609">
        <v>88.801905074670202</v>
      </c>
      <c r="AN1609">
        <v>1.00000002219337</v>
      </c>
    </row>
    <row r="1610" spans="1:40" x14ac:dyDescent="0.25">
      <c r="A1610" t="str">
        <f>"20190312172647137"</f>
        <v>20190312172647137</v>
      </c>
      <c r="B1610" t="str">
        <f>"1552382807130311"</f>
        <v>1552382807130311</v>
      </c>
      <c r="C1610" t="s">
        <v>40</v>
      </c>
      <c r="D1610">
        <v>3.0778590000000001</v>
      </c>
      <c r="E1610">
        <v>0.48931449999999999</v>
      </c>
      <c r="F1610" t="s">
        <v>49</v>
      </c>
      <c r="G1610">
        <v>-310.39600000000002</v>
      </c>
      <c r="H1610" s="1">
        <v>2.4523100000000001E-6</v>
      </c>
      <c r="I1610">
        <v>283.93329999999997</v>
      </c>
      <c r="J1610">
        <v>-259.49209999999999</v>
      </c>
      <c r="K1610">
        <v>1.107491</v>
      </c>
      <c r="L1610">
        <v>283.01139999999998</v>
      </c>
      <c r="M1610">
        <v>-0.99964710000000001</v>
      </c>
      <c r="N1610">
        <v>0</v>
      </c>
      <c r="O1610">
        <v>2.6380069999999999E-2</v>
      </c>
      <c r="P1610">
        <v>-0.98698540000000001</v>
      </c>
      <c r="Q1610">
        <v>0.1541235</v>
      </c>
      <c r="R1610">
        <v>4.5893759999999999E-2</v>
      </c>
      <c r="S1610">
        <v>-3.0470280000000001</v>
      </c>
      <c r="T1610">
        <v>-6.5848950000000003E-2</v>
      </c>
      <c r="U1610">
        <v>5.5389399999999998E-2</v>
      </c>
      <c r="V1610">
        <v>2.0193240000000001E-2</v>
      </c>
      <c r="W1610">
        <v>0.157170899999999</v>
      </c>
      <c r="X1610">
        <v>0.98736489999999999</v>
      </c>
      <c r="Y1610">
        <v>-8.1989239999999998E-3</v>
      </c>
      <c r="Z1610">
        <v>-6.5847729999999997E-4</v>
      </c>
      <c r="AA1610">
        <v>0.99996609999999997</v>
      </c>
      <c r="AB1610">
        <v>35</v>
      </c>
      <c r="AC1610">
        <v>-50.903899999999901</v>
      </c>
      <c r="AD1610">
        <v>-1.10748854769</v>
      </c>
      <c r="AE1610">
        <v>0.92189999999999295</v>
      </c>
      <c r="AF1610">
        <v>-0.421076592670457</v>
      </c>
      <c r="AG1610">
        <v>-1.10748854769</v>
      </c>
      <c r="AH1610">
        <v>50.886425573022002</v>
      </c>
      <c r="AI1610">
        <v>91.2467417719553</v>
      </c>
      <c r="AJ1610">
        <v>90.474102095130405</v>
      </c>
      <c r="AK1610">
        <v>50.900217523885601</v>
      </c>
      <c r="AL1610">
        <v>80.957276461551501</v>
      </c>
      <c r="AM1610">
        <v>88.828370183963003</v>
      </c>
      <c r="AN1610">
        <v>0.99999995225025695</v>
      </c>
    </row>
    <row r="1611" spans="1:40" x14ac:dyDescent="0.25">
      <c r="A1611" t="str">
        <f>"20190312172647159"</f>
        <v>20190312172647159</v>
      </c>
      <c r="B1611" t="str">
        <f>"1552382807150807"</f>
        <v>1552382807150807</v>
      </c>
      <c r="C1611" t="s">
        <v>40</v>
      </c>
      <c r="D1611">
        <v>3.09754</v>
      </c>
      <c r="E1611">
        <v>0.4889696</v>
      </c>
      <c r="F1611" t="s">
        <v>49</v>
      </c>
      <c r="G1611">
        <v>-314.41489999999999</v>
      </c>
      <c r="H1611" s="1">
        <v>4.2321030000000004E-6</v>
      </c>
      <c r="I1611">
        <v>283.96089999999998</v>
      </c>
      <c r="J1611">
        <v>-259.83699999999999</v>
      </c>
      <c r="K1611">
        <v>1.1075809999999999</v>
      </c>
      <c r="L1611">
        <v>283.02140000000003</v>
      </c>
      <c r="M1611">
        <v>-0.9996216</v>
      </c>
      <c r="N1611">
        <v>0</v>
      </c>
      <c r="O1611">
        <v>2.731956E-2</v>
      </c>
      <c r="P1611">
        <v>-0.98701249999999996</v>
      </c>
      <c r="Q1611">
        <v>0.15377779999999999</v>
      </c>
      <c r="R1611">
        <v>4.646467E-2</v>
      </c>
      <c r="S1611">
        <v>-3.0467219999999999</v>
      </c>
      <c r="T1611">
        <v>-6.1435459999999997E-2</v>
      </c>
      <c r="U1611">
        <v>5.2673339999999999E-2</v>
      </c>
      <c r="V1611">
        <v>1.98517E-2</v>
      </c>
      <c r="W1611">
        <v>0.15692929999999999</v>
      </c>
      <c r="X1611">
        <v>0.98741029999999996</v>
      </c>
      <c r="Y1611">
        <v>-1.0028540000000001E-2</v>
      </c>
      <c r="Z1611">
        <v>-6.5179769999999999E-4</v>
      </c>
      <c r="AA1611">
        <v>0.99994950000000005</v>
      </c>
      <c r="AB1611">
        <v>35</v>
      </c>
      <c r="AC1611">
        <v>-54.5779</v>
      </c>
      <c r="AD1611">
        <v>-1.1075767678970001</v>
      </c>
      <c r="AE1611">
        <v>0.93949999999995204</v>
      </c>
      <c r="AF1611">
        <v>-0.55167543527575802</v>
      </c>
      <c r="AG1611">
        <v>-1.1075767678970001</v>
      </c>
      <c r="AH1611">
        <v>54.560732625163403</v>
      </c>
      <c r="AI1611">
        <v>91.162878761351394</v>
      </c>
      <c r="AJ1611">
        <v>90.579310347544407</v>
      </c>
      <c r="AK1611">
        <v>54.574761718923199</v>
      </c>
      <c r="AL1611">
        <v>80.971293474971304</v>
      </c>
      <c r="AM1611">
        <v>88.848234200337203</v>
      </c>
      <c r="AN1611">
        <v>0.99999999786873495</v>
      </c>
    </row>
    <row r="1612" spans="1:40" x14ac:dyDescent="0.25">
      <c r="A1612" t="str">
        <f>"20190312172647181"</f>
        <v>20190312172647181</v>
      </c>
      <c r="B1612" t="str">
        <f>"1552382807170326"</f>
        <v>1552382807170326</v>
      </c>
      <c r="C1612" t="s">
        <v>40</v>
      </c>
      <c r="D1612">
        <v>3.076965</v>
      </c>
      <c r="E1612">
        <v>0.48866080000000001</v>
      </c>
      <c r="F1612" t="s">
        <v>49</v>
      </c>
      <c r="G1612">
        <v>-313.14280000000002</v>
      </c>
      <c r="H1612" s="1">
        <v>3.6710480000000001E-6</v>
      </c>
      <c r="I1612">
        <v>283.92590000000001</v>
      </c>
      <c r="J1612">
        <v>-260.18259999999998</v>
      </c>
      <c r="K1612">
        <v>1.10768</v>
      </c>
      <c r="L1612">
        <v>283.03190000000001</v>
      </c>
      <c r="M1612">
        <v>-0.99959249999999999</v>
      </c>
      <c r="N1612">
        <v>0</v>
      </c>
      <c r="O1612">
        <v>2.8333939999999998E-2</v>
      </c>
      <c r="P1612">
        <v>-0.9870738</v>
      </c>
      <c r="Q1612">
        <v>0.1531651</v>
      </c>
      <c r="R1612">
        <v>4.7178159999999997E-2</v>
      </c>
      <c r="S1612">
        <v>-3.0469059999999999</v>
      </c>
      <c r="T1612">
        <v>-6.3308000000000003E-2</v>
      </c>
      <c r="U1612">
        <v>5.1696779999999998E-2</v>
      </c>
      <c r="V1612">
        <v>1.956772E-2</v>
      </c>
      <c r="W1612">
        <v>0.15653039999999999</v>
      </c>
      <c r="X1612">
        <v>0.98747929999999995</v>
      </c>
      <c r="Y1612">
        <v>-1.1363740000000001E-2</v>
      </c>
      <c r="Z1612">
        <v>-7.0655580000000004E-4</v>
      </c>
      <c r="AA1612">
        <v>0.99993520000000002</v>
      </c>
      <c r="AB1612">
        <v>35</v>
      </c>
      <c r="AC1612">
        <v>-52.9602</v>
      </c>
      <c r="AD1612">
        <v>-1.107676328952</v>
      </c>
      <c r="AE1612">
        <v>0.89400000000000501</v>
      </c>
      <c r="AF1612">
        <v>-0.60667376977041099</v>
      </c>
      <c r="AG1612">
        <v>-1.107676328952</v>
      </c>
      <c r="AH1612">
        <v>52.9411152324681</v>
      </c>
      <c r="AI1612">
        <v>91.198534544053899</v>
      </c>
      <c r="AJ1612">
        <v>90.656546900932995</v>
      </c>
      <c r="AK1612">
        <v>52.956176995418701</v>
      </c>
      <c r="AL1612">
        <v>80.994434907148403</v>
      </c>
      <c r="AM1612">
        <v>88.864785257441198</v>
      </c>
      <c r="AN1612">
        <v>1.00000001485932</v>
      </c>
    </row>
    <row r="1613" spans="1:40" x14ac:dyDescent="0.25">
      <c r="A1613" t="str">
        <f>"20190312172647204"</f>
        <v>20190312172647204</v>
      </c>
      <c r="B1613" t="str">
        <f>"1552382807200583"</f>
        <v>1552382807200583</v>
      </c>
      <c r="C1613" t="s">
        <v>40</v>
      </c>
      <c r="D1613">
        <v>3.101359</v>
      </c>
      <c r="E1613">
        <v>0.48834729999999998</v>
      </c>
      <c r="F1613" t="s">
        <v>49</v>
      </c>
      <c r="G1613">
        <v>-311.23090000000002</v>
      </c>
      <c r="H1613" s="1">
        <v>2.825658E-6</v>
      </c>
      <c r="I1613">
        <v>283.89789999999999</v>
      </c>
      <c r="J1613">
        <v>-260.53609999999998</v>
      </c>
      <c r="K1613">
        <v>1.1077709999999901</v>
      </c>
      <c r="L1613">
        <v>283.04300000000001</v>
      </c>
      <c r="M1613">
        <v>-0.99956</v>
      </c>
      <c r="N1613">
        <v>0</v>
      </c>
      <c r="O1613">
        <v>2.9432409999999999E-2</v>
      </c>
      <c r="P1613">
        <v>-0.98716709999999996</v>
      </c>
      <c r="Q1613">
        <v>0.15235499999999999</v>
      </c>
      <c r="R1613">
        <v>4.7849879999999997E-2</v>
      </c>
      <c r="S1613">
        <v>-3.0471189999999999</v>
      </c>
      <c r="T1613">
        <v>-6.6118239999999995E-2</v>
      </c>
      <c r="U1613">
        <v>5.1696779999999998E-2</v>
      </c>
      <c r="V1613">
        <v>1.9151850000000002E-2</v>
      </c>
      <c r="W1613">
        <v>0.1559884</v>
      </c>
      <c r="X1613">
        <v>0.98757320000000004</v>
      </c>
      <c r="Y1613">
        <v>-1.246252E-2</v>
      </c>
      <c r="Z1613">
        <v>-7.736005E-4</v>
      </c>
      <c r="AA1613">
        <v>0.99992199999999998</v>
      </c>
      <c r="AB1613">
        <v>35</v>
      </c>
      <c r="AC1613">
        <v>-50.694800000000001</v>
      </c>
      <c r="AD1613">
        <v>-1.10776817434199</v>
      </c>
      <c r="AE1613">
        <v>0.854899999999986</v>
      </c>
      <c r="AF1613">
        <v>-0.63724641363882795</v>
      </c>
      <c r="AG1613">
        <v>-1.10776817434199</v>
      </c>
      <c r="AH1613">
        <v>50.673809543663403</v>
      </c>
      <c r="AI1613">
        <v>91.252231047175698</v>
      </c>
      <c r="AJ1613">
        <v>90.720482747436805</v>
      </c>
      <c r="AK1613">
        <v>50.689922144221697</v>
      </c>
      <c r="AL1613">
        <v>81.025875297342495</v>
      </c>
      <c r="AM1613">
        <v>88.889011320873607</v>
      </c>
      <c r="AN1613">
        <v>0.99999999982561105</v>
      </c>
    </row>
    <row r="1614" spans="1:40" x14ac:dyDescent="0.25">
      <c r="A1614" t="str">
        <f>"20190312172647226"</f>
        <v>20190312172647226</v>
      </c>
      <c r="B1614" t="str">
        <f>"1552382807220103"</f>
        <v>1552382807220103</v>
      </c>
      <c r="C1614" t="s">
        <v>40</v>
      </c>
      <c r="D1614">
        <v>3.1322390000000002</v>
      </c>
      <c r="E1614">
        <v>0.48782959999999898</v>
      </c>
      <c r="F1614" t="s">
        <v>49</v>
      </c>
      <c r="G1614">
        <v>-310.05900000000003</v>
      </c>
      <c r="H1614" s="1">
        <v>2.3069069999999999E-6</v>
      </c>
      <c r="I1614">
        <v>283.88720000000001</v>
      </c>
      <c r="J1614">
        <v>-260.89159999999998</v>
      </c>
      <c r="K1614">
        <v>1.1078520000000001</v>
      </c>
      <c r="L1614">
        <v>283.05450000000002</v>
      </c>
      <c r="M1614">
        <v>-0.99952459999999999</v>
      </c>
      <c r="N1614">
        <v>0</v>
      </c>
      <c r="O1614">
        <v>3.057385E-2</v>
      </c>
      <c r="P1614">
        <v>-0.98720589999999997</v>
      </c>
      <c r="Q1614">
        <v>0.151895</v>
      </c>
      <c r="R1614">
        <v>4.8505619999999999E-2</v>
      </c>
      <c r="S1614">
        <v>-3.0469970000000002</v>
      </c>
      <c r="T1614">
        <v>-6.8157670000000004E-2</v>
      </c>
      <c r="U1614">
        <v>5.1940920000000002E-2</v>
      </c>
      <c r="V1614">
        <v>1.8678190000000001E-2</v>
      </c>
      <c r="W1614">
        <v>0.15581879999999901</v>
      </c>
      <c r="X1614">
        <v>0.98760899999999996</v>
      </c>
      <c r="Y1614">
        <v>-1.352248E-2</v>
      </c>
      <c r="Z1614">
        <v>-8.3485720000000001E-4</v>
      </c>
      <c r="AA1614">
        <v>0.99990820000000002</v>
      </c>
      <c r="AB1614">
        <v>35</v>
      </c>
      <c r="AC1614">
        <v>-49.167400000000001</v>
      </c>
      <c r="AD1614">
        <v>-1.107849693093</v>
      </c>
      <c r="AE1614">
        <v>0.83269999999998801</v>
      </c>
      <c r="AF1614">
        <v>-0.67059751833307202</v>
      </c>
      <c r="AG1614">
        <v>-1.107849693093</v>
      </c>
      <c r="AH1614">
        <v>49.144929714889301</v>
      </c>
      <c r="AI1614">
        <v>91.291251364815295</v>
      </c>
      <c r="AJ1614">
        <v>90.781769825769899</v>
      </c>
      <c r="AK1614">
        <v>49.161988859844698</v>
      </c>
      <c r="AL1614">
        <v>81.035712549011507</v>
      </c>
      <c r="AM1614">
        <v>88.916520720518704</v>
      </c>
      <c r="AN1614">
        <v>0.99999995504805606</v>
      </c>
    </row>
    <row r="1615" spans="1:40" x14ac:dyDescent="0.25">
      <c r="A1615" t="str">
        <f>"20190312172647250"</f>
        <v>20190312172647250</v>
      </c>
      <c r="B1615" t="str">
        <f>"1552382807240598"</f>
        <v>1552382807240598</v>
      </c>
      <c r="C1615" t="s">
        <v>40</v>
      </c>
      <c r="D1615">
        <v>3.1199590000000001</v>
      </c>
      <c r="E1615">
        <v>0.48747879999999899</v>
      </c>
      <c r="F1615" t="s">
        <v>49</v>
      </c>
      <c r="G1615">
        <v>-309.23270000000002</v>
      </c>
      <c r="H1615" s="1">
        <v>2.393919E-6</v>
      </c>
      <c r="I1615">
        <v>283.84949999999998</v>
      </c>
      <c r="J1615">
        <v>-261.26400000000001</v>
      </c>
      <c r="K1615">
        <v>1.107901</v>
      </c>
      <c r="L1615">
        <v>283.06700000000001</v>
      </c>
      <c r="M1615">
        <v>-0.99948559999999997</v>
      </c>
      <c r="N1615">
        <v>0</v>
      </c>
      <c r="O1615">
        <v>3.1781280000000002E-2</v>
      </c>
      <c r="P1615">
        <v>-0.98720790000000003</v>
      </c>
      <c r="Q1615">
        <v>0.15175449999999999</v>
      </c>
      <c r="R1615">
        <v>4.8903050000000003E-2</v>
      </c>
      <c r="S1615">
        <v>-3.0471499999999998</v>
      </c>
      <c r="T1615">
        <v>-6.9832679999999994E-2</v>
      </c>
      <c r="U1615">
        <v>5.0109859999999999E-2</v>
      </c>
      <c r="V1615">
        <v>1.7884580000000001E-2</v>
      </c>
      <c r="W1615">
        <v>0.15598689999999901</v>
      </c>
      <c r="X1615">
        <v>0.98759719999999995</v>
      </c>
      <c r="Y1615">
        <v>-1.533061E-2</v>
      </c>
      <c r="Z1615">
        <v>-9.0369980000000005E-4</v>
      </c>
      <c r="AA1615">
        <v>0.99988200000000005</v>
      </c>
      <c r="AB1615">
        <v>35</v>
      </c>
      <c r="AC1615">
        <v>-47.968699999999998</v>
      </c>
      <c r="AD1615">
        <v>-1.1078986060809899</v>
      </c>
      <c r="AE1615">
        <v>0.78249999999997</v>
      </c>
      <c r="AF1615">
        <v>-0.74202034926662597</v>
      </c>
      <c r="AG1615">
        <v>-1.1078986060809899</v>
      </c>
      <c r="AH1615">
        <v>47.943768890959397</v>
      </c>
      <c r="AI1615">
        <v>91.323613543116096</v>
      </c>
      <c r="AJ1615">
        <v>90.886689578837903</v>
      </c>
      <c r="AK1615">
        <v>47.962308211655198</v>
      </c>
      <c r="AL1615">
        <v>81.025962310473702</v>
      </c>
      <c r="AM1615">
        <v>88.962533552187907</v>
      </c>
      <c r="AN1615">
        <v>1.00000000031061</v>
      </c>
    </row>
    <row r="1616" spans="1:40" x14ac:dyDescent="0.25">
      <c r="A1616" t="str">
        <f>"20190312172647272"</f>
        <v>20190312172647272</v>
      </c>
      <c r="B1616" t="str">
        <f>"1552382807260118"</f>
        <v>1552382807260118</v>
      </c>
      <c r="C1616" t="s">
        <v>40</v>
      </c>
      <c r="D1616">
        <v>3.078122</v>
      </c>
      <c r="E1616">
        <v>0.48732639999999999</v>
      </c>
      <c r="F1616" t="s">
        <v>49</v>
      </c>
      <c r="G1616">
        <v>-309.20620000000002</v>
      </c>
      <c r="H1616" s="1">
        <v>2.4010360000000001E-6</v>
      </c>
      <c r="I1616">
        <v>283.82170000000002</v>
      </c>
      <c r="J1616">
        <v>-261.61829999999998</v>
      </c>
      <c r="K1616">
        <v>1.107925</v>
      </c>
      <c r="L1616">
        <v>283.07929999999999</v>
      </c>
      <c r="M1616">
        <v>-0.99944710000000003</v>
      </c>
      <c r="N1616">
        <v>0</v>
      </c>
      <c r="O1616">
        <v>3.2927430000000001E-2</v>
      </c>
      <c r="P1616">
        <v>-0.98729889999999998</v>
      </c>
      <c r="Q1616">
        <v>0.15102839999999901</v>
      </c>
      <c r="R1616">
        <v>4.9310479999999997E-2</v>
      </c>
      <c r="S1616">
        <v>-3.0473330000000001</v>
      </c>
      <c r="T1616">
        <v>-7.0420860000000002E-2</v>
      </c>
      <c r="U1616">
        <v>4.7973630000000003E-2</v>
      </c>
      <c r="V1616">
        <v>1.715937E-2</v>
      </c>
      <c r="W1616">
        <v>0.15554279999999901</v>
      </c>
      <c r="X1616">
        <v>0.98768009999999995</v>
      </c>
      <c r="Y1616">
        <v>-1.7177999999999999E-2</v>
      </c>
      <c r="Z1616">
        <v>-9.5907209999999998E-4</v>
      </c>
      <c r="AA1616">
        <v>0.99985199999999996</v>
      </c>
      <c r="AB1616">
        <v>35</v>
      </c>
      <c r="AC1616">
        <v>-47.587899999999998</v>
      </c>
      <c r="AD1616">
        <v>-1.107922598964</v>
      </c>
      <c r="AE1616">
        <v>0.74240000000003104</v>
      </c>
      <c r="AF1616">
        <v>-0.82451968802166098</v>
      </c>
      <c r="AG1616">
        <v>-1.107922598964</v>
      </c>
      <c r="AH1616">
        <v>47.5607670310456</v>
      </c>
      <c r="AI1616">
        <v>91.334256836221698</v>
      </c>
      <c r="AJ1616">
        <v>90.993187649718493</v>
      </c>
      <c r="AK1616">
        <v>47.5808142614502</v>
      </c>
      <c r="AL1616">
        <v>81.051721718762906</v>
      </c>
      <c r="AM1616">
        <v>89.004677141321196</v>
      </c>
      <c r="AN1616">
        <v>0.99999999327332301</v>
      </c>
    </row>
    <row r="1617" spans="1:40" x14ac:dyDescent="0.25">
      <c r="A1617" t="str">
        <f>"20190312172647292"</f>
        <v>20190312172647292</v>
      </c>
      <c r="B1617" t="str">
        <f>"1552382807280618"</f>
        <v>1552382807280618</v>
      </c>
      <c r="C1617" t="s">
        <v>40</v>
      </c>
      <c r="D1617">
        <v>3.1011160000000002</v>
      </c>
      <c r="E1617">
        <v>0.48730420000000002</v>
      </c>
      <c r="F1617" t="s">
        <v>49</v>
      </c>
      <c r="G1617">
        <v>-307.96109999999999</v>
      </c>
      <c r="H1617" s="1">
        <v>2.6231879999999998E-6</v>
      </c>
      <c r="I1617">
        <v>283.80700000000002</v>
      </c>
      <c r="J1617">
        <v>-261.93400000000003</v>
      </c>
      <c r="K1617">
        <v>1.107931</v>
      </c>
      <c r="L1617">
        <v>283.09050000000002</v>
      </c>
      <c r="M1617">
        <v>-0.99941199999999997</v>
      </c>
      <c r="N1617">
        <v>0</v>
      </c>
      <c r="O1617">
        <v>3.3943029999999999E-2</v>
      </c>
      <c r="P1617">
        <v>-0.98739500000000002</v>
      </c>
      <c r="Q1617">
        <v>0.15042949999999999</v>
      </c>
      <c r="R1617">
        <v>4.921648E-2</v>
      </c>
      <c r="S1617">
        <v>-3.0473330000000001</v>
      </c>
      <c r="T1617">
        <v>-7.2852970000000003E-2</v>
      </c>
      <c r="U1617">
        <v>4.7851560000000001E-2</v>
      </c>
      <c r="V1617">
        <v>1.6062460000000001E-2</v>
      </c>
      <c r="W1617">
        <v>0.155182399999999</v>
      </c>
      <c r="X1617">
        <v>0.98775520000000006</v>
      </c>
      <c r="Y1617">
        <v>-1.8232559999999998E-2</v>
      </c>
      <c r="Z1617">
        <v>-1.029053E-3</v>
      </c>
      <c r="AA1617">
        <v>0.99983319999999998</v>
      </c>
      <c r="AB1617">
        <v>35</v>
      </c>
      <c r="AC1617">
        <v>-46.027099999999898</v>
      </c>
      <c r="AD1617">
        <v>-1.1079283768120001</v>
      </c>
      <c r="AE1617">
        <v>0.71649999999999603</v>
      </c>
      <c r="AF1617">
        <v>-0.84574056866027703</v>
      </c>
      <c r="AG1617">
        <v>-1.1079283768120001</v>
      </c>
      <c r="AH1617">
        <v>45.998251603156199</v>
      </c>
      <c r="AI1617">
        <v>91.379544334223098</v>
      </c>
      <c r="AJ1617">
        <v>91.053342335706802</v>
      </c>
      <c r="AK1617">
        <v>46.019364760336302</v>
      </c>
      <c r="AL1617">
        <v>81.072624613142906</v>
      </c>
      <c r="AM1617">
        <v>89.068362224346203</v>
      </c>
      <c r="AN1617">
        <v>0.99999995750902404</v>
      </c>
    </row>
    <row r="1618" spans="1:40" x14ac:dyDescent="0.25">
      <c r="A1618" t="str">
        <f>"20190312172647314"</f>
        <v>20190312172647314</v>
      </c>
      <c r="B1618" t="str">
        <f>"1552382807310871"</f>
        <v>1552382807310871</v>
      </c>
      <c r="C1618" t="s">
        <v>40</v>
      </c>
      <c r="D1618">
        <v>3.0985339999999999</v>
      </c>
      <c r="E1618">
        <v>0.48696800000000001</v>
      </c>
      <c r="F1618" t="s">
        <v>49</v>
      </c>
      <c r="G1618">
        <v>-306.90460000000002</v>
      </c>
      <c r="H1618" s="1">
        <v>2.8118189999999998E-6</v>
      </c>
      <c r="I1618">
        <v>283.79309999999998</v>
      </c>
      <c r="J1618">
        <v>-262.29140000000001</v>
      </c>
      <c r="K1618">
        <v>1.1079239999999999</v>
      </c>
      <c r="L1618">
        <v>283.1037</v>
      </c>
      <c r="M1618">
        <v>-0.99937129999999996</v>
      </c>
      <c r="N1618">
        <v>0</v>
      </c>
      <c r="O1618">
        <v>3.508675E-2</v>
      </c>
      <c r="P1618">
        <v>-0.98742160000000001</v>
      </c>
      <c r="Q1618">
        <v>0.15010039999999999</v>
      </c>
      <c r="R1618">
        <v>4.9686309999999997E-2</v>
      </c>
      <c r="S1618">
        <v>-3.0473629999999998</v>
      </c>
      <c r="T1618">
        <v>-7.5077060000000001E-2</v>
      </c>
      <c r="U1618">
        <v>4.7607419999999998E-2</v>
      </c>
      <c r="V1618">
        <v>1.540658E-2</v>
      </c>
      <c r="W1618">
        <v>0.15510189999999999</v>
      </c>
      <c r="X1618">
        <v>0.98777839999999995</v>
      </c>
      <c r="Y1618">
        <v>-1.9455409999999999E-2</v>
      </c>
      <c r="Z1618">
        <v>-1.1036659999999999E-3</v>
      </c>
      <c r="AA1618">
        <v>0.99981010000000003</v>
      </c>
      <c r="AB1618">
        <v>35</v>
      </c>
      <c r="AC1618">
        <v>-44.613199999999999</v>
      </c>
      <c r="AD1618">
        <v>-1.1079211881809901</v>
      </c>
      <c r="AE1618">
        <v>0.68939999999997703</v>
      </c>
      <c r="AF1618">
        <v>-0.87583695997254496</v>
      </c>
      <c r="AG1618">
        <v>-1.1079211881809901</v>
      </c>
      <c r="AH1618">
        <v>44.582430240633002</v>
      </c>
      <c r="AI1618">
        <v>91.423294028881699</v>
      </c>
      <c r="AJ1618">
        <v>91.125450247244103</v>
      </c>
      <c r="AK1618">
        <v>44.604794203096397</v>
      </c>
      <c r="AL1618">
        <v>81.077294418308597</v>
      </c>
      <c r="AM1618">
        <v>89.106418565506303</v>
      </c>
      <c r="AN1618">
        <v>1.0000000647987299</v>
      </c>
    </row>
    <row r="1619" spans="1:40" x14ac:dyDescent="0.25">
      <c r="A1619" t="str">
        <f>"20190312172647338"</f>
        <v>20190312172647338</v>
      </c>
      <c r="B1619" t="str">
        <f>"1552382807330391"</f>
        <v>1552382807330391</v>
      </c>
      <c r="C1619" t="s">
        <v>40</v>
      </c>
      <c r="D1619">
        <v>3.1136400000000002</v>
      </c>
      <c r="E1619">
        <v>0.48678339999999998</v>
      </c>
      <c r="F1619" t="s">
        <v>49</v>
      </c>
      <c r="G1619">
        <v>-306.35309999999998</v>
      </c>
      <c r="H1619" s="1">
        <v>2.9105829999999999E-6</v>
      </c>
      <c r="I1619">
        <v>283.78230000000002</v>
      </c>
      <c r="J1619">
        <v>-262.66849999999999</v>
      </c>
      <c r="K1619">
        <v>1.107915</v>
      </c>
      <c r="L1619">
        <v>283.11799999999999</v>
      </c>
      <c r="M1619">
        <v>-0.99932719999999997</v>
      </c>
      <c r="N1619">
        <v>0</v>
      </c>
      <c r="O1619">
        <v>3.6290540000000003E-2</v>
      </c>
      <c r="P1619">
        <v>-0.98739779999999999</v>
      </c>
      <c r="Q1619">
        <v>0.1500494</v>
      </c>
      <c r="R1619">
        <v>5.0312049999999997E-2</v>
      </c>
      <c r="S1619">
        <v>-3.0475159999999999</v>
      </c>
      <c r="T1619">
        <v>-7.6629160000000002E-2</v>
      </c>
      <c r="U1619">
        <v>4.6936039999999998E-2</v>
      </c>
      <c r="V1619">
        <v>1.484946E-2</v>
      </c>
      <c r="W1619">
        <v>0.15528789999999901</v>
      </c>
      <c r="X1619">
        <v>0.98775760000000001</v>
      </c>
      <c r="Y1619">
        <v>-2.0879249999999999E-2</v>
      </c>
      <c r="Z1619">
        <v>-1.1745639999999999E-3</v>
      </c>
      <c r="AA1619">
        <v>0.99978129999999998</v>
      </c>
      <c r="AB1619">
        <v>36</v>
      </c>
      <c r="AC1619">
        <v>-43.684599999999897</v>
      </c>
      <c r="AD1619">
        <v>-1.107912089417</v>
      </c>
      <c r="AE1619">
        <v>0.66430000000002498</v>
      </c>
      <c r="AF1619">
        <v>-0.92090543202752595</v>
      </c>
      <c r="AG1619">
        <v>-1.107912089417</v>
      </c>
      <c r="AH1619">
        <v>43.6518605838341</v>
      </c>
      <c r="AI1619">
        <v>91.453568036012996</v>
      </c>
      <c r="AJ1619">
        <v>91.208566327930498</v>
      </c>
      <c r="AK1619">
        <v>43.675627854022899</v>
      </c>
      <c r="AL1619">
        <v>81.066505730890299</v>
      </c>
      <c r="AM1619">
        <v>89.138708425537004</v>
      </c>
      <c r="AN1619">
        <v>0.999999957353229</v>
      </c>
    </row>
    <row r="1620" spans="1:40" x14ac:dyDescent="0.25">
      <c r="A1620" t="str">
        <f>"20190312172647359"</f>
        <v>20190312172647359</v>
      </c>
      <c r="B1620" t="str">
        <f>"1552382807350889"</f>
        <v>1552382807350889</v>
      </c>
      <c r="C1620" t="s">
        <v>40</v>
      </c>
      <c r="D1620">
        <v>3.1124719999999999</v>
      </c>
      <c r="E1620">
        <v>0.48658170000000001</v>
      </c>
      <c r="F1620" t="s">
        <v>49</v>
      </c>
      <c r="G1620">
        <v>-306.7405</v>
      </c>
      <c r="H1620" s="1">
        <v>2.8401000000000001E-6</v>
      </c>
      <c r="I1620">
        <v>283.80250000000001</v>
      </c>
      <c r="J1620">
        <v>-263.01420000000002</v>
      </c>
      <c r="K1620">
        <v>1.107901</v>
      </c>
      <c r="L1620">
        <v>283.13150000000002</v>
      </c>
      <c r="M1620">
        <v>-0.99928519999999998</v>
      </c>
      <c r="N1620">
        <v>0</v>
      </c>
      <c r="O1620">
        <v>3.7394339999999998E-2</v>
      </c>
      <c r="P1620">
        <v>-0.98731910000000001</v>
      </c>
      <c r="Q1620">
        <v>0.15027509999999999</v>
      </c>
      <c r="R1620">
        <v>5.1170809999999997E-2</v>
      </c>
      <c r="S1620">
        <v>-3.0475460000000001</v>
      </c>
      <c r="T1620">
        <v>-7.6611399999999996E-2</v>
      </c>
      <c r="U1620">
        <v>4.7332760000000001E-2</v>
      </c>
      <c r="V1620">
        <v>1.4624710000000001E-2</v>
      </c>
      <c r="W1620">
        <v>0.1557095</v>
      </c>
      <c r="X1620">
        <v>0.98769459999999998</v>
      </c>
      <c r="Y1620">
        <v>-2.1853000000000001E-2</v>
      </c>
      <c r="Z1620">
        <v>-1.214241E-3</v>
      </c>
      <c r="AA1620">
        <v>0.99976039999999999</v>
      </c>
      <c r="AB1620">
        <v>36</v>
      </c>
      <c r="AC1620">
        <v>-43.726299999999902</v>
      </c>
      <c r="AD1620">
        <v>-1.1078981599</v>
      </c>
      <c r="AE1620">
        <v>0.67099999999999205</v>
      </c>
      <c r="AF1620">
        <v>-0.96399188465374797</v>
      </c>
      <c r="AG1620">
        <v>-1.1078981599</v>
      </c>
      <c r="AH1620">
        <v>43.692765499868301</v>
      </c>
      <c r="AI1620">
        <v>91.452159289785001</v>
      </c>
      <c r="AJ1620">
        <v>91.263909631532897</v>
      </c>
      <c r="AK1620">
        <v>43.7174390342443</v>
      </c>
      <c r="AL1620">
        <v>81.042052555556097</v>
      </c>
      <c r="AM1620">
        <v>89.151688254540403</v>
      </c>
      <c r="AN1620">
        <v>0.99999997670099605</v>
      </c>
    </row>
    <row r="1621" spans="1:40" x14ac:dyDescent="0.25">
      <c r="A1621" t="str">
        <f>"20190312172647383"</f>
        <v>20190312172647383</v>
      </c>
      <c r="B1621" t="str">
        <f>"1552382807370407"</f>
        <v>1552382807370407</v>
      </c>
      <c r="C1621" t="s">
        <v>40</v>
      </c>
      <c r="D1621">
        <v>3.0838960000000002</v>
      </c>
      <c r="E1621">
        <v>0.4836956</v>
      </c>
      <c r="F1621" t="s">
        <v>49</v>
      </c>
      <c r="G1621">
        <v>-307.85969999999998</v>
      </c>
      <c r="H1621" s="1">
        <v>2.6383030000000001E-6</v>
      </c>
      <c r="I1621">
        <v>283.83980000000003</v>
      </c>
      <c r="J1621">
        <v>-263.3759</v>
      </c>
      <c r="K1621">
        <v>1.107888</v>
      </c>
      <c r="L1621">
        <v>283.14609999999999</v>
      </c>
      <c r="M1621">
        <v>-0.99924029999999997</v>
      </c>
      <c r="N1621">
        <v>0</v>
      </c>
      <c r="O1621">
        <v>3.8550229999999998E-2</v>
      </c>
      <c r="P1621">
        <v>-0.98732370000000003</v>
      </c>
      <c r="Q1621">
        <v>0.14999760000000001</v>
      </c>
      <c r="R1621">
        <v>5.1893769999999999E-2</v>
      </c>
      <c r="S1621">
        <v>-3.047485</v>
      </c>
      <c r="T1621">
        <v>-7.5287339999999994E-2</v>
      </c>
      <c r="U1621">
        <v>4.8126219999999997E-2</v>
      </c>
      <c r="V1621">
        <v>1.420795E-2</v>
      </c>
      <c r="W1621">
        <v>0.1556167</v>
      </c>
      <c r="X1621">
        <v>0.98771529999999996</v>
      </c>
      <c r="Y1621">
        <v>-2.2748959999999999E-2</v>
      </c>
      <c r="Z1621">
        <v>-1.232878E-3</v>
      </c>
      <c r="AA1621">
        <v>0.99974039999999997</v>
      </c>
      <c r="AB1621">
        <v>36</v>
      </c>
      <c r="AC1621">
        <v>-44.483799999999903</v>
      </c>
      <c r="AD1621">
        <v>-1.1078853616969999</v>
      </c>
      <c r="AE1621">
        <v>0.69370000000003496</v>
      </c>
      <c r="AF1621">
        <v>-1.0210712381790401</v>
      </c>
      <c r="AG1621">
        <v>-1.1078853616969999</v>
      </c>
      <c r="AH1621">
        <v>44.4499106553545</v>
      </c>
      <c r="AI1621">
        <v>91.427388358888905</v>
      </c>
      <c r="AJ1621">
        <v>91.315925828233603</v>
      </c>
      <c r="AK1621">
        <v>44.475437645031597</v>
      </c>
      <c r="AL1621">
        <v>81.047435143625094</v>
      </c>
      <c r="AM1621">
        <v>89.175876459755997</v>
      </c>
      <c r="AN1621">
        <v>0.99999996850809003</v>
      </c>
    </row>
    <row r="1622" spans="1:40" x14ac:dyDescent="0.25">
      <c r="A1622" t="str">
        <f>"20190312172647404"</f>
        <v>20190312172647404</v>
      </c>
      <c r="B1622" t="str">
        <f>"1552382807400663"</f>
        <v>1552382807400663</v>
      </c>
      <c r="C1622" t="s">
        <v>40</v>
      </c>
      <c r="D1622">
        <v>3.0880519999999998</v>
      </c>
      <c r="E1622">
        <v>0.48355799999999999</v>
      </c>
      <c r="F1622" t="s">
        <v>48</v>
      </c>
      <c r="G1622">
        <v>-321.06220000000002</v>
      </c>
      <c r="H1622" s="1">
        <v>-9.3014490000000003E-7</v>
      </c>
      <c r="I1622">
        <v>283.66969999999998</v>
      </c>
      <c r="J1622">
        <v>-263.72280000000001</v>
      </c>
      <c r="K1622">
        <v>1.1078669999999999</v>
      </c>
      <c r="L1622">
        <v>283.16039999999998</v>
      </c>
      <c r="M1622">
        <v>-0.99919590000000003</v>
      </c>
      <c r="N1622">
        <v>0</v>
      </c>
      <c r="O1622">
        <v>3.9660069999999999E-2</v>
      </c>
      <c r="P1622">
        <v>-0.98733570000000004</v>
      </c>
      <c r="Q1622">
        <v>0.14966279999999901</v>
      </c>
      <c r="R1622">
        <v>5.2623969999999999E-2</v>
      </c>
      <c r="S1622">
        <v>-3.0460210000000001</v>
      </c>
      <c r="T1622">
        <v>-5.8500049999999998E-2</v>
      </c>
      <c r="U1622">
        <v>2.7648929999999999E-2</v>
      </c>
      <c r="V1622">
        <v>1.3841900000000001E-2</v>
      </c>
      <c r="W1622">
        <v>0.15544059999999901</v>
      </c>
      <c r="X1622">
        <v>0.98774830000000002</v>
      </c>
      <c r="Y1622">
        <v>-3.057663E-2</v>
      </c>
      <c r="Z1622">
        <v>-1.055016E-3</v>
      </c>
      <c r="AA1622">
        <v>0.99953190000000003</v>
      </c>
      <c r="AB1622">
        <v>36</v>
      </c>
      <c r="AC1622">
        <v>-57.339399999999998</v>
      </c>
      <c r="AD1622">
        <v>-1.1078679301448999</v>
      </c>
      <c r="AE1622">
        <v>0.50929999999999598</v>
      </c>
      <c r="AF1622">
        <v>-1.7645660347360499</v>
      </c>
      <c r="AG1622">
        <v>-1.1078679301448999</v>
      </c>
      <c r="AH1622">
        <v>57.293098333357598</v>
      </c>
      <c r="AI1622">
        <v>91.107256815665707</v>
      </c>
      <c r="AJ1622">
        <v>91.7640909629541</v>
      </c>
      <c r="AK1622">
        <v>57.330970524467602</v>
      </c>
      <c r="AL1622">
        <v>81.057649877668993</v>
      </c>
      <c r="AM1622">
        <v>89.197132972850795</v>
      </c>
      <c r="AN1622">
        <v>1.00000004123842</v>
      </c>
    </row>
    <row r="1623" spans="1:40" x14ac:dyDescent="0.25">
      <c r="A1623" t="str">
        <f>"20190312172647427"</f>
        <v>20190312172647427</v>
      </c>
      <c r="B1623" t="str">
        <f>"1552382807420183"</f>
        <v>1552382807420183</v>
      </c>
      <c r="C1623" t="s">
        <v>40</v>
      </c>
      <c r="D1623">
        <v>3.059809</v>
      </c>
      <c r="E1623">
        <v>0.48367939999999998</v>
      </c>
      <c r="F1623" t="s">
        <v>49</v>
      </c>
      <c r="G1623">
        <v>-317.88490000000002</v>
      </c>
      <c r="H1623" s="1">
        <v>5.7965189999999998E-6</v>
      </c>
      <c r="I1623">
        <v>283.66820000000001</v>
      </c>
      <c r="J1623">
        <v>-264.09780000000001</v>
      </c>
      <c r="K1623">
        <v>1.1078520000000001</v>
      </c>
      <c r="L1623">
        <v>283.1764</v>
      </c>
      <c r="M1623">
        <v>-0.9991466</v>
      </c>
      <c r="N1623">
        <v>0</v>
      </c>
      <c r="O1623">
        <v>4.0860019999999997E-2</v>
      </c>
      <c r="P1623">
        <v>-0.98736919999999995</v>
      </c>
      <c r="Q1623">
        <v>0.14917800000000001</v>
      </c>
      <c r="R1623">
        <v>5.3363029999999999E-2</v>
      </c>
      <c r="S1623">
        <v>-3.0464169999999999</v>
      </c>
      <c r="T1623">
        <v>-6.231308E-2</v>
      </c>
      <c r="U1623">
        <v>2.8564450000000002E-2</v>
      </c>
      <c r="V1623">
        <v>1.339365E-2</v>
      </c>
      <c r="W1623">
        <v>0.15510850000000001</v>
      </c>
      <c r="X1623">
        <v>0.98780670000000004</v>
      </c>
      <c r="Y1623">
        <v>-3.1475679999999999E-2</v>
      </c>
      <c r="Z1623">
        <v>-1.1573379999999999E-3</v>
      </c>
      <c r="AA1623">
        <v>0.9995039</v>
      </c>
      <c r="AB1623">
        <v>36</v>
      </c>
      <c r="AC1623">
        <v>-53.787100000000002</v>
      </c>
      <c r="AD1623">
        <v>-1.1078462034809999</v>
      </c>
      <c r="AE1623">
        <v>0.49180000000001201</v>
      </c>
      <c r="AF1623">
        <v>-1.70566931402767</v>
      </c>
      <c r="AG1623">
        <v>-1.1078462034809999</v>
      </c>
      <c r="AH1623">
        <v>53.739478974151197</v>
      </c>
      <c r="AI1623">
        <v>91.1803982604645</v>
      </c>
      <c r="AJ1623">
        <v>91.817934554210595</v>
      </c>
      <c r="AK1623">
        <v>53.777953023823997</v>
      </c>
      <c r="AL1623">
        <v>81.076911559947305</v>
      </c>
      <c r="AM1623">
        <v>89.223175349282798</v>
      </c>
      <c r="AN1623">
        <v>1.0000000565987199</v>
      </c>
    </row>
    <row r="1624" spans="1:40" x14ac:dyDescent="0.25">
      <c r="A1624" t="str">
        <f>"20190312172647450"</f>
        <v>20190312172647450</v>
      </c>
      <c r="B1624" t="str">
        <f>"1552382807440679"</f>
        <v>1552382807440679</v>
      </c>
      <c r="C1624" t="s">
        <v>40</v>
      </c>
      <c r="D1624">
        <v>3.00623</v>
      </c>
      <c r="E1624">
        <v>0.48388249999999999</v>
      </c>
      <c r="F1624" t="s">
        <v>49</v>
      </c>
      <c r="G1624">
        <v>-316.43340000000001</v>
      </c>
      <c r="H1624" s="1">
        <v>5.1472560000000003E-6</v>
      </c>
      <c r="I1624">
        <v>283.7321</v>
      </c>
      <c r="J1624">
        <v>-264.46350000000001</v>
      </c>
      <c r="K1624">
        <v>1.107836</v>
      </c>
      <c r="L1624">
        <v>283.19240000000002</v>
      </c>
      <c r="M1624">
        <v>-0.99909729999999997</v>
      </c>
      <c r="N1624">
        <v>0</v>
      </c>
      <c r="O1624">
        <v>4.2029839999999999E-2</v>
      </c>
      <c r="P1624">
        <v>-0.98738769999999998</v>
      </c>
      <c r="Q1624">
        <v>0.14888280000000001</v>
      </c>
      <c r="R1624">
        <v>5.384684E-2</v>
      </c>
      <c r="S1624">
        <v>-3.0463870000000002</v>
      </c>
      <c r="T1624">
        <v>-6.4486269999999998E-2</v>
      </c>
      <c r="U1624">
        <v>3.2348630000000003E-2</v>
      </c>
      <c r="V1624">
        <v>1.2720830000000001E-2</v>
      </c>
      <c r="W1624">
        <v>0.15494550000000001</v>
      </c>
      <c r="X1624">
        <v>0.98784110000000003</v>
      </c>
      <c r="Y1624">
        <v>-3.140312E-2</v>
      </c>
      <c r="Z1624">
        <v>-1.2216639999999999E-3</v>
      </c>
      <c r="AA1624">
        <v>0.99950609999999995</v>
      </c>
      <c r="AB1624">
        <v>36</v>
      </c>
      <c r="AC1624">
        <v>-51.969900000000003</v>
      </c>
      <c r="AD1624">
        <v>-1.1078308527439999</v>
      </c>
      <c r="AE1624">
        <v>0.53969999999998197</v>
      </c>
      <c r="AF1624">
        <v>-1.6443579662079899</v>
      </c>
      <c r="AG1624">
        <v>-1.1078308527439999</v>
      </c>
      <c r="AH1624">
        <v>51.923067729558603</v>
      </c>
      <c r="AI1624">
        <v>91.221665327183402</v>
      </c>
      <c r="AJ1624">
        <v>91.813900786054703</v>
      </c>
      <c r="AK1624">
        <v>51.960909968625998</v>
      </c>
      <c r="AL1624">
        <v>81.086364402242594</v>
      </c>
      <c r="AM1624">
        <v>89.262219817425603</v>
      </c>
      <c r="AN1624">
        <v>0.99999998316767402</v>
      </c>
    </row>
    <row r="1625" spans="1:40" x14ac:dyDescent="0.25">
      <c r="A1625" t="str">
        <f>"20190312172647473"</f>
        <v>20190312172647473</v>
      </c>
      <c r="B1625" t="str">
        <f>"1552382807469959"</f>
        <v>1552382807469959</v>
      </c>
      <c r="C1625" t="s">
        <v>40</v>
      </c>
      <c r="D1625">
        <v>2.9887700000000001</v>
      </c>
      <c r="E1625">
        <v>0.48454940000000002</v>
      </c>
      <c r="F1625" t="s">
        <v>49</v>
      </c>
      <c r="G1625">
        <v>-312.93079999999998</v>
      </c>
      <c r="H1625" s="1">
        <v>3.5919400000000001E-6</v>
      </c>
      <c r="I1625">
        <v>283.75549999999998</v>
      </c>
      <c r="J1625">
        <v>-264.84640000000002</v>
      </c>
      <c r="K1625">
        <v>1.1078140000000001</v>
      </c>
      <c r="L1625">
        <v>283.20960000000002</v>
      </c>
      <c r="M1625">
        <v>-0.9990443</v>
      </c>
      <c r="N1625">
        <v>0</v>
      </c>
      <c r="O1625">
        <v>4.3253609999999998E-2</v>
      </c>
      <c r="P1625">
        <v>-0.98739529999999998</v>
      </c>
      <c r="Q1625">
        <v>0.1486565</v>
      </c>
      <c r="R1625">
        <v>5.4330400000000001E-2</v>
      </c>
      <c r="S1625">
        <v>-3.046875</v>
      </c>
      <c r="T1625">
        <v>-6.9643380000000005E-2</v>
      </c>
      <c r="U1625">
        <v>3.5400389999999997E-2</v>
      </c>
      <c r="V1625">
        <v>1.19948E-2</v>
      </c>
      <c r="W1625">
        <v>0.154840899999999</v>
      </c>
      <c r="X1625">
        <v>0.98786660000000004</v>
      </c>
      <c r="Y1625">
        <v>-3.1625069999999998E-2</v>
      </c>
      <c r="Z1625">
        <v>-1.3495979999999901E-3</v>
      </c>
      <c r="AA1625">
        <v>0.99949889999999997</v>
      </c>
      <c r="AB1625">
        <v>36</v>
      </c>
      <c r="AC1625">
        <v>-48.084399999999903</v>
      </c>
      <c r="AD1625">
        <v>-1.10781040805999</v>
      </c>
      <c r="AE1625">
        <v>0.54589999999995997</v>
      </c>
      <c r="AF1625">
        <v>-1.5336620462438899</v>
      </c>
      <c r="AG1625">
        <v>-1.10781040805999</v>
      </c>
      <c r="AH1625">
        <v>48.037515294705898</v>
      </c>
      <c r="AI1625">
        <v>91.320411872287096</v>
      </c>
      <c r="AJ1625">
        <v>91.828623406405299</v>
      </c>
      <c r="AK1625">
        <v>48.0747567738143</v>
      </c>
      <c r="AL1625">
        <v>81.092430900726399</v>
      </c>
      <c r="AM1625">
        <v>89.304341654035895</v>
      </c>
      <c r="AN1625">
        <v>0.99999999946770501</v>
      </c>
    </row>
    <row r="1626" spans="1:40" x14ac:dyDescent="0.25">
      <c r="A1626" t="str">
        <f>"20190312172647493"</f>
        <v>20190312172647493</v>
      </c>
      <c r="B1626" t="str">
        <f>"1552382807490455"</f>
        <v>1552382807490455</v>
      </c>
      <c r="C1626" t="s">
        <v>40</v>
      </c>
      <c r="D1626">
        <v>2.9946229999999998</v>
      </c>
      <c r="E1626">
        <v>0.48432219999999998</v>
      </c>
      <c r="F1626" t="s">
        <v>49</v>
      </c>
      <c r="G1626">
        <v>-299.2362</v>
      </c>
      <c r="H1626" s="1">
        <v>3.9250380000000003E-6</v>
      </c>
      <c r="I1626">
        <v>283.69049999999999</v>
      </c>
      <c r="J1626">
        <v>-265.16590000000002</v>
      </c>
      <c r="K1626">
        <v>1.107802</v>
      </c>
      <c r="L1626">
        <v>283.22430000000003</v>
      </c>
      <c r="M1626">
        <v>-0.99899910000000003</v>
      </c>
      <c r="N1626">
        <v>0</v>
      </c>
      <c r="O1626">
        <v>4.4273949999999999E-2</v>
      </c>
      <c r="P1626">
        <v>-0.98738970000000004</v>
      </c>
      <c r="Q1626">
        <v>0.148537</v>
      </c>
      <c r="R1626">
        <v>5.4756369999999999E-2</v>
      </c>
      <c r="S1626">
        <v>-3.050751</v>
      </c>
      <c r="T1626">
        <v>-9.8274829999999994E-2</v>
      </c>
      <c r="U1626">
        <v>4.2663569999999998E-2</v>
      </c>
      <c r="V1626">
        <v>1.1412439999999999E-2</v>
      </c>
      <c r="W1626">
        <v>0.15481259999999999</v>
      </c>
      <c r="X1626">
        <v>0.98787789999999998</v>
      </c>
      <c r="Y1626">
        <v>-3.026235E-2</v>
      </c>
      <c r="Z1626">
        <v>-1.912616E-3</v>
      </c>
      <c r="AA1626">
        <v>0.99954019999999999</v>
      </c>
      <c r="AB1626">
        <v>36</v>
      </c>
      <c r="AC1626">
        <v>-34.070299999999897</v>
      </c>
      <c r="AD1626">
        <v>-1.107798074962</v>
      </c>
      <c r="AE1626">
        <v>0.46619999999995798</v>
      </c>
      <c r="AF1626">
        <v>-1.04161353522663</v>
      </c>
      <c r="AG1626">
        <v>-1.107798074962</v>
      </c>
      <c r="AH1626">
        <v>34.021569316628998</v>
      </c>
      <c r="AI1626">
        <v>91.864112732348403</v>
      </c>
      <c r="AJ1626">
        <v>91.753635237229105</v>
      </c>
      <c r="AK1626">
        <v>34.055533384427299</v>
      </c>
      <c r="AL1626">
        <v>81.094071853711995</v>
      </c>
      <c r="AM1626">
        <v>89.338121078353495</v>
      </c>
      <c r="AN1626">
        <v>0.99999996510696099</v>
      </c>
    </row>
    <row r="1627" spans="1:40" x14ac:dyDescent="0.25">
      <c r="A1627" t="str">
        <f>"20190312172647515"</f>
        <v>20190312172647515</v>
      </c>
      <c r="B1627" t="str">
        <f>"1552382807509975"</f>
        <v>1552382807509975</v>
      </c>
      <c r="C1627" t="s">
        <v>40</v>
      </c>
      <c r="D1627">
        <v>3.0049199999999998</v>
      </c>
      <c r="E1627">
        <v>0.48416769999999998</v>
      </c>
      <c r="F1627" t="s">
        <v>49</v>
      </c>
      <c r="G1627">
        <v>-299.04660000000001</v>
      </c>
      <c r="H1627" s="1">
        <v>3.8911900000000003E-6</v>
      </c>
      <c r="I1627">
        <v>283.69299999999998</v>
      </c>
      <c r="J1627">
        <v>-265.53059999999999</v>
      </c>
      <c r="K1627">
        <v>1.1077999999999999</v>
      </c>
      <c r="L1627">
        <v>283.24149999999997</v>
      </c>
      <c r="M1627">
        <v>-0.99894620000000001</v>
      </c>
      <c r="N1627">
        <v>0</v>
      </c>
      <c r="O1627">
        <v>4.5437980000000003E-2</v>
      </c>
      <c r="P1627">
        <v>-0.9872959</v>
      </c>
      <c r="Q1627">
        <v>0.14895359999999999</v>
      </c>
      <c r="R1627">
        <v>5.5315679999999999E-2</v>
      </c>
      <c r="S1627">
        <v>-3.050964</v>
      </c>
      <c r="T1627">
        <v>-9.975755E-2</v>
      </c>
      <c r="U1627">
        <v>4.2205810000000003E-2</v>
      </c>
      <c r="V1627">
        <v>1.08269E-2</v>
      </c>
      <c r="W1627">
        <v>0.1553214</v>
      </c>
      <c r="X1627">
        <v>0.98780469999999998</v>
      </c>
      <c r="Y1627">
        <v>-3.157546E-2</v>
      </c>
      <c r="Z1627">
        <v>-2.000801E-3</v>
      </c>
      <c r="AA1627">
        <v>0.99949940000000004</v>
      </c>
      <c r="AB1627">
        <v>36</v>
      </c>
      <c r="AC1627">
        <v>-33.515999999999998</v>
      </c>
      <c r="AD1627">
        <v>-1.1077961088099999</v>
      </c>
      <c r="AE1627">
        <v>0.45150000000001</v>
      </c>
      <c r="AF1627">
        <v>-1.07072803226938</v>
      </c>
      <c r="AG1627">
        <v>-1.1077961088099999</v>
      </c>
      <c r="AH1627">
        <v>33.465343877603203</v>
      </c>
      <c r="AI1627">
        <v>91.894988606668093</v>
      </c>
      <c r="AJ1627">
        <v>91.832560768431193</v>
      </c>
      <c r="AK1627">
        <v>33.500789715826301</v>
      </c>
      <c r="AL1627">
        <v>81.064563511606494</v>
      </c>
      <c r="AM1627">
        <v>89.372030892485697</v>
      </c>
      <c r="AN1627">
        <v>1.00000004220182</v>
      </c>
    </row>
    <row r="1628" spans="1:40" x14ac:dyDescent="0.25">
      <c r="A1628" t="str">
        <f>"20190312172647538"</f>
        <v>20190312172647538</v>
      </c>
      <c r="B1628" t="str">
        <f>"1552382807530472"</f>
        <v>1552382807530472</v>
      </c>
      <c r="C1628" t="s">
        <v>40</v>
      </c>
      <c r="D1628">
        <v>2.990529</v>
      </c>
      <c r="E1628">
        <v>0.4840932</v>
      </c>
      <c r="F1628" t="s">
        <v>49</v>
      </c>
      <c r="G1628">
        <v>-300.35719999999998</v>
      </c>
      <c r="H1628" s="1">
        <v>3.9789430000000003E-6</v>
      </c>
      <c r="I1628">
        <v>283.72739999999999</v>
      </c>
      <c r="J1628">
        <v>-265.90589999999997</v>
      </c>
      <c r="K1628">
        <v>1.1077939999999999</v>
      </c>
      <c r="L1628">
        <v>283.25959999999998</v>
      </c>
      <c r="M1628">
        <v>-0.99889059999999996</v>
      </c>
      <c r="N1628">
        <v>0</v>
      </c>
      <c r="O1628">
        <v>4.6633429999999997E-2</v>
      </c>
      <c r="P1628">
        <v>-0.98721919999999996</v>
      </c>
      <c r="Q1628">
        <v>0.14924309999999999</v>
      </c>
      <c r="R1628">
        <v>5.5903380000000003E-2</v>
      </c>
      <c r="S1628">
        <v>-3.0508419999999998</v>
      </c>
      <c r="T1628">
        <v>-9.7043989999999997E-2</v>
      </c>
      <c r="U1628">
        <v>4.2572020000000002E-2</v>
      </c>
      <c r="V1628">
        <v>1.023726E-2</v>
      </c>
      <c r="W1628">
        <v>0.15569539999999901</v>
      </c>
      <c r="X1628">
        <v>0.98775210000000002</v>
      </c>
      <c r="Y1628">
        <v>-3.2652170000000001E-2</v>
      </c>
      <c r="Z1628">
        <v>-2.001578E-3</v>
      </c>
      <c r="AA1628">
        <v>0.99946480000000004</v>
      </c>
      <c r="AB1628">
        <v>36</v>
      </c>
      <c r="AC1628">
        <v>-34.451300000000003</v>
      </c>
      <c r="AD1628">
        <v>-1.107790021057</v>
      </c>
      <c r="AE1628">
        <v>0.46780000000001098</v>
      </c>
      <c r="AF1628">
        <v>-1.1381491152341301</v>
      </c>
      <c r="AG1628">
        <v>-1.107790021057</v>
      </c>
      <c r="AH1628">
        <v>34.400071632798799</v>
      </c>
      <c r="AI1628">
        <v>91.843458078386803</v>
      </c>
      <c r="AJ1628">
        <v>91.894977498138701</v>
      </c>
      <c r="AK1628">
        <v>34.436717475406297</v>
      </c>
      <c r="AL1628">
        <v>81.042870927566696</v>
      </c>
      <c r="AM1628">
        <v>89.406196361085904</v>
      </c>
      <c r="AN1628">
        <v>1.00000003506393</v>
      </c>
    </row>
    <row r="1629" spans="1:40" x14ac:dyDescent="0.25">
      <c r="A1629" t="str">
        <f>"20190312172647560"</f>
        <v>20190312172647560</v>
      </c>
      <c r="B1629" t="str">
        <f>"1552382807549994"</f>
        <v>1552382807549994</v>
      </c>
      <c r="C1629" t="s">
        <v>40</v>
      </c>
      <c r="D1629">
        <v>3.0275270000000001</v>
      </c>
      <c r="E1629">
        <v>0.48400330000000003</v>
      </c>
      <c r="F1629" t="s">
        <v>49</v>
      </c>
      <c r="G1629">
        <v>-300.7439</v>
      </c>
      <c r="H1629" s="1">
        <v>3.9071369999999998E-6</v>
      </c>
      <c r="I1629">
        <v>283.76420000000002</v>
      </c>
      <c r="J1629">
        <v>-266.27879999999999</v>
      </c>
      <c r="K1629">
        <v>1.1077889999999999</v>
      </c>
      <c r="L1629">
        <v>283.27800000000002</v>
      </c>
      <c r="M1629">
        <v>-0.99883420000000001</v>
      </c>
      <c r="N1629">
        <v>0</v>
      </c>
      <c r="O1629">
        <v>4.7816789999999998E-2</v>
      </c>
      <c r="P1629">
        <v>-0.98717160000000004</v>
      </c>
      <c r="Q1629">
        <v>0.14937609999999901</v>
      </c>
      <c r="R1629">
        <v>5.638344E-2</v>
      </c>
      <c r="S1629">
        <v>-3.0509949999999999</v>
      </c>
      <c r="T1629">
        <v>-9.7016450000000004E-2</v>
      </c>
      <c r="U1629">
        <v>4.4189449999999998E-2</v>
      </c>
      <c r="V1629">
        <v>9.5495219999999995E-3</v>
      </c>
      <c r="W1629">
        <v>0.1559035</v>
      </c>
      <c r="X1629">
        <v>0.98772610000000005</v>
      </c>
      <c r="Y1629">
        <v>-3.330632E-2</v>
      </c>
      <c r="Z1629">
        <v>-2.0488770000000002E-3</v>
      </c>
      <c r="AA1629">
        <v>0.99944310000000003</v>
      </c>
      <c r="AB1629">
        <v>37</v>
      </c>
      <c r="AC1629">
        <v>-34.4651</v>
      </c>
      <c r="AD1629">
        <v>-1.107785092863</v>
      </c>
      <c r="AE1629">
        <v>0.48619999999999602</v>
      </c>
      <c r="AF1629">
        <v>-1.1612032883735599</v>
      </c>
      <c r="AG1629">
        <v>-1.107785092863</v>
      </c>
      <c r="AH1629">
        <v>34.413377301116597</v>
      </c>
      <c r="AI1629">
        <v>91.842697230606504</v>
      </c>
      <c r="AJ1629">
        <v>91.932586088335697</v>
      </c>
      <c r="AK1629">
        <v>34.450778193792701</v>
      </c>
      <c r="AL1629">
        <v>81.030799704580303</v>
      </c>
      <c r="AM1629">
        <v>89.446070869310901</v>
      </c>
      <c r="AN1629">
        <v>0.99999997165194299</v>
      </c>
    </row>
    <row r="1630" spans="1:40" x14ac:dyDescent="0.25">
      <c r="A1630" t="str">
        <f>"20190312172647583"</f>
        <v>20190312172647583</v>
      </c>
      <c r="B1630" t="str">
        <f>"1552382807570490"</f>
        <v>1552382807570490</v>
      </c>
      <c r="C1630" t="s">
        <v>40</v>
      </c>
      <c r="D1630">
        <v>3.0310220000000001</v>
      </c>
      <c r="E1630">
        <v>0.48381239999999998</v>
      </c>
      <c r="F1630" t="s">
        <v>49</v>
      </c>
      <c r="G1630">
        <v>-301.37389999999999</v>
      </c>
      <c r="H1630" s="1">
        <v>3.792988E-6</v>
      </c>
      <c r="I1630">
        <v>283.79160000000002</v>
      </c>
      <c r="J1630">
        <v>-266.63330000000002</v>
      </c>
      <c r="K1630">
        <v>1.1077870000000001</v>
      </c>
      <c r="L1630">
        <v>283.29590000000002</v>
      </c>
      <c r="M1630">
        <v>-0.9987798</v>
      </c>
      <c r="N1630">
        <v>0</v>
      </c>
      <c r="O1630">
        <v>4.8931309999999999E-2</v>
      </c>
      <c r="P1630">
        <v>-0.98712619999999895</v>
      </c>
      <c r="Q1630">
        <v>0.1495495</v>
      </c>
      <c r="R1630">
        <v>5.6717999999999998E-2</v>
      </c>
      <c r="S1630">
        <v>-3.050964</v>
      </c>
      <c r="T1630">
        <v>-9.6304299999999995E-2</v>
      </c>
      <c r="U1630">
        <v>4.4647220000000001E-2</v>
      </c>
      <c r="V1630">
        <v>8.7828919999999901E-3</v>
      </c>
      <c r="W1630">
        <v>0.15614140000000001</v>
      </c>
      <c r="X1630">
        <v>0.98769560000000001</v>
      </c>
      <c r="Y1630">
        <v>-3.4271049999999997E-2</v>
      </c>
      <c r="Z1630">
        <v>-2.0842159999999998E-3</v>
      </c>
      <c r="AA1630">
        <v>0.99941040000000003</v>
      </c>
      <c r="AB1630">
        <v>37</v>
      </c>
      <c r="AC1630">
        <v>-34.740599999999901</v>
      </c>
      <c r="AD1630">
        <v>-1.1077832070119999</v>
      </c>
      <c r="AE1630">
        <v>0.49569999999999897</v>
      </c>
      <c r="AF1630">
        <v>-1.2036112312812</v>
      </c>
      <c r="AG1630">
        <v>-1.1077832070119999</v>
      </c>
      <c r="AH1630">
        <v>34.687976262007901</v>
      </c>
      <c r="AI1630">
        <v>91.828057132148899</v>
      </c>
      <c r="AJ1630">
        <v>91.987264614590998</v>
      </c>
      <c r="AK1630">
        <v>34.726525319752703</v>
      </c>
      <c r="AL1630">
        <v>81.016999728003796</v>
      </c>
      <c r="AM1630">
        <v>89.490521796032596</v>
      </c>
      <c r="AN1630">
        <v>0.99999993712259905</v>
      </c>
    </row>
    <row r="1631" spans="1:40" x14ac:dyDescent="0.25">
      <c r="A1631" t="str">
        <f>"20190312172647604"</f>
        <v>20190312172647604</v>
      </c>
      <c r="B1631" t="str">
        <f>"1552382807600742"</f>
        <v>1552382807600742</v>
      </c>
      <c r="C1631" t="s">
        <v>40</v>
      </c>
      <c r="D1631">
        <v>3.0548609999999998</v>
      </c>
      <c r="E1631">
        <v>0.48367320000000003</v>
      </c>
      <c r="F1631" t="s">
        <v>49</v>
      </c>
      <c r="G1631">
        <v>-301.98750000000001</v>
      </c>
      <c r="H1631" s="1">
        <v>3.6829369999999999E-6</v>
      </c>
      <c r="I1631">
        <v>283.80549999999999</v>
      </c>
      <c r="J1631">
        <v>-266.99509999999998</v>
      </c>
      <c r="K1631">
        <v>1.1077870000000001</v>
      </c>
      <c r="L1631">
        <v>283.31459999999998</v>
      </c>
      <c r="M1631">
        <v>-0.9987239</v>
      </c>
      <c r="N1631">
        <v>0</v>
      </c>
      <c r="O1631">
        <v>5.0049150000000001E-2</v>
      </c>
      <c r="P1631">
        <v>-0.98711669999999996</v>
      </c>
      <c r="Q1631">
        <v>0.1495069</v>
      </c>
      <c r="R1631">
        <v>5.6993929999999998E-2</v>
      </c>
      <c r="S1631">
        <v>-3.0510860000000002</v>
      </c>
      <c r="T1631">
        <v>-9.5602270000000003E-2</v>
      </c>
      <c r="U1631">
        <v>4.397583E-2</v>
      </c>
      <c r="V1631">
        <v>7.9498039999999996E-3</v>
      </c>
      <c r="W1631">
        <v>0.15615889999999999</v>
      </c>
      <c r="X1631">
        <v>0.98770000000000002</v>
      </c>
      <c r="Y1631">
        <v>-3.5609469999999997E-2</v>
      </c>
      <c r="Z1631">
        <v>-2.124894E-3</v>
      </c>
      <c r="AA1631">
        <v>0.99936349999999996</v>
      </c>
      <c r="AB1631">
        <v>37</v>
      </c>
      <c r="AC1631">
        <v>-34.992400000000004</v>
      </c>
      <c r="AD1631">
        <v>-1.107783317063</v>
      </c>
      <c r="AE1631">
        <v>0.49090000000001</v>
      </c>
      <c r="AF1631">
        <v>-1.2598327228567401</v>
      </c>
      <c r="AG1631">
        <v>-1.107783317063</v>
      </c>
      <c r="AH1631">
        <v>34.938104962834103</v>
      </c>
      <c r="AI1631">
        <v>91.814891473224606</v>
      </c>
      <c r="AJ1631">
        <v>92.065133097525205</v>
      </c>
      <c r="AK1631">
        <v>34.978358177037897</v>
      </c>
      <c r="AL1631">
        <v>81.015985583235206</v>
      </c>
      <c r="AM1631">
        <v>89.538847442044201</v>
      </c>
      <c r="AN1631">
        <v>1.00000004571642</v>
      </c>
    </row>
    <row r="1632" spans="1:40" x14ac:dyDescent="0.25">
      <c r="A1632" t="str">
        <f>"20190312172647628"</f>
        <v>20190312172647628</v>
      </c>
      <c r="B1632" t="str">
        <f>"1552382807620263"</f>
        <v>1552382807620263</v>
      </c>
      <c r="C1632" t="s">
        <v>40</v>
      </c>
      <c r="D1632">
        <v>3.0672290000000002</v>
      </c>
      <c r="E1632">
        <v>0.48354409999999998</v>
      </c>
      <c r="F1632" t="s">
        <v>49</v>
      </c>
      <c r="G1632">
        <v>-302.09820000000002</v>
      </c>
      <c r="H1632" s="1">
        <v>3.6623909999999998E-6</v>
      </c>
      <c r="I1632">
        <v>283.8159</v>
      </c>
      <c r="J1632">
        <v>-267.37090000000001</v>
      </c>
      <c r="K1632">
        <v>1.107799</v>
      </c>
      <c r="L1632">
        <v>283.33440000000002</v>
      </c>
      <c r="M1632">
        <v>-0.99866630000000001</v>
      </c>
      <c r="N1632">
        <v>0</v>
      </c>
      <c r="O1632">
        <v>5.1179870000000002E-2</v>
      </c>
      <c r="P1632">
        <v>-0.98709369999999996</v>
      </c>
      <c r="Q1632">
        <v>0.149477</v>
      </c>
      <c r="R1632">
        <v>5.7468930000000001E-2</v>
      </c>
      <c r="S1632">
        <v>-3.0512079999999999</v>
      </c>
      <c r="T1632">
        <v>-9.6289990000000006E-2</v>
      </c>
      <c r="U1632">
        <v>4.3579100000000003E-2</v>
      </c>
      <c r="V1632">
        <v>7.2999550000000003E-3</v>
      </c>
      <c r="W1632">
        <v>0.15618470000000001</v>
      </c>
      <c r="X1632">
        <v>0.98770089999999999</v>
      </c>
      <c r="Y1632">
        <v>-3.6869649999999997E-2</v>
      </c>
      <c r="Z1632">
        <v>-2.1956020000000001E-3</v>
      </c>
      <c r="AA1632">
        <v>0.99931760000000003</v>
      </c>
      <c r="AB1632">
        <v>37</v>
      </c>
      <c r="AC1632">
        <v>-34.7273</v>
      </c>
      <c r="AD1632">
        <v>-1.107795337609</v>
      </c>
      <c r="AE1632">
        <v>0.481499999999982</v>
      </c>
      <c r="AF1632">
        <v>-1.29519311809362</v>
      </c>
      <c r="AG1632">
        <v>-1.107795337609</v>
      </c>
      <c r="AH1632">
        <v>34.6711551861139</v>
      </c>
      <c r="AI1632">
        <v>91.828788638403097</v>
      </c>
      <c r="AJ1632">
        <v>92.139375166256798</v>
      </c>
      <c r="AK1632">
        <v>34.713019713974496</v>
      </c>
      <c r="AL1632">
        <v>81.014488654914999</v>
      </c>
      <c r="AM1632">
        <v>89.576542861645606</v>
      </c>
      <c r="AN1632">
        <v>1.00000000885895</v>
      </c>
    </row>
    <row r="1633" spans="1:40" x14ac:dyDescent="0.25">
      <c r="A1633" t="str">
        <f>"20190312172647651"</f>
        <v>20190312172647651</v>
      </c>
      <c r="B1633" t="str">
        <f>"1552382807640759"</f>
        <v>1552382807640759</v>
      </c>
      <c r="C1633" t="s">
        <v>40</v>
      </c>
      <c r="D1633">
        <v>3.044489</v>
      </c>
      <c r="E1633">
        <v>0.48369060000000003</v>
      </c>
      <c r="F1633" t="s">
        <v>49</v>
      </c>
      <c r="G1633">
        <v>-303.34440000000001</v>
      </c>
      <c r="H1633" s="1">
        <v>3.4382910000000001E-6</v>
      </c>
      <c r="I1633">
        <v>283.85070000000002</v>
      </c>
      <c r="J1633">
        <v>-267.76530000000002</v>
      </c>
      <c r="K1633">
        <v>1.1078319999999999</v>
      </c>
      <c r="L1633">
        <v>283.35559999999998</v>
      </c>
      <c r="M1633">
        <v>-0.99860720000000003</v>
      </c>
      <c r="N1633">
        <v>0</v>
      </c>
      <c r="O1633">
        <v>5.2314529999999998E-2</v>
      </c>
      <c r="P1633">
        <v>-0.98709619999999998</v>
      </c>
      <c r="Q1633">
        <v>0.14940590000000001</v>
      </c>
      <c r="R1633">
        <v>5.7611919999999997E-2</v>
      </c>
      <c r="S1633">
        <v>-3.0509029999999999</v>
      </c>
      <c r="T1633">
        <v>-9.3951820000000005E-2</v>
      </c>
      <c r="U1633">
        <v>4.379272E-2</v>
      </c>
      <c r="V1633">
        <v>6.3082809999999998E-3</v>
      </c>
      <c r="W1633">
        <v>0.15616640000000001</v>
      </c>
      <c r="X1633">
        <v>0.98771059999999999</v>
      </c>
      <c r="Y1633">
        <v>-3.7934740000000002E-2</v>
      </c>
      <c r="Z1633">
        <v>-2.1938109999999999E-3</v>
      </c>
      <c r="AA1633">
        <v>0.99927779999999999</v>
      </c>
      <c r="AB1633">
        <v>37</v>
      </c>
      <c r="AC1633">
        <v>-35.579099999999897</v>
      </c>
      <c r="AD1633">
        <v>-1.107828561709</v>
      </c>
      <c r="AE1633">
        <v>0.49510000000003601</v>
      </c>
      <c r="AF1633">
        <v>-1.3656017731374099</v>
      </c>
      <c r="AG1633">
        <v>-1.107828561709</v>
      </c>
      <c r="AH1633">
        <v>35.521846921174799</v>
      </c>
      <c r="AI1633">
        <v>91.785000821090705</v>
      </c>
      <c r="AJ1633">
        <v>92.201594588573101</v>
      </c>
      <c r="AK1633">
        <v>35.565344944430301</v>
      </c>
      <c r="AL1633">
        <v>81.015549969418899</v>
      </c>
      <c r="AM1633">
        <v>89.634069976619102</v>
      </c>
      <c r="AN1633">
        <v>0.99999998412524704</v>
      </c>
    </row>
    <row r="1634" spans="1:40" x14ac:dyDescent="0.25">
      <c r="A1634" t="str">
        <f>"20190312172647675"</f>
        <v>20190312172647675</v>
      </c>
      <c r="B1634" t="str">
        <f>"1552382807670520"</f>
        <v>1552382807670520</v>
      </c>
      <c r="C1634" t="s">
        <v>40</v>
      </c>
      <c r="D1634">
        <v>3.0821990000000001</v>
      </c>
      <c r="E1634">
        <v>0.48368630000000001</v>
      </c>
      <c r="F1634" t="s">
        <v>49</v>
      </c>
      <c r="G1634">
        <v>-303.41809999999998</v>
      </c>
      <c r="H1634" s="1">
        <v>3.4221510000000002E-6</v>
      </c>
      <c r="I1634">
        <v>283.88589999999999</v>
      </c>
      <c r="J1634">
        <v>-268.14870000000002</v>
      </c>
      <c r="K1634">
        <v>1.1078629999999901</v>
      </c>
      <c r="L1634">
        <v>283.3766</v>
      </c>
      <c r="M1634">
        <v>-0.99855150000000004</v>
      </c>
      <c r="N1634">
        <v>0</v>
      </c>
      <c r="O1634">
        <v>5.3359690000000001E-2</v>
      </c>
      <c r="P1634">
        <v>-0.98714740000000001</v>
      </c>
      <c r="Q1634">
        <v>0.14907819999999999</v>
      </c>
      <c r="R1634">
        <v>5.7584780000000002E-2</v>
      </c>
      <c r="S1634">
        <v>-3.0509029999999999</v>
      </c>
      <c r="T1634">
        <v>-9.4799880000000003E-2</v>
      </c>
      <c r="U1634">
        <v>4.5379639999999999E-2</v>
      </c>
      <c r="V1634">
        <v>5.228969E-3</v>
      </c>
      <c r="W1634">
        <v>0.15588569999999999</v>
      </c>
      <c r="X1634">
        <v>0.98776129999999995</v>
      </c>
      <c r="Y1634">
        <v>-3.8459449999999999E-2</v>
      </c>
      <c r="Z1634">
        <v>-2.2541660000000002E-3</v>
      </c>
      <c r="AA1634">
        <v>0.99925759999999997</v>
      </c>
      <c r="AB1634">
        <v>37</v>
      </c>
      <c r="AC1634">
        <v>-35.269399999999898</v>
      </c>
      <c r="AD1634">
        <v>-1.1078595778489999</v>
      </c>
      <c r="AE1634">
        <v>0.50929999999999598</v>
      </c>
      <c r="AF1634">
        <v>-1.3720811774420201</v>
      </c>
      <c r="AG1634">
        <v>-1.1078595778489999</v>
      </c>
      <c r="AH1634">
        <v>35.2115929469715</v>
      </c>
      <c r="AI1634">
        <v>91.800732413905706</v>
      </c>
      <c r="AJ1634">
        <v>92.231501067191303</v>
      </c>
      <c r="AK1634">
        <v>35.255726307437499</v>
      </c>
      <c r="AL1634">
        <v>81.031832808117002</v>
      </c>
      <c r="AM1634">
        <v>89.696692858566806</v>
      </c>
      <c r="AN1634">
        <v>1.0000000396794899</v>
      </c>
    </row>
    <row r="1635" spans="1:40" x14ac:dyDescent="0.25">
      <c r="A1635" t="str">
        <f>"20190312172647694"</f>
        <v>20190312172647694</v>
      </c>
      <c r="B1635" t="str">
        <f>"1552382807690040"</f>
        <v>1552382807690040</v>
      </c>
      <c r="C1635" t="s">
        <v>40</v>
      </c>
      <c r="D1635">
        <v>3.0708820000000001</v>
      </c>
      <c r="E1635">
        <v>0.4836356</v>
      </c>
      <c r="F1635" t="s">
        <v>49</v>
      </c>
      <c r="G1635">
        <v>-303.2552</v>
      </c>
      <c r="H1635" s="1">
        <v>3.4500239999999998E-6</v>
      </c>
      <c r="I1635">
        <v>283.8974</v>
      </c>
      <c r="J1635">
        <v>-268.49009999999998</v>
      </c>
      <c r="K1635">
        <v>1.107901</v>
      </c>
      <c r="L1635">
        <v>283.3956</v>
      </c>
      <c r="M1635">
        <v>-0.99850380000000005</v>
      </c>
      <c r="N1635">
        <v>0</v>
      </c>
      <c r="O1635">
        <v>5.4244590000000002E-2</v>
      </c>
      <c r="P1635">
        <v>-0.98721150000000002</v>
      </c>
      <c r="Q1635">
        <v>0.1488003</v>
      </c>
      <c r="R1635">
        <v>5.7204820000000003E-2</v>
      </c>
      <c r="S1635">
        <v>-3.050964</v>
      </c>
      <c r="T1635">
        <v>-9.6279379999999998E-2</v>
      </c>
      <c r="U1635">
        <v>4.5257569999999997E-2</v>
      </c>
      <c r="V1635">
        <v>3.9557949999999998E-3</v>
      </c>
      <c r="W1635">
        <v>0.15564729999999999</v>
      </c>
      <c r="X1635">
        <v>0.98780480000000004</v>
      </c>
      <c r="Y1635">
        <v>-3.9382960000000002E-2</v>
      </c>
      <c r="Z1635">
        <v>-2.3317329999999999E-3</v>
      </c>
      <c r="AA1635">
        <v>0.99922140000000004</v>
      </c>
      <c r="AB1635">
        <v>37</v>
      </c>
      <c r="AC1635">
        <v>-34.765099999999997</v>
      </c>
      <c r="AD1635">
        <v>-1.107897549976</v>
      </c>
      <c r="AE1635">
        <v>0.50180000000000202</v>
      </c>
      <c r="AF1635">
        <v>-1.38339775480284</v>
      </c>
      <c r="AG1635">
        <v>-1.107897549976</v>
      </c>
      <c r="AH1635">
        <v>34.705893617225499</v>
      </c>
      <c r="AI1635">
        <v>91.826951574536395</v>
      </c>
      <c r="AJ1635">
        <v>92.282635744727202</v>
      </c>
      <c r="AK1635">
        <v>34.751119091324398</v>
      </c>
      <c r="AL1635">
        <v>81.045660790533503</v>
      </c>
      <c r="AM1635">
        <v>89.770552697732001</v>
      </c>
      <c r="AN1635">
        <v>1.0000000266072</v>
      </c>
    </row>
    <row r="1636" spans="1:40" x14ac:dyDescent="0.25">
      <c r="A1636" t="str">
        <f>"20190312172647716"</f>
        <v>20190312172647716</v>
      </c>
      <c r="B1636" t="str">
        <f>"1552382807710536"</f>
        <v>1552382807710536</v>
      </c>
      <c r="C1636" t="s">
        <v>40</v>
      </c>
      <c r="D1636">
        <v>3.0859009999999998</v>
      </c>
      <c r="E1636">
        <v>0.48358200000000001</v>
      </c>
      <c r="F1636" t="s">
        <v>49</v>
      </c>
      <c r="G1636">
        <v>-302.6148</v>
      </c>
      <c r="H1636" s="1">
        <v>3.5640830000000001E-6</v>
      </c>
      <c r="I1636">
        <v>283.8922</v>
      </c>
      <c r="J1636">
        <v>-268.8501</v>
      </c>
      <c r="K1636">
        <v>1.107947</v>
      </c>
      <c r="L1636">
        <v>283.41590000000002</v>
      </c>
      <c r="M1636">
        <v>-0.99845539999999999</v>
      </c>
      <c r="N1636">
        <v>0</v>
      </c>
      <c r="O1636">
        <v>5.5121530000000002E-2</v>
      </c>
      <c r="P1636">
        <v>-0.98719290000000004</v>
      </c>
      <c r="Q1636">
        <v>0.1489502</v>
      </c>
      <c r="R1636">
        <v>5.7134299999999999E-2</v>
      </c>
      <c r="S1636">
        <v>-3.0512079999999999</v>
      </c>
      <c r="T1636">
        <v>-9.9060889999999999E-2</v>
      </c>
      <c r="U1636">
        <v>4.4403079999999998E-2</v>
      </c>
      <c r="V1636">
        <v>3.0027460000000001E-3</v>
      </c>
      <c r="W1636">
        <v>0.15583379999999999</v>
      </c>
      <c r="X1636">
        <v>0.98777870000000001</v>
      </c>
      <c r="Y1636">
        <v>-4.0537709999999998E-2</v>
      </c>
      <c r="Z1636">
        <v>-2.4460419999999998E-3</v>
      </c>
      <c r="AA1636">
        <v>0.99917500000000004</v>
      </c>
      <c r="AB1636">
        <v>37</v>
      </c>
      <c r="AC1636">
        <v>-33.764699999999998</v>
      </c>
      <c r="AD1636">
        <v>-1.107943435917</v>
      </c>
      <c r="AE1636">
        <v>0.47629999999998002</v>
      </c>
      <c r="AF1636">
        <v>-1.38414111264534</v>
      </c>
      <c r="AG1636">
        <v>-1.107943435917</v>
      </c>
      <c r="AH1636">
        <v>33.7033360749477</v>
      </c>
      <c r="AI1636">
        <v>91.881244704732595</v>
      </c>
      <c r="AJ1636">
        <v>92.351722781382705</v>
      </c>
      <c r="AK1636">
        <v>33.749937005241598</v>
      </c>
      <c r="AL1636">
        <v>81.034842663778605</v>
      </c>
      <c r="AM1636">
        <v>89.825827239644696</v>
      </c>
      <c r="AN1636">
        <v>0.99999997493983495</v>
      </c>
    </row>
    <row r="1637" spans="1:40" x14ac:dyDescent="0.25">
      <c r="A1637" t="str">
        <f>"20190312172647738"</f>
        <v>20190312172647738</v>
      </c>
      <c r="B1637" t="str">
        <f>"1552382807730056"</f>
        <v>1552382807730056</v>
      </c>
      <c r="C1637" t="s">
        <v>40</v>
      </c>
      <c r="D1637">
        <v>3.0877970000000001</v>
      </c>
      <c r="E1637">
        <v>0.48353210000000002</v>
      </c>
      <c r="F1637" t="s">
        <v>49</v>
      </c>
      <c r="G1637">
        <v>-302.5745</v>
      </c>
      <c r="H1637" s="1">
        <v>3.5706179999999998E-6</v>
      </c>
      <c r="I1637">
        <v>283.89920000000001</v>
      </c>
      <c r="J1637">
        <v>-269.22590000000002</v>
      </c>
      <c r="K1637">
        <v>1.108001</v>
      </c>
      <c r="L1637">
        <v>283.43729999999999</v>
      </c>
      <c r="M1637">
        <v>-0.99840810000000002</v>
      </c>
      <c r="N1637">
        <v>0</v>
      </c>
      <c r="O1637">
        <v>5.5967360000000001E-2</v>
      </c>
      <c r="P1637">
        <v>-0.98712719999999998</v>
      </c>
      <c r="Q1637">
        <v>0.14944979999999999</v>
      </c>
      <c r="R1637">
        <v>5.6962739999999998E-2</v>
      </c>
      <c r="S1637">
        <v>-3.0515140000000001</v>
      </c>
      <c r="T1637">
        <v>-0.10025100000000001</v>
      </c>
      <c r="U1637">
        <v>4.3731689999999997E-2</v>
      </c>
      <c r="V1637">
        <v>1.9802930000000002E-3</v>
      </c>
      <c r="W1637">
        <v>0.15636839999999999</v>
      </c>
      <c r="X1637">
        <v>0.98769680000000004</v>
      </c>
      <c r="Y1637">
        <v>-4.1603189999999998E-2</v>
      </c>
      <c r="Z1637">
        <v>-2.5204099999999998E-3</v>
      </c>
      <c r="AA1637">
        <v>0.99913099999999999</v>
      </c>
      <c r="AB1637">
        <v>37</v>
      </c>
      <c r="AC1637">
        <v>-33.348599999999898</v>
      </c>
      <c r="AD1637">
        <v>-1.1079974293820001</v>
      </c>
      <c r="AE1637">
        <v>0.46190000000001402</v>
      </c>
      <c r="AF1637">
        <v>-1.4037534950433599</v>
      </c>
      <c r="AG1637">
        <v>-1.1079974293820001</v>
      </c>
      <c r="AH1637">
        <v>33.285442642412598</v>
      </c>
      <c r="AI1637">
        <v>91.904851522839095</v>
      </c>
      <c r="AJ1637">
        <v>92.414915109939599</v>
      </c>
      <c r="AK1637">
        <v>33.333449777658799</v>
      </c>
      <c r="AL1637">
        <v>81.003832260739003</v>
      </c>
      <c r="AM1637">
        <v>89.885124383246904</v>
      </c>
      <c r="AN1637">
        <v>0.99999998340458296</v>
      </c>
    </row>
    <row r="1638" spans="1:40" x14ac:dyDescent="0.25">
      <c r="A1638" t="str">
        <f>"20190312172647761"</f>
        <v>20190312172647761</v>
      </c>
      <c r="B1638" t="str">
        <f>"1552382807750555"</f>
        <v>1552382807750555</v>
      </c>
      <c r="C1638" t="s">
        <v>40</v>
      </c>
      <c r="D1638">
        <v>3.078328</v>
      </c>
      <c r="E1638">
        <v>0.48347299999999899</v>
      </c>
      <c r="F1638" t="s">
        <v>49</v>
      </c>
      <c r="G1638">
        <v>-302.9196</v>
      </c>
      <c r="H1638" s="1">
        <v>3.5082889999999998E-6</v>
      </c>
      <c r="I1638">
        <v>283.91199999999998</v>
      </c>
      <c r="J1638">
        <v>-269.6028</v>
      </c>
      <c r="K1638">
        <v>1.1080570000000001</v>
      </c>
      <c r="L1638">
        <v>283.45909999999998</v>
      </c>
      <c r="M1638">
        <v>-0.99836429999999998</v>
      </c>
      <c r="N1638">
        <v>0</v>
      </c>
      <c r="O1638">
        <v>5.6739949999999997E-2</v>
      </c>
      <c r="P1638">
        <v>-0.98710229999999999</v>
      </c>
      <c r="Q1638">
        <v>0.14969299999999999</v>
      </c>
      <c r="R1638">
        <v>5.6755310000000003E-2</v>
      </c>
      <c r="S1638">
        <v>-3.0518800000000001</v>
      </c>
      <c r="T1638">
        <v>-0.1003594</v>
      </c>
      <c r="U1638">
        <v>4.2999269999999999E-2</v>
      </c>
      <c r="V1638">
        <v>9.8885219999999999E-4</v>
      </c>
      <c r="W1638">
        <v>0.15664439999999999</v>
      </c>
      <c r="X1638">
        <v>0.98765460000000005</v>
      </c>
      <c r="Y1638">
        <v>-4.2616719999999997E-2</v>
      </c>
      <c r="Z1638">
        <v>-2.564864E-3</v>
      </c>
      <c r="AA1638">
        <v>0.99908819999999998</v>
      </c>
      <c r="AB1638">
        <v>37</v>
      </c>
      <c r="AC1638">
        <v>-33.316800000000001</v>
      </c>
      <c r="AD1638">
        <v>-1.1080534917110001</v>
      </c>
      <c r="AE1638">
        <v>0.45290000000005598</v>
      </c>
      <c r="AF1638">
        <v>-1.4366810092326201</v>
      </c>
      <c r="AG1638">
        <v>-1.1080534917110001</v>
      </c>
      <c r="AH1638">
        <v>33.252048518119999</v>
      </c>
      <c r="AI1638">
        <v>91.906775669383407</v>
      </c>
      <c r="AJ1638">
        <v>92.473970735091299</v>
      </c>
      <c r="AK1638">
        <v>33.301509958471698</v>
      </c>
      <c r="AL1638">
        <v>80.987821721289293</v>
      </c>
      <c r="AM1638">
        <v>89.942634764531306</v>
      </c>
      <c r="AN1638">
        <v>1.00000002739059</v>
      </c>
    </row>
    <row r="1639" spans="1:40" x14ac:dyDescent="0.25">
      <c r="A1639" t="str">
        <f>"20190312172647784"</f>
        <v>20190312172647784</v>
      </c>
      <c r="B1639" t="str">
        <f>"1552382807780808"</f>
        <v>1552382807780808</v>
      </c>
      <c r="C1639" t="s">
        <v>40</v>
      </c>
      <c r="D1639">
        <v>3.1430069999999999</v>
      </c>
      <c r="E1639">
        <v>0.48336580000000001</v>
      </c>
      <c r="F1639" t="s">
        <v>49</v>
      </c>
      <c r="G1639">
        <v>-303.02760000000001</v>
      </c>
      <c r="H1639" s="1">
        <v>3.4886099999999998E-6</v>
      </c>
      <c r="I1639">
        <v>283.91800000000001</v>
      </c>
      <c r="J1639">
        <v>-269.9828</v>
      </c>
      <c r="K1639">
        <v>1.108125</v>
      </c>
      <c r="L1639">
        <v>283.48129999999998</v>
      </c>
      <c r="M1639">
        <v>-0.99832419999999999</v>
      </c>
      <c r="N1639">
        <v>0</v>
      </c>
      <c r="O1639">
        <v>5.7436670000000002E-2</v>
      </c>
      <c r="P1639">
        <v>-0.98707009999999995</v>
      </c>
      <c r="Q1639">
        <v>0.1501171</v>
      </c>
      <c r="R1639">
        <v>5.6189540000000003E-2</v>
      </c>
      <c r="S1639">
        <v>-3.0521240000000001</v>
      </c>
      <c r="T1639">
        <v>-0.1011801</v>
      </c>
      <c r="U1639">
        <v>4.1900630000000001E-2</v>
      </c>
      <c r="V1639">
        <v>-2.8708610000000002E-4</v>
      </c>
      <c r="W1639">
        <v>0.1570993</v>
      </c>
      <c r="X1639">
        <v>0.98758270000000004</v>
      </c>
      <c r="Y1639">
        <v>-4.3672799999999998E-2</v>
      </c>
      <c r="Z1639">
        <v>-2.6261869999999999E-3</v>
      </c>
      <c r="AA1639">
        <v>0.99904250000000006</v>
      </c>
      <c r="AB1639">
        <v>37</v>
      </c>
      <c r="AC1639">
        <v>-33.044800000000002</v>
      </c>
      <c r="AD1639">
        <v>-1.10812151139</v>
      </c>
      <c r="AE1639">
        <v>0.43670000000003001</v>
      </c>
      <c r="AF1639">
        <v>-1.4604095372919199</v>
      </c>
      <c r="AG1639">
        <v>-1.10812151139</v>
      </c>
      <c r="AH1639">
        <v>32.9782502104201</v>
      </c>
      <c r="AI1639">
        <v>91.922622120953406</v>
      </c>
      <c r="AJ1639">
        <v>92.535630870292707</v>
      </c>
      <c r="AK1639">
        <v>33.029164631302699</v>
      </c>
      <c r="AL1639">
        <v>80.961430249498306</v>
      </c>
      <c r="AM1639">
        <v>90.016655639495795</v>
      </c>
      <c r="AN1639">
        <v>0.999999930909102</v>
      </c>
    </row>
    <row r="1640" spans="1:40" x14ac:dyDescent="0.25">
      <c r="A1640" t="str">
        <f>"20190312172647806"</f>
        <v>20190312172647806</v>
      </c>
      <c r="B1640" t="str">
        <f>"1552382807800328"</f>
        <v>1552382807800328</v>
      </c>
      <c r="C1640" t="s">
        <v>40</v>
      </c>
      <c r="D1640">
        <v>3.1763819999999998</v>
      </c>
      <c r="E1640">
        <v>0.48388239999999999</v>
      </c>
      <c r="F1640" t="s">
        <v>49</v>
      </c>
      <c r="G1640">
        <v>-303.35419999999999</v>
      </c>
      <c r="H1640" s="1">
        <v>3.4312709999999999E-6</v>
      </c>
      <c r="I1640">
        <v>283.911</v>
      </c>
      <c r="J1640">
        <v>-270.34750000000003</v>
      </c>
      <c r="K1640">
        <v>1.1081970000000001</v>
      </c>
      <c r="L1640">
        <v>283.50279999999998</v>
      </c>
      <c r="M1640">
        <v>-0.99828989999999995</v>
      </c>
      <c r="N1640">
        <v>0</v>
      </c>
      <c r="O1640">
        <v>5.8024819999999998E-2</v>
      </c>
      <c r="P1640">
        <v>-0.98703269999999999</v>
      </c>
      <c r="Q1640">
        <v>0.150535</v>
      </c>
      <c r="R1640">
        <v>5.5728E-2</v>
      </c>
      <c r="S1640">
        <v>-3.0524290000000001</v>
      </c>
      <c r="T1640">
        <v>-0.1013578</v>
      </c>
      <c r="U1640">
        <v>3.9306639999999997E-2</v>
      </c>
      <c r="V1640">
        <v>-1.3526720000000001E-3</v>
      </c>
      <c r="W1640">
        <v>0.15754479999999901</v>
      </c>
      <c r="X1640">
        <v>0.98751089999999997</v>
      </c>
      <c r="Y1640">
        <v>-4.5110270000000001E-2</v>
      </c>
      <c r="Z1640">
        <v>-2.6739160000000001E-3</v>
      </c>
      <c r="AA1640">
        <v>0.99897840000000004</v>
      </c>
      <c r="AB1640">
        <v>38</v>
      </c>
      <c r="AC1640">
        <v>-33.006699999999903</v>
      </c>
      <c r="AD1640">
        <v>-1.1081935687290001</v>
      </c>
      <c r="AE1640">
        <v>0.40820000000002199</v>
      </c>
      <c r="AF1640">
        <v>-1.5060464238159299</v>
      </c>
      <c r="AG1640">
        <v>-1.1081935687290001</v>
      </c>
      <c r="AH1640">
        <v>32.937648013017899</v>
      </c>
      <c r="AI1640">
        <v>91.924991012944105</v>
      </c>
      <c r="AJ1640">
        <v>92.617978174220198</v>
      </c>
      <c r="AK1640">
        <v>32.990679372300299</v>
      </c>
      <c r="AL1640">
        <v>80.935583612977993</v>
      </c>
      <c r="AM1640">
        <v>90.078482524287097</v>
      </c>
      <c r="AN1640">
        <v>0.99999998567369397</v>
      </c>
    </row>
    <row r="1641" spans="1:40" x14ac:dyDescent="0.25">
      <c r="A1641" t="str">
        <f>"20190312172647828"</f>
        <v>20190312172647828</v>
      </c>
      <c r="B1641" t="str">
        <f>"1552382807820824"</f>
        <v>1552382807820824</v>
      </c>
      <c r="C1641" t="s">
        <v>40</v>
      </c>
      <c r="D1641">
        <v>3.161476</v>
      </c>
      <c r="E1641">
        <v>0.48449959999999997</v>
      </c>
      <c r="F1641" t="s">
        <v>49</v>
      </c>
      <c r="G1641">
        <v>-303.73500000000001</v>
      </c>
      <c r="H1641" s="1">
        <v>3.3594969999999999E-6</v>
      </c>
      <c r="I1641">
        <v>283.95940000000002</v>
      </c>
      <c r="J1641">
        <v>-270.72219999999999</v>
      </c>
      <c r="K1641">
        <v>1.1082719999999999</v>
      </c>
      <c r="L1641">
        <v>283.52499999999998</v>
      </c>
      <c r="M1641">
        <v>-0.99825949999999997</v>
      </c>
      <c r="N1641">
        <v>0</v>
      </c>
      <c r="O1641">
        <v>5.8543699999999997E-2</v>
      </c>
      <c r="P1641">
        <v>-0.98695500000000003</v>
      </c>
      <c r="Q1641">
        <v>0.1511226</v>
      </c>
      <c r="R1641">
        <v>5.5516429999999999E-2</v>
      </c>
      <c r="S1641">
        <v>-3.0525509999999998</v>
      </c>
      <c r="T1641">
        <v>-0.1013197</v>
      </c>
      <c r="U1641">
        <v>4.1748050000000002E-2</v>
      </c>
      <c r="V1641">
        <v>-2.1002239999999999E-3</v>
      </c>
      <c r="W1641">
        <v>0.15815789999999999</v>
      </c>
      <c r="X1641">
        <v>0.98741159999999994</v>
      </c>
      <c r="Y1641">
        <v>-4.4831120000000002E-2</v>
      </c>
      <c r="Z1641">
        <v>-2.6853390000000001E-3</v>
      </c>
      <c r="AA1641">
        <v>0.99899099999999996</v>
      </c>
      <c r="AB1641">
        <v>38</v>
      </c>
      <c r="AC1641">
        <v>-33.012799999999999</v>
      </c>
      <c r="AD1641">
        <v>-1.108268640503</v>
      </c>
      <c r="AE1641">
        <v>0.43440000000003898</v>
      </c>
      <c r="AF1641">
        <v>-1.4973981830418699</v>
      </c>
      <c r="AG1641">
        <v>-1.108268640503</v>
      </c>
      <c r="AH1641">
        <v>32.944485015446901</v>
      </c>
      <c r="AI1641">
        <v>91.924745895762996</v>
      </c>
      <c r="AJ1641">
        <v>92.602426118486406</v>
      </c>
      <c r="AK1641">
        <v>32.997114322787503</v>
      </c>
      <c r="AL1641">
        <v>80.900009705529399</v>
      </c>
      <c r="AM1641">
        <v>90.121867911784506</v>
      </c>
      <c r="AN1641">
        <v>1.00000000004391</v>
      </c>
    </row>
    <row r="1642" spans="1:40" x14ac:dyDescent="0.25">
      <c r="A1642" t="str">
        <f>"20190312172647853"</f>
        <v>20190312172647853</v>
      </c>
      <c r="B1642" t="str">
        <f>"1552382807840344"</f>
        <v>1552382807840344</v>
      </c>
      <c r="C1642" t="s">
        <v>40</v>
      </c>
      <c r="D1642">
        <v>3.1923089999999998</v>
      </c>
      <c r="E1642">
        <v>0.48506440000000001</v>
      </c>
      <c r="F1642" t="s">
        <v>49</v>
      </c>
      <c r="G1642">
        <v>-303.9495</v>
      </c>
      <c r="H1642" s="1">
        <v>3.3157319999999999E-6</v>
      </c>
      <c r="I1642">
        <v>284.0249</v>
      </c>
      <c r="J1642">
        <v>-271.13659999999999</v>
      </c>
      <c r="K1642">
        <v>1.1083559999999999</v>
      </c>
      <c r="L1642">
        <v>283.5498</v>
      </c>
      <c r="M1642">
        <v>-0.99823200000000001</v>
      </c>
      <c r="N1642">
        <v>0</v>
      </c>
      <c r="O1642">
        <v>5.9009150000000003E-2</v>
      </c>
      <c r="P1642">
        <v>-0.98693900000000001</v>
      </c>
      <c r="Q1642">
        <v>0.1512175</v>
      </c>
      <c r="R1642">
        <v>5.5542769999999998E-2</v>
      </c>
      <c r="S1642">
        <v>-3.052673</v>
      </c>
      <c r="T1642">
        <v>-0.1018194</v>
      </c>
      <c r="U1642">
        <v>4.5928959999999998E-2</v>
      </c>
      <c r="V1642">
        <v>-2.565828E-3</v>
      </c>
      <c r="W1642">
        <v>0.1582789</v>
      </c>
      <c r="X1642">
        <v>0.98739109999999997</v>
      </c>
      <c r="Y1642">
        <v>-4.3929210000000003E-2</v>
      </c>
      <c r="Z1642">
        <v>-2.698883E-3</v>
      </c>
      <c r="AA1642">
        <v>0.999031</v>
      </c>
      <c r="AB1642">
        <v>38</v>
      </c>
      <c r="AC1642">
        <v>-32.812899999999999</v>
      </c>
      <c r="AD1642">
        <v>-1.1083526842679901</v>
      </c>
      <c r="AE1642">
        <v>0.47509999999999702</v>
      </c>
      <c r="AF1642">
        <v>-1.4603725836909101</v>
      </c>
      <c r="AG1642">
        <v>-1.1083526842679901</v>
      </c>
      <c r="AH1642">
        <v>32.746400481756297</v>
      </c>
      <c r="AI1642">
        <v>91.936601074683196</v>
      </c>
      <c r="AJ1642">
        <v>92.553495331593894</v>
      </c>
      <c r="AK1642">
        <v>32.797680989172001</v>
      </c>
      <c r="AL1642">
        <v>80.8929883764593</v>
      </c>
      <c r="AM1642">
        <v>90.148888099610303</v>
      </c>
      <c r="AN1642">
        <v>0.99999998900887199</v>
      </c>
    </row>
    <row r="1643" spans="1:40" x14ac:dyDescent="0.25">
      <c r="A1643" t="str">
        <f>"20190312172647875"</f>
        <v>20190312172647875</v>
      </c>
      <c r="B1643" t="str">
        <f>"1552382807870600"</f>
        <v>1552382807870600</v>
      </c>
      <c r="C1643" t="s">
        <v>40</v>
      </c>
      <c r="D1643">
        <v>3.1707920000000001</v>
      </c>
      <c r="E1643">
        <v>0.4858268</v>
      </c>
      <c r="F1643" t="s">
        <v>49</v>
      </c>
      <c r="G1643">
        <v>-303.71699999999998</v>
      </c>
      <c r="H1643" s="1">
        <v>3.3516179999999999E-6</v>
      </c>
      <c r="I1643">
        <v>284.08620000000002</v>
      </c>
      <c r="J1643">
        <v>-271.50670000000002</v>
      </c>
      <c r="K1643">
        <v>1.1084240000000001</v>
      </c>
      <c r="L1643">
        <v>283.57190000000003</v>
      </c>
      <c r="M1643">
        <v>-0.99821139999999997</v>
      </c>
      <c r="N1643">
        <v>0</v>
      </c>
      <c r="O1643">
        <v>5.9353450000000002E-2</v>
      </c>
      <c r="P1643">
        <v>-0.986985</v>
      </c>
      <c r="Q1643">
        <v>0.15101149999999999</v>
      </c>
      <c r="R1643">
        <v>5.5283739999999998E-2</v>
      </c>
      <c r="S1643">
        <v>-3.0527950000000001</v>
      </c>
      <c r="T1643">
        <v>-0.103853</v>
      </c>
      <c r="U1643">
        <v>5.026245E-2</v>
      </c>
      <c r="V1643">
        <v>-3.195416E-3</v>
      </c>
      <c r="W1643">
        <v>0.15809519999999999</v>
      </c>
      <c r="X1643">
        <v>0.98741869999999998</v>
      </c>
      <c r="Y1643">
        <v>-4.2854709999999997E-2</v>
      </c>
      <c r="Z1643">
        <v>-2.7460150000000001E-3</v>
      </c>
      <c r="AA1643">
        <v>0.99907760000000001</v>
      </c>
      <c r="AB1643">
        <v>38</v>
      </c>
      <c r="AC1643">
        <v>-32.210299999999897</v>
      </c>
      <c r="AD1643">
        <v>-1.1084206483820001</v>
      </c>
      <c r="AE1643">
        <v>0.51429999999999099</v>
      </c>
      <c r="AF1643">
        <v>-1.3967944445849501</v>
      </c>
      <c r="AG1643">
        <v>-1.1084206483820001</v>
      </c>
      <c r="AH1643">
        <v>32.145980461935203</v>
      </c>
      <c r="AI1643">
        <v>91.972964470601696</v>
      </c>
      <c r="AJ1643">
        <v>92.488028531653995</v>
      </c>
      <c r="AK1643">
        <v>32.1953985984536</v>
      </c>
      <c r="AL1643">
        <v>80.903647887020099</v>
      </c>
      <c r="AM1643">
        <v>90.185415985614597</v>
      </c>
      <c r="AN1643">
        <v>0.99999999602807099</v>
      </c>
    </row>
    <row r="1644" spans="1:40" x14ac:dyDescent="0.25">
      <c r="A1644" t="str">
        <f>"20190312172647895"</f>
        <v>20190312172647895</v>
      </c>
      <c r="B1644" t="str">
        <f>"1552382807890120"</f>
        <v>1552382807890120</v>
      </c>
      <c r="C1644" t="s">
        <v>40</v>
      </c>
      <c r="D1644">
        <v>3.2226900000000001</v>
      </c>
      <c r="E1644">
        <v>0.48627599999999999</v>
      </c>
      <c r="F1644" t="s">
        <v>49</v>
      </c>
      <c r="G1644">
        <v>-302.79820000000001</v>
      </c>
      <c r="H1644" s="1">
        <v>3.5098330000000001E-6</v>
      </c>
      <c r="I1644">
        <v>284.14060000000001</v>
      </c>
      <c r="J1644">
        <v>-271.8476</v>
      </c>
      <c r="K1644">
        <v>1.108479</v>
      </c>
      <c r="L1644">
        <v>283.5924</v>
      </c>
      <c r="M1644">
        <v>-0.99819610000000003</v>
      </c>
      <c r="N1644">
        <v>0</v>
      </c>
      <c r="O1644">
        <v>5.960965E-2</v>
      </c>
      <c r="P1644">
        <v>-0.98700149999999998</v>
      </c>
      <c r="Q1644">
        <v>0.15082799999999999</v>
      </c>
      <c r="R1644">
        <v>5.5490940000000002E-2</v>
      </c>
      <c r="S1644">
        <v>-3.0530089999999999</v>
      </c>
      <c r="T1644">
        <v>-0.1081449</v>
      </c>
      <c r="U1644">
        <v>5.5480960000000003E-2</v>
      </c>
      <c r="V1644">
        <v>-3.2670709999999999E-3</v>
      </c>
      <c r="W1644">
        <v>0.1579305</v>
      </c>
      <c r="X1644">
        <v>0.98744480000000001</v>
      </c>
      <c r="Y1644">
        <v>-4.1400819999999998E-2</v>
      </c>
      <c r="Z1644">
        <v>-2.8424769999999999E-3</v>
      </c>
      <c r="AA1644">
        <v>0.99913859999999999</v>
      </c>
      <c r="AB1644">
        <v>38</v>
      </c>
      <c r="AC1644">
        <v>-30.950600000000001</v>
      </c>
      <c r="AD1644">
        <v>-1.108475490167</v>
      </c>
      <c r="AE1644">
        <v>0.54820000000000801</v>
      </c>
      <c r="AF1644">
        <v>-1.2961146153307701</v>
      </c>
      <c r="AG1644">
        <v>-1.108475490167</v>
      </c>
      <c r="AH1644">
        <v>30.888631132464699</v>
      </c>
      <c r="AI1644">
        <v>92.053440231100296</v>
      </c>
      <c r="AJ1644">
        <v>92.402772663189793</v>
      </c>
      <c r="AK1644">
        <v>30.9356778533434</v>
      </c>
      <c r="AL1644">
        <v>80.913204367538995</v>
      </c>
      <c r="AM1644">
        <v>90.189568770452496</v>
      </c>
      <c r="AN1644">
        <v>0.99999997481510405</v>
      </c>
    </row>
    <row r="1645" spans="1:40" x14ac:dyDescent="0.25">
      <c r="A1645" t="str">
        <f>"20190312172647918"</f>
        <v>20190312172647918</v>
      </c>
      <c r="B1645" t="str">
        <f>"1552382807910616"</f>
        <v>1552382807910616</v>
      </c>
      <c r="C1645" t="s">
        <v>40</v>
      </c>
      <c r="D1645">
        <v>3.1898119999999999</v>
      </c>
      <c r="E1645">
        <v>0.48657509999999998</v>
      </c>
      <c r="F1645" t="s">
        <v>49</v>
      </c>
      <c r="G1645">
        <v>-302.40859999999998</v>
      </c>
      <c r="H1645" s="1">
        <v>3.5750070000000001E-6</v>
      </c>
      <c r="I1645">
        <v>284.18560000000002</v>
      </c>
      <c r="J1645">
        <v>-272.2561</v>
      </c>
      <c r="K1645">
        <v>1.108552</v>
      </c>
      <c r="L1645">
        <v>283.61700000000002</v>
      </c>
      <c r="M1645">
        <v>-0.99818220000000002</v>
      </c>
      <c r="N1645">
        <v>0</v>
      </c>
      <c r="O1645">
        <v>5.9837540000000002E-2</v>
      </c>
      <c r="P1645">
        <v>-0.98705509999999996</v>
      </c>
      <c r="Q1645">
        <v>0.15044060000000001</v>
      </c>
      <c r="R1645">
        <v>5.5587499999999998E-2</v>
      </c>
      <c r="S1645">
        <v>-3.053131</v>
      </c>
      <c r="T1645">
        <v>-0.1107397</v>
      </c>
      <c r="U1645">
        <v>5.9265140000000001E-2</v>
      </c>
      <c r="V1645">
        <v>-3.4283030000000002E-3</v>
      </c>
      <c r="W1645">
        <v>0.1575655</v>
      </c>
      <c r="X1645">
        <v>0.98750260000000001</v>
      </c>
      <c r="Y1645">
        <v>-4.0389170000000002E-2</v>
      </c>
      <c r="Z1645">
        <v>-2.9003760000000001E-3</v>
      </c>
      <c r="AA1645">
        <v>0.99917979999999995</v>
      </c>
      <c r="AB1645">
        <v>38</v>
      </c>
      <c r="AC1645">
        <v>-30.1524999999999</v>
      </c>
      <c r="AD1645">
        <v>-1.108548424993</v>
      </c>
      <c r="AE1645">
        <v>0.56860000000000299</v>
      </c>
      <c r="AF1645">
        <v>-1.2350482817200199</v>
      </c>
      <c r="AG1645">
        <v>-1.108548424993</v>
      </c>
      <c r="AH1645">
        <v>30.091833294565699</v>
      </c>
      <c r="AI1645">
        <v>92.107983285784002</v>
      </c>
      <c r="AJ1645">
        <v>92.350250981409005</v>
      </c>
      <c r="AK1645">
        <v>30.137562192331799</v>
      </c>
      <c r="AL1645">
        <v>80.934382835286897</v>
      </c>
      <c r="AM1645">
        <v>90.1989123913622</v>
      </c>
      <c r="AN1645">
        <v>1.0000000125292301</v>
      </c>
    </row>
    <row r="1646" spans="1:40" x14ac:dyDescent="0.25">
      <c r="A1646" t="str">
        <f>"20190312172647940"</f>
        <v>20190312172647940</v>
      </c>
      <c r="B1646" t="str">
        <f>"1552382807930135"</f>
        <v>1552382807930135</v>
      </c>
      <c r="C1646" t="s">
        <v>40</v>
      </c>
      <c r="D1646">
        <v>3.2021039999999998</v>
      </c>
      <c r="E1646">
        <v>0.48692010000000002</v>
      </c>
      <c r="F1646" t="s">
        <v>49</v>
      </c>
      <c r="G1646">
        <v>-301.96850000000001</v>
      </c>
      <c r="H1646" s="1">
        <v>3.6501899999999999E-6</v>
      </c>
      <c r="I1646">
        <v>284.21870000000001</v>
      </c>
      <c r="J1646">
        <v>-272.63139999999999</v>
      </c>
      <c r="K1646">
        <v>1.108616</v>
      </c>
      <c r="L1646">
        <v>283.63959999999997</v>
      </c>
      <c r="M1646">
        <v>-0.99817350000000005</v>
      </c>
      <c r="N1646">
        <v>0</v>
      </c>
      <c r="O1646">
        <v>5.9980489999999997E-2</v>
      </c>
      <c r="P1646">
        <v>-0.98712800000000001</v>
      </c>
      <c r="Q1646">
        <v>0.150033</v>
      </c>
      <c r="R1646">
        <v>5.5395880000000002E-2</v>
      </c>
      <c r="S1646">
        <v>-3.0531920000000001</v>
      </c>
      <c r="T1646">
        <v>-0.1139126</v>
      </c>
      <c r="U1646">
        <v>6.1828609999999999E-2</v>
      </c>
      <c r="V1646">
        <v>-3.7911160000000002E-3</v>
      </c>
      <c r="W1646">
        <v>0.1571784</v>
      </c>
      <c r="X1646">
        <v>0.98756299999999997</v>
      </c>
      <c r="Y1646">
        <v>-3.9690620000000003E-2</v>
      </c>
      <c r="Z1646">
        <v>-2.9756180000000002E-3</v>
      </c>
      <c r="AA1646">
        <v>0.99920759999999997</v>
      </c>
      <c r="AB1646">
        <v>38</v>
      </c>
      <c r="AC1646">
        <v>-29.3371</v>
      </c>
      <c r="AD1646">
        <v>-1.10861234981</v>
      </c>
      <c r="AE1646">
        <v>0.57910000000003903</v>
      </c>
      <c r="AF1646">
        <v>-1.1799577740005001</v>
      </c>
      <c r="AG1646">
        <v>-1.10861234981</v>
      </c>
      <c r="AH1646">
        <v>29.277221576283999</v>
      </c>
      <c r="AI1646">
        <v>92.166770675201803</v>
      </c>
      <c r="AJ1646">
        <v>92.307938642921897</v>
      </c>
      <c r="AK1646">
        <v>29.321954657174601</v>
      </c>
      <c r="AL1646">
        <v>80.956842230657799</v>
      </c>
      <c r="AM1646">
        <v>90.219949389996302</v>
      </c>
      <c r="AN1646">
        <v>1.00000005047804</v>
      </c>
    </row>
    <row r="1647" spans="1:40" x14ac:dyDescent="0.25">
      <c r="A1647" t="str">
        <f>"20190312172647962"</f>
        <v>20190312172647962</v>
      </c>
      <c r="B1647" t="str">
        <f>"1552382807950635"</f>
        <v>1552382807950635</v>
      </c>
      <c r="C1647" t="s">
        <v>40</v>
      </c>
      <c r="D1647">
        <v>3.2128839999999999</v>
      </c>
      <c r="E1647">
        <v>0.48725400000000002</v>
      </c>
      <c r="F1647" t="s">
        <v>49</v>
      </c>
      <c r="G1647">
        <v>-301.44549999999998</v>
      </c>
      <c r="H1647" s="1">
        <v>3.7406600000000002E-6</v>
      </c>
      <c r="I1647">
        <v>284.245</v>
      </c>
      <c r="J1647">
        <v>-273.00599999999997</v>
      </c>
      <c r="K1647">
        <v>1.1086800000000001</v>
      </c>
      <c r="L1647">
        <v>283.66219999999998</v>
      </c>
      <c r="M1647">
        <v>-0.99816760000000004</v>
      </c>
      <c r="N1647">
        <v>0</v>
      </c>
      <c r="O1647">
        <v>6.0074240000000001E-2</v>
      </c>
      <c r="P1647">
        <v>-0.98717840000000001</v>
      </c>
      <c r="Q1647">
        <v>0.14974470000000001</v>
      </c>
      <c r="R1647">
        <v>5.5276680000000002E-2</v>
      </c>
      <c r="S1647">
        <v>-3.053436</v>
      </c>
      <c r="T1647">
        <v>-0.11748020000000001</v>
      </c>
      <c r="U1647">
        <v>6.4147949999999995E-2</v>
      </c>
      <c r="V1647">
        <v>-4.0290990000000004E-3</v>
      </c>
      <c r="W1647">
        <v>0.1569091</v>
      </c>
      <c r="X1647">
        <v>0.98760490000000001</v>
      </c>
      <c r="Y1647">
        <v>-3.9023460000000003E-2</v>
      </c>
      <c r="Z1647">
        <v>-3.0592319999999998E-3</v>
      </c>
      <c r="AA1647">
        <v>0.99923360000000006</v>
      </c>
      <c r="AB1647">
        <v>38</v>
      </c>
      <c r="AC1647">
        <v>-28.439499999999999</v>
      </c>
      <c r="AD1647">
        <v>-1.1086762593399999</v>
      </c>
      <c r="AE1647">
        <v>0.58280000000001997</v>
      </c>
      <c r="AF1647">
        <v>-1.1250697840933901</v>
      </c>
      <c r="AG1647">
        <v>-1.1086762593399999</v>
      </c>
      <c r="AH1647">
        <v>28.380033443867099</v>
      </c>
      <c r="AI1647">
        <v>92.235388692848801</v>
      </c>
      <c r="AJ1647">
        <v>92.270188072537394</v>
      </c>
      <c r="AK1647">
        <v>28.423955448567</v>
      </c>
      <c r="AL1647">
        <v>80.972466014401505</v>
      </c>
      <c r="AM1647">
        <v>90.233746397187502</v>
      </c>
      <c r="AN1647">
        <v>1.0000000689027799</v>
      </c>
    </row>
    <row r="1648" spans="1:40" x14ac:dyDescent="0.25">
      <c r="A1648" t="str">
        <f>"20190312172647985"</f>
        <v>20190312172647985</v>
      </c>
      <c r="B1648" t="str">
        <f>"1552382807980889"</f>
        <v>1552382807980889</v>
      </c>
      <c r="C1648" t="s">
        <v>40</v>
      </c>
      <c r="D1648">
        <v>3.202413</v>
      </c>
      <c r="E1648">
        <v>0.48764760000000001</v>
      </c>
      <c r="F1648" t="s">
        <v>49</v>
      </c>
      <c r="G1648">
        <v>-301.03930000000003</v>
      </c>
      <c r="H1648" s="1">
        <v>3.8103830000000001E-6</v>
      </c>
      <c r="I1648">
        <v>284.27159999999998</v>
      </c>
      <c r="J1648">
        <v>-273.38869999999997</v>
      </c>
      <c r="K1648">
        <v>1.108738</v>
      </c>
      <c r="L1648">
        <v>283.68540000000002</v>
      </c>
      <c r="M1648">
        <v>-0.99816389999999999</v>
      </c>
      <c r="N1648">
        <v>0</v>
      </c>
      <c r="O1648">
        <v>6.0133899999999997E-2</v>
      </c>
      <c r="P1648">
        <v>-0.98712540000000004</v>
      </c>
      <c r="Q1648">
        <v>0.15011910000000001</v>
      </c>
      <c r="R1648">
        <v>5.5204950000000003E-2</v>
      </c>
      <c r="S1648">
        <v>-3.0535580000000002</v>
      </c>
      <c r="T1648">
        <v>-0.1207635</v>
      </c>
      <c r="U1648">
        <v>6.6375729999999994E-2</v>
      </c>
      <c r="V1648">
        <v>-4.1752930000000001E-3</v>
      </c>
      <c r="W1648">
        <v>0.15730179999999999</v>
      </c>
      <c r="X1648">
        <v>0.98754169999999997</v>
      </c>
      <c r="Y1648">
        <v>-3.8351679999999999E-2</v>
      </c>
      <c r="Z1648">
        <v>-3.1335809999999999E-3</v>
      </c>
      <c r="AA1648">
        <v>0.99925940000000002</v>
      </c>
      <c r="AB1648">
        <v>38</v>
      </c>
      <c r="AC1648">
        <v>-27.650600000000001</v>
      </c>
      <c r="AD1648">
        <v>-1.108734189617</v>
      </c>
      <c r="AE1648">
        <v>0.58619999999996197</v>
      </c>
      <c r="AF1648">
        <v>-1.07591402437563</v>
      </c>
      <c r="AG1648">
        <v>-1.108734189617</v>
      </c>
      <c r="AH1648">
        <v>27.591466996503399</v>
      </c>
      <c r="AI1648">
        <v>92.299387166488401</v>
      </c>
      <c r="AJ1648">
        <v>92.233085899826094</v>
      </c>
      <c r="AK1648">
        <v>27.634687143338699</v>
      </c>
      <c r="AL1648">
        <v>80.949681948884702</v>
      </c>
      <c r="AM1648">
        <v>90.242243179905998</v>
      </c>
      <c r="AN1648">
        <v>0.99999994929688096</v>
      </c>
    </row>
    <row r="1649" spans="1:40" x14ac:dyDescent="0.25">
      <c r="A1649" t="str">
        <f>"20190312172648007"</f>
        <v>20190312172648007</v>
      </c>
      <c r="B1649" t="str">
        <f>"1552382808000408"</f>
        <v>1552382808000408</v>
      </c>
      <c r="C1649" t="s">
        <v>40</v>
      </c>
      <c r="D1649">
        <v>3.2040950000000001</v>
      </c>
      <c r="E1649">
        <v>0.48783700000000002</v>
      </c>
      <c r="F1649" t="s">
        <v>49</v>
      </c>
      <c r="G1649">
        <v>-301.09019999999998</v>
      </c>
      <c r="H1649" s="1">
        <v>3.7979800000000002E-6</v>
      </c>
      <c r="I1649">
        <v>284.31020000000001</v>
      </c>
      <c r="J1649">
        <v>-273.77269999999999</v>
      </c>
      <c r="K1649">
        <v>1.1087830000000001</v>
      </c>
      <c r="L1649">
        <v>283.70859999999999</v>
      </c>
      <c r="M1649">
        <v>-0.99816170000000004</v>
      </c>
      <c r="N1649">
        <v>0</v>
      </c>
      <c r="O1649">
        <v>6.0168480000000003E-2</v>
      </c>
      <c r="P1649">
        <v>-0.98713510000000004</v>
      </c>
      <c r="Q1649">
        <v>0.1502001</v>
      </c>
      <c r="R1649">
        <v>5.4811190000000003E-2</v>
      </c>
      <c r="S1649">
        <v>-3.0538639999999999</v>
      </c>
      <c r="T1649">
        <v>-0.12222860000000001</v>
      </c>
      <c r="U1649">
        <v>6.8878170000000002E-2</v>
      </c>
      <c r="V1649">
        <v>-4.618802E-3</v>
      </c>
      <c r="W1649">
        <v>0.1574007</v>
      </c>
      <c r="X1649">
        <v>0.98752399999999996</v>
      </c>
      <c r="Y1649">
        <v>-3.7568789999999998E-2</v>
      </c>
      <c r="Z1649">
        <v>-3.1569279999999998E-3</v>
      </c>
      <c r="AA1649">
        <v>0.99928899999999998</v>
      </c>
      <c r="AB1649">
        <v>38</v>
      </c>
      <c r="AC1649">
        <v>-27.3174999999999</v>
      </c>
      <c r="AD1649">
        <v>-1.10877920202</v>
      </c>
      <c r="AE1649">
        <v>0.60160000000001901</v>
      </c>
      <c r="AF1649">
        <v>-1.04147108127069</v>
      </c>
      <c r="AG1649">
        <v>-1.10877920202</v>
      </c>
      <c r="AH1649">
        <v>27.25931664466</v>
      </c>
      <c r="AI1649">
        <v>92.327539232034795</v>
      </c>
      <c r="AJ1649">
        <v>92.187981790069202</v>
      </c>
      <c r="AK1649">
        <v>27.301728832910801</v>
      </c>
      <c r="AL1649">
        <v>80.943944215469003</v>
      </c>
      <c r="AM1649">
        <v>90.267979240314901</v>
      </c>
      <c r="AN1649">
        <v>0.99999998213420205</v>
      </c>
    </row>
    <row r="1650" spans="1:40" x14ac:dyDescent="0.25">
      <c r="A1650" t="str">
        <f>"20190312172648029"</f>
        <v>20190312172648029</v>
      </c>
      <c r="B1650" t="str">
        <f>"1552382808020907"</f>
        <v>1552382808020907</v>
      </c>
      <c r="C1650" t="s">
        <v>40</v>
      </c>
      <c r="D1650">
        <v>3.2095690000000001</v>
      </c>
      <c r="E1650">
        <v>0.48802879999999899</v>
      </c>
      <c r="F1650" t="s">
        <v>49</v>
      </c>
      <c r="G1650">
        <v>-301.25380000000001</v>
      </c>
      <c r="H1650" s="1">
        <v>3.7670889999999998E-6</v>
      </c>
      <c r="I1650">
        <v>284.33159999999998</v>
      </c>
      <c r="J1650">
        <v>-274.15929999999997</v>
      </c>
      <c r="K1650">
        <v>1.108816</v>
      </c>
      <c r="L1650">
        <v>283.7319</v>
      </c>
      <c r="M1650">
        <v>-0.99816050000000001</v>
      </c>
      <c r="N1650">
        <v>0</v>
      </c>
      <c r="O1650">
        <v>6.0185309999999999E-2</v>
      </c>
      <c r="P1650">
        <v>-0.98709990000000003</v>
      </c>
      <c r="Q1650">
        <v>0.15059690000000001</v>
      </c>
      <c r="R1650">
        <v>5.435421E-2</v>
      </c>
      <c r="S1650">
        <v>-3.0540470000000002</v>
      </c>
      <c r="T1650">
        <v>-0.1232215</v>
      </c>
      <c r="U1650">
        <v>6.9244379999999994E-2</v>
      </c>
      <c r="V1650">
        <v>-5.1011210000000001E-3</v>
      </c>
      <c r="W1650">
        <v>0.15781510000000001</v>
      </c>
      <c r="X1650">
        <v>0.98745550000000004</v>
      </c>
      <c r="Y1650">
        <v>-3.7466029999999997E-2</v>
      </c>
      <c r="Z1650">
        <v>-3.1809609999999999E-3</v>
      </c>
      <c r="AA1650">
        <v>0.99929290000000004</v>
      </c>
      <c r="AB1650">
        <v>38</v>
      </c>
      <c r="AC1650">
        <v>-27.0945</v>
      </c>
      <c r="AD1650">
        <v>-1.108812232911</v>
      </c>
      <c r="AE1650">
        <v>0.59969999999998402</v>
      </c>
      <c r="AF1650">
        <v>-1.0303967325853201</v>
      </c>
      <c r="AG1650">
        <v>-1.108812232911</v>
      </c>
      <c r="AH1650">
        <v>27.036218008298199</v>
      </c>
      <c r="AI1650">
        <v>92.346802594238994</v>
      </c>
      <c r="AJ1650">
        <v>92.182584297625198</v>
      </c>
      <c r="AK1650">
        <v>27.078557313612698</v>
      </c>
      <c r="AL1650">
        <v>80.919900463565995</v>
      </c>
      <c r="AM1650">
        <v>90.295983063730901</v>
      </c>
      <c r="AN1650">
        <v>0.99999999585185795</v>
      </c>
    </row>
    <row r="1651" spans="1:40" x14ac:dyDescent="0.25">
      <c r="A1651" t="str">
        <f>"20190312172648054"</f>
        <v>20190312172648054</v>
      </c>
      <c r="B1651" t="str">
        <f>"1552382808050184"</f>
        <v>1552382808050184</v>
      </c>
      <c r="C1651" t="s">
        <v>40</v>
      </c>
      <c r="D1651">
        <v>3.2073659999999999</v>
      </c>
      <c r="E1651">
        <v>0.48829739999999999</v>
      </c>
      <c r="F1651" t="s">
        <v>49</v>
      </c>
      <c r="G1651">
        <v>-301.63940000000002</v>
      </c>
      <c r="H1651" s="1">
        <v>3.6966089999999999E-6</v>
      </c>
      <c r="I1651">
        <v>284.35539999999997</v>
      </c>
      <c r="J1651">
        <v>-274.56900000000002</v>
      </c>
      <c r="K1651">
        <v>1.10884</v>
      </c>
      <c r="L1651">
        <v>283.75659999999999</v>
      </c>
      <c r="M1651">
        <v>-0.99816009999999999</v>
      </c>
      <c r="N1651">
        <v>0</v>
      </c>
      <c r="O1651">
        <v>6.0191700000000001E-2</v>
      </c>
      <c r="P1651">
        <v>-0.98703909999999995</v>
      </c>
      <c r="Q1651">
        <v>0.151200799999999</v>
      </c>
      <c r="R1651">
        <v>5.3780950000000001E-2</v>
      </c>
      <c r="S1651">
        <v>-3.0541689999999999</v>
      </c>
      <c r="T1651">
        <v>-0.12323489999999999</v>
      </c>
      <c r="U1651">
        <v>6.9305420000000006E-2</v>
      </c>
      <c r="V1651">
        <v>-5.6862909999999996E-3</v>
      </c>
      <c r="W1651">
        <v>0.15843750000000001</v>
      </c>
      <c r="X1651">
        <v>0.98735260000000002</v>
      </c>
      <c r="Y1651">
        <v>-3.7453380000000001E-2</v>
      </c>
      <c r="Z1651">
        <v>-3.18118E-3</v>
      </c>
      <c r="AA1651">
        <v>0.99929330000000005</v>
      </c>
      <c r="AB1651">
        <v>39</v>
      </c>
      <c r="AC1651">
        <v>-27.070399999999999</v>
      </c>
      <c r="AD1651">
        <v>-1.108836303391</v>
      </c>
      <c r="AE1651">
        <v>0.59879999999998201</v>
      </c>
      <c r="AF1651">
        <v>-1.0300153265271901</v>
      </c>
      <c r="AG1651">
        <v>-1.108836303391</v>
      </c>
      <c r="AH1651">
        <v>27.012058826279901</v>
      </c>
      <c r="AI1651">
        <v>92.3489483397681</v>
      </c>
      <c r="AJ1651">
        <v>92.183726645585395</v>
      </c>
      <c r="AK1651">
        <v>27.0544224029086</v>
      </c>
      <c r="AL1651">
        <v>80.8837849253852</v>
      </c>
      <c r="AM1651">
        <v>90.329970137772307</v>
      </c>
      <c r="AN1651">
        <v>0.99999996601917196</v>
      </c>
    </row>
    <row r="1652" spans="1:40" x14ac:dyDescent="0.25">
      <c r="A1652" t="str">
        <f>"20190312172648086"</f>
        <v>20190312172648086</v>
      </c>
      <c r="B1652" t="str">
        <f>"1552382808080440"</f>
        <v>1552382808080440</v>
      </c>
      <c r="C1652" t="s">
        <v>40</v>
      </c>
      <c r="D1652">
        <v>3.1809989999999999</v>
      </c>
      <c r="E1652">
        <v>0.4886028</v>
      </c>
      <c r="F1652" t="s">
        <v>49</v>
      </c>
      <c r="G1652">
        <v>-302.00830000000002</v>
      </c>
      <c r="H1652" s="1">
        <v>3.6289979999999998E-6</v>
      </c>
      <c r="I1652">
        <v>284.38029999999998</v>
      </c>
      <c r="J1652">
        <v>-275.13839999999999</v>
      </c>
      <c r="K1652">
        <v>1.108865</v>
      </c>
      <c r="L1652">
        <v>283.791</v>
      </c>
      <c r="M1652">
        <v>-0.99815960000000004</v>
      </c>
      <c r="N1652">
        <v>0</v>
      </c>
      <c r="O1652">
        <v>6.0194640000000001E-2</v>
      </c>
      <c r="P1652">
        <v>-0.98706020000000005</v>
      </c>
      <c r="Q1652">
        <v>0.1514286</v>
      </c>
      <c r="R1652">
        <v>5.2743070000000003E-2</v>
      </c>
      <c r="S1652">
        <v>-3.0545040000000001</v>
      </c>
      <c r="T1652">
        <v>-0.1234343</v>
      </c>
      <c r="U1652">
        <v>6.9427489999999994E-2</v>
      </c>
      <c r="V1652">
        <v>-6.7363780000000003E-3</v>
      </c>
      <c r="W1652">
        <v>0.15869079999999999</v>
      </c>
      <c r="X1652">
        <v>0.98730530000000005</v>
      </c>
      <c r="Y1652">
        <v>-3.7418699999999902E-2</v>
      </c>
      <c r="Z1652">
        <v>-3.185392E-3</v>
      </c>
      <c r="AA1652">
        <v>0.99929460000000003</v>
      </c>
      <c r="AB1652">
        <v>39</v>
      </c>
      <c r="AC1652">
        <v>-26.869900000000001</v>
      </c>
      <c r="AD1652">
        <v>-1.1088613710020001</v>
      </c>
      <c r="AE1652">
        <v>0.58929999999997995</v>
      </c>
      <c r="AF1652">
        <v>-1.0274873033154399</v>
      </c>
      <c r="AG1652">
        <v>-1.1088613710020001</v>
      </c>
      <c r="AH1652">
        <v>26.811008709558401</v>
      </c>
      <c r="AI1652">
        <v>92.366578803658697</v>
      </c>
      <c r="AJ1652">
        <v>92.194691415575505</v>
      </c>
      <c r="AK1652">
        <v>26.853593646337</v>
      </c>
      <c r="AL1652">
        <v>80.869085814129903</v>
      </c>
      <c r="AM1652">
        <v>90.390922685665998</v>
      </c>
      <c r="AN1652">
        <v>0.99999995210064296</v>
      </c>
    </row>
    <row r="1653" spans="1:40" x14ac:dyDescent="0.25">
      <c r="A1653" t="str">
        <f>"20190312172648109"</f>
        <v>20190312172648109</v>
      </c>
      <c r="B1653" t="str">
        <f>"1552382808100936"</f>
        <v>1552382808100936</v>
      </c>
      <c r="C1653" t="s">
        <v>40</v>
      </c>
      <c r="D1653">
        <v>3.204453</v>
      </c>
      <c r="E1653">
        <v>0.48875449999999998</v>
      </c>
      <c r="F1653" t="s">
        <v>49</v>
      </c>
      <c r="G1653">
        <v>-302.17570000000001</v>
      </c>
      <c r="H1653" s="1">
        <v>3.5977150000000001E-6</v>
      </c>
      <c r="I1653">
        <v>284.39850000000001</v>
      </c>
      <c r="J1653">
        <v>-275.52519999999998</v>
      </c>
      <c r="K1653">
        <v>1.1088849999999999</v>
      </c>
      <c r="L1653">
        <v>283.8143</v>
      </c>
      <c r="M1653">
        <v>-0.99815949999999998</v>
      </c>
      <c r="N1653">
        <v>0</v>
      </c>
      <c r="O1653">
        <v>6.0195760000000001E-2</v>
      </c>
      <c r="P1653">
        <v>-0.98712719999999998</v>
      </c>
      <c r="Q1653">
        <v>0.15115399999999901</v>
      </c>
      <c r="R1653">
        <v>5.2276629999999998E-2</v>
      </c>
      <c r="S1653">
        <v>-3.0548709999999999</v>
      </c>
      <c r="T1653">
        <v>-0.12528729999999999</v>
      </c>
      <c r="U1653">
        <v>6.8634029999999999E-2</v>
      </c>
      <c r="V1653">
        <v>-7.2126430000000004E-3</v>
      </c>
      <c r="W1653">
        <v>0.1584333</v>
      </c>
      <c r="X1653">
        <v>0.98734330000000003</v>
      </c>
      <c r="Y1653">
        <v>-3.767935E-2</v>
      </c>
      <c r="Z1653">
        <v>-3.2381850000000002E-3</v>
      </c>
      <c r="AA1653">
        <v>0.99928459999999997</v>
      </c>
      <c r="AB1653">
        <v>39</v>
      </c>
      <c r="AC1653">
        <v>-26.650500000000001</v>
      </c>
      <c r="AD1653">
        <v>-1.108881402285</v>
      </c>
      <c r="AE1653">
        <v>0.58420000000000905</v>
      </c>
      <c r="AF1653">
        <v>-1.01938597271346</v>
      </c>
      <c r="AG1653">
        <v>-1.108881402285</v>
      </c>
      <c r="AH1653">
        <v>26.5913223582548</v>
      </c>
      <c r="AI1653">
        <v>92.386149943533795</v>
      </c>
      <c r="AJ1653">
        <v>92.195375132334604</v>
      </c>
      <c r="AK1653">
        <v>26.633948082969599</v>
      </c>
      <c r="AL1653">
        <v>80.884028612850102</v>
      </c>
      <c r="AM1653">
        <v>90.418544038570801</v>
      </c>
      <c r="AN1653">
        <v>0.99999996241141198</v>
      </c>
    </row>
    <row r="1654" spans="1:40" x14ac:dyDescent="0.25">
      <c r="A1654" t="str">
        <f>"20190312172648131"</f>
        <v>20190312172648131</v>
      </c>
      <c r="B1654" t="str">
        <f>"1552382808120456"</f>
        <v>1552382808120456</v>
      </c>
      <c r="C1654" t="s">
        <v>40</v>
      </c>
      <c r="D1654">
        <v>3.1795490000000002</v>
      </c>
      <c r="E1654">
        <v>0.48888890000000002</v>
      </c>
      <c r="F1654" t="s">
        <v>49</v>
      </c>
      <c r="G1654">
        <v>-302.10039999999998</v>
      </c>
      <c r="H1654" s="1">
        <v>3.6100070000000001E-6</v>
      </c>
      <c r="I1654">
        <v>284.41059999999999</v>
      </c>
      <c r="J1654">
        <v>-275.91699999999997</v>
      </c>
      <c r="K1654">
        <v>1.108895</v>
      </c>
      <c r="L1654">
        <v>283.83800000000002</v>
      </c>
      <c r="M1654">
        <v>-0.99815920000000002</v>
      </c>
      <c r="N1654">
        <v>0</v>
      </c>
      <c r="O1654">
        <v>6.0197189999999998E-2</v>
      </c>
      <c r="P1654">
        <v>-0.9871278</v>
      </c>
      <c r="Q1654">
        <v>0.15129429999999999</v>
      </c>
      <c r="R1654">
        <v>5.1855180000000001E-2</v>
      </c>
      <c r="S1654">
        <v>-3.0550229999999998</v>
      </c>
      <c r="T1654">
        <v>-0.12747439999999999</v>
      </c>
      <c r="U1654">
        <v>6.8542480000000003E-2</v>
      </c>
      <c r="V1654">
        <v>-7.6399349999999996E-3</v>
      </c>
      <c r="W1654">
        <v>0.15859100000000001</v>
      </c>
      <c r="X1654">
        <v>0.98731480000000005</v>
      </c>
      <c r="Y1654">
        <v>-3.7708949999999998E-2</v>
      </c>
      <c r="Z1654">
        <v>-3.29518E-3</v>
      </c>
      <c r="AA1654">
        <v>0.99928329999999999</v>
      </c>
      <c r="AB1654">
        <v>39</v>
      </c>
      <c r="AC1654">
        <v>-26.183399999999899</v>
      </c>
      <c r="AD1654">
        <v>-1.108891389993</v>
      </c>
      <c r="AE1654">
        <v>0.57260000000002198</v>
      </c>
      <c r="AF1654">
        <v>-1.00285067409037</v>
      </c>
      <c r="AG1654">
        <v>-1.108891389993</v>
      </c>
      <c r="AH1654">
        <v>26.1235509480113</v>
      </c>
      <c r="AI1654">
        <v>92.428842790673997</v>
      </c>
      <c r="AJ1654">
        <v>92.198434293440201</v>
      </c>
      <c r="AK1654">
        <v>26.1663001534926</v>
      </c>
      <c r="AL1654">
        <v>80.874877660704399</v>
      </c>
      <c r="AM1654">
        <v>90.443351294474397</v>
      </c>
      <c r="AN1654">
        <v>0.999999994093422</v>
      </c>
    </row>
    <row r="1655" spans="1:40" x14ac:dyDescent="0.25">
      <c r="A1655" t="str">
        <f>"20190312172648153"</f>
        <v>20190312172648153</v>
      </c>
      <c r="B1655" t="str">
        <f>"1552382808150713"</f>
        <v>1552382808150713</v>
      </c>
      <c r="C1655" t="s">
        <v>40</v>
      </c>
      <c r="D1655">
        <v>3.1819799999999998</v>
      </c>
      <c r="E1655">
        <v>0.4891527</v>
      </c>
      <c r="F1655" t="s">
        <v>49</v>
      </c>
      <c r="G1655">
        <v>-302.3526</v>
      </c>
      <c r="H1655" s="1">
        <v>3.563713E-6</v>
      </c>
      <c r="I1655">
        <v>284.42840000000001</v>
      </c>
      <c r="J1655">
        <v>-276.29820000000001</v>
      </c>
      <c r="K1655">
        <v>1.108903</v>
      </c>
      <c r="L1655">
        <v>283.86099999999999</v>
      </c>
      <c r="M1655">
        <v>-0.99815909999999997</v>
      </c>
      <c r="N1655">
        <v>0</v>
      </c>
      <c r="O1655">
        <v>6.0199370000000002E-2</v>
      </c>
      <c r="P1655">
        <v>-0.98709749999999996</v>
      </c>
      <c r="Q1655">
        <v>0.15151429999999999</v>
      </c>
      <c r="R1655">
        <v>5.1792379999999999E-2</v>
      </c>
      <c r="S1655">
        <v>-3.0552060000000001</v>
      </c>
      <c r="T1655">
        <v>-0.1281562</v>
      </c>
      <c r="U1655">
        <v>6.8237300000000001E-2</v>
      </c>
      <c r="V1655">
        <v>-7.7064899999999999E-3</v>
      </c>
      <c r="W1655">
        <v>0.1588273</v>
      </c>
      <c r="X1655">
        <v>0.9872763</v>
      </c>
      <c r="Y1655">
        <v>-3.7811230000000001E-2</v>
      </c>
      <c r="Z1655">
        <v>-3.3148299999999999E-3</v>
      </c>
      <c r="AA1655">
        <v>0.99927940000000004</v>
      </c>
      <c r="AB1655">
        <v>39</v>
      </c>
      <c r="AC1655">
        <v>-26.054399999999902</v>
      </c>
      <c r="AD1655">
        <v>-1.1088994362869999</v>
      </c>
      <c r="AE1655">
        <v>0.56740000000002</v>
      </c>
      <c r="AF1655">
        <v>-1.0003191225380701</v>
      </c>
      <c r="AG1655">
        <v>-1.1088994362869999</v>
      </c>
      <c r="AH1655">
        <v>25.994238033178299</v>
      </c>
      <c r="AI1655">
        <v>92.440919852817402</v>
      </c>
      <c r="AJ1655">
        <v>92.203788277027598</v>
      </c>
      <c r="AK1655">
        <v>26.037102512227602</v>
      </c>
      <c r="AL1655">
        <v>80.861164889053299</v>
      </c>
      <c r="AM1655">
        <v>90.447230814944604</v>
      </c>
      <c r="AN1655">
        <v>0.99999999687754904</v>
      </c>
    </row>
    <row r="1656" spans="1:40" x14ac:dyDescent="0.25">
      <c r="A1656" t="str">
        <f>"20190312172648175"</f>
        <v>20190312172648175</v>
      </c>
      <c r="B1656" t="str">
        <f>"1552382808170233"</f>
        <v>1552382808170233</v>
      </c>
      <c r="C1656" t="s">
        <v>40</v>
      </c>
      <c r="D1656">
        <v>3.1703209999999999</v>
      </c>
      <c r="E1656">
        <v>0.48934149999999998</v>
      </c>
      <c r="F1656" t="s">
        <v>49</v>
      </c>
      <c r="G1656">
        <v>-302.43560000000002</v>
      </c>
      <c r="H1656" s="1">
        <v>3.5465599999999998E-6</v>
      </c>
      <c r="I1656">
        <v>284.45620000000002</v>
      </c>
      <c r="J1656">
        <v>-276.6687</v>
      </c>
      <c r="K1656">
        <v>1.108911</v>
      </c>
      <c r="L1656">
        <v>283.88339999999999</v>
      </c>
      <c r="M1656">
        <v>-0.99815880000000001</v>
      </c>
      <c r="N1656">
        <v>0</v>
      </c>
      <c r="O1656">
        <v>6.0201669999999999E-2</v>
      </c>
      <c r="P1656">
        <v>-0.98711409999999999</v>
      </c>
      <c r="Q1656">
        <v>0.15146770000000001</v>
      </c>
      <c r="R1656">
        <v>5.1610429999999999E-2</v>
      </c>
      <c r="S1656">
        <v>-3.05545</v>
      </c>
      <c r="T1656">
        <v>-0.12962950000000001</v>
      </c>
      <c r="U1656">
        <v>6.9580080000000002E-2</v>
      </c>
      <c r="V1656">
        <v>-7.894837E-3</v>
      </c>
      <c r="W1656">
        <v>0.1587963</v>
      </c>
      <c r="X1656">
        <v>0.98727980000000004</v>
      </c>
      <c r="Y1656">
        <v>-3.7374820000000003E-2</v>
      </c>
      <c r="Z1656">
        <v>-3.3434580000000001E-3</v>
      </c>
      <c r="AA1656">
        <v>0.99929570000000001</v>
      </c>
      <c r="AB1656">
        <v>39</v>
      </c>
      <c r="AC1656">
        <v>-25.7669</v>
      </c>
      <c r="AD1656">
        <v>-1.1089074534399901</v>
      </c>
      <c r="AE1656">
        <v>0.57280000000002895</v>
      </c>
      <c r="AF1656">
        <v>-0.977681995249569</v>
      </c>
      <c r="AG1656">
        <v>-1.1089074534399901</v>
      </c>
      <c r="AH1656">
        <v>25.7070580613541</v>
      </c>
      <c r="AI1656">
        <v>92.468214707135701</v>
      </c>
      <c r="AJ1656">
        <v>92.178003702254102</v>
      </c>
      <c r="AK1656">
        <v>25.749531490766199</v>
      </c>
      <c r="AL1656">
        <v>80.862963903748394</v>
      </c>
      <c r="AM1656">
        <v>90.458159073836399</v>
      </c>
      <c r="AN1656">
        <v>0.99999999841649301</v>
      </c>
    </row>
    <row r="1657" spans="1:40" x14ac:dyDescent="0.25">
      <c r="A1657" t="str">
        <f>"20190312172648196"</f>
        <v>20190312172648196</v>
      </c>
      <c r="B1657" t="str">
        <f>"1552382808190729"</f>
        <v>1552382808190729</v>
      </c>
      <c r="C1657" t="s">
        <v>40</v>
      </c>
      <c r="D1657">
        <v>3.1555599999999999</v>
      </c>
      <c r="E1657">
        <v>0.48950169999999998</v>
      </c>
      <c r="F1657" t="s">
        <v>49</v>
      </c>
      <c r="G1657">
        <v>-302.49270000000001</v>
      </c>
      <c r="H1657" s="1">
        <v>3.5350160000000001E-6</v>
      </c>
      <c r="I1657">
        <v>284.47250000000003</v>
      </c>
      <c r="J1657">
        <v>-277.0659</v>
      </c>
      <c r="K1657">
        <v>1.108911</v>
      </c>
      <c r="L1657">
        <v>283.90730000000002</v>
      </c>
      <c r="M1657">
        <v>-0.99815849999999995</v>
      </c>
      <c r="N1657">
        <v>0</v>
      </c>
      <c r="O1657">
        <v>6.0203989999999999E-2</v>
      </c>
      <c r="P1657">
        <v>-0.98718600000000001</v>
      </c>
      <c r="Q1657">
        <v>0.15103069999999999</v>
      </c>
      <c r="R1657">
        <v>5.1515209999999999E-2</v>
      </c>
      <c r="S1657">
        <v>-3.0556640000000002</v>
      </c>
      <c r="T1657">
        <v>-0.1312131</v>
      </c>
      <c r="U1657">
        <v>6.9702150000000004E-2</v>
      </c>
      <c r="V1657">
        <v>-7.9989540000000008E-3</v>
      </c>
      <c r="W1657">
        <v>0.15837679999999901</v>
      </c>
      <c r="X1657">
        <v>0.98734639999999996</v>
      </c>
      <c r="Y1657">
        <v>-3.7336729999999999E-2</v>
      </c>
      <c r="Z1657">
        <v>-3.3833079999999998E-3</v>
      </c>
      <c r="AA1657">
        <v>0.99929699999999999</v>
      </c>
      <c r="AB1657">
        <v>39</v>
      </c>
      <c r="AC1657">
        <v>-25.4268</v>
      </c>
      <c r="AD1657">
        <v>-1.1089074649840001</v>
      </c>
      <c r="AE1657">
        <v>0.56520000000000403</v>
      </c>
      <c r="AF1657">
        <v>-0.96482807235439605</v>
      </c>
      <c r="AG1657">
        <v>-1.1089074649840001</v>
      </c>
      <c r="AH1657">
        <v>25.366481029427302</v>
      </c>
      <c r="AI1657">
        <v>92.501311451075296</v>
      </c>
      <c r="AJ1657">
        <v>92.178226509211498</v>
      </c>
      <c r="AK1657">
        <v>25.409032425328501</v>
      </c>
      <c r="AL1657">
        <v>80.887308059557796</v>
      </c>
      <c r="AM1657">
        <v>90.464169695990194</v>
      </c>
      <c r="AN1657">
        <v>1.0000000538181399</v>
      </c>
    </row>
    <row r="1658" spans="1:40" x14ac:dyDescent="0.25">
      <c r="A1658" t="str">
        <f>"20190312172648219"</f>
        <v>20190312172648219</v>
      </c>
      <c r="B1658" t="str">
        <f>"1552382808210248"</f>
        <v>1552382808210248</v>
      </c>
      <c r="C1658" t="s">
        <v>40</v>
      </c>
      <c r="D1658">
        <v>3.1703329999999998</v>
      </c>
      <c r="E1658">
        <v>0.48962620000000001</v>
      </c>
      <c r="F1658" t="s">
        <v>49</v>
      </c>
      <c r="G1658">
        <v>-302.32429999999999</v>
      </c>
      <c r="H1658" s="1">
        <v>3.5631849999999998E-6</v>
      </c>
      <c r="I1658">
        <v>284.49180000000001</v>
      </c>
      <c r="J1658">
        <v>-277.45859999999999</v>
      </c>
      <c r="K1658">
        <v>1.10891299999999</v>
      </c>
      <c r="L1658">
        <v>283.93099999999998</v>
      </c>
      <c r="M1658">
        <v>-0.99815830000000005</v>
      </c>
      <c r="N1658">
        <v>0</v>
      </c>
      <c r="O1658">
        <v>6.020549E-2</v>
      </c>
      <c r="P1658">
        <v>-0.98722160000000003</v>
      </c>
      <c r="Q1658">
        <v>0.15072379999999999</v>
      </c>
      <c r="R1658">
        <v>5.1728200000000002E-2</v>
      </c>
      <c r="S1658">
        <v>-3.0557859999999999</v>
      </c>
      <c r="T1658">
        <v>-0.13415669999999999</v>
      </c>
      <c r="U1658">
        <v>7.0709229999999998E-2</v>
      </c>
      <c r="V1658">
        <v>-7.7921659999999997E-3</v>
      </c>
      <c r="W1658">
        <v>0.15808720000000001</v>
      </c>
      <c r="X1658">
        <v>0.98739440000000001</v>
      </c>
      <c r="Y1658">
        <v>-3.7006240000000003E-2</v>
      </c>
      <c r="Z1658">
        <v>-3.4517950000000001E-3</v>
      </c>
      <c r="AA1658">
        <v>0.99930909999999995</v>
      </c>
      <c r="AB1658">
        <v>39</v>
      </c>
      <c r="AC1658">
        <v>-24.8657</v>
      </c>
      <c r="AD1658">
        <v>-1.1089094368150001</v>
      </c>
      <c r="AE1658">
        <v>0.56080000000002805</v>
      </c>
      <c r="AF1658">
        <v>-0.935450920822684</v>
      </c>
      <c r="AG1658">
        <v>-1.1089094368150001</v>
      </c>
      <c r="AH1658">
        <v>24.8050482375569</v>
      </c>
      <c r="AI1658">
        <v>92.557887091574898</v>
      </c>
      <c r="AJ1658">
        <v>92.159721764951001</v>
      </c>
      <c r="AK1658">
        <v>24.847437828312401</v>
      </c>
      <c r="AL1658">
        <v>80.904112043834502</v>
      </c>
      <c r="AM1658">
        <v>90.452148561129803</v>
      </c>
      <c r="AN1658">
        <v>0.999999990903085</v>
      </c>
    </row>
    <row r="1659" spans="1:40" x14ac:dyDescent="0.25">
      <c r="A1659" t="str">
        <f>"20190312172648242"</f>
        <v>20190312172648242</v>
      </c>
      <c r="B1659" t="str">
        <f>"1552382808230744"</f>
        <v>1552382808230744</v>
      </c>
      <c r="C1659" t="s">
        <v>40</v>
      </c>
      <c r="D1659">
        <v>3.1525069999999999</v>
      </c>
      <c r="E1659">
        <v>0.48980190000000001</v>
      </c>
      <c r="F1659" t="s">
        <v>49</v>
      </c>
      <c r="G1659">
        <v>-302.35469999999998</v>
      </c>
      <c r="H1659" s="1">
        <v>3.555588E-6</v>
      </c>
      <c r="I1659">
        <v>284.51710000000003</v>
      </c>
      <c r="J1659">
        <v>-277.86320000000001</v>
      </c>
      <c r="K1659">
        <v>1.1089169999999999</v>
      </c>
      <c r="L1659">
        <v>283.95549999999997</v>
      </c>
      <c r="M1659">
        <v>-0.99815790000000004</v>
      </c>
      <c r="N1659">
        <v>0</v>
      </c>
      <c r="O1659">
        <v>6.0207179999999999E-2</v>
      </c>
      <c r="P1659">
        <v>-0.9871685</v>
      </c>
      <c r="Q1659">
        <v>0.15082119999999999</v>
      </c>
      <c r="R1659">
        <v>5.2453529999999998E-2</v>
      </c>
      <c r="S1659">
        <v>-3.055847</v>
      </c>
      <c r="T1659">
        <v>-0.1361117</v>
      </c>
      <c r="U1659">
        <v>7.1929930000000003E-2</v>
      </c>
      <c r="V1659">
        <v>-7.0679019999999896E-3</v>
      </c>
      <c r="W1659">
        <v>0.15820119999999999</v>
      </c>
      <c r="X1659">
        <v>0.98738159999999997</v>
      </c>
      <c r="Y1659">
        <v>-3.6607090000000002E-2</v>
      </c>
      <c r="Z1659">
        <v>-3.4931459999999999E-3</v>
      </c>
      <c r="AA1659">
        <v>0.99932359999999998</v>
      </c>
      <c r="AB1659">
        <v>39</v>
      </c>
      <c r="AC1659">
        <v>-24.491499999999899</v>
      </c>
      <c r="AD1659">
        <v>-1.1089134444119999</v>
      </c>
      <c r="AE1659">
        <v>0.56160000000005506</v>
      </c>
      <c r="AF1659">
        <v>-0.91215523918960495</v>
      </c>
      <c r="AG1659">
        <v>-1.1089134444119999</v>
      </c>
      <c r="AH1659">
        <v>24.430822740473701</v>
      </c>
      <c r="AI1659">
        <v>92.5970608556336</v>
      </c>
      <c r="AJ1659">
        <v>92.138216206804699</v>
      </c>
      <c r="AK1659">
        <v>24.472981346456901</v>
      </c>
      <c r="AL1659">
        <v>80.897497161051803</v>
      </c>
      <c r="AM1659">
        <v>90.410129212517205</v>
      </c>
      <c r="AN1659">
        <v>0.99999999946934004</v>
      </c>
    </row>
    <row r="1660" spans="1:40" x14ac:dyDescent="0.25">
      <c r="A1660" t="str">
        <f>"20190312172648264"</f>
        <v>20190312172648264</v>
      </c>
      <c r="B1660" t="str">
        <f>"1552382808261002"</f>
        <v>1552382808261002</v>
      </c>
      <c r="C1660" t="s">
        <v>40</v>
      </c>
      <c r="D1660">
        <v>3.1745869999999998</v>
      </c>
      <c r="E1660">
        <v>0.4900043</v>
      </c>
      <c r="F1660" t="s">
        <v>49</v>
      </c>
      <c r="G1660">
        <v>-302.55079999999998</v>
      </c>
      <c r="H1660" s="1">
        <v>3.5168680000000001E-6</v>
      </c>
      <c r="I1660">
        <v>284.56220000000002</v>
      </c>
      <c r="J1660">
        <v>-278.2466</v>
      </c>
      <c r="K1660">
        <v>1.10891299999999</v>
      </c>
      <c r="L1660">
        <v>283.97859999999997</v>
      </c>
      <c r="M1660">
        <v>-0.99815779999999998</v>
      </c>
      <c r="N1660">
        <v>0</v>
      </c>
      <c r="O1660">
        <v>6.0207919999999998E-2</v>
      </c>
      <c r="P1660">
        <v>-0.98716590000000004</v>
      </c>
      <c r="Q1660">
        <v>0.15065490000000001</v>
      </c>
      <c r="R1660">
        <v>5.2980109999999997E-2</v>
      </c>
      <c r="S1660">
        <v>-3.056</v>
      </c>
      <c r="T1660">
        <v>-0.137269</v>
      </c>
      <c r="U1660">
        <v>7.5103760000000006E-2</v>
      </c>
      <c r="V1660">
        <v>-6.5435659999999998E-3</v>
      </c>
      <c r="W1660">
        <v>0.15805139999999901</v>
      </c>
      <c r="X1660">
        <v>0.98740919999999999</v>
      </c>
      <c r="Y1660">
        <v>-3.5571150000000003E-2</v>
      </c>
      <c r="Z1660">
        <v>-3.4993580000000002E-3</v>
      </c>
      <c r="AA1660">
        <v>0.99936100000000005</v>
      </c>
      <c r="AB1660">
        <v>39</v>
      </c>
      <c r="AC1660">
        <v>-24.304199999999899</v>
      </c>
      <c r="AD1660">
        <v>-1.1089094831320001</v>
      </c>
      <c r="AE1660">
        <v>0.58360000000004597</v>
      </c>
      <c r="AF1660">
        <v>-0.87897634703840399</v>
      </c>
      <c r="AG1660">
        <v>-1.1089094831320001</v>
      </c>
      <c r="AH1660">
        <v>24.2448019318234</v>
      </c>
      <c r="AI1660">
        <v>92.617054054854293</v>
      </c>
      <c r="AJ1660">
        <v>92.076304352706003</v>
      </c>
      <c r="AK1660">
        <v>24.286059795153701</v>
      </c>
      <c r="AL1660">
        <v>80.906189393238506</v>
      </c>
      <c r="AM1660">
        <v>90.379693876105193</v>
      </c>
      <c r="AN1660">
        <v>0.99999999577129794</v>
      </c>
    </row>
    <row r="1661" spans="1:40" x14ac:dyDescent="0.25">
      <c r="A1661" t="str">
        <f>"20190312172648288"</f>
        <v>20190312172648288</v>
      </c>
      <c r="B1661" t="str">
        <f>"1552382808280520"</f>
        <v>1552382808280520</v>
      </c>
      <c r="C1661" t="s">
        <v>40</v>
      </c>
      <c r="D1661">
        <v>3.1647729999999998</v>
      </c>
      <c r="E1661">
        <v>0.49010599999999999</v>
      </c>
      <c r="F1661" t="s">
        <v>49</v>
      </c>
      <c r="G1661">
        <v>-302.52769999999998</v>
      </c>
      <c r="H1661" s="1">
        <v>3.5177790000000001E-6</v>
      </c>
      <c r="I1661">
        <v>284.59859999999998</v>
      </c>
      <c r="J1661">
        <v>-278.65879999999999</v>
      </c>
      <c r="K1661">
        <v>1.1089119999999999</v>
      </c>
      <c r="L1661">
        <v>284.00349999999997</v>
      </c>
      <c r="M1661">
        <v>-0.99815770000000004</v>
      </c>
      <c r="N1661">
        <v>0</v>
      </c>
      <c r="O1661">
        <v>6.0208310000000001E-2</v>
      </c>
      <c r="P1661">
        <v>-0.98717969999999999</v>
      </c>
      <c r="Q1661">
        <v>0.15040880000000001</v>
      </c>
      <c r="R1661">
        <v>5.341912E-2</v>
      </c>
      <c r="S1661">
        <v>-3.0561219999999998</v>
      </c>
      <c r="T1661">
        <v>-0.1395719</v>
      </c>
      <c r="U1661">
        <v>7.8033450000000004E-2</v>
      </c>
      <c r="V1661">
        <v>-6.1077989999999997E-3</v>
      </c>
      <c r="W1661">
        <v>0.15782260000000001</v>
      </c>
      <c r="X1661">
        <v>0.98744860000000001</v>
      </c>
      <c r="Y1661">
        <v>-3.4612860000000002E-2</v>
      </c>
      <c r="Z1661">
        <v>-3.5359499999999999E-3</v>
      </c>
      <c r="AA1661">
        <v>0.99939449999999996</v>
      </c>
      <c r="AB1661">
        <v>39</v>
      </c>
      <c r="AC1661">
        <v>-23.8689</v>
      </c>
      <c r="AD1661">
        <v>-1.108908482221</v>
      </c>
      <c r="AE1661">
        <v>0.59510000000000196</v>
      </c>
      <c r="AF1661">
        <v>-0.84131142461736197</v>
      </c>
      <c r="AG1661">
        <v>-1.108908482221</v>
      </c>
      <c r="AH1661">
        <v>23.810067299480099</v>
      </c>
      <c r="AI1661">
        <v>92.664854221563203</v>
      </c>
      <c r="AJ1661">
        <v>92.023662822595995</v>
      </c>
      <c r="AK1661">
        <v>23.850718809732001</v>
      </c>
      <c r="AL1661">
        <v>80.919465402563304</v>
      </c>
      <c r="AM1661">
        <v>90.354394792720996</v>
      </c>
      <c r="AN1661">
        <v>1.0000000079606699</v>
      </c>
    </row>
    <row r="1662" spans="1:40" x14ac:dyDescent="0.25">
      <c r="A1662" t="str">
        <f>"20190312172648308"</f>
        <v>20190312172648308</v>
      </c>
      <c r="B1662" t="str">
        <f>"1552382808301016"</f>
        <v>1552382808301016</v>
      </c>
      <c r="C1662" t="s">
        <v>40</v>
      </c>
      <c r="D1662">
        <v>3.1785999999999999</v>
      </c>
      <c r="E1662">
        <v>0.4902126</v>
      </c>
      <c r="F1662" t="s">
        <v>49</v>
      </c>
      <c r="G1662">
        <v>-302.66309999999999</v>
      </c>
      <c r="H1662" s="1">
        <v>3.490688E-6</v>
      </c>
      <c r="I1662">
        <v>284.6336</v>
      </c>
      <c r="J1662">
        <v>-279.03870000000001</v>
      </c>
      <c r="K1662">
        <v>1.1089100000000001</v>
      </c>
      <c r="L1662">
        <v>284.02640000000002</v>
      </c>
      <c r="M1662">
        <v>-0.99815750000000003</v>
      </c>
      <c r="N1662">
        <v>0</v>
      </c>
      <c r="O1662">
        <v>6.0208409999999997E-2</v>
      </c>
      <c r="P1662">
        <v>-0.98715200000000003</v>
      </c>
      <c r="Q1662">
        <v>0.15048339999999999</v>
      </c>
      <c r="R1662">
        <v>5.3718969999999998E-2</v>
      </c>
      <c r="S1662">
        <v>-3.056152</v>
      </c>
      <c r="T1662">
        <v>-0.14118220000000001</v>
      </c>
      <c r="U1662">
        <v>8.0230709999999997E-2</v>
      </c>
      <c r="V1662">
        <v>-5.8077809999999997E-3</v>
      </c>
      <c r="W1662">
        <v>0.15791350000000001</v>
      </c>
      <c r="X1662">
        <v>0.98743590000000003</v>
      </c>
      <c r="Y1662">
        <v>-3.3893649999999997E-2</v>
      </c>
      <c r="Z1662">
        <v>-3.5600229999999998E-3</v>
      </c>
      <c r="AA1662">
        <v>0.9994191</v>
      </c>
      <c r="AB1662">
        <v>40</v>
      </c>
      <c r="AC1662">
        <v>-23.624399999999898</v>
      </c>
      <c r="AD1662">
        <v>-1.1089065093120001</v>
      </c>
      <c r="AE1662">
        <v>0.60719999999997698</v>
      </c>
      <c r="AF1662">
        <v>-0.81453595008049595</v>
      </c>
      <c r="AG1662">
        <v>-1.1089065093120001</v>
      </c>
      <c r="AH1662">
        <v>23.566209917313099</v>
      </c>
      <c r="AI1662">
        <v>92.692456642096005</v>
      </c>
      <c r="AJ1662">
        <v>91.979567401739402</v>
      </c>
      <c r="AK1662">
        <v>23.606342205586099</v>
      </c>
      <c r="AL1662">
        <v>80.914191281173302</v>
      </c>
      <c r="AM1662">
        <v>90.336991497389903</v>
      </c>
      <c r="AN1662">
        <v>1.0000000302056</v>
      </c>
    </row>
    <row r="1663" spans="1:40" x14ac:dyDescent="0.25">
      <c r="A1663" t="str">
        <f>"20190312172648331"</f>
        <v>20190312172648331</v>
      </c>
      <c r="B1663" t="str">
        <f>"1552382808320539"</f>
        <v>1552382808320539</v>
      </c>
      <c r="C1663" t="s">
        <v>40</v>
      </c>
      <c r="D1663">
        <v>3.1722039999999998</v>
      </c>
      <c r="E1663">
        <v>0.49031619999999998</v>
      </c>
      <c r="F1663" t="s">
        <v>49</v>
      </c>
      <c r="G1663">
        <v>-302.9545</v>
      </c>
      <c r="H1663" s="1">
        <v>3.435999E-6</v>
      </c>
      <c r="I1663">
        <v>284.66809999999998</v>
      </c>
      <c r="J1663">
        <v>-279.4359</v>
      </c>
      <c r="K1663">
        <v>1.1089100000000001</v>
      </c>
      <c r="L1663">
        <v>284.05029999999999</v>
      </c>
      <c r="M1663">
        <v>-0.99815739999999997</v>
      </c>
      <c r="N1663">
        <v>0</v>
      </c>
      <c r="O1663">
        <v>6.0208339999999999E-2</v>
      </c>
      <c r="P1663">
        <v>-0.98706780000000005</v>
      </c>
      <c r="Q1663">
        <v>0.151007</v>
      </c>
      <c r="R1663">
        <v>5.380004E-2</v>
      </c>
      <c r="S1663">
        <v>-3.0562130000000001</v>
      </c>
      <c r="T1663">
        <v>-0.14170769999999999</v>
      </c>
      <c r="U1663">
        <v>8.2000729999999994E-2</v>
      </c>
      <c r="V1663">
        <v>-5.7220580000000004E-3</v>
      </c>
      <c r="W1663">
        <v>0.1584526</v>
      </c>
      <c r="X1663">
        <v>0.98734999999999995</v>
      </c>
      <c r="Y1663">
        <v>-3.3315570000000003E-2</v>
      </c>
      <c r="Z1663">
        <v>-3.5597530000000001E-3</v>
      </c>
      <c r="AA1663">
        <v>0.99943850000000001</v>
      </c>
      <c r="AB1663">
        <v>40</v>
      </c>
      <c r="AC1663">
        <v>-23.5185999999999</v>
      </c>
      <c r="AD1663">
        <v>-1.1089065640009901</v>
      </c>
      <c r="AE1663">
        <v>0.61779999999998803</v>
      </c>
      <c r="AF1663">
        <v>-0.79760494488633704</v>
      </c>
      <c r="AG1663">
        <v>-1.1089065640009901</v>
      </c>
      <c r="AH1663">
        <v>23.461007501085898</v>
      </c>
      <c r="AI1663">
        <v>92.704564637606893</v>
      </c>
      <c r="AJ1663">
        <v>91.947137300788398</v>
      </c>
      <c r="AK1663">
        <v>23.5007387199168</v>
      </c>
      <c r="AL1663">
        <v>80.882908960891001</v>
      </c>
      <c r="AM1663">
        <v>90.332046491296893</v>
      </c>
      <c r="AN1663">
        <v>0.99999999544725704</v>
      </c>
    </row>
    <row r="1664" spans="1:40" x14ac:dyDescent="0.25">
      <c r="A1664" t="str">
        <f>"20190312172648352"</f>
        <v>20190312172648352</v>
      </c>
      <c r="B1664" t="str">
        <f>"1552382808341036"</f>
        <v>1552382808341036</v>
      </c>
      <c r="C1664" t="s">
        <v>40</v>
      </c>
      <c r="D1664">
        <v>3.1663399999999999</v>
      </c>
      <c r="E1664">
        <v>0.49040689999999998</v>
      </c>
      <c r="F1664" t="s">
        <v>49</v>
      </c>
      <c r="G1664">
        <v>-303.51220000000001</v>
      </c>
      <c r="H1664" s="1">
        <v>3.3341380000000002E-6</v>
      </c>
      <c r="I1664">
        <v>284.70159999999998</v>
      </c>
      <c r="J1664">
        <v>-279.8193</v>
      </c>
      <c r="K1664">
        <v>1.10891299999999</v>
      </c>
      <c r="L1664">
        <v>284.07350000000002</v>
      </c>
      <c r="M1664">
        <v>-0.99815730000000003</v>
      </c>
      <c r="N1664">
        <v>0</v>
      </c>
      <c r="O1664">
        <v>6.0208089999999999E-2</v>
      </c>
      <c r="P1664">
        <v>-0.98707520000000004</v>
      </c>
      <c r="Q1664">
        <v>0.15111910000000001</v>
      </c>
      <c r="R1664">
        <v>5.334651E-2</v>
      </c>
      <c r="S1664">
        <v>-3.0563349999999998</v>
      </c>
      <c r="T1664">
        <v>-0.14076830000000001</v>
      </c>
      <c r="U1664">
        <v>8.2672120000000002E-2</v>
      </c>
      <c r="V1664">
        <v>-6.1748439999999996E-3</v>
      </c>
      <c r="W1664">
        <v>0.15858069999999999</v>
      </c>
      <c r="X1664">
        <v>0.9873267</v>
      </c>
      <c r="Y1664">
        <v>-3.3098559999999999E-2</v>
      </c>
      <c r="Z1664">
        <v>-3.5310200000000002E-3</v>
      </c>
      <c r="AA1664">
        <v>0.9994459</v>
      </c>
      <c r="AB1664">
        <v>40</v>
      </c>
      <c r="AC1664">
        <v>-23.692900000000002</v>
      </c>
      <c r="AD1664">
        <v>-1.1089096658619999</v>
      </c>
      <c r="AE1664">
        <v>0.62809999999996002</v>
      </c>
      <c r="AF1664">
        <v>-0.79783795256587697</v>
      </c>
      <c r="AG1664">
        <v>-1.1089096658619999</v>
      </c>
      <c r="AH1664">
        <v>23.635993002796798</v>
      </c>
      <c r="AI1664">
        <v>92.6846006372528</v>
      </c>
      <c r="AJ1664">
        <v>91.933297126629398</v>
      </c>
      <c r="AK1664">
        <v>23.6754385656075</v>
      </c>
      <c r="AL1664">
        <v>80.875475331839397</v>
      </c>
      <c r="AM1664">
        <v>90.358329099916602</v>
      </c>
      <c r="AN1664">
        <v>0.99999998982190197</v>
      </c>
    </row>
    <row r="1665" spans="1:40" x14ac:dyDescent="0.25">
      <c r="A1665" t="str">
        <f>"20190312172648375"</f>
        <v>20190312172648375</v>
      </c>
      <c r="B1665" t="str">
        <f>"1552382808370312"</f>
        <v>1552382808370312</v>
      </c>
      <c r="C1665" t="s">
        <v>40</v>
      </c>
      <c r="D1665">
        <v>3.1434579999999999</v>
      </c>
      <c r="E1665">
        <v>0.49045430000000001</v>
      </c>
      <c r="F1665" t="s">
        <v>49</v>
      </c>
      <c r="G1665">
        <v>-303.82279999999997</v>
      </c>
      <c r="H1665" s="1">
        <v>3.2776970000000001E-6</v>
      </c>
      <c r="I1665">
        <v>284.71690000000001</v>
      </c>
      <c r="J1665">
        <v>-280.21089999999998</v>
      </c>
      <c r="K1665">
        <v>1.1089199999999999</v>
      </c>
      <c r="L1665">
        <v>284.09710000000001</v>
      </c>
      <c r="M1665">
        <v>-0.99815739999999997</v>
      </c>
      <c r="N1665">
        <v>0</v>
      </c>
      <c r="O1665">
        <v>6.0207539999999997E-2</v>
      </c>
      <c r="P1665">
        <v>-0.98699800000000004</v>
      </c>
      <c r="Q1665">
        <v>0.15166079999999901</v>
      </c>
      <c r="R1665">
        <v>5.3241419999999998E-2</v>
      </c>
      <c r="S1665">
        <v>-3.0564580000000001</v>
      </c>
      <c r="T1665">
        <v>-0.14120170000000001</v>
      </c>
      <c r="U1665">
        <v>8.1939699999999893E-2</v>
      </c>
      <c r="V1665">
        <v>-6.2750239999999997E-3</v>
      </c>
      <c r="W1665">
        <v>0.15913759999999999</v>
      </c>
      <c r="X1665">
        <v>0.98723640000000001</v>
      </c>
      <c r="Y1665">
        <v>-3.3337569999999997E-2</v>
      </c>
      <c r="Z1665">
        <v>-3.5472469999999999E-3</v>
      </c>
      <c r="AA1665">
        <v>0.99943789999999999</v>
      </c>
      <c r="AB1665">
        <v>40</v>
      </c>
      <c r="AC1665">
        <v>-23.611899999999899</v>
      </c>
      <c r="AD1665">
        <v>-1.1089167223029901</v>
      </c>
      <c r="AE1665">
        <v>0.61979999999999702</v>
      </c>
      <c r="AF1665">
        <v>-0.801213308150446</v>
      </c>
      <c r="AG1665">
        <v>-1.1089167223029901</v>
      </c>
      <c r="AH1665">
        <v>23.5544633919997</v>
      </c>
      <c r="AI1665">
        <v>92.693872675999501</v>
      </c>
      <c r="AJ1665">
        <v>91.948184826901098</v>
      </c>
      <c r="AK1665">
        <v>23.5941599712135</v>
      </c>
      <c r="AL1665">
        <v>80.843156360850699</v>
      </c>
      <c r="AM1665">
        <v>90.364175743396999</v>
      </c>
      <c r="AN1665">
        <v>0.99999993057245795</v>
      </c>
    </row>
    <row r="1666" spans="1:40" x14ac:dyDescent="0.25">
      <c r="A1666" t="str">
        <f>"20190312172648398"</f>
        <v>20190312172648398</v>
      </c>
      <c r="B1666" t="str">
        <f>"1552382808390809"</f>
        <v>1552382808390809</v>
      </c>
      <c r="C1666" t="s">
        <v>40</v>
      </c>
      <c r="D1666">
        <v>3.1718199999999999</v>
      </c>
      <c r="E1666">
        <v>0.49050050000000001</v>
      </c>
      <c r="F1666" t="s">
        <v>49</v>
      </c>
      <c r="G1666">
        <v>-304.5729</v>
      </c>
      <c r="H1666" s="1">
        <v>3.1416780000000002E-6</v>
      </c>
      <c r="I1666">
        <v>284.7509</v>
      </c>
      <c r="J1666">
        <v>-280.62650000000002</v>
      </c>
      <c r="K1666">
        <v>1.108919</v>
      </c>
      <c r="L1666">
        <v>284.12220000000002</v>
      </c>
      <c r="M1666">
        <v>-0.99815710000000002</v>
      </c>
      <c r="N1666">
        <v>0</v>
      </c>
      <c r="O1666">
        <v>6.0207289999999997E-2</v>
      </c>
      <c r="P1666">
        <v>-0.98697880000000004</v>
      </c>
      <c r="Q1666">
        <v>0.1518977</v>
      </c>
      <c r="R1666">
        <v>5.2917440000000003E-2</v>
      </c>
      <c r="S1666">
        <v>-3.0564879999999999</v>
      </c>
      <c r="T1666">
        <v>-0.13912629999999901</v>
      </c>
      <c r="U1666">
        <v>8.203125E-2</v>
      </c>
      <c r="V1666">
        <v>-6.5967439999999999E-3</v>
      </c>
      <c r="W1666">
        <v>0.159390899999999</v>
      </c>
      <c r="X1666">
        <v>0.98719349999999995</v>
      </c>
      <c r="Y1666">
        <v>-3.3310609999999997E-2</v>
      </c>
      <c r="Z1666">
        <v>-3.494502E-3</v>
      </c>
      <c r="AA1666">
        <v>0.99943890000000002</v>
      </c>
      <c r="AB1666">
        <v>40</v>
      </c>
      <c r="AC1666">
        <v>-23.946399999999901</v>
      </c>
      <c r="AD1666">
        <v>-1.108915858322</v>
      </c>
      <c r="AE1666">
        <v>0.62869999999998005</v>
      </c>
      <c r="AF1666">
        <v>-0.81248873969636903</v>
      </c>
      <c r="AG1666">
        <v>-1.108915858322</v>
      </c>
      <c r="AH1666">
        <v>23.889614752594198</v>
      </c>
      <c r="AI1666">
        <v>92.656132802341006</v>
      </c>
      <c r="AJ1666">
        <v>91.947885716301499</v>
      </c>
      <c r="AK1666">
        <v>23.929135491286299</v>
      </c>
      <c r="AL1666">
        <v>80.828456260624705</v>
      </c>
      <c r="AM1666">
        <v>90.382863100355394</v>
      </c>
      <c r="AN1666">
        <v>0.99999999123823002</v>
      </c>
    </row>
    <row r="1667" spans="1:40" x14ac:dyDescent="0.25">
      <c r="A1667" t="str">
        <f>"20190312172648421"</f>
        <v>20190312172648421</v>
      </c>
      <c r="B1667" t="str">
        <f>"1552382808410328"</f>
        <v>1552382808410328</v>
      </c>
      <c r="C1667" t="s">
        <v>40</v>
      </c>
      <c r="D1667">
        <v>3.1586859999999999</v>
      </c>
      <c r="E1667">
        <v>0.4905235</v>
      </c>
      <c r="F1667" t="s">
        <v>49</v>
      </c>
      <c r="G1667">
        <v>-305.24610000000001</v>
      </c>
      <c r="H1667" s="1">
        <v>3.0198899999999998E-6</v>
      </c>
      <c r="I1667">
        <v>284.77800000000002</v>
      </c>
      <c r="J1667">
        <v>-281.03440000000001</v>
      </c>
      <c r="K1667">
        <v>1.1089209999999901</v>
      </c>
      <c r="L1667">
        <v>284.14679999999998</v>
      </c>
      <c r="M1667">
        <v>-0.99815699999999996</v>
      </c>
      <c r="N1667">
        <v>0</v>
      </c>
      <c r="O1667">
        <v>6.0206919999999997E-2</v>
      </c>
      <c r="P1667">
        <v>-0.9868886</v>
      </c>
      <c r="Q1667">
        <v>0.15245110000000001</v>
      </c>
      <c r="R1667">
        <v>5.3005400000000001E-2</v>
      </c>
      <c r="S1667">
        <v>-3.0564269999999998</v>
      </c>
      <c r="T1667">
        <v>-0.1376675</v>
      </c>
      <c r="U1667">
        <v>8.1420899999999893E-2</v>
      </c>
      <c r="V1667">
        <v>-6.5038730000000003E-3</v>
      </c>
      <c r="W1667">
        <v>0.1599604</v>
      </c>
      <c r="X1667">
        <v>0.98710200000000003</v>
      </c>
      <c r="Y1667">
        <v>-3.3510959999999999E-2</v>
      </c>
      <c r="Z1667">
        <v>-3.4624730000000002E-3</v>
      </c>
      <c r="AA1667">
        <v>0.99943230000000005</v>
      </c>
      <c r="AB1667">
        <v>40</v>
      </c>
      <c r="AC1667">
        <v>-24.2117</v>
      </c>
      <c r="AD1667">
        <v>-1.10891798010999</v>
      </c>
      <c r="AE1667">
        <v>0.63120000000003496</v>
      </c>
      <c r="AF1667">
        <v>-0.825967603483303</v>
      </c>
      <c r="AG1667">
        <v>-1.10891798010999</v>
      </c>
      <c r="AH1667">
        <v>24.155142756077101</v>
      </c>
      <c r="AI1667">
        <v>92.626964669931894</v>
      </c>
      <c r="AJ1667">
        <v>91.958424606206805</v>
      </c>
      <c r="AK1667">
        <v>24.194686258248499</v>
      </c>
      <c r="AL1667">
        <v>80.795402241764407</v>
      </c>
      <c r="AM1667">
        <v>90.377508181513505</v>
      </c>
      <c r="AN1667">
        <v>0.99999999416808005</v>
      </c>
    </row>
    <row r="1668" spans="1:40" x14ac:dyDescent="0.25">
      <c r="A1668" t="str">
        <f>"20190312172648443"</f>
        <v>20190312172648443</v>
      </c>
      <c r="B1668" t="str">
        <f>"1552382808440584"</f>
        <v>1552382808440584</v>
      </c>
      <c r="C1668" t="s">
        <v>40</v>
      </c>
      <c r="D1668">
        <v>3.1993019999999999</v>
      </c>
      <c r="E1668">
        <v>0.49056440000000001</v>
      </c>
      <c r="F1668" t="s">
        <v>49</v>
      </c>
      <c r="G1668">
        <v>-306.10039999999998</v>
      </c>
      <c r="H1668" s="1">
        <v>2.8645549999999999E-6</v>
      </c>
      <c r="I1668">
        <v>284.82150000000001</v>
      </c>
      <c r="J1668">
        <v>-281.4341</v>
      </c>
      <c r="K1668">
        <v>1.108924</v>
      </c>
      <c r="L1668">
        <v>284.17090000000002</v>
      </c>
      <c r="M1668">
        <v>-0.99815690000000001</v>
      </c>
      <c r="N1668">
        <v>0</v>
      </c>
      <c r="O1668">
        <v>6.0206379999999997E-2</v>
      </c>
      <c r="P1668">
        <v>-0.98686359999999995</v>
      </c>
      <c r="Q1668">
        <v>0.15272659999999999</v>
      </c>
      <c r="R1668">
        <v>5.2676019999999997E-2</v>
      </c>
      <c r="S1668">
        <v>-3.0563349999999998</v>
      </c>
      <c r="T1668">
        <v>-0.13521229999999901</v>
      </c>
      <c r="U1668">
        <v>8.2275390000000004E-2</v>
      </c>
      <c r="V1668">
        <v>-6.8306749999999996E-3</v>
      </c>
      <c r="W1668">
        <v>0.160251799999999</v>
      </c>
      <c r="X1668">
        <v>0.98705259999999995</v>
      </c>
      <c r="Y1668">
        <v>-3.3234020000000003E-2</v>
      </c>
      <c r="Z1668">
        <v>-3.3947209999999998E-3</v>
      </c>
      <c r="AA1668">
        <v>0.99944180000000005</v>
      </c>
      <c r="AB1668">
        <v>40</v>
      </c>
      <c r="AC1668">
        <v>-24.6662999999999</v>
      </c>
      <c r="AD1668">
        <v>-1.1089211354449999</v>
      </c>
      <c r="AE1668">
        <v>0.65059999999999696</v>
      </c>
      <c r="AF1668">
        <v>-0.83400752301362302</v>
      </c>
      <c r="AG1668">
        <v>-1.1089211354449999</v>
      </c>
      <c r="AH1668">
        <v>24.611015548028899</v>
      </c>
      <c r="AI1668">
        <v>92.5784055525681</v>
      </c>
      <c r="AJ1668">
        <v>91.9408720468615</v>
      </c>
      <c r="AK1668">
        <v>24.650098598959001</v>
      </c>
      <c r="AL1668">
        <v>80.778488726636795</v>
      </c>
      <c r="AM1668">
        <v>90.396496196177907</v>
      </c>
      <c r="AN1668">
        <v>1.00000006634547</v>
      </c>
    </row>
    <row r="1669" spans="1:40" x14ac:dyDescent="0.25">
      <c r="A1669" t="str">
        <f>"20190312172648464"</f>
        <v>20190312172648464</v>
      </c>
      <c r="B1669" t="str">
        <f>"1552382808460104"</f>
        <v>1552382808460104</v>
      </c>
      <c r="C1669" t="s">
        <v>40</v>
      </c>
      <c r="D1669">
        <v>3.1784500000000002</v>
      </c>
      <c r="E1669">
        <v>0.49057770000000001</v>
      </c>
      <c r="F1669" t="s">
        <v>49</v>
      </c>
      <c r="G1669">
        <v>-306.83850000000001</v>
      </c>
      <c r="H1669" s="1">
        <v>2.731056E-6</v>
      </c>
      <c r="I1669">
        <v>284.851</v>
      </c>
      <c r="J1669">
        <v>-281.82979999999998</v>
      </c>
      <c r="K1669">
        <v>1.1089249999999999</v>
      </c>
      <c r="L1669">
        <v>284.19479999999999</v>
      </c>
      <c r="M1669">
        <v>-0.99815679999999996</v>
      </c>
      <c r="N1669">
        <v>0</v>
      </c>
      <c r="O1669">
        <v>6.0205769999999999E-2</v>
      </c>
      <c r="P1669">
        <v>-0.98684260000000001</v>
      </c>
      <c r="Q1669">
        <v>0.15285950000000001</v>
      </c>
      <c r="R1669">
        <v>5.2690019999999997E-2</v>
      </c>
      <c r="S1669">
        <v>-3.0562130000000001</v>
      </c>
      <c r="T1669">
        <v>-0.1334062</v>
      </c>
      <c r="U1669">
        <v>8.1817630000000002E-2</v>
      </c>
      <c r="V1669">
        <v>-6.8145039999999999E-3</v>
      </c>
      <c r="W1669">
        <v>0.16040099999999999</v>
      </c>
      <c r="X1669">
        <v>0.98702840000000003</v>
      </c>
      <c r="Y1669">
        <v>-3.3384209999999997E-2</v>
      </c>
      <c r="Z1669">
        <v>-3.3528120000000002E-3</v>
      </c>
      <c r="AA1669">
        <v>0.99943700000000002</v>
      </c>
      <c r="AB1669">
        <v>40</v>
      </c>
      <c r="AC1669">
        <v>-25.008700000000001</v>
      </c>
      <c r="AD1669">
        <v>-1.1089222689439999</v>
      </c>
      <c r="AE1669">
        <v>0.656200000000012</v>
      </c>
      <c r="AF1669">
        <v>-0.84903413995384802</v>
      </c>
      <c r="AG1669">
        <v>-1.1089222689439999</v>
      </c>
      <c r="AH1669">
        <v>24.953809878641401</v>
      </c>
      <c r="AI1669">
        <v>92.543023244942503</v>
      </c>
      <c r="AJ1669">
        <v>91.948692983851601</v>
      </c>
      <c r="AK1669">
        <v>24.992862881805799</v>
      </c>
      <c r="AL1669">
        <v>80.769827456623204</v>
      </c>
      <c r="AM1669">
        <v>90.395567255448199</v>
      </c>
      <c r="AN1669">
        <v>0.99999999033616305</v>
      </c>
    </row>
    <row r="1670" spans="1:40" x14ac:dyDescent="0.25">
      <c r="A1670" t="str">
        <f>"20190312172648489"</f>
        <v>20190312172648489</v>
      </c>
      <c r="B1670" t="str">
        <f>"1552382808480600"</f>
        <v>1552382808480600</v>
      </c>
      <c r="C1670" t="s">
        <v>40</v>
      </c>
      <c r="D1670">
        <v>3.1803309999999998</v>
      </c>
      <c r="E1670">
        <v>0.49055179999999998</v>
      </c>
      <c r="F1670" t="s">
        <v>49</v>
      </c>
      <c r="G1670">
        <v>-307.41719999999998</v>
      </c>
      <c r="H1670" s="1">
        <v>2.6257990000000001E-6</v>
      </c>
      <c r="I1670">
        <v>284.88080000000002</v>
      </c>
      <c r="J1670">
        <v>-282.26350000000002</v>
      </c>
      <c r="K1670">
        <v>1.1089249999999999</v>
      </c>
      <c r="L1670">
        <v>284.22089999999997</v>
      </c>
      <c r="M1670">
        <v>-0.99815670000000001</v>
      </c>
      <c r="N1670">
        <v>0</v>
      </c>
      <c r="O1670">
        <v>6.0205399999999999E-2</v>
      </c>
      <c r="P1670">
        <v>-0.98693790000000003</v>
      </c>
      <c r="Q1670">
        <v>0.1522934</v>
      </c>
      <c r="R1670">
        <v>5.2538910000000001E-2</v>
      </c>
      <c r="S1670">
        <v>-3.056152</v>
      </c>
      <c r="T1670">
        <v>-0.1324497</v>
      </c>
      <c r="U1670">
        <v>8.1939699999999893E-2</v>
      </c>
      <c r="V1670">
        <v>-6.9709169999999897E-3</v>
      </c>
      <c r="W1670">
        <v>0.1598531</v>
      </c>
      <c r="X1670">
        <v>0.9871162</v>
      </c>
      <c r="Y1670">
        <v>-3.3344730000000003E-2</v>
      </c>
      <c r="Z1670">
        <v>-3.3279899999999999E-3</v>
      </c>
      <c r="AA1670">
        <v>0.9994383</v>
      </c>
      <c r="AB1670">
        <v>40</v>
      </c>
      <c r="AC1670">
        <v>-25.153699999999901</v>
      </c>
      <c r="AD1670">
        <v>-1.1089223742009999</v>
      </c>
      <c r="AE1670">
        <v>0.65990000000005</v>
      </c>
      <c r="AF1670">
        <v>-0.854071200100463</v>
      </c>
      <c r="AG1670">
        <v>-1.1089223742009999</v>
      </c>
      <c r="AH1670">
        <v>25.099051436816499</v>
      </c>
      <c r="AI1670">
        <v>92.528326508734295</v>
      </c>
      <c r="AJ1670">
        <v>91.948910345957202</v>
      </c>
      <c r="AK1670">
        <v>25.138049436557399</v>
      </c>
      <c r="AL1670">
        <v>80.801630271887703</v>
      </c>
      <c r="AM1670">
        <v>90.404610403665899</v>
      </c>
      <c r="AN1670">
        <v>0.99999999978293497</v>
      </c>
    </row>
    <row r="1671" spans="1:40" x14ac:dyDescent="0.25">
      <c r="A1671" t="str">
        <f>"20190312172648509"</f>
        <v>20190312172648509</v>
      </c>
      <c r="B1671" t="str">
        <f>"1552382808500120"</f>
        <v>1552382808500120</v>
      </c>
      <c r="C1671" t="s">
        <v>40</v>
      </c>
      <c r="D1671">
        <v>3.157346</v>
      </c>
      <c r="E1671">
        <v>0.49055690000000002</v>
      </c>
      <c r="F1671" t="s">
        <v>49</v>
      </c>
      <c r="G1671">
        <v>-307.67770000000002</v>
      </c>
      <c r="H1671" s="1">
        <v>2.5779989999999999E-6</v>
      </c>
      <c r="I1671">
        <v>284.89879999999999</v>
      </c>
      <c r="J1671">
        <v>-282.6429</v>
      </c>
      <c r="K1671">
        <v>1.1089199999999999</v>
      </c>
      <c r="L1671">
        <v>284.24380000000002</v>
      </c>
      <c r="M1671">
        <v>-0.9981565</v>
      </c>
      <c r="N1671">
        <v>0</v>
      </c>
      <c r="O1671">
        <v>6.0205149999999999E-2</v>
      </c>
      <c r="P1671">
        <v>-0.98696209999999995</v>
      </c>
      <c r="Q1671">
        <v>0.1522724</v>
      </c>
      <c r="R1671">
        <v>5.2143630000000003E-2</v>
      </c>
      <c r="S1671">
        <v>-3.055939</v>
      </c>
      <c r="T1671">
        <v>-0.13334260000000001</v>
      </c>
      <c r="U1671">
        <v>8.151245E-2</v>
      </c>
      <c r="V1671">
        <v>-7.3667769999999997E-3</v>
      </c>
      <c r="W1671">
        <v>0.1598475</v>
      </c>
      <c r="X1671">
        <v>0.9871143</v>
      </c>
      <c r="Y1671">
        <v>-3.3480919999999997E-2</v>
      </c>
      <c r="Z1671">
        <v>-3.3536059999999999E-3</v>
      </c>
      <c r="AA1671">
        <v>0.99943380000000004</v>
      </c>
      <c r="AB1671">
        <v>40</v>
      </c>
      <c r="AC1671">
        <v>-25.034800000000001</v>
      </c>
      <c r="AD1671">
        <v>-1.1089174220010001</v>
      </c>
      <c r="AE1671">
        <v>0.65499999999997205</v>
      </c>
      <c r="AF1671">
        <v>-0.85178642939155103</v>
      </c>
      <c r="AG1671">
        <v>-1.1089174220010001</v>
      </c>
      <c r="AH1671">
        <v>24.979842165108401</v>
      </c>
      <c r="AI1671">
        <v>92.540359014567599</v>
      </c>
      <c r="AJ1671">
        <v>91.952969317163706</v>
      </c>
      <c r="AK1671">
        <v>25.018947870840599</v>
      </c>
      <c r="AL1671">
        <v>80.8019559310831</v>
      </c>
      <c r="AM1671">
        <v>90.427587154691494</v>
      </c>
      <c r="AN1671">
        <v>1.0000000669620499</v>
      </c>
    </row>
    <row r="1672" spans="1:40" x14ac:dyDescent="0.25">
      <c r="A1672" t="str">
        <f>"20190312172648531"</f>
        <v>20190312172648531</v>
      </c>
      <c r="B1672" t="str">
        <f>"1552382808520620"</f>
        <v>1552382808520620</v>
      </c>
      <c r="C1672" t="s">
        <v>40</v>
      </c>
      <c r="D1672">
        <v>3.1505679999999998</v>
      </c>
      <c r="E1672">
        <v>0.4905775</v>
      </c>
      <c r="F1672" t="s">
        <v>49</v>
      </c>
      <c r="G1672">
        <v>-308.17579999999998</v>
      </c>
      <c r="H1672" s="1">
        <v>2.4883369999999999E-6</v>
      </c>
      <c r="I1672">
        <v>284.91390000000001</v>
      </c>
      <c r="J1672">
        <v>-283.0283</v>
      </c>
      <c r="K1672">
        <v>1.108922</v>
      </c>
      <c r="L1672">
        <v>284.26710000000003</v>
      </c>
      <c r="M1672">
        <v>-0.99815659999999895</v>
      </c>
      <c r="N1672">
        <v>0</v>
      </c>
      <c r="O1672">
        <v>6.0204439999999998E-2</v>
      </c>
      <c r="P1672">
        <v>-0.987012</v>
      </c>
      <c r="Q1672">
        <v>0.1520369</v>
      </c>
      <c r="R1672">
        <v>5.1888669999999998E-2</v>
      </c>
      <c r="S1672">
        <v>-3.0558779999999999</v>
      </c>
      <c r="T1672">
        <v>-0.13272</v>
      </c>
      <c r="U1672">
        <v>8.0200199999999999E-2</v>
      </c>
      <c r="V1672">
        <v>-7.6235799999999996E-3</v>
      </c>
      <c r="W1672">
        <v>0.1596272</v>
      </c>
      <c r="X1672">
        <v>0.98714789999999997</v>
      </c>
      <c r="Y1672">
        <v>-3.3908960000000002E-2</v>
      </c>
      <c r="Z1672">
        <v>-3.3473130000000002E-3</v>
      </c>
      <c r="AA1672">
        <v>0.99941930000000001</v>
      </c>
      <c r="AB1672">
        <v>40</v>
      </c>
      <c r="AC1672">
        <v>-25.147499999999901</v>
      </c>
      <c r="AD1672">
        <v>-1.108919511663</v>
      </c>
      <c r="AE1672">
        <v>0.64679999999998405</v>
      </c>
      <c r="AF1672">
        <v>-0.86672476775247398</v>
      </c>
      <c r="AG1672">
        <v>-1.108919511663</v>
      </c>
      <c r="AH1672">
        <v>25.0920632858099</v>
      </c>
      <c r="AI1672">
        <v>92.528978778307902</v>
      </c>
      <c r="AJ1672">
        <v>91.978312206484603</v>
      </c>
      <c r="AK1672">
        <v>25.131505212491199</v>
      </c>
      <c r="AL1672">
        <v>80.814741468520893</v>
      </c>
      <c r="AM1672">
        <v>90.442477034303593</v>
      </c>
      <c r="AN1672">
        <v>0.99999996921313195</v>
      </c>
    </row>
    <row r="1673" spans="1:40" x14ac:dyDescent="0.25">
      <c r="A1673" t="str">
        <f>"20190312172648553"</f>
        <v>20190312172648553</v>
      </c>
      <c r="B1673" t="str">
        <f>"1552382808550872"</f>
        <v>1552382808550872</v>
      </c>
      <c r="C1673" t="s">
        <v>40</v>
      </c>
      <c r="D1673">
        <v>3.192469</v>
      </c>
      <c r="E1673">
        <v>0.49058819999999997</v>
      </c>
      <c r="F1673" t="s">
        <v>49</v>
      </c>
      <c r="G1673">
        <v>-308.49149999999997</v>
      </c>
      <c r="H1673" s="1">
        <v>2.4307439999999998E-6</v>
      </c>
      <c r="I1673">
        <v>284.93209999999999</v>
      </c>
      <c r="J1673">
        <v>-283.43099999999998</v>
      </c>
      <c r="K1673">
        <v>1.1089199999999999</v>
      </c>
      <c r="L1673">
        <v>284.29140000000001</v>
      </c>
      <c r="M1673">
        <v>-0.9981565</v>
      </c>
      <c r="N1673">
        <v>0</v>
      </c>
      <c r="O1673">
        <v>6.0204069999999998E-2</v>
      </c>
      <c r="P1673">
        <v>-0.98705830000000006</v>
      </c>
      <c r="Q1673">
        <v>0.1517655</v>
      </c>
      <c r="R1673">
        <v>5.1801739999999999E-2</v>
      </c>
      <c r="S1673">
        <v>-3.0557249999999998</v>
      </c>
      <c r="T1673">
        <v>-0.13307620000000001</v>
      </c>
      <c r="U1673">
        <v>7.9803470000000001E-2</v>
      </c>
      <c r="V1673">
        <v>-7.7128650000000002E-3</v>
      </c>
      <c r="W1673">
        <v>0.1593725</v>
      </c>
      <c r="X1673">
        <v>0.98718839999999997</v>
      </c>
      <c r="Y1673">
        <v>-3.4036370000000003E-2</v>
      </c>
      <c r="Z1673">
        <v>-3.3592209999999999E-3</v>
      </c>
      <c r="AA1673">
        <v>0.99941489999999999</v>
      </c>
      <c r="AB1673">
        <v>41</v>
      </c>
      <c r="AC1673">
        <v>-25.060499999999902</v>
      </c>
      <c r="AD1673">
        <v>-1.108917569256</v>
      </c>
      <c r="AE1673">
        <v>0.64069999999998095</v>
      </c>
      <c r="AF1673">
        <v>-0.86755331627340404</v>
      </c>
      <c r="AG1673">
        <v>-1.108917569256</v>
      </c>
      <c r="AH1673">
        <v>25.0046857904677</v>
      </c>
      <c r="AI1673">
        <v>92.537786699947802</v>
      </c>
      <c r="AJ1673">
        <v>91.987116044390405</v>
      </c>
      <c r="AK1673">
        <v>25.044293929196701</v>
      </c>
      <c r="AL1673">
        <v>80.829524323367806</v>
      </c>
      <c r="AM1673">
        <v>90.447640613428305</v>
      </c>
      <c r="AN1673">
        <v>1.0000000095686501</v>
      </c>
    </row>
    <row r="1674" spans="1:40" x14ac:dyDescent="0.25">
      <c r="A1674" t="str">
        <f>"20190312172648576"</f>
        <v>20190312172648576</v>
      </c>
      <c r="B1674" t="str">
        <f>"1552382808570393"</f>
        <v>1552382808570393</v>
      </c>
      <c r="C1674" t="s">
        <v>40</v>
      </c>
      <c r="D1674">
        <v>3.1691150000000001</v>
      </c>
      <c r="E1674">
        <v>0.49059649999999999</v>
      </c>
      <c r="F1674" t="s">
        <v>49</v>
      </c>
      <c r="G1674">
        <v>-308.87220000000002</v>
      </c>
      <c r="H1674" s="1">
        <v>2.3614579999999999E-6</v>
      </c>
      <c r="I1674">
        <v>284.95229999999998</v>
      </c>
      <c r="J1674">
        <v>-283.83260000000001</v>
      </c>
      <c r="K1674">
        <v>1.1089180000000001</v>
      </c>
      <c r="L1674">
        <v>284.31560000000002</v>
      </c>
      <c r="M1674">
        <v>-0.99815640000000005</v>
      </c>
      <c r="N1674">
        <v>0</v>
      </c>
      <c r="O1674">
        <v>6.0203640000000003E-2</v>
      </c>
      <c r="P1674">
        <v>-0.98705659999999895</v>
      </c>
      <c r="Q1674">
        <v>0.15171229999999999</v>
      </c>
      <c r="R1674">
        <v>5.1989960000000002E-2</v>
      </c>
      <c r="S1674">
        <v>-3.0556030000000001</v>
      </c>
      <c r="T1674">
        <v>-0.1331861</v>
      </c>
      <c r="U1674">
        <v>7.9376219999999997E-2</v>
      </c>
      <c r="V1674">
        <v>-7.5246189999999998E-3</v>
      </c>
      <c r="W1674">
        <v>0.15933530000000001</v>
      </c>
      <c r="X1674">
        <v>0.98719579999999996</v>
      </c>
      <c r="Y1674">
        <v>-3.4174259999999998E-2</v>
      </c>
      <c r="Z1674">
        <v>-3.3651219999999999E-3</v>
      </c>
      <c r="AA1674">
        <v>0.99941020000000003</v>
      </c>
      <c r="AB1674">
        <v>41</v>
      </c>
      <c r="AC1674">
        <v>-25.0396</v>
      </c>
      <c r="AD1674">
        <v>-1.108915638542</v>
      </c>
      <c r="AE1674">
        <v>0.63669999999996196</v>
      </c>
      <c r="AF1674">
        <v>-0.87026899998274299</v>
      </c>
      <c r="AG1674">
        <v>-1.108915638542</v>
      </c>
      <c r="AH1674">
        <v>24.983542802645399</v>
      </c>
      <c r="AI1674">
        <v>92.539914981587501</v>
      </c>
      <c r="AJ1674">
        <v>91.995016808459795</v>
      </c>
      <c r="AK1674">
        <v>25.023278622062101</v>
      </c>
      <c r="AL1674">
        <v>80.831682788413104</v>
      </c>
      <c r="AM1674">
        <v>90.4367123139791</v>
      </c>
      <c r="AN1674">
        <v>0.99999995262741104</v>
      </c>
    </row>
    <row r="1675" spans="1:40" x14ac:dyDescent="0.25">
      <c r="A1675" t="str">
        <f>"20190312172648599"</f>
        <v>20190312172648599</v>
      </c>
      <c r="B1675" t="str">
        <f>"1552382808590888"</f>
        <v>1552382808590888</v>
      </c>
      <c r="C1675" t="s">
        <v>40</v>
      </c>
      <c r="D1675">
        <v>3.2200769999999999</v>
      </c>
      <c r="E1675">
        <v>0.49056939999999999</v>
      </c>
      <c r="F1675" t="s">
        <v>49</v>
      </c>
      <c r="G1675">
        <v>-309.32839999999999</v>
      </c>
      <c r="H1675" s="1">
        <v>2.2779830000000002E-6</v>
      </c>
      <c r="I1675">
        <v>284.98149999999998</v>
      </c>
      <c r="J1675">
        <v>-284.25900000000001</v>
      </c>
      <c r="K1675">
        <v>1.108916</v>
      </c>
      <c r="L1675">
        <v>284.34129999999999</v>
      </c>
      <c r="M1675">
        <v>-0.99815620000000005</v>
      </c>
      <c r="N1675">
        <v>0</v>
      </c>
      <c r="O1675">
        <v>6.0203090000000001E-2</v>
      </c>
      <c r="P1675">
        <v>-0.98714630000000003</v>
      </c>
      <c r="Q1675">
        <v>0.15102070000000001</v>
      </c>
      <c r="R1675">
        <v>5.2297580000000003E-2</v>
      </c>
      <c r="S1675">
        <v>-3.0555729999999999</v>
      </c>
      <c r="T1675">
        <v>-0.132899499999999</v>
      </c>
      <c r="U1675">
        <v>7.9803470000000001E-2</v>
      </c>
      <c r="V1675">
        <v>-7.2222609999999998E-3</v>
      </c>
      <c r="W1675">
        <v>0.15866160000000001</v>
      </c>
      <c r="X1675">
        <v>0.98730660000000003</v>
      </c>
      <c r="Y1675">
        <v>-3.4034330000000002E-2</v>
      </c>
      <c r="Z1675">
        <v>-3.3548470000000002E-3</v>
      </c>
      <c r="AA1675">
        <v>0.99941500000000005</v>
      </c>
      <c r="AB1675">
        <v>41</v>
      </c>
      <c r="AC1675">
        <v>-25.069399999999899</v>
      </c>
      <c r="AD1675">
        <v>-1.108913722017</v>
      </c>
      <c r="AE1675">
        <v>0.640199999999992</v>
      </c>
      <c r="AF1675">
        <v>-0.86856341588143304</v>
      </c>
      <c r="AG1675">
        <v>-1.108913722017</v>
      </c>
      <c r="AH1675">
        <v>25.013558030941201</v>
      </c>
      <c r="AI1675">
        <v>92.536876474307107</v>
      </c>
      <c r="AJ1675">
        <v>91.988722724377695</v>
      </c>
      <c r="AK1675">
        <v>25.053186971272702</v>
      </c>
      <c r="AL1675">
        <v>80.870780699333693</v>
      </c>
      <c r="AM1675">
        <v>90.419117721942897</v>
      </c>
      <c r="AN1675">
        <v>0.99999999338603596</v>
      </c>
    </row>
    <row r="1676" spans="1:40" x14ac:dyDescent="0.25">
      <c r="A1676" t="str">
        <f>"20190312172648621"</f>
        <v>20190312172648621</v>
      </c>
      <c r="B1676" t="str">
        <f>"1552382808610408"</f>
        <v>1552382808610408</v>
      </c>
      <c r="C1676" t="s">
        <v>40</v>
      </c>
      <c r="D1676">
        <v>3.300249</v>
      </c>
      <c r="E1676">
        <v>0.49057139999999999</v>
      </c>
      <c r="F1676" t="s">
        <v>49</v>
      </c>
      <c r="G1676">
        <v>-309.34980000000002</v>
      </c>
      <c r="H1676" s="1">
        <v>2.272239E-6</v>
      </c>
      <c r="I1676">
        <v>285.00369999999998</v>
      </c>
      <c r="J1676">
        <v>-284.6628</v>
      </c>
      <c r="K1676">
        <v>1.10891299999999</v>
      </c>
      <c r="L1676">
        <v>284.3657</v>
      </c>
      <c r="M1676">
        <v>-0.99815609999999999</v>
      </c>
      <c r="N1676">
        <v>0</v>
      </c>
      <c r="O1676">
        <v>6.0202550000000001E-2</v>
      </c>
      <c r="P1676">
        <v>-0.98717619999999895</v>
      </c>
      <c r="Q1676">
        <v>0.1507241</v>
      </c>
      <c r="R1676">
        <v>5.2587389999999998E-2</v>
      </c>
      <c r="S1676">
        <v>-3.0554199999999998</v>
      </c>
      <c r="T1676">
        <v>-0.1350374</v>
      </c>
      <c r="U1676">
        <v>8.0657960000000001E-2</v>
      </c>
      <c r="V1676">
        <v>-6.9344569999999998E-3</v>
      </c>
      <c r="W1676">
        <v>0.158382</v>
      </c>
      <c r="X1676">
        <v>0.98735360000000005</v>
      </c>
      <c r="Y1676">
        <v>-3.3750570000000001E-2</v>
      </c>
      <c r="Z1676">
        <v>-3.4026249999999998E-3</v>
      </c>
      <c r="AA1676">
        <v>0.99942450000000005</v>
      </c>
      <c r="AB1676">
        <v>41</v>
      </c>
      <c r="AC1676">
        <v>-24.687000000000001</v>
      </c>
      <c r="AD1676">
        <v>-1.10891072776099</v>
      </c>
      <c r="AE1676">
        <v>0.63799999999997603</v>
      </c>
      <c r="AF1676">
        <v>-0.84771297698520498</v>
      </c>
      <c r="AG1676">
        <v>-1.10891072776099</v>
      </c>
      <c r="AH1676">
        <v>24.6309652304125</v>
      </c>
      <c r="AI1676">
        <v>92.576249432368698</v>
      </c>
      <c r="AJ1676">
        <v>91.971145336430695</v>
      </c>
      <c r="AK1676">
        <v>24.670483344987101</v>
      </c>
      <c r="AL1676">
        <v>80.887006167829895</v>
      </c>
      <c r="AM1676">
        <v>90.402397466114493</v>
      </c>
      <c r="AN1676">
        <v>1.0000000380254199</v>
      </c>
    </row>
    <row r="1677" spans="1:40" x14ac:dyDescent="0.25">
      <c r="A1677" t="str">
        <f>"20190312172648643"</f>
        <v>20190312172648643</v>
      </c>
      <c r="B1677" t="str">
        <f>"1552382808640664"</f>
        <v>1552382808640664</v>
      </c>
      <c r="C1677" t="s">
        <v>40</v>
      </c>
      <c r="D1677">
        <v>3.198331</v>
      </c>
      <c r="E1677">
        <v>0.49056569999999999</v>
      </c>
      <c r="F1677" t="s">
        <v>49</v>
      </c>
      <c r="G1677">
        <v>-309.67160000000001</v>
      </c>
      <c r="H1677" s="1">
        <v>2.2125570000000001E-6</v>
      </c>
      <c r="I1677">
        <v>285.03339999999997</v>
      </c>
      <c r="J1677">
        <v>-285.06580000000002</v>
      </c>
      <c r="K1677">
        <v>1.1089070000000001</v>
      </c>
      <c r="L1677">
        <v>284.39</v>
      </c>
      <c r="M1677">
        <v>-0.99815600000000004</v>
      </c>
      <c r="N1677">
        <v>0</v>
      </c>
      <c r="O1677">
        <v>6.020201E-2</v>
      </c>
      <c r="P1677">
        <v>-0.98719319999999999</v>
      </c>
      <c r="Q1677">
        <v>0.15054049999999999</v>
      </c>
      <c r="R1677">
        <v>5.2795969999999998E-2</v>
      </c>
      <c r="S1677">
        <v>-3.0552980000000001</v>
      </c>
      <c r="T1677">
        <v>-0.1354746</v>
      </c>
      <c r="U1677">
        <v>8.1573489999999999E-2</v>
      </c>
      <c r="V1677">
        <v>-6.7270119999999897E-3</v>
      </c>
      <c r="W1677">
        <v>0.158214299999999</v>
      </c>
      <c r="X1677">
        <v>0.98738190000000003</v>
      </c>
      <c r="Y1677">
        <v>-3.3449399999999997E-2</v>
      </c>
      <c r="Z1677">
        <v>-3.40705E-3</v>
      </c>
      <c r="AA1677">
        <v>0.99943459999999995</v>
      </c>
      <c r="AB1677">
        <v>41</v>
      </c>
      <c r="AC1677">
        <v>-24.605799999999899</v>
      </c>
      <c r="AD1677">
        <v>-1.10890478744299</v>
      </c>
      <c r="AE1677">
        <v>0.64339999999998498</v>
      </c>
      <c r="AF1677">
        <v>-0.83743068108489005</v>
      </c>
      <c r="AG1677">
        <v>-1.10890478744299</v>
      </c>
      <c r="AH1677">
        <v>24.550075244481899</v>
      </c>
      <c r="AI1677">
        <v>92.584739571678</v>
      </c>
      <c r="AJ1677">
        <v>91.953665980172005</v>
      </c>
      <c r="AK1677">
        <v>24.589370762241099</v>
      </c>
      <c r="AL1677">
        <v>80.896737173230093</v>
      </c>
      <c r="AM1677">
        <v>90.3903488944337</v>
      </c>
      <c r="AN1677">
        <v>1.0000000169312699</v>
      </c>
    </row>
    <row r="1678" spans="1:40" x14ac:dyDescent="0.25">
      <c r="A1678" t="str">
        <f>"20190312172648666"</f>
        <v>20190312172648666</v>
      </c>
      <c r="B1678" t="str">
        <f>"1552382808660184"</f>
        <v>1552382808660184</v>
      </c>
      <c r="C1678" t="s">
        <v>40</v>
      </c>
      <c r="D1678">
        <v>3.2173259999999999</v>
      </c>
      <c r="E1678">
        <v>0.49055900000000002</v>
      </c>
      <c r="F1678" t="s">
        <v>49</v>
      </c>
      <c r="G1678">
        <v>-310.10250000000002</v>
      </c>
      <c r="H1678" s="1">
        <v>2.2233540000000002E-6</v>
      </c>
      <c r="I1678">
        <v>285.06369999999998</v>
      </c>
      <c r="J1678">
        <v>-285.47340000000003</v>
      </c>
      <c r="K1678">
        <v>1.1089070000000001</v>
      </c>
      <c r="L1678">
        <v>284.41460000000001</v>
      </c>
      <c r="M1678">
        <v>-0.99815600000000004</v>
      </c>
      <c r="N1678">
        <v>0</v>
      </c>
      <c r="O1678">
        <v>6.0201280000000003E-2</v>
      </c>
      <c r="P1678">
        <v>-0.98716409999999999</v>
      </c>
      <c r="Q1678">
        <v>0.15069080000000001</v>
      </c>
      <c r="R1678">
        <v>5.2910039999999998E-2</v>
      </c>
      <c r="S1678">
        <v>-3.055145</v>
      </c>
      <c r="T1678">
        <v>-0.13531589999999999</v>
      </c>
      <c r="U1678">
        <v>8.221436E-2</v>
      </c>
      <c r="V1678">
        <v>-6.6105419999999996E-3</v>
      </c>
      <c r="W1678">
        <v>0.15838050000000001</v>
      </c>
      <c r="X1678">
        <v>0.98735600000000001</v>
      </c>
      <c r="Y1678">
        <v>-3.323827E-2</v>
      </c>
      <c r="Z1678">
        <v>-3.398514E-3</v>
      </c>
      <c r="AA1678">
        <v>0.99944169999999999</v>
      </c>
      <c r="AB1678">
        <v>41</v>
      </c>
      <c r="AC1678">
        <v>-24.629099999999902</v>
      </c>
      <c r="AD1678">
        <v>-1.1089047766459901</v>
      </c>
      <c r="AE1678">
        <v>0.64909999999997503</v>
      </c>
      <c r="AF1678">
        <v>-0.833137755619764</v>
      </c>
      <c r="AG1678">
        <v>-1.1089047766459901</v>
      </c>
      <c r="AH1678">
        <v>24.573723617696501</v>
      </c>
      <c r="AI1678">
        <v>92.5822736848245</v>
      </c>
      <c r="AJ1678">
        <v>91.941789557693298</v>
      </c>
      <c r="AK1678">
        <v>24.612835691208801</v>
      </c>
      <c r="AL1678">
        <v>80.8870926436866</v>
      </c>
      <c r="AM1678">
        <v>90.383600745542395</v>
      </c>
      <c r="AN1678">
        <v>0.999999976390891</v>
      </c>
    </row>
    <row r="1679" spans="1:40" x14ac:dyDescent="0.25">
      <c r="A1679" t="str">
        <f>"20190312172648701"</f>
        <v>20190312172648701</v>
      </c>
      <c r="B1679" t="str">
        <f>"1552382808690440"</f>
        <v>1552382808690440</v>
      </c>
      <c r="C1679" t="s">
        <v>40</v>
      </c>
      <c r="D1679">
        <v>3.1999909999999998</v>
      </c>
      <c r="E1679">
        <v>0.49056680000000003</v>
      </c>
      <c r="F1679" t="s">
        <v>49</v>
      </c>
      <c r="G1679">
        <v>-310.68849999999998</v>
      </c>
      <c r="H1679" s="1">
        <v>2.4803510000000001E-6</v>
      </c>
      <c r="I1679">
        <v>285.09609999999998</v>
      </c>
      <c r="J1679">
        <v>-286.12299999999999</v>
      </c>
      <c r="K1679">
        <v>1.108908</v>
      </c>
      <c r="L1679">
        <v>284.45370000000003</v>
      </c>
      <c r="M1679">
        <v>-0.99815600000000004</v>
      </c>
      <c r="N1679">
        <v>0</v>
      </c>
      <c r="O1679">
        <v>6.0200160000000003E-2</v>
      </c>
      <c r="P1679">
        <v>-0.9871991</v>
      </c>
      <c r="Q1679">
        <v>0.1505618</v>
      </c>
      <c r="R1679">
        <v>5.2625020000000002E-2</v>
      </c>
      <c r="S1679">
        <v>-3.0550839999999999</v>
      </c>
      <c r="T1679">
        <v>-0.13435610000000001</v>
      </c>
      <c r="U1679">
        <v>8.2580570000000006E-2</v>
      </c>
      <c r="V1679">
        <v>-6.8964380000000004E-3</v>
      </c>
      <c r="W1679">
        <v>0.1582779</v>
      </c>
      <c r="X1679">
        <v>0.98737050000000004</v>
      </c>
      <c r="Y1679">
        <v>-3.3118309999999998E-2</v>
      </c>
      <c r="Z1679">
        <v>-3.371808E-3</v>
      </c>
      <c r="AA1679">
        <v>0.99944569999999999</v>
      </c>
      <c r="AB1679">
        <v>41</v>
      </c>
      <c r="AC1679">
        <v>-24.565499999999901</v>
      </c>
      <c r="AD1679">
        <v>-1.1089055196490001</v>
      </c>
      <c r="AE1679">
        <v>0.64239999999995201</v>
      </c>
      <c r="AF1679">
        <v>-0.83595472095552803</v>
      </c>
      <c r="AG1679">
        <v>-1.1089055196490001</v>
      </c>
      <c r="AH1679">
        <v>24.509708207043701</v>
      </c>
      <c r="AI1679">
        <v>92.588992865472704</v>
      </c>
      <c r="AJ1679">
        <v>91.953434830591604</v>
      </c>
      <c r="AK1679">
        <v>24.549018068782701</v>
      </c>
      <c r="AL1679">
        <v>80.893046315245201</v>
      </c>
      <c r="AM1679">
        <v>90.4001844957222</v>
      </c>
      <c r="AN1679">
        <v>0.99999997937787299</v>
      </c>
    </row>
    <row r="1680" spans="1:40" x14ac:dyDescent="0.25">
      <c r="A1680" t="str">
        <f>"20190312172648721"</f>
        <v>20190312172648721</v>
      </c>
      <c r="B1680" t="str">
        <f>"1552382808710940"</f>
        <v>1552382808710940</v>
      </c>
      <c r="C1680" t="s">
        <v>40</v>
      </c>
      <c r="D1680">
        <v>3.2030340000000002</v>
      </c>
      <c r="E1680">
        <v>0.49055389999999999</v>
      </c>
      <c r="F1680" t="s">
        <v>49</v>
      </c>
      <c r="G1680">
        <v>-311.3954</v>
      </c>
      <c r="H1680" s="1">
        <v>2.791081E-6</v>
      </c>
      <c r="I1680">
        <v>285.1275</v>
      </c>
      <c r="J1680">
        <v>-286.50119999999998</v>
      </c>
      <c r="K1680">
        <v>1.108903</v>
      </c>
      <c r="L1680">
        <v>284.47660000000002</v>
      </c>
      <c r="M1680">
        <v>-0.99815580000000004</v>
      </c>
      <c r="N1680">
        <v>0</v>
      </c>
      <c r="O1680">
        <v>6.0199799999999998E-2</v>
      </c>
      <c r="P1680">
        <v>-0.98726670000000005</v>
      </c>
      <c r="Q1680">
        <v>0.15032329999999999</v>
      </c>
      <c r="R1680">
        <v>5.2036819999999998E-2</v>
      </c>
      <c r="S1680">
        <v>-3.0549620000000002</v>
      </c>
      <c r="T1680">
        <v>-0.134046</v>
      </c>
      <c r="U1680">
        <v>8.1451419999999997E-2</v>
      </c>
      <c r="V1680">
        <v>-7.4871099999999999E-3</v>
      </c>
      <c r="W1680">
        <v>0.158054799999999</v>
      </c>
      <c r="X1680">
        <v>0.987402</v>
      </c>
      <c r="Y1680">
        <v>-3.3486080000000001E-2</v>
      </c>
      <c r="Z1680">
        <v>-3.3722380000000001E-3</v>
      </c>
      <c r="AA1680">
        <v>0.99943349999999997</v>
      </c>
      <c r="AB1680">
        <v>41</v>
      </c>
      <c r="AC1680">
        <v>-24.894200000000001</v>
      </c>
      <c r="AD1680">
        <v>-1.1089002089190001</v>
      </c>
      <c r="AE1680">
        <v>0.65089999999997805</v>
      </c>
      <c r="AF1680">
        <v>-0.84727211622860998</v>
      </c>
      <c r="AG1680">
        <v>-1.1089002089190001</v>
      </c>
      <c r="AH1680">
        <v>24.8389808667302</v>
      </c>
      <c r="AI1680">
        <v>92.554705685483697</v>
      </c>
      <c r="AJ1680">
        <v>91.953634966855205</v>
      </c>
      <c r="AK1680">
        <v>24.878153070717801</v>
      </c>
      <c r="AL1680">
        <v>80.9059925419959</v>
      </c>
      <c r="AM1680">
        <v>90.434444716984601</v>
      </c>
      <c r="AN1680">
        <v>1.0000000431115901</v>
      </c>
    </row>
    <row r="1681" spans="1:40" x14ac:dyDescent="0.25">
      <c r="A1681" t="str">
        <f>"20190312172648743"</f>
        <v>20190312172648743</v>
      </c>
      <c r="B1681" t="str">
        <f>"1552382808740217"</f>
        <v>1552382808740217</v>
      </c>
      <c r="C1681" t="s">
        <v>40</v>
      </c>
      <c r="D1681">
        <v>3.2007979999999998</v>
      </c>
      <c r="E1681">
        <v>0.49052829999999897</v>
      </c>
      <c r="F1681" t="s">
        <v>49</v>
      </c>
      <c r="G1681">
        <v>-311.73180000000002</v>
      </c>
      <c r="H1681" s="1">
        <v>2.9398280000000001E-6</v>
      </c>
      <c r="I1681">
        <v>285.13290000000001</v>
      </c>
      <c r="J1681">
        <v>-286.90629999999999</v>
      </c>
      <c r="K1681">
        <v>1.1088960000000001</v>
      </c>
      <c r="L1681">
        <v>284.50099999999998</v>
      </c>
      <c r="M1681">
        <v>-0.99815600000000004</v>
      </c>
      <c r="N1681">
        <v>0</v>
      </c>
      <c r="O1681">
        <v>6.0192009999999997E-2</v>
      </c>
      <c r="P1681">
        <v>-0.98732600000000004</v>
      </c>
      <c r="Q1681">
        <v>0.14996579999999901</v>
      </c>
      <c r="R1681">
        <v>5.1941439999999998E-2</v>
      </c>
      <c r="S1681">
        <v>-3.0549930000000001</v>
      </c>
      <c r="T1681">
        <v>-0.13426840000000001</v>
      </c>
      <c r="U1681">
        <v>7.9467769999999993E-2</v>
      </c>
      <c r="V1681">
        <v>-7.5793409999999999E-3</v>
      </c>
      <c r="W1681">
        <v>0.1577134</v>
      </c>
      <c r="X1681">
        <v>0.98745579999999999</v>
      </c>
      <c r="Y1681">
        <v>-3.4126129999999998E-2</v>
      </c>
      <c r="Z1681">
        <v>-3.391551E-3</v>
      </c>
      <c r="AA1681">
        <v>0.99941179999999996</v>
      </c>
      <c r="AB1681">
        <v>41</v>
      </c>
      <c r="AC1681">
        <v>-24.825500000000002</v>
      </c>
      <c r="AD1681">
        <v>-1.108893060172</v>
      </c>
      <c r="AE1681">
        <v>0.63190000000002999</v>
      </c>
      <c r="AF1681">
        <v>-0.86187005551207396</v>
      </c>
      <c r="AG1681">
        <v>-1.108893060172</v>
      </c>
      <c r="AH1681">
        <v>24.7691335347387</v>
      </c>
      <c r="AI1681">
        <v>92.561823351926904</v>
      </c>
      <c r="AJ1681">
        <v>91.992867500427394</v>
      </c>
      <c r="AK1681">
        <v>24.808918555092301</v>
      </c>
      <c r="AL1681">
        <v>80.925801013703605</v>
      </c>
      <c r="AM1681">
        <v>90.439772314702907</v>
      </c>
      <c r="AN1681">
        <v>0.99999995995159596</v>
      </c>
    </row>
    <row r="1682" spans="1:40" x14ac:dyDescent="0.25">
      <c r="A1682" t="str">
        <f>"20190312172648765"</f>
        <v>20190312172648765</v>
      </c>
      <c r="B1682" t="str">
        <f>"1552382808760713"</f>
        <v>1552382808760713</v>
      </c>
      <c r="C1682" t="s">
        <v>40</v>
      </c>
      <c r="D1682">
        <v>3.2050160000000001</v>
      </c>
      <c r="E1682">
        <v>0.49051889999999998</v>
      </c>
      <c r="F1682" t="s">
        <v>49</v>
      </c>
      <c r="G1682">
        <v>-312.04840000000002</v>
      </c>
      <c r="H1682" s="1">
        <v>3.0788189999999898E-6</v>
      </c>
      <c r="I1682">
        <v>285.14870000000002</v>
      </c>
      <c r="J1682">
        <v>-287.32060000000001</v>
      </c>
      <c r="K1682">
        <v>1.1089070000000001</v>
      </c>
      <c r="L1682">
        <v>284.52600000000001</v>
      </c>
      <c r="M1682">
        <v>-0.99815779999999998</v>
      </c>
      <c r="N1682">
        <v>0</v>
      </c>
      <c r="O1682">
        <v>6.0159919999999999E-2</v>
      </c>
      <c r="P1682">
        <v>-0.98739109999999997</v>
      </c>
      <c r="Q1682">
        <v>0.14956849999999999</v>
      </c>
      <c r="R1682">
        <v>5.1848569999999997E-2</v>
      </c>
      <c r="S1682">
        <v>-3.05484</v>
      </c>
      <c r="T1682">
        <v>-0.13473379999999999</v>
      </c>
      <c r="U1682">
        <v>7.8704830000000003E-2</v>
      </c>
      <c r="V1682">
        <v>-7.6494930000000003E-3</v>
      </c>
      <c r="W1682">
        <v>0.15733529999999901</v>
      </c>
      <c r="X1682">
        <v>0.98751560000000005</v>
      </c>
      <c r="Y1682">
        <v>-3.4341330000000003E-2</v>
      </c>
      <c r="Z1682">
        <v>-3.4068119999999999E-3</v>
      </c>
      <c r="AA1682">
        <v>0.99940439999999997</v>
      </c>
      <c r="AB1682">
        <v>41</v>
      </c>
      <c r="AC1682">
        <v>-24.727799999999998</v>
      </c>
      <c r="AD1682">
        <v>-1.1089039211809999</v>
      </c>
      <c r="AE1682">
        <v>0.62270000000000802</v>
      </c>
      <c r="AF1682">
        <v>-0.86435922227085904</v>
      </c>
      <c r="AG1682">
        <v>-1.1089039211809999</v>
      </c>
      <c r="AH1682">
        <v>24.670889517851101</v>
      </c>
      <c r="AI1682">
        <v>92.572015039144404</v>
      </c>
      <c r="AJ1682">
        <v>92.006570812506595</v>
      </c>
      <c r="AK1682">
        <v>24.710920144210501</v>
      </c>
      <c r="AL1682">
        <v>80.9477386714251</v>
      </c>
      <c r="AM1682">
        <v>90.4438156707903</v>
      </c>
      <c r="AN1682">
        <v>0.999999985806303</v>
      </c>
    </row>
    <row r="1683" spans="1:40" x14ac:dyDescent="0.25">
      <c r="A1683" t="str">
        <f>"20190312172648789"</f>
        <v>20190312172648789</v>
      </c>
      <c r="B1683" t="str">
        <f>"1552382808780232"</f>
        <v>1552382808780232</v>
      </c>
      <c r="C1683" t="s">
        <v>40</v>
      </c>
      <c r="D1683">
        <v>3.2165279999999998</v>
      </c>
      <c r="E1683">
        <v>0.49048770000000003</v>
      </c>
      <c r="F1683" t="s">
        <v>49</v>
      </c>
      <c r="G1683">
        <v>-312.28629999999998</v>
      </c>
      <c r="H1683" s="1">
        <v>3.183349E-6</v>
      </c>
      <c r="I1683">
        <v>285.15969999999999</v>
      </c>
      <c r="J1683">
        <v>-287.73180000000002</v>
      </c>
      <c r="K1683">
        <v>1.1089310000000001</v>
      </c>
      <c r="L1683">
        <v>284.55070000000001</v>
      </c>
      <c r="M1683">
        <v>-0.99816229999999995</v>
      </c>
      <c r="N1683">
        <v>0</v>
      </c>
      <c r="O1683">
        <v>6.008339E-2</v>
      </c>
      <c r="P1683">
        <v>-0.98749600000000004</v>
      </c>
      <c r="Q1683">
        <v>0.14909700000000001</v>
      </c>
      <c r="R1683">
        <v>5.1208070000000001E-2</v>
      </c>
      <c r="S1683">
        <v>-3.0547789999999999</v>
      </c>
      <c r="T1683">
        <v>-0.13568440000000001</v>
      </c>
      <c r="U1683">
        <v>7.7545169999999997E-2</v>
      </c>
      <c r="V1683">
        <v>-8.2297459999999996E-3</v>
      </c>
      <c r="W1683">
        <v>0.156886</v>
      </c>
      <c r="X1683">
        <v>0.98758239999999997</v>
      </c>
      <c r="Y1683">
        <v>-3.4641810000000002E-2</v>
      </c>
      <c r="Z1683">
        <v>-3.4341939999999998E-3</v>
      </c>
      <c r="AA1683">
        <v>0.99939389999999995</v>
      </c>
      <c r="AB1683">
        <v>41</v>
      </c>
      <c r="AC1683">
        <v>-24.554499999999901</v>
      </c>
      <c r="AD1683">
        <v>-1.1089278166509999</v>
      </c>
      <c r="AE1683">
        <v>0.60899999999998</v>
      </c>
      <c r="AF1683">
        <v>-0.86569906304746003</v>
      </c>
      <c r="AG1683">
        <v>-1.1089278166509999</v>
      </c>
      <c r="AH1683">
        <v>24.496795177561602</v>
      </c>
      <c r="AI1683">
        <v>92.590297214731294</v>
      </c>
      <c r="AJ1683">
        <v>92.023949233753001</v>
      </c>
      <c r="AK1683">
        <v>24.537158143145099</v>
      </c>
      <c r="AL1683">
        <v>80.973805255706296</v>
      </c>
      <c r="AM1683">
        <v>90.477447550669595</v>
      </c>
      <c r="AN1683">
        <v>0.99999997125249096</v>
      </c>
    </row>
    <row r="1684" spans="1:40" x14ac:dyDescent="0.25">
      <c r="A1684" t="str">
        <f>"20190312172648811"</f>
        <v>20190312172648811</v>
      </c>
      <c r="B1684" t="str">
        <f>"1552382808800732"</f>
        <v>1552382808800732</v>
      </c>
      <c r="C1684" t="s">
        <v>40</v>
      </c>
      <c r="D1684">
        <v>3.3174670000000002</v>
      </c>
      <c r="E1684">
        <v>0.49046499999999998</v>
      </c>
      <c r="F1684" t="s">
        <v>49</v>
      </c>
      <c r="G1684">
        <v>-312.48070000000001</v>
      </c>
      <c r="H1684" s="1">
        <v>3.2692360000000001E-6</v>
      </c>
      <c r="I1684">
        <v>285.16340000000002</v>
      </c>
      <c r="J1684">
        <v>-288.16669999999999</v>
      </c>
      <c r="K1684">
        <v>1.108978</v>
      </c>
      <c r="L1684">
        <v>284.57679999999999</v>
      </c>
      <c r="M1684">
        <v>-0.99817140000000004</v>
      </c>
      <c r="N1684">
        <v>0</v>
      </c>
      <c r="O1684">
        <v>5.992902E-2</v>
      </c>
      <c r="P1684">
        <v>-0.98760990000000004</v>
      </c>
      <c r="Q1684">
        <v>0.14855560000000001</v>
      </c>
      <c r="R1684">
        <v>5.058054E-2</v>
      </c>
      <c r="S1684">
        <v>-3.0547179999999998</v>
      </c>
      <c r="T1684">
        <v>-0.1368732</v>
      </c>
      <c r="U1684">
        <v>7.5622560000000005E-2</v>
      </c>
      <c r="V1684">
        <v>-8.728698E-3</v>
      </c>
      <c r="W1684">
        <v>0.15636939999999999</v>
      </c>
      <c r="X1684">
        <v>0.98766010000000004</v>
      </c>
      <c r="Y1684">
        <v>-3.5113400000000003E-2</v>
      </c>
      <c r="Z1684">
        <v>-3.4680230000000002E-3</v>
      </c>
      <c r="AA1684">
        <v>0.99937730000000002</v>
      </c>
      <c r="AB1684">
        <v>41</v>
      </c>
      <c r="AC1684">
        <v>-24.314</v>
      </c>
      <c r="AD1684">
        <v>-1.1089747307639899</v>
      </c>
      <c r="AE1684">
        <v>0.58660000000003198</v>
      </c>
      <c r="AF1684">
        <v>-0.86980560745328395</v>
      </c>
      <c r="AG1684">
        <v>-1.1089747307639899</v>
      </c>
      <c r="AH1684">
        <v>24.2550228504949</v>
      </c>
      <c r="AI1684">
        <v>92.616143491592197</v>
      </c>
      <c r="AJ1684">
        <v>92.053794958800594</v>
      </c>
      <c r="AK1684">
        <v>24.2959362903811</v>
      </c>
      <c r="AL1684">
        <v>81.003774640274401</v>
      </c>
      <c r="AM1684">
        <v>90.506352879843504</v>
      </c>
      <c r="AN1684">
        <v>1.00000002627857</v>
      </c>
    </row>
    <row r="1685" spans="1:40" x14ac:dyDescent="0.25">
      <c r="A1685" t="str">
        <f>"20190312172648832"</f>
        <v>20190312172648832</v>
      </c>
      <c r="B1685" t="str">
        <f>"1552382808820249"</f>
        <v>1552382808820249</v>
      </c>
      <c r="C1685" t="s">
        <v>40</v>
      </c>
      <c r="D1685">
        <v>3.2323569999999999</v>
      </c>
      <c r="E1685">
        <v>0.49045250000000001</v>
      </c>
      <c r="F1685" t="s">
        <v>49</v>
      </c>
      <c r="G1685">
        <v>-312.67320000000001</v>
      </c>
      <c r="H1685" s="1">
        <v>3.3542960000000001E-6</v>
      </c>
      <c r="I1685">
        <v>285.16699999999997</v>
      </c>
      <c r="J1685">
        <v>-288.56169999999997</v>
      </c>
      <c r="K1685">
        <v>1.10903</v>
      </c>
      <c r="L1685">
        <v>284.6003</v>
      </c>
      <c r="M1685">
        <v>-0.99818300000000004</v>
      </c>
      <c r="N1685">
        <v>0</v>
      </c>
      <c r="O1685">
        <v>5.9731899999999997E-2</v>
      </c>
      <c r="P1685">
        <v>-0.98757360000000005</v>
      </c>
      <c r="Q1685">
        <v>0.1488129</v>
      </c>
      <c r="R1685">
        <v>5.0529829999999998E-2</v>
      </c>
      <c r="S1685">
        <v>-3.0546880000000001</v>
      </c>
      <c r="T1685">
        <v>-0.13823150000000001</v>
      </c>
      <c r="U1685">
        <v>7.3577879999999998E-2</v>
      </c>
      <c r="V1685">
        <v>-8.6016280000000001E-3</v>
      </c>
      <c r="W1685">
        <v>0.15664910000000001</v>
      </c>
      <c r="X1685">
        <v>0.98761679999999996</v>
      </c>
      <c r="Y1685">
        <v>-3.5582170000000003E-2</v>
      </c>
      <c r="Z1685">
        <v>-3.5041809999999999E-3</v>
      </c>
      <c r="AA1685">
        <v>0.99936060000000004</v>
      </c>
      <c r="AB1685">
        <v>42</v>
      </c>
      <c r="AC1685">
        <v>-24.111499999999999</v>
      </c>
      <c r="AD1685">
        <v>-1.1090266457039999</v>
      </c>
      <c r="AE1685">
        <v>0.56670000000002496</v>
      </c>
      <c r="AF1685">
        <v>-0.87273751012314704</v>
      </c>
      <c r="AG1685">
        <v>-1.1090266457039999</v>
      </c>
      <c r="AH1685">
        <v>24.051440916253799</v>
      </c>
      <c r="AI1685">
        <v>92.638339469321593</v>
      </c>
      <c r="AJ1685">
        <v>92.078139380692903</v>
      </c>
      <c r="AK1685">
        <v>24.092808491550102</v>
      </c>
      <c r="AL1685">
        <v>80.987548235400595</v>
      </c>
      <c r="AM1685">
        <v>90.499003784181198</v>
      </c>
      <c r="AN1685">
        <v>0.99999993608864801</v>
      </c>
    </row>
    <row r="1686" spans="1:40" x14ac:dyDescent="0.25">
      <c r="A1686" t="str">
        <f>"20190312172648855"</f>
        <v>20190312172648855</v>
      </c>
      <c r="B1686" t="str">
        <f>"1552382808850505"</f>
        <v>1552382808850505</v>
      </c>
      <c r="C1686" t="s">
        <v>40</v>
      </c>
      <c r="D1686">
        <v>3.2411159999999999</v>
      </c>
      <c r="E1686">
        <v>0.49043209999999998</v>
      </c>
      <c r="F1686" t="s">
        <v>49</v>
      </c>
      <c r="G1686">
        <v>-313.27640000000002</v>
      </c>
      <c r="H1686" s="1">
        <v>3.6195689999999998E-6</v>
      </c>
      <c r="I1686">
        <v>285.19240000000002</v>
      </c>
      <c r="J1686">
        <v>-288.96940000000001</v>
      </c>
      <c r="K1686">
        <v>1.1090880000000001</v>
      </c>
      <c r="L1686">
        <v>284.62450000000001</v>
      </c>
      <c r="M1686">
        <v>-0.99819899999999995</v>
      </c>
      <c r="N1686">
        <v>0</v>
      </c>
      <c r="O1686">
        <v>5.9459150000000002E-2</v>
      </c>
      <c r="P1686">
        <v>-0.98755680000000001</v>
      </c>
      <c r="Q1686">
        <v>0.14910329999999999</v>
      </c>
      <c r="R1686">
        <v>4.9999040000000002E-2</v>
      </c>
      <c r="S1686">
        <v>-3.0546570000000002</v>
      </c>
      <c r="T1686">
        <v>-0.13707220000000001</v>
      </c>
      <c r="U1686">
        <v>7.318115E-2</v>
      </c>
      <c r="V1686">
        <v>-8.8837399999999993E-3</v>
      </c>
      <c r="W1686">
        <v>0.15696089999999999</v>
      </c>
      <c r="X1686">
        <v>0.98756489999999997</v>
      </c>
      <c r="Y1686">
        <v>-3.5440619999999999E-2</v>
      </c>
      <c r="Z1686">
        <v>-3.45948E-3</v>
      </c>
      <c r="AA1686">
        <v>0.99936579999999997</v>
      </c>
      <c r="AB1686">
        <v>42</v>
      </c>
      <c r="AC1686">
        <v>-24.306999999999999</v>
      </c>
      <c r="AD1686">
        <v>-1.10908438043099</v>
      </c>
      <c r="AE1686">
        <v>0.56790000000000795</v>
      </c>
      <c r="AF1686">
        <v>-0.87660015255958701</v>
      </c>
      <c r="AG1686">
        <v>-1.10908438043099</v>
      </c>
      <c r="AH1686">
        <v>24.247306088935201</v>
      </c>
      <c r="AI1686">
        <v>92.617205912357804</v>
      </c>
      <c r="AJ1686">
        <v>92.070482569267398</v>
      </c>
      <c r="AK1686">
        <v>24.2884818084807</v>
      </c>
      <c r="AL1686">
        <v>80.969460577796696</v>
      </c>
      <c r="AM1686">
        <v>90.515396081175993</v>
      </c>
      <c r="AN1686">
        <v>1.0000000383386001</v>
      </c>
    </row>
    <row r="1687" spans="1:40" x14ac:dyDescent="0.25">
      <c r="A1687" t="str">
        <f>"20190312172648879"</f>
        <v>20190312172648879</v>
      </c>
      <c r="B1687" t="str">
        <f>"1552382808871001"</f>
        <v>1552382808871001</v>
      </c>
      <c r="C1687" t="s">
        <v>40</v>
      </c>
      <c r="D1687">
        <v>3.2210730000000001</v>
      </c>
      <c r="E1687">
        <v>0.49041800000000002</v>
      </c>
      <c r="F1687" t="s">
        <v>49</v>
      </c>
      <c r="G1687">
        <v>-313.91469999999998</v>
      </c>
      <c r="H1687" s="1">
        <v>3.9015419999999997E-6</v>
      </c>
      <c r="I1687">
        <v>285.20490000000001</v>
      </c>
      <c r="J1687">
        <v>-289.41919999999999</v>
      </c>
      <c r="K1687">
        <v>1.1091719999999901</v>
      </c>
      <c r="L1687">
        <v>284.65089999999998</v>
      </c>
      <c r="M1687">
        <v>-0.99822259999999996</v>
      </c>
      <c r="N1687">
        <v>0</v>
      </c>
      <c r="O1687">
        <v>5.9059800000000003E-2</v>
      </c>
      <c r="P1687">
        <v>-0.98752209999999996</v>
      </c>
      <c r="Q1687">
        <v>0.14950429999999901</v>
      </c>
      <c r="R1687">
        <v>4.948545E-2</v>
      </c>
      <c r="S1687">
        <v>-3.0547179999999998</v>
      </c>
      <c r="T1687">
        <v>-0.1358145</v>
      </c>
      <c r="U1687">
        <v>7.1075440000000004E-2</v>
      </c>
      <c r="V1687">
        <v>-9.0276909999999991E-3</v>
      </c>
      <c r="W1687">
        <v>0.15738559999999999</v>
      </c>
      <c r="X1687">
        <v>0.98749600000000004</v>
      </c>
      <c r="Y1687">
        <v>-3.5731649999999997E-2</v>
      </c>
      <c r="Z1687">
        <v>-3.416494E-3</v>
      </c>
      <c r="AA1687">
        <v>0.99935560000000001</v>
      </c>
      <c r="AB1687">
        <v>42</v>
      </c>
      <c r="AC1687">
        <v>-24.4955</v>
      </c>
      <c r="AD1687">
        <v>-1.1091680984579999</v>
      </c>
      <c r="AE1687">
        <v>0.55400000000003002</v>
      </c>
      <c r="AF1687">
        <v>-0.89188470628952898</v>
      </c>
      <c r="AG1687">
        <v>-1.1091680984579999</v>
      </c>
      <c r="AH1687">
        <v>24.435384444453401</v>
      </c>
      <c r="AI1687">
        <v>92.597252148035693</v>
      </c>
      <c r="AJ1687">
        <v>92.090352000141806</v>
      </c>
      <c r="AK1687">
        <v>24.4767997325668</v>
      </c>
      <c r="AL1687">
        <v>80.944820812805006</v>
      </c>
      <c r="AM1687">
        <v>90.523783573683502</v>
      </c>
      <c r="AN1687">
        <v>1.0000000381540699</v>
      </c>
    </row>
    <row r="1688" spans="1:40" x14ac:dyDescent="0.25">
      <c r="A1688" t="str">
        <f>"20190312172648902"</f>
        <v>20190312172648902</v>
      </c>
      <c r="B1688" t="str">
        <f>"1552382808890522"</f>
        <v>1552382808890522</v>
      </c>
      <c r="C1688" t="s">
        <v>40</v>
      </c>
      <c r="D1688">
        <v>3.1908660000000002</v>
      </c>
      <c r="E1688">
        <v>0.49040669999999997</v>
      </c>
      <c r="F1688" t="s">
        <v>49</v>
      </c>
      <c r="G1688">
        <v>-314.65809999999999</v>
      </c>
      <c r="H1688" s="1">
        <v>4.2293910000000001E-6</v>
      </c>
      <c r="I1688">
        <v>285.22579999999999</v>
      </c>
      <c r="J1688">
        <v>-289.846</v>
      </c>
      <c r="K1688">
        <v>1.1092599999999999</v>
      </c>
      <c r="L1688">
        <v>284.67579999999998</v>
      </c>
      <c r="M1688">
        <v>-0.99825070000000005</v>
      </c>
      <c r="N1688">
        <v>0</v>
      </c>
      <c r="O1688">
        <v>5.858112E-2</v>
      </c>
      <c r="P1688">
        <v>-0.98752110000000004</v>
      </c>
      <c r="Q1688">
        <v>0.14980589999999999</v>
      </c>
      <c r="R1688">
        <v>4.858444E-2</v>
      </c>
      <c r="S1688">
        <v>-3.0547179999999998</v>
      </c>
      <c r="T1688">
        <v>-0.134244899999999</v>
      </c>
      <c r="U1688">
        <v>6.9580080000000002E-2</v>
      </c>
      <c r="V1688">
        <v>-9.4839429999999999E-3</v>
      </c>
      <c r="W1688">
        <v>0.15770870000000001</v>
      </c>
      <c r="X1688">
        <v>0.98744019999999999</v>
      </c>
      <c r="Y1688">
        <v>-3.5743999999999998E-2</v>
      </c>
      <c r="Z1688">
        <v>-3.3563569999999999E-3</v>
      </c>
      <c r="AA1688">
        <v>0.99935529999999995</v>
      </c>
      <c r="AB1688">
        <v>42</v>
      </c>
      <c r="AC1688">
        <v>-24.812099999999901</v>
      </c>
      <c r="AD1688">
        <v>-1.109255770609</v>
      </c>
      <c r="AE1688">
        <v>0.55000000000001104</v>
      </c>
      <c r="AF1688">
        <v>-0.90270826332550602</v>
      </c>
      <c r="AG1688">
        <v>-1.109255770609</v>
      </c>
      <c r="AH1688">
        <v>24.752260138348799</v>
      </c>
      <c r="AI1688">
        <v>92.564252272932606</v>
      </c>
      <c r="AJ1688">
        <v>92.088635990918405</v>
      </c>
      <c r="AK1688">
        <v>24.7935417504195</v>
      </c>
      <c r="AL1688">
        <v>80.926074667888898</v>
      </c>
      <c r="AM1688">
        <v>90.5502846644453</v>
      </c>
      <c r="AN1688">
        <v>1.00000006390327</v>
      </c>
    </row>
    <row r="1689" spans="1:40" x14ac:dyDescent="0.25">
      <c r="A1689" t="str">
        <f>"20190312172648922"</f>
        <v>20190312172648922</v>
      </c>
      <c r="B1689" t="str">
        <f>"1552382808911020"</f>
        <v>1552382808911020</v>
      </c>
      <c r="C1689" t="s">
        <v>40</v>
      </c>
      <c r="D1689">
        <v>3.238556</v>
      </c>
      <c r="E1689">
        <v>0.49040129999999998</v>
      </c>
      <c r="F1689" t="s">
        <v>49</v>
      </c>
      <c r="G1689">
        <v>-315.30090000000001</v>
      </c>
      <c r="H1689" s="1">
        <v>4.5137130000000002E-6</v>
      </c>
      <c r="I1689">
        <v>285.23390000000001</v>
      </c>
      <c r="J1689">
        <v>-290.23410000000001</v>
      </c>
      <c r="K1689">
        <v>1.1093409999999999</v>
      </c>
      <c r="L1689">
        <v>284.69819999999999</v>
      </c>
      <c r="M1689">
        <v>-0.99828099999999997</v>
      </c>
      <c r="N1689">
        <v>0</v>
      </c>
      <c r="O1689">
        <v>5.8058459999999999E-2</v>
      </c>
      <c r="P1689">
        <v>-0.98747649999999998</v>
      </c>
      <c r="Q1689">
        <v>0.15029239999999999</v>
      </c>
      <c r="R1689">
        <v>4.7982549999999999E-2</v>
      </c>
      <c r="S1689">
        <v>-3.0548099999999998</v>
      </c>
      <c r="T1689">
        <v>-0.1331203</v>
      </c>
      <c r="U1689">
        <v>6.6986080000000003E-2</v>
      </c>
      <c r="V1689">
        <v>-9.5952180000000008E-3</v>
      </c>
      <c r="W1689">
        <v>0.1582134</v>
      </c>
      <c r="X1689">
        <v>0.98735830000000002</v>
      </c>
      <c r="Y1689">
        <v>-3.6071329999999999E-2</v>
      </c>
      <c r="Z1689">
        <v>-3.312616E-3</v>
      </c>
      <c r="AA1689">
        <v>0.9993438</v>
      </c>
      <c r="AB1689">
        <v>42</v>
      </c>
      <c r="AC1689">
        <v>-25.066800000000001</v>
      </c>
      <c r="AD1689">
        <v>-1.1093364862870001</v>
      </c>
      <c r="AE1689">
        <v>0.53570000000001905</v>
      </c>
      <c r="AF1689">
        <v>-0.91879159905749896</v>
      </c>
      <c r="AG1689">
        <v>-1.1093364862870001</v>
      </c>
      <c r="AH1689">
        <v>25.0066633593338</v>
      </c>
      <c r="AI1689">
        <v>92.538358588528396</v>
      </c>
      <c r="AJ1689">
        <v>92.104207610871995</v>
      </c>
      <c r="AK1689">
        <v>25.0481140569376</v>
      </c>
      <c r="AL1689">
        <v>80.896789061484299</v>
      </c>
      <c r="AM1689">
        <v>90.556786922341502</v>
      </c>
      <c r="AN1689">
        <v>0.99999998036345805</v>
      </c>
    </row>
    <row r="1690" spans="1:40" x14ac:dyDescent="0.25">
      <c r="A1690" t="str">
        <f>"20190312172648944"</f>
        <v>20190312172648944</v>
      </c>
      <c r="B1690" t="str">
        <f>"1552382808940297"</f>
        <v>1552382808940297</v>
      </c>
      <c r="C1690" t="s">
        <v>40</v>
      </c>
      <c r="D1690">
        <v>3.2221549999999999</v>
      </c>
      <c r="E1690">
        <v>0.49039280000000002</v>
      </c>
      <c r="F1690" t="s">
        <v>49</v>
      </c>
      <c r="G1690">
        <v>-315.92989999999998</v>
      </c>
      <c r="H1690" s="1">
        <v>4.7916739999999999E-6</v>
      </c>
      <c r="I1690">
        <v>285.24520000000001</v>
      </c>
      <c r="J1690">
        <v>-290.64109999999999</v>
      </c>
      <c r="K1690">
        <v>1.1094310000000001</v>
      </c>
      <c r="L1690">
        <v>284.72140000000002</v>
      </c>
      <c r="M1690">
        <v>-0.99831749999999997</v>
      </c>
      <c r="N1690">
        <v>0</v>
      </c>
      <c r="O1690">
        <v>5.742411E-2</v>
      </c>
      <c r="P1690">
        <v>-0.98746400000000001</v>
      </c>
      <c r="Q1690">
        <v>0.15064140000000001</v>
      </c>
      <c r="R1690">
        <v>4.714136E-2</v>
      </c>
      <c r="S1690">
        <v>-3.0549620000000002</v>
      </c>
      <c r="T1690">
        <v>-0.13188839999999999</v>
      </c>
      <c r="U1690">
        <v>6.5032960000000001E-2</v>
      </c>
      <c r="V1690">
        <v>-9.8394520000000003E-3</v>
      </c>
      <c r="W1690">
        <v>0.15858159999999999</v>
      </c>
      <c r="X1690">
        <v>0.98729679999999997</v>
      </c>
      <c r="Y1690">
        <v>-3.6078270000000003E-2</v>
      </c>
      <c r="Z1690">
        <v>-3.2546820000000001E-3</v>
      </c>
      <c r="AA1690">
        <v>0.99934369999999995</v>
      </c>
      <c r="AB1690">
        <v>42</v>
      </c>
      <c r="AC1690">
        <v>-25.288799999999899</v>
      </c>
      <c r="AD1690">
        <v>-1.109426208326</v>
      </c>
      <c r="AE1690">
        <v>0.52379999999999405</v>
      </c>
      <c r="AF1690">
        <v>-0.92751383495449602</v>
      </c>
      <c r="AG1690">
        <v>-1.109426208326</v>
      </c>
      <c r="AH1690">
        <v>25.228613165665202</v>
      </c>
      <c r="AI1690">
        <v>92.516257255233896</v>
      </c>
      <c r="AJ1690">
        <v>92.105494439355297</v>
      </c>
      <c r="AK1690">
        <v>25.270022372141401</v>
      </c>
      <c r="AL1690">
        <v>80.875422784140696</v>
      </c>
      <c r="AM1690">
        <v>90.570993858012301</v>
      </c>
      <c r="AN1690">
        <v>0.99999995498222904</v>
      </c>
    </row>
    <row r="1691" spans="1:40" x14ac:dyDescent="0.25">
      <c r="A1691" t="str">
        <f>"20190312172648967"</f>
        <v>20190312172648967</v>
      </c>
      <c r="B1691" t="str">
        <f>"1552382808960793"</f>
        <v>1552382808960793</v>
      </c>
      <c r="C1691" t="s">
        <v>40</v>
      </c>
      <c r="D1691">
        <v>3.2672500000000002</v>
      </c>
      <c r="E1691">
        <v>0.49038979999999999</v>
      </c>
      <c r="F1691" t="s">
        <v>49</v>
      </c>
      <c r="G1691">
        <v>-316.54930000000002</v>
      </c>
      <c r="H1691" s="1">
        <v>5.0658059999999996E-6</v>
      </c>
      <c r="I1691">
        <v>285.25170000000003</v>
      </c>
      <c r="J1691">
        <v>-291.07569999999998</v>
      </c>
      <c r="K1691">
        <v>1.1095200000000001</v>
      </c>
      <c r="L1691">
        <v>284.74579999999997</v>
      </c>
      <c r="M1691">
        <v>-0.99836119999999995</v>
      </c>
      <c r="N1691">
        <v>0</v>
      </c>
      <c r="O1691">
        <v>5.6655490000000003E-2</v>
      </c>
      <c r="P1691">
        <v>-0.98754189999999997</v>
      </c>
      <c r="Q1691">
        <v>0.15051030000000001</v>
      </c>
      <c r="R1691">
        <v>4.5913950000000002E-2</v>
      </c>
      <c r="S1691">
        <v>-3.0551149999999998</v>
      </c>
      <c r="T1691">
        <v>-0.1308243</v>
      </c>
      <c r="U1691">
        <v>6.2530520000000006E-2</v>
      </c>
      <c r="V1691">
        <v>-1.034384E-2</v>
      </c>
      <c r="W1691">
        <v>0.15847</v>
      </c>
      <c r="X1691">
        <v>0.98730960000000001</v>
      </c>
      <c r="Y1691">
        <v>-3.6130219999999998E-2</v>
      </c>
      <c r="Z1691">
        <v>-3.196595E-3</v>
      </c>
      <c r="AA1691">
        <v>0.99934199999999995</v>
      </c>
      <c r="AB1691">
        <v>42</v>
      </c>
      <c r="AC1691">
        <v>-25.473600000000001</v>
      </c>
      <c r="AD1691">
        <v>-1.109514934194</v>
      </c>
      <c r="AE1691">
        <v>0.50590000000005297</v>
      </c>
      <c r="AF1691">
        <v>-0.93640315167042498</v>
      </c>
      <c r="AG1691">
        <v>-1.109514934194</v>
      </c>
      <c r="AH1691">
        <v>25.4131524953347</v>
      </c>
      <c r="AI1691">
        <v>92.498200441176394</v>
      </c>
      <c r="AJ1691">
        <v>92.110233546620194</v>
      </c>
      <c r="AK1691">
        <v>25.454590823715701</v>
      </c>
      <c r="AL1691">
        <v>80.881899216826298</v>
      </c>
      <c r="AM1691">
        <v>90.600254158730394</v>
      </c>
      <c r="AN1691">
        <v>0.99999999108905202</v>
      </c>
    </row>
    <row r="1692" spans="1:40" x14ac:dyDescent="0.25">
      <c r="A1692" t="str">
        <f>"20190312172648992"</f>
        <v>20190312172648992</v>
      </c>
      <c r="B1692" t="str">
        <f>"1552382808980313"</f>
        <v>1552382808980313</v>
      </c>
      <c r="C1692" t="s">
        <v>40</v>
      </c>
      <c r="D1692">
        <v>3.2282839999999999</v>
      </c>
      <c r="E1692">
        <v>0.49038219999999999</v>
      </c>
      <c r="F1692" t="s">
        <v>49</v>
      </c>
      <c r="G1692">
        <v>-316.8802</v>
      </c>
      <c r="H1692" s="1">
        <v>5.2131920000000001E-6</v>
      </c>
      <c r="I1692">
        <v>285.24439999999998</v>
      </c>
      <c r="J1692">
        <v>-291.52440000000001</v>
      </c>
      <c r="K1692">
        <v>1.1096109999999999</v>
      </c>
      <c r="L1692">
        <v>284.7706</v>
      </c>
      <c r="M1692">
        <v>-0.99841150000000001</v>
      </c>
      <c r="N1692">
        <v>0</v>
      </c>
      <c r="O1692">
        <v>5.5760869999999997E-2</v>
      </c>
      <c r="P1692">
        <v>-0.98761129999999997</v>
      </c>
      <c r="Q1692">
        <v>0.1504085</v>
      </c>
      <c r="R1692">
        <v>4.473742E-2</v>
      </c>
      <c r="S1692">
        <v>-3.0550839999999999</v>
      </c>
      <c r="T1692">
        <v>-0.13135920000000001</v>
      </c>
      <c r="U1692">
        <v>5.9020999999999997E-2</v>
      </c>
      <c r="V1692">
        <v>-1.067307E-2</v>
      </c>
      <c r="W1692">
        <v>0.1583881</v>
      </c>
      <c r="X1692">
        <v>0.98731919999999995</v>
      </c>
      <c r="Y1692">
        <v>-3.638197E-2</v>
      </c>
      <c r="Z1692">
        <v>-3.1767599999999998E-3</v>
      </c>
      <c r="AA1692">
        <v>0.99933289999999997</v>
      </c>
      <c r="AB1692">
        <v>42</v>
      </c>
      <c r="AC1692">
        <v>-25.355799999999899</v>
      </c>
      <c r="AD1692">
        <v>-1.109605786808</v>
      </c>
      <c r="AE1692">
        <v>0.47379999999998201</v>
      </c>
      <c r="AF1692">
        <v>-0.93904706639501201</v>
      </c>
      <c r="AG1692">
        <v>-1.109605786808</v>
      </c>
      <c r="AH1692">
        <v>25.294344700417</v>
      </c>
      <c r="AI1692">
        <v>92.510099101231503</v>
      </c>
      <c r="AJ1692">
        <v>92.126116985447496</v>
      </c>
      <c r="AK1692">
        <v>25.336079180065301</v>
      </c>
      <c r="AL1692">
        <v>80.886651420206505</v>
      </c>
      <c r="AM1692">
        <v>90.619351924312397</v>
      </c>
      <c r="AN1692">
        <v>0.999999953666736</v>
      </c>
    </row>
    <row r="1693" spans="1:40" x14ac:dyDescent="0.25">
      <c r="A1693" t="str">
        <f>"20190312172649011"</f>
        <v>20190312172649011</v>
      </c>
      <c r="B1693" t="str">
        <f>"1552382809000808"</f>
        <v>1552382809000808</v>
      </c>
      <c r="C1693" t="s">
        <v>40</v>
      </c>
      <c r="D1693">
        <v>3.255487</v>
      </c>
      <c r="E1693">
        <v>0.4903748</v>
      </c>
      <c r="F1693" t="s">
        <v>49</v>
      </c>
      <c r="G1693">
        <v>-317.24759999999998</v>
      </c>
      <c r="H1693" s="1">
        <v>5.3765829999999996E-6</v>
      </c>
      <c r="I1693">
        <v>285.23849999999999</v>
      </c>
      <c r="J1693">
        <v>-291.91550000000001</v>
      </c>
      <c r="K1693">
        <v>1.1096900000000001</v>
      </c>
      <c r="L1693">
        <v>284.79180000000002</v>
      </c>
      <c r="M1693">
        <v>-0.99845830000000002</v>
      </c>
      <c r="N1693">
        <v>0</v>
      </c>
      <c r="O1693">
        <v>5.4909560000000003E-2</v>
      </c>
      <c r="P1693">
        <v>-0.98768509999999998</v>
      </c>
      <c r="Q1693">
        <v>0.15028610000000001</v>
      </c>
      <c r="R1693">
        <v>4.349571E-2</v>
      </c>
      <c r="S1693">
        <v>-3.0552060000000001</v>
      </c>
      <c r="T1693">
        <v>-0.1317905</v>
      </c>
      <c r="U1693">
        <v>5.5572509999999999E-2</v>
      </c>
      <c r="V1693">
        <v>-1.1105439999999999E-2</v>
      </c>
      <c r="W1693">
        <v>0.1582817</v>
      </c>
      <c r="X1693">
        <v>0.98733159999999998</v>
      </c>
      <c r="Y1693">
        <v>-3.665823E-2</v>
      </c>
      <c r="Z1693">
        <v>-3.1564100000000001E-3</v>
      </c>
      <c r="AA1693">
        <v>0.99932290000000001</v>
      </c>
      <c r="AB1693">
        <v>42</v>
      </c>
      <c r="AC1693">
        <v>-25.332099999999901</v>
      </c>
      <c r="AD1693">
        <v>-1.1096846234169999</v>
      </c>
      <c r="AE1693">
        <v>0.44669999999996401</v>
      </c>
      <c r="AF1693">
        <v>-0.94318497688737102</v>
      </c>
      <c r="AG1693">
        <v>-1.1096846234169999</v>
      </c>
      <c r="AH1693">
        <v>25.269932767189999</v>
      </c>
      <c r="AI1693">
        <v>92.512680531051203</v>
      </c>
      <c r="AJ1693">
        <v>92.137538121817798</v>
      </c>
      <c r="AK1693">
        <v>25.3118648053117</v>
      </c>
      <c r="AL1693">
        <v>80.892826532466799</v>
      </c>
      <c r="AM1693">
        <v>90.644431931324405</v>
      </c>
      <c r="AN1693">
        <v>1.0000000578555199</v>
      </c>
    </row>
    <row r="1694" spans="1:40" x14ac:dyDescent="0.25">
      <c r="A1694" t="str">
        <f>"20190312172649033"</f>
        <v>20190312172649033</v>
      </c>
      <c r="B1694" t="str">
        <f>"1552382809031065"</f>
        <v>1552382809031065</v>
      </c>
      <c r="C1694" t="s">
        <v>40</v>
      </c>
      <c r="D1694">
        <v>3.2791969999999999</v>
      </c>
      <c r="E1694">
        <v>0.49037720000000001</v>
      </c>
      <c r="F1694" t="s">
        <v>49</v>
      </c>
      <c r="G1694">
        <v>-317.55869999999999</v>
      </c>
      <c r="H1694" s="1">
        <v>5.5160610000000004E-6</v>
      </c>
      <c r="I1694">
        <v>285.22160000000002</v>
      </c>
      <c r="J1694">
        <v>-292.33260000000001</v>
      </c>
      <c r="K1694">
        <v>1.1097680000000001</v>
      </c>
      <c r="L1694">
        <v>284.8141</v>
      </c>
      <c r="M1694">
        <v>-0.99851129999999999</v>
      </c>
      <c r="N1694">
        <v>0</v>
      </c>
      <c r="O1694">
        <v>5.3939319999999999E-2</v>
      </c>
      <c r="P1694">
        <v>-0.98772890000000002</v>
      </c>
      <c r="Q1694">
        <v>0.15025339999999901</v>
      </c>
      <c r="R1694">
        <v>4.2615500000000001E-2</v>
      </c>
      <c r="S1694">
        <v>-3.055237</v>
      </c>
      <c r="T1694">
        <v>-0.13221229999999901</v>
      </c>
      <c r="U1694">
        <v>5.1208499999999997E-2</v>
      </c>
      <c r="V1694">
        <v>-1.1056979999999999E-2</v>
      </c>
      <c r="W1694">
        <v>0.15826709999999999</v>
      </c>
      <c r="X1694">
        <v>0.98733439999999995</v>
      </c>
      <c r="Y1694">
        <v>-3.711424E-2</v>
      </c>
      <c r="Z1694">
        <v>-3.1344860000000001E-3</v>
      </c>
      <c r="AA1694">
        <v>0.99930609999999997</v>
      </c>
      <c r="AB1694">
        <v>42</v>
      </c>
      <c r="AC1694">
        <v>-25.226099999999899</v>
      </c>
      <c r="AD1694">
        <v>-1.1097624839389999</v>
      </c>
      <c r="AE1694">
        <v>0.40750000000002701</v>
      </c>
      <c r="AF1694">
        <v>-0.95197474977807195</v>
      </c>
      <c r="AG1694">
        <v>-1.1097624839389999</v>
      </c>
      <c r="AH1694">
        <v>25.162668902755701</v>
      </c>
      <c r="AI1694">
        <v>92.523506552487007</v>
      </c>
      <c r="AJ1694">
        <v>92.166627653393903</v>
      </c>
      <c r="AK1694">
        <v>25.205113271014699</v>
      </c>
      <c r="AL1694">
        <v>80.8936729648496</v>
      </c>
      <c r="AM1694">
        <v>90.641618286797595</v>
      </c>
      <c r="AN1694">
        <v>0.99999997458624401</v>
      </c>
    </row>
    <row r="1695" spans="1:40" x14ac:dyDescent="0.25">
      <c r="A1695" t="str">
        <f>"20190312172649056"</f>
        <v>20190312172649056</v>
      </c>
      <c r="B1695" t="str">
        <f>"1552382809050585"</f>
        <v>1552382809050585</v>
      </c>
      <c r="C1695" t="s">
        <v>40</v>
      </c>
      <c r="D1695">
        <v>3.279941</v>
      </c>
      <c r="E1695">
        <v>0.49038939999999998</v>
      </c>
      <c r="F1695" t="s">
        <v>49</v>
      </c>
      <c r="G1695">
        <v>-317.90699999999998</v>
      </c>
      <c r="H1695" s="1">
        <v>5.6706730000000001E-6</v>
      </c>
      <c r="I1695">
        <v>285.21969999999999</v>
      </c>
      <c r="J1695">
        <v>-292.75009999999997</v>
      </c>
      <c r="K1695">
        <v>1.1098429999999999</v>
      </c>
      <c r="L1695">
        <v>284.83589999999998</v>
      </c>
      <c r="M1695">
        <v>-0.99856610000000001</v>
      </c>
      <c r="N1695">
        <v>0</v>
      </c>
      <c r="O1695">
        <v>5.290955E-2</v>
      </c>
      <c r="P1695">
        <v>-0.98789879999999997</v>
      </c>
      <c r="Q1695">
        <v>0.149531</v>
      </c>
      <c r="R1695">
        <v>4.1191430000000001E-2</v>
      </c>
      <c r="S1695">
        <v>-3.0553279999999998</v>
      </c>
      <c r="T1695">
        <v>-0.13258110000000001</v>
      </c>
      <c r="U1695">
        <v>4.8461909999999997E-2</v>
      </c>
      <c r="V1695">
        <v>-1.1496599999999999E-2</v>
      </c>
      <c r="W1695">
        <v>0.1575618</v>
      </c>
      <c r="X1695">
        <v>0.98744219999999905</v>
      </c>
      <c r="Y1695">
        <v>-3.6982910000000001E-2</v>
      </c>
      <c r="Z1695">
        <v>-3.095712E-3</v>
      </c>
      <c r="AA1695">
        <v>0.99931110000000001</v>
      </c>
      <c r="AB1695">
        <v>42</v>
      </c>
      <c r="AC1695">
        <v>-25.1569</v>
      </c>
      <c r="AD1695">
        <v>-1.1098373293269901</v>
      </c>
      <c r="AE1695">
        <v>0.38380000000000702</v>
      </c>
      <c r="AF1695">
        <v>-0.94598130893805299</v>
      </c>
      <c r="AG1695">
        <v>-1.1098373293269901</v>
      </c>
      <c r="AH1695">
        <v>25.093141159416799</v>
      </c>
      <c r="AI1695">
        <v>92.530672789769994</v>
      </c>
      <c r="AJ1695">
        <v>92.158959746895803</v>
      </c>
      <c r="AK1695">
        <v>25.135479959229801</v>
      </c>
      <c r="AL1695">
        <v>80.934597355413501</v>
      </c>
      <c r="AM1695">
        <v>90.667053623507996</v>
      </c>
      <c r="AN1695">
        <v>0.99999999548581897</v>
      </c>
    </row>
    <row r="1696" spans="1:40" x14ac:dyDescent="0.25">
      <c r="A1696" t="str">
        <f>"20190312172649079"</f>
        <v>20190312172649079</v>
      </c>
      <c r="B1696" t="str">
        <f>"1552382809070106"</f>
        <v>1552382809070106</v>
      </c>
      <c r="C1696" t="s">
        <v>40</v>
      </c>
      <c r="D1696">
        <v>3.273142</v>
      </c>
      <c r="E1696">
        <v>0.49039290000000002</v>
      </c>
      <c r="F1696" t="s">
        <v>49</v>
      </c>
      <c r="G1696">
        <v>-317.8759</v>
      </c>
      <c r="H1696" s="1">
        <v>5.6589019999999998E-6</v>
      </c>
      <c r="I1696">
        <v>285.19650000000001</v>
      </c>
      <c r="J1696">
        <v>-293.20699999999999</v>
      </c>
      <c r="K1696">
        <v>1.1099209999999999</v>
      </c>
      <c r="L1696">
        <v>284.85919999999999</v>
      </c>
      <c r="M1696">
        <v>-0.99862859999999998</v>
      </c>
      <c r="N1696">
        <v>0</v>
      </c>
      <c r="O1696">
        <v>5.1714459999999997E-2</v>
      </c>
      <c r="P1696">
        <v>-0.98799590000000004</v>
      </c>
      <c r="Q1696">
        <v>0.14920249999999999</v>
      </c>
      <c r="R1696">
        <v>4.0037679999999999E-2</v>
      </c>
      <c r="S1696">
        <v>-3.0553279999999998</v>
      </c>
      <c r="T1696">
        <v>-0.134957299999999</v>
      </c>
      <c r="U1696">
        <v>4.3853759999999999E-2</v>
      </c>
      <c r="V1696">
        <v>-1.150141E-2</v>
      </c>
      <c r="W1696">
        <v>0.1572519</v>
      </c>
      <c r="X1696">
        <v>0.98749149999999997</v>
      </c>
      <c r="Y1696">
        <v>-3.7291619999999998E-2</v>
      </c>
      <c r="Z1696">
        <v>-3.105319E-3</v>
      </c>
      <c r="AA1696">
        <v>0.99929959999999995</v>
      </c>
      <c r="AB1696">
        <v>42</v>
      </c>
      <c r="AC1696">
        <v>-24.668900000000001</v>
      </c>
      <c r="AD1696">
        <v>-1.1099153410979901</v>
      </c>
      <c r="AE1696">
        <v>0.33730000000002702</v>
      </c>
      <c r="AF1696">
        <v>-0.93703614076036601</v>
      </c>
      <c r="AG1696">
        <v>-1.1099153410979901</v>
      </c>
      <c r="AH1696">
        <v>24.603536279947399</v>
      </c>
      <c r="AI1696">
        <v>92.581108643439507</v>
      </c>
      <c r="AJ1696">
        <v>92.181079980890402</v>
      </c>
      <c r="AK1696">
        <v>24.646377954421201</v>
      </c>
      <c r="AL1696">
        <v>80.952577068614602</v>
      </c>
      <c r="AM1696">
        <v>90.667299369990204</v>
      </c>
      <c r="AN1696">
        <v>0.99999995252892204</v>
      </c>
    </row>
    <row r="1697" spans="1:40" x14ac:dyDescent="0.25">
      <c r="A1697" t="str">
        <f>"20190312172649103"</f>
        <v>20190312172649103</v>
      </c>
      <c r="B1697" t="str">
        <f>"1552382809090602"</f>
        <v>1552382809090602</v>
      </c>
      <c r="C1697" t="s">
        <v>40</v>
      </c>
      <c r="D1697">
        <v>3.2858320000000001</v>
      </c>
      <c r="E1697">
        <v>0.49039759999999999</v>
      </c>
      <c r="F1697" t="s">
        <v>49</v>
      </c>
      <c r="G1697">
        <v>-318.11759999999998</v>
      </c>
      <c r="H1697" s="1">
        <v>5.7669709999999998E-6</v>
      </c>
      <c r="I1697">
        <v>285.18639999999999</v>
      </c>
      <c r="J1697">
        <v>-293.6397</v>
      </c>
      <c r="K1697">
        <v>1.1099939999999999</v>
      </c>
      <c r="L1697">
        <v>284.88069999999999</v>
      </c>
      <c r="M1697">
        <v>-0.99868970000000001</v>
      </c>
      <c r="N1697">
        <v>0</v>
      </c>
      <c r="O1697">
        <v>5.0515879999999999E-2</v>
      </c>
      <c r="P1697">
        <v>-0.98806450000000001</v>
      </c>
      <c r="Q1697">
        <v>0.14904990000000001</v>
      </c>
      <c r="R1697">
        <v>3.8897090000000002E-2</v>
      </c>
      <c r="S1697">
        <v>-3.0554199999999998</v>
      </c>
      <c r="T1697">
        <v>-0.13613690000000001</v>
      </c>
      <c r="U1697">
        <v>4.0130619999999999E-2</v>
      </c>
      <c r="V1697">
        <v>-1.148801E-2</v>
      </c>
      <c r="W1697">
        <v>0.1571168</v>
      </c>
      <c r="X1697">
        <v>0.98751319999999998</v>
      </c>
      <c r="Y1697">
        <v>-3.7309799999999997E-2</v>
      </c>
      <c r="Z1697">
        <v>-3.0794730000000001E-3</v>
      </c>
      <c r="AA1697">
        <v>0.99929900000000005</v>
      </c>
      <c r="AB1697">
        <v>42</v>
      </c>
      <c r="AC1697">
        <v>-24.477899999999899</v>
      </c>
      <c r="AD1697">
        <v>-1.1099882330290001</v>
      </c>
      <c r="AE1697">
        <v>0.30570000000000103</v>
      </c>
      <c r="AF1697">
        <v>-0.92934370871858196</v>
      </c>
      <c r="AG1697">
        <v>-1.1099882330290001</v>
      </c>
      <c r="AH1697">
        <v>24.411898574809602</v>
      </c>
      <c r="AI1697">
        <v>92.601515273854105</v>
      </c>
      <c r="AJ1697">
        <v>92.180156986507896</v>
      </c>
      <c r="AK1697">
        <v>24.454785740897201</v>
      </c>
      <c r="AL1697">
        <v>80.960415518977797</v>
      </c>
      <c r="AM1697">
        <v>90.666507341568206</v>
      </c>
      <c r="AN1697">
        <v>0.99999999169511999</v>
      </c>
    </row>
    <row r="1698" spans="1:40" x14ac:dyDescent="0.25">
      <c r="A1698" t="str">
        <f>"20190312172649136"</f>
        <v>20190312172649136</v>
      </c>
      <c r="B1698" t="str">
        <f>"1552382809130617"</f>
        <v>1552382809130617</v>
      </c>
      <c r="C1698" t="s">
        <v>40</v>
      </c>
      <c r="D1698">
        <v>3.272999</v>
      </c>
      <c r="E1698">
        <v>0.49043720000000002</v>
      </c>
      <c r="F1698" t="s">
        <v>49</v>
      </c>
      <c r="G1698">
        <v>-318.45620000000002</v>
      </c>
      <c r="H1698" s="1">
        <v>5.9183569999999998E-6</v>
      </c>
      <c r="I1698">
        <v>285.17219999999998</v>
      </c>
      <c r="J1698">
        <v>-294.27140000000003</v>
      </c>
      <c r="K1698">
        <v>1.110117</v>
      </c>
      <c r="L1698">
        <v>284.91120000000001</v>
      </c>
      <c r="M1698">
        <v>-0.99878279999999997</v>
      </c>
      <c r="N1698">
        <v>0</v>
      </c>
      <c r="O1698">
        <v>4.8637809999999997E-2</v>
      </c>
      <c r="P1698">
        <v>-0.98820300000000005</v>
      </c>
      <c r="Q1698">
        <v>0.14850940000000001</v>
      </c>
      <c r="R1698">
        <v>3.7416959999999999E-2</v>
      </c>
      <c r="S1698">
        <v>-3.0554809999999999</v>
      </c>
      <c r="T1698">
        <v>-0.13666500000000001</v>
      </c>
      <c r="U1698">
        <v>3.5888669999999998E-2</v>
      </c>
      <c r="V1698">
        <v>-1.1159779999999999E-2</v>
      </c>
      <c r="W1698">
        <v>0.15660250000000001</v>
      </c>
      <c r="X1698">
        <v>0.98759870000000005</v>
      </c>
      <c r="Y1698">
        <v>-3.6819749999999998E-2</v>
      </c>
      <c r="Z1698">
        <v>-2.9965690000000001E-3</v>
      </c>
      <c r="AA1698">
        <v>0.99931740000000002</v>
      </c>
      <c r="AB1698">
        <v>43</v>
      </c>
      <c r="AC1698">
        <v>-24.184799999999999</v>
      </c>
      <c r="AD1698">
        <v>-1.110111081643</v>
      </c>
      <c r="AE1698">
        <v>0.26099999999996698</v>
      </c>
      <c r="AF1698">
        <v>-0.91371929161932797</v>
      </c>
      <c r="AG1698">
        <v>-1.110111081643</v>
      </c>
      <c r="AH1698">
        <v>24.118060919287601</v>
      </c>
      <c r="AI1698">
        <v>92.633475351138301</v>
      </c>
      <c r="AJ1698">
        <v>92.169628554902204</v>
      </c>
      <c r="AK1698">
        <v>24.160879372736701</v>
      </c>
      <c r="AL1698">
        <v>80.990252509133995</v>
      </c>
      <c r="AM1698">
        <v>90.647409804657499</v>
      </c>
      <c r="AN1698">
        <v>1.0000000379687899</v>
      </c>
    </row>
    <row r="1699" spans="1:40" x14ac:dyDescent="0.25">
      <c r="A1699" t="str">
        <f>"20190312172649156"</f>
        <v>20190312172649156</v>
      </c>
      <c r="B1699" t="str">
        <f>"1552382809150137"</f>
        <v>1552382809150137</v>
      </c>
      <c r="C1699" t="s">
        <v>40</v>
      </c>
      <c r="D1699">
        <v>3.277949</v>
      </c>
      <c r="E1699">
        <v>0.49046129999999999</v>
      </c>
      <c r="F1699" t="s">
        <v>49</v>
      </c>
      <c r="G1699">
        <v>-318.75189999999998</v>
      </c>
      <c r="H1699" s="1">
        <v>6.0504950000000004E-6</v>
      </c>
      <c r="I1699">
        <v>285.16079999999999</v>
      </c>
      <c r="J1699">
        <v>-294.67399999999998</v>
      </c>
      <c r="K1699">
        <v>1.110195</v>
      </c>
      <c r="L1699">
        <v>284.92989999999998</v>
      </c>
      <c r="M1699">
        <v>-0.9988437</v>
      </c>
      <c r="N1699">
        <v>0</v>
      </c>
      <c r="O1699">
        <v>4.7366180000000001E-2</v>
      </c>
      <c r="P1699">
        <v>-0.98835969999999995</v>
      </c>
      <c r="Q1699">
        <v>0.14784849999999999</v>
      </c>
      <c r="R1699">
        <v>3.586048E-2</v>
      </c>
      <c r="S1699">
        <v>-3.0554809999999999</v>
      </c>
      <c r="T1699">
        <v>-0.13855590000000001</v>
      </c>
      <c r="U1699">
        <v>3.1158450000000001E-2</v>
      </c>
      <c r="V1699">
        <v>-1.1491090000000001E-2</v>
      </c>
      <c r="W1699">
        <v>0.15595629999999999</v>
      </c>
      <c r="X1699">
        <v>0.98769709999999999</v>
      </c>
      <c r="Y1699">
        <v>-3.7092989999999999E-2</v>
      </c>
      <c r="Z1699">
        <v>-2.9866480000000002E-3</v>
      </c>
      <c r="AA1699">
        <v>0.99930730000000001</v>
      </c>
      <c r="AB1699">
        <v>43</v>
      </c>
      <c r="AC1699">
        <v>-24.0778999999999</v>
      </c>
      <c r="AD1699">
        <v>-1.1101889495049999</v>
      </c>
      <c r="AE1699">
        <v>0.23090000000001901</v>
      </c>
      <c r="AF1699">
        <v>-0.90794585280627704</v>
      </c>
      <c r="AG1699">
        <v>-1.1101889495049999</v>
      </c>
      <c r="AH1699">
        <v>24.0107687608586</v>
      </c>
      <c r="AI1699">
        <v>92.645418751178198</v>
      </c>
      <c r="AJ1699">
        <v>92.165557124675502</v>
      </c>
      <c r="AK1699">
        <v>24.053563180174699</v>
      </c>
      <c r="AL1699">
        <v>81.027737163893704</v>
      </c>
      <c r="AM1699">
        <v>90.666561900276903</v>
      </c>
      <c r="AN1699">
        <v>0.99999998700374404</v>
      </c>
    </row>
    <row r="1700" spans="1:40" x14ac:dyDescent="0.25">
      <c r="A1700" t="str">
        <f>"20190312172649180"</f>
        <v>20190312172649180</v>
      </c>
      <c r="B1700" t="str">
        <f>"1552382809170291"</f>
        <v>1552382809170291</v>
      </c>
      <c r="C1700" t="s">
        <v>40</v>
      </c>
      <c r="D1700">
        <v>3.2665790000000001</v>
      </c>
      <c r="E1700">
        <v>0.4904907</v>
      </c>
      <c r="F1700" t="s">
        <v>49</v>
      </c>
      <c r="G1700">
        <v>-318.74979999999999</v>
      </c>
      <c r="H1700" s="1">
        <v>6.0512039999999999E-6</v>
      </c>
      <c r="I1700">
        <v>285.142</v>
      </c>
      <c r="J1700">
        <v>-295.11610000000002</v>
      </c>
      <c r="K1700">
        <v>1.1102780000000001</v>
      </c>
      <c r="L1700">
        <v>284.94979999999998</v>
      </c>
      <c r="M1700">
        <v>-0.99891160000000001</v>
      </c>
      <c r="N1700">
        <v>0</v>
      </c>
      <c r="O1700">
        <v>4.5908110000000002E-2</v>
      </c>
      <c r="P1700">
        <v>-0.98850740000000004</v>
      </c>
      <c r="Q1700">
        <v>0.14717529999999901</v>
      </c>
      <c r="R1700">
        <v>3.4533710000000002E-2</v>
      </c>
      <c r="S1700">
        <v>-3.0554199999999998</v>
      </c>
      <c r="T1700">
        <v>-0.1408924</v>
      </c>
      <c r="U1700">
        <v>2.6916499999999999E-2</v>
      </c>
      <c r="V1700">
        <v>-1.1409860000000001E-2</v>
      </c>
      <c r="W1700">
        <v>0.1553011</v>
      </c>
      <c r="X1700">
        <v>0.98780129999999999</v>
      </c>
      <c r="Y1700">
        <v>-3.7020020000000001E-2</v>
      </c>
      <c r="Z1700">
        <v>-2.9682390000000001E-3</v>
      </c>
      <c r="AA1700">
        <v>0.99931009999999998</v>
      </c>
      <c r="AB1700">
        <v>43</v>
      </c>
      <c r="AC1700">
        <v>-23.633699999999902</v>
      </c>
      <c r="AD1700">
        <v>-1.110271948796</v>
      </c>
      <c r="AE1700">
        <v>0.192200000000013</v>
      </c>
      <c r="AF1700">
        <v>-0.89105169090095004</v>
      </c>
      <c r="AG1700">
        <v>-1.110271948796</v>
      </c>
      <c r="AH1700">
        <v>23.5655993542758</v>
      </c>
      <c r="AI1700">
        <v>92.695520878549402</v>
      </c>
      <c r="AJ1700">
        <v>92.1654102950762</v>
      </c>
      <c r="AK1700">
        <v>23.608560943911499</v>
      </c>
      <c r="AL1700">
        <v>81.065740634613405</v>
      </c>
      <c r="AM1700">
        <v>90.661780614454202</v>
      </c>
      <c r="AN1700">
        <v>1.00000001242405</v>
      </c>
    </row>
    <row r="1701" spans="1:40" x14ac:dyDescent="0.25">
      <c r="A1701" t="str">
        <f>"20190312172649201"</f>
        <v>20190312172649201</v>
      </c>
      <c r="B1701" t="str">
        <f>"1552382809190791"</f>
        <v>1552382809190791</v>
      </c>
      <c r="C1701" t="s">
        <v>40</v>
      </c>
      <c r="D1701">
        <v>3.2889129999999902</v>
      </c>
      <c r="E1701">
        <v>0.49052180000000001</v>
      </c>
      <c r="F1701" t="s">
        <v>49</v>
      </c>
      <c r="G1701">
        <v>-318.82069999999999</v>
      </c>
      <c r="H1701" s="1">
        <v>6.083973E-6</v>
      </c>
      <c r="I1701">
        <v>285.12689999999998</v>
      </c>
      <c r="J1701">
        <v>-295.52359999999999</v>
      </c>
      <c r="K1701">
        <v>1.110352</v>
      </c>
      <c r="L1701">
        <v>284.9676</v>
      </c>
      <c r="M1701">
        <v>-0.99897499999999995</v>
      </c>
      <c r="N1701">
        <v>0</v>
      </c>
      <c r="O1701">
        <v>4.4502949999999999E-2</v>
      </c>
      <c r="P1701">
        <v>-0.98856250000000001</v>
      </c>
      <c r="Q1701">
        <v>0.1471066</v>
      </c>
      <c r="R1701">
        <v>3.32234E-2</v>
      </c>
      <c r="S1701">
        <v>-3.0554199999999998</v>
      </c>
      <c r="T1701">
        <v>-0.14310880000000001</v>
      </c>
      <c r="U1701">
        <v>2.2827150000000001E-2</v>
      </c>
      <c r="V1701">
        <v>-1.135862E-2</v>
      </c>
      <c r="W1701">
        <v>0.15524789999999999</v>
      </c>
      <c r="X1701">
        <v>0.98781030000000003</v>
      </c>
      <c r="Y1701">
        <v>-3.695056E-2</v>
      </c>
      <c r="Z1701">
        <v>-2.9475669999999999E-3</v>
      </c>
      <c r="AA1701">
        <v>0.9993128</v>
      </c>
      <c r="AB1701">
        <v>43</v>
      </c>
      <c r="AC1701">
        <v>-23.2971</v>
      </c>
      <c r="AD1701">
        <v>-1.1103459160269999</v>
      </c>
      <c r="AE1701">
        <v>0.15929999999997299</v>
      </c>
      <c r="AF1701">
        <v>-0.875693945976875</v>
      </c>
      <c r="AG1701">
        <v>-1.1103459160269999</v>
      </c>
      <c r="AH1701">
        <v>23.228345712189899</v>
      </c>
      <c r="AI1701">
        <v>92.734791766665495</v>
      </c>
      <c r="AJ1701">
        <v>92.158992229612593</v>
      </c>
      <c r="AK1701">
        <v>23.271350465008801</v>
      </c>
      <c r="AL1701">
        <v>81.068826610749696</v>
      </c>
      <c r="AM1701">
        <v>90.658802915847801</v>
      </c>
      <c r="AN1701">
        <v>1.0000000587444</v>
      </c>
    </row>
    <row r="1702" spans="1:40" x14ac:dyDescent="0.25">
      <c r="A1702" t="str">
        <f>"20190312172649222"</f>
        <v>20190312172649222</v>
      </c>
      <c r="B1702" t="str">
        <f>"1552382809220067"</f>
        <v>1552382809220067</v>
      </c>
      <c r="C1702" t="s">
        <v>40</v>
      </c>
      <c r="D1702">
        <v>3.2786870000000001</v>
      </c>
      <c r="E1702">
        <v>0.49053079999999999</v>
      </c>
      <c r="F1702" t="s">
        <v>49</v>
      </c>
      <c r="G1702">
        <v>-319.18650000000002</v>
      </c>
      <c r="H1702" s="1">
        <v>6.2474739999999996E-6</v>
      </c>
      <c r="I1702">
        <v>285.11219999999997</v>
      </c>
      <c r="J1702">
        <v>-295.93979999999999</v>
      </c>
      <c r="K1702">
        <v>1.1104259999999999</v>
      </c>
      <c r="L1702">
        <v>284.98509999999999</v>
      </c>
      <c r="M1702">
        <v>-0.99904029999999999</v>
      </c>
      <c r="N1702">
        <v>0</v>
      </c>
      <c r="O1702">
        <v>4.3011670000000002E-2</v>
      </c>
      <c r="P1702">
        <v>-0.98865250000000005</v>
      </c>
      <c r="Q1702">
        <v>0.1468352</v>
      </c>
      <c r="R1702">
        <v>3.172059E-2</v>
      </c>
      <c r="S1702">
        <v>-3.05545</v>
      </c>
      <c r="T1702">
        <v>-0.14337239999999901</v>
      </c>
      <c r="U1702">
        <v>1.8676760000000001E-2</v>
      </c>
      <c r="V1702">
        <v>-1.141466E-2</v>
      </c>
      <c r="W1702">
        <v>0.15499160000000001</v>
      </c>
      <c r="X1702">
        <v>0.9878498</v>
      </c>
      <c r="Y1702">
        <v>-3.6817709999999997E-2</v>
      </c>
      <c r="Z1702">
        <v>-2.8799899999999998E-3</v>
      </c>
      <c r="AA1702">
        <v>0.99931780000000003</v>
      </c>
      <c r="AB1702">
        <v>43</v>
      </c>
      <c r="AC1702">
        <v>-23.246700000000001</v>
      </c>
      <c r="AD1702">
        <v>-1.110419752526</v>
      </c>
      <c r="AE1702">
        <v>0.127099999999984</v>
      </c>
      <c r="AF1702">
        <v>-0.8709441118208</v>
      </c>
      <c r="AG1702">
        <v>-1.110419752526</v>
      </c>
      <c r="AH1702">
        <v>23.177769992847999</v>
      </c>
      <c r="AI1702">
        <v>92.7409448043461</v>
      </c>
      <c r="AJ1702">
        <v>92.151973836024695</v>
      </c>
      <c r="AK1702">
        <v>23.220693303906302</v>
      </c>
      <c r="AL1702">
        <v>81.083690549940002</v>
      </c>
      <c r="AM1702">
        <v>90.662026491444905</v>
      </c>
      <c r="AN1702">
        <v>0.99999995894675697</v>
      </c>
    </row>
    <row r="1703" spans="1:40" x14ac:dyDescent="0.25">
      <c r="A1703" t="str">
        <f>"20190312172649245"</f>
        <v>20190312172649245</v>
      </c>
      <c r="B1703" t="str">
        <f>"1552382809240564"</f>
        <v>1552382809240564</v>
      </c>
      <c r="C1703" t="s">
        <v>40</v>
      </c>
      <c r="D1703">
        <v>3.2820450000000001</v>
      </c>
      <c r="E1703">
        <v>0.4814136</v>
      </c>
      <c r="F1703" t="s">
        <v>49</v>
      </c>
      <c r="G1703">
        <v>-319.43599999999998</v>
      </c>
      <c r="H1703" s="1">
        <v>6.3597570000000004E-6</v>
      </c>
      <c r="I1703">
        <v>285.0933</v>
      </c>
      <c r="J1703">
        <v>-296.36559999999997</v>
      </c>
      <c r="K1703">
        <v>1.1104989999999999</v>
      </c>
      <c r="L1703">
        <v>285.00229999999999</v>
      </c>
      <c r="M1703">
        <v>-0.99910659999999896</v>
      </c>
      <c r="N1703">
        <v>0</v>
      </c>
      <c r="O1703">
        <v>4.1434930000000002E-2</v>
      </c>
      <c r="P1703">
        <v>-0.98875109999999999</v>
      </c>
      <c r="Q1703">
        <v>0.1464636</v>
      </c>
      <c r="R1703">
        <v>3.033137E-2</v>
      </c>
      <c r="S1703">
        <v>-3.0554199999999998</v>
      </c>
      <c r="T1703">
        <v>-0.144398</v>
      </c>
      <c r="U1703">
        <v>1.4068600000000001E-2</v>
      </c>
      <c r="V1703">
        <v>-1.127162E-2</v>
      </c>
      <c r="W1703">
        <v>0.15463929999999901</v>
      </c>
      <c r="X1703">
        <v>0.98790670000000003</v>
      </c>
      <c r="Y1703">
        <v>-3.6748210000000003E-2</v>
      </c>
      <c r="Z1703">
        <v>-2.8245610000000002E-3</v>
      </c>
      <c r="AA1703">
        <v>0.9993206</v>
      </c>
      <c r="AB1703">
        <v>43</v>
      </c>
      <c r="AC1703">
        <v>-23.070399999999999</v>
      </c>
      <c r="AD1703">
        <v>-1.110492640243</v>
      </c>
      <c r="AE1703">
        <v>9.1000000000008199E-2</v>
      </c>
      <c r="AF1703">
        <v>-0.86303202530231105</v>
      </c>
      <c r="AG1703">
        <v>-1.110492640243</v>
      </c>
      <c r="AH1703">
        <v>23.0010645486696</v>
      </c>
      <c r="AI1703">
        <v>92.762156336015394</v>
      </c>
      <c r="AJ1703">
        <v>92.148809541515007</v>
      </c>
      <c r="AK1703">
        <v>23.0440228378813</v>
      </c>
      <c r="AL1703">
        <v>81.104122604906195</v>
      </c>
      <c r="AM1703">
        <v>90.653693544710805</v>
      </c>
      <c r="AN1703">
        <v>1.0000000052133999</v>
      </c>
    </row>
    <row r="1704" spans="1:40" x14ac:dyDescent="0.25">
      <c r="A1704" t="str">
        <f>"20190312172649269"</f>
        <v>20190312172649269</v>
      </c>
      <c r="B1704" t="str">
        <f>"1552382809261059"</f>
        <v>1552382809261059</v>
      </c>
      <c r="C1704" t="s">
        <v>40</v>
      </c>
      <c r="D1704">
        <v>3.2475749999999999</v>
      </c>
      <c r="E1704">
        <v>0.48182249999999999</v>
      </c>
      <c r="F1704" t="s">
        <v>49</v>
      </c>
      <c r="G1704">
        <v>-319.6549</v>
      </c>
      <c r="H1704" s="1">
        <v>6.5064129999999998E-6</v>
      </c>
      <c r="I1704">
        <v>284.52600000000001</v>
      </c>
      <c r="J1704">
        <v>-296.82010000000002</v>
      </c>
      <c r="K1704">
        <v>1.110573</v>
      </c>
      <c r="L1704">
        <v>285.01990000000001</v>
      </c>
      <c r="M1704">
        <v>-0.99917679999999998</v>
      </c>
      <c r="N1704">
        <v>0</v>
      </c>
      <c r="O1704">
        <v>3.9703670000000003E-2</v>
      </c>
      <c r="P1704">
        <v>-0.98868389999999995</v>
      </c>
      <c r="Q1704">
        <v>0.14723439999999999</v>
      </c>
      <c r="R1704">
        <v>2.8749719999999999E-2</v>
      </c>
      <c r="S1704">
        <v>-3.0576479999999999</v>
      </c>
      <c r="T1704">
        <v>-0.14579639999999999</v>
      </c>
      <c r="U1704">
        <v>-6.2530520000000006E-2</v>
      </c>
      <c r="V1704">
        <v>-1.1165639999999999E-2</v>
      </c>
      <c r="W1704">
        <v>0.1554316</v>
      </c>
      <c r="X1704">
        <v>0.98778359999999998</v>
      </c>
      <c r="Y1704">
        <v>-6.001364E-2</v>
      </c>
      <c r="Z1704">
        <v>-3.321624E-3</v>
      </c>
      <c r="AA1704">
        <v>0.99819199999999997</v>
      </c>
      <c r="AB1704">
        <v>43</v>
      </c>
      <c r="AC1704">
        <v>-22.834799999999898</v>
      </c>
      <c r="AD1704">
        <v>-1.1105664935870001</v>
      </c>
      <c r="AE1704">
        <v>-0.49389999999999601</v>
      </c>
      <c r="AF1704">
        <v>-1.39686480671726</v>
      </c>
      <c r="AG1704">
        <v>-1.1105664935870001</v>
      </c>
      <c r="AH1704">
        <v>22.743412265017099</v>
      </c>
      <c r="AI1704">
        <v>92.790297194367795</v>
      </c>
      <c r="AJ1704">
        <v>93.514602304619899</v>
      </c>
      <c r="AK1704">
        <v>22.813316082530701</v>
      </c>
      <c r="AL1704">
        <v>81.0581719371079</v>
      </c>
      <c r="AM1704">
        <v>90.647628490722397</v>
      </c>
      <c r="AN1704">
        <v>1.00000004711206</v>
      </c>
    </row>
    <row r="1705" spans="1:40" x14ac:dyDescent="0.25">
      <c r="A1705" t="str">
        <f>"20190312172649292"</f>
        <v>20190312172649292</v>
      </c>
      <c r="B1705" t="str">
        <f>"1552382809280579"</f>
        <v>1552382809280579</v>
      </c>
      <c r="C1705" t="s">
        <v>40</v>
      </c>
      <c r="D1705">
        <v>3.2356560000000001</v>
      </c>
      <c r="E1705">
        <v>0.48203580000000001</v>
      </c>
      <c r="F1705" t="s">
        <v>48</v>
      </c>
      <c r="G1705">
        <v>-320.56610000000001</v>
      </c>
      <c r="H1705" s="1">
        <v>-1.231418E-6</v>
      </c>
      <c r="I1705">
        <v>284.52170000000001</v>
      </c>
      <c r="J1705">
        <v>-297.26249999999999</v>
      </c>
      <c r="K1705">
        <v>1.1106339999999999</v>
      </c>
      <c r="L1705">
        <v>285.03629999999998</v>
      </c>
      <c r="M1705">
        <v>-0.9992434</v>
      </c>
      <c r="N1705">
        <v>0</v>
      </c>
      <c r="O1705">
        <v>3.7982460000000003E-2</v>
      </c>
      <c r="P1705">
        <v>-0.98860389999999998</v>
      </c>
      <c r="Q1705">
        <v>0.14802360000000001</v>
      </c>
      <c r="R1705">
        <v>2.740853E-2</v>
      </c>
      <c r="S1705">
        <v>-3.0574949999999999</v>
      </c>
      <c r="T1705">
        <v>-0.1429956</v>
      </c>
      <c r="U1705">
        <v>-6.4147949999999995E-2</v>
      </c>
      <c r="V1705">
        <v>-1.0824159999999999E-2</v>
      </c>
      <c r="W1705">
        <v>0.15624549999999901</v>
      </c>
      <c r="X1705">
        <v>0.98765890000000001</v>
      </c>
      <c r="Y1705">
        <v>-5.8830460000000001E-2</v>
      </c>
      <c r="Z1705">
        <v>-3.1499649999999998E-3</v>
      </c>
      <c r="AA1705">
        <v>0.99826300000000001</v>
      </c>
      <c r="AB1705">
        <v>43</v>
      </c>
      <c r="AC1705">
        <v>-23.303599999999999</v>
      </c>
      <c r="AD1705">
        <v>-1.1106352314179999</v>
      </c>
      <c r="AE1705">
        <v>-0.51459999999997297</v>
      </c>
      <c r="AF1705">
        <v>-1.3962178130852201</v>
      </c>
      <c r="AG1705">
        <v>-1.1106352314179999</v>
      </c>
      <c r="AH1705">
        <v>23.214532446254399</v>
      </c>
      <c r="AI1705">
        <v>92.734136767163804</v>
      </c>
      <c r="AJ1705">
        <v>93.441858601063601</v>
      </c>
      <c r="AK1705">
        <v>23.282986309686301</v>
      </c>
      <c r="AL1705">
        <v>81.0109613360015</v>
      </c>
      <c r="AM1705">
        <v>90.627902869043396</v>
      </c>
      <c r="AN1705">
        <v>0.99999996072958197</v>
      </c>
    </row>
    <row r="1706" spans="1:40" x14ac:dyDescent="0.25">
      <c r="A1706" t="str">
        <f>"20190312172649314"</f>
        <v>20190312172649314</v>
      </c>
      <c r="B1706" t="str">
        <f>"1552382809310835"</f>
        <v>1552382809310835</v>
      </c>
      <c r="C1706" t="s">
        <v>40</v>
      </c>
      <c r="D1706">
        <v>3.2599670000000001</v>
      </c>
      <c r="E1706">
        <v>0.4822437</v>
      </c>
      <c r="F1706" t="s">
        <v>48</v>
      </c>
      <c r="G1706">
        <v>-321.0772</v>
      </c>
      <c r="H1706" s="1">
        <v>-9.5914339999999994E-7</v>
      </c>
      <c r="I1706">
        <v>284.51549999999997</v>
      </c>
      <c r="J1706">
        <v>-297.685</v>
      </c>
      <c r="K1706">
        <v>1.1106860000000001</v>
      </c>
      <c r="L1706">
        <v>285.05119999999999</v>
      </c>
      <c r="M1706">
        <v>-0.9993052</v>
      </c>
      <c r="N1706">
        <v>0</v>
      </c>
      <c r="O1706">
        <v>3.6317080000000002E-2</v>
      </c>
      <c r="P1706">
        <v>-0.98867729999999998</v>
      </c>
      <c r="Q1706">
        <v>0.14785309999999999</v>
      </c>
      <c r="R1706">
        <v>2.5630790000000001E-2</v>
      </c>
      <c r="S1706">
        <v>-3.0578310000000002</v>
      </c>
      <c r="T1706">
        <v>-0.1426066</v>
      </c>
      <c r="U1706">
        <v>-6.6864010000000001E-2</v>
      </c>
      <c r="V1706">
        <v>-1.097277E-2</v>
      </c>
      <c r="W1706">
        <v>0.15609719999999999</v>
      </c>
      <c r="X1706">
        <v>0.98768069999999997</v>
      </c>
      <c r="Y1706">
        <v>-5.8053979999999998E-2</v>
      </c>
      <c r="Z1706">
        <v>-3.0453500000000001E-3</v>
      </c>
      <c r="AA1706">
        <v>0.9983088</v>
      </c>
      <c r="AB1706">
        <v>43</v>
      </c>
      <c r="AC1706">
        <v>-23.392199999999999</v>
      </c>
      <c r="AD1706">
        <v>-1.1106869591433901</v>
      </c>
      <c r="AE1706">
        <v>-0.53570000000001905</v>
      </c>
      <c r="AF1706">
        <v>-1.38179922799493</v>
      </c>
      <c r="AG1706">
        <v>-1.1106869591433901</v>
      </c>
      <c r="AH1706">
        <v>23.304799704720899</v>
      </c>
      <c r="AI1706">
        <v>92.723827007740695</v>
      </c>
      <c r="AJ1706">
        <v>93.393235814706799</v>
      </c>
      <c r="AK1706">
        <v>23.372134774231899</v>
      </c>
      <c r="AL1706">
        <v>81.019563768521493</v>
      </c>
      <c r="AM1706">
        <v>90.636508891193003</v>
      </c>
      <c r="AN1706">
        <v>0.99999995134090003</v>
      </c>
    </row>
    <row r="1707" spans="1:40" x14ac:dyDescent="0.25">
      <c r="A1707" t="str">
        <f>"20190312172649334"</f>
        <v>20190312172649334</v>
      </c>
      <c r="B1707" t="str">
        <f>"1552382809330356"</f>
        <v>1552382809330356</v>
      </c>
      <c r="C1707" t="s">
        <v>40</v>
      </c>
      <c r="D1707">
        <v>3.2427869999999999</v>
      </c>
      <c r="E1707">
        <v>0.48220039999999997</v>
      </c>
      <c r="F1707" t="s">
        <v>48</v>
      </c>
      <c r="G1707">
        <v>-321.43389999999999</v>
      </c>
      <c r="H1707" s="1">
        <v>-7.6871249999999997E-7</v>
      </c>
      <c r="I1707">
        <v>284.50170000000003</v>
      </c>
      <c r="J1707">
        <v>-298.07859999999999</v>
      </c>
      <c r="K1707">
        <v>1.1107290000000001</v>
      </c>
      <c r="L1707">
        <v>285.06450000000001</v>
      </c>
      <c r="M1707">
        <v>-0.99936060000000004</v>
      </c>
      <c r="N1707">
        <v>0</v>
      </c>
      <c r="O1707">
        <v>3.475317E-2</v>
      </c>
      <c r="P1707">
        <v>-0.98875930000000001</v>
      </c>
      <c r="Q1707">
        <v>0.1475399</v>
      </c>
      <c r="R1707">
        <v>2.423291E-2</v>
      </c>
      <c r="S1707">
        <v>-3.0575869999999998</v>
      </c>
      <c r="T1707">
        <v>-0.14299690000000001</v>
      </c>
      <c r="U1707">
        <v>-7.0739750000000004E-2</v>
      </c>
      <c r="V1707">
        <v>-1.083858E-2</v>
      </c>
      <c r="W1707">
        <v>0.15580649999999999</v>
      </c>
      <c r="X1707">
        <v>0.9877281</v>
      </c>
      <c r="Y1707">
        <v>-5.7759680000000001E-2</v>
      </c>
      <c r="Z1707">
        <v>-2.9739340000000001E-3</v>
      </c>
      <c r="AA1707">
        <v>0.99832609999999999</v>
      </c>
      <c r="AB1707">
        <v>43</v>
      </c>
      <c r="AC1707">
        <v>-23.3553</v>
      </c>
      <c r="AD1707">
        <v>-1.1107297687125</v>
      </c>
      <c r="AE1707">
        <v>-0.56279999999998098</v>
      </c>
      <c r="AF1707">
        <v>-1.37106016626025</v>
      </c>
      <c r="AG1707">
        <v>-1.1107297687125</v>
      </c>
      <c r="AH1707">
        <v>23.269032550543201</v>
      </c>
      <c r="AI1707">
        <v>92.728171934667799</v>
      </c>
      <c r="AJ1707">
        <v>93.372088597823506</v>
      </c>
      <c r="AK1707">
        <v>23.335839441443898</v>
      </c>
      <c r="AL1707">
        <v>81.036426134955803</v>
      </c>
      <c r="AM1707">
        <v>90.628695251481204</v>
      </c>
      <c r="AN1707">
        <v>0.99999996989413698</v>
      </c>
    </row>
    <row r="1708" spans="1:40" x14ac:dyDescent="0.25">
      <c r="A1708" t="str">
        <f>"20190312172649357"</f>
        <v>20190312172649357</v>
      </c>
      <c r="B1708" t="str">
        <f>"1552382809350851"</f>
        <v>1552382809350851</v>
      </c>
      <c r="C1708" t="s">
        <v>40</v>
      </c>
      <c r="D1708">
        <v>3.2582279999999999</v>
      </c>
      <c r="E1708">
        <v>0.48224430000000001</v>
      </c>
      <c r="F1708" t="s">
        <v>48</v>
      </c>
      <c r="G1708">
        <v>-321.71429999999998</v>
      </c>
      <c r="H1708" s="1">
        <v>-6.1841980000000002E-7</v>
      </c>
      <c r="I1708">
        <v>284.47649999999999</v>
      </c>
      <c r="J1708">
        <v>-298.53359999999998</v>
      </c>
      <c r="K1708">
        <v>1.110762</v>
      </c>
      <c r="L1708">
        <v>285.07900000000001</v>
      </c>
      <c r="M1708">
        <v>-0.99942189999999997</v>
      </c>
      <c r="N1708">
        <v>0</v>
      </c>
      <c r="O1708">
        <v>3.2934619999999998E-2</v>
      </c>
      <c r="P1708">
        <v>-0.9887475</v>
      </c>
      <c r="Q1708">
        <v>0.14788850000000001</v>
      </c>
      <c r="R1708">
        <v>2.2519500000000001E-2</v>
      </c>
      <c r="S1708">
        <v>-3.0573730000000001</v>
      </c>
      <c r="T1708">
        <v>-0.1436772</v>
      </c>
      <c r="U1708">
        <v>-7.6049800000000001E-2</v>
      </c>
      <c r="V1708">
        <v>-1.076682E-2</v>
      </c>
      <c r="W1708">
        <v>0.15617819999999999</v>
      </c>
      <c r="X1708">
        <v>0.98767020000000005</v>
      </c>
      <c r="Y1708">
        <v>-5.7678699999999902E-2</v>
      </c>
      <c r="Z1708">
        <v>-2.9009410000000002E-3</v>
      </c>
      <c r="AA1708">
        <v>0.99833099999999997</v>
      </c>
      <c r="AB1708">
        <v>43</v>
      </c>
      <c r="AC1708">
        <v>-23.180700000000002</v>
      </c>
      <c r="AD1708">
        <v>-1.1107626184198001</v>
      </c>
      <c r="AE1708">
        <v>-0.60250000000002002</v>
      </c>
      <c r="AF1708">
        <v>-1.36252147894529</v>
      </c>
      <c r="AG1708">
        <v>-1.1107626184198001</v>
      </c>
      <c r="AH1708">
        <v>23.0952868316758</v>
      </c>
      <c r="AI1708">
        <v>92.748733905200098</v>
      </c>
      <c r="AJ1708">
        <v>93.376288391667501</v>
      </c>
      <c r="AK1708">
        <v>23.1620925698099</v>
      </c>
      <c r="AL1708">
        <v>81.014865527003394</v>
      </c>
      <c r="AM1708">
        <v>90.6245697298273</v>
      </c>
      <c r="AN1708">
        <v>0.99999998926809597</v>
      </c>
    </row>
    <row r="1709" spans="1:40" x14ac:dyDescent="0.25">
      <c r="A1709" t="str">
        <f>"20190312172649380"</f>
        <v>20190312172649380</v>
      </c>
      <c r="B1709" t="str">
        <f>"1552382809370371"</f>
        <v>1552382809370371</v>
      </c>
      <c r="C1709" t="s">
        <v>40</v>
      </c>
      <c r="D1709">
        <v>3.253171</v>
      </c>
      <c r="E1709">
        <v>0.48218610000000001</v>
      </c>
      <c r="F1709" t="s">
        <v>48</v>
      </c>
      <c r="G1709">
        <v>-322.53129999999999</v>
      </c>
      <c r="H1709" s="1">
        <v>-1.8221299999999999E-7</v>
      </c>
      <c r="I1709">
        <v>284.44439999999997</v>
      </c>
      <c r="J1709">
        <v>-298.95740000000001</v>
      </c>
      <c r="K1709">
        <v>1.1107940000000001</v>
      </c>
      <c r="L1709">
        <v>285.09179999999998</v>
      </c>
      <c r="M1709">
        <v>-0.99947629999999998</v>
      </c>
      <c r="N1709">
        <v>0</v>
      </c>
      <c r="O1709">
        <v>3.12348E-2</v>
      </c>
      <c r="P1709">
        <v>-0.98883620000000005</v>
      </c>
      <c r="Q1709">
        <v>0.1474348</v>
      </c>
      <c r="R1709">
        <v>2.1586129999999999E-2</v>
      </c>
      <c r="S1709">
        <v>-3.0571290000000002</v>
      </c>
      <c r="T1709">
        <v>-0.14150270000000001</v>
      </c>
      <c r="U1709">
        <v>-8.0841060000000006E-2</v>
      </c>
      <c r="V1709">
        <v>-1.0029980000000001E-2</v>
      </c>
      <c r="W1709">
        <v>0.15575</v>
      </c>
      <c r="X1709">
        <v>0.9877456</v>
      </c>
      <c r="Y1709">
        <v>-5.7551329999999998E-2</v>
      </c>
      <c r="Z1709">
        <v>-2.775708E-3</v>
      </c>
      <c r="AA1709">
        <v>0.99833870000000002</v>
      </c>
      <c r="AB1709">
        <v>43</v>
      </c>
      <c r="AC1709">
        <v>-23.573899999999899</v>
      </c>
      <c r="AD1709">
        <v>-1.1107941822130001</v>
      </c>
      <c r="AE1709">
        <v>-0.64740000000000397</v>
      </c>
      <c r="AF1709">
        <v>-1.3803739931993699</v>
      </c>
      <c r="AG1709">
        <v>-1.1107941822130001</v>
      </c>
      <c r="AH1709">
        <v>23.4900599459191</v>
      </c>
      <c r="AI1709">
        <v>92.702721193991593</v>
      </c>
      <c r="AJ1709">
        <v>93.363071620559296</v>
      </c>
      <c r="AK1709">
        <v>23.556786969771899</v>
      </c>
      <c r="AL1709">
        <v>81.039703777206697</v>
      </c>
      <c r="AM1709">
        <v>90.5817852003685</v>
      </c>
      <c r="AN1709">
        <v>1.0000000166590799</v>
      </c>
    </row>
    <row r="1710" spans="1:40" x14ac:dyDescent="0.25">
      <c r="A1710" t="str">
        <f>"20190312172649402"</f>
        <v>20190312172649402</v>
      </c>
      <c r="B1710" t="str">
        <f>"1552382809400628"</f>
        <v>1552382809400628</v>
      </c>
      <c r="C1710" t="s">
        <v>40</v>
      </c>
      <c r="D1710">
        <v>3.2493319999999999</v>
      </c>
      <c r="E1710">
        <v>0.4823673</v>
      </c>
      <c r="F1710" t="s">
        <v>48</v>
      </c>
      <c r="G1710">
        <v>-322.72500000000002</v>
      </c>
      <c r="H1710" s="1">
        <v>-7.8574349999999998E-8</v>
      </c>
      <c r="I1710">
        <v>284.43049999999999</v>
      </c>
      <c r="J1710">
        <v>-299.40679999999998</v>
      </c>
      <c r="K1710">
        <v>1.1108229999999999</v>
      </c>
      <c r="L1710">
        <v>285.1046</v>
      </c>
      <c r="M1710">
        <v>-0.99953099999999995</v>
      </c>
      <c r="N1710">
        <v>0</v>
      </c>
      <c r="O1710">
        <v>2.9427410000000001E-2</v>
      </c>
      <c r="P1710">
        <v>-0.98890400000000001</v>
      </c>
      <c r="Q1710">
        <v>0.14710799999999999</v>
      </c>
      <c r="R1710">
        <v>2.0697790000000001E-2</v>
      </c>
      <c r="S1710">
        <v>-3.0570369999999998</v>
      </c>
      <c r="T1710">
        <v>-0.14287279999999999</v>
      </c>
      <c r="U1710">
        <v>-8.5052489999999994E-2</v>
      </c>
      <c r="V1710">
        <v>-9.1411830000000006E-3</v>
      </c>
      <c r="W1710">
        <v>0.15545</v>
      </c>
      <c r="X1710">
        <v>0.9878015</v>
      </c>
      <c r="Y1710">
        <v>-5.7121739999999997E-2</v>
      </c>
      <c r="Z1710">
        <v>-2.7081639999999999E-3</v>
      </c>
      <c r="AA1710">
        <v>0.99836360000000002</v>
      </c>
      <c r="AB1710">
        <v>43</v>
      </c>
      <c r="AC1710">
        <v>-23.318200000000001</v>
      </c>
      <c r="AD1710">
        <v>-1.11082307857434</v>
      </c>
      <c r="AE1710">
        <v>-0.67410000000000903</v>
      </c>
      <c r="AF1710">
        <v>-1.3569500989258501</v>
      </c>
      <c r="AG1710">
        <v>-1.11082307857434</v>
      </c>
      <c r="AH1710">
        <v>23.235577482506201</v>
      </c>
      <c r="AI1710">
        <v>92.732406557217899</v>
      </c>
      <c r="AJ1710">
        <v>93.342258553169998</v>
      </c>
      <c r="AK1710">
        <v>23.301658791348299</v>
      </c>
      <c r="AL1710">
        <v>81.057104600903898</v>
      </c>
      <c r="AM1710">
        <v>90.530203948323503</v>
      </c>
      <c r="AN1710">
        <v>1.0000000335644399</v>
      </c>
    </row>
    <row r="1711" spans="1:40" x14ac:dyDescent="0.25">
      <c r="A1711" t="str">
        <f>"20190312172649425"</f>
        <v>20190312172649425</v>
      </c>
      <c r="B1711" t="str">
        <f>"1552382809420148"</f>
        <v>1552382809420148</v>
      </c>
      <c r="C1711" t="s">
        <v>40</v>
      </c>
      <c r="D1711">
        <v>3.276408</v>
      </c>
      <c r="E1711">
        <v>0.4824753</v>
      </c>
      <c r="F1711" t="s">
        <v>48</v>
      </c>
      <c r="G1711">
        <v>-322.94830000000002</v>
      </c>
      <c r="H1711" s="1">
        <v>3.9971830000000001E-8</v>
      </c>
      <c r="I1711">
        <v>284.43740000000003</v>
      </c>
      <c r="J1711">
        <v>-299.83440000000002</v>
      </c>
      <c r="K1711">
        <v>1.110849</v>
      </c>
      <c r="L1711">
        <v>285.11610000000002</v>
      </c>
      <c r="M1711">
        <v>-0.99958009999999997</v>
      </c>
      <c r="N1711">
        <v>0</v>
      </c>
      <c r="O1711">
        <v>2.7704489999999998E-2</v>
      </c>
      <c r="P1711">
        <v>-0.98899269999999995</v>
      </c>
      <c r="Q1711">
        <v>0.1466489</v>
      </c>
      <c r="R1711">
        <v>1.9701420000000001E-2</v>
      </c>
      <c r="S1711">
        <v>-3.0569459999999999</v>
      </c>
      <c r="T1711">
        <v>-0.14424439999999999</v>
      </c>
      <c r="U1711">
        <v>-8.6639399999999894E-2</v>
      </c>
      <c r="V1711">
        <v>-8.4422980000000009E-3</v>
      </c>
      <c r="W1711">
        <v>0.15501570000000001</v>
      </c>
      <c r="X1711">
        <v>0.98787590000000003</v>
      </c>
      <c r="Y1711">
        <v>-5.5920959999999999E-2</v>
      </c>
      <c r="Z1711">
        <v>-2.6246590000000001E-3</v>
      </c>
      <c r="AA1711">
        <v>0.99843170000000003</v>
      </c>
      <c r="AB1711">
        <v>44</v>
      </c>
      <c r="AC1711">
        <v>-23.113900000000001</v>
      </c>
      <c r="AD1711">
        <v>-1.1108489600281699</v>
      </c>
      <c r="AE1711">
        <v>-0.67869999999999198</v>
      </c>
      <c r="AF1711">
        <v>-1.3157848535883701</v>
      </c>
      <c r="AG1711">
        <v>-1.1108489600281699</v>
      </c>
      <c r="AH1711">
        <v>23.0330689071804</v>
      </c>
      <c r="AI1711">
        <v>92.756659159354001</v>
      </c>
      <c r="AJ1711">
        <v>93.269519666661793</v>
      </c>
      <c r="AK1711">
        <v>23.097349165561202</v>
      </c>
      <c r="AL1711">
        <v>81.0822928984893</v>
      </c>
      <c r="AM1711">
        <v>90.489632624732906</v>
      </c>
      <c r="AN1711">
        <v>0.99999996672140901</v>
      </c>
    </row>
    <row r="1712" spans="1:40" x14ac:dyDescent="0.25">
      <c r="A1712" t="str">
        <f>"20190312172649447"</f>
        <v>20190312172649447</v>
      </c>
      <c r="B1712" t="str">
        <f>"1552382809440643"</f>
        <v>1552382809440643</v>
      </c>
      <c r="C1712" t="s">
        <v>40</v>
      </c>
      <c r="D1712">
        <v>3.2308129999999999</v>
      </c>
      <c r="E1712">
        <v>0.48258180000000001</v>
      </c>
      <c r="F1712" t="s">
        <v>48</v>
      </c>
      <c r="G1712">
        <v>-323.05169999999998</v>
      </c>
      <c r="H1712" s="1">
        <v>9.4863309999999993E-8</v>
      </c>
      <c r="I1712">
        <v>284.43990000000002</v>
      </c>
      <c r="J1712">
        <v>-300.27539999999999</v>
      </c>
      <c r="K1712">
        <v>1.110867</v>
      </c>
      <c r="L1712">
        <v>285.12709999999998</v>
      </c>
      <c r="M1712">
        <v>-0.99962770000000001</v>
      </c>
      <c r="N1712">
        <v>0</v>
      </c>
      <c r="O1712">
        <v>2.592299E-2</v>
      </c>
      <c r="P1712">
        <v>-0.98904190000000003</v>
      </c>
      <c r="Q1712">
        <v>0.14648549999999999</v>
      </c>
      <c r="R1712">
        <v>1.8391600000000001E-2</v>
      </c>
      <c r="S1712">
        <v>-3.056854</v>
      </c>
      <c r="T1712">
        <v>-0.14625739999999901</v>
      </c>
      <c r="U1712">
        <v>-8.9019780000000007E-2</v>
      </c>
      <c r="V1712">
        <v>-7.9987419999999997E-3</v>
      </c>
      <c r="W1712">
        <v>0.15487529999999999</v>
      </c>
      <c r="X1712">
        <v>0.98790160000000005</v>
      </c>
      <c r="Y1712">
        <v>-5.4919780000000001E-2</v>
      </c>
      <c r="Z1712">
        <v>-2.5522000000000001E-3</v>
      </c>
      <c r="AA1712">
        <v>0.99848749999999997</v>
      </c>
      <c r="AB1712">
        <v>44</v>
      </c>
      <c r="AC1712">
        <v>-22.7762999999999</v>
      </c>
      <c r="AD1712">
        <v>-1.11086690513669</v>
      </c>
      <c r="AE1712">
        <v>-0.68719999999996095</v>
      </c>
      <c r="AF1712">
        <v>-1.2743914706389901</v>
      </c>
      <c r="AG1712">
        <v>-1.11086690513669</v>
      </c>
      <c r="AH1712">
        <v>22.6968881574814</v>
      </c>
      <c r="AI1712">
        <v>92.797625010129394</v>
      </c>
      <c r="AJ1712">
        <v>93.213685721484495</v>
      </c>
      <c r="AK1712">
        <v>22.759763420004699</v>
      </c>
      <c r="AL1712">
        <v>81.090435458439501</v>
      </c>
      <c r="AM1712">
        <v>90.463896549698902</v>
      </c>
      <c r="AN1712">
        <v>0.99999995485311499</v>
      </c>
    </row>
    <row r="1713" spans="1:40" x14ac:dyDescent="0.25">
      <c r="A1713" t="str">
        <f>"20190312172649469"</f>
        <v>20190312172649469</v>
      </c>
      <c r="B1713" t="str">
        <f>"1552382809460163"</f>
        <v>1552382809460163</v>
      </c>
      <c r="C1713" t="s">
        <v>40</v>
      </c>
      <c r="D1713">
        <v>3.2751260000000002</v>
      </c>
      <c r="E1713">
        <v>0.48268270000000002</v>
      </c>
      <c r="F1713" t="s">
        <v>48</v>
      </c>
      <c r="G1713">
        <v>-323.24470000000002</v>
      </c>
      <c r="H1713" s="1">
        <v>1.9792180000000001E-7</v>
      </c>
      <c r="I1713">
        <v>284.43270000000001</v>
      </c>
      <c r="J1713">
        <v>-300.71339999999998</v>
      </c>
      <c r="K1713">
        <v>1.110892</v>
      </c>
      <c r="L1713">
        <v>285.13729999999998</v>
      </c>
      <c r="M1713">
        <v>-0.99967220000000001</v>
      </c>
      <c r="N1713">
        <v>0</v>
      </c>
      <c r="O1713">
        <v>2.414268E-2</v>
      </c>
      <c r="P1713">
        <v>-0.98901669999999997</v>
      </c>
      <c r="Q1713">
        <v>0.14682919999999999</v>
      </c>
      <c r="R1713">
        <v>1.6950599999999899E-2</v>
      </c>
      <c r="S1713">
        <v>-3.056854</v>
      </c>
      <c r="T1713">
        <v>-0.14783869999999999</v>
      </c>
      <c r="U1713">
        <v>-9.2407230000000007E-2</v>
      </c>
      <c r="V1713">
        <v>-7.6878609999999998E-3</v>
      </c>
      <c r="W1713">
        <v>0.15523989999999999</v>
      </c>
      <c r="X1713">
        <v>0.98784689999999997</v>
      </c>
      <c r="Y1713">
        <v>-5.4247900000000002E-2</v>
      </c>
      <c r="Z1713">
        <v>-2.4774609999999998E-3</v>
      </c>
      <c r="AA1713">
        <v>0.99852439999999998</v>
      </c>
      <c r="AB1713">
        <v>44</v>
      </c>
      <c r="AC1713">
        <v>-22.531300000000002</v>
      </c>
      <c r="AD1713">
        <v>-1.1108918020781999</v>
      </c>
      <c r="AE1713">
        <v>-0.70459999999997003</v>
      </c>
      <c r="AF1713">
        <v>-1.24535592431338</v>
      </c>
      <c r="AG1713">
        <v>-1.1108918020781999</v>
      </c>
      <c r="AH1713">
        <v>22.4531919851648</v>
      </c>
      <c r="AI1713">
        <v>92.828110744339895</v>
      </c>
      <c r="AJ1713">
        <v>93.174631228552499</v>
      </c>
      <c r="AK1713">
        <v>22.515124301162899</v>
      </c>
      <c r="AL1713">
        <v>81.069290197636803</v>
      </c>
      <c r="AM1713">
        <v>90.445892067185198</v>
      </c>
      <c r="AN1713">
        <v>1.00000001379918</v>
      </c>
    </row>
    <row r="1714" spans="1:40" x14ac:dyDescent="0.25">
      <c r="A1714" t="str">
        <f>"20190312172649493"</f>
        <v>20190312172649493</v>
      </c>
      <c r="B1714" t="str">
        <f>"1552382809480659"</f>
        <v>1552382809480659</v>
      </c>
      <c r="C1714" t="s">
        <v>40</v>
      </c>
      <c r="D1714">
        <v>3.2762899999999999</v>
      </c>
      <c r="E1714">
        <v>0.48278779999999999</v>
      </c>
      <c r="F1714" t="s">
        <v>48</v>
      </c>
      <c r="G1714">
        <v>-323.67700000000002</v>
      </c>
      <c r="H1714" s="1">
        <v>4.2885370000000001E-7</v>
      </c>
      <c r="I1714">
        <v>284.41210000000001</v>
      </c>
      <c r="J1714">
        <v>-301.15809999999999</v>
      </c>
      <c r="K1714">
        <v>1.1109199999999999</v>
      </c>
      <c r="L1714">
        <v>285.14670000000001</v>
      </c>
      <c r="M1714">
        <v>-0.99971429999999994</v>
      </c>
      <c r="N1714">
        <v>0</v>
      </c>
      <c r="O1714">
        <v>2.2319370000000002E-2</v>
      </c>
      <c r="P1714">
        <v>-0.98912279999999997</v>
      </c>
      <c r="Q1714">
        <v>0.14629120000000001</v>
      </c>
      <c r="R1714">
        <v>1.534221E-2</v>
      </c>
      <c r="S1714">
        <v>-3.056915</v>
      </c>
      <c r="T1714">
        <v>-0.1478817</v>
      </c>
      <c r="U1714">
        <v>-9.6527100000000005E-2</v>
      </c>
      <c r="V1714">
        <v>-7.501944E-3</v>
      </c>
      <c r="W1714">
        <v>0.1547231</v>
      </c>
      <c r="X1714">
        <v>0.98792939999999996</v>
      </c>
      <c r="Y1714">
        <v>-5.37732E-2</v>
      </c>
      <c r="Z1714">
        <v>-2.3784790000000002E-3</v>
      </c>
      <c r="AA1714">
        <v>0.99855039999999995</v>
      </c>
      <c r="AB1714">
        <v>44</v>
      </c>
      <c r="AC1714">
        <v>-22.518899999999999</v>
      </c>
      <c r="AD1714">
        <v>-1.1109195711463</v>
      </c>
      <c r="AE1714">
        <v>-0.73460000000000003</v>
      </c>
      <c r="AF1714">
        <v>-1.2340429160254101</v>
      </c>
      <c r="AG1714">
        <v>-1.1109195711463</v>
      </c>
      <c r="AH1714">
        <v>22.442333209206801</v>
      </c>
      <c r="AI1714">
        <v>92.829621754437994</v>
      </c>
      <c r="AJ1714">
        <v>93.147369637250506</v>
      </c>
      <c r="AK1714">
        <v>22.5036735686691</v>
      </c>
      <c r="AL1714">
        <v>81.099262753236403</v>
      </c>
      <c r="AM1714">
        <v>90.435073060786493</v>
      </c>
      <c r="AN1714">
        <v>1.00000000811087</v>
      </c>
    </row>
    <row r="1715" spans="1:40" x14ac:dyDescent="0.25">
      <c r="A1715" t="str">
        <f>"20190312172649514"</f>
        <v>20190312172649514</v>
      </c>
      <c r="B1715" t="str">
        <f>"1552382809510916"</f>
        <v>1552382809510916</v>
      </c>
      <c r="C1715" t="s">
        <v>40</v>
      </c>
      <c r="D1715">
        <v>3.2693460000000001</v>
      </c>
      <c r="E1715">
        <v>0.4830141</v>
      </c>
      <c r="F1715" t="s">
        <v>48</v>
      </c>
      <c r="G1715">
        <v>-323.80709999999999</v>
      </c>
      <c r="H1715" s="1">
        <v>4.9884370000000001E-7</v>
      </c>
      <c r="I1715">
        <v>284.39479999999998</v>
      </c>
      <c r="J1715">
        <v>-301.5899</v>
      </c>
      <c r="K1715">
        <v>1.110941</v>
      </c>
      <c r="L1715">
        <v>285.1551</v>
      </c>
      <c r="M1715">
        <v>-0.99975250000000004</v>
      </c>
      <c r="N1715">
        <v>0</v>
      </c>
      <c r="O1715">
        <v>2.053307E-2</v>
      </c>
      <c r="P1715">
        <v>-0.98915249999999999</v>
      </c>
      <c r="Q1715">
        <v>0.1462627</v>
      </c>
      <c r="R1715">
        <v>1.359845E-2</v>
      </c>
      <c r="S1715">
        <v>-3.0567319999999998</v>
      </c>
      <c r="T1715">
        <v>-0.14993110000000001</v>
      </c>
      <c r="U1715">
        <v>-0.1014709</v>
      </c>
      <c r="V1715">
        <v>-7.4882949999999998E-3</v>
      </c>
      <c r="W1715">
        <v>0.15471279999999901</v>
      </c>
      <c r="X1715">
        <v>0.98793109999999995</v>
      </c>
      <c r="Y1715">
        <v>-5.3604100000000002E-2</v>
      </c>
      <c r="Z1715">
        <v>-2.3197999999999999E-3</v>
      </c>
      <c r="AA1715">
        <v>0.99855959999999999</v>
      </c>
      <c r="AB1715">
        <v>44</v>
      </c>
      <c r="AC1715">
        <v>-22.217199999999899</v>
      </c>
      <c r="AD1715">
        <v>-1.1109405011563001</v>
      </c>
      <c r="AE1715">
        <v>-0.76030000000002895</v>
      </c>
      <c r="AF1715">
        <v>-1.21331357273777</v>
      </c>
      <c r="AG1715">
        <v>-1.1109405011563001</v>
      </c>
      <c r="AH1715">
        <v>22.141606552888501</v>
      </c>
      <c r="AI1715">
        <v>92.868073478961605</v>
      </c>
      <c r="AJ1715">
        <v>93.136551497032201</v>
      </c>
      <c r="AK1715">
        <v>22.202636315667899</v>
      </c>
      <c r="AL1715">
        <v>81.099859945236602</v>
      </c>
      <c r="AM1715">
        <v>90.434280774076399</v>
      </c>
      <c r="AN1715">
        <v>0.99999999169652798</v>
      </c>
    </row>
    <row r="1716" spans="1:40" x14ac:dyDescent="0.25">
      <c r="A1716" t="str">
        <f>"20190312172649536"</f>
        <v>20190312172649536</v>
      </c>
      <c r="B1716" t="str">
        <f>"1552382809530436"</f>
        <v>1552382809530436</v>
      </c>
      <c r="C1716" t="s">
        <v>40</v>
      </c>
      <c r="D1716">
        <v>3.2325179999999998</v>
      </c>
      <c r="E1716">
        <v>0.48316750000000003</v>
      </c>
      <c r="F1716" t="s">
        <v>48</v>
      </c>
      <c r="G1716">
        <v>-324.0489</v>
      </c>
      <c r="H1716" s="1">
        <v>6.2812920000000001E-7</v>
      </c>
      <c r="I1716">
        <v>284.3811</v>
      </c>
      <c r="J1716">
        <v>-302.02480000000003</v>
      </c>
      <c r="K1716">
        <v>1.1109719999999901</v>
      </c>
      <c r="L1716">
        <v>285.1628</v>
      </c>
      <c r="M1716">
        <v>-0.99978789999999995</v>
      </c>
      <c r="N1716">
        <v>0</v>
      </c>
      <c r="O1716">
        <v>1.8712030000000001E-2</v>
      </c>
      <c r="P1716">
        <v>-0.98918629999999996</v>
      </c>
      <c r="Q1716">
        <v>0.1461664</v>
      </c>
      <c r="R1716">
        <v>1.20909E-2</v>
      </c>
      <c r="S1716">
        <v>-3.0567319999999998</v>
      </c>
      <c r="T1716">
        <v>-0.15120220000000001</v>
      </c>
      <c r="U1716">
        <v>-0.1053467</v>
      </c>
      <c r="V1716">
        <v>-7.2043180000000004E-3</v>
      </c>
      <c r="W1716">
        <v>0.15463689999999999</v>
      </c>
      <c r="X1716">
        <v>0.98794510000000002</v>
      </c>
      <c r="Y1716">
        <v>-5.3051319999999999E-2</v>
      </c>
      <c r="Z1716">
        <v>-2.235735E-3</v>
      </c>
      <c r="AA1716">
        <v>0.99858930000000001</v>
      </c>
      <c r="AB1716">
        <v>44</v>
      </c>
      <c r="AC1716">
        <v>-22.024099999999901</v>
      </c>
      <c r="AD1716">
        <v>-1.1109713718708001</v>
      </c>
      <c r="AE1716">
        <v>-0.78169999999999995</v>
      </c>
      <c r="AF1716">
        <v>-1.19066810622101</v>
      </c>
      <c r="AG1716">
        <v>-1.1109713718708001</v>
      </c>
      <c r="AH1716">
        <v>21.949833908217698</v>
      </c>
      <c r="AI1716">
        <v>92.8932561214272</v>
      </c>
      <c r="AJ1716">
        <v>93.104964819953906</v>
      </c>
      <c r="AK1716">
        <v>22.010160302156699</v>
      </c>
      <c r="AL1716">
        <v>81.104261713785306</v>
      </c>
      <c r="AM1716">
        <v>90.417806312535205</v>
      </c>
      <c r="AN1716">
        <v>0.99999999682673202</v>
      </c>
    </row>
    <row r="1717" spans="1:40" x14ac:dyDescent="0.25">
      <c r="A1717" t="str">
        <f>"20190312172649559"</f>
        <v>20190312172649559</v>
      </c>
      <c r="B1717" t="str">
        <f>"1552382809550935"</f>
        <v>1552382809550935</v>
      </c>
      <c r="C1717" t="s">
        <v>40</v>
      </c>
      <c r="D1717">
        <v>3.2753610000000002</v>
      </c>
      <c r="E1717">
        <v>0.48323579999999999</v>
      </c>
      <c r="F1717" t="s">
        <v>48</v>
      </c>
      <c r="G1717">
        <v>-324.31020000000001</v>
      </c>
      <c r="H1717" s="1">
        <v>7.6772859999999996E-7</v>
      </c>
      <c r="I1717">
        <v>284.36779999999999</v>
      </c>
      <c r="J1717">
        <v>-302.46969999999999</v>
      </c>
      <c r="K1717">
        <v>1.111005</v>
      </c>
      <c r="L1717">
        <v>285.16980000000001</v>
      </c>
      <c r="M1717">
        <v>-0.99982139999999997</v>
      </c>
      <c r="N1717">
        <v>0</v>
      </c>
      <c r="O1717">
        <v>1.681765E-2</v>
      </c>
      <c r="P1717">
        <v>-0.98914199999999997</v>
      </c>
      <c r="Q1717">
        <v>0.14660599999999999</v>
      </c>
      <c r="R1717">
        <v>1.024162E-2</v>
      </c>
      <c r="S1717">
        <v>-3.0566409999999999</v>
      </c>
      <c r="T1717">
        <v>-0.15237979999999901</v>
      </c>
      <c r="U1717">
        <v>-0.10903930000000001</v>
      </c>
      <c r="V1717">
        <v>-7.1939040000000001E-3</v>
      </c>
      <c r="W1717">
        <v>0.155093799999999</v>
      </c>
      <c r="X1717">
        <v>0.98787360000000002</v>
      </c>
      <c r="Y1717">
        <v>-5.2366969999999999E-2</v>
      </c>
      <c r="Z1717">
        <v>-2.1417480000000002E-3</v>
      </c>
      <c r="AA1717">
        <v>0.9986256</v>
      </c>
      <c r="AB1717">
        <v>44</v>
      </c>
      <c r="AC1717">
        <v>-21.840499999999999</v>
      </c>
      <c r="AD1717">
        <v>-1.1110042322714</v>
      </c>
      <c r="AE1717">
        <v>-0.80200000000002003</v>
      </c>
      <c r="AF1717">
        <v>-1.16619246532105</v>
      </c>
      <c r="AG1717">
        <v>-1.1110042322714</v>
      </c>
      <c r="AH1717">
        <v>21.7676713239834</v>
      </c>
      <c r="AI1717">
        <v>92.917617764977194</v>
      </c>
      <c r="AJ1717">
        <v>93.066661916937605</v>
      </c>
      <c r="AK1717">
        <v>21.827181452016799</v>
      </c>
      <c r="AL1717">
        <v>81.077764014601598</v>
      </c>
      <c r="AM1717">
        <v>90.417232580765003</v>
      </c>
      <c r="AN1717">
        <v>1.0000000443150701</v>
      </c>
    </row>
    <row r="1718" spans="1:40" x14ac:dyDescent="0.25">
      <c r="A1718" t="str">
        <f>"20190312172649581"</f>
        <v>20190312172649581</v>
      </c>
      <c r="B1718" t="str">
        <f>"1552382809570455"</f>
        <v>1552382809570455</v>
      </c>
      <c r="C1718" t="s">
        <v>40</v>
      </c>
      <c r="D1718">
        <v>3.251331</v>
      </c>
      <c r="E1718">
        <v>0.4832225</v>
      </c>
      <c r="F1718" t="s">
        <v>48</v>
      </c>
      <c r="G1718">
        <v>-324.88839999999999</v>
      </c>
      <c r="H1718" s="1">
        <v>1.0768640000000001E-6</v>
      </c>
      <c r="I1718">
        <v>284.3356</v>
      </c>
      <c r="J1718">
        <v>-302.89409999999998</v>
      </c>
      <c r="K1718">
        <v>1.111035</v>
      </c>
      <c r="L1718">
        <v>285.17570000000001</v>
      </c>
      <c r="M1718">
        <v>-0.99985049999999998</v>
      </c>
      <c r="N1718">
        <v>0</v>
      </c>
      <c r="O1718">
        <v>1.497531E-2</v>
      </c>
      <c r="P1718">
        <v>-0.98914729999999995</v>
      </c>
      <c r="Q1718">
        <v>0.14669009999999999</v>
      </c>
      <c r="R1718">
        <v>8.3356569999999998E-3</v>
      </c>
      <c r="S1718">
        <v>-3.0565799999999999</v>
      </c>
      <c r="T1718">
        <v>-0.15147469999999999</v>
      </c>
      <c r="U1718">
        <v>-0.11373900000000001</v>
      </c>
      <c r="V1718">
        <v>-7.2922369999999896E-3</v>
      </c>
      <c r="W1718">
        <v>0.1551951</v>
      </c>
      <c r="X1718">
        <v>0.98785690000000004</v>
      </c>
      <c r="Y1718">
        <v>-5.2064640000000002E-2</v>
      </c>
      <c r="Z1718">
        <v>-2.0303230000000001E-3</v>
      </c>
      <c r="AA1718">
        <v>0.99864169999999997</v>
      </c>
      <c r="AB1718">
        <v>44</v>
      </c>
      <c r="AC1718">
        <v>-21.994299999999999</v>
      </c>
      <c r="AD1718">
        <v>-1.111033923136</v>
      </c>
      <c r="AE1718">
        <v>-0.84010000000000595</v>
      </c>
      <c r="AF1718">
        <v>-1.16641750972896</v>
      </c>
      <c r="AG1718">
        <v>-1.111033923136</v>
      </c>
      <c r="AH1718">
        <v>21.923391200859399</v>
      </c>
      <c r="AI1718">
        <v>92.897063911395193</v>
      </c>
      <c r="AJ1718">
        <v>93.045507312096007</v>
      </c>
      <c r="AK1718">
        <v>21.982493214630601</v>
      </c>
      <c r="AL1718">
        <v>81.071888193339703</v>
      </c>
      <c r="AM1718">
        <v>90.422942649247801</v>
      </c>
      <c r="AN1718">
        <v>0.99999997533104101</v>
      </c>
    </row>
    <row r="1719" spans="1:40" x14ac:dyDescent="0.25">
      <c r="A1719" t="str">
        <f>"20190312172649602"</f>
        <v>20190312172649602</v>
      </c>
      <c r="B1719" t="str">
        <f>"1552382809590948"</f>
        <v>1552382809590948</v>
      </c>
      <c r="C1719" t="s">
        <v>40</v>
      </c>
      <c r="D1719">
        <v>3.2912979999999998</v>
      </c>
      <c r="E1719">
        <v>0.4861413</v>
      </c>
      <c r="F1719" t="s">
        <v>48</v>
      </c>
      <c r="G1719">
        <v>-325.40350000000001</v>
      </c>
      <c r="H1719" s="1">
        <v>1.352671E-6</v>
      </c>
      <c r="I1719">
        <v>284.29599999999999</v>
      </c>
      <c r="J1719">
        <v>-303.33010000000002</v>
      </c>
      <c r="K1719">
        <v>1.1110819999999999</v>
      </c>
      <c r="L1719">
        <v>285.18090000000001</v>
      </c>
      <c r="M1719">
        <v>-0.99987749999999997</v>
      </c>
      <c r="N1719">
        <v>0</v>
      </c>
      <c r="O1719">
        <v>1.304424E-2</v>
      </c>
      <c r="P1719">
        <v>-0.98913830000000003</v>
      </c>
      <c r="Q1719">
        <v>0.1468537</v>
      </c>
      <c r="R1719">
        <v>6.3095669999999899E-3</v>
      </c>
      <c r="S1719">
        <v>-3.056305</v>
      </c>
      <c r="T1719">
        <v>-0.1508555</v>
      </c>
      <c r="U1719">
        <v>-0.1194458</v>
      </c>
      <c r="V1719">
        <v>-7.4248600000000001E-3</v>
      </c>
      <c r="W1719">
        <v>0.15537500000000001</v>
      </c>
      <c r="X1719">
        <v>0.98782769999999998</v>
      </c>
      <c r="Y1719">
        <v>-5.2004330000000001E-2</v>
      </c>
      <c r="Z1719">
        <v>-1.925429E-3</v>
      </c>
      <c r="AA1719">
        <v>0.998645</v>
      </c>
      <c r="AB1719">
        <v>44</v>
      </c>
      <c r="AC1719">
        <v>-22.0733999999999</v>
      </c>
      <c r="AD1719">
        <v>-1.11108064732899</v>
      </c>
      <c r="AE1719">
        <v>-0.88490000000001501</v>
      </c>
      <c r="AF1719">
        <v>-1.1698070411350401</v>
      </c>
      <c r="AG1719">
        <v>-1.11108064732899</v>
      </c>
      <c r="AH1719">
        <v>22.004316022035699</v>
      </c>
      <c r="AI1719">
        <v>92.886555034125493</v>
      </c>
      <c r="AJ1719">
        <v>93.043128886286397</v>
      </c>
      <c r="AK1719">
        <v>22.063383065975501</v>
      </c>
      <c r="AL1719">
        <v>81.061454714931401</v>
      </c>
      <c r="AM1719">
        <v>90.430647096080094</v>
      </c>
      <c r="AN1719">
        <v>1.0000000420291499</v>
      </c>
    </row>
    <row r="1720" spans="1:40" x14ac:dyDescent="0.25">
      <c r="A1720" t="str">
        <f>"20190312172649625"</f>
        <v>20190312172649625</v>
      </c>
      <c r="B1720" t="str">
        <f>"1552382809620228"</f>
        <v>1552382809620228</v>
      </c>
      <c r="C1720" t="s">
        <v>40</v>
      </c>
      <c r="D1720">
        <v>3.3148249999999999</v>
      </c>
      <c r="E1720">
        <v>0.48665140000000001</v>
      </c>
      <c r="F1720" t="s">
        <v>48</v>
      </c>
      <c r="G1720">
        <v>-323.20940000000002</v>
      </c>
      <c r="H1720" s="1">
        <v>1.755998E-7</v>
      </c>
      <c r="I1720">
        <v>284.5136</v>
      </c>
      <c r="J1720">
        <v>-303.7645</v>
      </c>
      <c r="K1720">
        <v>1.1111219999999999</v>
      </c>
      <c r="L1720">
        <v>285.18529999999998</v>
      </c>
      <c r="M1720">
        <v>-0.99990100000000004</v>
      </c>
      <c r="N1720">
        <v>0</v>
      </c>
      <c r="O1720">
        <v>1.10825E-2</v>
      </c>
      <c r="P1720">
        <v>-0.98918340000000005</v>
      </c>
      <c r="Q1720">
        <v>0.14662649999999999</v>
      </c>
      <c r="R1720">
        <v>4.1518980000000002E-3</v>
      </c>
      <c r="S1720">
        <v>-3.0589599999999999</v>
      </c>
      <c r="T1720">
        <v>-0.1709697</v>
      </c>
      <c r="U1720">
        <v>-0.1026917</v>
      </c>
      <c r="V1720">
        <v>-7.6573369999999898E-3</v>
      </c>
      <c r="W1720">
        <v>0.1551641</v>
      </c>
      <c r="X1720">
        <v>0.98785900000000004</v>
      </c>
      <c r="Y1720">
        <v>-4.4539769999999999E-2</v>
      </c>
      <c r="Z1720">
        <v>-1.862179E-3</v>
      </c>
      <c r="AA1720">
        <v>0.9990059</v>
      </c>
      <c r="AB1720">
        <v>44</v>
      </c>
      <c r="AC1720">
        <v>-19.444900000000001</v>
      </c>
      <c r="AD1720">
        <v>-1.1111218244001999</v>
      </c>
      <c r="AE1720">
        <v>-0.67169999999998697</v>
      </c>
      <c r="AF1720">
        <v>-0.88428102264321196</v>
      </c>
      <c r="AG1720">
        <v>-1.1111218244001999</v>
      </c>
      <c r="AH1720">
        <v>19.373079452056299</v>
      </c>
      <c r="AI1720">
        <v>93.279134049874301</v>
      </c>
      <c r="AJ1720">
        <v>92.613442438785697</v>
      </c>
      <c r="AK1720">
        <v>19.425054751308899</v>
      </c>
      <c r="AL1720">
        <v>81.073686079225496</v>
      </c>
      <c r="AM1720">
        <v>90.444116321907202</v>
      </c>
      <c r="AN1720">
        <v>0.99999996830987004</v>
      </c>
    </row>
    <row r="1721" spans="1:40" x14ac:dyDescent="0.25">
      <c r="A1721" t="str">
        <f>"20190312172649648"</f>
        <v>20190312172649648</v>
      </c>
      <c r="B1721" t="str">
        <f>"1552382809640727"</f>
        <v>1552382809640727</v>
      </c>
      <c r="C1721" t="s">
        <v>40</v>
      </c>
      <c r="D1721">
        <v>3.296141</v>
      </c>
      <c r="E1721">
        <v>0.4865235</v>
      </c>
      <c r="F1721" t="s">
        <v>48</v>
      </c>
      <c r="G1721">
        <v>-323.4547</v>
      </c>
      <c r="H1721" s="1">
        <v>3.0641670000000001E-7</v>
      </c>
      <c r="I1721">
        <v>284.50729999999999</v>
      </c>
      <c r="J1721">
        <v>-304.2226</v>
      </c>
      <c r="K1721">
        <v>1.1111740000000001</v>
      </c>
      <c r="L1721">
        <v>285.18900000000002</v>
      </c>
      <c r="M1721">
        <v>-0.99992199999999998</v>
      </c>
      <c r="N1721">
        <v>0</v>
      </c>
      <c r="O1721">
        <v>8.9763759999999995E-3</v>
      </c>
      <c r="P1721">
        <v>-0.98922299999999996</v>
      </c>
      <c r="Q1721">
        <v>0.14640829999999999</v>
      </c>
      <c r="R1721">
        <v>1.618607E-3</v>
      </c>
      <c r="S1721">
        <v>-3.0588380000000002</v>
      </c>
      <c r="T1721">
        <v>-0.17261019999999999</v>
      </c>
      <c r="U1721">
        <v>-0.1053162</v>
      </c>
      <c r="V1721">
        <v>-8.1239329999999998E-3</v>
      </c>
      <c r="W1721">
        <v>0.15496099999999999</v>
      </c>
      <c r="X1721">
        <v>0.98788719999999997</v>
      </c>
      <c r="Y1721">
        <v>-4.3296670000000002E-2</v>
      </c>
      <c r="Z1721">
        <v>-1.726301E-3</v>
      </c>
      <c r="AA1721">
        <v>0.99906079999999997</v>
      </c>
      <c r="AB1721">
        <v>44</v>
      </c>
      <c r="AC1721">
        <v>-19.232099999999999</v>
      </c>
      <c r="AD1721">
        <v>-1.1111736935833001</v>
      </c>
      <c r="AE1721">
        <v>-0.68170000000003395</v>
      </c>
      <c r="AF1721">
        <v>-0.851474790247436</v>
      </c>
      <c r="AG1721">
        <v>-1.1111736935833001</v>
      </c>
      <c r="AH1721">
        <v>19.161321898144301</v>
      </c>
      <c r="AI1721">
        <v>93.315626357256505</v>
      </c>
      <c r="AJ1721">
        <v>92.544388023311299</v>
      </c>
      <c r="AK1721">
        <v>19.212391136452599</v>
      </c>
      <c r="AL1721">
        <v>81.085465744923795</v>
      </c>
      <c r="AM1721">
        <v>90.471163693295495</v>
      </c>
      <c r="AN1721">
        <v>1.0000000148661099</v>
      </c>
    </row>
    <row r="1722" spans="1:40" x14ac:dyDescent="0.25">
      <c r="A1722" t="str">
        <f>"20190312172649670"</f>
        <v>20190312172649670</v>
      </c>
      <c r="B1722" t="str">
        <f>"1552382809660244"</f>
        <v>1552382809660244</v>
      </c>
      <c r="C1722" t="s">
        <v>40</v>
      </c>
      <c r="D1722">
        <v>3.2887219999999999</v>
      </c>
      <c r="E1722">
        <v>0.48660880000000001</v>
      </c>
      <c r="F1722" t="s">
        <v>48</v>
      </c>
      <c r="G1722">
        <v>-323.59089999999998</v>
      </c>
      <c r="H1722" s="1">
        <v>3.8059549999999999E-7</v>
      </c>
      <c r="I1722">
        <v>284.46820000000002</v>
      </c>
      <c r="J1722">
        <v>-304.67430000000002</v>
      </c>
      <c r="K1722">
        <v>1.111213</v>
      </c>
      <c r="L1722">
        <v>285.19159999999999</v>
      </c>
      <c r="M1722">
        <v>-0.99993860000000001</v>
      </c>
      <c r="N1722">
        <v>0</v>
      </c>
      <c r="O1722">
        <v>6.8669250000000003E-3</v>
      </c>
      <c r="P1722">
        <v>-0.98911539999999998</v>
      </c>
      <c r="Q1722">
        <v>0.14714269999999999</v>
      </c>
      <c r="R1722">
        <v>-4.0044359999999999E-4</v>
      </c>
      <c r="S1722">
        <v>-3.0588380000000002</v>
      </c>
      <c r="T1722">
        <v>-0.17548749999999999</v>
      </c>
      <c r="U1722">
        <v>-0.1138306</v>
      </c>
      <c r="V1722">
        <v>-8.0749210000000005E-3</v>
      </c>
      <c r="W1722">
        <v>0.15571189999999999</v>
      </c>
      <c r="X1722">
        <v>0.98776949999999997</v>
      </c>
      <c r="Y1722">
        <v>-4.3965999999999998E-2</v>
      </c>
      <c r="Z1722">
        <v>-1.653234E-3</v>
      </c>
      <c r="AA1722">
        <v>0.99903169999999997</v>
      </c>
      <c r="AB1722">
        <v>44</v>
      </c>
      <c r="AC1722">
        <v>-18.916599999999899</v>
      </c>
      <c r="AD1722">
        <v>-1.1112126194045</v>
      </c>
      <c r="AE1722">
        <v>-0.72339999999996896</v>
      </c>
      <c r="AF1722">
        <v>-0.85035668190774705</v>
      </c>
      <c r="AG1722">
        <v>-1.1112126194045</v>
      </c>
      <c r="AH1722">
        <v>18.846248309429601</v>
      </c>
      <c r="AI1722">
        <v>93.370945648360902</v>
      </c>
      <c r="AJ1722">
        <v>92.583475741091206</v>
      </c>
      <c r="AK1722">
        <v>18.898120946609101</v>
      </c>
      <c r="AL1722">
        <v>81.041913491684994</v>
      </c>
      <c r="AM1722">
        <v>90.4683770730541</v>
      </c>
      <c r="AN1722">
        <v>0.99999999264050798</v>
      </c>
    </row>
    <row r="1723" spans="1:40" x14ac:dyDescent="0.25">
      <c r="A1723" t="str">
        <f>"20190312172649694"</f>
        <v>20190312172649694</v>
      </c>
      <c r="B1723" t="str">
        <f>"1552382809690500"</f>
        <v>1552382809690500</v>
      </c>
      <c r="C1723" t="s">
        <v>40</v>
      </c>
      <c r="D1723">
        <v>3.2883450000000001</v>
      </c>
      <c r="E1723">
        <v>0.48689510000000003</v>
      </c>
      <c r="F1723" t="s">
        <v>48</v>
      </c>
      <c r="G1723">
        <v>-324.13330000000002</v>
      </c>
      <c r="H1723" s="1">
        <v>6.709319E-7</v>
      </c>
      <c r="I1723">
        <v>284.42939999999999</v>
      </c>
      <c r="J1723">
        <v>-305.13720000000001</v>
      </c>
      <c r="K1723">
        <v>1.1112439999999999</v>
      </c>
      <c r="L1723">
        <v>285.19319999999999</v>
      </c>
      <c r="M1723">
        <v>-0.99995109999999998</v>
      </c>
      <c r="N1723">
        <v>0</v>
      </c>
      <c r="O1723">
        <v>4.6832890000000002E-3</v>
      </c>
      <c r="P1723">
        <v>-0.9890968</v>
      </c>
      <c r="Q1723">
        <v>0.14724949999999901</v>
      </c>
      <c r="R1723">
        <v>-2.30868E-3</v>
      </c>
      <c r="S1723">
        <v>-3.0589599999999999</v>
      </c>
      <c r="T1723">
        <v>-0.1746829</v>
      </c>
      <c r="U1723">
        <v>-0.119812</v>
      </c>
      <c r="V1723">
        <v>-7.8378509999999998E-3</v>
      </c>
      <c r="W1723">
        <v>0.15583620000000001</v>
      </c>
      <c r="X1723">
        <v>0.98775179999999996</v>
      </c>
      <c r="Y1723">
        <v>-4.3738230000000003E-2</v>
      </c>
      <c r="Z1723">
        <v>-1.514486E-3</v>
      </c>
      <c r="AA1723">
        <v>0.99904190000000004</v>
      </c>
      <c r="AB1723">
        <v>44</v>
      </c>
      <c r="AC1723">
        <v>-18.996099999999998</v>
      </c>
      <c r="AD1723">
        <v>-1.1112433290681001</v>
      </c>
      <c r="AE1723">
        <v>-0.76380000000000303</v>
      </c>
      <c r="AF1723">
        <v>-0.84985564901868305</v>
      </c>
      <c r="AG1723">
        <v>-1.1112433290681001</v>
      </c>
      <c r="AH1723">
        <v>18.9276471608202</v>
      </c>
      <c r="AI1723">
        <v>93.356607742691395</v>
      </c>
      <c r="AJ1723">
        <v>92.570866770238595</v>
      </c>
      <c r="AK1723">
        <v>18.979276682873699</v>
      </c>
      <c r="AL1723">
        <v>81.034703551087205</v>
      </c>
      <c r="AM1723">
        <v>90.454634815927307</v>
      </c>
      <c r="AN1723">
        <v>0.99999998577098903</v>
      </c>
    </row>
    <row r="1724" spans="1:40" x14ac:dyDescent="0.25">
      <c r="A1724" t="str">
        <f>"20190312172649716"</f>
        <v>20190312172649716</v>
      </c>
      <c r="B1724" t="str">
        <f>"1552382809710996"</f>
        <v>1552382809710996</v>
      </c>
      <c r="C1724" t="s">
        <v>40</v>
      </c>
      <c r="D1724">
        <v>3.27338</v>
      </c>
      <c r="E1724">
        <v>0.48705189999999998</v>
      </c>
      <c r="F1724" t="s">
        <v>48</v>
      </c>
      <c r="G1724">
        <v>-324.43979999999999</v>
      </c>
      <c r="H1724" s="1">
        <v>8.3482349999999899E-7</v>
      </c>
      <c r="I1724">
        <v>284.411</v>
      </c>
      <c r="J1724">
        <v>-305.58089999999999</v>
      </c>
      <c r="K1724">
        <v>1.1112709999999999</v>
      </c>
      <c r="L1724">
        <v>285.19380000000001</v>
      </c>
      <c r="M1724">
        <v>-0.99995840000000003</v>
      </c>
      <c r="N1724">
        <v>0</v>
      </c>
      <c r="O1724">
        <v>2.575824E-3</v>
      </c>
      <c r="P1724">
        <v>-0.9890909</v>
      </c>
      <c r="Q1724">
        <v>0.14724590000000001</v>
      </c>
      <c r="R1724">
        <v>-4.240738E-3</v>
      </c>
      <c r="S1724">
        <v>-3.0589599999999999</v>
      </c>
      <c r="T1724">
        <v>-0.1761036</v>
      </c>
      <c r="U1724">
        <v>-0.1239624</v>
      </c>
      <c r="V1724">
        <v>-7.6960619999999896E-3</v>
      </c>
      <c r="W1724">
        <v>0.1558494</v>
      </c>
      <c r="X1724">
        <v>0.98775080000000004</v>
      </c>
      <c r="Y1724">
        <v>-4.2989479999999997E-2</v>
      </c>
      <c r="Z1724">
        <v>-1.384031E-3</v>
      </c>
      <c r="AA1724">
        <v>0.99907460000000003</v>
      </c>
      <c r="AB1724">
        <v>44</v>
      </c>
      <c r="AC1724">
        <v>-18.858899999999998</v>
      </c>
      <c r="AD1724">
        <v>-1.11127016517649</v>
      </c>
      <c r="AE1724">
        <v>-0.78280000000000804</v>
      </c>
      <c r="AF1724">
        <v>-0.82850467153859098</v>
      </c>
      <c r="AG1724">
        <v>-1.11127016517649</v>
      </c>
      <c r="AH1724">
        <v>18.791684459294601</v>
      </c>
      <c r="AI1724">
        <v>93.381040522133901</v>
      </c>
      <c r="AJ1724">
        <v>92.524472946647904</v>
      </c>
      <c r="AK1724">
        <v>18.842737226540802</v>
      </c>
      <c r="AL1724">
        <v>81.033937603529196</v>
      </c>
      <c r="AM1724">
        <v>90.446411127956196</v>
      </c>
      <c r="AN1724">
        <v>0.99999995387565299</v>
      </c>
    </row>
    <row r="1725" spans="1:40" x14ac:dyDescent="0.25">
      <c r="A1725" t="str">
        <f>"20190312172649739"</f>
        <v>20190312172649739</v>
      </c>
      <c r="B1725" t="str">
        <f>"1552382809730516"</f>
        <v>1552382809730516</v>
      </c>
      <c r="C1725" t="s">
        <v>40</v>
      </c>
      <c r="D1725">
        <v>3.271001</v>
      </c>
      <c r="E1725">
        <v>0.48723319999999998</v>
      </c>
      <c r="F1725" t="s">
        <v>48</v>
      </c>
      <c r="G1725">
        <v>-324.74979999999999</v>
      </c>
      <c r="H1725" s="1">
        <v>1.000815E-6</v>
      </c>
      <c r="I1725">
        <v>284.38780000000003</v>
      </c>
      <c r="J1725">
        <v>-306.02289999999999</v>
      </c>
      <c r="K1725">
        <v>1.1112899999999999</v>
      </c>
      <c r="L1725">
        <v>285.1936</v>
      </c>
      <c r="M1725">
        <v>-0.99996160000000001</v>
      </c>
      <c r="N1725">
        <v>0</v>
      </c>
      <c r="O1725">
        <v>4.6622269999999999E-4</v>
      </c>
      <c r="P1725">
        <v>-0.98913960000000001</v>
      </c>
      <c r="Q1725">
        <v>0.1468547</v>
      </c>
      <c r="R1725">
        <v>-6.0655989999999996E-3</v>
      </c>
      <c r="S1725">
        <v>-3.058929</v>
      </c>
      <c r="T1725">
        <v>-0.17733380000000001</v>
      </c>
      <c r="U1725">
        <v>-0.12863160000000001</v>
      </c>
      <c r="V1725">
        <v>-7.4416980000000001E-3</v>
      </c>
      <c r="W1725">
        <v>0.1554759</v>
      </c>
      <c r="X1725">
        <v>0.98781169999999996</v>
      </c>
      <c r="Y1725">
        <v>-4.2408019999999998E-2</v>
      </c>
      <c r="Z1725">
        <v>-1.2546720000000001E-3</v>
      </c>
      <c r="AA1725">
        <v>0.99909959999999998</v>
      </c>
      <c r="AB1725">
        <v>45</v>
      </c>
      <c r="AC1725">
        <v>-18.726900000000001</v>
      </c>
      <c r="AD1725">
        <v>-1.1112889991849999</v>
      </c>
      <c r="AE1725">
        <v>-0.80579999999997598</v>
      </c>
      <c r="AF1725">
        <v>-0.81167814620323497</v>
      </c>
      <c r="AG1725">
        <v>-1.1112889991849999</v>
      </c>
      <c r="AH1725">
        <v>18.660930070279701</v>
      </c>
      <c r="AI1725">
        <v>93.404821014674297</v>
      </c>
      <c r="AJ1725">
        <v>92.490574526981305</v>
      </c>
      <c r="AK1725">
        <v>18.711603238114101</v>
      </c>
      <c r="AL1725">
        <v>81.055602474442793</v>
      </c>
      <c r="AM1725">
        <v>90.431630665927699</v>
      </c>
      <c r="AN1725">
        <v>1.0000000445034101</v>
      </c>
    </row>
    <row r="1726" spans="1:40" x14ac:dyDescent="0.25">
      <c r="A1726" t="str">
        <f>"20190312172649761"</f>
        <v>20190312172649761</v>
      </c>
      <c r="B1726" t="str">
        <f>"1552382809750036"</f>
        <v>1552382809750036</v>
      </c>
      <c r="C1726" t="s">
        <v>40</v>
      </c>
      <c r="D1726">
        <v>3.27739</v>
      </c>
      <c r="E1726">
        <v>0.48741889999999999</v>
      </c>
      <c r="F1726" t="s">
        <v>48</v>
      </c>
      <c r="G1726">
        <v>-324.96879999999999</v>
      </c>
      <c r="H1726" s="1">
        <v>1.118095E-6</v>
      </c>
      <c r="I1726">
        <v>284.37079999999997</v>
      </c>
      <c r="J1726">
        <v>-306.4744</v>
      </c>
      <c r="K1726">
        <v>1.111313</v>
      </c>
      <c r="L1726">
        <v>285.19240000000002</v>
      </c>
      <c r="M1726">
        <v>-0.99996010000000002</v>
      </c>
      <c r="N1726">
        <v>0</v>
      </c>
      <c r="O1726">
        <v>-1.6934109999999999E-3</v>
      </c>
      <c r="P1726">
        <v>-0.9891856</v>
      </c>
      <c r="Q1726">
        <v>0.14644960000000001</v>
      </c>
      <c r="R1726">
        <v>-8.0271639999999998E-3</v>
      </c>
      <c r="S1726">
        <v>-3.0587770000000001</v>
      </c>
      <c r="T1726">
        <v>-0.17941550000000001</v>
      </c>
      <c r="U1726">
        <v>-0.13284299999999999</v>
      </c>
      <c r="V1726">
        <v>-7.2735200000000003E-3</v>
      </c>
      <c r="W1726">
        <v>0.1550877</v>
      </c>
      <c r="X1726">
        <v>0.98787389999999997</v>
      </c>
      <c r="Y1726">
        <v>-4.1628749999999999E-2</v>
      </c>
      <c r="Z1726">
        <v>-1.1200660000000001E-3</v>
      </c>
      <c r="AA1726">
        <v>0.99913249999999998</v>
      </c>
      <c r="AB1726">
        <v>45</v>
      </c>
      <c r="AC1726">
        <v>-18.494399999999899</v>
      </c>
      <c r="AD1726">
        <v>-1.1113118819050001</v>
      </c>
      <c r="AE1726">
        <v>-0.82160000000004596</v>
      </c>
      <c r="AF1726">
        <v>-0.78744138209720305</v>
      </c>
      <c r="AG1726">
        <v>-1.1113118819050001</v>
      </c>
      <c r="AH1726">
        <v>18.429353037379901</v>
      </c>
      <c r="AI1726">
        <v>93.447686858414698</v>
      </c>
      <c r="AJ1726">
        <v>92.446620987650206</v>
      </c>
      <c r="AK1726">
        <v>18.479613940921102</v>
      </c>
      <c r="AL1726">
        <v>81.078117135999193</v>
      </c>
      <c r="AM1726">
        <v>90.421849861406699</v>
      </c>
      <c r="AN1726">
        <v>0.99999997054284395</v>
      </c>
    </row>
    <row r="1727" spans="1:40" x14ac:dyDescent="0.25">
      <c r="A1727" t="str">
        <f>"20190312172649782"</f>
        <v>20190312172649782</v>
      </c>
      <c r="B1727" t="str">
        <f>"1552382809770533"</f>
        <v>1552382809770533</v>
      </c>
      <c r="C1727" t="s">
        <v>40</v>
      </c>
      <c r="D1727">
        <v>3.2658109999999998</v>
      </c>
      <c r="E1727">
        <v>0.48755470000000001</v>
      </c>
      <c r="F1727" t="s">
        <v>48</v>
      </c>
      <c r="G1727">
        <v>-325.21190000000001</v>
      </c>
      <c r="H1727" s="1">
        <v>1.248376E-6</v>
      </c>
      <c r="I1727">
        <v>284.3494</v>
      </c>
      <c r="J1727">
        <v>-306.89170000000001</v>
      </c>
      <c r="K1727">
        <v>1.111334</v>
      </c>
      <c r="L1727">
        <v>285.19040000000001</v>
      </c>
      <c r="M1727">
        <v>-0.99995460000000003</v>
      </c>
      <c r="N1727">
        <v>0</v>
      </c>
      <c r="O1727">
        <v>-3.6922809999999999E-3</v>
      </c>
      <c r="P1727">
        <v>-0.98915790000000003</v>
      </c>
      <c r="Q1727">
        <v>0.146531299999999</v>
      </c>
      <c r="R1727">
        <v>-9.7776189999999995E-3</v>
      </c>
      <c r="S1727">
        <v>-3.0585330000000002</v>
      </c>
      <c r="T1727">
        <v>-0.1813999</v>
      </c>
      <c r="U1727">
        <v>-0.137603799999999</v>
      </c>
      <c r="V1727">
        <v>-7.0548410000000001E-3</v>
      </c>
      <c r="W1727">
        <v>0.15518479999999901</v>
      </c>
      <c r="X1727">
        <v>0.98786030000000002</v>
      </c>
      <c r="Y1727">
        <v>-4.1189900000000002E-2</v>
      </c>
      <c r="Z1727">
        <v>-1.0011E-3</v>
      </c>
      <c r="AA1727">
        <v>0.99915080000000001</v>
      </c>
      <c r="AB1727">
        <v>45</v>
      </c>
      <c r="AC1727">
        <v>-18.3202</v>
      </c>
      <c r="AD1727">
        <v>-1.1113327516239999</v>
      </c>
      <c r="AE1727">
        <v>-0.84100000000000796</v>
      </c>
      <c r="AF1727">
        <v>-0.77051891406889295</v>
      </c>
      <c r="AG1727">
        <v>-1.1113327516239999</v>
      </c>
      <c r="AH1727">
        <v>18.256142202831001</v>
      </c>
      <c r="AI1727">
        <v>93.480459790747403</v>
      </c>
      <c r="AJ1727">
        <v>92.416791855838795</v>
      </c>
      <c r="AK1727">
        <v>18.306159837927702</v>
      </c>
      <c r="AL1727">
        <v>81.072486093067795</v>
      </c>
      <c r="AM1727">
        <v>90.409172980048396</v>
      </c>
      <c r="AN1727">
        <v>1.0000000326243299</v>
      </c>
    </row>
    <row r="1728" spans="1:40" x14ac:dyDescent="0.25">
      <c r="A1728" t="str">
        <f>"20190312172649803"</f>
        <v>20190312172649803</v>
      </c>
      <c r="B1728" t="str">
        <f>"1552382809800788"</f>
        <v>1552382809800788</v>
      </c>
      <c r="C1728" t="s">
        <v>40</v>
      </c>
      <c r="D1728">
        <v>3.2433999999999998</v>
      </c>
      <c r="E1728">
        <v>0.4877573</v>
      </c>
      <c r="F1728" t="s">
        <v>48</v>
      </c>
      <c r="G1728">
        <v>-325.55619999999999</v>
      </c>
      <c r="H1728" s="1">
        <v>1.4328259999999999E-6</v>
      </c>
      <c r="I1728">
        <v>284.322</v>
      </c>
      <c r="J1728">
        <v>-307.32420000000002</v>
      </c>
      <c r="K1728">
        <v>1.111351</v>
      </c>
      <c r="L1728">
        <v>285.1875</v>
      </c>
      <c r="M1728">
        <v>-0.99994470000000002</v>
      </c>
      <c r="N1728">
        <v>0</v>
      </c>
      <c r="O1728">
        <v>-5.7644539999999996E-3</v>
      </c>
      <c r="P1728">
        <v>-0.98917509999999997</v>
      </c>
      <c r="Q1728">
        <v>0.14624219999999999</v>
      </c>
      <c r="R1728">
        <v>-1.208975E-2</v>
      </c>
      <c r="S1728">
        <v>-3.0584410000000002</v>
      </c>
      <c r="T1728">
        <v>-0.18210709999999999</v>
      </c>
      <c r="U1728">
        <v>-0.1423035</v>
      </c>
      <c r="V1728">
        <v>-7.3227169999999899E-3</v>
      </c>
      <c r="W1728">
        <v>0.1549092</v>
      </c>
      <c r="X1728">
        <v>0.98790160000000005</v>
      </c>
      <c r="Y1728">
        <v>-4.0656940000000003E-2</v>
      </c>
      <c r="Z1728">
        <v>-8.659424E-4</v>
      </c>
      <c r="AA1728">
        <v>0.99917279999999997</v>
      </c>
      <c r="AB1728">
        <v>45</v>
      </c>
      <c r="AC1728">
        <v>-18.2319999999999</v>
      </c>
      <c r="AD1728">
        <v>-1.1113495671739999</v>
      </c>
      <c r="AE1728">
        <v>-0.86549999999999705</v>
      </c>
      <c r="AF1728">
        <v>-0.75757548491664595</v>
      </c>
      <c r="AG1728">
        <v>-1.1113495671739999</v>
      </c>
      <c r="AH1728">
        <v>18.169327639728898</v>
      </c>
      <c r="AI1728">
        <v>93.497175936440797</v>
      </c>
      <c r="AJ1728">
        <v>92.3875814967504</v>
      </c>
      <c r="AK1728">
        <v>18.219041834180601</v>
      </c>
      <c r="AL1728">
        <v>81.088470050715699</v>
      </c>
      <c r="AM1728">
        <v>90.424691178617294</v>
      </c>
      <c r="AN1728">
        <v>1.0000000268557301</v>
      </c>
    </row>
    <row r="1729" spans="1:40" x14ac:dyDescent="0.25">
      <c r="A1729" t="str">
        <f>"20190312172649827"</f>
        <v>20190312172649827</v>
      </c>
      <c r="B1729" t="str">
        <f>"1552382809820308"</f>
        <v>1552382809820308</v>
      </c>
      <c r="C1729" t="s">
        <v>40</v>
      </c>
      <c r="D1729">
        <v>3.2460490000000002</v>
      </c>
      <c r="E1729">
        <v>0.48788789999999999</v>
      </c>
      <c r="F1729" t="s">
        <v>48</v>
      </c>
      <c r="G1729">
        <v>-325.68900000000002</v>
      </c>
      <c r="H1729" s="1">
        <v>1.504419E-6</v>
      </c>
      <c r="I1729">
        <v>284.30040000000002</v>
      </c>
      <c r="J1729">
        <v>-307.78280000000001</v>
      </c>
      <c r="K1729">
        <v>1.111367</v>
      </c>
      <c r="L1729">
        <v>285.18349999999998</v>
      </c>
      <c r="M1729">
        <v>-0.99992950000000003</v>
      </c>
      <c r="N1729">
        <v>0</v>
      </c>
      <c r="O1729">
        <v>-7.9610819999999995E-3</v>
      </c>
      <c r="P1729">
        <v>-0.98914340000000001</v>
      </c>
      <c r="Q1729">
        <v>0.14624589999999901</v>
      </c>
      <c r="R1729">
        <v>-1.4414049999999999E-2</v>
      </c>
      <c r="S1729">
        <v>-3.058411</v>
      </c>
      <c r="T1729">
        <v>-0.1850801</v>
      </c>
      <c r="U1729">
        <v>-0.14773559999999999</v>
      </c>
      <c r="V1729">
        <v>-7.4809730000000001E-3</v>
      </c>
      <c r="W1729">
        <v>0.1549276</v>
      </c>
      <c r="X1729">
        <v>0.98789749999999998</v>
      </c>
      <c r="Y1729">
        <v>-4.0235890000000003E-2</v>
      </c>
      <c r="Z1729">
        <v>-7.3458270000000003E-4</v>
      </c>
      <c r="AA1729">
        <v>0.99918989999999996</v>
      </c>
      <c r="AB1729">
        <v>45</v>
      </c>
      <c r="AC1729">
        <v>-17.906199999999998</v>
      </c>
      <c r="AD1729">
        <v>-1.111365495581</v>
      </c>
      <c r="AE1729">
        <v>-0.88309999999995603</v>
      </c>
      <c r="AF1729">
        <v>-0.73767897369612601</v>
      </c>
      <c r="AG1729">
        <v>-1.111365495581</v>
      </c>
      <c r="AH1729">
        <v>17.844091287821801</v>
      </c>
      <c r="AI1729">
        <v>93.560858048428003</v>
      </c>
      <c r="AJ1729">
        <v>92.367273184263496</v>
      </c>
      <c r="AK1729">
        <v>17.8938787695994</v>
      </c>
      <c r="AL1729">
        <v>81.087402669176996</v>
      </c>
      <c r="AM1729">
        <v>90.433870909345401</v>
      </c>
      <c r="AN1729">
        <v>0.99999999835251796</v>
      </c>
    </row>
    <row r="1730" spans="1:40" x14ac:dyDescent="0.25">
      <c r="A1730" t="str">
        <f>"20190312172649849"</f>
        <v>20190312172649849</v>
      </c>
      <c r="B1730" t="str">
        <f>"1552382809840807"</f>
        <v>1552382809840807</v>
      </c>
      <c r="C1730" t="s">
        <v>40</v>
      </c>
      <c r="D1730">
        <v>3.2966440000000001</v>
      </c>
      <c r="E1730">
        <v>0.48797810000000003</v>
      </c>
      <c r="F1730" t="s">
        <v>48</v>
      </c>
      <c r="G1730">
        <v>-326.02480000000003</v>
      </c>
      <c r="H1730" s="1">
        <v>1.684563E-6</v>
      </c>
      <c r="I1730">
        <v>284.26710000000003</v>
      </c>
      <c r="J1730">
        <v>-308.23700000000002</v>
      </c>
      <c r="K1730">
        <v>1.111383</v>
      </c>
      <c r="L1730">
        <v>285.17840000000001</v>
      </c>
      <c r="M1730">
        <v>-0.99990970000000001</v>
      </c>
      <c r="N1730">
        <v>0</v>
      </c>
      <c r="O1730">
        <v>-1.013587E-2</v>
      </c>
      <c r="P1730">
        <v>-0.9891238</v>
      </c>
      <c r="Q1730">
        <v>0.14616460000000001</v>
      </c>
      <c r="R1730">
        <v>-1.6446079999999998E-2</v>
      </c>
      <c r="S1730">
        <v>-3.0582280000000002</v>
      </c>
      <c r="T1730">
        <v>-0.18631800000000001</v>
      </c>
      <c r="U1730">
        <v>-0.1536255</v>
      </c>
      <c r="V1730">
        <v>-7.3679919999999899E-3</v>
      </c>
      <c r="W1730">
        <v>0.154863</v>
      </c>
      <c r="X1730">
        <v>0.98790849999999997</v>
      </c>
      <c r="Y1730">
        <v>-3.9988969999999999E-2</v>
      </c>
      <c r="Z1730">
        <v>-5.9971160000000005E-4</v>
      </c>
      <c r="AA1730">
        <v>0.99919990000000003</v>
      </c>
      <c r="AB1730">
        <v>45</v>
      </c>
      <c r="AC1730">
        <v>-17.787800000000001</v>
      </c>
      <c r="AD1730">
        <v>-1.111381315437</v>
      </c>
      <c r="AE1730">
        <v>-0.91129999999998201</v>
      </c>
      <c r="AF1730">
        <v>-0.72811639461864597</v>
      </c>
      <c r="AG1730">
        <v>-1.111381315437</v>
      </c>
      <c r="AH1730">
        <v>17.727102389915299</v>
      </c>
      <c r="AI1730">
        <v>93.584386742402103</v>
      </c>
      <c r="AJ1730">
        <v>92.352023426685406</v>
      </c>
      <c r="AK1730">
        <v>17.7768242679888</v>
      </c>
      <c r="AL1730">
        <v>81.091149390185294</v>
      </c>
      <c r="AM1730">
        <v>90.427313883812303</v>
      </c>
      <c r="AN1730">
        <v>1.0000000202236801</v>
      </c>
    </row>
    <row r="1731" spans="1:40" x14ac:dyDescent="0.25">
      <c r="A1731" t="str">
        <f>"20190312172649871"</f>
        <v>20190312172649871</v>
      </c>
      <c r="B1731" t="str">
        <f>"1552382809860324"</f>
        <v>1552382809860324</v>
      </c>
      <c r="C1731" t="s">
        <v>40</v>
      </c>
      <c r="D1731">
        <v>3.2358349999999998</v>
      </c>
      <c r="E1731">
        <v>0.49064170000000001</v>
      </c>
      <c r="F1731" t="s">
        <v>48</v>
      </c>
      <c r="G1731">
        <v>-326.42140000000001</v>
      </c>
      <c r="H1731" s="1">
        <v>1.8972330000000001E-6</v>
      </c>
      <c r="I1731">
        <v>284.23039999999997</v>
      </c>
      <c r="J1731">
        <v>-308.67</v>
      </c>
      <c r="K1731">
        <v>1.111397</v>
      </c>
      <c r="L1731">
        <v>285.17270000000002</v>
      </c>
      <c r="M1731">
        <v>-0.99988650000000001</v>
      </c>
      <c r="N1731">
        <v>0</v>
      </c>
      <c r="O1731">
        <v>-1.2208790000000001E-2</v>
      </c>
      <c r="P1731">
        <v>-0.98901099999999997</v>
      </c>
      <c r="Q1731">
        <v>0.14668610000000001</v>
      </c>
      <c r="R1731">
        <v>-1.8459349999999999E-2</v>
      </c>
      <c r="S1731">
        <v>-3.0579830000000001</v>
      </c>
      <c r="T1731">
        <v>-0.1868958</v>
      </c>
      <c r="U1731">
        <v>-0.15942379999999901</v>
      </c>
      <c r="V1731">
        <v>-7.3400459999999898E-3</v>
      </c>
      <c r="W1731">
        <v>0.1553986</v>
      </c>
      <c r="X1731">
        <v>0.98782460000000005</v>
      </c>
      <c r="Y1731">
        <v>-3.9814990000000001E-2</v>
      </c>
      <c r="Z1731">
        <v>-4.6981220000000002E-4</v>
      </c>
      <c r="AA1731">
        <v>0.99920699999999996</v>
      </c>
      <c r="AB1731">
        <v>45</v>
      </c>
      <c r="AC1731">
        <v>-17.751399999999901</v>
      </c>
      <c r="AD1731">
        <v>-1.1113951027669999</v>
      </c>
      <c r="AE1731">
        <v>-0.94230000000004499</v>
      </c>
      <c r="AF1731">
        <v>-0.722673378342086</v>
      </c>
      <c r="AG1731">
        <v>-1.1113951027669999</v>
      </c>
      <c r="AH1731">
        <v>17.692424531758299</v>
      </c>
      <c r="AI1731">
        <v>93.591471620901004</v>
      </c>
      <c r="AJ1731">
        <v>92.339031017204903</v>
      </c>
      <c r="AK1731">
        <v>17.742021916855499</v>
      </c>
      <c r="AL1731">
        <v>81.060085716976502</v>
      </c>
      <c r="AM1731">
        <v>90.425729342577796</v>
      </c>
      <c r="AN1731">
        <v>1.0000000207612001</v>
      </c>
    </row>
    <row r="1732" spans="1:40" x14ac:dyDescent="0.25">
      <c r="A1732" t="str">
        <f>"20190312172649894"</f>
        <v>20190312172649894</v>
      </c>
      <c r="B1732" t="str">
        <f>"1552382809890580"</f>
        <v>1552382809890580</v>
      </c>
      <c r="C1732" t="s">
        <v>40</v>
      </c>
      <c r="D1732">
        <v>3.2988580000000001</v>
      </c>
      <c r="E1732">
        <v>0.49110280000000001</v>
      </c>
      <c r="F1732" t="s">
        <v>48</v>
      </c>
      <c r="G1732">
        <v>-325.69830000000002</v>
      </c>
      <c r="H1732" s="1">
        <v>1.5065849999999999E-6</v>
      </c>
      <c r="I1732">
        <v>284.3646</v>
      </c>
      <c r="J1732">
        <v>-309.13229999999999</v>
      </c>
      <c r="K1732">
        <v>1.111413</v>
      </c>
      <c r="L1732">
        <v>285.16559999999998</v>
      </c>
      <c r="M1732">
        <v>-0.99985670000000004</v>
      </c>
      <c r="N1732">
        <v>0</v>
      </c>
      <c r="O1732">
        <v>-1.44207E-2</v>
      </c>
      <c r="P1732">
        <v>-0.98892369999999996</v>
      </c>
      <c r="Q1732">
        <v>0.14699770000000001</v>
      </c>
      <c r="R1732">
        <v>-2.054365E-2</v>
      </c>
      <c r="S1732">
        <v>-3.0602109999999998</v>
      </c>
      <c r="T1732">
        <v>-0.19973189999999999</v>
      </c>
      <c r="U1732">
        <v>-0.14523320000000001</v>
      </c>
      <c r="V1732">
        <v>-7.2445180000000001E-3</v>
      </c>
      <c r="W1732">
        <v>0.1557269</v>
      </c>
      <c r="X1732">
        <v>0.98777360000000003</v>
      </c>
      <c r="Y1732">
        <v>-3.2955859999999997E-2</v>
      </c>
      <c r="Z1732">
        <v>-1.3411940000000001E-4</v>
      </c>
      <c r="AA1732">
        <v>0.99945680000000003</v>
      </c>
      <c r="AB1732">
        <v>45</v>
      </c>
      <c r="AC1732">
        <v>-16.565999999999999</v>
      </c>
      <c r="AD1732">
        <v>-1.1114114934149999</v>
      </c>
      <c r="AE1732">
        <v>-0.80099999999998694</v>
      </c>
      <c r="AF1732">
        <v>-0.55950152058618696</v>
      </c>
      <c r="AG1732">
        <v>-1.1114114934149999</v>
      </c>
      <c r="AH1732">
        <v>16.501726747346702</v>
      </c>
      <c r="AI1732">
        <v>93.850915555139593</v>
      </c>
      <c r="AJ1732">
        <v>91.941905870264193</v>
      </c>
      <c r="AK1732">
        <v>16.548572841889701</v>
      </c>
      <c r="AL1732">
        <v>81.041043667351502</v>
      </c>
      <c r="AM1732">
        <v>90.420210525784398</v>
      </c>
      <c r="AN1732">
        <v>1.0000000176408099</v>
      </c>
    </row>
    <row r="1733" spans="1:40" x14ac:dyDescent="0.25">
      <c r="A1733" t="str">
        <f>"20190312172649917"</f>
        <v>20190312172649917</v>
      </c>
      <c r="B1733" t="str">
        <f>"1552382809911077"</f>
        <v>1552382809911077</v>
      </c>
      <c r="C1733" t="s">
        <v>40</v>
      </c>
      <c r="D1733">
        <v>3.2981440000000002</v>
      </c>
      <c r="E1733">
        <v>0.49156</v>
      </c>
      <c r="F1733" t="s">
        <v>48</v>
      </c>
      <c r="G1733">
        <v>-325.85109999999997</v>
      </c>
      <c r="H1733" s="1">
        <v>1.5882579999999901E-6</v>
      </c>
      <c r="I1733">
        <v>284.35610000000003</v>
      </c>
      <c r="J1733">
        <v>-309.59559999999999</v>
      </c>
      <c r="K1733">
        <v>1.111424</v>
      </c>
      <c r="L1733">
        <v>285.1574</v>
      </c>
      <c r="M1733">
        <v>-0.99982219999999999</v>
      </c>
      <c r="N1733">
        <v>0</v>
      </c>
      <c r="O1733">
        <v>-1.6631389999999999E-2</v>
      </c>
      <c r="P1733">
        <v>-0.98886269999999998</v>
      </c>
      <c r="Q1733">
        <v>0.14712349999999999</v>
      </c>
      <c r="R1733">
        <v>-2.248839E-2</v>
      </c>
      <c r="S1733">
        <v>-3.0608219999999999</v>
      </c>
      <c r="T1733">
        <v>-0.2034734</v>
      </c>
      <c r="U1733">
        <v>-0.1481934</v>
      </c>
      <c r="V1733">
        <v>-7.0074400000000002E-3</v>
      </c>
      <c r="W1733">
        <v>0.15587300000000001</v>
      </c>
      <c r="X1733">
        <v>0.98775230000000003</v>
      </c>
      <c r="Y1733">
        <v>-3.170709E-2</v>
      </c>
      <c r="Z1733" s="1">
        <v>5.1516459999999998E-5</v>
      </c>
      <c r="AA1733">
        <v>0.99949719999999997</v>
      </c>
      <c r="AB1733">
        <v>45</v>
      </c>
      <c r="AC1733">
        <v>-16.255499999999898</v>
      </c>
      <c r="AD1733">
        <v>-1.111422411742</v>
      </c>
      <c r="AE1733">
        <v>-0.80129999999996904</v>
      </c>
      <c r="AF1733">
        <v>-0.52836295436871095</v>
      </c>
      <c r="AG1733">
        <v>-1.111422411742</v>
      </c>
      <c r="AH1733">
        <v>16.1910731488429</v>
      </c>
      <c r="AI1733">
        <v>93.924777173162198</v>
      </c>
      <c r="AJ1733">
        <v>91.869068709060002</v>
      </c>
      <c r="AK1733">
        <v>16.237773150898899</v>
      </c>
      <c r="AL1733">
        <v>81.032569573970704</v>
      </c>
      <c r="AM1733">
        <v>90.406468303524605</v>
      </c>
      <c r="AN1733">
        <v>1.0000000512498199</v>
      </c>
    </row>
    <row r="1734" spans="1:40" x14ac:dyDescent="0.25">
      <c r="A1734" t="str">
        <f>"20190312172649938"</f>
        <v>20190312172649938</v>
      </c>
      <c r="B1734" t="str">
        <f>"1552382809930596"</f>
        <v>1552382809930596</v>
      </c>
      <c r="C1734" t="s">
        <v>40</v>
      </c>
      <c r="D1734">
        <v>3.203484</v>
      </c>
      <c r="E1734">
        <v>0.49187449999999999</v>
      </c>
      <c r="F1734" t="s">
        <v>48</v>
      </c>
      <c r="G1734">
        <v>-326.26319999999998</v>
      </c>
      <c r="H1734" s="1">
        <v>1.808296E-6</v>
      </c>
      <c r="I1734">
        <v>284.33929999999998</v>
      </c>
      <c r="J1734">
        <v>-310.03230000000002</v>
      </c>
      <c r="K1734">
        <v>1.111429</v>
      </c>
      <c r="L1734">
        <v>285.14879999999999</v>
      </c>
      <c r="M1734">
        <v>-0.99978540000000005</v>
      </c>
      <c r="N1734">
        <v>0</v>
      </c>
      <c r="O1734">
        <v>-1.8704910000000002E-2</v>
      </c>
      <c r="P1734">
        <v>-0.98884110000000003</v>
      </c>
      <c r="Q1734">
        <v>0.14690619999999999</v>
      </c>
      <c r="R1734">
        <v>-2.474836E-2</v>
      </c>
      <c r="S1734">
        <v>-3.06073</v>
      </c>
      <c r="T1734">
        <v>-0.20409350000000001</v>
      </c>
      <c r="U1734">
        <v>-0.15023800000000001</v>
      </c>
      <c r="V1734">
        <v>-7.2163180000000002E-3</v>
      </c>
      <c r="W1734">
        <v>0.15567609999999901</v>
      </c>
      <c r="X1734">
        <v>0.98778180000000004</v>
      </c>
      <c r="Y1734">
        <v>-3.030923E-2</v>
      </c>
      <c r="Z1734">
        <v>2.361858E-4</v>
      </c>
      <c r="AA1734">
        <v>0.9995406</v>
      </c>
      <c r="AB1734">
        <v>45</v>
      </c>
      <c r="AC1734">
        <v>-16.230899999999899</v>
      </c>
      <c r="AD1734">
        <v>-1.111427191704</v>
      </c>
      <c r="AE1734">
        <v>-0.80950000000001399</v>
      </c>
      <c r="AF1734">
        <v>-0.50339426543142496</v>
      </c>
      <c r="AG1734">
        <v>-1.111427191704</v>
      </c>
      <c r="AH1734">
        <v>16.167581275397801</v>
      </c>
      <c r="AI1734">
        <v>93.930665782043903</v>
      </c>
      <c r="AJ1734">
        <v>91.7833868489287</v>
      </c>
      <c r="AK1734">
        <v>16.213554838021199</v>
      </c>
      <c r="AL1734">
        <v>81.043990104492906</v>
      </c>
      <c r="AM1734">
        <v>90.418571398582699</v>
      </c>
      <c r="AN1734">
        <v>1.00000000388396</v>
      </c>
    </row>
    <row r="1735" spans="1:40" x14ac:dyDescent="0.25">
      <c r="A1735" t="str">
        <f>"20190312172649960"</f>
        <v>20190312172649960</v>
      </c>
      <c r="B1735" t="str">
        <f>"1552382809951092"</f>
        <v>1552382809951092</v>
      </c>
      <c r="C1735" t="s">
        <v>40</v>
      </c>
      <c r="D1735">
        <v>3.210575</v>
      </c>
      <c r="E1735">
        <v>0.49215229999999999</v>
      </c>
      <c r="F1735" t="s">
        <v>48</v>
      </c>
      <c r="G1735">
        <v>-326.51119999999997</v>
      </c>
      <c r="H1735" s="1">
        <v>1.9411599999999999E-6</v>
      </c>
      <c r="I1735">
        <v>284.31819999999999</v>
      </c>
      <c r="J1735">
        <v>-310.4726</v>
      </c>
      <c r="K1735">
        <v>1.1114219999999999</v>
      </c>
      <c r="L1735">
        <v>285.13929999999999</v>
      </c>
      <c r="M1735">
        <v>-0.99974419999999997</v>
      </c>
      <c r="N1735">
        <v>0</v>
      </c>
      <c r="O1735">
        <v>-2.07771E-2</v>
      </c>
      <c r="P1735">
        <v>-0.98882139999999996</v>
      </c>
      <c r="Q1735">
        <v>0.1467232</v>
      </c>
      <c r="R1735">
        <v>-2.6547020000000001E-2</v>
      </c>
      <c r="S1735">
        <v>-3.0606689999999999</v>
      </c>
      <c r="T1735">
        <v>-0.2064281</v>
      </c>
      <c r="U1735">
        <v>-0.1542664</v>
      </c>
      <c r="V1735">
        <v>-6.9630899999999999E-3</v>
      </c>
      <c r="W1735">
        <v>0.1555164</v>
      </c>
      <c r="X1735">
        <v>0.98780880000000004</v>
      </c>
      <c r="Y1735">
        <v>-2.9556570000000001E-2</v>
      </c>
      <c r="Z1735">
        <v>4.0367549999999999E-4</v>
      </c>
      <c r="AA1735">
        <v>0.99956299999999998</v>
      </c>
      <c r="AB1735">
        <v>45</v>
      </c>
      <c r="AC1735">
        <v>-16.038599999999899</v>
      </c>
      <c r="AD1735">
        <v>-1.1114200588399901</v>
      </c>
      <c r="AE1735">
        <v>-0.82110000000000105</v>
      </c>
      <c r="AF1735">
        <v>-0.48534927439393899</v>
      </c>
      <c r="AG1735">
        <v>-1.1114200588399901</v>
      </c>
      <c r="AH1735">
        <v>15.9756833376907</v>
      </c>
      <c r="AI1735">
        <v>93.977796394488493</v>
      </c>
      <c r="AJ1735">
        <v>91.740139288865706</v>
      </c>
      <c r="AK1735">
        <v>16.021650244950202</v>
      </c>
      <c r="AL1735">
        <v>81.053253294886801</v>
      </c>
      <c r="AM1735">
        <v>90.403872755228207</v>
      </c>
      <c r="AN1735">
        <v>1.0000000303243699</v>
      </c>
    </row>
    <row r="1736" spans="1:40" x14ac:dyDescent="0.25">
      <c r="A1736" t="str">
        <f>"20190312172649984"</f>
        <v>20190312172649984</v>
      </c>
      <c r="B1736" t="str">
        <f>"1552382809980372"</f>
        <v>1552382809980372</v>
      </c>
      <c r="C1736" t="s">
        <v>40</v>
      </c>
      <c r="D1736">
        <v>3.1831390000000002</v>
      </c>
      <c r="E1736">
        <v>0.49702570000000001</v>
      </c>
      <c r="F1736" t="s">
        <v>48</v>
      </c>
      <c r="G1736">
        <v>-326.80059999999997</v>
      </c>
      <c r="H1736" s="1">
        <v>2.0960010000000002E-6</v>
      </c>
      <c r="I1736">
        <v>284.29899999999998</v>
      </c>
      <c r="J1736">
        <v>-310.93450000000001</v>
      </c>
      <c r="K1736">
        <v>1.111405</v>
      </c>
      <c r="L1736">
        <v>285.12830000000002</v>
      </c>
      <c r="M1736">
        <v>-0.99969730000000001</v>
      </c>
      <c r="N1736">
        <v>0</v>
      </c>
      <c r="O1736">
        <v>-2.292017E-2</v>
      </c>
      <c r="P1736">
        <v>-0.98877280000000001</v>
      </c>
      <c r="Q1736">
        <v>0.14674619999999999</v>
      </c>
      <c r="R1736">
        <v>-2.8178379999999999E-2</v>
      </c>
      <c r="S1736">
        <v>-3.0605769999999999</v>
      </c>
      <c r="T1736">
        <v>-0.20832870000000001</v>
      </c>
      <c r="U1736">
        <v>-0.15750120000000001</v>
      </c>
      <c r="V1736">
        <v>-6.4712889999999999E-3</v>
      </c>
      <c r="W1736">
        <v>0.15556489999999901</v>
      </c>
      <c r="X1736">
        <v>0.98780449999999997</v>
      </c>
      <c r="Y1736">
        <v>-2.8476149999999999E-2</v>
      </c>
      <c r="Z1736">
        <v>5.8963599999999896E-4</v>
      </c>
      <c r="AA1736">
        <v>0.99959430000000005</v>
      </c>
      <c r="AB1736">
        <v>45</v>
      </c>
      <c r="AC1736">
        <v>-15.8660999999999</v>
      </c>
      <c r="AD1736">
        <v>-1.1114029039990001</v>
      </c>
      <c r="AE1736">
        <v>-0.82929999999998905</v>
      </c>
      <c r="AF1736">
        <v>-0.46314746978763399</v>
      </c>
      <c r="AG1736">
        <v>-1.1114029039990001</v>
      </c>
      <c r="AH1736">
        <v>15.803605449886801</v>
      </c>
      <c r="AI1736">
        <v>94.021033892045594</v>
      </c>
      <c r="AJ1736">
        <v>91.678655052735195</v>
      </c>
      <c r="AK1736">
        <v>15.849405894527401</v>
      </c>
      <c r="AL1736">
        <v>81.050440146554493</v>
      </c>
      <c r="AM1736">
        <v>90.3753498222583</v>
      </c>
      <c r="AN1736">
        <v>1.00000002295679</v>
      </c>
    </row>
    <row r="1737" spans="1:40" x14ac:dyDescent="0.25">
      <c r="A1737" t="str">
        <f>"20190312172650005"</f>
        <v>20190312172650005</v>
      </c>
      <c r="B1737" t="str">
        <f>"1552382810000868"</f>
        <v>1552382810000868</v>
      </c>
      <c r="C1737" t="s">
        <v>40</v>
      </c>
      <c r="D1737">
        <v>3.1944129999999999</v>
      </c>
      <c r="E1737">
        <v>0.49697279999999999</v>
      </c>
      <c r="F1737" t="s">
        <v>48</v>
      </c>
      <c r="G1737">
        <v>-325.13200000000001</v>
      </c>
      <c r="H1737" s="1">
        <v>1.197024E-6</v>
      </c>
      <c r="I1737">
        <v>284.55239999999998</v>
      </c>
      <c r="J1737">
        <v>-311.37119999999999</v>
      </c>
      <c r="K1737">
        <v>1.1113820000000001</v>
      </c>
      <c r="L1737">
        <v>285.11709999999999</v>
      </c>
      <c r="M1737">
        <v>-0.99964949999999997</v>
      </c>
      <c r="N1737">
        <v>0</v>
      </c>
      <c r="O1737">
        <v>-2.490378E-2</v>
      </c>
      <c r="P1737">
        <v>-0.9887243</v>
      </c>
      <c r="Q1737">
        <v>0.14672869999999999</v>
      </c>
      <c r="R1737">
        <v>-2.9919009999999999E-2</v>
      </c>
      <c r="S1737">
        <v>-3.0661619999999998</v>
      </c>
      <c r="T1737">
        <v>-0.2400243</v>
      </c>
      <c r="U1737">
        <v>-0.1243896</v>
      </c>
      <c r="V1737">
        <v>-6.2409550000000003E-3</v>
      </c>
      <c r="W1737">
        <v>0.15556909999999999</v>
      </c>
      <c r="X1737">
        <v>0.9878053</v>
      </c>
      <c r="Y1737">
        <v>-1.5666490000000002E-2</v>
      </c>
      <c r="Z1737">
        <v>1.3334060000000001E-3</v>
      </c>
      <c r="AA1737">
        <v>0.9998764</v>
      </c>
      <c r="AB1737">
        <v>45</v>
      </c>
      <c r="AC1737">
        <v>-13.7608</v>
      </c>
      <c r="AD1737">
        <v>-1.1113808029759999</v>
      </c>
      <c r="AE1737">
        <v>-0.56470000000001597</v>
      </c>
      <c r="AF1737">
        <v>-0.22037999260763799</v>
      </c>
      <c r="AG1737">
        <v>-1.1113808029759999</v>
      </c>
      <c r="AH1737">
        <v>13.6815029455445</v>
      </c>
      <c r="AI1737">
        <v>94.643474748672901</v>
      </c>
      <c r="AJ1737">
        <v>90.922833669395601</v>
      </c>
      <c r="AK1737">
        <v>13.728337753687001</v>
      </c>
      <c r="AL1737">
        <v>81.050196354314096</v>
      </c>
      <c r="AM1737">
        <v>90.3619899831304</v>
      </c>
      <c r="AN1737">
        <v>1.0000000025511</v>
      </c>
    </row>
    <row r="1738" spans="1:40" x14ac:dyDescent="0.25">
      <c r="A1738" t="str">
        <f>"20190312172650028"</f>
        <v>20190312172650028</v>
      </c>
      <c r="B1738" t="str">
        <f>"1552382810020388"</f>
        <v>1552382810020388</v>
      </c>
      <c r="C1738" t="s">
        <v>40</v>
      </c>
      <c r="D1738">
        <v>3.2019470000000001</v>
      </c>
      <c r="E1738">
        <v>0.49688369999999998</v>
      </c>
      <c r="F1738" t="s">
        <v>48</v>
      </c>
      <c r="G1738">
        <v>-325.6669</v>
      </c>
      <c r="H1738" s="1">
        <v>1.4835759999999901E-6</v>
      </c>
      <c r="I1738">
        <v>284.50830000000002</v>
      </c>
      <c r="J1738">
        <v>-311.8331</v>
      </c>
      <c r="K1738">
        <v>1.1113420000000001</v>
      </c>
      <c r="L1738">
        <v>285.10430000000002</v>
      </c>
      <c r="M1738">
        <v>-0.9995965</v>
      </c>
      <c r="N1738">
        <v>0</v>
      </c>
      <c r="O1738">
        <v>-2.6940140000000001E-2</v>
      </c>
      <c r="P1738">
        <v>-0.98869189999999996</v>
      </c>
      <c r="Q1738">
        <v>0.1466247</v>
      </c>
      <c r="R1738">
        <v>-3.1457909999999999E-2</v>
      </c>
      <c r="S1738">
        <v>-3.0656430000000001</v>
      </c>
      <c r="T1738">
        <v>-0.23833080000000001</v>
      </c>
      <c r="U1738">
        <v>-0.13055419999999901</v>
      </c>
      <c r="V1738">
        <v>-5.7502229999999996E-3</v>
      </c>
      <c r="W1738">
        <v>0.15548909999999999</v>
      </c>
      <c r="X1738">
        <v>0.9878209</v>
      </c>
      <c r="Y1738">
        <v>-1.5649380000000001E-2</v>
      </c>
      <c r="Z1738">
        <v>1.4827709999999999E-3</v>
      </c>
      <c r="AA1738">
        <v>0.9998764</v>
      </c>
      <c r="AB1738">
        <v>45</v>
      </c>
      <c r="AC1738">
        <v>-13.833799999999901</v>
      </c>
      <c r="AD1738">
        <v>-1.111340516424</v>
      </c>
      <c r="AE1738">
        <v>-0.59600000000000297</v>
      </c>
      <c r="AF1738">
        <v>-0.22165618713243401</v>
      </c>
      <c r="AG1738">
        <v>-1.111340516424</v>
      </c>
      <c r="AH1738">
        <v>13.7562210079907</v>
      </c>
      <c r="AI1738">
        <v>94.618195650498194</v>
      </c>
      <c r="AJ1738">
        <v>90.923136163315107</v>
      </c>
      <c r="AK1738">
        <v>13.8028194811576</v>
      </c>
      <c r="AL1738">
        <v>81.054836709352799</v>
      </c>
      <c r="AM1738">
        <v>90.333521783045398</v>
      </c>
      <c r="AN1738">
        <v>1.00000002788008</v>
      </c>
    </row>
    <row r="1739" spans="1:40" x14ac:dyDescent="0.25">
      <c r="A1739" t="str">
        <f>"20190312172650050"</f>
        <v>20190312172650050</v>
      </c>
      <c r="B1739" t="str">
        <f>"1552382810040886"</f>
        <v>1552382810040886</v>
      </c>
      <c r="C1739" t="s">
        <v>40</v>
      </c>
      <c r="D1739">
        <v>3.2007659999999998</v>
      </c>
      <c r="E1739">
        <v>0.49700050000000001</v>
      </c>
      <c r="F1739" t="s">
        <v>48</v>
      </c>
      <c r="G1739">
        <v>-326.06259999999997</v>
      </c>
      <c r="H1739" s="1">
        <v>1.6956809999999901E-6</v>
      </c>
      <c r="I1739">
        <v>284.47300000000001</v>
      </c>
      <c r="J1739">
        <v>-312.28829999999999</v>
      </c>
      <c r="K1739">
        <v>1.1112919999999999</v>
      </c>
      <c r="L1739">
        <v>285.09089999999998</v>
      </c>
      <c r="M1739">
        <v>-0.99954290000000001</v>
      </c>
      <c r="N1739">
        <v>0</v>
      </c>
      <c r="O1739">
        <v>-2.88553E-2</v>
      </c>
      <c r="P1739">
        <v>-0.98870219999999998</v>
      </c>
      <c r="Q1739">
        <v>0.14621589999999901</v>
      </c>
      <c r="R1739">
        <v>-3.299742E-2</v>
      </c>
      <c r="S1739">
        <v>-3.0654599999999999</v>
      </c>
      <c r="T1739">
        <v>-0.23941680000000001</v>
      </c>
      <c r="U1739">
        <v>-0.13601679999999999</v>
      </c>
      <c r="V1739">
        <v>-5.3704299999999998E-3</v>
      </c>
      <c r="W1739">
        <v>0.15510560000000001</v>
      </c>
      <c r="X1739">
        <v>0.98788330000000002</v>
      </c>
      <c r="Y1739">
        <v>-1.5521099999999999E-2</v>
      </c>
      <c r="Z1739">
        <v>1.643718E-3</v>
      </c>
      <c r="AA1739">
        <v>0.99987820000000005</v>
      </c>
      <c r="AB1739">
        <v>45</v>
      </c>
      <c r="AC1739">
        <v>-13.774299999999901</v>
      </c>
      <c r="AD1739">
        <v>-1.1112903043190001</v>
      </c>
      <c r="AE1739">
        <v>-0.61789999999996303</v>
      </c>
      <c r="AF1739">
        <v>-0.218744005007144</v>
      </c>
      <c r="AG1739">
        <v>-1.1112903043190001</v>
      </c>
      <c r="AH1739">
        <v>13.6974165358848</v>
      </c>
      <c r="AI1739">
        <v>94.637737733320805</v>
      </c>
      <c r="AJ1739">
        <v>90.914920194052897</v>
      </c>
      <c r="AK1739">
        <v>13.7441636645425</v>
      </c>
      <c r="AL1739">
        <v>81.077079257972699</v>
      </c>
      <c r="AM1739">
        <v>90.3114739787639</v>
      </c>
      <c r="AN1739">
        <v>1.00000000154431</v>
      </c>
    </row>
    <row r="1740" spans="1:40" x14ac:dyDescent="0.25">
      <c r="A1740" t="str">
        <f>"20190312172650073"</f>
        <v>20190312172650073</v>
      </c>
      <c r="B1740" t="str">
        <f>"1552382810060404"</f>
        <v>1552382810060404</v>
      </c>
      <c r="C1740" t="s">
        <v>40</v>
      </c>
      <c r="D1740">
        <v>3.20316</v>
      </c>
      <c r="E1740">
        <v>0.500096599999999</v>
      </c>
      <c r="F1740" t="s">
        <v>44</v>
      </c>
      <c r="G1740">
        <v>-313.36939999999998</v>
      </c>
      <c r="H1740">
        <v>1.0262849999999999</v>
      </c>
      <c r="I1740">
        <v>285.0419</v>
      </c>
      <c r="J1740">
        <v>-312.7407</v>
      </c>
      <c r="K1740">
        <v>1.1112229999999901</v>
      </c>
      <c r="L1740">
        <v>285.07659999999998</v>
      </c>
      <c r="M1740">
        <v>-0.99948910000000002</v>
      </c>
      <c r="N1740">
        <v>0</v>
      </c>
      <c r="O1740">
        <v>-3.0658359999999999E-2</v>
      </c>
      <c r="P1740">
        <v>-0.98860550000000003</v>
      </c>
      <c r="Q1740">
        <v>0.146595</v>
      </c>
      <c r="R1740">
        <v>-3.4194990000000001E-2</v>
      </c>
      <c r="S1740">
        <v>-3.0653079999999999</v>
      </c>
      <c r="T1740">
        <v>-0.24122489999999999</v>
      </c>
      <c r="U1740">
        <v>-0.13964840000000001</v>
      </c>
      <c r="V1740">
        <v>-4.7605700000000004E-3</v>
      </c>
      <c r="W1740">
        <v>0.15551209999999999</v>
      </c>
      <c r="X1740">
        <v>0.98782250000000005</v>
      </c>
      <c r="Y1740">
        <v>-1.4909830000000001E-2</v>
      </c>
      <c r="Z1740">
        <v>1.821636E-3</v>
      </c>
      <c r="AA1740">
        <v>0.99988719999999998</v>
      </c>
      <c r="AB1740">
        <v>46</v>
      </c>
      <c r="AC1740">
        <v>-0.62869999999998005</v>
      </c>
      <c r="AD1740">
        <v>-8.4937999999999694E-2</v>
      </c>
      <c r="AE1740">
        <v>-3.4699999999986603E-2</v>
      </c>
      <c r="AF1740">
        <v>-1.5132623481103899E-2</v>
      </c>
      <c r="AG1740">
        <v>-8.4937999999999694E-2</v>
      </c>
      <c r="AH1740">
        <v>0.61821869484729297</v>
      </c>
      <c r="AI1740">
        <v>97.820662173748602</v>
      </c>
      <c r="AJ1740">
        <v>91.402193694576695</v>
      </c>
      <c r="AK1740">
        <v>0.62420975224367603</v>
      </c>
      <c r="AL1740">
        <v>81.053502282257298</v>
      </c>
      <c r="AM1740">
        <v>90.276120919966303</v>
      </c>
      <c r="AN1740">
        <v>0.99999998388969202</v>
      </c>
    </row>
    <row r="1741" spans="1:40" x14ac:dyDescent="0.25">
      <c r="A1741" t="str">
        <f>"20190312172650095"</f>
        <v>20190312172650095</v>
      </c>
      <c r="B1741" t="str">
        <f>"1552382810090660"</f>
        <v>1552382810090660</v>
      </c>
      <c r="C1741" t="s">
        <v>40</v>
      </c>
      <c r="D1741">
        <v>3.2368610000000002</v>
      </c>
      <c r="E1741">
        <v>0.4990735</v>
      </c>
      <c r="F1741" t="s">
        <v>44</v>
      </c>
      <c r="G1741">
        <v>-313.77519999999998</v>
      </c>
      <c r="H1741">
        <v>1.0234939999999999</v>
      </c>
      <c r="I1741">
        <v>285.0367</v>
      </c>
      <c r="J1741">
        <v>-313.20350000000002</v>
      </c>
      <c r="K1741">
        <v>1.111143</v>
      </c>
      <c r="L1741">
        <v>285.06139999999999</v>
      </c>
      <c r="M1741">
        <v>-0.99943369999999998</v>
      </c>
      <c r="N1741">
        <v>0</v>
      </c>
      <c r="O1741">
        <v>-3.2404170000000003E-2</v>
      </c>
      <c r="P1741">
        <v>-0.98854240000000004</v>
      </c>
      <c r="Q1741">
        <v>0.14675479999999999</v>
      </c>
      <c r="R1741">
        <v>-3.531492E-2</v>
      </c>
      <c r="S1741">
        <v>-3.069061</v>
      </c>
      <c r="T1741">
        <v>-0.26037529999999998</v>
      </c>
      <c r="U1741">
        <v>-0.118988</v>
      </c>
      <c r="V1741">
        <v>-4.1245530000000004E-3</v>
      </c>
      <c r="W1741">
        <v>0.15570100000000001</v>
      </c>
      <c r="X1741">
        <v>0.9877956</v>
      </c>
      <c r="Y1741">
        <v>-6.432648E-3</v>
      </c>
      <c r="Z1741">
        <v>2.47022E-3</v>
      </c>
      <c r="AA1741">
        <v>0.99997630000000004</v>
      </c>
      <c r="AB1741">
        <v>46</v>
      </c>
      <c r="AC1741">
        <v>-0.57169999999996401</v>
      </c>
      <c r="AD1741">
        <v>-8.7648999999999797E-2</v>
      </c>
      <c r="AE1741">
        <v>-2.4699999999995701E-2</v>
      </c>
      <c r="AF1741">
        <v>-6.0195761275524803E-3</v>
      </c>
      <c r="AG1741">
        <v>-8.7648999999999797E-2</v>
      </c>
      <c r="AH1741">
        <v>0.55908347020761295</v>
      </c>
      <c r="AI1741">
        <v>98.909380954454505</v>
      </c>
      <c r="AJ1741">
        <v>90.616872074493202</v>
      </c>
      <c r="AK1741">
        <v>0.56594426329554903</v>
      </c>
      <c r="AL1741">
        <v>81.042545615906306</v>
      </c>
      <c r="AM1741">
        <v>90.239237860433605</v>
      </c>
      <c r="AN1741">
        <v>0.99999998035890403</v>
      </c>
    </row>
    <row r="1742" spans="1:40" x14ac:dyDescent="0.25">
      <c r="A1742" t="str">
        <f>"20190312172650118"</f>
        <v>20190312172650118</v>
      </c>
      <c r="B1742" t="str">
        <f>"1552382810110180"</f>
        <v>1552382810110180</v>
      </c>
      <c r="C1742" t="s">
        <v>40</v>
      </c>
      <c r="D1742">
        <v>3.323099</v>
      </c>
      <c r="E1742">
        <v>0.48697479999999999</v>
      </c>
      <c r="F1742" t="s">
        <v>44</v>
      </c>
      <c r="G1742">
        <v>-314.18599999999998</v>
      </c>
      <c r="H1742">
        <v>1.0304120000000001</v>
      </c>
      <c r="I1742">
        <v>285.0197</v>
      </c>
      <c r="J1742">
        <v>-313.67090000000002</v>
      </c>
      <c r="K1742">
        <v>1.111051</v>
      </c>
      <c r="L1742">
        <v>285.04520000000002</v>
      </c>
      <c r="M1742">
        <v>-0.99937880000000001</v>
      </c>
      <c r="N1742">
        <v>0</v>
      </c>
      <c r="O1742">
        <v>-3.4046519999999997E-2</v>
      </c>
      <c r="P1742">
        <v>-0.98851909999999998</v>
      </c>
      <c r="Q1742">
        <v>0.14670749999999999</v>
      </c>
      <c r="R1742">
        <v>-3.6153020000000001E-2</v>
      </c>
      <c r="S1742">
        <v>-3.0675659999999998</v>
      </c>
      <c r="T1742">
        <v>-0.25227640000000001</v>
      </c>
      <c r="U1742">
        <v>-0.13079830000000001</v>
      </c>
      <c r="V1742">
        <v>-3.301221E-3</v>
      </c>
      <c r="W1742">
        <v>0.15568409999999999</v>
      </c>
      <c r="X1742">
        <v>0.98780140000000005</v>
      </c>
      <c r="Y1742">
        <v>-8.6442489999999997E-3</v>
      </c>
      <c r="Z1742">
        <v>2.4385140000000001E-3</v>
      </c>
      <c r="AA1742">
        <v>0.99995959999999995</v>
      </c>
      <c r="AB1742">
        <v>46</v>
      </c>
      <c r="AC1742">
        <v>-0.51509999999996103</v>
      </c>
      <c r="AD1742">
        <v>-8.0638999999999905E-2</v>
      </c>
      <c r="AE1742">
        <v>-2.5500000000022199E-2</v>
      </c>
      <c r="AF1742">
        <v>-7.7574711592698102E-3</v>
      </c>
      <c r="AG1742">
        <v>-8.0638999999999905E-2</v>
      </c>
      <c r="AH1742">
        <v>0.50336331903570497</v>
      </c>
      <c r="AI1742">
        <v>99.100408923042394</v>
      </c>
      <c r="AJ1742">
        <v>90.8829311890414</v>
      </c>
      <c r="AK1742">
        <v>0.50984061983175499</v>
      </c>
      <c r="AL1742">
        <v>81.043526239260302</v>
      </c>
      <c r="AM1742">
        <v>90.191481128049702</v>
      </c>
      <c r="AN1742">
        <v>1.0000000214474301</v>
      </c>
    </row>
    <row r="1743" spans="1:40" x14ac:dyDescent="0.25">
      <c r="A1743" t="str">
        <f>"20190312172650141"</f>
        <v>20190312172650141</v>
      </c>
      <c r="B1743" t="str">
        <f>"1552382810130677"</f>
        <v>1552382810130677</v>
      </c>
      <c r="C1743" t="s">
        <v>40</v>
      </c>
      <c r="D1743">
        <v>3.232901</v>
      </c>
      <c r="E1743">
        <v>0.4870447</v>
      </c>
      <c r="F1743" t="s">
        <v>48</v>
      </c>
      <c r="G1743">
        <v>-332.25360000000001</v>
      </c>
      <c r="H1743" s="1">
        <v>-2.9557359999999998E-7</v>
      </c>
      <c r="I1743">
        <v>283.65629999999999</v>
      </c>
      <c r="J1743">
        <v>-314.14060000000001</v>
      </c>
      <c r="K1743">
        <v>1.1109359999999999</v>
      </c>
      <c r="L1743">
        <v>285.0283</v>
      </c>
      <c r="M1743">
        <v>-0.99932650000000001</v>
      </c>
      <c r="N1743">
        <v>0</v>
      </c>
      <c r="O1743">
        <v>-3.5544630000000001E-2</v>
      </c>
      <c r="P1743">
        <v>-0.98855630000000005</v>
      </c>
      <c r="Q1743">
        <v>0.1462376</v>
      </c>
      <c r="R1743">
        <v>-3.7026599999999903E-2</v>
      </c>
      <c r="S1743">
        <v>-3.0536189999999999</v>
      </c>
      <c r="T1743">
        <v>-0.18257490000000001</v>
      </c>
      <c r="U1743">
        <v>-0.228241</v>
      </c>
      <c r="V1743">
        <v>-2.6433910000000001E-3</v>
      </c>
      <c r="W1743">
        <v>0.15524270000000001</v>
      </c>
      <c r="X1743">
        <v>0.9878728</v>
      </c>
      <c r="Y1743">
        <v>-3.903595E-2</v>
      </c>
      <c r="Z1743">
        <v>9.550944E-4</v>
      </c>
      <c r="AA1743">
        <v>0.99923740000000005</v>
      </c>
      <c r="AB1743">
        <v>46</v>
      </c>
      <c r="AC1743">
        <v>-18.113</v>
      </c>
      <c r="AD1743">
        <v>-1.1109362955736</v>
      </c>
      <c r="AE1743">
        <v>-1.3720000000000101</v>
      </c>
      <c r="AF1743">
        <v>-0.72457613129383802</v>
      </c>
      <c r="AG1743">
        <v>-1.1109362955736</v>
      </c>
      <c r="AH1743">
        <v>18.082686846513599</v>
      </c>
      <c r="AI1743">
        <v>93.512819297525098</v>
      </c>
      <c r="AJ1743">
        <v>92.294623406226194</v>
      </c>
      <c r="AK1743">
        <v>18.1312645342772</v>
      </c>
      <c r="AL1743">
        <v>81.069127462105897</v>
      </c>
      <c r="AM1743">
        <v>90.153314056652803</v>
      </c>
      <c r="AN1743">
        <v>0.99999997619955405</v>
      </c>
    </row>
    <row r="1744" spans="1:40" x14ac:dyDescent="0.25">
      <c r="A1744" t="str">
        <f>"20190312172650162"</f>
        <v>20190312172650162</v>
      </c>
      <c r="B1744" t="str">
        <f>"1552382810150196"</f>
        <v>1552382810150196</v>
      </c>
      <c r="C1744" t="s">
        <v>40</v>
      </c>
      <c r="D1744">
        <v>3.2132329999999998</v>
      </c>
      <c r="E1744">
        <v>0.48694609999999999</v>
      </c>
      <c r="F1744" t="s">
        <v>48</v>
      </c>
      <c r="G1744">
        <v>-335.15929999999997</v>
      </c>
      <c r="H1744" s="1">
        <v>1.2598509999999999E-6</v>
      </c>
      <c r="I1744">
        <v>283.4468</v>
      </c>
      <c r="J1744">
        <v>-314.57600000000002</v>
      </c>
      <c r="K1744">
        <v>1.1108039999999999</v>
      </c>
      <c r="L1744">
        <v>285.01209999999998</v>
      </c>
      <c r="M1744">
        <v>-0.99928209999999995</v>
      </c>
      <c r="N1744">
        <v>0</v>
      </c>
      <c r="O1744">
        <v>-3.67689E-2</v>
      </c>
      <c r="P1744">
        <v>-0.9885775</v>
      </c>
      <c r="Q1744">
        <v>0.14605279999999901</v>
      </c>
      <c r="R1744">
        <v>-3.7192900000000001E-2</v>
      </c>
      <c r="S1744">
        <v>-3.0499879999999999</v>
      </c>
      <c r="T1744">
        <v>-0.16120609999999999</v>
      </c>
      <c r="U1744">
        <v>-0.22949220000000001</v>
      </c>
      <c r="V1744">
        <v>-1.545872E-3</v>
      </c>
      <c r="W1744">
        <v>0.15508540000000001</v>
      </c>
      <c r="X1744">
        <v>0.98789979999999999</v>
      </c>
      <c r="Y1744">
        <v>-3.831188E-2</v>
      </c>
      <c r="Z1744">
        <v>9.2805139999999997E-4</v>
      </c>
      <c r="AA1744">
        <v>0.99926539999999997</v>
      </c>
      <c r="AB1744">
        <v>46</v>
      </c>
      <c r="AC1744">
        <v>-20.583300000000001</v>
      </c>
      <c r="AD1744">
        <v>-1.1108027401489999</v>
      </c>
      <c r="AE1744">
        <v>-1.5652999999999699</v>
      </c>
      <c r="AF1744">
        <v>-0.80505349519848401</v>
      </c>
      <c r="AG1744">
        <v>-1.1108027401489999</v>
      </c>
      <c r="AH1744">
        <v>20.5673820326715</v>
      </c>
      <c r="AI1744">
        <v>93.089064936583299</v>
      </c>
      <c r="AJ1744">
        <v>92.241541108455294</v>
      </c>
      <c r="AK1744">
        <v>20.613083164231199</v>
      </c>
      <c r="AL1744">
        <v>81.078250281853101</v>
      </c>
      <c r="AM1744">
        <v>90.089656733379798</v>
      </c>
      <c r="AN1744">
        <v>0.99999994292671801</v>
      </c>
    </row>
    <row r="1745" spans="1:40" x14ac:dyDescent="0.25">
      <c r="A1745" t="str">
        <f>"20190312172650195"</f>
        <v>20190312172650195</v>
      </c>
      <c r="B1745" t="str">
        <f>"1552382810190212"</f>
        <v>1552382810190212</v>
      </c>
      <c r="C1745" t="s">
        <v>40</v>
      </c>
      <c r="D1745">
        <v>3.329167</v>
      </c>
      <c r="E1745">
        <v>0.48676740000000002</v>
      </c>
      <c r="F1745" t="s">
        <v>48</v>
      </c>
      <c r="G1745">
        <v>-336.77300000000002</v>
      </c>
      <c r="H1745" s="1">
        <v>2.1234470000000001E-6</v>
      </c>
      <c r="I1745">
        <v>283.3356</v>
      </c>
      <c r="J1745">
        <v>-315.24689999999998</v>
      </c>
      <c r="K1745">
        <v>1.1105510000000001</v>
      </c>
      <c r="L1745">
        <v>284.9864</v>
      </c>
      <c r="M1745">
        <v>-0.99922449999999996</v>
      </c>
      <c r="N1745">
        <v>0</v>
      </c>
      <c r="O1745">
        <v>-3.8292E-2</v>
      </c>
      <c r="P1745">
        <v>-0.98849960000000003</v>
      </c>
      <c r="Q1745">
        <v>0.14651059999999999</v>
      </c>
      <c r="R1745">
        <v>-3.7459510000000001E-2</v>
      </c>
      <c r="S1745">
        <v>-3.0485530000000001</v>
      </c>
      <c r="T1745">
        <v>-0.15255829999999901</v>
      </c>
      <c r="U1745">
        <v>-0.23025509999999999</v>
      </c>
      <c r="V1745">
        <v>-2.1320439999999999E-4</v>
      </c>
      <c r="W1745">
        <v>0.15557850000000001</v>
      </c>
      <c r="X1745">
        <v>0.98782349999999997</v>
      </c>
      <c r="Y1745">
        <v>-3.7076190000000002E-2</v>
      </c>
      <c r="Z1745">
        <v>9.8556129999999992E-4</v>
      </c>
      <c r="AA1745">
        <v>0.99931199999999998</v>
      </c>
      <c r="AB1745">
        <v>46</v>
      </c>
      <c r="AC1745">
        <v>-21.5261</v>
      </c>
      <c r="AD1745">
        <v>-1.1105488765530001</v>
      </c>
      <c r="AE1745">
        <v>-1.6508</v>
      </c>
      <c r="AF1745">
        <v>-0.82309913459699502</v>
      </c>
      <c r="AG1745">
        <v>-1.1105488765530001</v>
      </c>
      <c r="AH1745">
        <v>21.516592385692501</v>
      </c>
      <c r="AI1745">
        <v>92.952464188034895</v>
      </c>
      <c r="AJ1745">
        <v>92.190733619438205</v>
      </c>
      <c r="AK1745">
        <v>21.560949860445099</v>
      </c>
      <c r="AL1745">
        <v>81.049651032538193</v>
      </c>
      <c r="AM1745">
        <v>90.012366290236997</v>
      </c>
      <c r="AN1745">
        <v>0.99999999113530802</v>
      </c>
    </row>
    <row r="1746" spans="1:40" x14ac:dyDescent="0.25">
      <c r="A1746" t="str">
        <f>"20190312172650217"</f>
        <v>20190312172650217</v>
      </c>
      <c r="B1746" t="str">
        <f>"1552382810210708"</f>
        <v>1552382810210708</v>
      </c>
      <c r="C1746" t="s">
        <v>40</v>
      </c>
      <c r="D1746">
        <v>3.2439749999999998</v>
      </c>
      <c r="E1746">
        <v>0.4870022</v>
      </c>
      <c r="F1746" t="s">
        <v>48</v>
      </c>
      <c r="G1746">
        <v>-339.01920000000001</v>
      </c>
      <c r="H1746" s="1">
        <v>3.325802E-6</v>
      </c>
      <c r="I1746">
        <v>283.1746</v>
      </c>
      <c r="J1746">
        <v>-315.69060000000002</v>
      </c>
      <c r="K1746">
        <v>1.110363</v>
      </c>
      <c r="L1746">
        <v>284.96890000000002</v>
      </c>
      <c r="M1746">
        <v>-0.9991949</v>
      </c>
      <c r="N1746">
        <v>0</v>
      </c>
      <c r="O1746">
        <v>-3.9053890000000001E-2</v>
      </c>
      <c r="P1746">
        <v>-0.98844750000000003</v>
      </c>
      <c r="Q1746">
        <v>0.14687169999999999</v>
      </c>
      <c r="R1746">
        <v>-3.7417680000000002E-2</v>
      </c>
      <c r="S1746">
        <v>-3.0472410000000001</v>
      </c>
      <c r="T1746">
        <v>-0.142354799999999</v>
      </c>
      <c r="U1746">
        <v>-0.2322388</v>
      </c>
      <c r="V1746">
        <v>6.521443E-4</v>
      </c>
      <c r="W1746">
        <v>0.15596099999999999</v>
      </c>
      <c r="X1746">
        <v>0.98776299999999995</v>
      </c>
      <c r="Y1746">
        <v>-3.6994060000000002E-2</v>
      </c>
      <c r="Z1746">
        <v>9.5747639999999999E-4</v>
      </c>
      <c r="AA1746">
        <v>0.99931499999999995</v>
      </c>
      <c r="AB1746">
        <v>46</v>
      </c>
      <c r="AC1746">
        <v>-23.328599999999899</v>
      </c>
      <c r="AD1746">
        <v>-1.110359674198</v>
      </c>
      <c r="AE1746">
        <v>-1.79430000000002</v>
      </c>
      <c r="AF1746">
        <v>-0.879838532761543</v>
      </c>
      <c r="AG1746">
        <v>-1.110359674198</v>
      </c>
      <c r="AH1746">
        <v>23.328340753211101</v>
      </c>
      <c r="AI1746">
        <v>92.723119031512198</v>
      </c>
      <c r="AJ1746">
        <v>92.159911544161304</v>
      </c>
      <c r="AK1746">
        <v>23.371317822231301</v>
      </c>
      <c r="AL1746">
        <v>81.027464668821196</v>
      </c>
      <c r="AM1746">
        <v>89.962171988023002</v>
      </c>
      <c r="AN1746">
        <v>1.0000000014910899</v>
      </c>
    </row>
    <row r="1747" spans="1:40" x14ac:dyDescent="0.25">
      <c r="A1747" t="str">
        <f>"20190312172650239"</f>
        <v>20190312172650239</v>
      </c>
      <c r="B1747" t="str">
        <f>"1552382810230228"</f>
        <v>1552382810230228</v>
      </c>
      <c r="C1747" t="s">
        <v>40</v>
      </c>
      <c r="D1747">
        <v>3.2000069999999998</v>
      </c>
      <c r="E1747">
        <v>0.48725810000000003</v>
      </c>
      <c r="F1747" t="s">
        <v>48</v>
      </c>
      <c r="G1747">
        <v>-339.80829999999997</v>
      </c>
      <c r="H1747" s="1">
        <v>3.7469990000000001E-6</v>
      </c>
      <c r="I1747">
        <v>283.14600000000002</v>
      </c>
      <c r="J1747">
        <v>-316.17759999999998</v>
      </c>
      <c r="K1747">
        <v>1.1101570000000001</v>
      </c>
      <c r="L1747">
        <v>284.94959999999998</v>
      </c>
      <c r="M1747">
        <v>-0.99916959999999999</v>
      </c>
      <c r="N1747">
        <v>0</v>
      </c>
      <c r="O1747">
        <v>-3.9690780000000002E-2</v>
      </c>
      <c r="P1747">
        <v>-0.98840170000000005</v>
      </c>
      <c r="Q1747">
        <v>0.14727779999999999</v>
      </c>
      <c r="R1747">
        <v>-3.7035739999999998E-2</v>
      </c>
      <c r="S1747">
        <v>-3.04718</v>
      </c>
      <c r="T1747">
        <v>-0.14028940000000001</v>
      </c>
      <c r="U1747">
        <v>-0.2303162</v>
      </c>
      <c r="V1747">
        <v>1.741402E-3</v>
      </c>
      <c r="W1747">
        <v>0.15638920000000001</v>
      </c>
      <c r="X1747">
        <v>0.98769399999999996</v>
      </c>
      <c r="Y1747">
        <v>-3.5733580000000001E-2</v>
      </c>
      <c r="Z1747">
        <v>1.0018329999999999E-3</v>
      </c>
      <c r="AA1747">
        <v>0.9993609</v>
      </c>
      <c r="AB1747">
        <v>46</v>
      </c>
      <c r="AC1747">
        <v>-23.630699999999901</v>
      </c>
      <c r="AD1747">
        <v>-1.1101532530010001</v>
      </c>
      <c r="AE1747">
        <v>-1.8036000000000101</v>
      </c>
      <c r="AF1747">
        <v>-0.86232582287915105</v>
      </c>
      <c r="AG1747">
        <v>-1.1101532530010001</v>
      </c>
      <c r="AH1747">
        <v>23.6318124227566</v>
      </c>
      <c r="AI1747">
        <v>92.687824131937305</v>
      </c>
      <c r="AJ1747">
        <v>92.089798179717206</v>
      </c>
      <c r="AK1747">
        <v>23.673584529054899</v>
      </c>
      <c r="AL1747">
        <v>81.002626050331202</v>
      </c>
      <c r="AM1747">
        <v>89.898981990726099</v>
      </c>
      <c r="AN1747">
        <v>1.0000000259967801</v>
      </c>
    </row>
    <row r="1748" spans="1:40" x14ac:dyDescent="0.25">
      <c r="A1748" t="str">
        <f>"20190312172650261"</f>
        <v>20190312172650261</v>
      </c>
      <c r="B1748" t="str">
        <f>"1552382810250728"</f>
        <v>1552382810250728</v>
      </c>
      <c r="C1748" t="s">
        <v>40</v>
      </c>
      <c r="D1748">
        <v>3.2177380000000002</v>
      </c>
      <c r="E1748">
        <v>0.48739070000000001</v>
      </c>
      <c r="F1748" t="s">
        <v>48</v>
      </c>
      <c r="G1748">
        <v>-340.38819999999998</v>
      </c>
      <c r="H1748" s="1">
        <v>-1.3301889999999999E-6</v>
      </c>
      <c r="I1748">
        <v>283.14479999999998</v>
      </c>
      <c r="J1748">
        <v>-316.61520000000002</v>
      </c>
      <c r="K1748">
        <v>1.1099699999999999</v>
      </c>
      <c r="L1748">
        <v>284.93200000000002</v>
      </c>
      <c r="M1748">
        <v>-0.99915359999999998</v>
      </c>
      <c r="N1748">
        <v>0</v>
      </c>
      <c r="O1748">
        <v>-4.008627E-2</v>
      </c>
      <c r="P1748">
        <v>-0.98845050000000001</v>
      </c>
      <c r="Q1748">
        <v>0.14701819999999999</v>
      </c>
      <c r="R1748">
        <v>-3.6763900000000002E-2</v>
      </c>
      <c r="S1748">
        <v>-3.0475159999999999</v>
      </c>
      <c r="T1748">
        <v>-0.1397409</v>
      </c>
      <c r="U1748">
        <v>-0.22717290000000001</v>
      </c>
      <c r="V1748">
        <v>2.4779149999999998E-3</v>
      </c>
      <c r="W1748">
        <v>0.15614890000000001</v>
      </c>
      <c r="X1748">
        <v>0.98773040000000001</v>
      </c>
      <c r="Y1748">
        <v>-3.4306570000000002E-2</v>
      </c>
      <c r="Z1748">
        <v>1.0485900000000001E-3</v>
      </c>
      <c r="AA1748">
        <v>0.99941080000000004</v>
      </c>
      <c r="AB1748">
        <v>46</v>
      </c>
      <c r="AC1748">
        <v>-23.7729999999999</v>
      </c>
      <c r="AD1748">
        <v>-1.109971330189</v>
      </c>
      <c r="AE1748">
        <v>-1.7872000000000401</v>
      </c>
      <c r="AF1748">
        <v>-0.83095059459878096</v>
      </c>
      <c r="AG1748">
        <v>-1.109971330189</v>
      </c>
      <c r="AH1748">
        <v>23.7739994608365</v>
      </c>
      <c r="AI1748">
        <v>92.671481380987899</v>
      </c>
      <c r="AJ1748">
        <v>92.001791444512605</v>
      </c>
      <c r="AK1748">
        <v>23.814398283567002</v>
      </c>
      <c r="AL1748">
        <v>81.016565071267806</v>
      </c>
      <c r="AM1748">
        <v>89.8562626262664</v>
      </c>
      <c r="AN1748">
        <v>0.99999998105905796</v>
      </c>
    </row>
    <row r="1749" spans="1:40" x14ac:dyDescent="0.25">
      <c r="A1749" t="str">
        <f>"20190312172650283"</f>
        <v>20190312172650283</v>
      </c>
      <c r="B1749" t="str">
        <f>"1552382810280980"</f>
        <v>1552382810280980</v>
      </c>
      <c r="C1749" t="s">
        <v>40</v>
      </c>
      <c r="D1749">
        <v>3.1994030000000002</v>
      </c>
      <c r="E1749">
        <v>0.4877262</v>
      </c>
      <c r="F1749" t="s">
        <v>48</v>
      </c>
      <c r="G1749">
        <v>-340.59989999999999</v>
      </c>
      <c r="H1749" s="1">
        <v>-1.217568E-6</v>
      </c>
      <c r="I1749">
        <v>283.15570000000002</v>
      </c>
      <c r="J1749">
        <v>-317.06659999999999</v>
      </c>
      <c r="K1749">
        <v>1.1097779999999999</v>
      </c>
      <c r="L1749">
        <v>284.91390000000001</v>
      </c>
      <c r="M1749">
        <v>-0.99914409999999998</v>
      </c>
      <c r="N1749">
        <v>0</v>
      </c>
      <c r="O1749">
        <v>-4.0320269999999998E-2</v>
      </c>
      <c r="P1749">
        <v>-0.9885777</v>
      </c>
      <c r="Q1749">
        <v>0.14632790000000001</v>
      </c>
      <c r="R1749">
        <v>-3.6088530000000001E-2</v>
      </c>
      <c r="S1749">
        <v>-3.0476380000000001</v>
      </c>
      <c r="T1749">
        <v>-0.14103979999999999</v>
      </c>
      <c r="U1749">
        <v>-0.22570799999999999</v>
      </c>
      <c r="V1749">
        <v>3.46357E-3</v>
      </c>
      <c r="W1749">
        <v>0.15547820000000001</v>
      </c>
      <c r="X1749">
        <v>0.98783330000000003</v>
      </c>
      <c r="Y1749">
        <v>-3.3592919999999998E-2</v>
      </c>
      <c r="Z1749">
        <v>1.0855839999999999E-3</v>
      </c>
      <c r="AA1749">
        <v>0.99943499999999996</v>
      </c>
      <c r="AB1749">
        <v>46</v>
      </c>
      <c r="AC1749">
        <v>-23.533300000000001</v>
      </c>
      <c r="AD1749">
        <v>-1.1097792175679999</v>
      </c>
      <c r="AE1749">
        <v>-1.75819999999998</v>
      </c>
      <c r="AF1749">
        <v>-0.80607796560629097</v>
      </c>
      <c r="AG1749">
        <v>-1.1097792175679999</v>
      </c>
      <c r="AH1749">
        <v>23.533011744524099</v>
      </c>
      <c r="AI1749">
        <v>92.698396883742802</v>
      </c>
      <c r="AJ1749">
        <v>91.961789511195093</v>
      </c>
      <c r="AK1749">
        <v>23.572950883720299</v>
      </c>
      <c r="AL1749">
        <v>81.055469101558998</v>
      </c>
      <c r="AM1749">
        <v>89.7991086858096</v>
      </c>
      <c r="AN1749">
        <v>1.0000000477906299</v>
      </c>
    </row>
    <row r="1750" spans="1:40" x14ac:dyDescent="0.25">
      <c r="A1750" t="str">
        <f>"20190312172650308"</f>
        <v>20190312172650308</v>
      </c>
      <c r="B1750" t="str">
        <f>"1552382810300500"</f>
        <v>1552382810300500</v>
      </c>
      <c r="C1750" t="s">
        <v>40</v>
      </c>
      <c r="D1750">
        <v>3.2317999999999998</v>
      </c>
      <c r="E1750">
        <v>0.48800660000000001</v>
      </c>
      <c r="F1750" t="s">
        <v>48</v>
      </c>
      <c r="G1750">
        <v>-340.43189999999998</v>
      </c>
      <c r="H1750" s="1">
        <v>-1.306981E-6</v>
      </c>
      <c r="I1750">
        <v>283.22129999999999</v>
      </c>
      <c r="J1750">
        <v>-317.56290000000001</v>
      </c>
      <c r="K1750">
        <v>1.1095649999999999</v>
      </c>
      <c r="L1750">
        <v>284.8938</v>
      </c>
      <c r="M1750">
        <v>-0.99914130000000001</v>
      </c>
      <c r="N1750">
        <v>0</v>
      </c>
      <c r="O1750">
        <v>-4.0384469999999999E-2</v>
      </c>
      <c r="P1750">
        <v>-0.98865479999999994</v>
      </c>
      <c r="Q1750">
        <v>0.14594779999999999</v>
      </c>
      <c r="R1750">
        <v>-3.5508270000000001E-2</v>
      </c>
      <c r="S1750">
        <v>-3.048035</v>
      </c>
      <c r="T1750">
        <v>-0.1447726</v>
      </c>
      <c r="U1750">
        <v>-0.22079470000000001</v>
      </c>
      <c r="V1750">
        <v>4.190806E-3</v>
      </c>
      <c r="W1750">
        <v>0.15511649999999999</v>
      </c>
      <c r="X1750">
        <v>0.98788730000000002</v>
      </c>
      <c r="Y1750">
        <v>-3.1918929999999998E-2</v>
      </c>
      <c r="Z1750">
        <v>1.15694E-3</v>
      </c>
      <c r="AA1750">
        <v>0.99948979999999998</v>
      </c>
      <c r="AB1750">
        <v>46</v>
      </c>
      <c r="AC1750">
        <v>-22.8689999999999</v>
      </c>
      <c r="AD1750">
        <v>-1.109566306981</v>
      </c>
      <c r="AE1750">
        <v>-1.6725000000000101</v>
      </c>
      <c r="AF1750">
        <v>-0.74579714471012204</v>
      </c>
      <c r="AG1750">
        <v>-1.109566306981</v>
      </c>
      <c r="AH1750">
        <v>22.864351080236599</v>
      </c>
      <c r="AI1750">
        <v>92.776808244395696</v>
      </c>
      <c r="AJ1750">
        <v>91.868230750870794</v>
      </c>
      <c r="AK1750">
        <v>22.903403700999601</v>
      </c>
      <c r="AL1750">
        <v>81.076447109054897</v>
      </c>
      <c r="AM1750">
        <v>89.756941853401202</v>
      </c>
      <c r="AN1750">
        <v>1.0000000044642301</v>
      </c>
    </row>
    <row r="1751" spans="1:40" x14ac:dyDescent="0.25">
      <c r="A1751" t="str">
        <f>"20190312172650330"</f>
        <v>20190312172650330</v>
      </c>
      <c r="B1751" t="str">
        <f>"1552382810320997"</f>
        <v>1552382810320997</v>
      </c>
      <c r="C1751" t="s">
        <v>40</v>
      </c>
      <c r="D1751">
        <v>3.224126</v>
      </c>
      <c r="E1751">
        <v>0.48799720000000002</v>
      </c>
      <c r="F1751" t="s">
        <v>48</v>
      </c>
      <c r="G1751">
        <v>-340.6071</v>
      </c>
      <c r="H1751" s="1">
        <v>-1.213694E-6</v>
      </c>
      <c r="I1751">
        <v>283.25080000000003</v>
      </c>
      <c r="J1751">
        <v>-318.02679999999998</v>
      </c>
      <c r="K1751">
        <v>1.1093660000000001</v>
      </c>
      <c r="L1751">
        <v>284.87520000000001</v>
      </c>
      <c r="M1751">
        <v>-0.99914630000000004</v>
      </c>
      <c r="N1751">
        <v>0</v>
      </c>
      <c r="O1751">
        <v>-4.0259919999999998E-2</v>
      </c>
      <c r="P1751">
        <v>-0.98876450000000005</v>
      </c>
      <c r="Q1751">
        <v>0.1453981</v>
      </c>
      <c r="R1751">
        <v>-3.4708639999999999E-2</v>
      </c>
      <c r="S1751">
        <v>-3.0483090000000002</v>
      </c>
      <c r="T1751">
        <v>-0.1467743</v>
      </c>
      <c r="U1751">
        <v>-0.21734619999999999</v>
      </c>
      <c r="V1751">
        <v>4.9456049999999996E-3</v>
      </c>
      <c r="W1751">
        <v>0.15458359999999999</v>
      </c>
      <c r="X1751">
        <v>0.98796729999999999</v>
      </c>
      <c r="Y1751">
        <v>-3.0913400000000001E-2</v>
      </c>
      <c r="Z1751">
        <v>1.191056E-3</v>
      </c>
      <c r="AA1751">
        <v>0.9995214</v>
      </c>
      <c r="AB1751">
        <v>46</v>
      </c>
      <c r="AC1751">
        <v>-22.580300000000001</v>
      </c>
      <c r="AD1751">
        <v>-1.109367213694</v>
      </c>
      <c r="AE1751">
        <v>-1.6243999999999801</v>
      </c>
      <c r="AF1751">
        <v>-0.71225246750746596</v>
      </c>
      <c r="AG1751">
        <v>-1.109367213694</v>
      </c>
      <c r="AH1751">
        <v>22.5731868864811</v>
      </c>
      <c r="AI1751">
        <v>92.812160254242798</v>
      </c>
      <c r="AJ1751">
        <v>91.807255906900707</v>
      </c>
      <c r="AK1751">
        <v>22.6116510985884</v>
      </c>
      <c r="AL1751">
        <v>81.107352480650405</v>
      </c>
      <c r="AM1751">
        <v>89.713188962019501</v>
      </c>
      <c r="AN1751">
        <v>0.99999996713353201</v>
      </c>
    </row>
    <row r="1752" spans="1:40" x14ac:dyDescent="0.25">
      <c r="A1752" t="str">
        <f>"20190312172650351"</f>
        <v>20190312172650351</v>
      </c>
      <c r="B1752" t="str">
        <f>"1552382810340516"</f>
        <v>1552382810340516</v>
      </c>
      <c r="C1752" t="s">
        <v>40</v>
      </c>
      <c r="D1752">
        <v>3.384735</v>
      </c>
      <c r="E1752">
        <v>0.48812329999999998</v>
      </c>
      <c r="F1752" t="s">
        <v>48</v>
      </c>
      <c r="G1752">
        <v>-341.02289999999999</v>
      </c>
      <c r="H1752" s="1">
        <v>-9.9244769999999899E-7</v>
      </c>
      <c r="I1752">
        <v>283.25439999999998</v>
      </c>
      <c r="J1752">
        <v>-318.46850000000001</v>
      </c>
      <c r="K1752">
        <v>1.1091819999999999</v>
      </c>
      <c r="L1752">
        <v>284.85759999999999</v>
      </c>
      <c r="M1752">
        <v>-0.99915569999999998</v>
      </c>
      <c r="N1752">
        <v>0</v>
      </c>
      <c r="O1752">
        <v>-4.0016360000000001E-2</v>
      </c>
      <c r="P1752">
        <v>-0.98887930000000002</v>
      </c>
      <c r="Q1752">
        <v>0.14480270000000001</v>
      </c>
      <c r="R1752">
        <v>-3.3911759999999999E-2</v>
      </c>
      <c r="S1752">
        <v>-3.048187</v>
      </c>
      <c r="T1752">
        <v>-0.14704879999999901</v>
      </c>
      <c r="U1752">
        <v>-0.2148438</v>
      </c>
      <c r="V1752">
        <v>5.5734209999999899E-3</v>
      </c>
      <c r="W1752">
        <v>0.15400320000000001</v>
      </c>
      <c r="X1752">
        <v>0.98805460000000001</v>
      </c>
      <c r="Y1752">
        <v>-3.0343820000000001E-2</v>
      </c>
      <c r="Z1752">
        <v>1.195373E-3</v>
      </c>
      <c r="AA1752">
        <v>0.99953879999999995</v>
      </c>
      <c r="AB1752">
        <v>46</v>
      </c>
      <c r="AC1752">
        <v>-22.554399999999902</v>
      </c>
      <c r="AD1752">
        <v>-1.1091829924476999</v>
      </c>
      <c r="AE1752">
        <v>-1.60320000000001</v>
      </c>
      <c r="AF1752">
        <v>-0.69765291962536202</v>
      </c>
      <c r="AG1752">
        <v>-1.1091829924476999</v>
      </c>
      <c r="AH1752">
        <v>22.546236253500801</v>
      </c>
      <c r="AI1752">
        <v>92.815103076125496</v>
      </c>
      <c r="AJ1752">
        <v>91.772349808624995</v>
      </c>
      <c r="AK1752">
        <v>22.5842816070308</v>
      </c>
      <c r="AL1752">
        <v>81.141010030021206</v>
      </c>
      <c r="AM1752">
        <v>89.676809243240697</v>
      </c>
      <c r="AN1752">
        <v>0.99999997060652102</v>
      </c>
    </row>
    <row r="1753" spans="1:40" x14ac:dyDescent="0.25">
      <c r="A1753" t="str">
        <f>"20190312172650372"</f>
        <v>20190312172650372</v>
      </c>
      <c r="B1753" t="str">
        <f>"1552382810361012"</f>
        <v>1552382810361012</v>
      </c>
      <c r="C1753" t="s">
        <v>40</v>
      </c>
      <c r="D1753">
        <v>3.2019790000000001</v>
      </c>
      <c r="E1753">
        <v>0.48813770000000001</v>
      </c>
      <c r="F1753" t="s">
        <v>48</v>
      </c>
      <c r="G1753">
        <v>-341.16890000000001</v>
      </c>
      <c r="H1753" s="1">
        <v>-9.1476980000000005E-7</v>
      </c>
      <c r="I1753">
        <v>283.28559999999999</v>
      </c>
      <c r="J1753">
        <v>-318.91340000000002</v>
      </c>
      <c r="K1753">
        <v>1.109008</v>
      </c>
      <c r="L1753">
        <v>284.83999999999997</v>
      </c>
      <c r="M1753">
        <v>-0.99916919999999998</v>
      </c>
      <c r="N1753">
        <v>0</v>
      </c>
      <c r="O1753">
        <v>-3.9675179999999997E-2</v>
      </c>
      <c r="P1753">
        <v>-0.98895520000000003</v>
      </c>
      <c r="Q1753">
        <v>0.14462900000000001</v>
      </c>
      <c r="R1753">
        <v>-3.2407150000000003E-2</v>
      </c>
      <c r="S1753">
        <v>-3.0483090000000002</v>
      </c>
      <c r="T1753">
        <v>-0.1489463</v>
      </c>
      <c r="U1753">
        <v>-0.2110901</v>
      </c>
      <c r="V1753">
        <v>6.8040130000000002E-3</v>
      </c>
      <c r="W1753">
        <v>0.15384349999999999</v>
      </c>
      <c r="X1753">
        <v>0.98807179999999994</v>
      </c>
      <c r="Y1753">
        <v>-2.9458399999999999E-2</v>
      </c>
      <c r="Z1753">
        <v>1.2157680000000001E-3</v>
      </c>
      <c r="AA1753">
        <v>0.99956520000000004</v>
      </c>
      <c r="AB1753">
        <v>46</v>
      </c>
      <c r="AC1753">
        <v>-22.255499999999898</v>
      </c>
      <c r="AD1753">
        <v>-1.1090089147697999</v>
      </c>
      <c r="AE1753">
        <v>-1.55439999999998</v>
      </c>
      <c r="AF1753">
        <v>-0.66849483173554503</v>
      </c>
      <c r="AG1753">
        <v>-1.1090089147697999</v>
      </c>
      <c r="AH1753">
        <v>22.2446811670812</v>
      </c>
      <c r="AI1753">
        <v>92.852833056920105</v>
      </c>
      <c r="AJ1753">
        <v>91.721328711032896</v>
      </c>
      <c r="AK1753">
        <v>22.282338888415499</v>
      </c>
      <c r="AL1753">
        <v>81.150270783486803</v>
      </c>
      <c r="AM1753">
        <v>89.605458766402606</v>
      </c>
      <c r="AN1753">
        <v>0.99999999952019702</v>
      </c>
    </row>
    <row r="1754" spans="1:40" x14ac:dyDescent="0.25">
      <c r="A1754" t="str">
        <f>"20190312172650396"</f>
        <v>20190312172650396</v>
      </c>
      <c r="B1754" t="str">
        <f>"1552382810390293"</f>
        <v>1552382810390293</v>
      </c>
      <c r="C1754" t="s">
        <v>40</v>
      </c>
      <c r="D1754">
        <v>3.3068070000000001</v>
      </c>
      <c r="E1754">
        <v>0.50504720000000003</v>
      </c>
      <c r="F1754" t="s">
        <v>48</v>
      </c>
      <c r="G1754">
        <v>-341.67599999999999</v>
      </c>
      <c r="H1754" s="1">
        <v>-6.4491529999999998E-7</v>
      </c>
      <c r="I1754">
        <v>283.29680000000002</v>
      </c>
      <c r="J1754">
        <v>-319.39319999999998</v>
      </c>
      <c r="K1754">
        <v>1.1088549999999999</v>
      </c>
      <c r="L1754">
        <v>284.82119999999998</v>
      </c>
      <c r="M1754">
        <v>-0.99918709999999999</v>
      </c>
      <c r="N1754">
        <v>0</v>
      </c>
      <c r="O1754">
        <v>-3.9221390000000002E-2</v>
      </c>
      <c r="P1754">
        <v>-0.98895929999999999</v>
      </c>
      <c r="Q1754">
        <v>0.1448547</v>
      </c>
      <c r="R1754">
        <v>-3.1260200000000002E-2</v>
      </c>
      <c r="S1754">
        <v>-3.0484619999999998</v>
      </c>
      <c r="T1754">
        <v>-0.1485233</v>
      </c>
      <c r="U1754">
        <v>-0.20666499999999999</v>
      </c>
      <c r="V1754">
        <v>7.560303E-3</v>
      </c>
      <c r="W1754">
        <v>0.15408139999999901</v>
      </c>
      <c r="X1754">
        <v>0.98802920000000005</v>
      </c>
      <c r="Y1754">
        <v>-2.8465319999999999E-2</v>
      </c>
      <c r="Z1754">
        <v>1.214438E-3</v>
      </c>
      <c r="AA1754">
        <v>0.99959399999999998</v>
      </c>
      <c r="AB1754">
        <v>46</v>
      </c>
      <c r="AC1754">
        <v>-22.282800000000002</v>
      </c>
      <c r="AD1754">
        <v>-1.1088556449153</v>
      </c>
      <c r="AE1754">
        <v>-1.52439999999995</v>
      </c>
      <c r="AF1754">
        <v>-0.64763032735763004</v>
      </c>
      <c r="AG1754">
        <v>-1.1088556449153</v>
      </c>
      <c r="AH1754">
        <v>22.270552004256601</v>
      </c>
      <c r="AI1754">
        <v>92.8492129834612</v>
      </c>
      <c r="AJ1754">
        <v>91.6656987216913</v>
      </c>
      <c r="AK1754">
        <v>22.307542949784299</v>
      </c>
      <c r="AL1754">
        <v>81.136475352420604</v>
      </c>
      <c r="AM1754">
        <v>89.561586844090499</v>
      </c>
      <c r="AN1754">
        <v>0.999999968030025</v>
      </c>
    </row>
    <row r="1755" spans="1:40" x14ac:dyDescent="0.25">
      <c r="A1755" t="str">
        <f>"20190312172650419"</f>
        <v>20190312172650419</v>
      </c>
      <c r="B1755" t="str">
        <f>"1552382810410791"</f>
        <v>1552382810410791</v>
      </c>
      <c r="C1755" t="s">
        <v>40</v>
      </c>
      <c r="D1755">
        <v>3.2481640000000001</v>
      </c>
      <c r="E1755">
        <v>0.51055790000000001</v>
      </c>
      <c r="F1755" t="s">
        <v>48</v>
      </c>
      <c r="G1755">
        <v>-350.7353</v>
      </c>
      <c r="H1755" s="1">
        <v>-1.1454939999999999E-6</v>
      </c>
      <c r="I1755">
        <v>284.12599999999998</v>
      </c>
      <c r="J1755">
        <v>-319.86790000000002</v>
      </c>
      <c r="K1755">
        <v>1.1087209999999901</v>
      </c>
      <c r="L1755">
        <v>284.80290000000002</v>
      </c>
      <c r="M1755">
        <v>-0.99920690000000001</v>
      </c>
      <c r="N1755">
        <v>0</v>
      </c>
      <c r="O1755">
        <v>-3.870618E-2</v>
      </c>
      <c r="P1755">
        <v>-0.98897939999999995</v>
      </c>
      <c r="Q1755">
        <v>0.14510819999999999</v>
      </c>
      <c r="R1755">
        <v>-2.9384500000000001E-2</v>
      </c>
      <c r="S1755">
        <v>-3.0472109999999999</v>
      </c>
      <c r="T1755">
        <v>-0.1078076</v>
      </c>
      <c r="U1755">
        <v>-6.7596439999999994E-2</v>
      </c>
      <c r="V1755">
        <v>8.9759100000000001E-3</v>
      </c>
      <c r="W1755">
        <v>0.15434719999999999</v>
      </c>
      <c r="X1755">
        <v>0.98797590000000002</v>
      </c>
      <c r="Y1755">
        <v>1.6502860000000001E-2</v>
      </c>
      <c r="Z1755">
        <v>1.6602520000000001E-3</v>
      </c>
      <c r="AA1755">
        <v>0.99986240000000004</v>
      </c>
      <c r="AB1755">
        <v>46</v>
      </c>
      <c r="AC1755">
        <v>-30.8673999999999</v>
      </c>
      <c r="AD1755">
        <v>-1.1087221454939999</v>
      </c>
      <c r="AE1755">
        <v>-0.67690000000004602</v>
      </c>
      <c r="AF1755">
        <v>0.517750982733584</v>
      </c>
      <c r="AG1755">
        <v>-1.1087221454939999</v>
      </c>
      <c r="AH1755">
        <v>30.830710794786999</v>
      </c>
      <c r="AI1755">
        <v>92.059271120274502</v>
      </c>
      <c r="AJ1755">
        <v>89.037902234925298</v>
      </c>
      <c r="AK1755">
        <v>30.8549843459339</v>
      </c>
      <c r="AL1755">
        <v>81.121062051695901</v>
      </c>
      <c r="AM1755">
        <v>89.479473526236205</v>
      </c>
      <c r="AN1755">
        <v>1.0000000020444799</v>
      </c>
    </row>
    <row r="1756" spans="1:40" x14ac:dyDescent="0.25">
      <c r="A1756" t="str">
        <f>"20190312172650441"</f>
        <v>20190312172650441</v>
      </c>
      <c r="B1756" t="str">
        <f>"1552382810430308"</f>
        <v>1552382810430308</v>
      </c>
      <c r="C1756" t="s">
        <v>40</v>
      </c>
      <c r="D1756">
        <v>3.271722</v>
      </c>
      <c r="E1756">
        <v>0.51232630000000001</v>
      </c>
      <c r="F1756" t="s">
        <v>48</v>
      </c>
      <c r="G1756">
        <v>-352.59980000000002</v>
      </c>
      <c r="H1756" s="1">
        <v>-1.532967E-7</v>
      </c>
      <c r="I1756">
        <v>284.6112</v>
      </c>
      <c r="J1756">
        <v>-320.31700000000001</v>
      </c>
      <c r="K1756">
        <v>1.1086149999999999</v>
      </c>
      <c r="L1756">
        <v>284.78579999999999</v>
      </c>
      <c r="M1756">
        <v>-0.99922719999999998</v>
      </c>
      <c r="N1756">
        <v>0</v>
      </c>
      <c r="O1756">
        <v>-3.8174350000000003E-2</v>
      </c>
      <c r="P1756">
        <v>-0.98896969999999995</v>
      </c>
      <c r="Q1756">
        <v>0.1454232</v>
      </c>
      <c r="R1756">
        <v>-2.8127989999999999E-2</v>
      </c>
      <c r="S1756">
        <v>-3.048035</v>
      </c>
      <c r="T1756">
        <v>-0.1032453</v>
      </c>
      <c r="U1756">
        <v>-1.7852779999999999E-2</v>
      </c>
      <c r="V1756">
        <v>9.7462490000000002E-3</v>
      </c>
      <c r="W1756">
        <v>0.15467320000000001</v>
      </c>
      <c r="X1756">
        <v>0.98791759999999995</v>
      </c>
      <c r="Y1756">
        <v>3.2282199999999997E-2</v>
      </c>
      <c r="Z1756">
        <v>1.8390539999999999E-3</v>
      </c>
      <c r="AA1756">
        <v>0.99947710000000001</v>
      </c>
      <c r="AB1756">
        <v>46</v>
      </c>
      <c r="AC1756">
        <v>-32.282800000000002</v>
      </c>
      <c r="AD1756">
        <v>-1.1086151532966999</v>
      </c>
      <c r="AE1756">
        <v>-0.17459999999999801</v>
      </c>
      <c r="AF1756">
        <v>1.0567101137388999</v>
      </c>
      <c r="AG1756">
        <v>-1.1086151532966999</v>
      </c>
      <c r="AH1756">
        <v>32.227927497614502</v>
      </c>
      <c r="AI1756">
        <v>91.969095170217997</v>
      </c>
      <c r="AJ1756">
        <v>88.122021763588194</v>
      </c>
      <c r="AK1756">
        <v>32.264298762162703</v>
      </c>
      <c r="AL1756">
        <v>81.102156454135496</v>
      </c>
      <c r="AM1756">
        <v>89.434769844753305</v>
      </c>
      <c r="AN1756">
        <v>0.99999998627878495</v>
      </c>
    </row>
    <row r="1757" spans="1:40" x14ac:dyDescent="0.25">
      <c r="A1757" t="str">
        <f>"20190312172650462"</f>
        <v>20190312172650462</v>
      </c>
      <c r="B1757" t="str">
        <f>"1552382810450804"</f>
        <v>1552382810450804</v>
      </c>
      <c r="C1757" t="s">
        <v>40</v>
      </c>
      <c r="D1757">
        <v>3.2372879999999999</v>
      </c>
      <c r="E1757">
        <v>0.51319890000000001</v>
      </c>
      <c r="F1757" t="s">
        <v>48</v>
      </c>
      <c r="G1757">
        <v>-354.72739999999999</v>
      </c>
      <c r="H1757" s="1">
        <v>9.7892009999999992E-7</v>
      </c>
      <c r="I1757">
        <v>284.7903</v>
      </c>
      <c r="J1757">
        <v>-320.77519999999998</v>
      </c>
      <c r="K1757">
        <v>1.1085199999999999</v>
      </c>
      <c r="L1757">
        <v>284.76859999999999</v>
      </c>
      <c r="M1757">
        <v>-0.9992489</v>
      </c>
      <c r="N1757">
        <v>0</v>
      </c>
      <c r="O1757">
        <v>-3.7601809999999999E-2</v>
      </c>
      <c r="P1757">
        <v>-0.98890639999999996</v>
      </c>
      <c r="Q1757">
        <v>0.14605099999999999</v>
      </c>
      <c r="R1757">
        <v>-2.708257E-2</v>
      </c>
      <c r="S1757">
        <v>-3.0479129999999999</v>
      </c>
      <c r="T1757">
        <v>-9.8195790000000005E-2</v>
      </c>
      <c r="U1757">
        <v>3.9672850000000001E-4</v>
      </c>
      <c r="V1757">
        <v>1.0258369999999999E-2</v>
      </c>
      <c r="W1757">
        <v>0.1553119</v>
      </c>
      <c r="X1757">
        <v>0.98781220000000003</v>
      </c>
      <c r="Y1757">
        <v>3.7694470000000001E-2</v>
      </c>
      <c r="Z1757">
        <v>1.818009E-3</v>
      </c>
      <c r="AA1757">
        <v>0.9992877</v>
      </c>
      <c r="AB1757">
        <v>47</v>
      </c>
      <c r="AC1757">
        <v>-33.952199999999998</v>
      </c>
      <c r="AD1757">
        <v>-1.1085190210798901</v>
      </c>
      <c r="AE1757">
        <v>2.1700000000009802E-2</v>
      </c>
      <c r="AF1757">
        <v>1.29702223305123</v>
      </c>
      <c r="AG1757">
        <v>-1.1085190210798901</v>
      </c>
      <c r="AH1757">
        <v>33.891243475634901</v>
      </c>
      <c r="AI1757">
        <v>91.872000249420395</v>
      </c>
      <c r="AJ1757">
        <v>87.808352718690003</v>
      </c>
      <c r="AK1757">
        <v>33.934163691151902</v>
      </c>
      <c r="AL1757">
        <v>81.065113960745194</v>
      </c>
      <c r="AM1757">
        <v>89.4050081810839</v>
      </c>
      <c r="AN1757">
        <v>0.99999998145275304</v>
      </c>
    </row>
    <row r="1758" spans="1:40" x14ac:dyDescent="0.25">
      <c r="A1758" t="str">
        <f>"20190312172650485"</f>
        <v>20190312172650485</v>
      </c>
      <c r="B1758" t="str">
        <f>"1552382810480684"</f>
        <v>1552382810480684</v>
      </c>
      <c r="C1758" t="s">
        <v>40</v>
      </c>
      <c r="D1758">
        <v>3.2298770000000001</v>
      </c>
      <c r="E1758">
        <v>0.51390769999999997</v>
      </c>
      <c r="F1758" t="s">
        <v>48</v>
      </c>
      <c r="G1758">
        <v>-356.92500000000001</v>
      </c>
      <c r="H1758" s="1">
        <v>2.1483299999999998E-6</v>
      </c>
      <c r="I1758">
        <v>284.90179999999998</v>
      </c>
      <c r="J1758">
        <v>-321.24380000000002</v>
      </c>
      <c r="K1758">
        <v>1.1084350000000001</v>
      </c>
      <c r="L1758">
        <v>284.75130000000001</v>
      </c>
      <c r="M1758">
        <v>-0.99927129999999997</v>
      </c>
      <c r="N1758">
        <v>0</v>
      </c>
      <c r="O1758">
        <v>-3.6995439999999997E-2</v>
      </c>
      <c r="P1758">
        <v>-0.98897020000000002</v>
      </c>
      <c r="Q1758">
        <v>0.14575450000000001</v>
      </c>
      <c r="R1758">
        <v>-2.6340349999999998E-2</v>
      </c>
      <c r="S1758">
        <v>-3.0477599999999998</v>
      </c>
      <c r="T1758">
        <v>-9.3458410000000006E-2</v>
      </c>
      <c r="U1758">
        <v>1.1230469999999999E-2</v>
      </c>
      <c r="V1758">
        <v>1.0433649999999999E-2</v>
      </c>
      <c r="W1758">
        <v>0.15502739999999901</v>
      </c>
      <c r="X1758">
        <v>0.98785509999999999</v>
      </c>
      <c r="Y1758">
        <v>4.0642619999999997E-2</v>
      </c>
      <c r="Z1758">
        <v>1.757053E-3</v>
      </c>
      <c r="AA1758">
        <v>0.99917219999999995</v>
      </c>
      <c r="AB1758">
        <v>47</v>
      </c>
      <c r="AC1758">
        <v>-35.681199999999897</v>
      </c>
      <c r="AD1758">
        <v>-1.1084328516699999</v>
      </c>
      <c r="AE1758">
        <v>0.150499999999965</v>
      </c>
      <c r="AF1758">
        <v>1.46907920222596</v>
      </c>
      <c r="AG1758">
        <v>-1.1084328516699999</v>
      </c>
      <c r="AH1758">
        <v>35.6168330364657</v>
      </c>
      <c r="AI1758">
        <v>91.781015472310997</v>
      </c>
      <c r="AJ1758">
        <v>87.638073188750596</v>
      </c>
      <c r="AK1758">
        <v>35.664346519129502</v>
      </c>
      <c r="AL1758">
        <v>81.081614878515197</v>
      </c>
      <c r="AM1758">
        <v>89.394868860612803</v>
      </c>
      <c r="AN1758">
        <v>1.00000002719954</v>
      </c>
    </row>
    <row r="1759" spans="1:40" x14ac:dyDescent="0.25">
      <c r="A1759" t="str">
        <f>"20190312172650508"</f>
        <v>20190312172650508</v>
      </c>
      <c r="B1759" t="str">
        <f>"1552382810500204"</f>
        <v>1552382810500204</v>
      </c>
      <c r="C1759" t="s">
        <v>40</v>
      </c>
      <c r="D1759">
        <v>3.228272</v>
      </c>
      <c r="E1759">
        <v>0.51434449999999998</v>
      </c>
      <c r="F1759" t="s">
        <v>48</v>
      </c>
      <c r="G1759">
        <v>-357.38290000000001</v>
      </c>
      <c r="H1759" s="1">
        <v>2.3920379999999999E-6</v>
      </c>
      <c r="I1759">
        <v>284.99090000000001</v>
      </c>
      <c r="J1759">
        <v>-321.73610000000002</v>
      </c>
      <c r="K1759">
        <v>1.1083609999999999</v>
      </c>
      <c r="L1759">
        <v>284.73349999999999</v>
      </c>
      <c r="M1759">
        <v>-0.99929509999999999</v>
      </c>
      <c r="N1759">
        <v>0</v>
      </c>
      <c r="O1759">
        <v>-3.6345080000000002E-2</v>
      </c>
      <c r="P1759">
        <v>-0.98893010000000003</v>
      </c>
      <c r="Q1759">
        <v>0.14615899999999901</v>
      </c>
      <c r="R1759">
        <v>-2.5588989999999999E-2</v>
      </c>
      <c r="S1759">
        <v>-3.0477599999999998</v>
      </c>
      <c r="T1759">
        <v>-9.3478679999999995E-2</v>
      </c>
      <c r="U1759">
        <v>2.0202640000000001E-2</v>
      </c>
      <c r="V1759">
        <v>1.0567669999999999E-2</v>
      </c>
      <c r="W1759">
        <v>0.15544430000000001</v>
      </c>
      <c r="X1759">
        <v>0.98778809999999995</v>
      </c>
      <c r="Y1759">
        <v>4.2932789999999998E-2</v>
      </c>
      <c r="Z1759">
        <v>1.772614E-3</v>
      </c>
      <c r="AA1759">
        <v>0.99907639999999998</v>
      </c>
      <c r="AB1759">
        <v>47</v>
      </c>
      <c r="AC1759">
        <v>-35.646799999999899</v>
      </c>
      <c r="AD1759">
        <v>-1.108358607962</v>
      </c>
      <c r="AE1759">
        <v>0.257400000000018</v>
      </c>
      <c r="AF1759">
        <v>1.55137321683458</v>
      </c>
      <c r="AG1759">
        <v>-1.108358607962</v>
      </c>
      <c r="AH1759">
        <v>35.579495311812899</v>
      </c>
      <c r="AI1759">
        <v>91.7825861853226</v>
      </c>
      <c r="AJ1759">
        <v>87.503312799961293</v>
      </c>
      <c r="AK1759">
        <v>35.630544541236901</v>
      </c>
      <c r="AL1759">
        <v>81.057434616969402</v>
      </c>
      <c r="AM1759">
        <v>89.387054984872407</v>
      </c>
      <c r="AN1759">
        <v>0.99999996827666304</v>
      </c>
    </row>
    <row r="1760" spans="1:40" x14ac:dyDescent="0.25">
      <c r="A1760" t="str">
        <f>"20190312172650531"</f>
        <v>20190312172650531</v>
      </c>
      <c r="B1760" t="str">
        <f>"1552382810520700"</f>
        <v>1552382810520700</v>
      </c>
      <c r="C1760" t="s">
        <v>40</v>
      </c>
      <c r="D1760">
        <v>3.1980460000000002</v>
      </c>
      <c r="E1760">
        <v>0.5147967</v>
      </c>
      <c r="F1760" t="s">
        <v>48</v>
      </c>
      <c r="G1760">
        <v>-358.35969999999998</v>
      </c>
      <c r="H1760" s="1">
        <v>2.9118170000000001E-6</v>
      </c>
      <c r="I1760">
        <v>285.04809999999998</v>
      </c>
      <c r="J1760">
        <v>-322.19970000000001</v>
      </c>
      <c r="K1760">
        <v>1.108298</v>
      </c>
      <c r="L1760">
        <v>284.71690000000001</v>
      </c>
      <c r="M1760">
        <v>-0.99931729999999996</v>
      </c>
      <c r="N1760">
        <v>0</v>
      </c>
      <c r="O1760">
        <v>-3.5723369999999997E-2</v>
      </c>
      <c r="P1760">
        <v>-0.98885319999999999</v>
      </c>
      <c r="Q1760">
        <v>0.14673369999999999</v>
      </c>
      <c r="R1760">
        <v>-2.5277919999999999E-2</v>
      </c>
      <c r="S1760">
        <v>-3.0478519999999998</v>
      </c>
      <c r="T1760">
        <v>-9.2238550000000002E-2</v>
      </c>
      <c r="U1760">
        <v>2.6184079999999998E-2</v>
      </c>
      <c r="V1760">
        <v>1.028391E-2</v>
      </c>
      <c r="W1760">
        <v>0.15603029999999901</v>
      </c>
      <c r="X1760">
        <v>0.98769870000000004</v>
      </c>
      <c r="Y1760">
        <v>4.4272220000000001E-2</v>
      </c>
      <c r="Z1760">
        <v>1.750513E-3</v>
      </c>
      <c r="AA1760">
        <v>0.99901799999999996</v>
      </c>
      <c r="AB1760">
        <v>47</v>
      </c>
      <c r="AC1760">
        <v>-36.159999999999897</v>
      </c>
      <c r="AD1760">
        <v>-1.108295088183</v>
      </c>
      <c r="AE1760">
        <v>0.33119999999996702</v>
      </c>
      <c r="AF1760">
        <v>1.62128006780907</v>
      </c>
      <c r="AG1760">
        <v>-1.108295088183</v>
      </c>
      <c r="AH1760">
        <v>36.091184040279202</v>
      </c>
      <c r="AI1760">
        <v>91.757126282266896</v>
      </c>
      <c r="AJ1760">
        <v>87.427901060262499</v>
      </c>
      <c r="AK1760">
        <v>36.1445768060725</v>
      </c>
      <c r="AL1760">
        <v>81.023444553501804</v>
      </c>
      <c r="AM1760">
        <v>89.4034584142412</v>
      </c>
      <c r="AN1760">
        <v>0.99999996765233301</v>
      </c>
    </row>
    <row r="1761" spans="1:40" x14ac:dyDescent="0.25">
      <c r="A1761" t="str">
        <f>"20190312172650552"</f>
        <v>20190312172650552</v>
      </c>
      <c r="B1761" t="str">
        <f>"1552382810540220"</f>
        <v>1552382810540220</v>
      </c>
      <c r="C1761" t="s">
        <v>40</v>
      </c>
      <c r="D1761">
        <v>3.2246130000000002</v>
      </c>
      <c r="E1761">
        <v>0.51503679999999996</v>
      </c>
      <c r="F1761" t="s">
        <v>48</v>
      </c>
      <c r="G1761">
        <v>-359.15879999999999</v>
      </c>
      <c r="H1761" s="1">
        <v>3.3370489999999999E-6</v>
      </c>
      <c r="I1761">
        <v>285.08920000000001</v>
      </c>
      <c r="J1761">
        <v>-322.65449999999998</v>
      </c>
      <c r="K1761">
        <v>1.108249</v>
      </c>
      <c r="L1761">
        <v>284.70100000000002</v>
      </c>
      <c r="M1761">
        <v>-0.99933910000000004</v>
      </c>
      <c r="N1761">
        <v>0</v>
      </c>
      <c r="O1761">
        <v>-3.5108309999999997E-2</v>
      </c>
      <c r="P1761">
        <v>-0.98887959999999997</v>
      </c>
      <c r="Q1761">
        <v>0.1465658</v>
      </c>
      <c r="R1761">
        <v>-2.5214440000000001E-2</v>
      </c>
      <c r="S1761">
        <v>-3.0481259999999999</v>
      </c>
      <c r="T1761">
        <v>-9.1404440000000003E-2</v>
      </c>
      <c r="U1761">
        <v>3.0700680000000001E-2</v>
      </c>
      <c r="V1761">
        <v>9.7580649999999998E-3</v>
      </c>
      <c r="W1761">
        <v>0.15587579999999901</v>
      </c>
      <c r="X1761">
        <v>0.98772850000000001</v>
      </c>
      <c r="Y1761">
        <v>4.5137289999999997E-2</v>
      </c>
      <c r="Z1761">
        <v>1.7290630000000001E-3</v>
      </c>
      <c r="AA1761">
        <v>0.99897930000000001</v>
      </c>
      <c r="AB1761">
        <v>47</v>
      </c>
      <c r="AC1761">
        <v>-36.504300000000001</v>
      </c>
      <c r="AD1761">
        <v>-1.108245662951</v>
      </c>
      <c r="AE1761">
        <v>0.38820000000004001</v>
      </c>
      <c r="AF1761">
        <v>1.6680845469733601</v>
      </c>
      <c r="AG1761">
        <v>-1.108245662951</v>
      </c>
      <c r="AH1761">
        <v>36.434586402197702</v>
      </c>
      <c r="AI1761">
        <v>91.740429921893295</v>
      </c>
      <c r="AJ1761">
        <v>87.378658012831195</v>
      </c>
      <c r="AK1761">
        <v>36.489584826420099</v>
      </c>
      <c r="AL1761">
        <v>81.032407034337297</v>
      </c>
      <c r="AM1761">
        <v>89.4339762875899</v>
      </c>
      <c r="AN1761">
        <v>1.00000003728521</v>
      </c>
    </row>
    <row r="1762" spans="1:40" x14ac:dyDescent="0.25">
      <c r="A1762" t="str">
        <f>"20190312172650574"</f>
        <v>20190312172650574</v>
      </c>
      <c r="B1762" t="str">
        <f>"1552382810570571"</f>
        <v>1552382810570571</v>
      </c>
      <c r="C1762" t="s">
        <v>40</v>
      </c>
      <c r="D1762">
        <v>3.2292079999999999</v>
      </c>
      <c r="E1762">
        <v>0.51523759999999996</v>
      </c>
      <c r="F1762" t="s">
        <v>48</v>
      </c>
      <c r="G1762">
        <v>-359.50150000000002</v>
      </c>
      <c r="H1762" s="1">
        <v>3.5194429999999998E-6</v>
      </c>
      <c r="I1762">
        <v>285.09800000000001</v>
      </c>
      <c r="J1762">
        <v>-323.10599999999999</v>
      </c>
      <c r="K1762">
        <v>1.108204</v>
      </c>
      <c r="L1762">
        <v>284.68549999999999</v>
      </c>
      <c r="M1762">
        <v>-0.99936060000000004</v>
      </c>
      <c r="N1762">
        <v>0</v>
      </c>
      <c r="O1762">
        <v>-3.4491059999999997E-2</v>
      </c>
      <c r="P1762">
        <v>-0.98889070000000001</v>
      </c>
      <c r="Q1762">
        <v>0.1464772</v>
      </c>
      <c r="R1762">
        <v>-2.5303719999999998E-2</v>
      </c>
      <c r="S1762">
        <v>-3.0481259999999999</v>
      </c>
      <c r="T1762">
        <v>-9.1678380000000004E-2</v>
      </c>
      <c r="U1762">
        <v>3.2836909999999997E-2</v>
      </c>
      <c r="V1762">
        <v>9.0747080000000008E-3</v>
      </c>
      <c r="W1762">
        <v>0.15580039999999901</v>
      </c>
      <c r="X1762">
        <v>0.98774689999999998</v>
      </c>
      <c r="Y1762">
        <v>4.5220339999999998E-2</v>
      </c>
      <c r="Z1762">
        <v>1.7169329999999999E-3</v>
      </c>
      <c r="AA1762">
        <v>0.99897559999999996</v>
      </c>
      <c r="AB1762">
        <v>47</v>
      </c>
      <c r="AC1762">
        <v>-36.395499999999998</v>
      </c>
      <c r="AD1762">
        <v>-1.108200480557</v>
      </c>
      <c r="AE1762">
        <v>0.41250000000002202</v>
      </c>
      <c r="AF1762">
        <v>1.6660851496103599</v>
      </c>
      <c r="AG1762">
        <v>-1.108200480557</v>
      </c>
      <c r="AH1762">
        <v>36.325940199284403</v>
      </c>
      <c r="AI1762">
        <v>91.745554450836806</v>
      </c>
      <c r="AJ1762">
        <v>87.373975861426402</v>
      </c>
      <c r="AK1762">
        <v>36.381009873185803</v>
      </c>
      <c r="AL1762">
        <v>81.036780473578403</v>
      </c>
      <c r="AM1762">
        <v>89.473622401975703</v>
      </c>
      <c r="AN1762">
        <v>1.00000002671252</v>
      </c>
    </row>
    <row r="1763" spans="1:40" x14ac:dyDescent="0.25">
      <c r="A1763" t="str">
        <f>"20190312172650596"</f>
        <v>20190312172650596</v>
      </c>
      <c r="B1763" t="str">
        <f>"1552382810591067"</f>
        <v>1552382810591067</v>
      </c>
      <c r="C1763" t="s">
        <v>40</v>
      </c>
      <c r="D1763">
        <v>3.1993900000000002</v>
      </c>
      <c r="E1763">
        <v>0.51548050000000001</v>
      </c>
      <c r="F1763" t="s">
        <v>48</v>
      </c>
      <c r="G1763">
        <v>-359.98360000000002</v>
      </c>
      <c r="H1763" s="1">
        <v>-1.5455000000000001E-6</v>
      </c>
      <c r="I1763">
        <v>285.10379999999998</v>
      </c>
      <c r="J1763">
        <v>-323.57499999999999</v>
      </c>
      <c r="K1763">
        <v>1.1081669999999999</v>
      </c>
      <c r="L1763">
        <v>284.66969999999998</v>
      </c>
      <c r="M1763">
        <v>-0.99938260000000001</v>
      </c>
      <c r="N1763">
        <v>0</v>
      </c>
      <c r="O1763">
        <v>-3.3839029999999999E-2</v>
      </c>
      <c r="P1763">
        <v>-0.98891870000000004</v>
      </c>
      <c r="Q1763">
        <v>0.1463652</v>
      </c>
      <c r="R1763">
        <v>-2.4844169999999999E-2</v>
      </c>
      <c r="S1763">
        <v>-3.0481569999999998</v>
      </c>
      <c r="T1763">
        <v>-9.1599700000000006E-2</v>
      </c>
      <c r="U1763">
        <v>3.4576419999999997E-2</v>
      </c>
      <c r="V1763">
        <v>8.9043190000000008E-3</v>
      </c>
      <c r="W1763">
        <v>0.15570200000000001</v>
      </c>
      <c r="X1763">
        <v>0.98776390000000003</v>
      </c>
      <c r="Y1763">
        <v>4.5138879999999999E-2</v>
      </c>
      <c r="Z1763">
        <v>1.694634E-3</v>
      </c>
      <c r="AA1763">
        <v>0.99897930000000001</v>
      </c>
      <c r="AB1763">
        <v>47</v>
      </c>
      <c r="AC1763">
        <v>-36.4086</v>
      </c>
      <c r="AD1763">
        <v>-1.1081685455000001</v>
      </c>
      <c r="AE1763">
        <v>0.43409999999999999</v>
      </c>
      <c r="AF1763">
        <v>1.6643964165937599</v>
      </c>
      <c r="AG1763">
        <v>-1.1081685455000001</v>
      </c>
      <c r="AH1763">
        <v>36.339396178188601</v>
      </c>
      <c r="AI1763">
        <v>91.7448633044811</v>
      </c>
      <c r="AJ1763">
        <v>87.377603902121393</v>
      </c>
      <c r="AK1763">
        <v>36.394367250333602</v>
      </c>
      <c r="AL1763">
        <v>81.042487437189095</v>
      </c>
      <c r="AM1763">
        <v>89.483514148313404</v>
      </c>
      <c r="AN1763">
        <v>0.99999996092203103</v>
      </c>
    </row>
    <row r="1764" spans="1:40" x14ac:dyDescent="0.25">
      <c r="A1764" t="str">
        <f>"20190312172650619"</f>
        <v>20190312172650619</v>
      </c>
      <c r="B1764" t="str">
        <f>"1552382810610590"</f>
        <v>1552382810610590</v>
      </c>
      <c r="C1764" t="s">
        <v>40</v>
      </c>
      <c r="D1764">
        <v>3.2135880000000001</v>
      </c>
      <c r="E1764">
        <v>0.51556749999999996</v>
      </c>
      <c r="F1764" t="s">
        <v>48</v>
      </c>
      <c r="G1764">
        <v>-359.58139999999997</v>
      </c>
      <c r="H1764" s="1">
        <v>3.5619580000000001E-6</v>
      </c>
      <c r="I1764">
        <v>285.11989999999997</v>
      </c>
      <c r="J1764">
        <v>-324.06180000000001</v>
      </c>
      <c r="K1764">
        <v>1.1081270000000001</v>
      </c>
      <c r="L1764">
        <v>284.65370000000001</v>
      </c>
      <c r="M1764">
        <v>-0.99940569999999895</v>
      </c>
      <c r="N1764">
        <v>0</v>
      </c>
      <c r="O1764">
        <v>-3.3145889999999997E-2</v>
      </c>
      <c r="P1764">
        <v>-0.98885040000000002</v>
      </c>
      <c r="Q1764">
        <v>0.1469723</v>
      </c>
      <c r="R1764">
        <v>-2.396413E-2</v>
      </c>
      <c r="S1764">
        <v>-3.0484619999999998</v>
      </c>
      <c r="T1764">
        <v>-9.3822119999999995E-2</v>
      </c>
      <c r="U1764">
        <v>3.8116459999999998E-2</v>
      </c>
      <c r="V1764">
        <v>9.1115120000000004E-3</v>
      </c>
      <c r="W1764">
        <v>0.1563213</v>
      </c>
      <c r="X1764">
        <v>0.98766419999999999</v>
      </c>
      <c r="Y1764">
        <v>4.5603169999999998E-2</v>
      </c>
      <c r="Z1764">
        <v>1.7213720000000001E-3</v>
      </c>
      <c r="AA1764">
        <v>0.99895820000000002</v>
      </c>
      <c r="AB1764">
        <v>47</v>
      </c>
      <c r="AC1764">
        <v>-35.519599999999897</v>
      </c>
      <c r="AD1764">
        <v>-1.108123438042</v>
      </c>
      <c r="AE1764">
        <v>0.46619999999995798</v>
      </c>
      <c r="AF1764">
        <v>1.6417277175829299</v>
      </c>
      <c r="AG1764">
        <v>-1.108123438042</v>
      </c>
      <c r="AH1764">
        <v>35.450130630660702</v>
      </c>
      <c r="AI1764">
        <v>91.788490461990406</v>
      </c>
      <c r="AJ1764">
        <v>87.348474952027402</v>
      </c>
      <c r="AK1764">
        <v>35.505421687166603</v>
      </c>
      <c r="AL1764">
        <v>81.006564371996404</v>
      </c>
      <c r="AM1764">
        <v>89.471443458848199</v>
      </c>
      <c r="AN1764">
        <v>0.99999997022312703</v>
      </c>
    </row>
    <row r="1765" spans="1:40" x14ac:dyDescent="0.25">
      <c r="A1765" t="str">
        <f>"20190312172650641"</f>
        <v>20190312172650641</v>
      </c>
      <c r="B1765" t="str">
        <f>"1552382810631083"</f>
        <v>1552382810631083</v>
      </c>
      <c r="C1765" t="s">
        <v>40</v>
      </c>
      <c r="D1765">
        <v>3.2093539999999998</v>
      </c>
      <c r="E1765">
        <v>0.51557799999999998</v>
      </c>
      <c r="F1765" t="s">
        <v>48</v>
      </c>
      <c r="G1765">
        <v>-360.67829999999998</v>
      </c>
      <c r="H1765" s="1">
        <v>-1.1758189999999999E-6</v>
      </c>
      <c r="I1765">
        <v>285.14999999999998</v>
      </c>
      <c r="J1765">
        <v>-324.52229999999997</v>
      </c>
      <c r="K1765">
        <v>1.1080859999999999</v>
      </c>
      <c r="L1765">
        <v>284.6388</v>
      </c>
      <c r="M1765">
        <v>-0.99942770000000003</v>
      </c>
      <c r="N1765">
        <v>0</v>
      </c>
      <c r="O1765">
        <v>-3.246947E-2</v>
      </c>
      <c r="P1765">
        <v>-0.98877990000000004</v>
      </c>
      <c r="Q1765">
        <v>0.14765989999999901</v>
      </c>
      <c r="R1765">
        <v>-2.2604280000000001E-2</v>
      </c>
      <c r="S1765">
        <v>-3.0485229999999999</v>
      </c>
      <c r="T1765">
        <v>-9.2257740000000005E-2</v>
      </c>
      <c r="U1765">
        <v>4.1320799999999998E-2</v>
      </c>
      <c r="V1765">
        <v>9.813937E-3</v>
      </c>
      <c r="W1765">
        <v>0.1570193</v>
      </c>
      <c r="X1765">
        <v>0.98754679999999995</v>
      </c>
      <c r="Y1765">
        <v>4.5978020000000001E-2</v>
      </c>
      <c r="Z1765">
        <v>1.677853E-3</v>
      </c>
      <c r="AA1765">
        <v>0.99894110000000003</v>
      </c>
      <c r="AB1765">
        <v>47</v>
      </c>
      <c r="AC1765">
        <v>-36.155999999999999</v>
      </c>
      <c r="AD1765">
        <v>-1.1080871758190001</v>
      </c>
      <c r="AE1765">
        <v>0.51119999999997301</v>
      </c>
      <c r="AF1765">
        <v>1.68336861759971</v>
      </c>
      <c r="AG1765">
        <v>-1.1080871758190001</v>
      </c>
      <c r="AH1765">
        <v>36.086447206434897</v>
      </c>
      <c r="AI1765">
        <v>91.7568888148474</v>
      </c>
      <c r="AJ1765">
        <v>87.329189885582494</v>
      </c>
      <c r="AK1765">
        <v>36.142679190601598</v>
      </c>
      <c r="AL1765">
        <v>80.966072399123803</v>
      </c>
      <c r="AM1765">
        <v>89.430630871160602</v>
      </c>
      <c r="AN1765">
        <v>1.0000000280610799</v>
      </c>
    </row>
    <row r="1766" spans="1:40" x14ac:dyDescent="0.25">
      <c r="A1766" t="str">
        <f>"20190312172650663"</f>
        <v>20190312172650663</v>
      </c>
      <c r="B1766" t="str">
        <f>"1552382810660363"</f>
        <v>1552382810660363</v>
      </c>
      <c r="C1766" t="s">
        <v>40</v>
      </c>
      <c r="D1766">
        <v>3.2069109999999998</v>
      </c>
      <c r="E1766">
        <v>0.51573749999999996</v>
      </c>
      <c r="F1766" t="s">
        <v>48</v>
      </c>
      <c r="G1766">
        <v>-362.0025</v>
      </c>
      <c r="H1766" s="1">
        <v>-4.7117530000000001E-7</v>
      </c>
      <c r="I1766">
        <v>285.20049999999998</v>
      </c>
      <c r="J1766">
        <v>-324.9855</v>
      </c>
      <c r="K1766">
        <v>1.108052</v>
      </c>
      <c r="L1766">
        <v>284.62419999999997</v>
      </c>
      <c r="M1766">
        <v>-0.99945039999999996</v>
      </c>
      <c r="N1766">
        <v>0</v>
      </c>
      <c r="O1766">
        <v>-3.1762640000000002E-2</v>
      </c>
      <c r="P1766">
        <v>-0.98878600000000005</v>
      </c>
      <c r="Q1766">
        <v>0.14782879999999901</v>
      </c>
      <c r="R1766">
        <v>-2.1201649999999999E-2</v>
      </c>
      <c r="S1766">
        <v>-3.0485530000000001</v>
      </c>
      <c r="T1766">
        <v>-9.0129260000000003E-2</v>
      </c>
      <c r="U1766">
        <v>4.5684809999999999E-2</v>
      </c>
      <c r="V1766">
        <v>1.053158E-2</v>
      </c>
      <c r="W1766">
        <v>0.1571987</v>
      </c>
      <c r="X1766">
        <v>0.98751089999999997</v>
      </c>
      <c r="Y1766">
        <v>4.6702720000000003E-2</v>
      </c>
      <c r="Z1766">
        <v>1.628956E-3</v>
      </c>
      <c r="AA1766">
        <v>0.99890749999999995</v>
      </c>
      <c r="AB1766">
        <v>47</v>
      </c>
      <c r="AC1766">
        <v>-37.017000000000003</v>
      </c>
      <c r="AD1766">
        <v>-1.1080524711752999</v>
      </c>
      <c r="AE1766">
        <v>0.57630000000000303</v>
      </c>
      <c r="AF1766">
        <v>1.75025189012967</v>
      </c>
      <c r="AG1766">
        <v>-1.1080524711752999</v>
      </c>
      <c r="AH1766">
        <v>36.946918194457702</v>
      </c>
      <c r="AI1766">
        <v>91.715884773033395</v>
      </c>
      <c r="AJ1766">
        <v>87.287808093612099</v>
      </c>
      <c r="AK1766">
        <v>37.004944615898701</v>
      </c>
      <c r="AL1766">
        <v>80.955664586260497</v>
      </c>
      <c r="AM1766">
        <v>89.388976658168801</v>
      </c>
      <c r="AN1766">
        <v>1.00000006153889</v>
      </c>
    </row>
    <row r="1767" spans="1:40" x14ac:dyDescent="0.25">
      <c r="A1767" t="str">
        <f>"20190312172650686"</f>
        <v>20190312172650686</v>
      </c>
      <c r="B1767" t="str">
        <f>"1552382810680391"</f>
        <v>1552382810680391</v>
      </c>
      <c r="C1767" t="s">
        <v>40</v>
      </c>
      <c r="D1767">
        <v>3.2026659999999998</v>
      </c>
      <c r="E1767">
        <v>0.51588109999999998</v>
      </c>
      <c r="F1767" t="s">
        <v>48</v>
      </c>
      <c r="G1767">
        <v>-362.04750000000001</v>
      </c>
      <c r="H1767" s="1">
        <v>-4.4717899999999998E-7</v>
      </c>
      <c r="I1767">
        <v>285.24369999999999</v>
      </c>
      <c r="J1767">
        <v>-325.46190000000001</v>
      </c>
      <c r="K1767">
        <v>1.1080099999999999</v>
      </c>
      <c r="L1767">
        <v>284.60950000000003</v>
      </c>
      <c r="M1767">
        <v>-0.99947399999999997</v>
      </c>
      <c r="N1767">
        <v>0</v>
      </c>
      <c r="O1767">
        <v>-3.1002490000000001E-2</v>
      </c>
      <c r="P1767">
        <v>-0.98880420000000002</v>
      </c>
      <c r="Q1767">
        <v>0.1478882</v>
      </c>
      <c r="R1767">
        <v>-1.9889190000000001E-2</v>
      </c>
      <c r="S1767">
        <v>-3.0487669999999998</v>
      </c>
      <c r="T1767">
        <v>-9.1149569999999999E-2</v>
      </c>
      <c r="U1767">
        <v>5.096436E-2</v>
      </c>
      <c r="V1767">
        <v>1.110764E-2</v>
      </c>
      <c r="W1767">
        <v>0.15726979999999999</v>
      </c>
      <c r="X1767">
        <v>0.98749319999999896</v>
      </c>
      <c r="Y1767">
        <v>4.7670440000000001E-2</v>
      </c>
      <c r="Z1767">
        <v>1.639003E-3</v>
      </c>
      <c r="AA1767">
        <v>0.99886180000000002</v>
      </c>
      <c r="AB1767">
        <v>47</v>
      </c>
      <c r="AC1767">
        <v>-36.585599999999999</v>
      </c>
      <c r="AD1767">
        <v>-1.108010447179</v>
      </c>
      <c r="AE1767">
        <v>0.63419999999996401</v>
      </c>
      <c r="AF1767">
        <v>1.7665713575348301</v>
      </c>
      <c r="AG1767">
        <v>-1.108010447179</v>
      </c>
      <c r="AH1767">
        <v>36.514867675063698</v>
      </c>
      <c r="AI1767">
        <v>91.736025781500302</v>
      </c>
      <c r="AJ1767">
        <v>87.230217953342802</v>
      </c>
      <c r="AK1767">
        <v>36.574362917756098</v>
      </c>
      <c r="AL1767">
        <v>80.951538938129602</v>
      </c>
      <c r="AM1767">
        <v>89.355545887913195</v>
      </c>
      <c r="AN1767">
        <v>0.99999999485232405</v>
      </c>
    </row>
    <row r="1768" spans="1:40" x14ac:dyDescent="0.25">
      <c r="A1768" t="str">
        <f>"20190312172650709"</f>
        <v>20190312172650709</v>
      </c>
      <c r="B1768" t="str">
        <f>"1552382810700886"</f>
        <v>1552382810700886</v>
      </c>
      <c r="C1768" t="s">
        <v>40</v>
      </c>
      <c r="D1768">
        <v>3.1950609999999999</v>
      </c>
      <c r="E1768">
        <v>0.51589269999999998</v>
      </c>
      <c r="F1768" t="s">
        <v>48</v>
      </c>
      <c r="G1768">
        <v>-361.9907</v>
      </c>
      <c r="H1768" s="1">
        <v>-4.7745430000000001E-7</v>
      </c>
      <c r="I1768">
        <v>285.28480000000002</v>
      </c>
      <c r="J1768">
        <v>-325.9606</v>
      </c>
      <c r="K1768">
        <v>1.1079669999999999</v>
      </c>
      <c r="L1768">
        <v>284.59449999999998</v>
      </c>
      <c r="M1768">
        <v>-0.99949960000000004</v>
      </c>
      <c r="N1768">
        <v>0</v>
      </c>
      <c r="O1768">
        <v>-3.016375E-2</v>
      </c>
      <c r="P1768">
        <v>-0.9888266</v>
      </c>
      <c r="Q1768">
        <v>0.14789179999999999</v>
      </c>
      <c r="R1768">
        <v>-1.871109E-2</v>
      </c>
      <c r="S1768">
        <v>-3.04895</v>
      </c>
      <c r="T1768">
        <v>-9.2482330000000001E-2</v>
      </c>
      <c r="U1768">
        <v>5.6365970000000001E-2</v>
      </c>
      <c r="V1768">
        <v>1.1473799999999999E-2</v>
      </c>
      <c r="W1768">
        <v>0.1572858</v>
      </c>
      <c r="X1768">
        <v>0.98748650000000004</v>
      </c>
      <c r="Y1768">
        <v>4.8599179999999999E-2</v>
      </c>
      <c r="Z1768">
        <v>1.6514909999999999E-3</v>
      </c>
      <c r="AA1768">
        <v>0.99881699999999995</v>
      </c>
      <c r="AB1768">
        <v>47</v>
      </c>
      <c r="AC1768">
        <v>-36.030099999999997</v>
      </c>
      <c r="AD1768">
        <v>-1.1079674774543</v>
      </c>
      <c r="AE1768">
        <v>0.690300000000036</v>
      </c>
      <c r="AF1768">
        <v>1.77516004643328</v>
      </c>
      <c r="AG1768">
        <v>-1.1079674774543</v>
      </c>
      <c r="AH1768">
        <v>35.958889303550798</v>
      </c>
      <c r="AI1768">
        <v>91.762697452093903</v>
      </c>
      <c r="AJ1768">
        <v>87.173809366418595</v>
      </c>
      <c r="AK1768">
        <v>36.019723833846498</v>
      </c>
      <c r="AL1768">
        <v>80.9506109671605</v>
      </c>
      <c r="AM1768">
        <v>89.3342990176548</v>
      </c>
      <c r="AN1768">
        <v>1.0000000293251601</v>
      </c>
    </row>
    <row r="1769" spans="1:40" x14ac:dyDescent="0.25">
      <c r="A1769" t="str">
        <f>"20190312172650732"</f>
        <v>20190312172650732</v>
      </c>
      <c r="B1769" t="str">
        <f>"1552382810720407"</f>
        <v>1552382810720407</v>
      </c>
      <c r="C1769" t="s">
        <v>40</v>
      </c>
      <c r="D1769">
        <v>3.2273360000000002</v>
      </c>
      <c r="E1769">
        <v>0.51585349999999996</v>
      </c>
      <c r="F1769" t="s">
        <v>48</v>
      </c>
      <c r="G1769">
        <v>-362.17860000000002</v>
      </c>
      <c r="H1769" s="1">
        <v>-3.7744970000000001E-7</v>
      </c>
      <c r="I1769">
        <v>285.3098</v>
      </c>
      <c r="J1769">
        <v>-326.43360000000001</v>
      </c>
      <c r="K1769">
        <v>1.107926</v>
      </c>
      <c r="L1769">
        <v>284.58089999999999</v>
      </c>
      <c r="M1769">
        <v>-0.99952419999999997</v>
      </c>
      <c r="N1769">
        <v>0</v>
      </c>
      <c r="O1769">
        <v>-2.9328280000000002E-2</v>
      </c>
      <c r="P1769">
        <v>-0.98884830000000001</v>
      </c>
      <c r="Q1769">
        <v>0.14789349999999901</v>
      </c>
      <c r="R1769">
        <v>-1.750728E-2</v>
      </c>
      <c r="S1769">
        <v>-3.04895</v>
      </c>
      <c r="T1769">
        <v>-9.3272450000000007E-2</v>
      </c>
      <c r="U1769">
        <v>6.0211180000000003E-2</v>
      </c>
      <c r="V1769">
        <v>1.1868409999999999E-2</v>
      </c>
      <c r="W1769">
        <v>0.1573108</v>
      </c>
      <c r="X1769">
        <v>0.98747779999999996</v>
      </c>
      <c r="Y1769">
        <v>4.9023089999999998E-2</v>
      </c>
      <c r="Z1769">
        <v>1.6465129999999901E-3</v>
      </c>
      <c r="AA1769">
        <v>0.99879629999999997</v>
      </c>
      <c r="AB1769">
        <v>47</v>
      </c>
      <c r="AC1769">
        <v>-35.744999999999997</v>
      </c>
      <c r="AD1769">
        <v>-1.1079263774496999</v>
      </c>
      <c r="AE1769">
        <v>0.72890000000000998</v>
      </c>
      <c r="AF1769">
        <v>1.7752688073307901</v>
      </c>
      <c r="AG1769">
        <v>-1.1079263774496999</v>
      </c>
      <c r="AH1769">
        <v>35.673985913701998</v>
      </c>
      <c r="AI1769">
        <v>91.776665161067996</v>
      </c>
      <c r="AJ1769">
        <v>87.151101324746705</v>
      </c>
      <c r="AK1769">
        <v>35.7353095854386</v>
      </c>
      <c r="AL1769">
        <v>80.949160031588605</v>
      </c>
      <c r="AM1769">
        <v>89.3114001530693</v>
      </c>
      <c r="AN1769">
        <v>0.99999997622270298</v>
      </c>
    </row>
    <row r="1770" spans="1:40" x14ac:dyDescent="0.25">
      <c r="A1770" t="str">
        <f>"20190312172650753"</f>
        <v>20190312172650753</v>
      </c>
      <c r="B1770" t="str">
        <f>"1552382810740904"</f>
        <v>1552382810740904</v>
      </c>
      <c r="C1770" t="s">
        <v>40</v>
      </c>
      <c r="D1770">
        <v>3.2341359999999999</v>
      </c>
      <c r="E1770">
        <v>0.51569160000000003</v>
      </c>
      <c r="F1770" t="s">
        <v>48</v>
      </c>
      <c r="G1770">
        <v>-362.62720000000002</v>
      </c>
      <c r="H1770" s="1">
        <v>-1.3873779999999899E-7</v>
      </c>
      <c r="I1770">
        <v>285.33730000000003</v>
      </c>
      <c r="J1770">
        <v>-326.88099999999997</v>
      </c>
      <c r="K1770">
        <v>1.107909</v>
      </c>
      <c r="L1770">
        <v>284.56819999999999</v>
      </c>
      <c r="M1770">
        <v>-0.99954679999999996</v>
      </c>
      <c r="N1770">
        <v>0</v>
      </c>
      <c r="O1770">
        <v>-2.850985E-2</v>
      </c>
      <c r="P1770">
        <v>-0.98885239999999996</v>
      </c>
      <c r="Q1770">
        <v>0.14803729999999901</v>
      </c>
      <c r="R1770">
        <v>-1.599594E-2</v>
      </c>
      <c r="S1770">
        <v>-3.0489199999999999</v>
      </c>
      <c r="T1770">
        <v>-9.3330739999999995E-2</v>
      </c>
      <c r="U1770">
        <v>6.3720700000000005E-2</v>
      </c>
      <c r="V1770">
        <v>1.2586119999999999E-2</v>
      </c>
      <c r="W1770">
        <v>0.1575655</v>
      </c>
      <c r="X1770">
        <v>0.98742830000000004</v>
      </c>
      <c r="Y1770">
        <v>4.9354879999999997E-2</v>
      </c>
      <c r="Z1770">
        <v>1.6275790000000001E-3</v>
      </c>
      <c r="AA1770">
        <v>0.99878</v>
      </c>
      <c r="AB1770">
        <v>47</v>
      </c>
      <c r="AC1770">
        <v>-35.746200000000002</v>
      </c>
      <c r="AD1770">
        <v>-1.1079091387377999</v>
      </c>
      <c r="AE1770">
        <v>0.76910000000003698</v>
      </c>
      <c r="AF1770">
        <v>1.78623863782107</v>
      </c>
      <c r="AG1770">
        <v>-1.1079091387377999</v>
      </c>
      <c r="AH1770">
        <v>35.675485794195403</v>
      </c>
      <c r="AI1770">
        <v>91.776535891100195</v>
      </c>
      <c r="AJ1770">
        <v>87.133646848699698</v>
      </c>
      <c r="AK1770">
        <v>35.737352976721503</v>
      </c>
      <c r="AL1770">
        <v>80.934382468642497</v>
      </c>
      <c r="AM1770">
        <v>89.269726717146895</v>
      </c>
      <c r="AN1770">
        <v>0.99999997242389604</v>
      </c>
    </row>
    <row r="1771" spans="1:40" x14ac:dyDescent="0.25">
      <c r="A1771" t="str">
        <f>"20190312172650775"</f>
        <v>20190312172650775</v>
      </c>
      <c r="B1771" t="str">
        <f>"1552382810770184"</f>
        <v>1552382810770184</v>
      </c>
      <c r="C1771" t="s">
        <v>40</v>
      </c>
      <c r="D1771">
        <v>3.3062649999999998</v>
      </c>
      <c r="E1771">
        <v>0.51566939999999994</v>
      </c>
      <c r="F1771" t="s">
        <v>48</v>
      </c>
      <c r="G1771">
        <v>-363.35219999999998</v>
      </c>
      <c r="H1771" s="1">
        <v>2.4707359999999998E-7</v>
      </c>
      <c r="I1771">
        <v>285.36619999999999</v>
      </c>
      <c r="J1771">
        <v>-327.34160000000003</v>
      </c>
      <c r="K1771">
        <v>1.107931</v>
      </c>
      <c r="L1771">
        <v>284.5557</v>
      </c>
      <c r="M1771">
        <v>-0.99956829999999997</v>
      </c>
      <c r="N1771">
        <v>0</v>
      </c>
      <c r="O1771">
        <v>-2.7646939999999998E-2</v>
      </c>
      <c r="P1771">
        <v>-0.98891549999999995</v>
      </c>
      <c r="Q1771">
        <v>0.14777680000000001</v>
      </c>
      <c r="R1771">
        <v>-1.44412E-2</v>
      </c>
      <c r="S1771">
        <v>-3.0487980000000001</v>
      </c>
      <c r="T1771">
        <v>-9.2615249999999996E-2</v>
      </c>
      <c r="U1771">
        <v>6.6711430000000002E-2</v>
      </c>
      <c r="V1771">
        <v>1.330431E-2</v>
      </c>
      <c r="W1771">
        <v>0.15757869999999999</v>
      </c>
      <c r="X1771">
        <v>0.98741679999999998</v>
      </c>
      <c r="Y1771">
        <v>4.9473749999999997E-2</v>
      </c>
      <c r="Z1771">
        <v>1.5907629999999901E-3</v>
      </c>
      <c r="AA1771">
        <v>0.99877419999999995</v>
      </c>
      <c r="AB1771">
        <v>47</v>
      </c>
      <c r="AC1771">
        <v>-36.010599999999897</v>
      </c>
      <c r="AD1771">
        <v>-1.10793075292639</v>
      </c>
      <c r="AE1771">
        <v>0.81049999999999001</v>
      </c>
      <c r="AF1771">
        <v>1.80411536588605</v>
      </c>
      <c r="AG1771">
        <v>-1.10793075292639</v>
      </c>
      <c r="AH1771">
        <v>35.940420823407798</v>
      </c>
      <c r="AI1771">
        <v>91.763471518244501</v>
      </c>
      <c r="AJ1771">
        <v>87.126313403068394</v>
      </c>
      <c r="AK1771">
        <v>36.002724782582099</v>
      </c>
      <c r="AL1771">
        <v>80.933616795213297</v>
      </c>
      <c r="AM1771">
        <v>89.228051732562506</v>
      </c>
      <c r="AN1771">
        <v>0.99999999414025298</v>
      </c>
    </row>
    <row r="1772" spans="1:40" x14ac:dyDescent="0.25">
      <c r="A1772" t="str">
        <f>"20190312172650886"</f>
        <v>20190312172650886</v>
      </c>
      <c r="B1772" t="str">
        <f>"1552382810880471"</f>
        <v>1552382810880471</v>
      </c>
      <c r="C1772" t="s">
        <v>40</v>
      </c>
      <c r="D1772">
        <v>3.2988979999999999</v>
      </c>
      <c r="E1772">
        <v>0.5163799</v>
      </c>
      <c r="F1772" t="s">
        <v>48</v>
      </c>
      <c r="G1772">
        <v>-358.9547</v>
      </c>
      <c r="H1772" s="1">
        <v>3.2284339999999898E-6</v>
      </c>
      <c r="I1772">
        <v>285.28750000000002</v>
      </c>
      <c r="J1772">
        <v>-329.69869999999997</v>
      </c>
      <c r="K1772">
        <v>1.108052</v>
      </c>
      <c r="L1772">
        <v>284.49810000000002</v>
      </c>
      <c r="M1772">
        <v>-0.9996678</v>
      </c>
      <c r="N1772">
        <v>0</v>
      </c>
      <c r="O1772">
        <v>-2.2988229999999998E-2</v>
      </c>
      <c r="P1772">
        <v>-0.98930530000000005</v>
      </c>
      <c r="Q1772">
        <v>0.14562229999999901</v>
      </c>
      <c r="R1772">
        <v>-8.3333390000000004E-3</v>
      </c>
      <c r="S1772">
        <v>-3.0506289999999998</v>
      </c>
      <c r="T1772">
        <v>-0.10691390000000001</v>
      </c>
      <c r="U1772">
        <v>7.0617680000000002E-2</v>
      </c>
      <c r="V1772">
        <v>1.486618E-2</v>
      </c>
      <c r="W1772">
        <v>0.15710170000000001</v>
      </c>
      <c r="X1772">
        <v>0.98747050000000003</v>
      </c>
      <c r="Y1772">
        <v>4.60775E-2</v>
      </c>
      <c r="Z1772">
        <v>1.61243E-3</v>
      </c>
      <c r="AA1772">
        <v>0.99893659999999995</v>
      </c>
      <c r="AB1772">
        <v>47</v>
      </c>
      <c r="AC1772">
        <v>-29.256</v>
      </c>
      <c r="AD1772">
        <v>-1.1080487715659999</v>
      </c>
      <c r="AE1772">
        <v>0.78939999999999999</v>
      </c>
      <c r="AF1772">
        <v>1.4596883606707001</v>
      </c>
      <c r="AG1772">
        <v>-1.1080487715659999</v>
      </c>
      <c r="AH1772">
        <v>29.188280588885601</v>
      </c>
      <c r="AI1772">
        <v>92.171313979434203</v>
      </c>
      <c r="AJ1772">
        <v>87.137057612509196</v>
      </c>
      <c r="AK1772">
        <v>29.245755006940101</v>
      </c>
      <c r="AL1772">
        <v>80.961291347882906</v>
      </c>
      <c r="AM1772">
        <v>89.137488127668306</v>
      </c>
      <c r="AN1772">
        <v>0.99999996791046497</v>
      </c>
    </row>
    <row r="1773" spans="1:40" x14ac:dyDescent="0.25">
      <c r="A1773" t="str">
        <f>"20190312172650910"</f>
        <v>20190312172650910</v>
      </c>
      <c r="B1773" t="str">
        <f>"1552382810900967"</f>
        <v>1552382810900967</v>
      </c>
      <c r="C1773" t="s">
        <v>40</v>
      </c>
      <c r="D1773">
        <v>3.207789</v>
      </c>
      <c r="E1773">
        <v>0.51712400000000003</v>
      </c>
      <c r="F1773" t="s">
        <v>48</v>
      </c>
      <c r="G1773">
        <v>-358.0394</v>
      </c>
      <c r="H1773" s="1">
        <v>2.7413540000000001E-6</v>
      </c>
      <c r="I1773">
        <v>285.38200000000001</v>
      </c>
      <c r="J1773">
        <v>-330.19729999999998</v>
      </c>
      <c r="K1773">
        <v>1.108052</v>
      </c>
      <c r="L1773">
        <v>284.48739999999998</v>
      </c>
      <c r="M1773">
        <v>-0.9996874</v>
      </c>
      <c r="N1773">
        <v>0</v>
      </c>
      <c r="O1773">
        <v>-2.1980240000000002E-2</v>
      </c>
      <c r="P1773">
        <v>-0.98934699999999998</v>
      </c>
      <c r="Q1773">
        <v>0.1454251</v>
      </c>
      <c r="R1773">
        <v>-6.6484350000000003E-3</v>
      </c>
      <c r="S1773">
        <v>-3.0508120000000001</v>
      </c>
      <c r="T1773">
        <v>-0.1192791</v>
      </c>
      <c r="U1773">
        <v>9.5153810000000005E-2</v>
      </c>
      <c r="V1773">
        <v>1.555981E-2</v>
      </c>
      <c r="W1773">
        <v>0.15715770000000001</v>
      </c>
      <c r="X1773">
        <v>0.98745099999999997</v>
      </c>
      <c r="Y1773">
        <v>5.3080790000000003E-2</v>
      </c>
      <c r="Z1773">
        <v>1.8959339999999999E-3</v>
      </c>
      <c r="AA1773">
        <v>0.99858840000000004</v>
      </c>
      <c r="AB1773">
        <v>47</v>
      </c>
      <c r="AC1773">
        <v>-27.842099999999999</v>
      </c>
      <c r="AD1773">
        <v>-1.108049258646</v>
      </c>
      <c r="AE1773">
        <v>0.89460000000002504</v>
      </c>
      <c r="AF1773">
        <v>1.50402363338379</v>
      </c>
      <c r="AG1773">
        <v>-1.108049258646</v>
      </c>
      <c r="AH1773">
        <v>27.771766665106799</v>
      </c>
      <c r="AI1773">
        <v>92.281458792221301</v>
      </c>
      <c r="AJ1773">
        <v>86.900085338157993</v>
      </c>
      <c r="AK1773">
        <v>27.834526831805501</v>
      </c>
      <c r="AL1773">
        <v>80.958043300952795</v>
      </c>
      <c r="AM1773">
        <v>89.097233516945806</v>
      </c>
      <c r="AN1773">
        <v>1.0000000638787601</v>
      </c>
    </row>
    <row r="1774" spans="1:40" x14ac:dyDescent="0.25">
      <c r="A1774" t="str">
        <f>"20190312172650932"</f>
        <v>20190312172650932</v>
      </c>
      <c r="B1774" t="str">
        <f>"1552382810920487"</f>
        <v>1552382810920487</v>
      </c>
      <c r="C1774" t="s">
        <v>40</v>
      </c>
      <c r="D1774">
        <v>3.2934990000000002</v>
      </c>
      <c r="E1774">
        <v>0.51783380000000001</v>
      </c>
      <c r="F1774" t="s">
        <v>48</v>
      </c>
      <c r="G1774">
        <v>-357.67790000000002</v>
      </c>
      <c r="H1774" s="1">
        <v>2.5489989999999998E-6</v>
      </c>
      <c r="I1774">
        <v>285.44400000000002</v>
      </c>
      <c r="J1774">
        <v>-330.6635</v>
      </c>
      <c r="K1774">
        <v>1.1080559999999999</v>
      </c>
      <c r="L1774">
        <v>284.47789999999998</v>
      </c>
      <c r="M1774">
        <v>-0.99970510000000001</v>
      </c>
      <c r="N1774">
        <v>0</v>
      </c>
      <c r="O1774">
        <v>-2.1035680000000001E-2</v>
      </c>
      <c r="P1774">
        <v>-0.98940050000000002</v>
      </c>
      <c r="Q1774">
        <v>0.14511499999999999</v>
      </c>
      <c r="R1774">
        <v>-5.3446120000000003E-3</v>
      </c>
      <c r="S1774">
        <v>-3.051056</v>
      </c>
      <c r="T1774">
        <v>-0.1230223</v>
      </c>
      <c r="U1774">
        <v>0.1062012</v>
      </c>
      <c r="V1774">
        <v>1.5932519999999999E-2</v>
      </c>
      <c r="W1774">
        <v>0.15705839999999999</v>
      </c>
      <c r="X1774">
        <v>0.98746080000000003</v>
      </c>
      <c r="Y1774">
        <v>5.5741409999999998E-2</v>
      </c>
      <c r="Z1774">
        <v>1.9706620000000002E-3</v>
      </c>
      <c r="AA1774">
        <v>0.99844330000000003</v>
      </c>
      <c r="AB1774">
        <v>47</v>
      </c>
      <c r="AC1774">
        <v>-27.014399999999998</v>
      </c>
      <c r="AD1774">
        <v>-1.1080534510009901</v>
      </c>
      <c r="AE1774">
        <v>0.96610000000004004</v>
      </c>
      <c r="AF1774">
        <v>1.5316207855185</v>
      </c>
      <c r="AG1774">
        <v>-1.1080534510009901</v>
      </c>
      <c r="AH1774">
        <v>26.942826588392801</v>
      </c>
      <c r="AI1774">
        <v>92.3512332018216</v>
      </c>
      <c r="AJ1774">
        <v>86.7464044803787</v>
      </c>
      <c r="AK1774">
        <v>27.0090642054314</v>
      </c>
      <c r="AL1774">
        <v>80.963803813875899</v>
      </c>
      <c r="AM1774">
        <v>89.075622091544702</v>
      </c>
      <c r="AN1774">
        <v>1.00000000887037</v>
      </c>
    </row>
    <row r="1775" spans="1:40" x14ac:dyDescent="0.25">
      <c r="A1775" t="str">
        <f>"20190312172650953"</f>
        <v>20190312172650953</v>
      </c>
      <c r="B1775" t="str">
        <f>"1552382810950744"</f>
        <v>1552382810950744</v>
      </c>
      <c r="C1775" t="s">
        <v>40</v>
      </c>
      <c r="D1775">
        <v>3.2146560000000002</v>
      </c>
      <c r="E1775">
        <v>0.51843830000000002</v>
      </c>
      <c r="F1775" t="s">
        <v>48</v>
      </c>
      <c r="G1775">
        <v>-358.13499999999999</v>
      </c>
      <c r="H1775" s="1">
        <v>2.7922620000000002E-6</v>
      </c>
      <c r="I1775">
        <v>285.52190000000002</v>
      </c>
      <c r="J1775">
        <v>-331.11660000000001</v>
      </c>
      <c r="K1775">
        <v>1.1080589999999999</v>
      </c>
      <c r="L1775">
        <v>284.46910000000003</v>
      </c>
      <c r="M1775">
        <v>-0.99972190000000005</v>
      </c>
      <c r="N1775">
        <v>0</v>
      </c>
      <c r="O1775">
        <v>-2.0115250000000001E-2</v>
      </c>
      <c r="P1775">
        <v>-0.98944650000000001</v>
      </c>
      <c r="Q1775">
        <v>0.14483209999999999</v>
      </c>
      <c r="R1775">
        <v>-4.3837109999999898E-3</v>
      </c>
      <c r="S1775">
        <v>-3.0508419999999998</v>
      </c>
      <c r="T1775">
        <v>-0.1230545</v>
      </c>
      <c r="U1775">
        <v>0.11593630000000001</v>
      </c>
      <c r="V1775">
        <v>1.5984849999999998E-2</v>
      </c>
      <c r="W1775">
        <v>0.1569585</v>
      </c>
      <c r="X1775">
        <v>0.98747580000000001</v>
      </c>
      <c r="Y1775">
        <v>5.8005130000000002E-2</v>
      </c>
      <c r="Z1775">
        <v>1.9797259999999998E-3</v>
      </c>
      <c r="AA1775">
        <v>0.99831429999999999</v>
      </c>
      <c r="AB1775">
        <v>47</v>
      </c>
      <c r="AC1775">
        <v>-27.0183999999999</v>
      </c>
      <c r="AD1775">
        <v>-1.1080562077379901</v>
      </c>
      <c r="AE1775">
        <v>1.05279999999999</v>
      </c>
      <c r="AF1775">
        <v>1.59343403701969</v>
      </c>
      <c r="AG1775">
        <v>-1.1080562077379901</v>
      </c>
      <c r="AH1775">
        <v>26.946500499115398</v>
      </c>
      <c r="AI1775">
        <v>92.350608573962603</v>
      </c>
      <c r="AJ1775">
        <v>86.615855408425801</v>
      </c>
      <c r="AK1775">
        <v>27.0163045166926</v>
      </c>
      <c r="AL1775">
        <v>80.969599199111499</v>
      </c>
      <c r="AM1775">
        <v>89.072600607891601</v>
      </c>
      <c r="AN1775">
        <v>0.99999997086870596</v>
      </c>
    </row>
    <row r="1776" spans="1:40" x14ac:dyDescent="0.25">
      <c r="A1776" t="str">
        <f>"20190312172650976"</f>
        <v>20190312172650976</v>
      </c>
      <c r="B1776" t="str">
        <f>"1552382810970263"</f>
        <v>1552382810970263</v>
      </c>
      <c r="C1776" t="s">
        <v>40</v>
      </c>
      <c r="D1776">
        <v>3.218372</v>
      </c>
      <c r="E1776">
        <v>0.51886339999999997</v>
      </c>
      <c r="F1776" t="s">
        <v>48</v>
      </c>
      <c r="G1776">
        <v>-358.18860000000001</v>
      </c>
      <c r="H1776" s="1">
        <v>2.8207860000000002E-6</v>
      </c>
      <c r="I1776">
        <v>285.56689999999998</v>
      </c>
      <c r="J1776">
        <v>-331.5915</v>
      </c>
      <c r="K1776">
        <v>1.1080570000000001</v>
      </c>
      <c r="L1776">
        <v>284.46030000000002</v>
      </c>
      <c r="M1776">
        <v>-0.99973869999999998</v>
      </c>
      <c r="N1776">
        <v>0</v>
      </c>
      <c r="O1776">
        <v>-1.914948E-2</v>
      </c>
      <c r="P1776">
        <v>-0.98947050000000003</v>
      </c>
      <c r="Q1776">
        <v>0.14469749999999901</v>
      </c>
      <c r="R1776">
        <v>-3.3090530000000002E-3</v>
      </c>
      <c r="S1776">
        <v>-3.050751</v>
      </c>
      <c r="T1776">
        <v>-0.12486709999999999</v>
      </c>
      <c r="U1776">
        <v>0.1237183</v>
      </c>
      <c r="V1776">
        <v>1.6105520000000002E-2</v>
      </c>
      <c r="W1776">
        <v>0.15699150000000001</v>
      </c>
      <c r="X1776">
        <v>0.98746860000000003</v>
      </c>
      <c r="Y1776">
        <v>5.9582059999999999E-2</v>
      </c>
      <c r="Z1776">
        <v>2.0015739999999999E-3</v>
      </c>
      <c r="AA1776">
        <v>0.99822140000000004</v>
      </c>
      <c r="AB1776">
        <v>47</v>
      </c>
      <c r="AC1776">
        <v>-26.597100000000001</v>
      </c>
      <c r="AD1776">
        <v>-1.108054179214</v>
      </c>
      <c r="AE1776">
        <v>1.1065999999999501</v>
      </c>
      <c r="AF1776">
        <v>1.6129627311052801</v>
      </c>
      <c r="AG1776">
        <v>-1.108054179214</v>
      </c>
      <c r="AH1776">
        <v>26.5250719545317</v>
      </c>
      <c r="AI1776">
        <v>92.387668797028397</v>
      </c>
      <c r="AJ1776">
        <v>86.520186660241805</v>
      </c>
      <c r="AK1776">
        <v>26.5971591533587</v>
      </c>
      <c r="AL1776">
        <v>80.967684763153699</v>
      </c>
      <c r="AM1776">
        <v>89.065594073336399</v>
      </c>
      <c r="AN1776">
        <v>0.99999997741633995</v>
      </c>
    </row>
    <row r="1777" spans="1:40" x14ac:dyDescent="0.25">
      <c r="A1777" t="str">
        <f>"20190312172650999"</f>
        <v>20190312172650999</v>
      </c>
      <c r="B1777" t="str">
        <f>"1552382810990760"</f>
        <v>1552382810990760</v>
      </c>
      <c r="C1777" t="s">
        <v>40</v>
      </c>
      <c r="D1777">
        <v>3.2195670000000001</v>
      </c>
      <c r="E1777">
        <v>0.51928039999999998</v>
      </c>
      <c r="F1777" t="s">
        <v>48</v>
      </c>
      <c r="G1777">
        <v>-358.42450000000002</v>
      </c>
      <c r="H1777" s="1">
        <v>2.9463169999999999E-6</v>
      </c>
      <c r="I1777">
        <v>285.60610000000003</v>
      </c>
      <c r="J1777">
        <v>-332.07619999999997</v>
      </c>
      <c r="K1777">
        <v>1.108055</v>
      </c>
      <c r="L1777">
        <v>284.45170000000002</v>
      </c>
      <c r="M1777">
        <v>-0.99975519999999996</v>
      </c>
      <c r="N1777">
        <v>0</v>
      </c>
      <c r="O1777">
        <v>-1.8163499999999999E-2</v>
      </c>
      <c r="P1777">
        <v>-0.98949690000000001</v>
      </c>
      <c r="Q1777">
        <v>0.1445351</v>
      </c>
      <c r="R1777">
        <v>-2.4193719999999999E-3</v>
      </c>
      <c r="S1777">
        <v>-3.0508120000000001</v>
      </c>
      <c r="T1777">
        <v>-0.1259817</v>
      </c>
      <c r="U1777">
        <v>0.13027949999999999</v>
      </c>
      <c r="V1777">
        <v>1.6020739999999999E-2</v>
      </c>
      <c r="W1777">
        <v>0.156978799999999</v>
      </c>
      <c r="X1777">
        <v>0.98747200000000002</v>
      </c>
      <c r="Y1777">
        <v>6.0738590000000002E-2</v>
      </c>
      <c r="Z1777">
        <v>2.0024729999999998E-3</v>
      </c>
      <c r="AA1777">
        <v>0.99815169999999998</v>
      </c>
      <c r="AB1777">
        <v>47</v>
      </c>
      <c r="AC1777">
        <v>-26.348299999999998</v>
      </c>
      <c r="AD1777">
        <v>-1.1080520536830001</v>
      </c>
      <c r="AE1777">
        <v>1.1544000000000001</v>
      </c>
      <c r="AF1777">
        <v>1.62994796997158</v>
      </c>
      <c r="AG1777">
        <v>-1.1080520536830001</v>
      </c>
      <c r="AH1777">
        <v>26.276600798875499</v>
      </c>
      <c r="AI1777">
        <v>92.410035526717706</v>
      </c>
      <c r="AJ1777">
        <v>86.450468003333498</v>
      </c>
      <c r="AK1777">
        <v>26.350412886365699</v>
      </c>
      <c r="AL1777">
        <v>80.968421571978396</v>
      </c>
      <c r="AM1777">
        <v>89.070515152187298</v>
      </c>
      <c r="AN1777">
        <v>0.99999997927179296</v>
      </c>
    </row>
    <row r="1778" spans="1:40" x14ac:dyDescent="0.25">
      <c r="A1778" t="str">
        <f>"20190312172651021"</f>
        <v>20190312172651021</v>
      </c>
      <c r="B1778" t="str">
        <f>"1552382811010280"</f>
        <v>1552382811010280</v>
      </c>
      <c r="C1778" t="s">
        <v>40</v>
      </c>
      <c r="D1778">
        <v>3.2209059999999998</v>
      </c>
      <c r="E1778">
        <v>0.51967019999999997</v>
      </c>
      <c r="F1778" t="s">
        <v>48</v>
      </c>
      <c r="G1778">
        <v>-358.7389</v>
      </c>
      <c r="H1778" s="1">
        <v>3.1136269999999998E-6</v>
      </c>
      <c r="I1778">
        <v>285.64100000000002</v>
      </c>
      <c r="J1778">
        <v>-332.5274</v>
      </c>
      <c r="K1778">
        <v>1.1080540000000001</v>
      </c>
      <c r="L1778">
        <v>284.44420000000002</v>
      </c>
      <c r="M1778">
        <v>-0.99977000000000005</v>
      </c>
      <c r="N1778">
        <v>0</v>
      </c>
      <c r="O1778">
        <v>-1.7246069999999999E-2</v>
      </c>
      <c r="P1778">
        <v>-0.98955700000000002</v>
      </c>
      <c r="Q1778">
        <v>0.14413409999999999</v>
      </c>
      <c r="R1778">
        <v>-1.6506540000000001E-3</v>
      </c>
      <c r="S1778">
        <v>-3.0507200000000001</v>
      </c>
      <c r="T1778">
        <v>-0.12678210000000001</v>
      </c>
      <c r="U1778">
        <v>0.1360779</v>
      </c>
      <c r="V1778">
        <v>1.5882150000000001E-2</v>
      </c>
      <c r="W1778">
        <v>0.1567009</v>
      </c>
      <c r="X1778">
        <v>0.98751840000000002</v>
      </c>
      <c r="Y1778">
        <v>6.1716550000000002E-2</v>
      </c>
      <c r="Z1778">
        <v>1.997371E-3</v>
      </c>
      <c r="AA1778">
        <v>0.99809170000000003</v>
      </c>
      <c r="AB1778">
        <v>47</v>
      </c>
      <c r="AC1778">
        <v>-26.211500000000001</v>
      </c>
      <c r="AD1778">
        <v>-1.1080508863730001</v>
      </c>
      <c r="AE1778">
        <v>1.1967999999999299</v>
      </c>
      <c r="AF1778">
        <v>1.6457691331191699</v>
      </c>
      <c r="AG1778">
        <v>-1.1080508863730001</v>
      </c>
      <c r="AH1778">
        <v>26.1403424981123</v>
      </c>
      <c r="AI1778">
        <v>92.422440654861703</v>
      </c>
      <c r="AJ1778">
        <v>86.397471449298706</v>
      </c>
      <c r="AK1778">
        <v>26.215526672659799</v>
      </c>
      <c r="AL1778">
        <v>80.9845438064295</v>
      </c>
      <c r="AM1778">
        <v>89.078597706662407</v>
      </c>
      <c r="AN1778">
        <v>1.0000000025439899</v>
      </c>
    </row>
    <row r="1779" spans="1:40" x14ac:dyDescent="0.25">
      <c r="A1779" t="str">
        <f>"20190312172651043"</f>
        <v>20190312172651043</v>
      </c>
      <c r="B1779" t="str">
        <f>"1552382811030776"</f>
        <v>1552382811030776</v>
      </c>
      <c r="C1779" t="s">
        <v>40</v>
      </c>
      <c r="D1779">
        <v>3.202315</v>
      </c>
      <c r="E1779">
        <v>0.52004929999999905</v>
      </c>
      <c r="F1779" t="s">
        <v>48</v>
      </c>
      <c r="G1779">
        <v>-358.8664</v>
      </c>
      <c r="H1779" s="1">
        <v>3.181456E-6</v>
      </c>
      <c r="I1779">
        <v>285.66489999999999</v>
      </c>
      <c r="J1779">
        <v>-332.99930000000001</v>
      </c>
      <c r="K1779">
        <v>1.10805</v>
      </c>
      <c r="L1779">
        <v>284.43680000000001</v>
      </c>
      <c r="M1779">
        <v>-0.99978449999999996</v>
      </c>
      <c r="N1779">
        <v>0</v>
      </c>
      <c r="O1779">
        <v>-1.6286399999999999E-2</v>
      </c>
      <c r="P1779">
        <v>-0.98961980000000005</v>
      </c>
      <c r="Q1779">
        <v>0.14370720000000001</v>
      </c>
      <c r="R1779">
        <v>-1.0395109999999999E-3</v>
      </c>
      <c r="S1779">
        <v>-3.0506289999999998</v>
      </c>
      <c r="T1779">
        <v>-0.12833639999999999</v>
      </c>
      <c r="U1779">
        <v>0.14138789999999901</v>
      </c>
      <c r="V1779">
        <v>1.554432E-2</v>
      </c>
      <c r="W1779">
        <v>0.15638629999999901</v>
      </c>
      <c r="X1779">
        <v>0.98757360000000005</v>
      </c>
      <c r="Y1779">
        <v>6.2492060000000002E-2</v>
      </c>
      <c r="Z1779">
        <v>1.997778E-3</v>
      </c>
      <c r="AA1779">
        <v>0.99804349999999997</v>
      </c>
      <c r="AB1779">
        <v>47</v>
      </c>
      <c r="AC1779">
        <v>-25.867099999999901</v>
      </c>
      <c r="AD1779">
        <v>-1.108046818544</v>
      </c>
      <c r="AE1779">
        <v>1.22809999999998</v>
      </c>
      <c r="AF1779">
        <v>1.64623998378189</v>
      </c>
      <c r="AG1779">
        <v>-1.108046818544</v>
      </c>
      <c r="AH1779">
        <v>25.796437301119301</v>
      </c>
      <c r="AI1779">
        <v>92.454554439075395</v>
      </c>
      <c r="AJ1779">
        <v>86.348531799741593</v>
      </c>
      <c r="AK1779">
        <v>25.872650642461601</v>
      </c>
      <c r="AL1779">
        <v>81.002793661729697</v>
      </c>
      <c r="AM1779">
        <v>89.098244026380996</v>
      </c>
      <c r="AN1779">
        <v>0.99999995806445496</v>
      </c>
    </row>
    <row r="1780" spans="1:40" x14ac:dyDescent="0.25">
      <c r="A1780" t="str">
        <f>"20190312172651065"</f>
        <v>20190312172651065</v>
      </c>
      <c r="B1780" t="str">
        <f>"1552382811061032"</f>
        <v>1552382811061032</v>
      </c>
      <c r="C1780" t="s">
        <v>40</v>
      </c>
      <c r="D1780">
        <v>3.2251500000000002</v>
      </c>
      <c r="E1780">
        <v>0.52056740000000001</v>
      </c>
      <c r="F1780" t="s">
        <v>48</v>
      </c>
      <c r="G1780">
        <v>-359.06240000000003</v>
      </c>
      <c r="H1780" s="1">
        <v>3.2857740000000001E-6</v>
      </c>
      <c r="I1780">
        <v>285.68939999999998</v>
      </c>
      <c r="J1780">
        <v>-333.47859999999997</v>
      </c>
      <c r="K1780">
        <v>1.10805</v>
      </c>
      <c r="L1780">
        <v>284.42970000000003</v>
      </c>
      <c r="M1780">
        <v>-0.99979899999999999</v>
      </c>
      <c r="N1780">
        <v>0</v>
      </c>
      <c r="O1780">
        <v>-1.531241E-2</v>
      </c>
      <c r="P1780">
        <v>-0.98958679999999999</v>
      </c>
      <c r="Q1780">
        <v>0.14393590000000001</v>
      </c>
      <c r="R1780">
        <v>-9.7137549999999997E-4</v>
      </c>
      <c r="S1780">
        <v>-3.050446</v>
      </c>
      <c r="T1780">
        <v>-0.12968669999999999</v>
      </c>
      <c r="U1780">
        <v>0.1466064</v>
      </c>
      <c r="V1780">
        <v>1.4649489999999999E-2</v>
      </c>
      <c r="W1780">
        <v>0.15669949999999999</v>
      </c>
      <c r="X1780">
        <v>0.98753769999999996</v>
      </c>
      <c r="Y1780">
        <v>6.3224870000000002E-2</v>
      </c>
      <c r="Z1780">
        <v>1.9930099999999999E-3</v>
      </c>
      <c r="AA1780">
        <v>0.99799729999999998</v>
      </c>
      <c r="AB1780">
        <v>47</v>
      </c>
      <c r="AC1780">
        <v>-25.5838</v>
      </c>
      <c r="AD1780">
        <v>-1.108046714226</v>
      </c>
      <c r="AE1780">
        <v>1.2596999999999501</v>
      </c>
      <c r="AF1780">
        <v>1.6482504247876999</v>
      </c>
      <c r="AG1780">
        <v>-1.108046714226</v>
      </c>
      <c r="AH1780">
        <v>25.5137664269689</v>
      </c>
      <c r="AI1780">
        <v>92.4815902221101</v>
      </c>
      <c r="AJ1780">
        <v>86.303691834557696</v>
      </c>
      <c r="AK1780">
        <v>25.590951023235601</v>
      </c>
      <c r="AL1780">
        <v>80.984625226994694</v>
      </c>
      <c r="AM1780">
        <v>89.150116103690607</v>
      </c>
      <c r="AN1780">
        <v>1.0000000248893901</v>
      </c>
    </row>
    <row r="1781" spans="1:40" x14ac:dyDescent="0.25">
      <c r="A1781" t="str">
        <f>"20190312172651089"</f>
        <v>20190312172651089</v>
      </c>
      <c r="B1781" t="str">
        <f>"1552382811080555"</f>
        <v>1552382811080555</v>
      </c>
      <c r="C1781" t="s">
        <v>40</v>
      </c>
      <c r="D1781">
        <v>3.1974870000000002</v>
      </c>
      <c r="E1781">
        <v>0.52087559999999999</v>
      </c>
      <c r="F1781" t="s">
        <v>48</v>
      </c>
      <c r="G1781">
        <v>-359.50740000000002</v>
      </c>
      <c r="H1781" s="1">
        <v>3.522586E-6</v>
      </c>
      <c r="I1781">
        <v>285.72039999999998</v>
      </c>
      <c r="J1781">
        <v>-333.96879999999999</v>
      </c>
      <c r="K1781">
        <v>1.1078129999999999</v>
      </c>
      <c r="L1781">
        <v>284.4228</v>
      </c>
      <c r="M1781">
        <v>-0.99982559999999998</v>
      </c>
      <c r="N1781">
        <v>0</v>
      </c>
      <c r="O1781">
        <v>-1.4342479999999999E-2</v>
      </c>
      <c r="P1781">
        <v>-0.98941769999999996</v>
      </c>
      <c r="Q1781">
        <v>0.145096</v>
      </c>
      <c r="R1781">
        <v>-2.9151889999999998E-4</v>
      </c>
      <c r="S1781">
        <v>-3.0505979999999999</v>
      </c>
      <c r="T1781">
        <v>-0.12986400000000001</v>
      </c>
      <c r="U1781">
        <v>0.15127560000000001</v>
      </c>
      <c r="V1781">
        <v>1.4347820000000001E-2</v>
      </c>
      <c r="W1781">
        <v>0.15689259999999999</v>
      </c>
      <c r="X1781">
        <v>0.98751149999999999</v>
      </c>
      <c r="Y1781">
        <v>6.3778210000000002E-2</v>
      </c>
      <c r="Z1781">
        <v>1.966064E-3</v>
      </c>
      <c r="AA1781">
        <v>0.99796220000000002</v>
      </c>
      <c r="AB1781">
        <v>47</v>
      </c>
      <c r="AC1781">
        <v>-25.538599999999999</v>
      </c>
      <c r="AD1781">
        <v>-1.1078094774139999</v>
      </c>
      <c r="AE1781">
        <v>1.2975999999999801</v>
      </c>
      <c r="AF1781">
        <v>1.6606628555134999</v>
      </c>
      <c r="AG1781">
        <v>-1.1078094774139999</v>
      </c>
      <c r="AH1781">
        <v>25.4695595467992</v>
      </c>
      <c r="AI1781">
        <v>92.485264316948999</v>
      </c>
      <c r="AJ1781">
        <v>86.269488663729305</v>
      </c>
      <c r="AK1781">
        <v>25.547671253284101</v>
      </c>
      <c r="AL1781">
        <v>80.973423126439499</v>
      </c>
      <c r="AM1781">
        <v>89.167592790218606</v>
      </c>
      <c r="AN1781">
        <v>1.0000000552528701</v>
      </c>
    </row>
    <row r="1782" spans="1:40" x14ac:dyDescent="0.25">
      <c r="A1782" t="str">
        <f>"20190312172651111"</f>
        <v>20190312172651111</v>
      </c>
      <c r="B1782" t="str">
        <f>"1552382811101047"</f>
        <v>1552382811101047</v>
      </c>
      <c r="C1782" t="s">
        <v>40</v>
      </c>
      <c r="D1782">
        <v>3.2343280000000001</v>
      </c>
      <c r="E1782">
        <v>0.52111109999999905</v>
      </c>
      <c r="F1782" t="s">
        <v>48</v>
      </c>
      <c r="G1782">
        <v>-360.60599999999999</v>
      </c>
      <c r="H1782" s="1">
        <v>-1.2142909999999999E-6</v>
      </c>
      <c r="I1782">
        <v>285.78410000000002</v>
      </c>
      <c r="J1782">
        <v>-334.44920000000002</v>
      </c>
      <c r="K1782">
        <v>1.1075219999999999</v>
      </c>
      <c r="L1782">
        <v>284.41640000000001</v>
      </c>
      <c r="M1782">
        <v>-0.99985440000000003</v>
      </c>
      <c r="N1782">
        <v>0</v>
      </c>
      <c r="O1782">
        <v>-1.344451E-2</v>
      </c>
      <c r="P1782">
        <v>-0.98922339999999997</v>
      </c>
      <c r="Q1782">
        <v>0.14641489999999999</v>
      </c>
      <c r="R1782">
        <v>-2.391743E-4</v>
      </c>
      <c r="S1782">
        <v>-3.050751</v>
      </c>
      <c r="T1782">
        <v>-0.1268773</v>
      </c>
      <c r="U1782">
        <v>0.15591429999999901</v>
      </c>
      <c r="V1782">
        <v>1.348241E-2</v>
      </c>
      <c r="W1782">
        <v>0.15677199999999999</v>
      </c>
      <c r="X1782">
        <v>0.98754280000000005</v>
      </c>
      <c r="Y1782">
        <v>6.4396229999999999E-2</v>
      </c>
      <c r="Z1782">
        <v>1.8962359999999999E-3</v>
      </c>
      <c r="AA1782">
        <v>0.99792259999999999</v>
      </c>
      <c r="AB1782">
        <v>48</v>
      </c>
      <c r="AC1782">
        <v>-26.156799999999901</v>
      </c>
      <c r="AD1782">
        <v>-1.1075232142910001</v>
      </c>
      <c r="AE1782">
        <v>1.3677000000000099</v>
      </c>
      <c r="AF1782">
        <v>1.7161927148871901</v>
      </c>
      <c r="AG1782">
        <v>-1.1075232142910001</v>
      </c>
      <c r="AH1782">
        <v>26.0894005368847</v>
      </c>
      <c r="AI1782">
        <v>92.425572221313203</v>
      </c>
      <c r="AJ1782">
        <v>86.236435739477997</v>
      </c>
      <c r="AK1782">
        <v>26.169232802641101</v>
      </c>
      <c r="AL1782">
        <v>80.980419152076294</v>
      </c>
      <c r="AM1782">
        <v>89.217819013554802</v>
      </c>
      <c r="AN1782">
        <v>1.0000000085976199</v>
      </c>
    </row>
    <row r="1783" spans="1:40" x14ac:dyDescent="0.25">
      <c r="A1783" t="str">
        <f>"20190312172651134"</f>
        <v>20190312172651134</v>
      </c>
      <c r="B1783" t="str">
        <f>"1552382811130329"</f>
        <v>1552382811130329</v>
      </c>
      <c r="C1783" t="s">
        <v>40</v>
      </c>
      <c r="D1783">
        <v>3.2142240000000002</v>
      </c>
      <c r="E1783">
        <v>0.52158729999999998</v>
      </c>
      <c r="F1783" t="s">
        <v>48</v>
      </c>
      <c r="G1783">
        <v>-361.94799999999998</v>
      </c>
      <c r="H1783" s="1">
        <v>-5.0013840000000005E-7</v>
      </c>
      <c r="I1783">
        <v>285.83850000000001</v>
      </c>
      <c r="J1783">
        <v>-334.93720000000002</v>
      </c>
      <c r="K1783">
        <v>1.107297</v>
      </c>
      <c r="L1783">
        <v>284.41030000000001</v>
      </c>
      <c r="M1783">
        <v>-0.99988049999999995</v>
      </c>
      <c r="N1783">
        <v>0</v>
      </c>
      <c r="O1783">
        <v>-1.253903E-2</v>
      </c>
      <c r="P1783">
        <v>-0.98898969999999997</v>
      </c>
      <c r="Q1783">
        <v>0.14798649999999999</v>
      </c>
      <c r="R1783">
        <v>1.2309429999999999E-4</v>
      </c>
      <c r="S1783">
        <v>-3.0509029999999999</v>
      </c>
      <c r="T1783">
        <v>-0.12287579999999999</v>
      </c>
      <c r="U1783">
        <v>0.1577759</v>
      </c>
      <c r="V1783">
        <v>1.291985E-2</v>
      </c>
      <c r="W1783">
        <v>0.15691469999999999</v>
      </c>
      <c r="X1783">
        <v>0.98752770000000001</v>
      </c>
      <c r="Y1783">
        <v>6.4102229999999996E-2</v>
      </c>
      <c r="Z1783">
        <v>1.794005E-3</v>
      </c>
      <c r="AA1783">
        <v>0.99794170000000004</v>
      </c>
      <c r="AB1783">
        <v>48</v>
      </c>
      <c r="AC1783">
        <v>-27.0108</v>
      </c>
      <c r="AD1783">
        <v>-1.1072975001384</v>
      </c>
      <c r="AE1783">
        <v>1.4281999999999999</v>
      </c>
      <c r="AF1783">
        <v>1.76383482400939</v>
      </c>
      <c r="AG1783">
        <v>-1.1072975001384</v>
      </c>
      <c r="AH1783">
        <v>26.945609915997199</v>
      </c>
      <c r="AI1783">
        <v>92.348157507808295</v>
      </c>
      <c r="AJ1783">
        <v>86.254814148140696</v>
      </c>
      <c r="AK1783">
        <v>27.025971116414802</v>
      </c>
      <c r="AL1783">
        <v>80.972140979157103</v>
      </c>
      <c r="AM1783">
        <v>89.250440624587497</v>
      </c>
      <c r="AN1783">
        <v>1.00000005193369</v>
      </c>
    </row>
    <row r="1784" spans="1:40" x14ac:dyDescent="0.25">
      <c r="A1784" t="str">
        <f>"20190312172651155"</f>
        <v>20190312172651155</v>
      </c>
      <c r="B1784" t="str">
        <f>"1552382811150824"</f>
        <v>1552382811150824</v>
      </c>
      <c r="C1784" t="s">
        <v>40</v>
      </c>
      <c r="D1784">
        <v>3.2120890000000002</v>
      </c>
      <c r="E1784">
        <v>0.52190459999999905</v>
      </c>
      <c r="F1784" t="s">
        <v>48</v>
      </c>
      <c r="G1784">
        <v>-363.72930000000002</v>
      </c>
      <c r="H1784" s="1">
        <v>4.477665E-7</v>
      </c>
      <c r="I1784">
        <v>285.94709999999998</v>
      </c>
      <c r="J1784">
        <v>-335.41140000000001</v>
      </c>
      <c r="K1784">
        <v>1.1071420000000001</v>
      </c>
      <c r="L1784">
        <v>284.40460000000002</v>
      </c>
      <c r="M1784">
        <v>-0.99990100000000004</v>
      </c>
      <c r="N1784">
        <v>0</v>
      </c>
      <c r="O1784">
        <v>-1.1668990000000001E-2</v>
      </c>
      <c r="P1784">
        <v>-0.98876319999999995</v>
      </c>
      <c r="Q1784">
        <v>0.1494904</v>
      </c>
      <c r="R1784">
        <v>3.1529270000000002E-4</v>
      </c>
      <c r="S1784">
        <v>-3.0509339999999998</v>
      </c>
      <c r="T1784">
        <v>-0.1173338</v>
      </c>
      <c r="U1784">
        <v>0.16284179999999901</v>
      </c>
      <c r="V1784">
        <v>1.223731E-2</v>
      </c>
      <c r="W1784">
        <v>0.15724479999999999</v>
      </c>
      <c r="X1784">
        <v>0.98748380000000002</v>
      </c>
      <c r="Y1784">
        <v>6.4891240000000003E-2</v>
      </c>
      <c r="Z1784">
        <v>1.6947829999999901E-3</v>
      </c>
      <c r="AA1784">
        <v>0.99789090000000003</v>
      </c>
      <c r="AB1784">
        <v>48</v>
      </c>
      <c r="AC1784">
        <v>-28.317900000000002</v>
      </c>
      <c r="AD1784">
        <v>-1.1071415522335</v>
      </c>
      <c r="AE1784">
        <v>1.54249999999996</v>
      </c>
      <c r="AF1784">
        <v>1.8699965223686701</v>
      </c>
      <c r="AG1784">
        <v>-1.1071415522335</v>
      </c>
      <c r="AH1784">
        <v>28.254910154064302</v>
      </c>
      <c r="AI1784">
        <v>92.239038838780999</v>
      </c>
      <c r="AJ1784">
        <v>86.213511846732303</v>
      </c>
      <c r="AK1784">
        <v>28.3383591131279</v>
      </c>
      <c r="AL1784">
        <v>80.952989126070705</v>
      </c>
      <c r="AM1784">
        <v>89.290003211430701</v>
      </c>
      <c r="AN1784">
        <v>0.99999996707275696</v>
      </c>
    </row>
    <row r="1785" spans="1:40" x14ac:dyDescent="0.25">
      <c r="A1785" t="str">
        <f>"20190312172651178"</f>
        <v>20190312172651178</v>
      </c>
      <c r="B1785" t="str">
        <f>"1552382811170343"</f>
        <v>1552382811170343</v>
      </c>
      <c r="C1785" t="s">
        <v>40</v>
      </c>
      <c r="D1785">
        <v>3.2428870000000001</v>
      </c>
      <c r="E1785">
        <v>0.52218759999999997</v>
      </c>
      <c r="F1785" t="s">
        <v>48</v>
      </c>
      <c r="G1785">
        <v>-365.56830000000002</v>
      </c>
      <c r="H1785" s="1">
        <v>1.4263630000000001E-6</v>
      </c>
      <c r="I1785">
        <v>286.04649999999998</v>
      </c>
      <c r="J1785">
        <v>-335.90660000000003</v>
      </c>
      <c r="K1785">
        <v>1.1070690000000001</v>
      </c>
      <c r="L1785">
        <v>284.399</v>
      </c>
      <c r="M1785">
        <v>-0.99991699999999994</v>
      </c>
      <c r="N1785">
        <v>0</v>
      </c>
      <c r="O1785">
        <v>-1.0788300000000001E-2</v>
      </c>
      <c r="P1785">
        <v>-0.98862989999999995</v>
      </c>
      <c r="Q1785">
        <v>0.15036849999999999</v>
      </c>
      <c r="R1785">
        <v>5.2618700000000001E-4</v>
      </c>
      <c r="S1785">
        <v>-3.0509949999999999</v>
      </c>
      <c r="T1785">
        <v>-0.1120102</v>
      </c>
      <c r="U1785">
        <v>0.16610720000000001</v>
      </c>
      <c r="V1785">
        <v>1.1583899999999999E-2</v>
      </c>
      <c r="W1785">
        <v>0.15731500000000001</v>
      </c>
      <c r="X1785">
        <v>0.98748049999999998</v>
      </c>
      <c r="Y1785">
        <v>6.5081600000000003E-2</v>
      </c>
      <c r="Z1785">
        <v>1.5890500000000001E-3</v>
      </c>
      <c r="AA1785">
        <v>0.99787870000000001</v>
      </c>
      <c r="AB1785">
        <v>48</v>
      </c>
      <c r="AC1785">
        <v>-29.6617</v>
      </c>
      <c r="AD1785">
        <v>-1.1070675736369999</v>
      </c>
      <c r="AE1785">
        <v>1.64749999999997</v>
      </c>
      <c r="AF1785">
        <v>1.9646829555635501</v>
      </c>
      <c r="AG1785">
        <v>-1.1070675736369999</v>
      </c>
      <c r="AH1785">
        <v>29.6010915921125</v>
      </c>
      <c r="AI1785">
        <v>92.137140500074494</v>
      </c>
      <c r="AJ1785">
        <v>86.202735286570103</v>
      </c>
      <c r="AK1785">
        <v>29.6868691709502</v>
      </c>
      <c r="AL1785">
        <v>80.948916270361593</v>
      </c>
      <c r="AM1785">
        <v>89.327907600885396</v>
      </c>
      <c r="AN1785">
        <v>0.99999996692222903</v>
      </c>
    </row>
    <row r="1786" spans="1:40" x14ac:dyDescent="0.25">
      <c r="A1786" t="str">
        <f>"20190312172651199"</f>
        <v>20190312172651199</v>
      </c>
      <c r="B1786" t="str">
        <f>"1552382811190843"</f>
        <v>1552382811190843</v>
      </c>
      <c r="C1786" t="s">
        <v>40</v>
      </c>
      <c r="D1786">
        <v>3.2574350000000001</v>
      </c>
      <c r="E1786">
        <v>0.52242650000000002</v>
      </c>
      <c r="F1786" t="s">
        <v>48</v>
      </c>
      <c r="G1786">
        <v>-367.04570000000001</v>
      </c>
      <c r="H1786" s="1">
        <v>2.212599E-6</v>
      </c>
      <c r="I1786">
        <v>286.1275</v>
      </c>
      <c r="J1786">
        <v>-336.37009999999998</v>
      </c>
      <c r="K1786">
        <v>1.107083</v>
      </c>
      <c r="L1786">
        <v>284.39429999999999</v>
      </c>
      <c r="M1786">
        <v>-0.99992729999999996</v>
      </c>
      <c r="N1786">
        <v>0</v>
      </c>
      <c r="O1786">
        <v>-9.9941479999999996E-3</v>
      </c>
      <c r="P1786">
        <v>-0.98853550000000001</v>
      </c>
      <c r="Q1786">
        <v>0.15098829999999999</v>
      </c>
      <c r="R1786">
        <v>5.8488870000000001E-4</v>
      </c>
      <c r="S1786">
        <v>-3.0508419999999998</v>
      </c>
      <c r="T1786">
        <v>-0.10846450000000001</v>
      </c>
      <c r="U1786">
        <v>0.16934199999999999</v>
      </c>
      <c r="V1786">
        <v>1.0878560000000001E-2</v>
      </c>
      <c r="W1786">
        <v>0.1576362</v>
      </c>
      <c r="X1786">
        <v>0.98743740000000002</v>
      </c>
      <c r="Y1786">
        <v>6.5350140000000001E-2</v>
      </c>
      <c r="Z1786">
        <v>1.515373E-3</v>
      </c>
      <c r="AA1786">
        <v>0.99786129999999995</v>
      </c>
      <c r="AB1786">
        <v>49</v>
      </c>
      <c r="AC1786">
        <v>-30.675599999999999</v>
      </c>
      <c r="AD1786">
        <v>-1.107080787401</v>
      </c>
      <c r="AE1786">
        <v>1.7332000000000101</v>
      </c>
      <c r="AF1786">
        <v>2.0370521130413199</v>
      </c>
      <c r="AG1786">
        <v>-1.107080787401</v>
      </c>
      <c r="AH1786">
        <v>30.616994400850999</v>
      </c>
      <c r="AI1786">
        <v>92.066293136803097</v>
      </c>
      <c r="AJ1786">
        <v>86.193528223824799</v>
      </c>
      <c r="AK1786">
        <v>30.704650385940301</v>
      </c>
      <c r="AL1786">
        <v>80.930281255750799</v>
      </c>
      <c r="AM1786">
        <v>89.368800128657199</v>
      </c>
      <c r="AN1786">
        <v>1.0000000667684299</v>
      </c>
    </row>
    <row r="1787" spans="1:40" x14ac:dyDescent="0.25">
      <c r="A1787" t="str">
        <f>"20190312172651232"</f>
        <v>20190312172651232</v>
      </c>
      <c r="B1787" t="str">
        <f>"1552382811230856"</f>
        <v>1552382811230856</v>
      </c>
      <c r="C1787" t="s">
        <v>40</v>
      </c>
      <c r="D1787">
        <v>3.2297159999999998</v>
      </c>
      <c r="E1787">
        <v>0.52300020000000003</v>
      </c>
      <c r="F1787" t="s">
        <v>48</v>
      </c>
      <c r="G1787">
        <v>-368.29570000000001</v>
      </c>
      <c r="H1787" s="1">
        <v>2.8777789999999998E-6</v>
      </c>
      <c r="I1787">
        <v>286.19130000000001</v>
      </c>
      <c r="J1787">
        <v>-337.08659999999998</v>
      </c>
      <c r="K1787">
        <v>1.107183</v>
      </c>
      <c r="L1787">
        <v>284.38780000000003</v>
      </c>
      <c r="M1787">
        <v>-0.99993849999999995</v>
      </c>
      <c r="N1787">
        <v>0</v>
      </c>
      <c r="O1787">
        <v>-8.7622510000000004E-3</v>
      </c>
      <c r="P1787">
        <v>-0.98857519999999999</v>
      </c>
      <c r="Q1787">
        <v>0.15072379999999999</v>
      </c>
      <c r="R1787">
        <v>1.2231309999999999E-3</v>
      </c>
      <c r="S1787">
        <v>-3.0508419999999998</v>
      </c>
      <c r="T1787">
        <v>-0.1057935</v>
      </c>
      <c r="U1787">
        <v>0.1717224</v>
      </c>
      <c r="V1787">
        <v>1.033457E-2</v>
      </c>
      <c r="W1787">
        <v>0.15742049999999999</v>
      </c>
      <c r="X1787">
        <v>0.98747759999999996</v>
      </c>
      <c r="Y1787">
        <v>6.4900239999999998E-2</v>
      </c>
      <c r="Z1787">
        <v>1.4275780000000001E-3</v>
      </c>
      <c r="AA1787">
        <v>0.99789070000000002</v>
      </c>
      <c r="AB1787">
        <v>49</v>
      </c>
      <c r="AC1787">
        <v>-31.209099999999999</v>
      </c>
      <c r="AD1787">
        <v>-1.107180122221</v>
      </c>
      <c r="AE1787">
        <v>1.8034999999999799</v>
      </c>
      <c r="AF1787">
        <v>2.0742971099649798</v>
      </c>
      <c r="AG1787">
        <v>-1.107180122221</v>
      </c>
      <c r="AH1787">
        <v>31.153021301573599</v>
      </c>
      <c r="AI1787">
        <v>92.030945230279499</v>
      </c>
      <c r="AJ1787">
        <v>86.190632738846801</v>
      </c>
      <c r="AK1787">
        <v>31.241627559071699</v>
      </c>
      <c r="AL1787">
        <v>80.942795726962501</v>
      </c>
      <c r="AM1787">
        <v>89.400385763610799</v>
      </c>
      <c r="AN1787">
        <v>1.00000001382954</v>
      </c>
    </row>
    <row r="1788" spans="1:40" x14ac:dyDescent="0.25">
      <c r="A1788" t="str">
        <f>"20190312172651255"</f>
        <v>20190312172651255</v>
      </c>
      <c r="B1788" t="str">
        <f>"1552382811250376"</f>
        <v>1552382811250376</v>
      </c>
      <c r="C1788" t="s">
        <v>40</v>
      </c>
      <c r="D1788">
        <v>3.2201059999999999</v>
      </c>
      <c r="E1788">
        <v>0.52320119999999903</v>
      </c>
      <c r="F1788" t="s">
        <v>48</v>
      </c>
      <c r="G1788">
        <v>-368.89249999999998</v>
      </c>
      <c r="H1788" s="1">
        <v>3.1953670000000001E-6</v>
      </c>
      <c r="I1788">
        <v>286.25170000000003</v>
      </c>
      <c r="J1788">
        <v>-337.5684</v>
      </c>
      <c r="K1788">
        <v>1.1072470000000001</v>
      </c>
      <c r="L1788">
        <v>284.38409999999999</v>
      </c>
      <c r="M1788">
        <v>-0.99994470000000002</v>
      </c>
      <c r="N1788">
        <v>0</v>
      </c>
      <c r="O1788">
        <v>-7.8973240000000007E-3</v>
      </c>
      <c r="P1788">
        <v>-0.98861100000000002</v>
      </c>
      <c r="Q1788">
        <v>0.1504896</v>
      </c>
      <c r="R1788">
        <v>1.250262E-3</v>
      </c>
      <c r="S1788">
        <v>-3.050659</v>
      </c>
      <c r="T1788">
        <v>-0.106194899999999</v>
      </c>
      <c r="U1788">
        <v>0.17877199999999999</v>
      </c>
      <c r="V1788">
        <v>9.5245030000000001E-3</v>
      </c>
      <c r="W1788">
        <v>0.15732399999999999</v>
      </c>
      <c r="X1788">
        <v>0.98750110000000002</v>
      </c>
      <c r="Y1788">
        <v>6.6338079999999994E-2</v>
      </c>
      <c r="Z1788">
        <v>1.4279029999999999E-3</v>
      </c>
      <c r="AA1788">
        <v>0.99779620000000002</v>
      </c>
      <c r="AB1788">
        <v>49</v>
      </c>
      <c r="AC1788">
        <v>-31.324099999999898</v>
      </c>
      <c r="AD1788">
        <v>-1.10724380463299</v>
      </c>
      <c r="AE1788">
        <v>1.8676000000000299</v>
      </c>
      <c r="AF1788">
        <v>2.1122943687545601</v>
      </c>
      <c r="AG1788">
        <v>-1.10724380463299</v>
      </c>
      <c r="AH1788">
        <v>31.269441585376899</v>
      </c>
      <c r="AI1788">
        <v>92.023375764905296</v>
      </c>
      <c r="AJ1788">
        <v>86.135461296798795</v>
      </c>
      <c r="AK1788">
        <v>31.3602575468453</v>
      </c>
      <c r="AL1788">
        <v>80.948394315192999</v>
      </c>
      <c r="AM1788">
        <v>89.447396157081201</v>
      </c>
      <c r="AN1788">
        <v>0.99999998981730298</v>
      </c>
    </row>
    <row r="1789" spans="1:40" x14ac:dyDescent="0.25">
      <c r="A1789" t="str">
        <f>"20190312172651277"</f>
        <v>20190312172651277</v>
      </c>
      <c r="B1789" t="str">
        <f>"1552382811270875"</f>
        <v>1552382811270875</v>
      </c>
      <c r="C1789" t="s">
        <v>40</v>
      </c>
      <c r="D1789">
        <v>3.2071339999999999</v>
      </c>
      <c r="E1789">
        <v>0.52344089999999999</v>
      </c>
      <c r="F1789" t="s">
        <v>48</v>
      </c>
      <c r="G1789">
        <v>-369.33229999999998</v>
      </c>
      <c r="H1789" s="1">
        <v>3.4293919999999999E-6</v>
      </c>
      <c r="I1789">
        <v>286.2672</v>
      </c>
      <c r="J1789">
        <v>-338.06939999999997</v>
      </c>
      <c r="K1789">
        <v>1.1073059999999999</v>
      </c>
      <c r="L1789">
        <v>284.38069999999999</v>
      </c>
      <c r="M1789">
        <v>-0.99995069999999997</v>
      </c>
      <c r="N1789">
        <v>0</v>
      </c>
      <c r="O1789">
        <v>-6.9583819999999999E-3</v>
      </c>
      <c r="P1789">
        <v>-0.98860060000000005</v>
      </c>
      <c r="Q1789">
        <v>0.15055689999999999</v>
      </c>
      <c r="R1789">
        <v>1.399677E-3</v>
      </c>
      <c r="S1789">
        <v>-3.0505070000000001</v>
      </c>
      <c r="T1789">
        <v>-0.1063364</v>
      </c>
      <c r="U1789">
        <v>0.18084720000000001</v>
      </c>
      <c r="V1789">
        <v>8.7570919999999993E-3</v>
      </c>
      <c r="W1789">
        <v>0.15755050000000001</v>
      </c>
      <c r="X1789">
        <v>0.98747209999999996</v>
      </c>
      <c r="Y1789">
        <v>6.6081109999999998E-2</v>
      </c>
      <c r="Z1789">
        <v>1.392679E-3</v>
      </c>
      <c r="AA1789">
        <v>0.99781330000000001</v>
      </c>
      <c r="AB1789">
        <v>49</v>
      </c>
      <c r="AC1789">
        <v>-31.262899999999998</v>
      </c>
      <c r="AD1789">
        <v>-1.107302570608</v>
      </c>
      <c r="AE1789">
        <v>1.8865000000000101</v>
      </c>
      <c r="AF1789">
        <v>2.10137235646881</v>
      </c>
      <c r="AG1789">
        <v>-1.107302570608</v>
      </c>
      <c r="AH1789">
        <v>31.210004566745202</v>
      </c>
      <c r="AI1789">
        <v>92.027363513637695</v>
      </c>
      <c r="AJ1789">
        <v>86.148083781771604</v>
      </c>
      <c r="AK1789">
        <v>31.300259900193499</v>
      </c>
      <c r="AL1789">
        <v>80.935253004899394</v>
      </c>
      <c r="AM1789">
        <v>89.491903356228804</v>
      </c>
      <c r="AN1789">
        <v>0.99999999749447799</v>
      </c>
    </row>
    <row r="1790" spans="1:40" x14ac:dyDescent="0.25">
      <c r="A1790" t="str">
        <f>"20190312172651300"</f>
        <v>20190312172651300</v>
      </c>
      <c r="B1790" t="str">
        <f>"1552382811290392"</f>
        <v>1552382811290392</v>
      </c>
      <c r="C1790" t="s">
        <v>40</v>
      </c>
      <c r="D1790">
        <v>3.180393</v>
      </c>
      <c r="E1790">
        <v>0.52369149999999998</v>
      </c>
      <c r="F1790" t="s">
        <v>48</v>
      </c>
      <c r="G1790">
        <v>-369.88589999999999</v>
      </c>
      <c r="H1790" s="1">
        <v>3.7240109999999999E-6</v>
      </c>
      <c r="I1790">
        <v>286.29270000000002</v>
      </c>
      <c r="J1790">
        <v>-338.55470000000003</v>
      </c>
      <c r="K1790">
        <v>1.1073519999999999</v>
      </c>
      <c r="L1790">
        <v>284.37790000000001</v>
      </c>
      <c r="M1790">
        <v>-0.9999557</v>
      </c>
      <c r="N1790">
        <v>0</v>
      </c>
      <c r="O1790">
        <v>-6.0124009999999997E-3</v>
      </c>
      <c r="P1790">
        <v>-0.98860289999999995</v>
      </c>
      <c r="Q1790">
        <v>0.1505388</v>
      </c>
      <c r="R1790">
        <v>1.7084279999999999E-3</v>
      </c>
      <c r="S1790">
        <v>-3.0505070000000001</v>
      </c>
      <c r="T1790">
        <v>-0.1061661</v>
      </c>
      <c r="U1790">
        <v>0.18331910000000001</v>
      </c>
      <c r="V1790">
        <v>8.1351080000000003E-3</v>
      </c>
      <c r="W1790">
        <v>0.15770020000000001</v>
      </c>
      <c r="X1790">
        <v>0.98745349999999998</v>
      </c>
      <c r="Y1790">
        <v>6.5943669999999996E-2</v>
      </c>
      <c r="Z1790">
        <v>1.3551419999999999E-3</v>
      </c>
      <c r="AA1790">
        <v>0.9978224</v>
      </c>
      <c r="AB1790">
        <v>49</v>
      </c>
      <c r="AC1790">
        <v>-31.3311999999999</v>
      </c>
      <c r="AD1790">
        <v>-1.1073482759890001</v>
      </c>
      <c r="AE1790">
        <v>1.91480000000001</v>
      </c>
      <c r="AF1790">
        <v>2.10053195270411</v>
      </c>
      <c r="AG1790">
        <v>-1.1073482759890001</v>
      </c>
      <c r="AH1790">
        <v>31.280192584123999</v>
      </c>
      <c r="AI1790">
        <v>92.022925701025599</v>
      </c>
      <c r="AJ1790">
        <v>86.158233417001199</v>
      </c>
      <c r="AK1790">
        <v>31.3701913094032</v>
      </c>
      <c r="AL1790">
        <v>80.926567029651594</v>
      </c>
      <c r="AM1790">
        <v>89.527981004235201</v>
      </c>
      <c r="AN1790">
        <v>0.99999997386223005</v>
      </c>
    </row>
    <row r="1791" spans="1:40" x14ac:dyDescent="0.25">
      <c r="A1791" t="str">
        <f>"20190312172651323"</f>
        <v>20190312172651323</v>
      </c>
      <c r="B1791" t="str">
        <f>"1552382811310889"</f>
        <v>1552382811310889</v>
      </c>
      <c r="C1791" t="s">
        <v>40</v>
      </c>
      <c r="D1791">
        <v>3.1437849999999998</v>
      </c>
      <c r="E1791">
        <v>0.52396089999999995</v>
      </c>
      <c r="F1791" t="s">
        <v>48</v>
      </c>
      <c r="G1791">
        <v>-370.24340000000001</v>
      </c>
      <c r="H1791" s="1">
        <v>-1.4072770000000001E-6</v>
      </c>
      <c r="I1791">
        <v>286.3098</v>
      </c>
      <c r="J1791">
        <v>-339.0598</v>
      </c>
      <c r="K1791">
        <v>1.1073999999999999</v>
      </c>
      <c r="L1791">
        <v>284.37549999999999</v>
      </c>
      <c r="M1791">
        <v>-0.99995970000000001</v>
      </c>
      <c r="N1791">
        <v>0</v>
      </c>
      <c r="O1791">
        <v>-4.9989250000000004E-3</v>
      </c>
      <c r="P1791">
        <v>-0.98875480000000004</v>
      </c>
      <c r="Q1791">
        <v>0.14953820000000001</v>
      </c>
      <c r="R1791">
        <v>1.4889E-3</v>
      </c>
      <c r="S1791">
        <v>-3.0505680000000002</v>
      </c>
      <c r="T1791">
        <v>-0.1066015</v>
      </c>
      <c r="U1791">
        <v>0.1859741</v>
      </c>
      <c r="V1791">
        <v>6.9125050000000002E-3</v>
      </c>
      <c r="W1791">
        <v>0.15688840000000001</v>
      </c>
      <c r="X1791">
        <v>0.98759220000000003</v>
      </c>
      <c r="Y1791">
        <v>6.5796789999999994E-2</v>
      </c>
      <c r="Z1791">
        <v>1.3226939999999999E-3</v>
      </c>
      <c r="AA1791">
        <v>0.99783219999999995</v>
      </c>
      <c r="AB1791">
        <v>49</v>
      </c>
      <c r="AC1791">
        <v>-31.183599999999998</v>
      </c>
      <c r="AD1791">
        <v>-1.107401407277</v>
      </c>
      <c r="AE1791">
        <v>1.9342999999999999</v>
      </c>
      <c r="AF1791">
        <v>2.0875420844253698</v>
      </c>
      <c r="AG1791">
        <v>-1.107401407277</v>
      </c>
      <c r="AH1791">
        <v>31.134426796065899</v>
      </c>
      <c r="AI1791">
        <v>92.032500133680003</v>
      </c>
      <c r="AJ1791">
        <v>86.164098422267699</v>
      </c>
      <c r="AK1791">
        <v>31.223976392360299</v>
      </c>
      <c r="AL1791">
        <v>80.973666766953798</v>
      </c>
      <c r="AM1791">
        <v>89.598973245419799</v>
      </c>
      <c r="AN1791">
        <v>1.0000000531403801</v>
      </c>
    </row>
    <row r="1792" spans="1:40" x14ac:dyDescent="0.25">
      <c r="A1792" t="str">
        <f>"20190312172651346"</f>
        <v>20190312172651346</v>
      </c>
      <c r="B1792" t="str">
        <f>"1552382811341144"</f>
        <v>1552382811341144</v>
      </c>
      <c r="C1792" t="s">
        <v>40</v>
      </c>
      <c r="D1792">
        <v>3.1473849999999999</v>
      </c>
      <c r="E1792">
        <v>0.52433229999999997</v>
      </c>
      <c r="F1792" t="s">
        <v>48</v>
      </c>
      <c r="G1792">
        <v>-369.85120000000001</v>
      </c>
      <c r="H1792" s="1">
        <v>3.7055229999999999E-6</v>
      </c>
      <c r="I1792">
        <v>286.27</v>
      </c>
      <c r="J1792">
        <v>-339.548</v>
      </c>
      <c r="K1792">
        <v>1.1074310000000001</v>
      </c>
      <c r="L1792">
        <v>284.37360000000001</v>
      </c>
      <c r="M1792">
        <v>-0.99996280000000004</v>
      </c>
      <c r="N1792">
        <v>0</v>
      </c>
      <c r="O1792">
        <v>-4.004301E-3</v>
      </c>
      <c r="P1792">
        <v>-0.98894020000000005</v>
      </c>
      <c r="Q1792">
        <v>0.14831329999999901</v>
      </c>
      <c r="R1792">
        <v>7.2978619999999905E-4</v>
      </c>
      <c r="S1792">
        <v>-3.0504150000000001</v>
      </c>
      <c r="T1792">
        <v>-0.1097065</v>
      </c>
      <c r="U1792">
        <v>0.18768309999999999</v>
      </c>
      <c r="V1792">
        <v>5.1674190000000004E-3</v>
      </c>
      <c r="W1792">
        <v>0.15584890000000001</v>
      </c>
      <c r="X1792">
        <v>0.98776739999999996</v>
      </c>
      <c r="Y1792">
        <v>6.5362649999999994E-2</v>
      </c>
      <c r="Z1792">
        <v>1.317716E-3</v>
      </c>
      <c r="AA1792">
        <v>0.99786070000000004</v>
      </c>
      <c r="AB1792">
        <v>49</v>
      </c>
      <c r="AC1792">
        <v>-30.3032</v>
      </c>
      <c r="AD1792">
        <v>-1.1074272944769901</v>
      </c>
      <c r="AE1792">
        <v>1.8963999999999701</v>
      </c>
      <c r="AF1792">
        <v>2.0150508092594399</v>
      </c>
      <c r="AG1792">
        <v>-1.1074272944769901</v>
      </c>
      <c r="AH1792">
        <v>30.255114093915498</v>
      </c>
      <c r="AI1792">
        <v>92.091630561585106</v>
      </c>
      <c r="AJ1792">
        <v>86.189614479152098</v>
      </c>
      <c r="AK1792">
        <v>30.342359068014002</v>
      </c>
      <c r="AL1792">
        <v>81.033967105719995</v>
      </c>
      <c r="AM1792">
        <v>89.700264861148597</v>
      </c>
      <c r="AN1792">
        <v>1.00000000917654</v>
      </c>
    </row>
    <row r="1793" spans="1:40" x14ac:dyDescent="0.25">
      <c r="A1793" t="str">
        <f>"20190312172651367"</f>
        <v>20190312172651367</v>
      </c>
      <c r="B1793" t="str">
        <f>"1552382811360667"</f>
        <v>1552382811360667</v>
      </c>
      <c r="C1793" t="s">
        <v>40</v>
      </c>
      <c r="D1793">
        <v>3.1242220000000001</v>
      </c>
      <c r="E1793">
        <v>0.52458280000000002</v>
      </c>
      <c r="F1793" t="s">
        <v>48</v>
      </c>
      <c r="G1793">
        <v>-369.30579999999998</v>
      </c>
      <c r="H1793" s="1">
        <v>3.4152890000000001E-6</v>
      </c>
      <c r="I1793">
        <v>286.21609999999998</v>
      </c>
      <c r="J1793">
        <v>-340.04079999999999</v>
      </c>
      <c r="K1793">
        <v>1.10745</v>
      </c>
      <c r="L1793">
        <v>284.37220000000002</v>
      </c>
      <c r="M1793">
        <v>-0.99996499999999999</v>
      </c>
      <c r="N1793">
        <v>0</v>
      </c>
      <c r="O1793">
        <v>-2.9965539999999998E-3</v>
      </c>
      <c r="P1793">
        <v>-0.98899749999999997</v>
      </c>
      <c r="Q1793">
        <v>0.14792729999999901</v>
      </c>
      <c r="R1793">
        <v>1.260883E-3</v>
      </c>
      <c r="S1793">
        <v>-3.050446</v>
      </c>
      <c r="T1793">
        <v>-0.11352130000000001</v>
      </c>
      <c r="U1793">
        <v>0.18887329999999999</v>
      </c>
      <c r="V1793">
        <v>4.7023400000000002E-3</v>
      </c>
      <c r="W1793">
        <v>0.15563879999999999</v>
      </c>
      <c r="X1793">
        <v>0.98780290000000004</v>
      </c>
      <c r="Y1793">
        <v>6.4742229999999998E-2</v>
      </c>
      <c r="Z1793">
        <v>1.31449E-3</v>
      </c>
      <c r="AA1793">
        <v>0.99790109999999999</v>
      </c>
      <c r="AB1793">
        <v>49</v>
      </c>
      <c r="AC1793">
        <v>-29.264999999999901</v>
      </c>
      <c r="AD1793">
        <v>-1.107446584711</v>
      </c>
      <c r="AE1793">
        <v>1.8438999999999599</v>
      </c>
      <c r="AF1793">
        <v>1.9288373413454301</v>
      </c>
      <c r="AG1793">
        <v>-1.107446584711</v>
      </c>
      <c r="AH1793">
        <v>29.217668300051798</v>
      </c>
      <c r="AI1793">
        <v>92.1659509595966</v>
      </c>
      <c r="AJ1793">
        <v>86.223034936069894</v>
      </c>
      <c r="AK1793">
        <v>29.302201151435799</v>
      </c>
      <c r="AL1793">
        <v>81.046154102264893</v>
      </c>
      <c r="AM1793">
        <v>89.727251053137195</v>
      </c>
      <c r="AN1793">
        <v>1.0000000586576601</v>
      </c>
    </row>
    <row r="1794" spans="1:40" x14ac:dyDescent="0.25">
      <c r="A1794" t="str">
        <f>"20190312172651389"</f>
        <v>20190312172651389</v>
      </c>
      <c r="B1794" t="str">
        <f>"1552382811380184"</f>
        <v>1552382811380184</v>
      </c>
      <c r="C1794" t="s">
        <v>40</v>
      </c>
      <c r="D1794">
        <v>3.1598619999999999</v>
      </c>
      <c r="E1794">
        <v>0.52476350000000005</v>
      </c>
      <c r="F1794" t="s">
        <v>48</v>
      </c>
      <c r="G1794">
        <v>-369.48289999999997</v>
      </c>
      <c r="H1794" s="1">
        <v>3.5095320000000001E-6</v>
      </c>
      <c r="I1794">
        <v>286.23259999999999</v>
      </c>
      <c r="J1794">
        <v>-340.51909999999998</v>
      </c>
      <c r="K1794">
        <v>1.107456</v>
      </c>
      <c r="L1794">
        <v>284.37119999999999</v>
      </c>
      <c r="M1794">
        <v>-0.99996629999999997</v>
      </c>
      <c r="N1794">
        <v>0</v>
      </c>
      <c r="O1794">
        <v>-2.0236820000000002E-3</v>
      </c>
      <c r="P1794">
        <v>-0.98904619999999999</v>
      </c>
      <c r="Q1794">
        <v>0.147599799999999</v>
      </c>
      <c r="R1794">
        <v>1.529624E-3</v>
      </c>
      <c r="S1794">
        <v>-3.050262</v>
      </c>
      <c r="T1794">
        <v>-0.1147339</v>
      </c>
      <c r="U1794">
        <v>0.192749</v>
      </c>
      <c r="V1794">
        <v>4.0115130000000004E-3</v>
      </c>
      <c r="W1794">
        <v>0.1554721</v>
      </c>
      <c r="X1794">
        <v>0.98783209999999999</v>
      </c>
      <c r="Y1794">
        <v>6.5037540000000005E-2</v>
      </c>
      <c r="Z1794">
        <v>1.297547E-3</v>
      </c>
      <c r="AA1794">
        <v>0.99788189999999999</v>
      </c>
      <c r="AB1794">
        <v>49</v>
      </c>
      <c r="AC1794">
        <v>-28.9637999999999</v>
      </c>
      <c r="AD1794">
        <v>-1.1074524904680001</v>
      </c>
      <c r="AE1794">
        <v>1.8613999999999999</v>
      </c>
      <c r="AF1794">
        <v>1.9172201705527001</v>
      </c>
      <c r="AG1794">
        <v>-1.1074524904680001</v>
      </c>
      <c r="AH1794">
        <v>28.917870457324401</v>
      </c>
      <c r="AI1794">
        <v>92.188355075319507</v>
      </c>
      <c r="AJ1794">
        <v>86.206909502876002</v>
      </c>
      <c r="AK1794">
        <v>29.0025070638318</v>
      </c>
      <c r="AL1794">
        <v>81.055822134106904</v>
      </c>
      <c r="AM1794">
        <v>89.767327361684707</v>
      </c>
      <c r="AN1794">
        <v>0.99999996195268304</v>
      </c>
    </row>
    <row r="1795" spans="1:40" x14ac:dyDescent="0.25">
      <c r="A1795" t="str">
        <f>"20190312172651411"</f>
        <v>20190312172651411</v>
      </c>
      <c r="B1795" t="str">
        <f>"1552382811400683"</f>
        <v>1552382811400683</v>
      </c>
      <c r="C1795" t="s">
        <v>40</v>
      </c>
      <c r="D1795">
        <v>3.132647</v>
      </c>
      <c r="E1795">
        <v>0.52492359999999905</v>
      </c>
      <c r="F1795" t="s">
        <v>48</v>
      </c>
      <c r="G1795">
        <v>-369.70569999999998</v>
      </c>
      <c r="H1795" s="1">
        <v>3.6281340000000001E-6</v>
      </c>
      <c r="I1795">
        <v>286.2337</v>
      </c>
      <c r="J1795">
        <v>-341.01029999999997</v>
      </c>
      <c r="K1795">
        <v>1.107453</v>
      </c>
      <c r="L1795">
        <v>284.37079999999997</v>
      </c>
      <c r="M1795">
        <v>-0.99996649999999998</v>
      </c>
      <c r="N1795">
        <v>0</v>
      </c>
      <c r="O1795">
        <v>-1.0309920000000001E-3</v>
      </c>
      <c r="P1795">
        <v>-0.98907420000000001</v>
      </c>
      <c r="Q1795">
        <v>0.1474077</v>
      </c>
      <c r="R1795">
        <v>1.7654159999999999E-3</v>
      </c>
      <c r="S1795">
        <v>-3.0502009999999999</v>
      </c>
      <c r="T1795">
        <v>-0.11573609999999999</v>
      </c>
      <c r="U1795">
        <v>0.19464110000000001</v>
      </c>
      <c r="V1795">
        <v>3.2691650000000001E-3</v>
      </c>
      <c r="W1795">
        <v>0.15543299999999999</v>
      </c>
      <c r="X1795">
        <v>0.98784099999999997</v>
      </c>
      <c r="Y1795">
        <v>6.4664830000000006E-2</v>
      </c>
      <c r="Z1795">
        <v>1.2641950000000001E-3</v>
      </c>
      <c r="AA1795">
        <v>0.99790630000000002</v>
      </c>
      <c r="AB1795">
        <v>49</v>
      </c>
      <c r="AC1795">
        <v>-28.695399999999999</v>
      </c>
      <c r="AD1795">
        <v>-1.1074493718659999</v>
      </c>
      <c r="AE1795">
        <v>1.86290000000002</v>
      </c>
      <c r="AF1795">
        <v>1.88968195645446</v>
      </c>
      <c r="AG1795">
        <v>-1.1074493718659999</v>
      </c>
      <c r="AH1795">
        <v>28.6509692301398</v>
      </c>
      <c r="AI1795">
        <v>92.208764534348603</v>
      </c>
      <c r="AJ1795">
        <v>86.226507653232105</v>
      </c>
      <c r="AK1795">
        <v>28.734567681352299</v>
      </c>
      <c r="AL1795">
        <v>81.058090068957398</v>
      </c>
      <c r="AM1795">
        <v>89.810385807814498</v>
      </c>
      <c r="AN1795">
        <v>0.99999997310489797</v>
      </c>
    </row>
    <row r="1796" spans="1:40" x14ac:dyDescent="0.25">
      <c r="A1796" t="str">
        <f>"20190312172651433"</f>
        <v>20190312172651433</v>
      </c>
      <c r="B1796" t="str">
        <f>"1552382811430939"</f>
        <v>1552382811430939</v>
      </c>
      <c r="C1796" t="s">
        <v>40</v>
      </c>
      <c r="D1796">
        <v>3.1569419999999999</v>
      </c>
      <c r="E1796">
        <v>0.52500519999999995</v>
      </c>
      <c r="F1796" t="s">
        <v>48</v>
      </c>
      <c r="G1796">
        <v>-370.1431</v>
      </c>
      <c r="H1796" s="1">
        <v>-1.4606240000000001E-6</v>
      </c>
      <c r="I1796">
        <v>286.24740000000003</v>
      </c>
      <c r="J1796">
        <v>-341.49340000000001</v>
      </c>
      <c r="K1796">
        <v>1.107442</v>
      </c>
      <c r="L1796">
        <v>284.37079999999997</v>
      </c>
      <c r="M1796">
        <v>-0.99996589999999996</v>
      </c>
      <c r="N1796">
        <v>0</v>
      </c>
      <c r="O1796" s="1">
        <v>-5.8770570000000001E-5</v>
      </c>
      <c r="P1796">
        <v>-0.98915350000000002</v>
      </c>
      <c r="Q1796">
        <v>0.14686270000000001</v>
      </c>
      <c r="R1796">
        <v>2.6201280000000002E-3</v>
      </c>
      <c r="S1796">
        <v>-3.0500790000000002</v>
      </c>
      <c r="T1796">
        <v>-0.1159456</v>
      </c>
      <c r="U1796">
        <v>0.19647220000000001</v>
      </c>
      <c r="V1796">
        <v>3.16548E-3</v>
      </c>
      <c r="W1796">
        <v>0.15502270000000001</v>
      </c>
      <c r="X1796">
        <v>0.9879059</v>
      </c>
      <c r="Y1796">
        <v>6.4294560000000001E-2</v>
      </c>
      <c r="Z1796">
        <v>1.2225719999999999E-3</v>
      </c>
      <c r="AA1796">
        <v>0.99793019999999999</v>
      </c>
      <c r="AB1796">
        <v>49</v>
      </c>
      <c r="AC1796">
        <v>-28.649699999999999</v>
      </c>
      <c r="AD1796">
        <v>-1.107443460624</v>
      </c>
      <c r="AE1796">
        <v>1.87660000000005</v>
      </c>
      <c r="AF1796">
        <v>1.8754934601175699</v>
      </c>
      <c r="AG1796">
        <v>-1.107443460624</v>
      </c>
      <c r="AH1796">
        <v>28.607028211540001</v>
      </c>
      <c r="AI1796">
        <v>92.212199188511093</v>
      </c>
      <c r="AJ1796">
        <v>86.249023257418401</v>
      </c>
      <c r="AK1796">
        <v>28.6898234542018</v>
      </c>
      <c r="AL1796">
        <v>81.081887781616103</v>
      </c>
      <c r="AM1796">
        <v>89.816411640595902</v>
      </c>
      <c r="AN1796">
        <v>1.0000000625168599</v>
      </c>
    </row>
    <row r="1797" spans="1:40" x14ac:dyDescent="0.25">
      <c r="A1797" t="str">
        <f>"20190312172651456"</f>
        <v>20190312172651456</v>
      </c>
      <c r="B1797" t="str">
        <f>"1552382811450456"</f>
        <v>1552382811450456</v>
      </c>
      <c r="C1797" t="s">
        <v>40</v>
      </c>
      <c r="D1797">
        <v>3.110023</v>
      </c>
      <c r="E1797">
        <v>0.52477259999999903</v>
      </c>
      <c r="F1797" t="s">
        <v>48</v>
      </c>
      <c r="G1797">
        <v>-370.3895</v>
      </c>
      <c r="H1797" s="1">
        <v>-1.329509E-6</v>
      </c>
      <c r="I1797">
        <v>286.26679999999999</v>
      </c>
      <c r="J1797">
        <v>-341.98930000000001</v>
      </c>
      <c r="K1797">
        <v>1.1074269999999999</v>
      </c>
      <c r="L1797">
        <v>284.37130000000002</v>
      </c>
      <c r="M1797">
        <v>-0.99996439999999998</v>
      </c>
      <c r="N1797">
        <v>0</v>
      </c>
      <c r="O1797">
        <v>9.3623899999999995E-4</v>
      </c>
      <c r="P1797">
        <v>-0.98919230000000002</v>
      </c>
      <c r="Q1797">
        <v>0.1465852</v>
      </c>
      <c r="R1797">
        <v>3.4044209999999999E-3</v>
      </c>
      <c r="S1797">
        <v>-3.0497130000000001</v>
      </c>
      <c r="T1797">
        <v>-0.1168802</v>
      </c>
      <c r="U1797">
        <v>0.2001038</v>
      </c>
      <c r="V1797">
        <v>2.9693390000000001E-3</v>
      </c>
      <c r="W1797">
        <v>0.1548715</v>
      </c>
      <c r="X1797">
        <v>0.98793019999999998</v>
      </c>
      <c r="Y1797">
        <v>6.4492430000000003E-2</v>
      </c>
      <c r="Z1797">
        <v>1.1982259999999999E-3</v>
      </c>
      <c r="AA1797">
        <v>0.99791750000000001</v>
      </c>
      <c r="AB1797">
        <v>49</v>
      </c>
      <c r="AC1797">
        <v>-28.400199999999899</v>
      </c>
      <c r="AD1797">
        <v>-1.1074283295089999</v>
      </c>
      <c r="AE1797">
        <v>1.89549999999997</v>
      </c>
      <c r="AF1797">
        <v>1.86608404857316</v>
      </c>
      <c r="AG1797">
        <v>-1.1074283295089999</v>
      </c>
      <c r="AH1797">
        <v>28.35903337233</v>
      </c>
      <c r="AI1797">
        <v>92.231459345070306</v>
      </c>
      <c r="AJ1797">
        <v>86.235244620241005</v>
      </c>
      <c r="AK1797">
        <v>28.441931034904499</v>
      </c>
      <c r="AL1797">
        <v>81.090656599784495</v>
      </c>
      <c r="AM1797">
        <v>89.827791396252593</v>
      </c>
      <c r="AN1797">
        <v>1.0000000392791899</v>
      </c>
    </row>
    <row r="1798" spans="1:40" x14ac:dyDescent="0.25">
      <c r="A1798" t="str">
        <f>"20190312172651478"</f>
        <v>20190312172651478</v>
      </c>
      <c r="B1798" t="str">
        <f>"1552382811470955"</f>
        <v>1552382811470955</v>
      </c>
      <c r="C1798" t="s">
        <v>40</v>
      </c>
      <c r="D1798">
        <v>3.1153240000000002</v>
      </c>
      <c r="E1798">
        <v>0.49406899999999998</v>
      </c>
      <c r="F1798" t="s">
        <v>48</v>
      </c>
      <c r="G1798">
        <v>-370.87079999999997</v>
      </c>
      <c r="H1798" s="1">
        <v>-1.0733899999999999E-6</v>
      </c>
      <c r="I1798">
        <v>286.27339999999998</v>
      </c>
      <c r="J1798">
        <v>-342.48970000000003</v>
      </c>
      <c r="K1798">
        <v>1.107418</v>
      </c>
      <c r="L1798">
        <v>284.3723</v>
      </c>
      <c r="M1798">
        <v>-0.99996209999999996</v>
      </c>
      <c r="N1798">
        <v>0</v>
      </c>
      <c r="O1798">
        <v>1.9403790000000001E-3</v>
      </c>
      <c r="P1798">
        <v>-0.98923340000000004</v>
      </c>
      <c r="Q1798">
        <v>0.14628559999999999</v>
      </c>
      <c r="R1798">
        <v>4.2665139999999999E-3</v>
      </c>
      <c r="S1798">
        <v>-3.0494080000000001</v>
      </c>
      <c r="T1798">
        <v>-0.1169258</v>
      </c>
      <c r="U1798">
        <v>0.20083619999999999</v>
      </c>
      <c r="V1798">
        <v>2.8412730000000001E-3</v>
      </c>
      <c r="W1798">
        <v>0.154687299999999</v>
      </c>
      <c r="X1798">
        <v>0.98795940000000004</v>
      </c>
      <c r="Y1798">
        <v>6.3736769999999998E-2</v>
      </c>
      <c r="Z1798">
        <v>1.1458900000000001E-3</v>
      </c>
      <c r="AA1798">
        <v>0.99796609999999997</v>
      </c>
      <c r="AB1798">
        <v>49</v>
      </c>
      <c r="AC1798">
        <v>-28.381099999999901</v>
      </c>
      <c r="AD1798">
        <v>-1.10741907339</v>
      </c>
      <c r="AE1798">
        <v>1.90109999999998</v>
      </c>
      <c r="AF1798">
        <v>1.8432305109120599</v>
      </c>
      <c r="AG1798">
        <v>-1.10741907339</v>
      </c>
      <c r="AH1798">
        <v>28.3417771321466</v>
      </c>
      <c r="AI1798">
        <v>92.232909321404804</v>
      </c>
      <c r="AJ1798">
        <v>86.278962744345506</v>
      </c>
      <c r="AK1798">
        <v>28.423233572708298</v>
      </c>
      <c r="AL1798">
        <v>81.1013389085591</v>
      </c>
      <c r="AM1798">
        <v>89.835223489409401</v>
      </c>
      <c r="AN1798">
        <v>1.0000000048309501</v>
      </c>
    </row>
    <row r="1799" spans="1:40" x14ac:dyDescent="0.25">
      <c r="A1799" t="str">
        <f>"20190312172651501"</f>
        <v>20190312172651501</v>
      </c>
      <c r="B1799" t="str">
        <f>"1552382811490472"</f>
        <v>1552382811490472</v>
      </c>
      <c r="C1799" t="s">
        <v>40</v>
      </c>
      <c r="D1799">
        <v>3.126503</v>
      </c>
      <c r="E1799">
        <v>0.4929075</v>
      </c>
      <c r="F1799" t="s">
        <v>48</v>
      </c>
      <c r="G1799">
        <v>-450.9563</v>
      </c>
      <c r="H1799" s="1">
        <v>-9.5430029999999994E-7</v>
      </c>
      <c r="I1799">
        <v>282.93270000000001</v>
      </c>
      <c r="J1799">
        <v>-342.99310000000003</v>
      </c>
      <c r="K1799">
        <v>1.1074059999999999</v>
      </c>
      <c r="L1799">
        <v>284.37380000000002</v>
      </c>
      <c r="M1799">
        <v>-0.99995849999999997</v>
      </c>
      <c r="N1799">
        <v>0</v>
      </c>
      <c r="O1799">
        <v>2.9532870000000002E-3</v>
      </c>
      <c r="P1799">
        <v>-0.9891723</v>
      </c>
      <c r="Q1799">
        <v>0.1466556</v>
      </c>
      <c r="R1799">
        <v>5.5166420000000004E-3</v>
      </c>
      <c r="S1799">
        <v>-3.0373839999999999</v>
      </c>
      <c r="T1799">
        <v>-3.1010989999999999E-2</v>
      </c>
      <c r="U1799">
        <v>-4.0313719999999997E-2</v>
      </c>
      <c r="V1799">
        <v>3.09429E-3</v>
      </c>
      <c r="W1799">
        <v>0.1551631</v>
      </c>
      <c r="X1799">
        <v>0.98788399999999998</v>
      </c>
      <c r="Y1799">
        <v>-1.622343E-2</v>
      </c>
      <c r="Z1799">
        <v>-1.129644E-4</v>
      </c>
      <c r="AA1799">
        <v>0.99986839999999999</v>
      </c>
      <c r="AB1799">
        <v>49</v>
      </c>
      <c r="AC1799">
        <v>-107.96319999999901</v>
      </c>
      <c r="AD1799">
        <v>-1.10740695430029</v>
      </c>
      <c r="AE1799">
        <v>-1.4411</v>
      </c>
      <c r="AF1799">
        <v>-1.7597667573976401</v>
      </c>
      <c r="AG1799">
        <v>-1.10740695430029</v>
      </c>
      <c r="AH1799">
        <v>107.947117752349</v>
      </c>
      <c r="AI1799">
        <v>90.587686745733606</v>
      </c>
      <c r="AJ1799">
        <v>90.933959884562199</v>
      </c>
      <c r="AK1799">
        <v>107.967140187385</v>
      </c>
      <c r="AL1799">
        <v>81.073744181234204</v>
      </c>
      <c r="AM1799">
        <v>89.820536441727398</v>
      </c>
      <c r="AN1799">
        <v>0.99999997984410605</v>
      </c>
    </row>
    <row r="1800" spans="1:40" x14ac:dyDescent="0.25">
      <c r="A1800" t="str">
        <f>"20190312172651523"</f>
        <v>20190312172651523</v>
      </c>
      <c r="B1800" t="str">
        <f>"1552382811510968"</f>
        <v>1552382811510968</v>
      </c>
      <c r="C1800" t="s">
        <v>40</v>
      </c>
      <c r="D1800">
        <v>3.0967500000000001</v>
      </c>
      <c r="E1800">
        <v>0.49251909999999999</v>
      </c>
      <c r="F1800" t="s">
        <v>48</v>
      </c>
      <c r="G1800">
        <v>-448.38310000000001</v>
      </c>
      <c r="H1800" s="1">
        <v>3.0041959999999999E-6</v>
      </c>
      <c r="I1800">
        <v>282.7878</v>
      </c>
      <c r="J1800">
        <v>-343.48489999999998</v>
      </c>
      <c r="K1800">
        <v>1.1073949999999999</v>
      </c>
      <c r="L1800">
        <v>284.37580000000003</v>
      </c>
      <c r="M1800">
        <v>-0.99995429999999996</v>
      </c>
      <c r="N1800">
        <v>0</v>
      </c>
      <c r="O1800">
        <v>3.9483390000000004E-3</v>
      </c>
      <c r="P1800">
        <v>-0.98917489999999997</v>
      </c>
      <c r="Q1800">
        <v>0.1466124</v>
      </c>
      <c r="R1800">
        <v>6.1939109999999999E-3</v>
      </c>
      <c r="S1800">
        <v>-3.037811</v>
      </c>
      <c r="T1800">
        <v>-3.192031E-2</v>
      </c>
      <c r="U1800">
        <v>-4.5715329999999998E-2</v>
      </c>
      <c r="V1800">
        <v>2.7906340000000002E-3</v>
      </c>
      <c r="W1800">
        <v>0.15521589999999999</v>
      </c>
      <c r="X1800">
        <v>0.98787670000000005</v>
      </c>
      <c r="Y1800">
        <v>-1.899373E-2</v>
      </c>
      <c r="Z1800">
        <v>-1.4126770000000001E-4</v>
      </c>
      <c r="AA1800">
        <v>0.99981960000000003</v>
      </c>
      <c r="AB1800">
        <v>49</v>
      </c>
      <c r="AC1800">
        <v>-104.8982</v>
      </c>
      <c r="AD1800">
        <v>-1.1073919958039999</v>
      </c>
      <c r="AE1800">
        <v>-1.5880000000000201</v>
      </c>
      <c r="AF1800">
        <v>-2.0019539152072299</v>
      </c>
      <c r="AG1800">
        <v>-1.1073919958039999</v>
      </c>
      <c r="AH1800">
        <v>104.879426312066</v>
      </c>
      <c r="AI1800">
        <v>90.604837169005705</v>
      </c>
      <c r="AJ1800">
        <v>91.093537466555802</v>
      </c>
      <c r="AK1800">
        <v>104.90437645808299</v>
      </c>
      <c r="AL1800">
        <v>81.070682664222304</v>
      </c>
      <c r="AM1800">
        <v>89.838146678569501</v>
      </c>
      <c r="AN1800">
        <v>1.0000000688269</v>
      </c>
    </row>
    <row r="1801" spans="1:40" x14ac:dyDescent="0.25">
      <c r="A1801" t="str">
        <f>"20190312172651557"</f>
        <v>20190312172651557</v>
      </c>
      <c r="B1801" t="str">
        <f>"1552382811550984"</f>
        <v>1552382811550984</v>
      </c>
      <c r="C1801" t="s">
        <v>40</v>
      </c>
      <c r="D1801">
        <v>3.0785979999999999</v>
      </c>
      <c r="E1801">
        <v>0.49242130000000001</v>
      </c>
      <c r="F1801" t="s">
        <v>48</v>
      </c>
      <c r="G1801">
        <v>-441.51670000000001</v>
      </c>
      <c r="H1801" s="1">
        <v>-6.5372169999999897E-7</v>
      </c>
      <c r="I1801">
        <v>282.87810000000002</v>
      </c>
      <c r="J1801">
        <v>-344.2346</v>
      </c>
      <c r="K1801">
        <v>1.1073599999999999</v>
      </c>
      <c r="L1801">
        <v>284.37970000000001</v>
      </c>
      <c r="M1801">
        <v>-0.999946</v>
      </c>
      <c r="N1801">
        <v>0</v>
      </c>
      <c r="O1801">
        <v>5.4832960000000004E-3</v>
      </c>
      <c r="P1801">
        <v>-0.98919840000000003</v>
      </c>
      <c r="Q1801">
        <v>0.14640520000000001</v>
      </c>
      <c r="R1801">
        <v>7.2269550000000002E-3</v>
      </c>
      <c r="S1801">
        <v>-3.038208</v>
      </c>
      <c r="T1801">
        <v>-3.4320469999999999E-2</v>
      </c>
      <c r="U1801">
        <v>-4.6417239999999999E-2</v>
      </c>
      <c r="V1801">
        <v>2.3102280000000001E-3</v>
      </c>
      <c r="W1801">
        <v>0.1551372</v>
      </c>
      <c r="X1801">
        <v>0.98789020000000005</v>
      </c>
      <c r="Y1801">
        <v>-2.0757020000000001E-2</v>
      </c>
      <c r="Z1801">
        <v>-1.7916620000000001E-4</v>
      </c>
      <c r="AA1801">
        <v>0.99978449999999996</v>
      </c>
      <c r="AB1801">
        <v>50</v>
      </c>
      <c r="AC1801">
        <v>-97.2821</v>
      </c>
      <c r="AD1801">
        <v>-1.1073606537217</v>
      </c>
      <c r="AE1801">
        <v>-1.5015999999999901</v>
      </c>
      <c r="AF1801">
        <v>-2.03476117427862</v>
      </c>
      <c r="AG1801">
        <v>-1.1073606537217</v>
      </c>
      <c r="AH1801">
        <v>97.259804190458297</v>
      </c>
      <c r="AI1801">
        <v>90.652175608381896</v>
      </c>
      <c r="AJ1801">
        <v>91.198503576990603</v>
      </c>
      <c r="AK1801">
        <v>97.2873887604147</v>
      </c>
      <c r="AL1801">
        <v>81.075246221624994</v>
      </c>
      <c r="AM1801">
        <v>89.866011351445096</v>
      </c>
      <c r="AN1801">
        <v>0.999999967616645</v>
      </c>
    </row>
    <row r="1802" spans="1:40" x14ac:dyDescent="0.25">
      <c r="A1802" t="str">
        <f>"20190312172651580"</f>
        <v>20190312172651580</v>
      </c>
      <c r="B1802" t="str">
        <f>"1552382811570504"</f>
        <v>1552382811570504</v>
      </c>
      <c r="C1802" t="s">
        <v>40</v>
      </c>
      <c r="D1802">
        <v>3.0523440000000002</v>
      </c>
      <c r="E1802">
        <v>0.49232039999999999</v>
      </c>
      <c r="F1802" t="s">
        <v>49</v>
      </c>
      <c r="G1802">
        <v>-427.14690000000002</v>
      </c>
      <c r="H1802" s="1">
        <v>2.8229530000000001E-6</v>
      </c>
      <c r="I1802">
        <v>283.17410000000001</v>
      </c>
      <c r="J1802">
        <v>-344.74740000000003</v>
      </c>
      <c r="K1802">
        <v>1.1073470000000001</v>
      </c>
      <c r="L1802">
        <v>284.38310000000001</v>
      </c>
      <c r="M1802">
        <v>-0.99993900000000002</v>
      </c>
      <c r="N1802">
        <v>0</v>
      </c>
      <c r="O1802">
        <v>6.5462589999999996E-3</v>
      </c>
      <c r="P1802">
        <v>-0.98925640000000004</v>
      </c>
      <c r="Q1802">
        <v>0.14597760000000001</v>
      </c>
      <c r="R1802">
        <v>7.9125480000000002E-3</v>
      </c>
      <c r="S1802">
        <v>-3.0390929999999998</v>
      </c>
      <c r="T1802">
        <v>-4.0589449999999999E-2</v>
      </c>
      <c r="U1802">
        <v>-4.4189449999999998E-2</v>
      </c>
      <c r="V1802">
        <v>1.9474570000000001E-3</v>
      </c>
      <c r="W1802">
        <v>0.1547858</v>
      </c>
      <c r="X1802">
        <v>0.9879462</v>
      </c>
      <c r="Y1802">
        <v>-2.1081860000000001E-2</v>
      </c>
      <c r="Z1802">
        <v>-2.2819450000000001E-4</v>
      </c>
      <c r="AA1802">
        <v>0.99977769999999999</v>
      </c>
      <c r="AB1802">
        <v>50</v>
      </c>
      <c r="AC1802">
        <v>-82.399499999999904</v>
      </c>
      <c r="AD1802">
        <v>-1.1073441770469901</v>
      </c>
      <c r="AE1802">
        <v>-1.2090000000000001</v>
      </c>
      <c r="AF1802">
        <v>-1.74808827201026</v>
      </c>
      <c r="AG1802">
        <v>-1.1073441770469901</v>
      </c>
      <c r="AH1802">
        <v>82.374945890399104</v>
      </c>
      <c r="AI1802">
        <v>90.769991982263207</v>
      </c>
      <c r="AJ1802">
        <v>91.215697907409904</v>
      </c>
      <c r="AK1802">
        <v>82.400932847749701</v>
      </c>
      <c r="AL1802">
        <v>81.095627015055996</v>
      </c>
      <c r="AM1802">
        <v>89.887057693667799</v>
      </c>
      <c r="AN1802">
        <v>1.0000000652824199</v>
      </c>
    </row>
    <row r="1803" spans="1:40" x14ac:dyDescent="0.25">
      <c r="A1803" t="str">
        <f>"20190312172651601"</f>
        <v>20190312172651601</v>
      </c>
      <c r="B1803" t="str">
        <f>"1552382811591004"</f>
        <v>1552382811591004</v>
      </c>
      <c r="C1803" t="s">
        <v>40</v>
      </c>
      <c r="D1803">
        <v>3.0151050000000001</v>
      </c>
      <c r="E1803">
        <v>0.49223470000000002</v>
      </c>
      <c r="F1803" t="s">
        <v>49</v>
      </c>
      <c r="G1803">
        <v>-422.60230000000001</v>
      </c>
      <c r="H1803" s="1">
        <v>3.6193319999999998E-6</v>
      </c>
      <c r="I1803">
        <v>283.28559999999999</v>
      </c>
      <c r="J1803">
        <v>-345.22039999999998</v>
      </c>
      <c r="K1803">
        <v>1.107324</v>
      </c>
      <c r="L1803">
        <v>284.38670000000002</v>
      </c>
      <c r="M1803">
        <v>-0.99993129999999997</v>
      </c>
      <c r="N1803">
        <v>0</v>
      </c>
      <c r="O1803">
        <v>7.5382740000000002E-3</v>
      </c>
      <c r="P1803">
        <v>-0.9892611</v>
      </c>
      <c r="Q1803">
        <v>0.14591370000000001</v>
      </c>
      <c r="R1803">
        <v>8.4765159999999999E-3</v>
      </c>
      <c r="S1803">
        <v>-3.0393370000000002</v>
      </c>
      <c r="T1803">
        <v>-4.322898E-2</v>
      </c>
      <c r="U1803">
        <v>-4.2846679999999998E-2</v>
      </c>
      <c r="V1803">
        <v>1.5347309999999999E-3</v>
      </c>
      <c r="W1803">
        <v>0.1547839</v>
      </c>
      <c r="X1803">
        <v>0.98794720000000003</v>
      </c>
      <c r="Y1803">
        <v>-2.1630460000000001E-2</v>
      </c>
      <c r="Z1803">
        <v>-2.6102370000000001E-4</v>
      </c>
      <c r="AA1803">
        <v>0.99976600000000004</v>
      </c>
      <c r="AB1803">
        <v>50</v>
      </c>
      <c r="AC1803">
        <v>-77.381900000000002</v>
      </c>
      <c r="AD1803">
        <v>-1.1073203806680001</v>
      </c>
      <c r="AE1803">
        <v>-1.1011000000000299</v>
      </c>
      <c r="AF1803">
        <v>-1.68407339810164</v>
      </c>
      <c r="AG1803">
        <v>-1.1073203806680001</v>
      </c>
      <c r="AH1803">
        <v>77.355563482175398</v>
      </c>
      <c r="AI1803">
        <v>90.819920661640097</v>
      </c>
      <c r="AJ1803">
        <v>91.247163798035501</v>
      </c>
      <c r="AK1803">
        <v>77.381816102237494</v>
      </c>
      <c r="AL1803">
        <v>81.095736982941204</v>
      </c>
      <c r="AM1803">
        <v>89.910993686450396</v>
      </c>
      <c r="AN1803">
        <v>1.00000004054314</v>
      </c>
    </row>
    <row r="1804" spans="1:40" x14ac:dyDescent="0.25">
      <c r="A1804" t="str">
        <f>"20190312172651630"</f>
        <v>20190312172651630</v>
      </c>
      <c r="B1804" t="str">
        <f>"1552382811620280"</f>
        <v>1552382811620280</v>
      </c>
      <c r="C1804" t="s">
        <v>40</v>
      </c>
      <c r="D1804">
        <v>3.058932</v>
      </c>
      <c r="E1804">
        <v>0.49207010000000001</v>
      </c>
      <c r="F1804" t="s">
        <v>49</v>
      </c>
      <c r="G1804">
        <v>-421.553</v>
      </c>
      <c r="H1804" s="1">
        <v>3.8022580000000001E-6</v>
      </c>
      <c r="I1804">
        <v>283.32209999999998</v>
      </c>
      <c r="J1804">
        <v>-345.84859999999998</v>
      </c>
      <c r="K1804">
        <v>1.107297</v>
      </c>
      <c r="L1804">
        <v>284.39229999999998</v>
      </c>
      <c r="M1804">
        <v>-0.99991969999999997</v>
      </c>
      <c r="N1804">
        <v>0</v>
      </c>
      <c r="O1804">
        <v>8.8759500000000005E-3</v>
      </c>
      <c r="P1804">
        <v>-0.9892552</v>
      </c>
      <c r="Q1804">
        <v>0.14587549999999999</v>
      </c>
      <c r="R1804">
        <v>9.7336880000000008E-3</v>
      </c>
      <c r="S1804">
        <v>-3.0393979999999998</v>
      </c>
      <c r="T1804">
        <v>-4.4091110000000003E-2</v>
      </c>
      <c r="U1804">
        <v>-4.2388919999999997E-2</v>
      </c>
      <c r="V1804">
        <v>1.4763630000000001E-3</v>
      </c>
      <c r="W1804">
        <v>0.15481779999999901</v>
      </c>
      <c r="X1804">
        <v>0.98794190000000004</v>
      </c>
      <c r="Y1804">
        <v>-2.2816699999999999E-2</v>
      </c>
      <c r="Z1804">
        <v>-2.9423090000000002E-4</v>
      </c>
      <c r="AA1804">
        <v>0.99973959999999995</v>
      </c>
      <c r="AB1804">
        <v>50</v>
      </c>
      <c r="AC1804">
        <v>-75.704400000000007</v>
      </c>
      <c r="AD1804">
        <v>-1.107293197742</v>
      </c>
      <c r="AE1804">
        <v>-1.07019999999999</v>
      </c>
      <c r="AF1804">
        <v>-1.74176124623446</v>
      </c>
      <c r="AG1804">
        <v>-1.107293197742</v>
      </c>
      <c r="AH1804">
        <v>75.675731679622004</v>
      </c>
      <c r="AI1804">
        <v>90.838074563909501</v>
      </c>
      <c r="AJ1804">
        <v>91.318493389650698</v>
      </c>
      <c r="AK1804">
        <v>75.703871735273907</v>
      </c>
      <c r="AL1804">
        <v>81.093770272549804</v>
      </c>
      <c r="AM1804">
        <v>89.914378258517402</v>
      </c>
      <c r="AN1804">
        <v>0.99999996431007798</v>
      </c>
    </row>
    <row r="1805" spans="1:40" x14ac:dyDescent="0.25">
      <c r="A1805" t="str">
        <f>"20190312172651646"</f>
        <v>20190312172651646</v>
      </c>
      <c r="B1805" t="str">
        <f>"1552382811640776"</f>
        <v>1552382811640776</v>
      </c>
      <c r="C1805" t="s">
        <v>40</v>
      </c>
      <c r="D1805">
        <v>3.0247540000000002</v>
      </c>
      <c r="E1805">
        <v>0.49194070000000001</v>
      </c>
      <c r="F1805" t="s">
        <v>49</v>
      </c>
      <c r="G1805">
        <v>-421.78449999999998</v>
      </c>
      <c r="H1805" s="1">
        <v>3.7546320000000001E-6</v>
      </c>
      <c r="I1805">
        <v>283.39729999999997</v>
      </c>
      <c r="J1805">
        <v>-346.22489999999999</v>
      </c>
      <c r="K1805">
        <v>1.107281</v>
      </c>
      <c r="L1805">
        <v>284.39600000000002</v>
      </c>
      <c r="M1805">
        <v>-0.99991169999999996</v>
      </c>
      <c r="N1805">
        <v>0</v>
      </c>
      <c r="O1805">
        <v>9.6919750000000002E-3</v>
      </c>
      <c r="P1805">
        <v>-0.98924210000000001</v>
      </c>
      <c r="Q1805">
        <v>0.14591479999999901</v>
      </c>
      <c r="R1805">
        <v>1.0438070000000001E-2</v>
      </c>
      <c r="S1805">
        <v>-3.0394899999999998</v>
      </c>
      <c r="T1805">
        <v>-4.4321659999999999E-2</v>
      </c>
      <c r="U1805">
        <v>-3.9825439999999997E-2</v>
      </c>
      <c r="V1805">
        <v>1.379183E-3</v>
      </c>
      <c r="W1805">
        <v>0.15489510000000001</v>
      </c>
      <c r="X1805">
        <v>0.98792990000000003</v>
      </c>
      <c r="Y1805">
        <v>-2.2789029999999998E-2</v>
      </c>
      <c r="Z1805">
        <v>-3.0745879999999998E-4</v>
      </c>
      <c r="AA1805">
        <v>0.99974019999999997</v>
      </c>
      <c r="AB1805">
        <v>50</v>
      </c>
      <c r="AC1805">
        <v>-75.559599999999904</v>
      </c>
      <c r="AD1805">
        <v>-1.107277245368</v>
      </c>
      <c r="AE1805">
        <v>-0.99869999999998504</v>
      </c>
      <c r="AF1805">
        <v>-1.73063352216586</v>
      </c>
      <c r="AG1805">
        <v>-1.107277245368</v>
      </c>
      <c r="AH1805">
        <v>75.530153747978403</v>
      </c>
      <c r="AI1805">
        <v>90.839679538909806</v>
      </c>
      <c r="AJ1805">
        <v>91.312596945622204</v>
      </c>
      <c r="AK1805">
        <v>75.558092091313497</v>
      </c>
      <c r="AL1805">
        <v>81.089287017792401</v>
      </c>
      <c r="AM1805">
        <v>89.920013238043396</v>
      </c>
      <c r="AN1805">
        <v>0.99999994073188203</v>
      </c>
    </row>
    <row r="1806" spans="1:40" x14ac:dyDescent="0.25">
      <c r="A1806" t="str">
        <f>"20190312172651670"</f>
        <v>20190312172651670</v>
      </c>
      <c r="B1806" t="str">
        <f>"1552382811660296"</f>
        <v>1552382811660296</v>
      </c>
      <c r="C1806" t="s">
        <v>40</v>
      </c>
      <c r="D1806">
        <v>3.0367999999999999</v>
      </c>
      <c r="E1806">
        <v>0.49181989999999998</v>
      </c>
      <c r="F1806" t="s">
        <v>49</v>
      </c>
      <c r="G1806">
        <v>-422.38959999999997</v>
      </c>
      <c r="H1806" s="1">
        <v>3.6453539999999999E-6</v>
      </c>
      <c r="I1806">
        <v>283.41950000000003</v>
      </c>
      <c r="J1806">
        <v>-346.73669999999998</v>
      </c>
      <c r="K1806">
        <v>1.107264</v>
      </c>
      <c r="L1806">
        <v>284.40159999999997</v>
      </c>
      <c r="M1806">
        <v>-0.99989989999999995</v>
      </c>
      <c r="N1806">
        <v>0</v>
      </c>
      <c r="O1806">
        <v>1.081873E-2</v>
      </c>
      <c r="P1806">
        <v>-0.98921130000000002</v>
      </c>
      <c r="Q1806">
        <v>0.14603369999999999</v>
      </c>
      <c r="R1806">
        <v>1.1639409999999999E-2</v>
      </c>
      <c r="S1806">
        <v>-3.0395810000000001</v>
      </c>
      <c r="T1806">
        <v>-4.418921E-2</v>
      </c>
      <c r="U1806">
        <v>-3.8970949999999997E-2</v>
      </c>
      <c r="V1806">
        <v>1.474492E-3</v>
      </c>
      <c r="W1806">
        <v>0.1550599</v>
      </c>
      <c r="X1806">
        <v>0.987904</v>
      </c>
      <c r="Y1806">
        <v>-2.3633999999999999E-2</v>
      </c>
      <c r="Z1806">
        <v>-3.2905269999999903E-4</v>
      </c>
      <c r="AA1806">
        <v>0.99972059999999996</v>
      </c>
      <c r="AB1806">
        <v>50</v>
      </c>
      <c r="AC1806">
        <v>-75.652899999999903</v>
      </c>
      <c r="AD1806">
        <v>-1.107260354646</v>
      </c>
      <c r="AE1806">
        <v>-0.98209999999994502</v>
      </c>
      <c r="AF1806">
        <v>-1.8001592905872501</v>
      </c>
      <c r="AG1806">
        <v>-1.107260354646</v>
      </c>
      <c r="AH1806">
        <v>75.621650087136203</v>
      </c>
      <c r="AI1806">
        <v>90.838633489943305</v>
      </c>
      <c r="AJ1806">
        <v>91.363657813998401</v>
      </c>
      <c r="AK1806">
        <v>75.651176863719201</v>
      </c>
      <c r="AL1806">
        <v>81.079729997609704</v>
      </c>
      <c r="AM1806">
        <v>89.914483486459702</v>
      </c>
      <c r="AN1806">
        <v>1.00000002996533</v>
      </c>
    </row>
    <row r="1807" spans="1:40" x14ac:dyDescent="0.25">
      <c r="A1807" t="str">
        <f>"20190312172651691"</f>
        <v>20190312172651691</v>
      </c>
      <c r="B1807" t="str">
        <f>"1552382811680792"</f>
        <v>1552382811680792</v>
      </c>
      <c r="C1807" t="s">
        <v>40</v>
      </c>
      <c r="D1807">
        <v>3.0447220000000002</v>
      </c>
      <c r="E1807">
        <v>0.49173489999999997</v>
      </c>
      <c r="F1807" t="s">
        <v>49</v>
      </c>
      <c r="G1807">
        <v>-422.38589999999999</v>
      </c>
      <c r="H1807" s="1">
        <v>3.6394970000000002E-6</v>
      </c>
      <c r="I1807">
        <v>283.49400000000003</v>
      </c>
      <c r="J1807">
        <v>-347.22840000000002</v>
      </c>
      <c r="K1807">
        <v>1.10724</v>
      </c>
      <c r="L1807">
        <v>284.40750000000003</v>
      </c>
      <c r="M1807">
        <v>-0.99988690000000002</v>
      </c>
      <c r="N1807">
        <v>0</v>
      </c>
      <c r="O1807">
        <v>1.192592E-2</v>
      </c>
      <c r="P1807">
        <v>-0.98919820000000003</v>
      </c>
      <c r="Q1807">
        <v>0.14603849999999999</v>
      </c>
      <c r="R1807">
        <v>1.264967E-2</v>
      </c>
      <c r="S1807">
        <v>-3.0397029999999998</v>
      </c>
      <c r="T1807">
        <v>-4.4491410000000002E-2</v>
      </c>
      <c r="U1807">
        <v>-3.6468510000000003E-2</v>
      </c>
      <c r="V1807">
        <v>1.3986109999999999E-3</v>
      </c>
      <c r="W1807">
        <v>0.15510370000000001</v>
      </c>
      <c r="X1807">
        <v>0.98789720000000003</v>
      </c>
      <c r="Y1807">
        <v>-2.3917399999999998E-2</v>
      </c>
      <c r="Z1807">
        <v>-3.4956949999999999E-4</v>
      </c>
      <c r="AA1807">
        <v>0.99971390000000004</v>
      </c>
      <c r="AB1807">
        <v>50</v>
      </c>
      <c r="AC1807">
        <v>-75.157499999999899</v>
      </c>
      <c r="AD1807">
        <v>-1.107236360503</v>
      </c>
      <c r="AE1807">
        <v>-0.91349999999999898</v>
      </c>
      <c r="AF1807">
        <v>-1.80940234073024</v>
      </c>
      <c r="AG1807">
        <v>-1.107236360503</v>
      </c>
      <c r="AH1807">
        <v>75.124957270222495</v>
      </c>
      <c r="AI1807">
        <v>90.844153407221896</v>
      </c>
      <c r="AJ1807">
        <v>91.379715633999197</v>
      </c>
      <c r="AK1807">
        <v>75.154900798560107</v>
      </c>
      <c r="AL1807">
        <v>81.077189402015506</v>
      </c>
      <c r="AM1807">
        <v>89.918883813071005</v>
      </c>
      <c r="AN1807">
        <v>0.99999999581712895</v>
      </c>
    </row>
    <row r="1808" spans="1:40" x14ac:dyDescent="0.25">
      <c r="A1808" t="str">
        <f>"20190312172651713"</f>
        <v>20190312172651713</v>
      </c>
      <c r="B1808" t="str">
        <f>"1552382811700312"</f>
        <v>1552382811700312</v>
      </c>
      <c r="C1808" t="s">
        <v>40</v>
      </c>
      <c r="D1808">
        <v>3.0173830000000001</v>
      </c>
      <c r="E1808">
        <v>0.49171399999999998</v>
      </c>
      <c r="F1808" t="s">
        <v>49</v>
      </c>
      <c r="G1808">
        <v>-422.35489999999999</v>
      </c>
      <c r="H1808" s="1">
        <v>3.6385820000000001E-6</v>
      </c>
      <c r="I1808">
        <v>283.56729999999999</v>
      </c>
      <c r="J1808">
        <v>-347.71289999999999</v>
      </c>
      <c r="K1808">
        <v>1.107208</v>
      </c>
      <c r="L1808">
        <v>284.41379999999998</v>
      </c>
      <c r="M1808">
        <v>-0.9998726</v>
      </c>
      <c r="N1808">
        <v>0</v>
      </c>
      <c r="O1808">
        <v>1.3038020000000001E-2</v>
      </c>
      <c r="P1808">
        <v>-0.98920520000000001</v>
      </c>
      <c r="Q1808">
        <v>0.145902</v>
      </c>
      <c r="R1808">
        <v>1.3624519999999999E-2</v>
      </c>
      <c r="S1808">
        <v>-3.0397639999999999</v>
      </c>
      <c r="T1808">
        <v>-4.4800880000000001E-2</v>
      </c>
      <c r="U1808">
        <v>-3.3996579999999998E-2</v>
      </c>
      <c r="V1808">
        <v>1.2820329999999999E-3</v>
      </c>
      <c r="W1808">
        <v>0.1550029</v>
      </c>
      <c r="X1808">
        <v>0.98791320000000005</v>
      </c>
      <c r="Y1808">
        <v>-2.421601E-2</v>
      </c>
      <c r="Z1808">
        <v>-3.7058479999999998E-4</v>
      </c>
      <c r="AA1808">
        <v>0.99970669999999995</v>
      </c>
      <c r="AB1808">
        <v>50</v>
      </c>
      <c r="AC1808">
        <v>-74.641999999999996</v>
      </c>
      <c r="AD1808">
        <v>-1.107204361418</v>
      </c>
      <c r="AE1808">
        <v>-0.84649999999999104</v>
      </c>
      <c r="AF1808">
        <v>-1.8192529487015301</v>
      </c>
      <c r="AG1808">
        <v>-1.107204361418</v>
      </c>
      <c r="AH1808">
        <v>74.608203643031302</v>
      </c>
      <c r="AI1808">
        <v>90.849968640758306</v>
      </c>
      <c r="AJ1808">
        <v>91.396828487917801</v>
      </c>
      <c r="AK1808">
        <v>74.638593459612693</v>
      </c>
      <c r="AL1808">
        <v>81.083035706447404</v>
      </c>
      <c r="AM1808">
        <v>89.925646262382102</v>
      </c>
      <c r="AN1808">
        <v>1.00000001667563</v>
      </c>
    </row>
    <row r="1809" spans="1:40" x14ac:dyDescent="0.25">
      <c r="A1809" t="str">
        <f>"20190312172651737"</f>
        <v>20190312172651737</v>
      </c>
      <c r="B1809" t="str">
        <f>"1552382811730568"</f>
        <v>1552382811730568</v>
      </c>
      <c r="C1809" t="s">
        <v>40</v>
      </c>
      <c r="D1809">
        <v>2.9779749999999998</v>
      </c>
      <c r="E1809">
        <v>0.4916374</v>
      </c>
      <c r="F1809" t="s">
        <v>49</v>
      </c>
      <c r="G1809">
        <v>-421.21440000000001</v>
      </c>
      <c r="H1809" s="1">
        <v>3.8327440000000001E-6</v>
      </c>
      <c r="I1809">
        <v>283.66050000000001</v>
      </c>
      <c r="J1809">
        <v>-348.23829999999998</v>
      </c>
      <c r="K1809">
        <v>1.107178</v>
      </c>
      <c r="L1809">
        <v>284.42129999999997</v>
      </c>
      <c r="M1809">
        <v>-0.99985559999999996</v>
      </c>
      <c r="N1809">
        <v>0</v>
      </c>
      <c r="O1809">
        <v>1.427108E-2</v>
      </c>
      <c r="P1809">
        <v>-0.989178</v>
      </c>
      <c r="Q1809">
        <v>0.14594550000000001</v>
      </c>
      <c r="R1809">
        <v>1.507826E-2</v>
      </c>
      <c r="S1809">
        <v>-3.0399479999999999</v>
      </c>
      <c r="T1809">
        <v>-4.5792819999999998E-2</v>
      </c>
      <c r="U1809">
        <v>-3.1158450000000001E-2</v>
      </c>
      <c r="V1809">
        <v>1.527556E-3</v>
      </c>
      <c r="W1809">
        <v>0.155079299999999</v>
      </c>
      <c r="X1809">
        <v>0.98790089999999997</v>
      </c>
      <c r="Y1809">
        <v>-2.4514629999999999E-2</v>
      </c>
      <c r="Z1809">
        <v>-3.9958989999999998E-4</v>
      </c>
      <c r="AA1809">
        <v>0.99969940000000002</v>
      </c>
      <c r="AB1809">
        <v>50</v>
      </c>
      <c r="AC1809">
        <v>-72.976100000000002</v>
      </c>
      <c r="AD1809">
        <v>-1.107174167256</v>
      </c>
      <c r="AE1809">
        <v>-0.76079999999995995</v>
      </c>
      <c r="AF1809">
        <v>-1.8017999053329099</v>
      </c>
      <c r="AG1809">
        <v>-1.107174167256</v>
      </c>
      <c r="AH1809">
        <v>72.941021941154006</v>
      </c>
      <c r="AI1809">
        <v>90.869362574841503</v>
      </c>
      <c r="AJ1809">
        <v>91.415041043673</v>
      </c>
      <c r="AK1809">
        <v>72.971672581594305</v>
      </c>
      <c r="AL1809">
        <v>81.078605078596098</v>
      </c>
      <c r="AM1809">
        <v>89.911405646035405</v>
      </c>
      <c r="AN1809">
        <v>1.0000000554683099</v>
      </c>
    </row>
    <row r="1810" spans="1:40" x14ac:dyDescent="0.25">
      <c r="A1810" t="str">
        <f>"20190312172651759"</f>
        <v>20190312172651759</v>
      </c>
      <c r="B1810" t="str">
        <f>"1552382811751064"</f>
        <v>1552382811751064</v>
      </c>
      <c r="C1810" t="s">
        <v>40</v>
      </c>
      <c r="D1810">
        <v>3.0181939999999998</v>
      </c>
      <c r="E1810">
        <v>0.4915909</v>
      </c>
      <c r="F1810" t="s">
        <v>49</v>
      </c>
      <c r="G1810">
        <v>-420.52199999999999</v>
      </c>
      <c r="H1810" s="1">
        <v>3.9462699999999901E-6</v>
      </c>
      <c r="I1810">
        <v>283.76679999999999</v>
      </c>
      <c r="J1810">
        <v>-348.74509999999998</v>
      </c>
      <c r="K1810">
        <v>1.1071439999999999</v>
      </c>
      <c r="L1810">
        <v>284.42919999999998</v>
      </c>
      <c r="M1810">
        <v>-0.99983699999999998</v>
      </c>
      <c r="N1810">
        <v>0</v>
      </c>
      <c r="O1810">
        <v>1.548682E-2</v>
      </c>
      <c r="P1810">
        <v>-0.98906490000000002</v>
      </c>
      <c r="Q1810">
        <v>0.14655839999999901</v>
      </c>
      <c r="R1810">
        <v>1.647181E-2</v>
      </c>
      <c r="S1810">
        <v>-3.0400999999999998</v>
      </c>
      <c r="T1810">
        <v>-4.6565410000000002E-2</v>
      </c>
      <c r="U1810">
        <v>-2.752686E-2</v>
      </c>
      <c r="V1810">
        <v>1.733496E-3</v>
      </c>
      <c r="W1810">
        <v>0.15571940000000001</v>
      </c>
      <c r="X1810">
        <v>0.98779980000000001</v>
      </c>
      <c r="Y1810">
        <v>-2.4535290000000001E-2</v>
      </c>
      <c r="Z1810">
        <v>-4.2509060000000003E-4</v>
      </c>
      <c r="AA1810">
        <v>0.99969889999999995</v>
      </c>
      <c r="AB1810">
        <v>50</v>
      </c>
      <c r="AC1810">
        <v>-71.776899999999998</v>
      </c>
      <c r="AD1810">
        <v>-1.10714005373</v>
      </c>
      <c r="AE1810">
        <v>-0.662399999999991</v>
      </c>
      <c r="AF1810">
        <v>-1.77354242838404</v>
      </c>
      <c r="AG1810">
        <v>-1.10714005373</v>
      </c>
      <c r="AH1810">
        <v>71.740964943211395</v>
      </c>
      <c r="AI1810">
        <v>90.883875018620003</v>
      </c>
      <c r="AJ1810">
        <v>91.416147700048697</v>
      </c>
      <c r="AK1810">
        <v>71.771423720217101</v>
      </c>
      <c r="AL1810">
        <v>81.041478449453393</v>
      </c>
      <c r="AM1810">
        <v>89.899451384134196</v>
      </c>
      <c r="AN1810">
        <v>0.99999999071239098</v>
      </c>
    </row>
    <row r="1811" spans="1:40" x14ac:dyDescent="0.25">
      <c r="A1811" t="str">
        <f>"20190312172651781"</f>
        <v>20190312172651781</v>
      </c>
      <c r="B1811" t="str">
        <f>"1552382811770588"</f>
        <v>1552382811770588</v>
      </c>
      <c r="C1811" t="s">
        <v>40</v>
      </c>
      <c r="D1811">
        <v>3.002634</v>
      </c>
      <c r="E1811">
        <v>0.49152960000000001</v>
      </c>
      <c r="F1811" t="s">
        <v>49</v>
      </c>
      <c r="G1811">
        <v>-423.09019999999998</v>
      </c>
      <c r="H1811" s="1">
        <v>3.4834279999999999E-6</v>
      </c>
      <c r="I1811">
        <v>283.8501</v>
      </c>
      <c r="J1811">
        <v>-349.23559999999998</v>
      </c>
      <c r="K1811">
        <v>1.1071219999999999</v>
      </c>
      <c r="L1811">
        <v>284.43740000000003</v>
      </c>
      <c r="M1811">
        <v>-0.99981759999999997</v>
      </c>
      <c r="N1811">
        <v>0</v>
      </c>
      <c r="O1811">
        <v>1.6686590000000001E-2</v>
      </c>
      <c r="P1811">
        <v>-0.98899970000000004</v>
      </c>
      <c r="Q1811">
        <v>0.14683860000000001</v>
      </c>
      <c r="R1811">
        <v>1.7845730000000001E-2</v>
      </c>
      <c r="S1811">
        <v>-3.040314</v>
      </c>
      <c r="T1811">
        <v>-4.5276049999999998E-2</v>
      </c>
      <c r="U1811">
        <v>-2.368164E-2</v>
      </c>
      <c r="V1811">
        <v>1.9338479999999999E-3</v>
      </c>
      <c r="W1811">
        <v>0.15602369999999999</v>
      </c>
      <c r="X1811">
        <v>0.98775139999999995</v>
      </c>
      <c r="Y1811">
        <v>-2.4470140000000001E-2</v>
      </c>
      <c r="Z1811">
        <v>-4.3067419999999999E-4</v>
      </c>
      <c r="AA1811">
        <v>0.99970049999999999</v>
      </c>
      <c r="AB1811">
        <v>50</v>
      </c>
      <c r="AC1811">
        <v>-73.854600000000005</v>
      </c>
      <c r="AD1811">
        <v>-1.1071185165720001</v>
      </c>
      <c r="AE1811">
        <v>-0.58730000000002702</v>
      </c>
      <c r="AF1811">
        <v>-1.8192440616677901</v>
      </c>
      <c r="AG1811">
        <v>-1.1071185165720001</v>
      </c>
      <c r="AH1811">
        <v>73.817928829547398</v>
      </c>
      <c r="AI1811">
        <v>90.858994732512301</v>
      </c>
      <c r="AJ1811">
        <v>91.411769642797694</v>
      </c>
      <c r="AK1811">
        <v>73.848642350755298</v>
      </c>
      <c r="AL1811">
        <v>81.023827519408798</v>
      </c>
      <c r="AM1811">
        <v>89.887824824090799</v>
      </c>
      <c r="AN1811">
        <v>0.99999998146586799</v>
      </c>
    </row>
    <row r="1812" spans="1:40" x14ac:dyDescent="0.25">
      <c r="A1812" t="str">
        <f>"20190312172651803"</f>
        <v>20190312172651803</v>
      </c>
      <c r="B1812" t="str">
        <f>"1552382811791081"</f>
        <v>1552382811791081</v>
      </c>
      <c r="C1812" t="s">
        <v>40</v>
      </c>
      <c r="D1812">
        <v>3.0453830000000002</v>
      </c>
      <c r="E1812">
        <v>0.49146030000000002</v>
      </c>
      <c r="F1812" t="s">
        <v>49</v>
      </c>
      <c r="G1812">
        <v>-424.02710000000002</v>
      </c>
      <c r="H1812" s="1">
        <v>3.309276E-6</v>
      </c>
      <c r="I1812">
        <v>283.94119999999998</v>
      </c>
      <c r="J1812">
        <v>-349.73509999999999</v>
      </c>
      <c r="K1812">
        <v>1.1070949999999999</v>
      </c>
      <c r="L1812">
        <v>284.44639999999998</v>
      </c>
      <c r="M1812">
        <v>-0.99979589999999996</v>
      </c>
      <c r="N1812">
        <v>0</v>
      </c>
      <c r="O1812">
        <v>1.7927729999999999E-2</v>
      </c>
      <c r="P1812">
        <v>-0.98894740000000003</v>
      </c>
      <c r="Q1812">
        <v>0.14702479999999901</v>
      </c>
      <c r="R1812">
        <v>1.9159430000000002E-2</v>
      </c>
      <c r="S1812">
        <v>-3.0404049999999998</v>
      </c>
      <c r="T1812">
        <v>-4.5006280000000003E-2</v>
      </c>
      <c r="U1812">
        <v>-2.0172120000000002E-2</v>
      </c>
      <c r="V1812">
        <v>2.032322E-3</v>
      </c>
      <c r="W1812">
        <v>0.15623190000000001</v>
      </c>
      <c r="X1812">
        <v>0.98771830000000005</v>
      </c>
      <c r="Y1812">
        <v>-2.4556930000000001E-2</v>
      </c>
      <c r="Z1812">
        <v>-4.4710939999999998E-4</v>
      </c>
      <c r="AA1812">
        <v>0.99969830000000004</v>
      </c>
      <c r="AB1812">
        <v>50</v>
      </c>
      <c r="AC1812">
        <v>-74.292000000000002</v>
      </c>
      <c r="AD1812">
        <v>-1.107091690724</v>
      </c>
      <c r="AE1812">
        <v>-0.50520000000000198</v>
      </c>
      <c r="AF1812">
        <v>-1.83665565377782</v>
      </c>
      <c r="AG1812">
        <v>-1.107091690724</v>
      </c>
      <c r="AH1812">
        <v>74.254512989282304</v>
      </c>
      <c r="AI1812">
        <v>90.853922392551297</v>
      </c>
      <c r="AJ1812">
        <v>91.416899263975097</v>
      </c>
      <c r="AK1812">
        <v>74.285474052991802</v>
      </c>
      <c r="AL1812">
        <v>81.011750498963195</v>
      </c>
      <c r="AM1812">
        <v>89.882108786600796</v>
      </c>
      <c r="AN1812">
        <v>0.99999998853260497</v>
      </c>
    </row>
    <row r="1813" spans="1:40" x14ac:dyDescent="0.25">
      <c r="A1813" t="str">
        <f>"20190312172651826"</f>
        <v>20190312172651826</v>
      </c>
      <c r="B1813" t="str">
        <f>"1552382811820361"</f>
        <v>1552382811820361</v>
      </c>
      <c r="C1813" t="s">
        <v>40</v>
      </c>
      <c r="D1813">
        <v>3.0651700000000002</v>
      </c>
      <c r="E1813">
        <v>0.49130600000000002</v>
      </c>
      <c r="F1813" t="s">
        <v>49</v>
      </c>
      <c r="G1813">
        <v>-424.4196</v>
      </c>
      <c r="H1813" s="1">
        <v>3.2310699999999999E-6</v>
      </c>
      <c r="I1813">
        <v>284.0394</v>
      </c>
      <c r="J1813">
        <v>-350.23719999999997</v>
      </c>
      <c r="K1813">
        <v>1.1070679999999999</v>
      </c>
      <c r="L1813">
        <v>284.45600000000002</v>
      </c>
      <c r="M1813">
        <v>-0.99977240000000001</v>
      </c>
      <c r="N1813">
        <v>0</v>
      </c>
      <c r="O1813">
        <v>1.919067E-2</v>
      </c>
      <c r="P1813">
        <v>-0.98892409999999997</v>
      </c>
      <c r="Q1813">
        <v>0.14700529999999901</v>
      </c>
      <c r="R1813">
        <v>2.0465400000000002E-2</v>
      </c>
      <c r="S1813">
        <v>-3.0405579999999999</v>
      </c>
      <c r="T1813">
        <v>-4.5071960000000001E-2</v>
      </c>
      <c r="U1813">
        <v>-1.6571039999999999E-2</v>
      </c>
      <c r="V1813">
        <v>2.0993829999999998E-3</v>
      </c>
      <c r="W1813">
        <v>0.1562337</v>
      </c>
      <c r="X1813">
        <v>0.98771790000000004</v>
      </c>
      <c r="Y1813">
        <v>-2.463533E-2</v>
      </c>
      <c r="Z1813">
        <v>-4.6704029999999999E-4</v>
      </c>
      <c r="AA1813">
        <v>0.99969640000000004</v>
      </c>
      <c r="AB1813">
        <v>50</v>
      </c>
      <c r="AC1813">
        <v>-74.182400000000001</v>
      </c>
      <c r="AD1813">
        <v>-1.1070647689299999</v>
      </c>
      <c r="AE1813">
        <v>-0.416599999999959</v>
      </c>
      <c r="AF1813">
        <v>-1.8397853373348501</v>
      </c>
      <c r="AG1813">
        <v>-1.1070647689299999</v>
      </c>
      <c r="AH1813">
        <v>74.144230045379103</v>
      </c>
      <c r="AI1813">
        <v>90.855169872048293</v>
      </c>
      <c r="AJ1813">
        <v>91.421422926655097</v>
      </c>
      <c r="AK1813">
        <v>74.175314300056598</v>
      </c>
      <c r="AL1813">
        <v>81.011646307954095</v>
      </c>
      <c r="AM1813">
        <v>89.878218665123299</v>
      </c>
      <c r="AN1813">
        <v>1.00000001320254</v>
      </c>
    </row>
    <row r="1814" spans="1:40" x14ac:dyDescent="0.25">
      <c r="A1814" t="str">
        <f>"20190312172651848"</f>
        <v>20190312172651848</v>
      </c>
      <c r="B1814" t="str">
        <f>"1552382811840860"</f>
        <v>1552382811840860</v>
      </c>
      <c r="C1814" t="s">
        <v>40</v>
      </c>
      <c r="D1814">
        <v>3.0416370000000001</v>
      </c>
      <c r="E1814">
        <v>0.49125449999999998</v>
      </c>
      <c r="F1814" t="s">
        <v>49</v>
      </c>
      <c r="G1814">
        <v>-423.608</v>
      </c>
      <c r="H1814" s="1">
        <v>3.3671279999999998E-6</v>
      </c>
      <c r="I1814">
        <v>284.12979999999999</v>
      </c>
      <c r="J1814">
        <v>-350.75889999999998</v>
      </c>
      <c r="K1814">
        <v>1.1070409999999999</v>
      </c>
      <c r="L1814">
        <v>284.4667</v>
      </c>
      <c r="M1814">
        <v>-0.99974580000000002</v>
      </c>
      <c r="N1814">
        <v>0</v>
      </c>
      <c r="O1814">
        <v>2.051482E-2</v>
      </c>
      <c r="P1814">
        <v>-0.98900849999999996</v>
      </c>
      <c r="Q1814">
        <v>0.14629020000000001</v>
      </c>
      <c r="R1814">
        <v>2.147932E-2</v>
      </c>
      <c r="S1814">
        <v>-3.0407099999999998</v>
      </c>
      <c r="T1814">
        <v>-4.5880079999999997E-2</v>
      </c>
      <c r="U1814">
        <v>-1.351929E-2</v>
      </c>
      <c r="V1814">
        <v>1.8081320000000001E-3</v>
      </c>
      <c r="W1814">
        <v>0.1555414</v>
      </c>
      <c r="X1814">
        <v>0.98782769999999998</v>
      </c>
      <c r="Y1814">
        <v>-2.4955450000000001E-2</v>
      </c>
      <c r="Z1814">
        <v>-4.9778140000000001E-4</v>
      </c>
      <c r="AA1814">
        <v>0.99968840000000003</v>
      </c>
      <c r="AB1814">
        <v>50</v>
      </c>
      <c r="AC1814">
        <v>-72.849100000000007</v>
      </c>
      <c r="AD1814">
        <v>-1.107037632872</v>
      </c>
      <c r="AE1814">
        <v>-0.33690000000001402</v>
      </c>
      <c r="AF1814">
        <v>-1.8309578275874101</v>
      </c>
      <c r="AG1814">
        <v>-1.107037632872</v>
      </c>
      <c r="AH1814">
        <v>72.810042232934407</v>
      </c>
      <c r="AI1814">
        <v>90.870809217830498</v>
      </c>
      <c r="AJ1814">
        <v>91.4405162782909</v>
      </c>
      <c r="AK1814">
        <v>72.841473000267499</v>
      </c>
      <c r="AL1814">
        <v>81.051802807456198</v>
      </c>
      <c r="AM1814">
        <v>89.895125215962395</v>
      </c>
      <c r="AN1814">
        <v>0.99999998067128903</v>
      </c>
    </row>
    <row r="1815" spans="1:40" x14ac:dyDescent="0.25">
      <c r="A1815" t="str">
        <f>"20190312172651870"</f>
        <v>20190312172651870</v>
      </c>
      <c r="B1815" t="str">
        <f>"1552382811860376"</f>
        <v>1552382811860376</v>
      </c>
      <c r="C1815" t="s">
        <v>40</v>
      </c>
      <c r="D1815">
        <v>3.0563750000000001</v>
      </c>
      <c r="E1815">
        <v>0.48841259999999997</v>
      </c>
      <c r="F1815" t="s">
        <v>49</v>
      </c>
      <c r="G1815">
        <v>-420.50560000000002</v>
      </c>
      <c r="H1815" s="1">
        <v>3.9091130000000001E-6</v>
      </c>
      <c r="I1815">
        <v>284.22519999999997</v>
      </c>
      <c r="J1815">
        <v>-351.23950000000002</v>
      </c>
      <c r="K1815">
        <v>1.1070230000000001</v>
      </c>
      <c r="L1815">
        <v>284.47719999999998</v>
      </c>
      <c r="M1815">
        <v>-0.99971969999999999</v>
      </c>
      <c r="N1815">
        <v>0</v>
      </c>
      <c r="O1815">
        <v>2.1741839999999998E-2</v>
      </c>
      <c r="P1815">
        <v>-0.98898039999999998</v>
      </c>
      <c r="Q1815">
        <v>0.14635500000000001</v>
      </c>
      <c r="R1815">
        <v>2.232311E-2</v>
      </c>
      <c r="S1815">
        <v>-3.0407410000000001</v>
      </c>
      <c r="T1815">
        <v>-4.8263430000000003E-2</v>
      </c>
      <c r="U1815">
        <v>-1.0528559999999999E-2</v>
      </c>
      <c r="V1815">
        <v>1.4464E-3</v>
      </c>
      <c r="W1815">
        <v>0.15562429999999999</v>
      </c>
      <c r="X1815">
        <v>0.98781529999999995</v>
      </c>
      <c r="Y1815">
        <v>-2.5198419999999999E-2</v>
      </c>
      <c r="Z1815">
        <v>-5.4503220000000005E-4</v>
      </c>
      <c r="AA1815">
        <v>0.99968230000000002</v>
      </c>
      <c r="AB1815">
        <v>50</v>
      </c>
      <c r="AC1815">
        <v>-69.266099999999994</v>
      </c>
      <c r="AD1815">
        <v>-1.1070190908869999</v>
      </c>
      <c r="AE1815">
        <v>-0.25200000000000899</v>
      </c>
      <c r="AF1815">
        <v>-1.7575301004378601</v>
      </c>
      <c r="AG1815">
        <v>-1.1070190908869999</v>
      </c>
      <c r="AH1815">
        <v>69.226563957512795</v>
      </c>
      <c r="AI1815">
        <v>90.915857818529801</v>
      </c>
      <c r="AJ1815">
        <v>91.454317885639995</v>
      </c>
      <c r="AK1815">
        <v>69.257718419575099</v>
      </c>
      <c r="AL1815">
        <v>81.046994978328797</v>
      </c>
      <c r="AM1815">
        <v>89.916105210901804</v>
      </c>
      <c r="AN1815">
        <v>1.0000000408687599</v>
      </c>
    </row>
    <row r="1816" spans="1:40" x14ac:dyDescent="0.25">
      <c r="A1816" t="str">
        <f>"20190312172651903"</f>
        <v>20190312172651903</v>
      </c>
      <c r="B1816" t="str">
        <f>"1552382811890632"</f>
        <v>1552382811890632</v>
      </c>
      <c r="C1816" t="s">
        <v>40</v>
      </c>
      <c r="D1816">
        <v>3.0839400000000001</v>
      </c>
      <c r="E1816">
        <v>0.48811640000000001</v>
      </c>
      <c r="F1816" t="s">
        <v>49</v>
      </c>
      <c r="G1816">
        <v>-409.90989999999999</v>
      </c>
      <c r="H1816" s="1">
        <v>4.1575030000000003E-6</v>
      </c>
      <c r="I1816">
        <v>283.89109999999999</v>
      </c>
      <c r="J1816">
        <v>-351.98399999999998</v>
      </c>
      <c r="K1816">
        <v>1.106994</v>
      </c>
      <c r="L1816">
        <v>284.49450000000002</v>
      </c>
      <c r="M1816">
        <v>-0.99967609999999996</v>
      </c>
      <c r="N1816">
        <v>0</v>
      </c>
      <c r="O1816">
        <v>2.3651660000000001E-2</v>
      </c>
      <c r="P1816">
        <v>-0.98893089999999995</v>
      </c>
      <c r="Q1816">
        <v>0.14640999999999901</v>
      </c>
      <c r="R1816">
        <v>2.408399E-2</v>
      </c>
      <c r="S1816">
        <v>-3.0426030000000002</v>
      </c>
      <c r="T1816">
        <v>-5.7409170000000002E-2</v>
      </c>
      <c r="U1816">
        <v>-3.0395510000000001E-2</v>
      </c>
      <c r="V1816">
        <v>1.3286050000000001E-3</v>
      </c>
      <c r="W1816">
        <v>0.15570059999999999</v>
      </c>
      <c r="X1816">
        <v>0.9878034</v>
      </c>
      <c r="Y1816">
        <v>-3.362801E-2</v>
      </c>
      <c r="Z1816">
        <v>-7.6343859999999995E-4</v>
      </c>
      <c r="AA1816">
        <v>0.99943409999999999</v>
      </c>
      <c r="AB1816">
        <v>50</v>
      </c>
      <c r="AC1816">
        <v>-57.925899999999899</v>
      </c>
      <c r="AD1816">
        <v>-1.1069898424969999</v>
      </c>
      <c r="AE1816">
        <v>-0.60340000000002103</v>
      </c>
      <c r="AF1816">
        <v>-1.9726150305963499</v>
      </c>
      <c r="AG1816">
        <v>-1.1069898424969999</v>
      </c>
      <c r="AH1816">
        <v>57.874288428457703</v>
      </c>
      <c r="AI1816">
        <v>91.095154987241102</v>
      </c>
      <c r="AJ1816">
        <v>91.952141121247195</v>
      </c>
      <c r="AK1816">
        <v>57.918476306534899</v>
      </c>
      <c r="AL1816">
        <v>81.042568990416399</v>
      </c>
      <c r="AM1816">
        <v>89.922936676229</v>
      </c>
      <c r="AN1816">
        <v>0.99999999954158303</v>
      </c>
    </row>
    <row r="1817" spans="1:40" x14ac:dyDescent="0.25">
      <c r="A1817" t="str">
        <f>"20190312172651925"</f>
        <v>20190312172651925</v>
      </c>
      <c r="B1817" t="str">
        <f>"1552382811920889"</f>
        <v>1552382811920889</v>
      </c>
      <c r="C1817" t="s">
        <v>40</v>
      </c>
      <c r="D1817">
        <v>3.0905130000000001</v>
      </c>
      <c r="E1817">
        <v>0.48814689999999999</v>
      </c>
      <c r="F1817" t="s">
        <v>49</v>
      </c>
      <c r="G1817">
        <v>-411.7079</v>
      </c>
      <c r="H1817" s="1">
        <v>2.5659580000000002E-6</v>
      </c>
      <c r="I1817">
        <v>283.96140000000003</v>
      </c>
      <c r="J1817">
        <v>-352.49869999999999</v>
      </c>
      <c r="K1817">
        <v>1.1069770000000001</v>
      </c>
      <c r="L1817">
        <v>284.50729999999999</v>
      </c>
      <c r="M1817">
        <v>-0.99964379999999997</v>
      </c>
      <c r="N1817">
        <v>0</v>
      </c>
      <c r="O1817">
        <v>2.497512E-2</v>
      </c>
      <c r="P1817">
        <v>-0.98889179999999999</v>
      </c>
      <c r="Q1817">
        <v>0.14653659999999999</v>
      </c>
      <c r="R1817">
        <v>2.4900189999999999E-2</v>
      </c>
      <c r="S1817">
        <v>-3.0426030000000002</v>
      </c>
      <c r="T1817">
        <v>-5.6395170000000001E-2</v>
      </c>
      <c r="U1817">
        <v>-2.716064E-2</v>
      </c>
      <c r="V1817">
        <v>8.4275020000000003E-4</v>
      </c>
      <c r="W1817">
        <v>0.15583810000000001</v>
      </c>
      <c r="X1817">
        <v>0.98778220000000005</v>
      </c>
      <c r="Y1817">
        <v>-3.3888759999999997E-2</v>
      </c>
      <c r="Z1817">
        <v>-7.7690039999999902E-4</v>
      </c>
      <c r="AA1817">
        <v>0.99942529999999996</v>
      </c>
      <c r="AB1817">
        <v>51</v>
      </c>
      <c r="AC1817">
        <v>-59.209200000000003</v>
      </c>
      <c r="AD1817">
        <v>-1.106974434042</v>
      </c>
      <c r="AE1817">
        <v>-0.54589999999995997</v>
      </c>
      <c r="AF1817">
        <v>-2.0238446762415001</v>
      </c>
      <c r="AG1817">
        <v>-1.106974434042</v>
      </c>
      <c r="AH1817">
        <v>59.1564191245903</v>
      </c>
      <c r="AI1817">
        <v>91.071405105173497</v>
      </c>
      <c r="AJ1817">
        <v>91.959424710196501</v>
      </c>
      <c r="AK1817">
        <v>59.201378897077802</v>
      </c>
      <c r="AL1817">
        <v>81.034593011526695</v>
      </c>
      <c r="AM1817">
        <v>89.9511167361308</v>
      </c>
      <c r="AN1817">
        <v>0.99999994913817303</v>
      </c>
    </row>
    <row r="1818" spans="1:40" x14ac:dyDescent="0.25">
      <c r="A1818" t="str">
        <f>"20190312172651949"</f>
        <v>20190312172651949</v>
      </c>
      <c r="B1818" t="str">
        <f>"1552382811940408"</f>
        <v>1552382811940408</v>
      </c>
      <c r="C1818" t="s">
        <v>40</v>
      </c>
      <c r="D1818">
        <v>3.1093150000000001</v>
      </c>
      <c r="E1818">
        <v>0.48807339999999999</v>
      </c>
      <c r="F1818" t="s">
        <v>49</v>
      </c>
      <c r="G1818">
        <v>-411.8263</v>
      </c>
      <c r="H1818" s="1">
        <v>2.5804840000000001E-6</v>
      </c>
      <c r="I1818">
        <v>284.03550000000001</v>
      </c>
      <c r="J1818">
        <v>-353.01979999999998</v>
      </c>
      <c r="K1818">
        <v>1.1069629999999999</v>
      </c>
      <c r="L1818">
        <v>284.52100000000002</v>
      </c>
      <c r="M1818">
        <v>-0.99960939999999998</v>
      </c>
      <c r="N1818">
        <v>0</v>
      </c>
      <c r="O1818">
        <v>2.6315089999999999E-2</v>
      </c>
      <c r="P1818">
        <v>-0.98888849999999995</v>
      </c>
      <c r="Q1818">
        <v>0.14637320000000001</v>
      </c>
      <c r="R1818">
        <v>2.597613E-2</v>
      </c>
      <c r="S1818">
        <v>-3.0427249999999999</v>
      </c>
      <c r="T1818">
        <v>-5.6773299999999999E-2</v>
      </c>
      <c r="U1818">
        <v>-2.420044E-2</v>
      </c>
      <c r="V1818">
        <v>5.9761809999999999E-4</v>
      </c>
      <c r="W1818">
        <v>0.15568219999999999</v>
      </c>
      <c r="X1818">
        <v>0.98780699999999999</v>
      </c>
      <c r="Y1818">
        <v>-3.4255420000000002E-2</v>
      </c>
      <c r="Z1818">
        <v>-8.1049529999999896E-4</v>
      </c>
      <c r="AA1818">
        <v>0.99941279999999999</v>
      </c>
      <c r="AB1818">
        <v>51</v>
      </c>
      <c r="AC1818">
        <v>-58.8065</v>
      </c>
      <c r="AD1818">
        <v>-1.1069604195160001</v>
      </c>
      <c r="AE1818">
        <v>-0.48549999999994498</v>
      </c>
      <c r="AF1818">
        <v>-2.0321787039780399</v>
      </c>
      <c r="AG1818">
        <v>-1.1069604195160001</v>
      </c>
      <c r="AH1818">
        <v>58.752540211757697</v>
      </c>
      <c r="AI1818">
        <v>91.078740838121405</v>
      </c>
      <c r="AJ1818">
        <v>91.981001367546995</v>
      </c>
      <c r="AK1818">
        <v>58.798095997995397</v>
      </c>
      <c r="AL1818">
        <v>81.043636132977298</v>
      </c>
      <c r="AM1818">
        <v>89.965336355469205</v>
      </c>
      <c r="AN1818">
        <v>0.99999998689661596</v>
      </c>
    </row>
    <row r="1819" spans="1:40" x14ac:dyDescent="0.25">
      <c r="A1819" t="str">
        <f>"20190312172651970"</f>
        <v>20190312172651970</v>
      </c>
      <c r="B1819" t="str">
        <f>"1552382811960905"</f>
        <v>1552382811960905</v>
      </c>
      <c r="C1819" t="s">
        <v>40</v>
      </c>
      <c r="D1819">
        <v>3.1278419999999998</v>
      </c>
      <c r="E1819">
        <v>0.4880449</v>
      </c>
      <c r="F1819" t="s">
        <v>49</v>
      </c>
      <c r="G1819">
        <v>-409.72789999999998</v>
      </c>
      <c r="H1819" s="1">
        <v>4.1900429999999998E-6</v>
      </c>
      <c r="I1819">
        <v>284.1241</v>
      </c>
      <c r="J1819">
        <v>-353.52370000000002</v>
      </c>
      <c r="K1819">
        <v>1.106949</v>
      </c>
      <c r="L1819">
        <v>284.53489999999999</v>
      </c>
      <c r="M1819">
        <v>-0.99957430000000003</v>
      </c>
      <c r="N1819">
        <v>0</v>
      </c>
      <c r="O1819">
        <v>2.7611480000000001E-2</v>
      </c>
      <c r="P1819">
        <v>-0.98890909999999999</v>
      </c>
      <c r="Q1819">
        <v>0.14608860000000001</v>
      </c>
      <c r="R1819">
        <v>2.6770160000000001E-2</v>
      </c>
      <c r="S1819">
        <v>-3.043091</v>
      </c>
      <c r="T1819">
        <v>-5.9401990000000002E-2</v>
      </c>
      <c r="U1819">
        <v>-2.1301270000000001E-2</v>
      </c>
      <c r="V1819">
        <v>1.114766E-4</v>
      </c>
      <c r="W1819">
        <v>0.15540609999999999</v>
      </c>
      <c r="X1819">
        <v>0.98785069999999997</v>
      </c>
      <c r="Y1819">
        <v>-3.4597219999999998E-2</v>
      </c>
      <c r="Z1819">
        <v>-8.7654889999999998E-4</v>
      </c>
      <c r="AA1819">
        <v>0.99940099999999998</v>
      </c>
      <c r="AB1819">
        <v>51</v>
      </c>
      <c r="AC1819">
        <v>-56.204199999999901</v>
      </c>
      <c r="AD1819">
        <v>-1.1069448099570001</v>
      </c>
      <c r="AE1819">
        <v>-0.410799999999994</v>
      </c>
      <c r="AF1819">
        <v>-1.9618324874886099</v>
      </c>
      <c r="AG1819">
        <v>-1.1069448099570001</v>
      </c>
      <c r="AH1819">
        <v>56.149646829061901</v>
      </c>
      <c r="AI1819">
        <v>91.128705040304496</v>
      </c>
      <c r="AJ1819">
        <v>92.001063618149999</v>
      </c>
      <c r="AK1819">
        <v>56.194812505689796</v>
      </c>
      <c r="AL1819">
        <v>81.059650859525107</v>
      </c>
      <c r="AM1819">
        <v>89.993534307697104</v>
      </c>
      <c r="AN1819">
        <v>1.0000000369173601</v>
      </c>
    </row>
    <row r="1820" spans="1:40" x14ac:dyDescent="0.25">
      <c r="A1820" t="str">
        <f>"20190312172651993"</f>
        <v>20190312172651993</v>
      </c>
      <c r="B1820" t="str">
        <f>"1552382811980425"</f>
        <v>1552382811980425</v>
      </c>
      <c r="C1820" t="s">
        <v>40</v>
      </c>
      <c r="D1820">
        <v>3.1587299999999998</v>
      </c>
      <c r="E1820">
        <v>0.4879173</v>
      </c>
      <c r="F1820" t="s">
        <v>49</v>
      </c>
      <c r="G1820">
        <v>-408.48880000000003</v>
      </c>
      <c r="H1820" s="1">
        <v>4.7243620000000003E-6</v>
      </c>
      <c r="I1820">
        <v>284.19749999999999</v>
      </c>
      <c r="J1820">
        <v>-354.0453</v>
      </c>
      <c r="K1820">
        <v>1.1069340000000001</v>
      </c>
      <c r="L1820">
        <v>284.55</v>
      </c>
      <c r="M1820">
        <v>-0.99953639999999999</v>
      </c>
      <c r="N1820">
        <v>0</v>
      </c>
      <c r="O1820">
        <v>2.895292E-2</v>
      </c>
      <c r="P1820">
        <v>-0.98888739999999997</v>
      </c>
      <c r="Q1820">
        <v>0.1460774</v>
      </c>
      <c r="R1820">
        <v>2.7626879999999999E-2</v>
      </c>
      <c r="S1820">
        <v>-3.0431819999999998</v>
      </c>
      <c r="T1820">
        <v>-6.1286689999999998E-2</v>
      </c>
      <c r="U1820">
        <v>-1.8676760000000001E-2</v>
      </c>
      <c r="V1820">
        <v>-3.5452339999999898E-4</v>
      </c>
      <c r="W1820">
        <v>0.1554024</v>
      </c>
      <c r="X1820">
        <v>0.98785120000000004</v>
      </c>
      <c r="Y1820">
        <v>-3.5075229999999999E-2</v>
      </c>
      <c r="Z1820">
        <v>-9.3614730000000001E-4</v>
      </c>
      <c r="AA1820">
        <v>0.99938419999999895</v>
      </c>
      <c r="AB1820">
        <v>51</v>
      </c>
      <c r="AC1820">
        <v>-54.4435</v>
      </c>
      <c r="AD1820">
        <v>-1.106929275638</v>
      </c>
      <c r="AE1820">
        <v>-0.35250000000002002</v>
      </c>
      <c r="AF1820">
        <v>-1.9279235063546101</v>
      </c>
      <c r="AG1820">
        <v>-1.106929275638</v>
      </c>
      <c r="AH1820">
        <v>54.387985743528802</v>
      </c>
      <c r="AI1820">
        <v>91.165217425911905</v>
      </c>
      <c r="AJ1820">
        <v>92.030147783058695</v>
      </c>
      <c r="AK1820">
        <v>54.433401278129899</v>
      </c>
      <c r="AL1820">
        <v>81.059865240813807</v>
      </c>
      <c r="AM1820">
        <v>90.020562503428195</v>
      </c>
      <c r="AN1820">
        <v>1.0000000124770201</v>
      </c>
    </row>
    <row r="1821" spans="1:40" x14ac:dyDescent="0.25">
      <c r="A1821" t="str">
        <f>"20190312172652014"</f>
        <v>20190312172652014</v>
      </c>
      <c r="B1821" t="str">
        <f>"1552382812010680"</f>
        <v>1552382812010680</v>
      </c>
      <c r="C1821" t="s">
        <v>40</v>
      </c>
      <c r="D1821">
        <v>3.1417269999999999</v>
      </c>
      <c r="E1821">
        <v>0.48768270000000002</v>
      </c>
      <c r="F1821" t="s">
        <v>49</v>
      </c>
      <c r="G1821">
        <v>-408.16309999999999</v>
      </c>
      <c r="H1821" s="1">
        <v>4.8581860000000004E-6</v>
      </c>
      <c r="I1821">
        <v>284.24880000000002</v>
      </c>
      <c r="J1821">
        <v>-354.52140000000003</v>
      </c>
      <c r="K1821">
        <v>1.1069199999999999</v>
      </c>
      <c r="L1821">
        <v>284.5643</v>
      </c>
      <c r="M1821">
        <v>-0.99950019999999995</v>
      </c>
      <c r="N1821">
        <v>0</v>
      </c>
      <c r="O1821">
        <v>3.017711E-2</v>
      </c>
      <c r="P1821">
        <v>-0.98886669999999999</v>
      </c>
      <c r="Q1821">
        <v>0.146032</v>
      </c>
      <c r="R1821">
        <v>2.8595249999999999E-2</v>
      </c>
      <c r="S1821">
        <v>-3.043396</v>
      </c>
      <c r="T1821">
        <v>-6.2249779999999998E-2</v>
      </c>
      <c r="U1821">
        <v>-1.6937259999999999E-2</v>
      </c>
      <c r="V1821">
        <v>-5.9334669999999896E-4</v>
      </c>
      <c r="W1821">
        <v>0.1553628</v>
      </c>
      <c r="X1821">
        <v>0.98785730000000005</v>
      </c>
      <c r="Y1821">
        <v>-3.5726819999999999E-2</v>
      </c>
      <c r="Z1821">
        <v>-9.8248299999999992E-4</v>
      </c>
      <c r="AA1821">
        <v>0.9993611</v>
      </c>
      <c r="AB1821">
        <v>51</v>
      </c>
      <c r="AC1821">
        <v>-53.641699999999901</v>
      </c>
      <c r="AD1821">
        <v>-1.106915141814</v>
      </c>
      <c r="AE1821">
        <v>-0.31549999999998501</v>
      </c>
      <c r="AF1821">
        <v>-1.93335634119406</v>
      </c>
      <c r="AG1821">
        <v>-1.106915141814</v>
      </c>
      <c r="AH1821">
        <v>53.584929732216096</v>
      </c>
      <c r="AI1821">
        <v>91.182633339861098</v>
      </c>
      <c r="AJ1821">
        <v>92.066348303189102</v>
      </c>
      <c r="AK1821">
        <v>53.631220592857503</v>
      </c>
      <c r="AL1821">
        <v>81.062161923221595</v>
      </c>
      <c r="AM1821">
        <v>90.034414138165204</v>
      </c>
      <c r="AN1821">
        <v>0.99999999842371801</v>
      </c>
    </row>
    <row r="1822" spans="1:40" x14ac:dyDescent="0.25">
      <c r="A1822" t="str">
        <f>"20190312172652037"</f>
        <v>20190312172652037</v>
      </c>
      <c r="B1822" t="str">
        <f>"1552382812030200"</f>
        <v>1552382812030200</v>
      </c>
      <c r="C1822" t="s">
        <v>40</v>
      </c>
      <c r="D1822">
        <v>3.1819069999999998</v>
      </c>
      <c r="E1822">
        <v>0.48755480000000001</v>
      </c>
      <c r="F1822" t="s">
        <v>49</v>
      </c>
      <c r="G1822">
        <v>-407.89030000000002</v>
      </c>
      <c r="H1822" s="1">
        <v>4.9709330000000004E-6</v>
      </c>
      <c r="I1822">
        <v>284.28870000000001</v>
      </c>
      <c r="J1822">
        <v>-355.04419999999999</v>
      </c>
      <c r="K1822">
        <v>1.1069100000000001</v>
      </c>
      <c r="L1822">
        <v>284.58069999999998</v>
      </c>
      <c r="M1822">
        <v>-0.99945859999999997</v>
      </c>
      <c r="N1822">
        <v>0</v>
      </c>
      <c r="O1822">
        <v>3.1521279999999999E-2</v>
      </c>
      <c r="P1822">
        <v>-0.98877729999999997</v>
      </c>
      <c r="Q1822">
        <v>0.1463701</v>
      </c>
      <c r="R1822">
        <v>2.9922190000000001E-2</v>
      </c>
      <c r="S1822">
        <v>-3.0435180000000002</v>
      </c>
      <c r="T1822">
        <v>-6.3125130000000002E-2</v>
      </c>
      <c r="U1822">
        <v>-1.5716549999999999E-2</v>
      </c>
      <c r="V1822">
        <v>-5.9001720000000004E-4</v>
      </c>
      <c r="W1822">
        <v>0.15570619999999999</v>
      </c>
      <c r="X1822">
        <v>0.98780319999999999</v>
      </c>
      <c r="Y1822">
        <v>-3.6668899999999997E-2</v>
      </c>
      <c r="Z1822">
        <v>-1.0338929999999999E-3</v>
      </c>
      <c r="AA1822">
        <v>0.99932690000000002</v>
      </c>
      <c r="AB1822">
        <v>51</v>
      </c>
      <c r="AC1822">
        <v>-52.8461</v>
      </c>
      <c r="AD1822">
        <v>-1.1069050290669999</v>
      </c>
      <c r="AE1822">
        <v>-0.291999999999973</v>
      </c>
      <c r="AF1822">
        <v>-1.9568471672047001</v>
      </c>
      <c r="AG1822">
        <v>-1.1069050290669999</v>
      </c>
      <c r="AH1822">
        <v>52.787474201113</v>
      </c>
      <c r="AI1822">
        <v>91.200439718921302</v>
      </c>
      <c r="AJ1822">
        <v>92.122999244979994</v>
      </c>
      <c r="AK1822">
        <v>52.835328352460699</v>
      </c>
      <c r="AL1822">
        <v>81.042243864035498</v>
      </c>
      <c r="AM1822">
        <v>90.034222901261899</v>
      </c>
      <c r="AN1822">
        <v>0.99999996538448699</v>
      </c>
    </row>
    <row r="1823" spans="1:40" x14ac:dyDescent="0.25">
      <c r="A1823" t="str">
        <f>"20190312172652059"</f>
        <v>20190312172652059</v>
      </c>
      <c r="B1823" t="str">
        <f>"1552382812050700"</f>
        <v>1552382812050700</v>
      </c>
      <c r="C1823" t="s">
        <v>40</v>
      </c>
      <c r="D1823">
        <v>3.1483439999999998</v>
      </c>
      <c r="E1823">
        <v>0.4874135</v>
      </c>
      <c r="F1823" t="s">
        <v>49</v>
      </c>
      <c r="G1823">
        <v>-408.53100000000001</v>
      </c>
      <c r="H1823" s="1">
        <v>4.6729970000000001E-6</v>
      </c>
      <c r="I1823">
        <v>284.35550000000001</v>
      </c>
      <c r="J1823">
        <v>-355.54320000000001</v>
      </c>
      <c r="K1823">
        <v>1.1069020000000001</v>
      </c>
      <c r="L1823">
        <v>284.59699999999998</v>
      </c>
      <c r="M1823">
        <v>-0.99941709999999995</v>
      </c>
      <c r="N1823">
        <v>0</v>
      </c>
      <c r="O1823">
        <v>3.280404E-2</v>
      </c>
      <c r="P1823">
        <v>-0.98874309999999999</v>
      </c>
      <c r="Q1823">
        <v>0.14634810000000001</v>
      </c>
      <c r="R1823">
        <v>3.113289E-2</v>
      </c>
      <c r="S1823">
        <v>-3.0437620000000001</v>
      </c>
      <c r="T1823">
        <v>-6.299043E-2</v>
      </c>
      <c r="U1823">
        <v>-1.281738E-2</v>
      </c>
      <c r="V1823">
        <v>-6.4559909999999999E-4</v>
      </c>
      <c r="W1823">
        <v>0.1556902</v>
      </c>
      <c r="X1823">
        <v>0.98780570000000001</v>
      </c>
      <c r="Y1823">
        <v>-3.6998990000000002E-2</v>
      </c>
      <c r="Z1823">
        <v>-1.0615550000000001E-3</v>
      </c>
      <c r="AA1823">
        <v>0.9993147</v>
      </c>
      <c r="AB1823">
        <v>51</v>
      </c>
      <c r="AC1823">
        <v>-52.987799999999901</v>
      </c>
      <c r="AD1823">
        <v>-1.106897327003</v>
      </c>
      <c r="AE1823">
        <v>-0.24149999999997299</v>
      </c>
      <c r="AF1823">
        <v>-1.9787981027264401</v>
      </c>
      <c r="AG1823">
        <v>-1.106897327003</v>
      </c>
      <c r="AH1823">
        <v>52.928260776140498</v>
      </c>
      <c r="AI1823">
        <v>91.197225144198896</v>
      </c>
      <c r="AJ1823">
        <v>92.141086793220893</v>
      </c>
      <c r="AK1823">
        <v>52.976802965175402</v>
      </c>
      <c r="AL1823">
        <v>81.043172028915606</v>
      </c>
      <c r="AM1823">
        <v>90.037446735143007</v>
      </c>
      <c r="AN1823">
        <v>0.99999997806336305</v>
      </c>
    </row>
    <row r="1824" spans="1:40" x14ac:dyDescent="0.25">
      <c r="A1824" t="str">
        <f>"20190312172652081"</f>
        <v>20190312172652081</v>
      </c>
      <c r="B1824" t="str">
        <f>"1552382812070217"</f>
        <v>1552382812070217</v>
      </c>
      <c r="C1824" t="s">
        <v>40</v>
      </c>
      <c r="D1824">
        <v>3.183589</v>
      </c>
      <c r="E1824">
        <v>0.4869927</v>
      </c>
      <c r="F1824" t="s">
        <v>49</v>
      </c>
      <c r="G1824">
        <v>-408.62979999999999</v>
      </c>
      <c r="H1824" s="1">
        <v>4.6153700000000003E-6</v>
      </c>
      <c r="I1824">
        <v>284.42250000000001</v>
      </c>
      <c r="J1824">
        <v>-356.05079999999998</v>
      </c>
      <c r="K1824">
        <v>1.1068979999999999</v>
      </c>
      <c r="L1824">
        <v>284.61430000000001</v>
      </c>
      <c r="M1824">
        <v>-0.99937350000000003</v>
      </c>
      <c r="N1824">
        <v>0</v>
      </c>
      <c r="O1824">
        <v>3.4108920000000001E-2</v>
      </c>
      <c r="P1824">
        <v>-0.98879379999999994</v>
      </c>
      <c r="Q1824">
        <v>0.14584</v>
      </c>
      <c r="R1824">
        <v>3.1898900000000001E-2</v>
      </c>
      <c r="S1824">
        <v>-3.0438540000000001</v>
      </c>
      <c r="T1824">
        <v>-6.3466789999999995E-2</v>
      </c>
      <c r="U1824">
        <v>-1.0009769999999999E-2</v>
      </c>
      <c r="V1824">
        <v>-1.172296E-3</v>
      </c>
      <c r="W1824">
        <v>0.15519089999999999</v>
      </c>
      <c r="X1824">
        <v>0.98788379999999998</v>
      </c>
      <c r="Y1824">
        <v>-3.7381299999999999E-2</v>
      </c>
      <c r="Z1824">
        <v>-1.1007289999999999E-3</v>
      </c>
      <c r="AA1824">
        <v>0.99930050000000004</v>
      </c>
      <c r="AB1824">
        <v>51</v>
      </c>
      <c r="AC1824">
        <v>-52.579000000000001</v>
      </c>
      <c r="AD1824">
        <v>-1.10689338463</v>
      </c>
      <c r="AE1824">
        <v>-0.1918</v>
      </c>
      <c r="AF1824">
        <v>-1.98430186725209</v>
      </c>
      <c r="AG1824">
        <v>-1.10689338463</v>
      </c>
      <c r="AH1824">
        <v>52.518585057302602</v>
      </c>
      <c r="AI1824">
        <v>91.206539208666797</v>
      </c>
      <c r="AJ1824">
        <v>92.163768659767101</v>
      </c>
      <c r="AK1824">
        <v>52.567712935664602</v>
      </c>
      <c r="AL1824">
        <v>81.072131973100795</v>
      </c>
      <c r="AM1824">
        <v>90.067991378754996</v>
      </c>
      <c r="AN1824">
        <v>0.99999999601157996</v>
      </c>
    </row>
    <row r="1825" spans="1:40" x14ac:dyDescent="0.25">
      <c r="A1825" t="str">
        <f>"20190312172652104"</f>
        <v>20190312172652104</v>
      </c>
      <c r="B1825" t="str">
        <f>"1552382812100473"</f>
        <v>1552382812100473</v>
      </c>
      <c r="C1825" t="s">
        <v>40</v>
      </c>
      <c r="D1825">
        <v>3.1755849999999999</v>
      </c>
      <c r="E1825">
        <v>0.48627019999999999</v>
      </c>
      <c r="F1825" t="s">
        <v>48</v>
      </c>
      <c r="G1825">
        <v>-390.79230000000001</v>
      </c>
      <c r="H1825" s="1">
        <v>-1.115165E-6</v>
      </c>
      <c r="I1825">
        <v>284.495</v>
      </c>
      <c r="J1825">
        <v>-356.56959999999998</v>
      </c>
      <c r="K1825">
        <v>1.106892</v>
      </c>
      <c r="L1825">
        <v>284.63260000000002</v>
      </c>
      <c r="M1825">
        <v>-0.99932690000000002</v>
      </c>
      <c r="N1825">
        <v>0</v>
      </c>
      <c r="O1825">
        <v>3.5441559999999997E-2</v>
      </c>
      <c r="P1825">
        <v>-0.98875310000000005</v>
      </c>
      <c r="Q1825">
        <v>0.14584229999999901</v>
      </c>
      <c r="R1825">
        <v>3.312495E-2</v>
      </c>
      <c r="S1825">
        <v>-3.0486759999999999</v>
      </c>
      <c r="T1825">
        <v>-9.7133990000000003E-2</v>
      </c>
      <c r="U1825">
        <v>-1.0467529999999999E-2</v>
      </c>
      <c r="V1825">
        <v>-1.262266E-3</v>
      </c>
      <c r="W1825">
        <v>0.15519939999999999</v>
      </c>
      <c r="X1825">
        <v>0.98788240000000005</v>
      </c>
      <c r="Y1825">
        <v>-3.8836540000000003E-2</v>
      </c>
      <c r="Z1825">
        <v>-1.74733299999999E-3</v>
      </c>
      <c r="AA1825">
        <v>0.99924400000000002</v>
      </c>
      <c r="AB1825">
        <v>51</v>
      </c>
      <c r="AC1825">
        <v>-34.222700000000003</v>
      </c>
      <c r="AD1825">
        <v>-1.1068931151650001</v>
      </c>
      <c r="AE1825">
        <v>-0.13760000000002001</v>
      </c>
      <c r="AF1825">
        <v>-1.34906252552242</v>
      </c>
      <c r="AG1825">
        <v>-1.1068931151650001</v>
      </c>
      <c r="AH1825">
        <v>34.160585099882603</v>
      </c>
      <c r="AI1825">
        <v>91.854440618062895</v>
      </c>
      <c r="AJ1825">
        <v>92.261537468265402</v>
      </c>
      <c r="AK1825">
        <v>34.205127633623697</v>
      </c>
      <c r="AL1825">
        <v>81.071639396688497</v>
      </c>
      <c r="AM1825">
        <v>90.073209599709301</v>
      </c>
      <c r="AN1825">
        <v>1.0000000416527799</v>
      </c>
    </row>
    <row r="1826" spans="1:40" x14ac:dyDescent="0.25">
      <c r="A1826" t="str">
        <f>"20190312172652126"</f>
        <v>20190312172652126</v>
      </c>
      <c r="B1826" t="str">
        <f>"1552382812120969"</f>
        <v>1552382812120969</v>
      </c>
      <c r="C1826" t="s">
        <v>40</v>
      </c>
      <c r="D1826">
        <v>3.2133150000000001</v>
      </c>
      <c r="E1826">
        <v>0.48599229999999999</v>
      </c>
      <c r="F1826" t="s">
        <v>48</v>
      </c>
      <c r="G1826">
        <v>-392.85559999999998</v>
      </c>
      <c r="H1826" s="1">
        <v>-1.7167929999999999E-8</v>
      </c>
      <c r="I1826">
        <v>284.49020000000002</v>
      </c>
      <c r="J1826">
        <v>-357.08920000000001</v>
      </c>
      <c r="K1826">
        <v>1.1068880000000001</v>
      </c>
      <c r="L1826">
        <v>284.65159999999997</v>
      </c>
      <c r="M1826">
        <v>-0.99927889999999997</v>
      </c>
      <c r="N1826">
        <v>0</v>
      </c>
      <c r="O1826">
        <v>3.6773840000000002E-2</v>
      </c>
      <c r="P1826">
        <v>-0.98878750000000004</v>
      </c>
      <c r="Q1826">
        <v>0.14536930000000001</v>
      </c>
      <c r="R1826">
        <v>3.416723E-2</v>
      </c>
      <c r="S1826">
        <v>-3.0482480000000001</v>
      </c>
      <c r="T1826">
        <v>-9.2985750000000006E-2</v>
      </c>
      <c r="U1826">
        <v>-1.196289E-2</v>
      </c>
      <c r="V1826">
        <v>-1.540776E-3</v>
      </c>
      <c r="W1826">
        <v>0.15473390000000001</v>
      </c>
      <c r="X1826">
        <v>0.98795500000000003</v>
      </c>
      <c r="Y1826">
        <v>-4.0661009999999997E-2</v>
      </c>
      <c r="Z1826">
        <v>-1.7414170000000001E-3</v>
      </c>
      <c r="AA1826">
        <v>0.99917149999999999</v>
      </c>
      <c r="AB1826">
        <v>51</v>
      </c>
      <c r="AC1826">
        <v>-35.766399999999898</v>
      </c>
      <c r="AD1826">
        <v>-1.1068880171679201</v>
      </c>
      <c r="AE1826">
        <v>-0.16139999999995699</v>
      </c>
      <c r="AF1826">
        <v>-1.4752046017551099</v>
      </c>
      <c r="AG1826">
        <v>-1.1068880171679201</v>
      </c>
      <c r="AH1826">
        <v>35.702077025345901</v>
      </c>
      <c r="AI1826">
        <v>91.774285709271894</v>
      </c>
      <c r="AJ1826">
        <v>92.366107267746202</v>
      </c>
      <c r="AK1826">
        <v>35.749681587719401</v>
      </c>
      <c r="AL1826">
        <v>81.098636503816095</v>
      </c>
      <c r="AM1826">
        <v>90.089356185659</v>
      </c>
      <c r="AN1826">
        <v>1.00000001791244</v>
      </c>
    </row>
    <row r="1827" spans="1:40" x14ac:dyDescent="0.25">
      <c r="A1827" t="str">
        <f>"20190312172652151"</f>
        <v>20190312172652151</v>
      </c>
      <c r="B1827" t="str">
        <f>"1552382812140489"</f>
        <v>1552382812140489</v>
      </c>
      <c r="C1827" t="s">
        <v>40</v>
      </c>
      <c r="D1827">
        <v>3.2427800000000002</v>
      </c>
      <c r="E1827">
        <v>0.48587140000000001</v>
      </c>
      <c r="F1827" t="s">
        <v>48</v>
      </c>
      <c r="G1827">
        <v>-393.64229999999998</v>
      </c>
      <c r="H1827" s="1">
        <v>4.0146629999999998E-7</v>
      </c>
      <c r="I1827">
        <v>284.52210000000002</v>
      </c>
      <c r="J1827">
        <v>-357.62560000000002</v>
      </c>
      <c r="K1827">
        <v>1.1068800000000001</v>
      </c>
      <c r="L1827">
        <v>284.6721</v>
      </c>
      <c r="M1827">
        <v>-0.99922730000000004</v>
      </c>
      <c r="N1827">
        <v>0</v>
      </c>
      <c r="O1827">
        <v>3.8147769999999998E-2</v>
      </c>
      <c r="P1827">
        <v>-0.98867530000000003</v>
      </c>
      <c r="Q1827">
        <v>0.14581189999999999</v>
      </c>
      <c r="R1827">
        <v>3.5500280000000002E-2</v>
      </c>
      <c r="S1827">
        <v>-3.0479430000000001</v>
      </c>
      <c r="T1827">
        <v>-9.2296600000000006E-2</v>
      </c>
      <c r="U1827">
        <v>-1.0803220000000001E-2</v>
      </c>
      <c r="V1827">
        <v>-1.5613929999999999E-3</v>
      </c>
      <c r="W1827">
        <v>0.155182399999999</v>
      </c>
      <c r="X1827">
        <v>0.9878846</v>
      </c>
      <c r="Y1827">
        <v>-4.1654490000000002E-2</v>
      </c>
      <c r="Z1827">
        <v>-1.7853039999999999E-3</v>
      </c>
      <c r="AA1827">
        <v>0.99913050000000003</v>
      </c>
      <c r="AB1827">
        <v>51</v>
      </c>
      <c r="AC1827">
        <v>-36.016699999999901</v>
      </c>
      <c r="AD1827">
        <v>-1.1068795985337001</v>
      </c>
      <c r="AE1827">
        <v>-0.14999999999997701</v>
      </c>
      <c r="AF1827">
        <v>-1.5224711985621699</v>
      </c>
      <c r="AG1827">
        <v>-1.1068795985337001</v>
      </c>
      <c r="AH1827">
        <v>35.950804754607702</v>
      </c>
      <c r="AI1827">
        <v>91.761928923418495</v>
      </c>
      <c r="AJ1827">
        <v>92.424954976536299</v>
      </c>
      <c r="AK1827">
        <v>36.000048104134898</v>
      </c>
      <c r="AL1827">
        <v>81.072624987182905</v>
      </c>
      <c r="AM1827">
        <v>90.090558304650799</v>
      </c>
      <c r="AN1827">
        <v>0.99999999906751003</v>
      </c>
    </row>
    <row r="1828" spans="1:40" x14ac:dyDescent="0.25">
      <c r="A1828" t="str">
        <f>"20190312172652172"</f>
        <v>20190312172652172</v>
      </c>
      <c r="B1828" t="str">
        <f>"1552382812160985"</f>
        <v>1552382812160985</v>
      </c>
      <c r="C1828" t="s">
        <v>40</v>
      </c>
      <c r="D1828">
        <v>3.2038500000000001</v>
      </c>
      <c r="E1828">
        <v>0.48590129999999998</v>
      </c>
      <c r="F1828" t="s">
        <v>48</v>
      </c>
      <c r="G1828">
        <v>-395.30189999999999</v>
      </c>
      <c r="H1828" s="1">
        <v>1.284632E-6</v>
      </c>
      <c r="I1828">
        <v>284.57429999999999</v>
      </c>
      <c r="J1828">
        <v>-358.13099999999997</v>
      </c>
      <c r="K1828">
        <v>1.1068750000000001</v>
      </c>
      <c r="L1828">
        <v>284.69200000000001</v>
      </c>
      <c r="M1828">
        <v>-0.99917699999999998</v>
      </c>
      <c r="N1828">
        <v>0</v>
      </c>
      <c r="O1828">
        <v>3.9441589999999999E-2</v>
      </c>
      <c r="P1828">
        <v>-0.98865219999999998</v>
      </c>
      <c r="Q1828">
        <v>0.14565259999999999</v>
      </c>
      <c r="R1828">
        <v>3.6774210000000002E-2</v>
      </c>
      <c r="S1828">
        <v>-3.0478519999999998</v>
      </c>
      <c r="T1828">
        <v>-8.9541670000000004E-2</v>
      </c>
      <c r="U1828">
        <v>-7.9040529999999994E-3</v>
      </c>
      <c r="V1828">
        <v>-1.567555E-3</v>
      </c>
      <c r="W1828">
        <v>0.155029799999999</v>
      </c>
      <c r="X1828">
        <v>0.98790849999999997</v>
      </c>
      <c r="Y1828">
        <v>-4.1999380000000003E-2</v>
      </c>
      <c r="Z1828">
        <v>-1.7751360000000001E-3</v>
      </c>
      <c r="AA1828">
        <v>0.99911609999999995</v>
      </c>
      <c r="AB1828">
        <v>51</v>
      </c>
      <c r="AC1828">
        <v>-37.170900000000003</v>
      </c>
      <c r="AD1828">
        <v>-1.1068737153679999</v>
      </c>
      <c r="AE1828">
        <v>-0.117700000000013</v>
      </c>
      <c r="AF1828">
        <v>-1.58235045161697</v>
      </c>
      <c r="AG1828">
        <v>-1.1068737153679999</v>
      </c>
      <c r="AH1828">
        <v>37.104430242168498</v>
      </c>
      <c r="AI1828">
        <v>91.707150601588296</v>
      </c>
      <c r="AJ1828">
        <v>92.441948319449693</v>
      </c>
      <c r="AK1828">
        <v>37.154646357749897</v>
      </c>
      <c r="AL1828">
        <v>81.081474993882907</v>
      </c>
      <c r="AM1828">
        <v>90.090913490751603</v>
      </c>
      <c r="AN1828">
        <v>0.99999995024448196</v>
      </c>
    </row>
    <row r="1829" spans="1:40" x14ac:dyDescent="0.25">
      <c r="A1829" t="str">
        <f>"20190312172652193"</f>
        <v>20190312172652193</v>
      </c>
      <c r="B1829" t="str">
        <f>"1552382812180505"</f>
        <v>1552382812180505</v>
      </c>
      <c r="C1829" t="s">
        <v>40</v>
      </c>
      <c r="D1829">
        <v>3.2126329999999998</v>
      </c>
      <c r="E1829">
        <v>0.48582249999999999</v>
      </c>
      <c r="F1829" t="s">
        <v>48</v>
      </c>
      <c r="G1829">
        <v>-394.70209999999997</v>
      </c>
      <c r="H1829" s="1">
        <v>9.6544729999999995E-7</v>
      </c>
      <c r="I1829">
        <v>284.6454</v>
      </c>
      <c r="J1829">
        <v>-358.61759999999998</v>
      </c>
      <c r="K1829">
        <v>1.1068720000000001</v>
      </c>
      <c r="L1829">
        <v>284.71170000000001</v>
      </c>
      <c r="M1829">
        <v>-0.99912710000000005</v>
      </c>
      <c r="N1829">
        <v>0</v>
      </c>
      <c r="O1829">
        <v>4.0685039999999999E-2</v>
      </c>
      <c r="P1829">
        <v>-0.98868579999999995</v>
      </c>
      <c r="Q1829">
        <v>0.14516019999999999</v>
      </c>
      <c r="R1829">
        <v>3.7807199999999902E-2</v>
      </c>
      <c r="S1829">
        <v>-3.0481569999999998</v>
      </c>
      <c r="T1829">
        <v>-9.2256550000000007E-2</v>
      </c>
      <c r="U1829">
        <v>-3.8757319999999998E-3</v>
      </c>
      <c r="V1829">
        <v>-1.7693089999999999E-3</v>
      </c>
      <c r="W1829">
        <v>0.1545445</v>
      </c>
      <c r="X1829">
        <v>0.98798419999999998</v>
      </c>
      <c r="Y1829">
        <v>-4.191947E-2</v>
      </c>
      <c r="Z1829">
        <v>-1.865142E-3</v>
      </c>
      <c r="AA1829">
        <v>0.99911930000000004</v>
      </c>
      <c r="AB1829">
        <v>51</v>
      </c>
      <c r="AC1829">
        <v>-36.084499999999899</v>
      </c>
      <c r="AD1829">
        <v>-1.10687103455269</v>
      </c>
      <c r="AE1829">
        <v>-6.6300000000012405E-2</v>
      </c>
      <c r="AF1829">
        <v>-1.53296792757569</v>
      </c>
      <c r="AG1829">
        <v>-1.10687103455269</v>
      </c>
      <c r="AH1829">
        <v>36.018032598903702</v>
      </c>
      <c r="AI1829">
        <v>91.758612924200193</v>
      </c>
      <c r="AJ1829">
        <v>92.437101886258205</v>
      </c>
      <c r="AK1829">
        <v>36.067628511586399</v>
      </c>
      <c r="AL1829">
        <v>81.109619896883402</v>
      </c>
      <c r="AM1829">
        <v>90.1026067319536</v>
      </c>
      <c r="AN1829">
        <v>0.99999995619211202</v>
      </c>
    </row>
    <row r="1830" spans="1:40" x14ac:dyDescent="0.25">
      <c r="A1830" t="str">
        <f>"20190312172652216"</f>
        <v>20190312172652216</v>
      </c>
      <c r="B1830" t="str">
        <f>"1552382812210761"</f>
        <v>1552382812210761</v>
      </c>
      <c r="C1830" t="s">
        <v>40</v>
      </c>
      <c r="D1830">
        <v>3.206601</v>
      </c>
      <c r="E1830">
        <v>0.48563709999999999</v>
      </c>
      <c r="F1830" t="s">
        <v>48</v>
      </c>
      <c r="G1830">
        <v>-394.59530000000001</v>
      </c>
      <c r="H1830" s="1">
        <v>9.085848E-7</v>
      </c>
      <c r="I1830">
        <v>284.7002</v>
      </c>
      <c r="J1830">
        <v>-359.1327</v>
      </c>
      <c r="K1830">
        <v>1.1068659999999999</v>
      </c>
      <c r="L1830">
        <v>284.73329999999999</v>
      </c>
      <c r="M1830">
        <v>-0.99907299999999999</v>
      </c>
      <c r="N1830">
        <v>0</v>
      </c>
      <c r="O1830">
        <v>4.1993799999999998E-2</v>
      </c>
      <c r="P1830">
        <v>-0.98864790000000002</v>
      </c>
      <c r="Q1830">
        <v>0.14500439999999901</v>
      </c>
      <c r="R1830">
        <v>3.9361010000000002E-2</v>
      </c>
      <c r="S1830">
        <v>-3.0481569999999998</v>
      </c>
      <c r="T1830">
        <v>-9.3778130000000001E-2</v>
      </c>
      <c r="U1830">
        <v>-9.765625E-4</v>
      </c>
      <c r="V1830">
        <v>-1.5116489999999999E-3</v>
      </c>
      <c r="W1830">
        <v>0.15439430000000001</v>
      </c>
      <c r="X1830">
        <v>0.98800809999999994</v>
      </c>
      <c r="Y1830">
        <v>-4.2275920000000002E-2</v>
      </c>
      <c r="Z1830">
        <v>-1.9415979999999999E-3</v>
      </c>
      <c r="AA1830">
        <v>0.99910410000000005</v>
      </c>
      <c r="AB1830">
        <v>51</v>
      </c>
      <c r="AC1830">
        <v>-35.462600000000002</v>
      </c>
      <c r="AD1830">
        <v>-1.1068650914151901</v>
      </c>
      <c r="AE1830">
        <v>-3.3099999999990297E-2</v>
      </c>
      <c r="AF1830">
        <v>-1.5208652715817099</v>
      </c>
      <c r="AG1830">
        <v>-1.1068650914151901</v>
      </c>
      <c r="AH1830">
        <v>35.395442340947199</v>
      </c>
      <c r="AI1830">
        <v>91.789485563142904</v>
      </c>
      <c r="AJ1830">
        <v>92.460361798074103</v>
      </c>
      <c r="AK1830">
        <v>35.445387852529002</v>
      </c>
      <c r="AL1830">
        <v>81.118330171536002</v>
      </c>
      <c r="AM1830">
        <v>90.087662277488306</v>
      </c>
      <c r="AN1830">
        <v>0.99999994531039804</v>
      </c>
    </row>
    <row r="1831" spans="1:40" x14ac:dyDescent="0.25">
      <c r="A1831" t="str">
        <f>"20190312172652239"</f>
        <v>20190312172652239</v>
      </c>
      <c r="B1831" t="str">
        <f>"1552382812230280"</f>
        <v>1552382812230280</v>
      </c>
      <c r="C1831" t="s">
        <v>40</v>
      </c>
      <c r="D1831">
        <v>3.2370510000000001</v>
      </c>
      <c r="E1831">
        <v>0.48548429999999998</v>
      </c>
      <c r="F1831" t="s">
        <v>48</v>
      </c>
      <c r="G1831">
        <v>-395.23239999999998</v>
      </c>
      <c r="H1831" s="1">
        <v>1.2476379999999999E-6</v>
      </c>
      <c r="I1831">
        <v>284.7629</v>
      </c>
      <c r="J1831">
        <v>-359.65129999999999</v>
      </c>
      <c r="K1831">
        <v>1.1068720000000001</v>
      </c>
      <c r="L1831">
        <v>284.75569999999999</v>
      </c>
      <c r="M1831">
        <v>-0.99901719999999905</v>
      </c>
      <c r="N1831">
        <v>0</v>
      </c>
      <c r="O1831">
        <v>4.329616E-2</v>
      </c>
      <c r="P1831">
        <v>-0.98862439999999996</v>
      </c>
      <c r="Q1831">
        <v>0.14480460000000001</v>
      </c>
      <c r="R1831">
        <v>4.066641E-2</v>
      </c>
      <c r="S1831">
        <v>-3.048035</v>
      </c>
      <c r="T1831">
        <v>-9.3456860000000003E-2</v>
      </c>
      <c r="U1831">
        <v>2.5024410000000002E-3</v>
      </c>
      <c r="V1831">
        <v>-1.498975E-3</v>
      </c>
      <c r="W1831">
        <v>0.15420110000000001</v>
      </c>
      <c r="X1831">
        <v>0.98803839999999998</v>
      </c>
      <c r="Y1831">
        <v>-4.2437580000000003E-2</v>
      </c>
      <c r="Z1831">
        <v>-1.977393E-3</v>
      </c>
      <c r="AA1831">
        <v>0.99909720000000002</v>
      </c>
      <c r="AB1831">
        <v>51</v>
      </c>
      <c r="AC1831">
        <v>-35.5810999999999</v>
      </c>
      <c r="AD1831">
        <v>-1.1068707523619901</v>
      </c>
      <c r="AE1831">
        <v>7.2000000000116398E-3</v>
      </c>
      <c r="AF1831">
        <v>-1.5319186515219301</v>
      </c>
      <c r="AG1831">
        <v>-1.1068707523619901</v>
      </c>
      <c r="AH1831">
        <v>35.513675969602602</v>
      </c>
      <c r="AI1831">
        <v>91.783528019946402</v>
      </c>
      <c r="AJ1831">
        <v>92.469980696253103</v>
      </c>
      <c r="AK1831">
        <v>35.563930020334404</v>
      </c>
      <c r="AL1831">
        <v>81.129534851126493</v>
      </c>
      <c r="AM1831">
        <v>90.086924632891794</v>
      </c>
      <c r="AN1831">
        <v>1.0000000530208999</v>
      </c>
    </row>
    <row r="1832" spans="1:40" x14ac:dyDescent="0.25">
      <c r="A1832" t="str">
        <f>"20190312172652261"</f>
        <v>20190312172652261</v>
      </c>
      <c r="B1832" t="str">
        <f>"1552382812250780"</f>
        <v>1552382812250780</v>
      </c>
      <c r="C1832" t="s">
        <v>40</v>
      </c>
      <c r="D1832">
        <v>3.3311489999999999</v>
      </c>
      <c r="E1832">
        <v>0.48524820000000002</v>
      </c>
      <c r="F1832" t="s">
        <v>48</v>
      </c>
      <c r="G1832">
        <v>-395.9633</v>
      </c>
      <c r="H1832" s="1">
        <v>1.6365619999999999E-6</v>
      </c>
      <c r="I1832">
        <v>284.81279999999998</v>
      </c>
      <c r="J1832">
        <v>-360.17520000000002</v>
      </c>
      <c r="K1832">
        <v>1.1068750000000001</v>
      </c>
      <c r="L1832">
        <v>284.779</v>
      </c>
      <c r="M1832">
        <v>-0.99896039999999997</v>
      </c>
      <c r="N1832">
        <v>0</v>
      </c>
      <c r="O1832">
        <v>4.4585760000000002E-2</v>
      </c>
      <c r="P1832">
        <v>-0.98866549999999997</v>
      </c>
      <c r="Q1832">
        <v>0.1440398</v>
      </c>
      <c r="R1832">
        <v>4.2349060000000001E-2</v>
      </c>
      <c r="S1832">
        <v>-3.047974</v>
      </c>
      <c r="T1832">
        <v>-9.2909220000000001E-2</v>
      </c>
      <c r="U1832">
        <v>4.7912600000000003E-3</v>
      </c>
      <c r="V1832">
        <v>-1.1047679999999999E-3</v>
      </c>
      <c r="W1832">
        <v>0.1534421</v>
      </c>
      <c r="X1832">
        <v>0.98815699999999995</v>
      </c>
      <c r="Y1832">
        <v>-4.2976680000000003E-2</v>
      </c>
      <c r="Z1832">
        <v>-2.013333E-3</v>
      </c>
      <c r="AA1832">
        <v>0.99907400000000002</v>
      </c>
      <c r="AB1832">
        <v>51</v>
      </c>
      <c r="AC1832">
        <v>-35.788099999999901</v>
      </c>
      <c r="AD1832">
        <v>-1.1068733634379999</v>
      </c>
      <c r="AE1832">
        <v>3.3799999999985099E-2</v>
      </c>
      <c r="AF1832">
        <v>-1.5604525570215999</v>
      </c>
      <c r="AG1832">
        <v>-1.1068733634379999</v>
      </c>
      <c r="AH1832">
        <v>35.719846108198503</v>
      </c>
      <c r="AI1832">
        <v>91.773202288803603</v>
      </c>
      <c r="AJ1832">
        <v>92.501425503823896</v>
      </c>
      <c r="AK1832">
        <v>35.771043971609103</v>
      </c>
      <c r="AL1832">
        <v>81.173545469967294</v>
      </c>
      <c r="AM1832">
        <v>90.064057146149693</v>
      </c>
      <c r="AN1832">
        <v>0.99999997760687098</v>
      </c>
    </row>
    <row r="1833" spans="1:40" x14ac:dyDescent="0.25">
      <c r="A1833" t="str">
        <f>"20190312172652282"</f>
        <v>20190312172652282</v>
      </c>
      <c r="B1833" t="str">
        <f>"1552382812270297"</f>
        <v>1552382812270297</v>
      </c>
      <c r="C1833" t="s">
        <v>40</v>
      </c>
      <c r="D1833">
        <v>3.2395550000000002</v>
      </c>
      <c r="E1833">
        <v>0.48494690000000001</v>
      </c>
      <c r="F1833" t="s">
        <v>48</v>
      </c>
      <c r="G1833">
        <v>-396.245</v>
      </c>
      <c r="H1833" s="1">
        <v>1.7864679999999999E-6</v>
      </c>
      <c r="I1833">
        <v>284.8689</v>
      </c>
      <c r="J1833">
        <v>-360.66219999999998</v>
      </c>
      <c r="K1833">
        <v>1.106895</v>
      </c>
      <c r="L1833">
        <v>284.80119999999999</v>
      </c>
      <c r="M1833">
        <v>-0.99890800000000002</v>
      </c>
      <c r="N1833">
        <v>0</v>
      </c>
      <c r="O1833">
        <v>4.5745479999999998E-2</v>
      </c>
      <c r="P1833">
        <v>-0.98873809999999995</v>
      </c>
      <c r="Q1833">
        <v>0.14322070000000001</v>
      </c>
      <c r="R1833">
        <v>4.3417280000000003E-2</v>
      </c>
      <c r="S1833">
        <v>-3.0476990000000002</v>
      </c>
      <c r="T1833">
        <v>-9.3524689999999994E-2</v>
      </c>
      <c r="U1833">
        <v>7.59887699999999E-3</v>
      </c>
      <c r="V1833">
        <v>-1.2019859999999999E-3</v>
      </c>
      <c r="W1833">
        <v>0.15263019999999999</v>
      </c>
      <c r="X1833">
        <v>0.98828260000000001</v>
      </c>
      <c r="Y1833">
        <v>-4.3214839999999997E-2</v>
      </c>
      <c r="Z1833">
        <v>-2.066044E-3</v>
      </c>
      <c r="AA1833">
        <v>0.9990637</v>
      </c>
      <c r="AB1833">
        <v>52</v>
      </c>
      <c r="AC1833">
        <v>-35.582799999999999</v>
      </c>
      <c r="AD1833">
        <v>-1.106893213532</v>
      </c>
      <c r="AE1833">
        <v>6.7700000000001995E-2</v>
      </c>
      <c r="AF1833">
        <v>-1.5586882242592599</v>
      </c>
      <c r="AG1833">
        <v>-1.106893213532</v>
      </c>
      <c r="AH1833">
        <v>35.514276808311401</v>
      </c>
      <c r="AI1833">
        <v>91.783475742156696</v>
      </c>
      <c r="AJ1833">
        <v>92.5130451464304</v>
      </c>
      <c r="AK1833">
        <v>35.565693846514101</v>
      </c>
      <c r="AL1833">
        <v>81.220618252216397</v>
      </c>
      <c r="AM1833">
        <v>90.069685220478604</v>
      </c>
      <c r="AN1833">
        <v>0.99999996009257097</v>
      </c>
    </row>
    <row r="1834" spans="1:40" x14ac:dyDescent="0.25">
      <c r="A1834" t="str">
        <f>"20190312172652305"</f>
        <v>20190312172652305</v>
      </c>
      <c r="B1834" t="str">
        <f>"1552382812300553"</f>
        <v>1552382812300553</v>
      </c>
      <c r="C1834" t="s">
        <v>40</v>
      </c>
      <c r="D1834">
        <v>3.2538719999999999</v>
      </c>
      <c r="E1834">
        <v>0.48472569999999998</v>
      </c>
      <c r="F1834" t="s">
        <v>48</v>
      </c>
      <c r="G1834">
        <v>-396.1112</v>
      </c>
      <c r="H1834" s="1">
        <v>1.715281E-6</v>
      </c>
      <c r="I1834">
        <v>284.89670000000001</v>
      </c>
      <c r="J1834">
        <v>-361.18310000000002</v>
      </c>
      <c r="K1834">
        <v>1.106935</v>
      </c>
      <c r="L1834">
        <v>284.82560000000001</v>
      </c>
      <c r="M1834">
        <v>-0.99885310000000005</v>
      </c>
      <c r="N1834">
        <v>0</v>
      </c>
      <c r="O1834">
        <v>4.6924439999999998E-2</v>
      </c>
      <c r="P1834">
        <v>-0.98868699999999998</v>
      </c>
      <c r="Q1834">
        <v>0.1431066</v>
      </c>
      <c r="R1834">
        <v>4.4928679999999999E-2</v>
      </c>
      <c r="S1834">
        <v>-3.0476380000000001</v>
      </c>
      <c r="T1834">
        <v>-9.5162389999999999E-2</v>
      </c>
      <c r="U1834">
        <v>8.2092290000000002E-3</v>
      </c>
      <c r="V1834">
        <v>-8.7353940000000003E-4</v>
      </c>
      <c r="W1834">
        <v>0.1525241</v>
      </c>
      <c r="X1834">
        <v>0.98829940000000005</v>
      </c>
      <c r="Y1834">
        <v>-4.4191340000000003E-2</v>
      </c>
      <c r="Z1834">
        <v>-2.1542610000000002E-3</v>
      </c>
      <c r="AA1834">
        <v>0.99902080000000004</v>
      </c>
      <c r="AB1834">
        <v>52</v>
      </c>
      <c r="AC1834">
        <v>-34.928099999999901</v>
      </c>
      <c r="AD1834">
        <v>-1.1069332847190001</v>
      </c>
      <c r="AE1834">
        <v>7.1100000000001204E-2</v>
      </c>
      <c r="AF1834">
        <v>-1.56646079949082</v>
      </c>
      <c r="AG1834">
        <v>-1.1069332847190001</v>
      </c>
      <c r="AH1834">
        <v>34.857947584416799</v>
      </c>
      <c r="AI1834">
        <v>91.817015211066305</v>
      </c>
      <c r="AJ1834">
        <v>92.573050202030103</v>
      </c>
      <c r="AK1834">
        <v>34.910680465025401</v>
      </c>
      <c r="AL1834">
        <v>81.226770008840504</v>
      </c>
      <c r="AM1834">
        <v>90.0506426573005</v>
      </c>
      <c r="AN1834">
        <v>1.0000000340961199</v>
      </c>
    </row>
    <row r="1835" spans="1:40" x14ac:dyDescent="0.25">
      <c r="A1835" t="str">
        <f>"20190312172652327"</f>
        <v>20190312172652327</v>
      </c>
      <c r="B1835" t="str">
        <f>"1552382812321053"</f>
        <v>1552382812321053</v>
      </c>
      <c r="C1835" t="s">
        <v>40</v>
      </c>
      <c r="D1835">
        <v>3.303105</v>
      </c>
      <c r="E1835">
        <v>0.48452319999999999</v>
      </c>
      <c r="F1835" t="s">
        <v>48</v>
      </c>
      <c r="G1835">
        <v>-396.47280000000001</v>
      </c>
      <c r="H1835" s="1">
        <v>1.9077189999999999E-6</v>
      </c>
      <c r="I1835">
        <v>284.95139999999998</v>
      </c>
      <c r="J1835">
        <v>-361.71769999999998</v>
      </c>
      <c r="K1835">
        <v>1.106997</v>
      </c>
      <c r="L1835">
        <v>284.85109999999997</v>
      </c>
      <c r="M1835">
        <v>-0.99879989999999996</v>
      </c>
      <c r="N1835">
        <v>0</v>
      </c>
      <c r="O1835">
        <v>4.8043629999999997E-2</v>
      </c>
      <c r="P1835">
        <v>-0.98860800000000004</v>
      </c>
      <c r="Q1835">
        <v>0.1432716</v>
      </c>
      <c r="R1835">
        <v>4.6125430000000002E-2</v>
      </c>
      <c r="S1835">
        <v>-3.0476380000000001</v>
      </c>
      <c r="T1835">
        <v>-9.5595360000000004E-2</v>
      </c>
      <c r="U1835">
        <v>1.0864260000000001E-2</v>
      </c>
      <c r="V1835">
        <v>-8.0612759999999903E-4</v>
      </c>
      <c r="W1835">
        <v>0.15270039999999999</v>
      </c>
      <c r="X1835">
        <v>0.98827220000000005</v>
      </c>
      <c r="Y1835">
        <v>-4.4439350000000002E-2</v>
      </c>
      <c r="Z1835">
        <v>-2.2030029999999998E-3</v>
      </c>
      <c r="AA1835">
        <v>0.9990097</v>
      </c>
      <c r="AB1835">
        <v>52</v>
      </c>
      <c r="AC1835">
        <v>-34.755099999999999</v>
      </c>
      <c r="AD1835">
        <v>-1.1069950922809999</v>
      </c>
      <c r="AE1835">
        <v>0.100300000000004</v>
      </c>
      <c r="AF1835">
        <v>-1.56806182415109</v>
      </c>
      <c r="AG1835">
        <v>-1.1069950922809999</v>
      </c>
      <c r="AH1835">
        <v>34.684594080336602</v>
      </c>
      <c r="AI1835">
        <v>91.8261701817014</v>
      </c>
      <c r="AJ1835">
        <v>92.588532244180996</v>
      </c>
      <c r="AK1835">
        <v>34.737664321834004</v>
      </c>
      <c r="AL1835">
        <v>81.216548748976805</v>
      </c>
      <c r="AM1835">
        <v>90.046735807184703</v>
      </c>
      <c r="AN1835">
        <v>1.00000000164735</v>
      </c>
    </row>
    <row r="1836" spans="1:40" x14ac:dyDescent="0.25">
      <c r="A1836" t="str">
        <f>"20190312172652362"</f>
        <v>20190312172652362</v>
      </c>
      <c r="B1836" t="str">
        <f>"1552382812350329"</f>
        <v>1552382812350329</v>
      </c>
      <c r="C1836" t="s">
        <v>40</v>
      </c>
      <c r="D1836">
        <v>3.2315749999999999</v>
      </c>
      <c r="E1836">
        <v>0.48423569999999999</v>
      </c>
      <c r="F1836" t="s">
        <v>48</v>
      </c>
      <c r="G1836">
        <v>-397.32010000000002</v>
      </c>
      <c r="H1836" s="1">
        <v>2.3586050000000001E-6</v>
      </c>
      <c r="I1836">
        <v>284.99619999999999</v>
      </c>
      <c r="J1836">
        <v>-362.49619999999999</v>
      </c>
      <c r="K1836">
        <v>1.1071470000000001</v>
      </c>
      <c r="L1836">
        <v>284.88929999999999</v>
      </c>
      <c r="M1836">
        <v>-0.99873259999999997</v>
      </c>
      <c r="N1836">
        <v>0</v>
      </c>
      <c r="O1836">
        <v>4.9414270000000003E-2</v>
      </c>
      <c r="P1836">
        <v>-0.9886682</v>
      </c>
      <c r="Q1836">
        <v>0.14237649999999999</v>
      </c>
      <c r="R1836">
        <v>4.7584439999999999E-2</v>
      </c>
      <c r="S1836">
        <v>-3.0476990000000002</v>
      </c>
      <c r="T1836">
        <v>-9.476292E-2</v>
      </c>
      <c r="U1836">
        <v>1.242065E-2</v>
      </c>
      <c r="V1836">
        <v>-7.6758869999999995E-4</v>
      </c>
      <c r="W1836">
        <v>0.15183459999999999</v>
      </c>
      <c r="X1836">
        <v>0.9884056</v>
      </c>
      <c r="Y1836">
        <v>-4.529996E-2</v>
      </c>
      <c r="Z1836">
        <v>-2.2397250000000001E-3</v>
      </c>
      <c r="AA1836">
        <v>0.99897089999999999</v>
      </c>
      <c r="AB1836">
        <v>52</v>
      </c>
      <c r="AC1836">
        <v>-34.823900000000002</v>
      </c>
      <c r="AD1836">
        <v>-1.1071446413949999</v>
      </c>
      <c r="AE1836">
        <v>0.106899999999996</v>
      </c>
      <c r="AF1836">
        <v>-1.61247703360925</v>
      </c>
      <c r="AG1836">
        <v>-1.1071446413949999</v>
      </c>
      <c r="AH1836">
        <v>34.7515111903069</v>
      </c>
      <c r="AI1836">
        <v>91.822802998811994</v>
      </c>
      <c r="AJ1836">
        <v>92.656630106906405</v>
      </c>
      <c r="AK1836">
        <v>34.806513491743402</v>
      </c>
      <c r="AL1836">
        <v>81.266740540697299</v>
      </c>
      <c r="AM1836">
        <v>90.044495482492806</v>
      </c>
      <c r="AN1836">
        <v>0.99999998253046596</v>
      </c>
    </row>
    <row r="1837" spans="1:40" x14ac:dyDescent="0.25">
      <c r="A1837" t="str">
        <f>"20190312172652395"</f>
        <v>20190312172652395</v>
      </c>
      <c r="B1837" t="str">
        <f>"1552382812390345"</f>
        <v>1552382812390345</v>
      </c>
      <c r="C1837" t="s">
        <v>40</v>
      </c>
      <c r="D1837">
        <v>3.2640310000000001</v>
      </c>
      <c r="E1837">
        <v>0.48394549999999997</v>
      </c>
      <c r="F1837" t="s">
        <v>48</v>
      </c>
      <c r="G1837">
        <v>-396.5222</v>
      </c>
      <c r="H1837" s="1">
        <v>1.9339900000000002E-6</v>
      </c>
      <c r="I1837">
        <v>285.05149999999998</v>
      </c>
      <c r="J1837">
        <v>-363.25439999999998</v>
      </c>
      <c r="K1837">
        <v>1.1073360000000001</v>
      </c>
      <c r="L1837">
        <v>284.92720000000003</v>
      </c>
      <c r="M1837">
        <v>-0.99868089999999998</v>
      </c>
      <c r="N1837">
        <v>0</v>
      </c>
      <c r="O1837">
        <v>5.0443040000000001E-2</v>
      </c>
      <c r="P1837">
        <v>-0.98844089999999996</v>
      </c>
      <c r="Q1837">
        <v>0.1437937</v>
      </c>
      <c r="R1837">
        <v>4.8039890000000002E-2</v>
      </c>
      <c r="S1837">
        <v>-3.0480040000000002</v>
      </c>
      <c r="T1837">
        <v>-9.9176760000000003E-2</v>
      </c>
      <c r="U1837">
        <v>1.452637E-2</v>
      </c>
      <c r="V1837">
        <v>-1.3842170000000001E-3</v>
      </c>
      <c r="W1837">
        <v>0.15328889999999901</v>
      </c>
      <c r="X1837">
        <v>0.98818050000000002</v>
      </c>
      <c r="Y1837">
        <v>-4.5634229999999998E-2</v>
      </c>
      <c r="Z1837">
        <v>-2.382618E-3</v>
      </c>
      <c r="AA1837">
        <v>0.99895540000000005</v>
      </c>
      <c r="AB1837">
        <v>52</v>
      </c>
      <c r="AC1837">
        <v>-33.267800000000001</v>
      </c>
      <c r="AD1837">
        <v>-1.10733406601</v>
      </c>
      <c r="AE1837">
        <v>0.12429999999994799</v>
      </c>
      <c r="AF1837">
        <v>-1.5523445349860201</v>
      </c>
      <c r="AG1837">
        <v>-1.10733406601</v>
      </c>
      <c r="AH1837">
        <v>33.194937653238902</v>
      </c>
      <c r="AI1837">
        <v>91.908509855446994</v>
      </c>
      <c r="AJ1837">
        <v>92.677457605446193</v>
      </c>
      <c r="AK1837">
        <v>33.249659368051603</v>
      </c>
      <c r="AL1837">
        <v>81.182428930272494</v>
      </c>
      <c r="AM1837">
        <v>90.080258353769693</v>
      </c>
      <c r="AN1837">
        <v>1.00000005175008</v>
      </c>
    </row>
    <row r="1838" spans="1:40" x14ac:dyDescent="0.25">
      <c r="A1838" t="str">
        <f>"20190312172652416"</f>
        <v>20190312172652416</v>
      </c>
      <c r="B1838" t="str">
        <f>"1552382812410844"</f>
        <v>1552382812410844</v>
      </c>
      <c r="C1838" t="s">
        <v>40</v>
      </c>
      <c r="D1838">
        <v>3.24411</v>
      </c>
      <c r="E1838">
        <v>0.48377759999999997</v>
      </c>
      <c r="F1838" t="s">
        <v>48</v>
      </c>
      <c r="G1838">
        <v>-398.30130000000003</v>
      </c>
      <c r="H1838" s="1">
        <v>2.8807670000000002E-6</v>
      </c>
      <c r="I1838">
        <v>285.0806</v>
      </c>
      <c r="J1838">
        <v>-363.77600000000001</v>
      </c>
      <c r="K1838">
        <v>1.1074820000000001</v>
      </c>
      <c r="L1838">
        <v>284.95370000000003</v>
      </c>
      <c r="M1838">
        <v>-0.99865499999999996</v>
      </c>
      <c r="N1838">
        <v>0</v>
      </c>
      <c r="O1838">
        <v>5.0951129999999997E-2</v>
      </c>
      <c r="P1838">
        <v>-0.98831950000000002</v>
      </c>
      <c r="Q1838">
        <v>0.1444281</v>
      </c>
      <c r="R1838">
        <v>4.8637689999999997E-2</v>
      </c>
      <c r="S1838">
        <v>-3.0484010000000001</v>
      </c>
      <c r="T1838">
        <v>-9.6316460000000007E-2</v>
      </c>
      <c r="U1838">
        <v>1.333618E-2</v>
      </c>
      <c r="V1838">
        <v>-1.3374299999999999E-3</v>
      </c>
      <c r="W1838">
        <v>0.15394769999999999</v>
      </c>
      <c r="X1838">
        <v>0.98807809999999996</v>
      </c>
      <c r="Y1838">
        <v>-4.6535279999999998E-2</v>
      </c>
      <c r="Z1838">
        <v>-2.3439070000000001E-3</v>
      </c>
      <c r="AA1838">
        <v>0.99891390000000002</v>
      </c>
      <c r="AB1838">
        <v>52</v>
      </c>
      <c r="AC1838">
        <v>-34.525300000000001</v>
      </c>
      <c r="AD1838">
        <v>-1.107479119233</v>
      </c>
      <c r="AE1838">
        <v>0.126899999999977</v>
      </c>
      <c r="AF1838">
        <v>-1.6307709984583301</v>
      </c>
      <c r="AG1838">
        <v>-1.107479119233</v>
      </c>
      <c r="AH1838">
        <v>34.451470077224201</v>
      </c>
      <c r="AI1838">
        <v>91.8391418354786</v>
      </c>
      <c r="AJ1838">
        <v>92.710090558876999</v>
      </c>
      <c r="AK1838">
        <v>34.507821063214401</v>
      </c>
      <c r="AL1838">
        <v>81.144228653347895</v>
      </c>
      <c r="AM1838">
        <v>90.077553634268099</v>
      </c>
      <c r="AN1838">
        <v>1.0000000073769499</v>
      </c>
    </row>
    <row r="1839" spans="1:40" x14ac:dyDescent="0.25">
      <c r="A1839" t="str">
        <f>"20190312172652439"</f>
        <v>20190312172652439</v>
      </c>
      <c r="B1839" t="str">
        <f>"1552382812430361"</f>
        <v>1552382812430361</v>
      </c>
      <c r="C1839" t="s">
        <v>40</v>
      </c>
      <c r="D1839">
        <v>3.2762950000000002</v>
      </c>
      <c r="E1839">
        <v>0.48360829999999999</v>
      </c>
      <c r="F1839" t="s">
        <v>48</v>
      </c>
      <c r="G1839">
        <v>-399.40410000000003</v>
      </c>
      <c r="H1839" s="1">
        <v>3.4676040000000002E-6</v>
      </c>
      <c r="I1839">
        <v>285.1078</v>
      </c>
      <c r="J1839">
        <v>-364.29860000000002</v>
      </c>
      <c r="K1839">
        <v>1.1076469999999901</v>
      </c>
      <c r="L1839">
        <v>284.98039999999997</v>
      </c>
      <c r="M1839">
        <v>-0.99863650000000004</v>
      </c>
      <c r="N1839">
        <v>0</v>
      </c>
      <c r="O1839">
        <v>5.130506E-2</v>
      </c>
      <c r="P1839">
        <v>-0.9882938</v>
      </c>
      <c r="Q1839">
        <v>0.1446045</v>
      </c>
      <c r="R1839">
        <v>4.8632799999999997E-2</v>
      </c>
      <c r="S1839">
        <v>-3.048645</v>
      </c>
      <c r="T1839">
        <v>-9.4765420000000003E-2</v>
      </c>
      <c r="U1839">
        <v>1.318359E-2</v>
      </c>
      <c r="V1839">
        <v>-1.7486890000000001E-3</v>
      </c>
      <c r="W1839">
        <v>0.1541516</v>
      </c>
      <c r="X1839">
        <v>0.98804559999999997</v>
      </c>
      <c r="Y1839">
        <v>-4.6940849999999999E-2</v>
      </c>
      <c r="Z1839">
        <v>-2.3232859999999999E-3</v>
      </c>
      <c r="AA1839">
        <v>0.99889499999999998</v>
      </c>
      <c r="AB1839">
        <v>52</v>
      </c>
      <c r="AC1839">
        <v>-35.105499999999999</v>
      </c>
      <c r="AD1839">
        <v>-1.1076435323960001</v>
      </c>
      <c r="AE1839">
        <v>0.127400000000022</v>
      </c>
      <c r="AF1839">
        <v>-1.6722765149252601</v>
      </c>
      <c r="AG1839">
        <v>-1.1076435323960001</v>
      </c>
      <c r="AH1839">
        <v>35.030925809964103</v>
      </c>
      <c r="AI1839">
        <v>91.808974372850699</v>
      </c>
      <c r="AJ1839">
        <v>92.733062340937494</v>
      </c>
      <c r="AK1839">
        <v>35.088304975311097</v>
      </c>
      <c r="AL1839">
        <v>81.132404309023897</v>
      </c>
      <c r="AM1839">
        <v>90.101404626232096</v>
      </c>
      <c r="AN1839">
        <v>0.99999994068756703</v>
      </c>
    </row>
    <row r="1840" spans="1:40" x14ac:dyDescent="0.25">
      <c r="A1840" t="str">
        <f>"20190312172652461"</f>
        <v>20190312172652461</v>
      </c>
      <c r="B1840" t="str">
        <f>"1552382812450857"</f>
        <v>1552382812450857</v>
      </c>
      <c r="C1840" t="s">
        <v>40</v>
      </c>
      <c r="D1840">
        <v>3.2482410000000002</v>
      </c>
      <c r="E1840">
        <v>0.48085670000000003</v>
      </c>
      <c r="F1840" t="s">
        <v>49</v>
      </c>
      <c r="G1840">
        <v>-400.20760000000001</v>
      </c>
      <c r="H1840" s="1">
        <v>8.2073429999999995E-6</v>
      </c>
      <c r="I1840">
        <v>285.11410000000001</v>
      </c>
      <c r="J1840">
        <v>-364.81880000000001</v>
      </c>
      <c r="K1840">
        <v>1.107812</v>
      </c>
      <c r="L1840">
        <v>285.00700000000001</v>
      </c>
      <c r="M1840">
        <v>-0.99862660000000003</v>
      </c>
      <c r="N1840">
        <v>0</v>
      </c>
      <c r="O1840">
        <v>5.1490590000000003E-2</v>
      </c>
      <c r="P1840">
        <v>-0.98828450000000001</v>
      </c>
      <c r="Q1840">
        <v>0.14471120000000001</v>
      </c>
      <c r="R1840">
        <v>4.8507599999999998E-2</v>
      </c>
      <c r="S1840">
        <v>-3.048737</v>
      </c>
      <c r="T1840">
        <v>-9.4040509999999994E-2</v>
      </c>
      <c r="U1840">
        <v>1.135254E-2</v>
      </c>
      <c r="V1840">
        <v>-2.119428E-3</v>
      </c>
      <c r="W1840">
        <v>0.15428919999999999</v>
      </c>
      <c r="X1840">
        <v>0.98802350000000005</v>
      </c>
      <c r="Y1840">
        <v>-4.7726749999999998E-2</v>
      </c>
      <c r="Z1840">
        <v>-2.3232970000000002E-3</v>
      </c>
      <c r="AA1840">
        <v>0.99885769999999996</v>
      </c>
      <c r="AB1840">
        <v>52</v>
      </c>
      <c r="AC1840">
        <v>-35.388800000000003</v>
      </c>
      <c r="AD1840">
        <v>-1.1078037926569999</v>
      </c>
      <c r="AE1840">
        <v>0.107100000000002</v>
      </c>
      <c r="AF1840">
        <v>-1.7136383632291501</v>
      </c>
      <c r="AG1840">
        <v>-1.1078037926569999</v>
      </c>
      <c r="AH1840">
        <v>35.312762904800998</v>
      </c>
      <c r="AI1840">
        <v>91.794737529070204</v>
      </c>
      <c r="AJ1840">
        <v>92.778238649962603</v>
      </c>
      <c r="AK1840">
        <v>35.371669590982599</v>
      </c>
      <c r="AL1840">
        <v>81.124425862319896</v>
      </c>
      <c r="AM1840">
        <v>90.122906077761201</v>
      </c>
      <c r="AN1840">
        <v>1.00000004288196</v>
      </c>
    </row>
    <row r="1841" spans="1:40" x14ac:dyDescent="0.25">
      <c r="A1841" t="str">
        <f>"20190312172652484"</f>
        <v>20190312172652484</v>
      </c>
      <c r="B1841" t="str">
        <f>"1552382812470379"</f>
        <v>1552382812470379</v>
      </c>
      <c r="C1841" t="s">
        <v>40</v>
      </c>
      <c r="D1841">
        <v>3.2639900000000002</v>
      </c>
      <c r="E1841">
        <v>0.4807536</v>
      </c>
      <c r="F1841" t="s">
        <v>48</v>
      </c>
      <c r="G1841">
        <v>-396.06639999999999</v>
      </c>
      <c r="H1841" s="1">
        <v>1.6914330000000001E-6</v>
      </c>
      <c r="I1841">
        <v>284.89679999999998</v>
      </c>
      <c r="J1841">
        <v>-365.3306</v>
      </c>
      <c r="K1841">
        <v>1.1080000000000001</v>
      </c>
      <c r="L1841">
        <v>285.0333</v>
      </c>
      <c r="M1841">
        <v>-0.99862620000000002</v>
      </c>
      <c r="N1841">
        <v>0</v>
      </c>
      <c r="O1841">
        <v>5.1491019999999998E-2</v>
      </c>
      <c r="P1841">
        <v>-0.98820330000000001</v>
      </c>
      <c r="Q1841">
        <v>0.14532779999999901</v>
      </c>
      <c r="R1841">
        <v>4.8316240000000003E-2</v>
      </c>
      <c r="S1841">
        <v>-3.0519409999999998</v>
      </c>
      <c r="T1841">
        <v>-0.1081995</v>
      </c>
      <c r="U1841">
        <v>-1.077271E-2</v>
      </c>
      <c r="V1841">
        <v>-2.3735919999999999E-3</v>
      </c>
      <c r="W1841">
        <v>0.1549394</v>
      </c>
      <c r="X1841">
        <v>0.9879211</v>
      </c>
      <c r="Y1841">
        <v>-5.4951350000000003E-2</v>
      </c>
      <c r="Z1841">
        <v>-2.7982150000000002E-3</v>
      </c>
      <c r="AA1841">
        <v>0.99848510000000001</v>
      </c>
      <c r="AB1841">
        <v>52</v>
      </c>
      <c r="AC1841">
        <v>-30.735799999999902</v>
      </c>
      <c r="AD1841">
        <v>-1.10799830856699</v>
      </c>
      <c r="AE1841">
        <v>-0.136500000000012</v>
      </c>
      <c r="AF1841">
        <v>-1.7167803192222499</v>
      </c>
      <c r="AG1841">
        <v>-1.10799830856699</v>
      </c>
      <c r="AH1841">
        <v>30.648167262065499</v>
      </c>
      <c r="AI1841">
        <v>92.067228214306297</v>
      </c>
      <c r="AJ1841">
        <v>93.206115972203506</v>
      </c>
      <c r="AK1841">
        <v>30.7162034021101</v>
      </c>
      <c r="AL1841">
        <v>81.086718111948699</v>
      </c>
      <c r="AM1841">
        <v>90.137659315307801</v>
      </c>
      <c r="AN1841">
        <v>0.99999997571827504</v>
      </c>
    </row>
    <row r="1842" spans="1:40" x14ac:dyDescent="0.25">
      <c r="A1842" t="str">
        <f>"20190312172652506"</f>
        <v>20190312172652506</v>
      </c>
      <c r="B1842" t="str">
        <f>"1552382812500634"</f>
        <v>1552382812500634</v>
      </c>
      <c r="C1842" t="s">
        <v>40</v>
      </c>
      <c r="D1842">
        <v>3.2775750000000001</v>
      </c>
      <c r="E1842">
        <v>0.48074919999999999</v>
      </c>
      <c r="F1842" t="s">
        <v>48</v>
      </c>
      <c r="G1842">
        <v>-397.81740000000002</v>
      </c>
      <c r="H1842" s="1">
        <v>2.6232609999999999E-6</v>
      </c>
      <c r="I1842">
        <v>284.89980000000003</v>
      </c>
      <c r="J1842">
        <v>-365.84690000000001</v>
      </c>
      <c r="K1842">
        <v>1.1082129999999999</v>
      </c>
      <c r="L1842">
        <v>285.0598</v>
      </c>
      <c r="M1842">
        <v>-0.99863579999999996</v>
      </c>
      <c r="N1842">
        <v>0</v>
      </c>
      <c r="O1842">
        <v>5.1296189999999998E-2</v>
      </c>
      <c r="P1842">
        <v>-0.98816420000000005</v>
      </c>
      <c r="Q1842">
        <v>0.1457174</v>
      </c>
      <c r="R1842">
        <v>4.7940589999999998E-2</v>
      </c>
      <c r="S1842">
        <v>-3.051758</v>
      </c>
      <c r="T1842">
        <v>-0.1040833</v>
      </c>
      <c r="U1842">
        <v>-1.254272E-2</v>
      </c>
      <c r="V1842">
        <v>-2.6310940000000001E-3</v>
      </c>
      <c r="W1842">
        <v>0.1553628</v>
      </c>
      <c r="X1842">
        <v>0.98785389999999995</v>
      </c>
      <c r="Y1842">
        <v>-5.5340760000000003E-2</v>
      </c>
      <c r="Z1842">
        <v>-2.6919940000000001E-3</v>
      </c>
      <c r="AA1842">
        <v>0.99846389999999996</v>
      </c>
      <c r="AB1842">
        <v>52</v>
      </c>
      <c r="AC1842">
        <v>-31.970500000000001</v>
      </c>
      <c r="AD1842">
        <v>-1.1082103767389999</v>
      </c>
      <c r="AE1842">
        <v>-0.159999999999968</v>
      </c>
      <c r="AF1842">
        <v>-1.7976723227309499</v>
      </c>
      <c r="AG1842">
        <v>-1.1082103767389999</v>
      </c>
      <c r="AH1842">
        <v>31.8818914717606</v>
      </c>
      <c r="AI1842">
        <v>91.987637655420798</v>
      </c>
      <c r="AJ1842">
        <v>93.227226640099403</v>
      </c>
      <c r="AK1842">
        <v>31.951756756650301</v>
      </c>
      <c r="AL1842">
        <v>81.062161261707999</v>
      </c>
      <c r="AM1842">
        <v>90.152603765832197</v>
      </c>
      <c r="AN1842">
        <v>0.99999992501234003</v>
      </c>
    </row>
    <row r="1843" spans="1:40" x14ac:dyDescent="0.25">
      <c r="A1843" t="str">
        <f>"20190312172652528"</f>
        <v>20190312172652528</v>
      </c>
      <c r="B1843" t="str">
        <f>"1552382812521129"</f>
        <v>1552382812521129</v>
      </c>
      <c r="C1843" t="s">
        <v>40</v>
      </c>
      <c r="D1843">
        <v>3.2470970000000001</v>
      </c>
      <c r="E1843">
        <v>0.48042079999999998</v>
      </c>
      <c r="F1843" t="s">
        <v>49</v>
      </c>
      <c r="G1843">
        <v>-400.67290000000003</v>
      </c>
      <c r="H1843" s="1">
        <v>8.045987E-6</v>
      </c>
      <c r="I1843">
        <v>284.89640000000003</v>
      </c>
      <c r="J1843">
        <v>-366.37119999999999</v>
      </c>
      <c r="K1843">
        <v>1.108447</v>
      </c>
      <c r="L1843">
        <v>285.0865</v>
      </c>
      <c r="M1843">
        <v>-0.99865619999999999</v>
      </c>
      <c r="N1843">
        <v>0</v>
      </c>
      <c r="O1843">
        <v>5.088968E-2</v>
      </c>
      <c r="P1843">
        <v>-0.98833579999999999</v>
      </c>
      <c r="Q1843">
        <v>0.1448902</v>
      </c>
      <c r="R1843">
        <v>4.6896729999999998E-2</v>
      </c>
      <c r="S1843">
        <v>-3.0508730000000002</v>
      </c>
      <c r="T1843">
        <v>-9.7082500000000002E-2</v>
      </c>
      <c r="U1843">
        <v>-1.4312739999999999E-2</v>
      </c>
      <c r="V1843">
        <v>-3.3677590000000001E-3</v>
      </c>
      <c r="W1843">
        <v>0.1545733</v>
      </c>
      <c r="X1843">
        <v>0.98797559999999995</v>
      </c>
      <c r="Y1843">
        <v>-5.5522950000000001E-2</v>
      </c>
      <c r="Z1843">
        <v>-2.5017300000000002E-3</v>
      </c>
      <c r="AA1843">
        <v>0.99845430000000002</v>
      </c>
      <c r="AB1843">
        <v>52</v>
      </c>
      <c r="AC1843">
        <v>-34.301699999999997</v>
      </c>
      <c r="AD1843">
        <v>-1.108438954013</v>
      </c>
      <c r="AE1843">
        <v>-0.19009999999997201</v>
      </c>
      <c r="AF1843">
        <v>-1.9335210612018401</v>
      </c>
      <c r="AG1843">
        <v>-1.108438954013</v>
      </c>
      <c r="AH1843">
        <v>34.2118521394369</v>
      </c>
      <c r="AI1843">
        <v>91.8527376984906</v>
      </c>
      <c r="AJ1843">
        <v>93.2346939973866</v>
      </c>
      <c r="AK1843">
        <v>34.284369141338701</v>
      </c>
      <c r="AL1843">
        <v>81.107950249586494</v>
      </c>
      <c r="AM1843">
        <v>90.195306068043294</v>
      </c>
      <c r="AN1843">
        <v>1.00000001653446</v>
      </c>
    </row>
    <row r="1844" spans="1:40" x14ac:dyDescent="0.25">
      <c r="A1844" t="str">
        <f>"20190312172652563"</f>
        <v>20190312172652563</v>
      </c>
      <c r="B1844" t="str">
        <f>"1552382812550409"</f>
        <v>1552382812550409</v>
      </c>
      <c r="C1844" t="s">
        <v>40</v>
      </c>
      <c r="D1844">
        <v>3.23875</v>
      </c>
      <c r="E1844">
        <v>0.48024559999999999</v>
      </c>
      <c r="F1844" t="s">
        <v>49</v>
      </c>
      <c r="G1844">
        <v>-401.39800000000002</v>
      </c>
      <c r="H1844" s="1">
        <v>7.7338009999999998E-6</v>
      </c>
      <c r="I1844">
        <v>284.851</v>
      </c>
      <c r="J1844">
        <v>-367.17779999999999</v>
      </c>
      <c r="K1844">
        <v>1.1088199999999999</v>
      </c>
      <c r="L1844">
        <v>285.12670000000003</v>
      </c>
      <c r="M1844">
        <v>-0.9987087</v>
      </c>
      <c r="N1844">
        <v>0</v>
      </c>
      <c r="O1844">
        <v>4.9840349999999999E-2</v>
      </c>
      <c r="P1844">
        <v>-0.98857810000000002</v>
      </c>
      <c r="Q1844">
        <v>0.1439627</v>
      </c>
      <c r="R1844">
        <v>4.4593029999999999E-2</v>
      </c>
      <c r="S1844">
        <v>-3.0505070000000001</v>
      </c>
      <c r="T1844">
        <v>-9.6534490000000001E-2</v>
      </c>
      <c r="U1844">
        <v>-2.0507810000000001E-2</v>
      </c>
      <c r="V1844">
        <v>-4.7840779999999998E-3</v>
      </c>
      <c r="W1844">
        <v>0.15370309999999901</v>
      </c>
      <c r="X1844">
        <v>0.98810549999999997</v>
      </c>
      <c r="Y1844">
        <v>-5.6502669999999998E-2</v>
      </c>
      <c r="Z1844">
        <v>-2.470248E-3</v>
      </c>
      <c r="AA1844">
        <v>0.99839940000000005</v>
      </c>
      <c r="AB1844">
        <v>52</v>
      </c>
      <c r="AC1844">
        <v>-34.220199999999998</v>
      </c>
      <c r="AD1844">
        <v>-1.1088122661990001</v>
      </c>
      <c r="AE1844">
        <v>-0.27570000000002798</v>
      </c>
      <c r="AF1844">
        <v>-1.9789091507941201</v>
      </c>
      <c r="AG1844">
        <v>-1.1088122661990001</v>
      </c>
      <c r="AH1844">
        <v>34.128096264320902</v>
      </c>
      <c r="AI1844">
        <v>91.857750926939104</v>
      </c>
      <c r="AJ1844">
        <v>93.318565553411005</v>
      </c>
      <c r="AK1844">
        <v>34.203398964072598</v>
      </c>
      <c r="AL1844">
        <v>81.158411987139004</v>
      </c>
      <c r="AM1844">
        <v>90.277404929371698</v>
      </c>
      <c r="AN1844">
        <v>1.00000000474108</v>
      </c>
    </row>
    <row r="1845" spans="1:40" x14ac:dyDescent="0.25">
      <c r="A1845" t="str">
        <f>"20190312172652584"</f>
        <v>20190312172652584</v>
      </c>
      <c r="B1845" t="str">
        <f>"1552382812580664"</f>
        <v>1552382812580664</v>
      </c>
      <c r="C1845" t="s">
        <v>40</v>
      </c>
      <c r="D1845">
        <v>3.279169</v>
      </c>
      <c r="E1845">
        <v>0.4801628</v>
      </c>
      <c r="F1845" t="s">
        <v>49</v>
      </c>
      <c r="G1845">
        <v>-400.7414</v>
      </c>
      <c r="H1845" s="1">
        <v>8.0342520000000007E-6</v>
      </c>
      <c r="I1845">
        <v>284.80610000000001</v>
      </c>
      <c r="J1845">
        <v>-367.67520000000002</v>
      </c>
      <c r="K1845">
        <v>1.1090500000000001</v>
      </c>
      <c r="L1845">
        <v>285.15109999999999</v>
      </c>
      <c r="M1845">
        <v>-0.99875020000000003</v>
      </c>
      <c r="N1845">
        <v>0</v>
      </c>
      <c r="O1845">
        <v>4.899539E-2</v>
      </c>
      <c r="P1845">
        <v>-0.98868560000000005</v>
      </c>
      <c r="Q1845">
        <v>0.14357400000000001</v>
      </c>
      <c r="R1845">
        <v>4.3451620000000003E-2</v>
      </c>
      <c r="S1845">
        <v>-3.050659</v>
      </c>
      <c r="T1845">
        <v>-0.100782</v>
      </c>
      <c r="U1845">
        <v>-2.914429E-2</v>
      </c>
      <c r="V1845">
        <v>-5.1782620000000003E-3</v>
      </c>
      <c r="W1845">
        <v>0.15334690000000001</v>
      </c>
      <c r="X1845">
        <v>0.98815889999999995</v>
      </c>
      <c r="Y1845">
        <v>-5.8478460000000003E-2</v>
      </c>
      <c r="Z1845">
        <v>-2.583494E-3</v>
      </c>
      <c r="AA1845">
        <v>0.99828539999999999</v>
      </c>
      <c r="AB1845">
        <v>52</v>
      </c>
      <c r="AC1845">
        <v>-33.066199999999903</v>
      </c>
      <c r="AD1845">
        <v>-1.109041965748</v>
      </c>
      <c r="AE1845">
        <v>-0.34499999999997</v>
      </c>
      <c r="AF1845">
        <v>-1.9625484590345399</v>
      </c>
      <c r="AG1845">
        <v>-1.109041965748</v>
      </c>
      <c r="AH1845">
        <v>32.972491672253902</v>
      </c>
      <c r="AI1845">
        <v>91.923037671310993</v>
      </c>
      <c r="AJ1845">
        <v>93.406270851478993</v>
      </c>
      <c r="AK1845">
        <v>33.049459566121499</v>
      </c>
      <c r="AL1845">
        <v>81.179065989813907</v>
      </c>
      <c r="AM1845">
        <v>90.300245073990297</v>
      </c>
      <c r="AN1845">
        <v>1.00000004889307</v>
      </c>
    </row>
    <row r="1846" spans="1:40" x14ac:dyDescent="0.25">
      <c r="A1846" t="str">
        <f>"20190312172652607"</f>
        <v>20190312172652607</v>
      </c>
      <c r="B1846" t="str">
        <f>"1552382812600185"</f>
        <v>1552382812600185</v>
      </c>
      <c r="C1846" t="s">
        <v>40</v>
      </c>
      <c r="D1846">
        <v>3.2507929999999998</v>
      </c>
      <c r="E1846">
        <v>0.48012250000000001</v>
      </c>
      <c r="F1846" t="s">
        <v>49</v>
      </c>
      <c r="G1846">
        <v>-400.42649999999998</v>
      </c>
      <c r="H1846" s="1">
        <v>8.1779409999999904E-6</v>
      </c>
      <c r="I1846">
        <v>284.78649999999999</v>
      </c>
      <c r="J1846">
        <v>-368.20729999999998</v>
      </c>
      <c r="K1846">
        <v>1.109299</v>
      </c>
      <c r="L1846">
        <v>285.17660000000001</v>
      </c>
      <c r="M1846">
        <v>-0.99880210000000003</v>
      </c>
      <c r="N1846">
        <v>0</v>
      </c>
      <c r="O1846">
        <v>4.791538E-2</v>
      </c>
      <c r="P1846">
        <v>-0.98890639999999996</v>
      </c>
      <c r="Q1846">
        <v>0.14258999999999999</v>
      </c>
      <c r="R1846">
        <v>4.1624389999999997E-2</v>
      </c>
      <c r="S1846">
        <v>-3.0508120000000001</v>
      </c>
      <c r="T1846">
        <v>-0.1033081</v>
      </c>
      <c r="U1846">
        <v>-3.3966059999999999E-2</v>
      </c>
      <c r="V1846">
        <v>-6.0343690000000004E-3</v>
      </c>
      <c r="W1846">
        <v>0.15239730000000001</v>
      </c>
      <c r="X1846">
        <v>0.98830090000000004</v>
      </c>
      <c r="Y1846">
        <v>-5.8973499999999998E-2</v>
      </c>
      <c r="Z1846">
        <v>-2.6199180000000002E-3</v>
      </c>
      <c r="AA1846">
        <v>0.99825609999999998</v>
      </c>
      <c r="AB1846">
        <v>52</v>
      </c>
      <c r="AC1846">
        <v>-32.219200000000001</v>
      </c>
      <c r="AD1846">
        <v>-1.1092908220590001</v>
      </c>
      <c r="AE1846">
        <v>-0.39010000000001799</v>
      </c>
      <c r="AF1846">
        <v>-1.93123419033377</v>
      </c>
      <c r="AG1846">
        <v>-1.1092908220590001</v>
      </c>
      <c r="AH1846">
        <v>32.1254210448935</v>
      </c>
      <c r="AI1846">
        <v>91.974076601516302</v>
      </c>
      <c r="AJ1846">
        <v>93.440221471732201</v>
      </c>
      <c r="AK1846">
        <v>32.202528921460598</v>
      </c>
      <c r="AL1846">
        <v>81.234120835871593</v>
      </c>
      <c r="AM1846">
        <v>90.349832302371993</v>
      </c>
      <c r="AN1846">
        <v>1.0000000097986601</v>
      </c>
    </row>
    <row r="1847" spans="1:40" x14ac:dyDescent="0.25">
      <c r="A1847" t="str">
        <f>"20190312172652629"</f>
        <v>20190312172652629</v>
      </c>
      <c r="B1847" t="str">
        <f>"1552382812620681"</f>
        <v>1552382812620681</v>
      </c>
      <c r="C1847" t="s">
        <v>40</v>
      </c>
      <c r="D1847">
        <v>3.277444</v>
      </c>
      <c r="E1847">
        <v>0.48013939999999999</v>
      </c>
      <c r="F1847" t="s">
        <v>48</v>
      </c>
      <c r="G1847">
        <v>-399.93869999999998</v>
      </c>
      <c r="H1847" s="1">
        <v>3.7520989999999998E-6</v>
      </c>
      <c r="I1847">
        <v>284.76139999999998</v>
      </c>
      <c r="J1847">
        <v>-368.72300000000001</v>
      </c>
      <c r="K1847">
        <v>1.1095349999999999</v>
      </c>
      <c r="L1847">
        <v>285.20069999999998</v>
      </c>
      <c r="M1847">
        <v>-0.99886010000000003</v>
      </c>
      <c r="N1847">
        <v>0</v>
      </c>
      <c r="O1847">
        <v>4.6683479999999999E-2</v>
      </c>
      <c r="P1847">
        <v>-0.98920359999999996</v>
      </c>
      <c r="Q1847">
        <v>0.141125799999999</v>
      </c>
      <c r="R1847">
        <v>3.9495420000000003E-2</v>
      </c>
      <c r="S1847">
        <v>-3.0507200000000001</v>
      </c>
      <c r="T1847">
        <v>-0.1066498</v>
      </c>
      <c r="U1847">
        <v>-3.9916989999999999E-2</v>
      </c>
      <c r="V1847">
        <v>-7.0392349999999996E-3</v>
      </c>
      <c r="W1847">
        <v>0.1509693</v>
      </c>
      <c r="X1847">
        <v>0.98851339999999999</v>
      </c>
      <c r="Y1847">
        <v>-5.96859E-2</v>
      </c>
      <c r="Z1847">
        <v>-2.6741080000000001E-3</v>
      </c>
      <c r="AA1847">
        <v>0.99821360000000003</v>
      </c>
      <c r="AB1847">
        <v>52</v>
      </c>
      <c r="AC1847">
        <v>-31.215699999999899</v>
      </c>
      <c r="AD1847">
        <v>-1.109531247901</v>
      </c>
      <c r="AE1847">
        <v>-0.43930000000000202</v>
      </c>
      <c r="AF1847">
        <v>-1.8937586985449999</v>
      </c>
      <c r="AG1847">
        <v>-1.109531247901</v>
      </c>
      <c r="AH1847">
        <v>31.121843243935199</v>
      </c>
      <c r="AI1847">
        <v>92.038032450920298</v>
      </c>
      <c r="AJ1847">
        <v>93.482144581312198</v>
      </c>
      <c r="AK1847">
        <v>31.199142752621501</v>
      </c>
      <c r="AL1847">
        <v>81.316897018858697</v>
      </c>
      <c r="AM1847">
        <v>90.407998150965199</v>
      </c>
      <c r="AN1847">
        <v>1.0000000111757099</v>
      </c>
    </row>
    <row r="1848" spans="1:40" x14ac:dyDescent="0.25">
      <c r="A1848" t="str">
        <f>"20190312172652651"</f>
        <v>20190312172652651</v>
      </c>
      <c r="B1848" t="str">
        <f>"1552382812640201"</f>
        <v>1552382812640201</v>
      </c>
      <c r="C1848" t="s">
        <v>40</v>
      </c>
      <c r="D1848">
        <v>3.2768600000000001</v>
      </c>
      <c r="E1848">
        <v>0.48019699999999998</v>
      </c>
      <c r="F1848" t="s">
        <v>48</v>
      </c>
      <c r="G1848">
        <v>-399.11189999999999</v>
      </c>
      <c r="H1848" s="1">
        <v>3.3121349999999999E-6</v>
      </c>
      <c r="I1848">
        <v>284.73860000000002</v>
      </c>
      <c r="J1848">
        <v>-369.25450000000001</v>
      </c>
      <c r="K1848">
        <v>1.109774</v>
      </c>
      <c r="L1848">
        <v>285.22480000000002</v>
      </c>
      <c r="M1848">
        <v>-0.99892599999999998</v>
      </c>
      <c r="N1848">
        <v>0</v>
      </c>
      <c r="O1848">
        <v>4.5241150000000001E-2</v>
      </c>
      <c r="P1848">
        <v>-0.98956239999999995</v>
      </c>
      <c r="Q1848">
        <v>0.13923729999999901</v>
      </c>
      <c r="R1848">
        <v>3.7137770000000001E-2</v>
      </c>
      <c r="S1848">
        <v>-3.0504760000000002</v>
      </c>
      <c r="T1848">
        <v>-0.111376</v>
      </c>
      <c r="U1848">
        <v>-4.6386719999999999E-2</v>
      </c>
      <c r="V1848">
        <v>-8.0648439999999998E-3</v>
      </c>
      <c r="W1848">
        <v>0.1491198</v>
      </c>
      <c r="X1848">
        <v>0.98878619999999995</v>
      </c>
      <c r="Y1848">
        <v>-6.035691E-2</v>
      </c>
      <c r="Z1848">
        <v>-2.7523740000000001E-3</v>
      </c>
      <c r="AA1848">
        <v>0.99817310000000004</v>
      </c>
      <c r="AB1848">
        <v>52</v>
      </c>
      <c r="AC1848">
        <v>-29.857399999999899</v>
      </c>
      <c r="AD1848">
        <v>-1.109770687865</v>
      </c>
      <c r="AE1848">
        <v>-0.48619999999999602</v>
      </c>
      <c r="AF1848">
        <v>-1.8340197466159101</v>
      </c>
      <c r="AG1848">
        <v>-1.109770687865</v>
      </c>
      <c r="AH1848">
        <v>29.7637196690976</v>
      </c>
      <c r="AI1848">
        <v>92.1313038318672</v>
      </c>
      <c r="AJ1848">
        <v>93.526067918717899</v>
      </c>
      <c r="AK1848">
        <v>29.8408148003913</v>
      </c>
      <c r="AL1848">
        <v>81.4240784561038</v>
      </c>
      <c r="AM1848">
        <v>90.467311616332296</v>
      </c>
      <c r="AN1848">
        <v>0.99999995288561105</v>
      </c>
    </row>
    <row r="1849" spans="1:40" x14ac:dyDescent="0.25">
      <c r="A1849" t="str">
        <f>"20190312172652673"</f>
        <v>20190312172652673</v>
      </c>
      <c r="B1849" t="str">
        <f>"1552382812660698"</f>
        <v>1552382812660698</v>
      </c>
      <c r="C1849" t="s">
        <v>40</v>
      </c>
      <c r="D1849">
        <v>3.290457</v>
      </c>
      <c r="E1849">
        <v>0.48026059999999998</v>
      </c>
      <c r="F1849" t="s">
        <v>48</v>
      </c>
      <c r="G1849">
        <v>-398.25970000000001</v>
      </c>
      <c r="H1849" s="1">
        <v>2.858628E-6</v>
      </c>
      <c r="I1849">
        <v>284.714</v>
      </c>
      <c r="J1849">
        <v>-369.76280000000003</v>
      </c>
      <c r="K1849">
        <v>1.1099889999999999</v>
      </c>
      <c r="L1849">
        <v>285.24700000000001</v>
      </c>
      <c r="M1849">
        <v>-0.99899269999999996</v>
      </c>
      <c r="N1849">
        <v>0</v>
      </c>
      <c r="O1849">
        <v>4.3737600000000001E-2</v>
      </c>
      <c r="P1849">
        <v>-0.98993750000000003</v>
      </c>
      <c r="Q1849">
        <v>0.13741039999999999</v>
      </c>
      <c r="R1849">
        <v>3.3798519999999999E-2</v>
      </c>
      <c r="S1849">
        <v>-3.0501399999999999</v>
      </c>
      <c r="T1849">
        <v>-0.11670179999999999</v>
      </c>
      <c r="U1849">
        <v>-5.3710939999999999E-2</v>
      </c>
      <c r="V1849">
        <v>-1.0000179999999999E-2</v>
      </c>
      <c r="W1849">
        <v>0.14732500000000001</v>
      </c>
      <c r="X1849">
        <v>0.98903759999999996</v>
      </c>
      <c r="Y1849">
        <v>-6.124599E-2</v>
      </c>
      <c r="Z1849">
        <v>-2.8437060000000001E-3</v>
      </c>
      <c r="AA1849">
        <v>0.99811859999999997</v>
      </c>
      <c r="AB1849">
        <v>52</v>
      </c>
      <c r="AC1849">
        <v>-28.496899999999901</v>
      </c>
      <c r="AD1849">
        <v>-1.10998614137199</v>
      </c>
      <c r="AE1849">
        <v>-0.53300000000001502</v>
      </c>
      <c r="AF1849">
        <v>-1.7762446546418</v>
      </c>
      <c r="AG1849">
        <v>-1.10998614137199</v>
      </c>
      <c r="AH1849">
        <v>28.403235900878499</v>
      </c>
      <c r="AI1849">
        <v>92.233596477948495</v>
      </c>
      <c r="AJ1849">
        <v>93.578428967664095</v>
      </c>
      <c r="AK1849">
        <v>28.4803603198438</v>
      </c>
      <c r="AL1849">
        <v>81.528062077453299</v>
      </c>
      <c r="AM1849">
        <v>90.579299092573294</v>
      </c>
      <c r="AN1849">
        <v>1.0000000167193901</v>
      </c>
    </row>
    <row r="1850" spans="1:40" x14ac:dyDescent="0.25">
      <c r="A1850" t="str">
        <f>"20190312172652695"</f>
        <v>20190312172652695</v>
      </c>
      <c r="B1850" t="str">
        <f>"1552382812690953"</f>
        <v>1552382812690953</v>
      </c>
      <c r="C1850" t="s">
        <v>40</v>
      </c>
      <c r="D1850">
        <v>3.2826810000000002</v>
      </c>
      <c r="E1850">
        <v>0.48021399999999997</v>
      </c>
      <c r="F1850" t="s">
        <v>48</v>
      </c>
      <c r="G1850">
        <v>-397.39690000000002</v>
      </c>
      <c r="H1850" s="1">
        <v>2.3994869999999999E-6</v>
      </c>
      <c r="I1850">
        <v>284.67129999999997</v>
      </c>
      <c r="J1850">
        <v>-370.291</v>
      </c>
      <c r="K1850">
        <v>1.110188</v>
      </c>
      <c r="L1850">
        <v>285.26929999999999</v>
      </c>
      <c r="M1850">
        <v>-0.9990639</v>
      </c>
      <c r="N1850">
        <v>0</v>
      </c>
      <c r="O1850">
        <v>4.2066930000000002E-2</v>
      </c>
      <c r="P1850">
        <v>-0.99039540000000004</v>
      </c>
      <c r="Q1850">
        <v>0.13495960000000001</v>
      </c>
      <c r="R1850">
        <v>3.0048660000000001E-2</v>
      </c>
      <c r="S1850">
        <v>-3.0496829999999999</v>
      </c>
      <c r="T1850">
        <v>-0.1224976</v>
      </c>
      <c r="U1850">
        <v>-6.35376E-2</v>
      </c>
      <c r="V1850">
        <v>-1.2174910000000001E-2</v>
      </c>
      <c r="W1850">
        <v>0.1449037</v>
      </c>
      <c r="X1850">
        <v>0.98937090000000005</v>
      </c>
      <c r="Y1850">
        <v>-6.2786640000000005E-2</v>
      </c>
      <c r="Z1850">
        <v>-2.9490889999999998E-3</v>
      </c>
      <c r="AA1850">
        <v>0.99802259999999998</v>
      </c>
      <c r="AB1850">
        <v>53</v>
      </c>
      <c r="AC1850">
        <v>-27.105899999999998</v>
      </c>
      <c r="AD1850">
        <v>-1.110185600513</v>
      </c>
      <c r="AE1850">
        <v>-0.59800000000001297</v>
      </c>
      <c r="AF1850">
        <v>-1.7348817215558201</v>
      </c>
      <c r="AG1850">
        <v>-1.110185600513</v>
      </c>
      <c r="AH1850">
        <v>27.011456196767998</v>
      </c>
      <c r="AI1850">
        <v>92.348729115116399</v>
      </c>
      <c r="AJ1850">
        <v>93.674924225986203</v>
      </c>
      <c r="AK1850">
        <v>27.089870662764199</v>
      </c>
      <c r="AL1850">
        <v>81.668297660657601</v>
      </c>
      <c r="AM1850">
        <v>90.705029580904096</v>
      </c>
      <c r="AN1850">
        <v>1.0000000442370001</v>
      </c>
    </row>
    <row r="1851" spans="1:40" x14ac:dyDescent="0.25">
      <c r="A1851" t="str">
        <f>"20190312172652718"</f>
        <v>20190312172652718</v>
      </c>
      <c r="B1851" t="str">
        <f>"1552382812710477"</f>
        <v>1552382812710477</v>
      </c>
      <c r="C1851" t="s">
        <v>40</v>
      </c>
      <c r="D1851">
        <v>3.2653210000000001</v>
      </c>
      <c r="E1851">
        <v>0.48012640000000001</v>
      </c>
      <c r="F1851" t="s">
        <v>48</v>
      </c>
      <c r="G1851">
        <v>-396.42559999999997</v>
      </c>
      <c r="H1851" s="1">
        <v>1.88261E-6</v>
      </c>
      <c r="I1851">
        <v>284.62009999999998</v>
      </c>
      <c r="J1851">
        <v>-370.8141</v>
      </c>
      <c r="K1851">
        <v>1.1103609999999999</v>
      </c>
      <c r="L1851">
        <v>285.29059999999998</v>
      </c>
      <c r="M1851">
        <v>-0.99913540000000001</v>
      </c>
      <c r="N1851">
        <v>0</v>
      </c>
      <c r="O1851">
        <v>4.0327380000000003E-2</v>
      </c>
      <c r="P1851">
        <v>-0.99102279999999998</v>
      </c>
      <c r="Q1851">
        <v>0.13113649999999999</v>
      </c>
      <c r="R1851">
        <v>2.6029259999999999E-2</v>
      </c>
      <c r="S1851">
        <v>-3.049042</v>
      </c>
      <c r="T1851">
        <v>-0.129522</v>
      </c>
      <c r="U1851">
        <v>-7.5744629999999993E-2</v>
      </c>
      <c r="V1851">
        <v>-1.453988E-2</v>
      </c>
      <c r="W1851">
        <v>0.14110880000000001</v>
      </c>
      <c r="X1851">
        <v>0.98988730000000003</v>
      </c>
      <c r="Y1851">
        <v>-6.5036280000000002E-2</v>
      </c>
      <c r="Z1851">
        <v>-3.0925280000000002E-3</v>
      </c>
      <c r="AA1851">
        <v>0.99787809999999999</v>
      </c>
      <c r="AB1851">
        <v>53</v>
      </c>
      <c r="AC1851">
        <v>-25.6114999999999</v>
      </c>
      <c r="AD1851">
        <v>-1.11035911739</v>
      </c>
      <c r="AE1851">
        <v>-0.67050000000000398</v>
      </c>
      <c r="AF1851">
        <v>-1.69965952889337</v>
      </c>
      <c r="AG1851">
        <v>-1.11035911739</v>
      </c>
      <c r="AH1851">
        <v>25.515697032469699</v>
      </c>
      <c r="AI1851">
        <v>92.486248627239206</v>
      </c>
      <c r="AJ1851">
        <v>93.810974214639501</v>
      </c>
      <c r="AK1851">
        <v>25.5963383111044</v>
      </c>
      <c r="AL1851">
        <v>81.887987075129104</v>
      </c>
      <c r="AM1851">
        <v>90.841523933668896</v>
      </c>
      <c r="AN1851">
        <v>0.99999998412457203</v>
      </c>
    </row>
    <row r="1852" spans="1:40" x14ac:dyDescent="0.25">
      <c r="A1852" t="str">
        <f>"20190312172652740"</f>
        <v>20190312172652740</v>
      </c>
      <c r="B1852" t="str">
        <f>"1552382812730985"</f>
        <v>1552382812730985</v>
      </c>
      <c r="C1852" t="s">
        <v>40</v>
      </c>
      <c r="D1852">
        <v>3.2517290000000001</v>
      </c>
      <c r="E1852">
        <v>0.47614469999999998</v>
      </c>
      <c r="F1852" t="s">
        <v>48</v>
      </c>
      <c r="G1852">
        <v>-394.78429999999997</v>
      </c>
      <c r="H1852" s="1">
        <v>1.0092020000000001E-6</v>
      </c>
      <c r="I1852">
        <v>284.59050000000002</v>
      </c>
      <c r="J1852">
        <v>-371.33699999999999</v>
      </c>
      <c r="K1852">
        <v>1.1105069999999999</v>
      </c>
      <c r="L1852">
        <v>285.3109</v>
      </c>
      <c r="M1852">
        <v>-0.99920609999999999</v>
      </c>
      <c r="N1852">
        <v>0</v>
      </c>
      <c r="O1852">
        <v>3.8524200000000001E-2</v>
      </c>
      <c r="P1852">
        <v>-0.99177859999999995</v>
      </c>
      <c r="Q1852">
        <v>0.1261448</v>
      </c>
      <c r="R1852">
        <v>2.1522659999999999E-2</v>
      </c>
      <c r="S1852">
        <v>-3.0482179999999999</v>
      </c>
      <c r="T1852">
        <v>-0.1412011</v>
      </c>
      <c r="U1852">
        <v>-8.9019780000000007E-2</v>
      </c>
      <c r="V1852">
        <v>-1.7317039999999999E-2</v>
      </c>
      <c r="W1852">
        <v>0.13614279999999901</v>
      </c>
      <c r="X1852">
        <v>0.99053789999999997</v>
      </c>
      <c r="Y1852">
        <v>-6.7565840000000002E-2</v>
      </c>
      <c r="Z1852">
        <v>-3.3469519999999998E-3</v>
      </c>
      <c r="AA1852">
        <v>0.99770919999999996</v>
      </c>
      <c r="AB1852">
        <v>53</v>
      </c>
      <c r="AC1852">
        <v>-23.447299999999899</v>
      </c>
      <c r="AD1852">
        <v>-1.1105059907979999</v>
      </c>
      <c r="AE1852">
        <v>-0.72039999999998305</v>
      </c>
      <c r="AF1852">
        <v>-1.6195706957326701</v>
      </c>
      <c r="AG1852">
        <v>-1.1105059907979999</v>
      </c>
      <c r="AH1852">
        <v>23.349810779609601</v>
      </c>
      <c r="AI1852">
        <v>92.716391908239203</v>
      </c>
      <c r="AJ1852">
        <v>93.967748761342193</v>
      </c>
      <c r="AK1852">
        <v>23.4322405296132</v>
      </c>
      <c r="AL1852">
        <v>82.175292628814304</v>
      </c>
      <c r="AM1852">
        <v>91.001569188535797</v>
      </c>
      <c r="AN1852">
        <v>1.0000000366013</v>
      </c>
    </row>
    <row r="1853" spans="1:40" x14ac:dyDescent="0.25">
      <c r="A1853" t="str">
        <f>"20190312172652764"</f>
        <v>20190312172652764</v>
      </c>
      <c r="B1853" t="str">
        <f>"1552382812750489"</f>
        <v>1552382812750489</v>
      </c>
      <c r="C1853" t="s">
        <v>40</v>
      </c>
      <c r="D1853">
        <v>3.2546430000000002</v>
      </c>
      <c r="E1853">
        <v>0.47638940000000002</v>
      </c>
      <c r="F1853" t="s">
        <v>48</v>
      </c>
      <c r="G1853">
        <v>-391.41640000000001</v>
      </c>
      <c r="H1853" s="1">
        <v>-7.8307760000000002E-7</v>
      </c>
      <c r="I1853">
        <v>284.42219999999998</v>
      </c>
      <c r="J1853">
        <v>-371.87729999999999</v>
      </c>
      <c r="K1853">
        <v>1.1106370000000001</v>
      </c>
      <c r="L1853">
        <v>285.33089999999999</v>
      </c>
      <c r="M1853">
        <v>-0.99927750000000004</v>
      </c>
      <c r="N1853">
        <v>0</v>
      </c>
      <c r="O1853">
        <v>3.661242E-2</v>
      </c>
      <c r="P1853">
        <v>-0.99255930000000003</v>
      </c>
      <c r="Q1853">
        <v>0.12056409999999999</v>
      </c>
      <c r="R1853">
        <v>1.704723E-2</v>
      </c>
      <c r="S1853">
        <v>-3.049255</v>
      </c>
      <c r="T1853">
        <v>-0.16864199999999999</v>
      </c>
      <c r="U1853">
        <v>-0.1349487</v>
      </c>
      <c r="V1853">
        <v>-1.99416E-2</v>
      </c>
      <c r="W1853">
        <v>0.13058819999999999</v>
      </c>
      <c r="X1853">
        <v>0.99123620000000001</v>
      </c>
      <c r="Y1853">
        <v>-8.0583089999999996E-2</v>
      </c>
      <c r="Z1853">
        <v>-4.2481029999999996E-3</v>
      </c>
      <c r="AA1853">
        <v>0.99673889999999998</v>
      </c>
      <c r="AB1853">
        <v>53</v>
      </c>
      <c r="AC1853">
        <v>-19.539100000000001</v>
      </c>
      <c r="AD1853">
        <v>-1.1106377830776</v>
      </c>
      <c r="AE1853">
        <v>-0.90870000000001006</v>
      </c>
      <c r="AF1853">
        <v>-1.6182842535636099</v>
      </c>
      <c r="AG1853">
        <v>-1.1106377830776</v>
      </c>
      <c r="AH1853">
        <v>19.430084085261999</v>
      </c>
      <c r="AI1853">
        <v>93.260244765631001</v>
      </c>
      <c r="AJ1853">
        <v>94.761037030490598</v>
      </c>
      <c r="AK1853">
        <v>19.5289663774324</v>
      </c>
      <c r="AL1853">
        <v>82.496417108747096</v>
      </c>
      <c r="AM1853">
        <v>91.152515828215996</v>
      </c>
      <c r="AN1853">
        <v>1.0000000747901101</v>
      </c>
    </row>
    <row r="1854" spans="1:40" x14ac:dyDescent="0.25">
      <c r="A1854" t="str">
        <f>"20190312172652786"</f>
        <v>20190312172652786</v>
      </c>
      <c r="B1854" t="str">
        <f>"1552382812780746"</f>
        <v>1552382812780746</v>
      </c>
      <c r="C1854" t="s">
        <v>40</v>
      </c>
      <c r="D1854">
        <v>3.269434</v>
      </c>
      <c r="E1854">
        <v>0.4760105</v>
      </c>
      <c r="F1854" t="s">
        <v>48</v>
      </c>
      <c r="G1854">
        <v>-390.35399999999998</v>
      </c>
      <c r="H1854" s="1">
        <v>-1.348397E-6</v>
      </c>
      <c r="I1854">
        <v>284.44029999999998</v>
      </c>
      <c r="J1854">
        <v>-372.41160000000002</v>
      </c>
      <c r="K1854">
        <v>1.1107469999999999</v>
      </c>
      <c r="L1854">
        <v>285.34969999999998</v>
      </c>
      <c r="M1854">
        <v>-0.9993457</v>
      </c>
      <c r="N1854">
        <v>0</v>
      </c>
      <c r="O1854">
        <v>3.4688299999999998E-2</v>
      </c>
      <c r="P1854">
        <v>-0.9931546</v>
      </c>
      <c r="Q1854">
        <v>0.11608889999999999</v>
      </c>
      <c r="R1854">
        <v>1.294112E-2</v>
      </c>
      <c r="S1854">
        <v>-3.0472410000000001</v>
      </c>
      <c r="T1854">
        <v>-0.18317</v>
      </c>
      <c r="U1854">
        <v>-0.14688109999999999</v>
      </c>
      <c r="V1854">
        <v>-2.217214E-2</v>
      </c>
      <c r="W1854">
        <v>0.12613820000000001</v>
      </c>
      <c r="X1854">
        <v>0.9917648</v>
      </c>
      <c r="Y1854">
        <v>-8.2555149999999994E-2</v>
      </c>
      <c r="Z1854">
        <v>-4.5597889999999999E-3</v>
      </c>
      <c r="AA1854">
        <v>0.99657609999999996</v>
      </c>
      <c r="AB1854">
        <v>53</v>
      </c>
      <c r="AC1854">
        <v>-17.942399999999999</v>
      </c>
      <c r="AD1854">
        <v>-1.110748348397</v>
      </c>
      <c r="AE1854">
        <v>-0.90940000000000498</v>
      </c>
      <c r="AF1854">
        <v>-1.52544551589836</v>
      </c>
      <c r="AG1854">
        <v>-1.110748348397</v>
      </c>
      <c r="AH1854">
        <v>17.831889832152701</v>
      </c>
      <c r="AI1854">
        <v>93.551410967949295</v>
      </c>
      <c r="AJ1854">
        <v>94.889516330852999</v>
      </c>
      <c r="AK1854">
        <v>17.9314539539177</v>
      </c>
      <c r="AL1854">
        <v>82.753509381448595</v>
      </c>
      <c r="AM1854">
        <v>91.280705328313005</v>
      </c>
      <c r="AN1854">
        <v>0.99999993390522701</v>
      </c>
    </row>
    <row r="1855" spans="1:40" x14ac:dyDescent="0.25">
      <c r="A1855" t="str">
        <f>"20190312172652809"</f>
        <v>20190312172652809</v>
      </c>
      <c r="B1855" t="str">
        <f>"1552382812800265"</f>
        <v>1552382812800265</v>
      </c>
      <c r="C1855" t="s">
        <v>40</v>
      </c>
      <c r="D1855">
        <v>3.2861630000000002</v>
      </c>
      <c r="E1855">
        <v>0.47624070000000002</v>
      </c>
      <c r="F1855" t="s">
        <v>48</v>
      </c>
      <c r="G1855">
        <v>-389.71089999999998</v>
      </c>
      <c r="H1855" s="1">
        <v>3.6308710000000001E-6</v>
      </c>
      <c r="I1855">
        <v>284.4264</v>
      </c>
      <c r="J1855">
        <v>-372.92779999999999</v>
      </c>
      <c r="K1855">
        <v>1.1108439999999999</v>
      </c>
      <c r="L1855">
        <v>285.36689999999999</v>
      </c>
      <c r="M1855">
        <v>-0.99940879999999999</v>
      </c>
      <c r="N1855">
        <v>0</v>
      </c>
      <c r="O1855">
        <v>3.2807999999999997E-2</v>
      </c>
      <c r="P1855">
        <v>-0.99350620000000001</v>
      </c>
      <c r="Q1855">
        <v>0.11336980000000001</v>
      </c>
      <c r="R1855">
        <v>9.6467989999999993E-3</v>
      </c>
      <c r="S1855">
        <v>-3.0456539999999999</v>
      </c>
      <c r="T1855">
        <v>-0.19555310000000001</v>
      </c>
      <c r="U1855">
        <v>-0.16256709999999999</v>
      </c>
      <c r="V1855">
        <v>-2.3626330000000001E-2</v>
      </c>
      <c r="W1855">
        <v>0.12344670000000001</v>
      </c>
      <c r="X1855">
        <v>0.99206989999999995</v>
      </c>
      <c r="Y1855">
        <v>-8.579167E-2</v>
      </c>
      <c r="Z1855">
        <v>-4.8525799999999996E-3</v>
      </c>
      <c r="AA1855">
        <v>0.99630129999999995</v>
      </c>
      <c r="AB1855">
        <v>53</v>
      </c>
      <c r="AC1855">
        <v>-16.783099999999902</v>
      </c>
      <c r="AD1855">
        <v>-1.1108403691290001</v>
      </c>
      <c r="AE1855">
        <v>-0.94049999999998601</v>
      </c>
      <c r="AF1855">
        <v>-1.48416115134238</v>
      </c>
      <c r="AG1855">
        <v>-1.1108403691290001</v>
      </c>
      <c r="AH1855">
        <v>16.670404673453501</v>
      </c>
      <c r="AI1855">
        <v>93.797320288995195</v>
      </c>
      <c r="AJ1855">
        <v>95.087612479583996</v>
      </c>
      <c r="AK1855">
        <v>16.7731658498192</v>
      </c>
      <c r="AL1855">
        <v>82.908936413994795</v>
      </c>
      <c r="AM1855">
        <v>91.364251813921101</v>
      </c>
      <c r="AN1855">
        <v>0.99999998884808405</v>
      </c>
    </row>
    <row r="1856" spans="1:40" x14ac:dyDescent="0.25">
      <c r="A1856" t="str">
        <f>"20190312172652830"</f>
        <v>20190312172652830</v>
      </c>
      <c r="B1856" t="str">
        <f>"1552382812820765"</f>
        <v>1552382812820765</v>
      </c>
      <c r="C1856" t="s">
        <v>40</v>
      </c>
      <c r="D1856">
        <v>3.264748</v>
      </c>
      <c r="E1856">
        <v>0.47642309999999999</v>
      </c>
      <c r="F1856" t="s">
        <v>48</v>
      </c>
      <c r="G1856">
        <v>-389.86900000000003</v>
      </c>
      <c r="H1856" s="1">
        <v>3.715014E-6</v>
      </c>
      <c r="I1856">
        <v>284.41969999999998</v>
      </c>
      <c r="J1856">
        <v>-373.44549999999998</v>
      </c>
      <c r="K1856">
        <v>1.1109340000000001</v>
      </c>
      <c r="L1856">
        <v>285.38310000000001</v>
      </c>
      <c r="M1856">
        <v>-0.99946900000000005</v>
      </c>
      <c r="N1856">
        <v>0</v>
      </c>
      <c r="O1856">
        <v>3.090911E-2</v>
      </c>
      <c r="P1856">
        <v>-0.99375380000000002</v>
      </c>
      <c r="Q1856">
        <v>0.1114015</v>
      </c>
      <c r="R1856">
        <v>6.5723589999999998E-3</v>
      </c>
      <c r="S1856">
        <v>-3.0440369999999999</v>
      </c>
      <c r="T1856">
        <v>-0.19959859999999999</v>
      </c>
      <c r="U1856">
        <v>-0.1701965</v>
      </c>
      <c r="V1856">
        <v>-2.4837169999999999E-2</v>
      </c>
      <c r="W1856">
        <v>0.121510199999999</v>
      </c>
      <c r="X1856">
        <v>0.99227940000000003</v>
      </c>
      <c r="Y1856">
        <v>-8.6408899999999997E-2</v>
      </c>
      <c r="Z1856">
        <v>-4.850966E-3</v>
      </c>
      <c r="AA1856">
        <v>0.99624789999999996</v>
      </c>
      <c r="AB1856">
        <v>53</v>
      </c>
      <c r="AC1856">
        <v>-16.423500000000001</v>
      </c>
      <c r="AD1856">
        <v>-1.1109302849860001</v>
      </c>
      <c r="AE1856">
        <v>-0.96340000000003501</v>
      </c>
      <c r="AF1856">
        <v>-1.46392711544947</v>
      </c>
      <c r="AG1856">
        <v>-1.1109302849860001</v>
      </c>
      <c r="AH1856">
        <v>16.311494651962001</v>
      </c>
      <c r="AI1856">
        <v>93.880688720478204</v>
      </c>
      <c r="AJ1856">
        <v>95.128452491104298</v>
      </c>
      <c r="AK1856">
        <v>16.414691787494199</v>
      </c>
      <c r="AL1856">
        <v>83.020731548963298</v>
      </c>
      <c r="AM1856">
        <v>91.433838023756294</v>
      </c>
      <c r="AN1856">
        <v>1.0000000106910001</v>
      </c>
    </row>
    <row r="1857" spans="1:40" x14ac:dyDescent="0.25">
      <c r="A1857" t="str">
        <f>"20190312172652851"</f>
        <v>20190312172652851</v>
      </c>
      <c r="B1857" t="str">
        <f>"1552382812840281"</f>
        <v>1552382812840281</v>
      </c>
      <c r="C1857" t="s">
        <v>40</v>
      </c>
      <c r="D1857">
        <v>3.3051279999999998</v>
      </c>
      <c r="E1857">
        <v>0.476578</v>
      </c>
      <c r="F1857" t="s">
        <v>48</v>
      </c>
      <c r="G1857">
        <v>-390.1891</v>
      </c>
      <c r="H1857" s="1">
        <v>-1.436173E-6</v>
      </c>
      <c r="I1857">
        <v>284.40539999999999</v>
      </c>
      <c r="J1857">
        <v>-373.96170000000001</v>
      </c>
      <c r="K1857">
        <v>1.1110139999999999</v>
      </c>
      <c r="L1857">
        <v>285.39830000000001</v>
      </c>
      <c r="M1857">
        <v>-0.99952540000000001</v>
      </c>
      <c r="N1857">
        <v>0</v>
      </c>
      <c r="O1857">
        <v>2.9006400000000002E-2</v>
      </c>
      <c r="P1857">
        <v>-0.99395</v>
      </c>
      <c r="Q1857">
        <v>0.10976569999999999</v>
      </c>
      <c r="R1857">
        <v>3.8993460000000001E-3</v>
      </c>
      <c r="S1857">
        <v>-3.0426639999999998</v>
      </c>
      <c r="T1857">
        <v>-0.20188020000000001</v>
      </c>
      <c r="U1857">
        <v>-0.17767330000000001</v>
      </c>
      <c r="V1857">
        <v>-2.5638029999999999E-2</v>
      </c>
      <c r="W1857">
        <v>0.1199112</v>
      </c>
      <c r="X1857">
        <v>0.99245349999999999</v>
      </c>
      <c r="Y1857">
        <v>-8.6974570000000001E-2</v>
      </c>
      <c r="Z1857">
        <v>-4.8008929999999997E-3</v>
      </c>
      <c r="AA1857">
        <v>0.99619899999999995</v>
      </c>
      <c r="AB1857">
        <v>53</v>
      </c>
      <c r="AC1857">
        <v>-16.2273999999999</v>
      </c>
      <c r="AD1857">
        <v>-1.111015436173</v>
      </c>
      <c r="AE1857">
        <v>-0.99290000000001999</v>
      </c>
      <c r="AF1857">
        <v>-1.4564045013142499</v>
      </c>
      <c r="AG1857">
        <v>-1.111015436173</v>
      </c>
      <c r="AH1857">
        <v>16.116504672629802</v>
      </c>
      <c r="AI1857">
        <v>93.927577795478697</v>
      </c>
      <c r="AJ1857">
        <v>95.163637716203894</v>
      </c>
      <c r="AK1857">
        <v>16.2202710283694</v>
      </c>
      <c r="AL1857">
        <v>83.113022132529196</v>
      </c>
      <c r="AM1857">
        <v>91.479791526967603</v>
      </c>
      <c r="AN1857">
        <v>0.999999977064985</v>
      </c>
    </row>
    <row r="1858" spans="1:40" x14ac:dyDescent="0.25">
      <c r="A1858" t="str">
        <f>"20190312172652874"</f>
        <v>20190312172652874</v>
      </c>
      <c r="B1858" t="str">
        <f>"1552382812860777"</f>
        <v>1552382812860777</v>
      </c>
      <c r="C1858" t="s">
        <v>40</v>
      </c>
      <c r="D1858">
        <v>3.304265</v>
      </c>
      <c r="E1858">
        <v>0.47853059999999997</v>
      </c>
      <c r="F1858" t="s">
        <v>48</v>
      </c>
      <c r="G1858">
        <v>-390.42250000000001</v>
      </c>
      <c r="H1858" s="1">
        <v>-1.3119370000000001E-6</v>
      </c>
      <c r="I1858">
        <v>284.40109999999999</v>
      </c>
      <c r="J1858">
        <v>-374.48820000000001</v>
      </c>
      <c r="K1858">
        <v>1.111094</v>
      </c>
      <c r="L1858">
        <v>285.4128</v>
      </c>
      <c r="M1858">
        <v>-0.99957969999999896</v>
      </c>
      <c r="N1858">
        <v>0</v>
      </c>
      <c r="O1858">
        <v>2.7059730000000001E-2</v>
      </c>
      <c r="P1858">
        <v>-0.99405010000000005</v>
      </c>
      <c r="Q1858">
        <v>0.10889740000000001</v>
      </c>
      <c r="R1858">
        <v>2.4311329999999998E-3</v>
      </c>
      <c r="S1858">
        <v>-3.041687</v>
      </c>
      <c r="T1858">
        <v>-0.20529749999999999</v>
      </c>
      <c r="U1858">
        <v>-0.18426509999999999</v>
      </c>
      <c r="V1858">
        <v>-2.519002E-2</v>
      </c>
      <c r="W1858">
        <v>0.119088899999999</v>
      </c>
      <c r="X1858">
        <v>0.992564</v>
      </c>
      <c r="Y1858">
        <v>-8.7199479999999996E-2</v>
      </c>
      <c r="Z1858">
        <v>-4.759671E-3</v>
      </c>
      <c r="AA1858">
        <v>0.9961795</v>
      </c>
      <c r="AB1858">
        <v>53</v>
      </c>
      <c r="AC1858">
        <v>-15.9343</v>
      </c>
      <c r="AD1858">
        <v>-1.111095311937</v>
      </c>
      <c r="AE1858">
        <v>-1.01170000000001</v>
      </c>
      <c r="AF1858">
        <v>-1.43557857099472</v>
      </c>
      <c r="AG1858">
        <v>-1.111095311937</v>
      </c>
      <c r="AH1858">
        <v>15.824453303136099</v>
      </c>
      <c r="AI1858">
        <v>93.999991527710193</v>
      </c>
      <c r="AJ1858">
        <v>95.1836265602374</v>
      </c>
      <c r="AK1858">
        <v>15.928237221012299</v>
      </c>
      <c r="AL1858">
        <v>83.160476651668503</v>
      </c>
      <c r="AM1858">
        <v>91.453782414464797</v>
      </c>
      <c r="AN1858">
        <v>0.99999999865340505</v>
      </c>
    </row>
    <row r="1859" spans="1:40" x14ac:dyDescent="0.25">
      <c r="A1859" t="str">
        <f>"20190312172652896"</f>
        <v>20190312172652896</v>
      </c>
      <c r="B1859" t="str">
        <f>"1552382812891037"</f>
        <v>1552382812891037</v>
      </c>
      <c r="C1859" t="s">
        <v>40</v>
      </c>
      <c r="D1859">
        <v>3.2867839999999902</v>
      </c>
      <c r="E1859">
        <v>0.47929949999999999</v>
      </c>
      <c r="F1859" t="s">
        <v>48</v>
      </c>
      <c r="G1859">
        <v>-394.24299999999999</v>
      </c>
      <c r="H1859" s="1">
        <v>7.2111859999999904E-7</v>
      </c>
      <c r="I1859">
        <v>284.28919999999999</v>
      </c>
      <c r="J1859">
        <v>-375.0231</v>
      </c>
      <c r="K1859">
        <v>1.1111599999999999</v>
      </c>
      <c r="L1859">
        <v>285.4264</v>
      </c>
      <c r="M1859">
        <v>-0.99963100000000005</v>
      </c>
      <c r="N1859">
        <v>0</v>
      </c>
      <c r="O1859">
        <v>2.5076029999999999E-2</v>
      </c>
      <c r="P1859">
        <v>-0.99404939999999997</v>
      </c>
      <c r="Q1859">
        <v>0.108922</v>
      </c>
      <c r="R1859">
        <v>1.390947E-3</v>
      </c>
      <c r="S1859">
        <v>-3.037048</v>
      </c>
      <c r="T1859">
        <v>-0.17081640000000001</v>
      </c>
      <c r="U1859">
        <v>-0.17272950000000001</v>
      </c>
      <c r="V1859">
        <v>-2.4275870000000001E-2</v>
      </c>
      <c r="W1859">
        <v>0.1191613</v>
      </c>
      <c r="X1859">
        <v>0.99257810000000002</v>
      </c>
      <c r="Y1859">
        <v>-8.1633289999999997E-2</v>
      </c>
      <c r="Z1859">
        <v>-3.70039E-3</v>
      </c>
      <c r="AA1859">
        <v>0.99665559999999997</v>
      </c>
      <c r="AB1859">
        <v>53</v>
      </c>
      <c r="AC1859">
        <v>-19.219899999999999</v>
      </c>
      <c r="AD1859">
        <v>-1.1111592788814</v>
      </c>
      <c r="AE1859">
        <v>-1.1372</v>
      </c>
      <c r="AF1859">
        <v>-1.6134535422478</v>
      </c>
      <c r="AG1859">
        <v>-1.1111592788814</v>
      </c>
      <c r="AH1859">
        <v>19.121649510047501</v>
      </c>
      <c r="AI1859">
        <v>93.313968455443401</v>
      </c>
      <c r="AJ1859">
        <v>94.823099554791995</v>
      </c>
      <c r="AK1859">
        <v>19.221742565676401</v>
      </c>
      <c r="AL1859">
        <v>83.156298757735101</v>
      </c>
      <c r="AM1859">
        <v>91.4010259391994</v>
      </c>
      <c r="AN1859">
        <v>1.0000000089407699</v>
      </c>
    </row>
    <row r="1860" spans="1:40" x14ac:dyDescent="0.25">
      <c r="A1860" t="str">
        <f>"20190312172652919"</f>
        <v>20190312172652919</v>
      </c>
      <c r="B1860" t="str">
        <f>"1552382812910553"</f>
        <v>1552382812910553</v>
      </c>
      <c r="C1860" t="s">
        <v>40</v>
      </c>
      <c r="D1860">
        <v>3.2836769999999902</v>
      </c>
      <c r="E1860">
        <v>0.47966510000000001</v>
      </c>
      <c r="F1860" t="s">
        <v>48</v>
      </c>
      <c r="G1860">
        <v>-394.94200000000001</v>
      </c>
      <c r="H1860" s="1">
        <v>1.0930880000000001E-6</v>
      </c>
      <c r="I1860">
        <v>284.3098</v>
      </c>
      <c r="J1860">
        <v>-375.55220000000003</v>
      </c>
      <c r="K1860">
        <v>1.111218</v>
      </c>
      <c r="L1860">
        <v>285.43889999999999</v>
      </c>
      <c r="M1860">
        <v>-0.9996777</v>
      </c>
      <c r="N1860">
        <v>0</v>
      </c>
      <c r="O1860">
        <v>2.31091E-2</v>
      </c>
      <c r="P1860">
        <v>-0.99405759999999999</v>
      </c>
      <c r="Q1860">
        <v>0.1088553</v>
      </c>
      <c r="R1860">
        <v>1.721689E-4</v>
      </c>
      <c r="S1860">
        <v>-3.0367739999999999</v>
      </c>
      <c r="T1860">
        <v>-0.16940429999999901</v>
      </c>
      <c r="U1860">
        <v>-0.17022709999999999</v>
      </c>
      <c r="V1860">
        <v>-2.355461E-2</v>
      </c>
      <c r="W1860">
        <v>0.1191405</v>
      </c>
      <c r="X1860">
        <v>0.99259790000000003</v>
      </c>
      <c r="Y1860">
        <v>-7.8868469999999996E-2</v>
      </c>
      <c r="Z1860">
        <v>-3.4836910000000001E-3</v>
      </c>
      <c r="AA1860">
        <v>0.99687890000000001</v>
      </c>
      <c r="AB1860">
        <v>53</v>
      </c>
      <c r="AC1860">
        <v>-19.389799999999902</v>
      </c>
      <c r="AD1860">
        <v>-1.1112169069119999</v>
      </c>
      <c r="AE1860">
        <v>-1.12909999999999</v>
      </c>
      <c r="AF1860">
        <v>-1.5717592367109401</v>
      </c>
      <c r="AG1860">
        <v>-1.1112169069119999</v>
      </c>
      <c r="AH1860">
        <v>19.2953686288405</v>
      </c>
      <c r="AI1860">
        <v>93.2851561446532</v>
      </c>
      <c r="AJ1860">
        <v>94.656909033159096</v>
      </c>
      <c r="AK1860">
        <v>19.391144386942099</v>
      </c>
      <c r="AL1860">
        <v>83.157498550550997</v>
      </c>
      <c r="AM1860">
        <v>91.359388831149801</v>
      </c>
      <c r="AN1860">
        <v>0.99999993473845294</v>
      </c>
    </row>
    <row r="1861" spans="1:40" x14ac:dyDescent="0.25">
      <c r="A1861" t="str">
        <f>"20190312172652941"</f>
        <v>20190312172652941</v>
      </c>
      <c r="B1861" t="str">
        <f>"1552382812931050"</f>
        <v>1552382812931050</v>
      </c>
      <c r="C1861" t="s">
        <v>40</v>
      </c>
      <c r="D1861">
        <v>3.3265380000000002</v>
      </c>
      <c r="E1861">
        <v>0.47974020000000001</v>
      </c>
      <c r="F1861" t="s">
        <v>48</v>
      </c>
      <c r="G1861">
        <v>-395.61040000000003</v>
      </c>
      <c r="H1861" s="1">
        <v>1.448777E-6</v>
      </c>
      <c r="I1861">
        <v>284.3057</v>
      </c>
      <c r="J1861">
        <v>-376.09059999999999</v>
      </c>
      <c r="K1861">
        <v>1.1112629999999999</v>
      </c>
      <c r="L1861">
        <v>285.45049999999998</v>
      </c>
      <c r="M1861">
        <v>-0.99972179999999999</v>
      </c>
      <c r="N1861">
        <v>0</v>
      </c>
      <c r="O1861">
        <v>2.1102849999999999E-2</v>
      </c>
      <c r="P1861">
        <v>-0.99412670000000003</v>
      </c>
      <c r="Q1861">
        <v>0.108220899999999</v>
      </c>
      <c r="R1861">
        <v>-6.5501869999999996E-4</v>
      </c>
      <c r="S1861">
        <v>-3.0363159999999998</v>
      </c>
      <c r="T1861">
        <v>-0.168211</v>
      </c>
      <c r="U1861">
        <v>-0.17153929999999901</v>
      </c>
      <c r="V1861">
        <v>-2.2397509999999999E-2</v>
      </c>
      <c r="W1861">
        <v>0.1185572</v>
      </c>
      <c r="X1861">
        <v>0.99269459999999998</v>
      </c>
      <c r="Y1861">
        <v>-7.7313320000000005E-2</v>
      </c>
      <c r="Z1861">
        <v>-3.3056660000000001E-3</v>
      </c>
      <c r="AA1861">
        <v>0.99700129999999998</v>
      </c>
      <c r="AB1861">
        <v>53</v>
      </c>
      <c r="AC1861">
        <v>-19.5198</v>
      </c>
      <c r="AD1861">
        <v>-1.111261551223</v>
      </c>
      <c r="AE1861">
        <v>-1.1447999999999701</v>
      </c>
      <c r="AF1861">
        <v>-1.55148016626219</v>
      </c>
      <c r="AG1861">
        <v>-1.111261551223</v>
      </c>
      <c r="AH1861">
        <v>19.428540306810302</v>
      </c>
      <c r="AI1861">
        <v>93.263235891759294</v>
      </c>
      <c r="AJ1861">
        <v>94.565707368863201</v>
      </c>
      <c r="AK1861">
        <v>19.522043217729198</v>
      </c>
      <c r="AL1861">
        <v>83.191158284574598</v>
      </c>
      <c r="AM1861">
        <v>91.292507388995901</v>
      </c>
      <c r="AN1861">
        <v>1.0000000134975999</v>
      </c>
    </row>
    <row r="1862" spans="1:40" x14ac:dyDescent="0.25">
      <c r="A1862" t="str">
        <f>"20190312172652965"</f>
        <v>20190312172652965</v>
      </c>
      <c r="B1862" t="str">
        <f>"1552382812960330"</f>
        <v>1552382812960330</v>
      </c>
      <c r="C1862" t="s">
        <v>40</v>
      </c>
      <c r="D1862">
        <v>3.297142</v>
      </c>
      <c r="E1862">
        <v>0.4799332</v>
      </c>
      <c r="F1862" t="s">
        <v>48</v>
      </c>
      <c r="G1862">
        <v>-396.07600000000002</v>
      </c>
      <c r="H1862" s="1">
        <v>1.696533E-6</v>
      </c>
      <c r="I1862">
        <v>284.3109</v>
      </c>
      <c r="J1862">
        <v>-376.61700000000002</v>
      </c>
      <c r="K1862">
        <v>1.1112899999999999</v>
      </c>
      <c r="L1862">
        <v>285.46080000000001</v>
      </c>
      <c r="M1862">
        <v>-0.99976089999999995</v>
      </c>
      <c r="N1862">
        <v>0</v>
      </c>
      <c r="O1862">
        <v>1.9136460000000001E-2</v>
      </c>
      <c r="P1862">
        <v>-0.99420790000000003</v>
      </c>
      <c r="Q1862">
        <v>0.1074469</v>
      </c>
      <c r="R1862">
        <v>-2.517572E-3</v>
      </c>
      <c r="S1862">
        <v>-3.0359799999999999</v>
      </c>
      <c r="T1862">
        <v>-0.16881179999999901</v>
      </c>
      <c r="U1862">
        <v>-0.17312620000000001</v>
      </c>
      <c r="V1862">
        <v>-2.2312370000000002E-2</v>
      </c>
      <c r="W1862">
        <v>0.1178271</v>
      </c>
      <c r="X1862">
        <v>0.99278339999999998</v>
      </c>
      <c r="Y1862">
        <v>-7.5882069999999996E-2</v>
      </c>
      <c r="Z1862">
        <v>-3.1688599999999999E-3</v>
      </c>
      <c r="AA1862">
        <v>0.99711170000000005</v>
      </c>
      <c r="AB1862">
        <v>53</v>
      </c>
      <c r="AC1862">
        <v>-19.459</v>
      </c>
      <c r="AD1862">
        <v>-1.11128830346699</v>
      </c>
      <c r="AE1862">
        <v>-1.1498999999999999</v>
      </c>
      <c r="AF1862">
        <v>-1.51715569853649</v>
      </c>
      <c r="AG1862">
        <v>-1.11128830346699</v>
      </c>
      <c r="AH1862">
        <v>19.3704738077498</v>
      </c>
      <c r="AI1862">
        <v>93.273468860181595</v>
      </c>
      <c r="AJ1862">
        <v>94.478440741026404</v>
      </c>
      <c r="AK1862">
        <v>19.4615512907822</v>
      </c>
      <c r="AL1862">
        <v>83.233284939011696</v>
      </c>
      <c r="AM1862">
        <v>91.287480687052806</v>
      </c>
      <c r="AN1862">
        <v>0.99999997333249302</v>
      </c>
    </row>
    <row r="1863" spans="1:40" x14ac:dyDescent="0.25">
      <c r="A1863" t="str">
        <f>"20190312172652988"</f>
        <v>20190312172652988</v>
      </c>
      <c r="B1863" t="str">
        <f>"1552382812980825"</f>
        <v>1552382812980825</v>
      </c>
      <c r="C1863" t="s">
        <v>40</v>
      </c>
      <c r="D1863">
        <v>3.2946040000000001</v>
      </c>
      <c r="E1863">
        <v>0.48010380000000002</v>
      </c>
      <c r="F1863" t="s">
        <v>48</v>
      </c>
      <c r="G1863">
        <v>-396.70420000000001</v>
      </c>
      <c r="H1863" s="1">
        <v>2.0308410000000002E-6</v>
      </c>
      <c r="I1863">
        <v>284.29059999999998</v>
      </c>
      <c r="J1863">
        <v>-377.1739</v>
      </c>
      <c r="K1863">
        <v>1.1113230000000001</v>
      </c>
      <c r="L1863">
        <v>285.47070000000002</v>
      </c>
      <c r="M1863">
        <v>-0.99979799999999996</v>
      </c>
      <c r="N1863">
        <v>0</v>
      </c>
      <c r="O1863">
        <v>1.70520999999999E-2</v>
      </c>
      <c r="P1863">
        <v>-0.99426289999999995</v>
      </c>
      <c r="Q1863">
        <v>0.1068764</v>
      </c>
      <c r="R1863">
        <v>-4.3231010000000002E-3</v>
      </c>
      <c r="S1863">
        <v>-3.0351560000000002</v>
      </c>
      <c r="T1863">
        <v>-0.1679147</v>
      </c>
      <c r="U1863">
        <v>-0.1768188</v>
      </c>
      <c r="V1863">
        <v>-2.2051950000000001E-2</v>
      </c>
      <c r="W1863">
        <v>0.1173085</v>
      </c>
      <c r="X1863">
        <v>0.99285069999999997</v>
      </c>
      <c r="Y1863">
        <v>-7.503369E-2</v>
      </c>
      <c r="Z1863">
        <v>-3.0142120000000001E-3</v>
      </c>
      <c r="AA1863">
        <v>0.99717650000000002</v>
      </c>
      <c r="AB1863">
        <v>53</v>
      </c>
      <c r="AC1863">
        <v>-19.5303</v>
      </c>
      <c r="AD1863">
        <v>-1.111320969159</v>
      </c>
      <c r="AE1863">
        <v>-1.1801000000000299</v>
      </c>
      <c r="AF1863">
        <v>-1.5081145390425199</v>
      </c>
      <c r="AG1863">
        <v>-1.111320969159</v>
      </c>
      <c r="AH1863">
        <v>19.4446053671521</v>
      </c>
      <c r="AI1863">
        <v>93.261304061189094</v>
      </c>
      <c r="AJ1863">
        <v>94.4349554058292</v>
      </c>
      <c r="AK1863">
        <v>19.5346390200496</v>
      </c>
      <c r="AL1863">
        <v>83.263206507166203</v>
      </c>
      <c r="AM1863">
        <v>91.272372533460199</v>
      </c>
      <c r="AN1863">
        <v>1.00000004258077</v>
      </c>
    </row>
    <row r="1864" spans="1:40" x14ac:dyDescent="0.25">
      <c r="A1864" t="str">
        <f>"20190312172653010"</f>
        <v>20190312172653010</v>
      </c>
      <c r="B1864" t="str">
        <f>"1552382813001322"</f>
        <v>1552382813001322</v>
      </c>
      <c r="C1864" t="s">
        <v>40</v>
      </c>
      <c r="D1864">
        <v>3.4925259999999998</v>
      </c>
      <c r="E1864">
        <v>0.47876619999999998</v>
      </c>
      <c r="F1864" t="s">
        <v>48</v>
      </c>
      <c r="G1864">
        <v>-397.14109999999999</v>
      </c>
      <c r="H1864" s="1">
        <v>2.2633329999999998E-6</v>
      </c>
      <c r="I1864">
        <v>284.2799</v>
      </c>
      <c r="J1864">
        <v>-377.68279999999999</v>
      </c>
      <c r="K1864">
        <v>1.1113459999999999</v>
      </c>
      <c r="L1864">
        <v>285.4785</v>
      </c>
      <c r="M1864">
        <v>-0.99982819999999994</v>
      </c>
      <c r="N1864">
        <v>0</v>
      </c>
      <c r="O1864">
        <v>1.514677E-2</v>
      </c>
      <c r="P1864">
        <v>-0.99420109999999995</v>
      </c>
      <c r="Q1864">
        <v>0.1073626</v>
      </c>
      <c r="R1864">
        <v>-6.1630519999999996E-3</v>
      </c>
      <c r="S1864">
        <v>-3.0346679999999999</v>
      </c>
      <c r="T1864">
        <v>-0.16890189999999999</v>
      </c>
      <c r="U1864">
        <v>-0.1809692</v>
      </c>
      <c r="V1864">
        <v>-2.2006040000000001E-2</v>
      </c>
      <c r="W1864">
        <v>0.11784409999999999</v>
      </c>
      <c r="X1864">
        <v>0.99278829999999996</v>
      </c>
      <c r="Y1864">
        <v>-7.4503849999999996E-2</v>
      </c>
      <c r="Z1864">
        <v>-2.9116620000000002E-3</v>
      </c>
      <c r="AA1864">
        <v>0.99721649999999995</v>
      </c>
      <c r="AB1864">
        <v>53</v>
      </c>
      <c r="AC1864">
        <v>-19.458300000000001</v>
      </c>
      <c r="AD1864">
        <v>-1.111343736667</v>
      </c>
      <c r="AE1864">
        <v>-1.1985999999999899</v>
      </c>
      <c r="AF1864">
        <v>-1.4883729450576999</v>
      </c>
      <c r="AG1864">
        <v>-1.111343736667</v>
      </c>
      <c r="AH1864">
        <v>19.374948929003502</v>
      </c>
      <c r="AI1864">
        <v>93.273255973520406</v>
      </c>
      <c r="AJ1864">
        <v>94.392802920886396</v>
      </c>
      <c r="AK1864">
        <v>19.463786500218902</v>
      </c>
      <c r="AL1864">
        <v>83.2323046199527</v>
      </c>
      <c r="AM1864">
        <v>91.269804226779797</v>
      </c>
      <c r="AN1864">
        <v>1.00000005315908</v>
      </c>
    </row>
    <row r="1865" spans="1:40" x14ac:dyDescent="0.25">
      <c r="A1865" t="str">
        <f>"20190312172653030"</f>
        <v>20190312172653030</v>
      </c>
      <c r="B1865" t="str">
        <f>"1552382813020841"</f>
        <v>1552382813020841</v>
      </c>
      <c r="C1865" t="s">
        <v>40</v>
      </c>
      <c r="D1865">
        <v>3.1846549999999998</v>
      </c>
      <c r="E1865">
        <v>0.47687380000000001</v>
      </c>
      <c r="F1865" t="s">
        <v>48</v>
      </c>
      <c r="G1865">
        <v>-398.36540000000002</v>
      </c>
      <c r="H1865" s="1">
        <v>2.9148609999999998E-6</v>
      </c>
      <c r="I1865">
        <v>284.13389999999998</v>
      </c>
      <c r="J1865">
        <v>-378.19639999999998</v>
      </c>
      <c r="K1865">
        <v>1.1113729999999999</v>
      </c>
      <c r="L1865">
        <v>285.4855</v>
      </c>
      <c r="M1865">
        <v>-0.99985469999999999</v>
      </c>
      <c r="N1865">
        <v>0</v>
      </c>
      <c r="O1865">
        <v>1.3229980000000001E-2</v>
      </c>
      <c r="P1865">
        <v>-0.99416479999999996</v>
      </c>
      <c r="Q1865">
        <v>0.10754030000000001</v>
      </c>
      <c r="R1865">
        <v>-8.4346500000000001E-3</v>
      </c>
      <c r="S1865">
        <v>-3.0338750000000001</v>
      </c>
      <c r="T1865">
        <v>-0.1630199</v>
      </c>
      <c r="U1865">
        <v>-0.1972351</v>
      </c>
      <c r="V1865">
        <v>-2.2378459999999999E-2</v>
      </c>
      <c r="W1865">
        <v>0.11807330000000001</v>
      </c>
      <c r="X1865">
        <v>0.99275270000000004</v>
      </c>
      <c r="Y1865">
        <v>-7.7940229999999999E-2</v>
      </c>
      <c r="Z1865">
        <v>-2.8000120000000002E-3</v>
      </c>
      <c r="AA1865">
        <v>0.99695409999999995</v>
      </c>
      <c r="AB1865">
        <v>53</v>
      </c>
      <c r="AC1865">
        <v>-20.169</v>
      </c>
      <c r="AD1865">
        <v>-1.111370085139</v>
      </c>
      <c r="AE1865">
        <v>-1.3516000000000099</v>
      </c>
      <c r="AF1865">
        <v>-1.61345550037934</v>
      </c>
      <c r="AG1865">
        <v>-1.111370085139</v>
      </c>
      <c r="AH1865">
        <v>20.088628962809299</v>
      </c>
      <c r="AI1865">
        <v>93.1564223133025</v>
      </c>
      <c r="AJ1865">
        <v>94.591959811889296</v>
      </c>
      <c r="AK1865">
        <v>20.1839390536948</v>
      </c>
      <c r="AL1865">
        <v>83.219079817205895</v>
      </c>
      <c r="AM1865">
        <v>91.291332877965203</v>
      </c>
      <c r="AN1865">
        <v>1.0000000115010701</v>
      </c>
    </row>
    <row r="1866" spans="1:40" x14ac:dyDescent="0.25">
      <c r="A1866" t="str">
        <f>"20190312172653075"</f>
        <v>20190312172653075</v>
      </c>
      <c r="B1866" t="str">
        <f>"1552382813070617"</f>
        <v>1552382813070617</v>
      </c>
      <c r="C1866" t="s">
        <v>40</v>
      </c>
      <c r="D1866">
        <v>3.1720709999999999</v>
      </c>
      <c r="E1866">
        <v>0.47352689999999997</v>
      </c>
      <c r="F1866" t="s">
        <v>48</v>
      </c>
      <c r="G1866">
        <v>-399.31610000000001</v>
      </c>
      <c r="H1866" s="1">
        <v>3.420756E-6</v>
      </c>
      <c r="I1866">
        <v>283.9572</v>
      </c>
      <c r="J1866">
        <v>-379.24869999999999</v>
      </c>
      <c r="K1866">
        <v>1.1114029999999999</v>
      </c>
      <c r="L1866">
        <v>285.49669999999998</v>
      </c>
      <c r="M1866">
        <v>-0.99989740000000005</v>
      </c>
      <c r="N1866">
        <v>0</v>
      </c>
      <c r="O1866">
        <v>9.3343780000000008E-3</v>
      </c>
      <c r="P1866">
        <v>-0.99398430000000004</v>
      </c>
      <c r="Q1866">
        <v>0.10866960000000001</v>
      </c>
      <c r="R1866">
        <v>-1.3641459999999999E-2</v>
      </c>
      <c r="S1866">
        <v>-3.0329899999999999</v>
      </c>
      <c r="T1866">
        <v>-0.15960360000000001</v>
      </c>
      <c r="U1866">
        <v>-0.21948239999999999</v>
      </c>
      <c r="V1866">
        <v>-2.3722630000000001E-2</v>
      </c>
      <c r="W1866">
        <v>0.1193072</v>
      </c>
      <c r="X1866">
        <v>0.99257399999999996</v>
      </c>
      <c r="Y1866">
        <v>-8.1358879999999995E-2</v>
      </c>
      <c r="Z1866">
        <v>-2.626672E-3</v>
      </c>
      <c r="AA1866">
        <v>0.99668140000000005</v>
      </c>
      <c r="AB1866">
        <v>53</v>
      </c>
      <c r="AC1866">
        <v>-20.067399999999999</v>
      </c>
      <c r="AD1866">
        <v>-1.1113995792439999</v>
      </c>
      <c r="AE1866">
        <v>-1.5394999999999699</v>
      </c>
      <c r="AF1866">
        <v>-1.72151115736657</v>
      </c>
      <c r="AG1866">
        <v>-1.1113995792439999</v>
      </c>
      <c r="AH1866">
        <v>19.9911940199875</v>
      </c>
      <c r="AI1866">
        <v>93.170343045417695</v>
      </c>
      <c r="AJ1866">
        <v>94.921796647335697</v>
      </c>
      <c r="AK1866">
        <v>20.095936107443801</v>
      </c>
      <c r="AL1866">
        <v>83.147879579915795</v>
      </c>
      <c r="AM1866">
        <v>91.369114914070593</v>
      </c>
      <c r="AN1866">
        <v>1.0000000583109701</v>
      </c>
    </row>
    <row r="1867" spans="1:40" x14ac:dyDescent="0.25">
      <c r="A1867" t="str">
        <f>"20190312172653098"</f>
        <v>20190312172653098</v>
      </c>
      <c r="B1867" t="str">
        <f>"1552382813091113"</f>
        <v>1552382813091113</v>
      </c>
      <c r="C1867" t="s">
        <v>40</v>
      </c>
      <c r="D1867">
        <v>3.186232</v>
      </c>
      <c r="E1867">
        <v>0.47256759999999898</v>
      </c>
      <c r="F1867" t="s">
        <v>49</v>
      </c>
      <c r="G1867">
        <v>-401.50630000000001</v>
      </c>
      <c r="H1867" s="1">
        <v>7.9486310000000002E-6</v>
      </c>
      <c r="I1867">
        <v>283.57889999999998</v>
      </c>
      <c r="J1867">
        <v>-379.80360000000002</v>
      </c>
      <c r="K1867">
        <v>1.111413</v>
      </c>
      <c r="L1867">
        <v>285.50099999999998</v>
      </c>
      <c r="M1867">
        <v>-0.99991350000000001</v>
      </c>
      <c r="N1867">
        <v>0</v>
      </c>
      <c r="O1867">
        <v>7.3134869999999996E-3</v>
      </c>
      <c r="P1867">
        <v>-0.99380420000000003</v>
      </c>
      <c r="Q1867">
        <v>0.10997759999999999</v>
      </c>
      <c r="R1867">
        <v>-1.6076E-2</v>
      </c>
      <c r="S1867">
        <v>-3.0310670000000002</v>
      </c>
      <c r="T1867">
        <v>-0.1513507</v>
      </c>
      <c r="U1867">
        <v>-0.2611694</v>
      </c>
      <c r="V1867">
        <v>-2.4155449999999998E-2</v>
      </c>
      <c r="W1867">
        <v>0.1206776</v>
      </c>
      <c r="X1867">
        <v>0.9923978</v>
      </c>
      <c r="Y1867">
        <v>-9.3006660000000005E-2</v>
      </c>
      <c r="Z1867">
        <v>-2.6806619999999999E-3</v>
      </c>
      <c r="AA1867">
        <v>0.99566189999999999</v>
      </c>
      <c r="AB1867">
        <v>53</v>
      </c>
      <c r="AC1867">
        <v>-21.7027</v>
      </c>
      <c r="AD1867">
        <v>-1.1114050513689999</v>
      </c>
      <c r="AE1867">
        <v>-1.9220999999999999</v>
      </c>
      <c r="AF1867">
        <v>-2.0753801419480098</v>
      </c>
      <c r="AG1867">
        <v>-1.1114050513689999</v>
      </c>
      <c r="AH1867">
        <v>21.631773384337802</v>
      </c>
      <c r="AI1867">
        <v>92.927756868127702</v>
      </c>
      <c r="AJ1867">
        <v>95.480257042170294</v>
      </c>
      <c r="AK1867">
        <v>21.759504674352002</v>
      </c>
      <c r="AL1867">
        <v>83.068789467359196</v>
      </c>
      <c r="AM1867">
        <v>91.394332103497405</v>
      </c>
      <c r="AN1867">
        <v>0.99999998117565103</v>
      </c>
    </row>
    <row r="1868" spans="1:40" x14ac:dyDescent="0.25">
      <c r="A1868" t="str">
        <f>"20190312172653120"</f>
        <v>20190312172653120</v>
      </c>
      <c r="B1868" t="str">
        <f>"1552382813110634"</f>
        <v>1552382813110634</v>
      </c>
      <c r="C1868" t="s">
        <v>40</v>
      </c>
      <c r="D1868">
        <v>3.1744590000000001</v>
      </c>
      <c r="E1868">
        <v>0.4718329</v>
      </c>
      <c r="F1868" t="s">
        <v>49</v>
      </c>
      <c r="G1868">
        <v>-402.84559999999999</v>
      </c>
      <c r="H1868" s="1">
        <v>7.3906739999999999E-6</v>
      </c>
      <c r="I1868">
        <v>283.40480000000002</v>
      </c>
      <c r="J1868">
        <v>-380.32440000000003</v>
      </c>
      <c r="K1868">
        <v>1.1114120000000001</v>
      </c>
      <c r="L1868">
        <v>285.50409999999999</v>
      </c>
      <c r="M1868">
        <v>-0.99992460000000005</v>
      </c>
      <c r="N1868">
        <v>0</v>
      </c>
      <c r="O1868">
        <v>5.4532080000000002E-3</v>
      </c>
      <c r="P1868">
        <v>-0.99357390000000001</v>
      </c>
      <c r="Q1868">
        <v>0.1117146</v>
      </c>
      <c r="R1868">
        <v>-1.8197910000000001E-2</v>
      </c>
      <c r="S1868">
        <v>-3.0304259999999998</v>
      </c>
      <c r="T1868">
        <v>-0.14616870000000001</v>
      </c>
      <c r="U1868">
        <v>-0.27569579999999999</v>
      </c>
      <c r="V1868">
        <v>-2.4434890000000001E-2</v>
      </c>
      <c r="W1868">
        <v>0.1224804</v>
      </c>
      <c r="X1868">
        <v>0.99217010000000005</v>
      </c>
      <c r="Y1868">
        <v>-9.5914620000000006E-2</v>
      </c>
      <c r="Z1868">
        <v>-2.5694260000000001E-3</v>
      </c>
      <c r="AA1868">
        <v>0.9953862</v>
      </c>
      <c r="AB1868">
        <v>53</v>
      </c>
      <c r="AC1868">
        <v>-22.521199999999901</v>
      </c>
      <c r="AD1868">
        <v>-1.1114046093259999</v>
      </c>
      <c r="AE1868">
        <v>-2.0992999999999702</v>
      </c>
      <c r="AF1868">
        <v>-2.21673697799763</v>
      </c>
      <c r="AG1868">
        <v>-1.1114046093259999</v>
      </c>
      <c r="AH1868">
        <v>22.455201286462</v>
      </c>
      <c r="AI1868">
        <v>92.819818270077405</v>
      </c>
      <c r="AJ1868">
        <v>95.6378691766906</v>
      </c>
      <c r="AK1868">
        <v>22.591706616605499</v>
      </c>
      <c r="AL1868">
        <v>82.964724843485101</v>
      </c>
      <c r="AM1868">
        <v>91.410779386224803</v>
      </c>
      <c r="AN1868">
        <v>1.00000000978374</v>
      </c>
    </row>
    <row r="1869" spans="1:40" x14ac:dyDescent="0.25">
      <c r="A1869" t="str">
        <f>"20190312172653142"</f>
        <v>20190312172653142</v>
      </c>
      <c r="B1869" t="str">
        <f>"1552382813131130"</f>
        <v>1552382813131130</v>
      </c>
      <c r="C1869" t="s">
        <v>40</v>
      </c>
      <c r="D1869">
        <v>3.2160989999999998</v>
      </c>
      <c r="E1869">
        <v>0.47106559999999997</v>
      </c>
      <c r="F1869" t="s">
        <v>49</v>
      </c>
      <c r="G1869">
        <v>-404.40699999999998</v>
      </c>
      <c r="H1869" s="1">
        <v>6.73723399999999E-6</v>
      </c>
      <c r="I1869">
        <v>283.21620000000001</v>
      </c>
      <c r="J1869">
        <v>-380.85149999999999</v>
      </c>
      <c r="K1869">
        <v>1.1113930000000001</v>
      </c>
      <c r="L1869">
        <v>285.50619999999998</v>
      </c>
      <c r="M1869">
        <v>-0.99993209999999999</v>
      </c>
      <c r="N1869">
        <v>0</v>
      </c>
      <c r="O1869">
        <v>3.6328139999999998E-3</v>
      </c>
      <c r="P1869">
        <v>-0.99339809999999995</v>
      </c>
      <c r="Q1869">
        <v>0.1129874</v>
      </c>
      <c r="R1869">
        <v>-1.9855879999999999E-2</v>
      </c>
      <c r="S1869">
        <v>-3.0298769999999999</v>
      </c>
      <c r="T1869">
        <v>-0.13982809999999901</v>
      </c>
      <c r="U1869">
        <v>-0.28784179999999998</v>
      </c>
      <c r="V1869">
        <v>-2.4282229999999998E-2</v>
      </c>
      <c r="W1869">
        <v>0.123832399999999</v>
      </c>
      <c r="X1869">
        <v>0.99200600000000005</v>
      </c>
      <c r="Y1869">
        <v>-9.8084169999999998E-2</v>
      </c>
      <c r="Z1869">
        <v>-2.4242090000000001E-3</v>
      </c>
      <c r="AA1869">
        <v>0.99517520000000004</v>
      </c>
      <c r="AB1869">
        <v>53</v>
      </c>
      <c r="AC1869">
        <v>-23.555499999999899</v>
      </c>
      <c r="AD1869">
        <v>-1.1113862627660001</v>
      </c>
      <c r="AE1869">
        <v>-2.2899999999999601</v>
      </c>
      <c r="AF1869">
        <v>-2.37033567361404</v>
      </c>
      <c r="AG1869">
        <v>-1.1113862627660001</v>
      </c>
      <c r="AH1869">
        <v>23.4952118082212</v>
      </c>
      <c r="AI1869">
        <v>92.694567083285605</v>
      </c>
      <c r="AJ1869">
        <v>95.760844694611905</v>
      </c>
      <c r="AK1869">
        <v>23.640614385921801</v>
      </c>
      <c r="AL1869">
        <v>82.886666617541394</v>
      </c>
      <c r="AM1869">
        <v>91.4022007206095</v>
      </c>
      <c r="AN1869">
        <v>0.99999999700976605</v>
      </c>
    </row>
    <row r="1870" spans="1:40" x14ac:dyDescent="0.25">
      <c r="A1870" t="str">
        <f>"20190312172653165"</f>
        <v>20190312172653165</v>
      </c>
      <c r="B1870" t="str">
        <f>"1552382813160410"</f>
        <v>1552382813160410</v>
      </c>
      <c r="C1870" t="s">
        <v>40</v>
      </c>
      <c r="D1870">
        <v>3.21814</v>
      </c>
      <c r="E1870">
        <v>0.47012429999999999</v>
      </c>
      <c r="F1870" t="s">
        <v>49</v>
      </c>
      <c r="G1870">
        <v>-405.95260000000002</v>
      </c>
      <c r="H1870" s="1">
        <v>6.0904159999999998E-6</v>
      </c>
      <c r="I1870">
        <v>283.02949999999998</v>
      </c>
      <c r="J1870">
        <v>-381.38670000000002</v>
      </c>
      <c r="K1870">
        <v>1.1113569999999999</v>
      </c>
      <c r="L1870">
        <v>285.50749999999999</v>
      </c>
      <c r="M1870">
        <v>-0.99993589999999999</v>
      </c>
      <c r="N1870">
        <v>0</v>
      </c>
      <c r="O1870">
        <v>1.866985E-3</v>
      </c>
      <c r="P1870">
        <v>-0.99327659999999995</v>
      </c>
      <c r="Q1870">
        <v>0.1137266</v>
      </c>
      <c r="R1870">
        <v>-2.1636349999999999E-2</v>
      </c>
      <c r="S1870">
        <v>-3.0292050000000001</v>
      </c>
      <c r="T1870">
        <v>-0.13412260000000001</v>
      </c>
      <c r="U1870">
        <v>-0.29888920000000002</v>
      </c>
      <c r="V1870">
        <v>-2.429719E-2</v>
      </c>
      <c r="W1870">
        <v>0.1246613</v>
      </c>
      <c r="X1870">
        <v>0.99190179999999994</v>
      </c>
      <c r="Y1870">
        <v>-9.9951460000000006E-2</v>
      </c>
      <c r="Z1870">
        <v>-2.2887490000000001E-3</v>
      </c>
      <c r="AA1870">
        <v>0.99498969999999998</v>
      </c>
      <c r="AB1870">
        <v>53</v>
      </c>
      <c r="AC1870">
        <v>-24.565899999999999</v>
      </c>
      <c r="AD1870">
        <v>-1.111350909584</v>
      </c>
      <c r="AE1870">
        <v>-2.4780000000000002</v>
      </c>
      <c r="AF1870">
        <v>-2.5187596891346198</v>
      </c>
      <c r="AG1870">
        <v>-1.111350909584</v>
      </c>
      <c r="AH1870">
        <v>24.5115699513937</v>
      </c>
      <c r="AI1870">
        <v>92.582424346959897</v>
      </c>
      <c r="AJ1870">
        <v>95.867006725496196</v>
      </c>
      <c r="AK1870">
        <v>24.6656910038602</v>
      </c>
      <c r="AL1870">
        <v>82.838803195403798</v>
      </c>
      <c r="AM1870">
        <v>91.403211588968603</v>
      </c>
      <c r="AN1870">
        <v>0.99999998700141302</v>
      </c>
    </row>
    <row r="1871" spans="1:40" x14ac:dyDescent="0.25">
      <c r="A1871" t="str">
        <f>"20190312172653188"</f>
        <v>20190312172653188</v>
      </c>
      <c r="B1871" t="str">
        <f>"1552382813180905"</f>
        <v>1552382813180905</v>
      </c>
      <c r="C1871" t="s">
        <v>40</v>
      </c>
      <c r="D1871">
        <v>3.2295020000000001</v>
      </c>
      <c r="E1871">
        <v>0.46960220000000003</v>
      </c>
      <c r="F1871" t="s">
        <v>49</v>
      </c>
      <c r="G1871">
        <v>-407.61989999999997</v>
      </c>
      <c r="H1871" s="1">
        <v>5.3975189999999999E-6</v>
      </c>
      <c r="I1871">
        <v>282.80450000000002</v>
      </c>
      <c r="J1871">
        <v>-381.93029999999999</v>
      </c>
      <c r="K1871">
        <v>1.1112949999999999</v>
      </c>
      <c r="L1871">
        <v>285.50790000000001</v>
      </c>
      <c r="M1871">
        <v>-0.99993659999999995</v>
      </c>
      <c r="N1871">
        <v>0</v>
      </c>
      <c r="O1871">
        <v>1.7493509999999901E-4</v>
      </c>
      <c r="P1871">
        <v>-0.99318320000000004</v>
      </c>
      <c r="Q1871">
        <v>0.1142567</v>
      </c>
      <c r="R1871">
        <v>-2.3079519999999999E-2</v>
      </c>
      <c r="S1871">
        <v>-3.0281980000000002</v>
      </c>
      <c r="T1871">
        <v>-0.1282877</v>
      </c>
      <c r="U1871">
        <v>-0.3120117</v>
      </c>
      <c r="V1871">
        <v>-2.404034E-2</v>
      </c>
      <c r="W1871">
        <v>0.1252905</v>
      </c>
      <c r="X1871">
        <v>0.99182879999999995</v>
      </c>
      <c r="Y1871">
        <v>-0.10257570000000001</v>
      </c>
      <c r="Z1871">
        <v>-2.173464E-3</v>
      </c>
      <c r="AA1871">
        <v>0.99472280000000002</v>
      </c>
      <c r="AB1871">
        <v>53</v>
      </c>
      <c r="AC1871">
        <v>-25.689599999999899</v>
      </c>
      <c r="AD1871">
        <v>-1.1112896024809999</v>
      </c>
      <c r="AE1871">
        <v>-2.7033999999999798</v>
      </c>
      <c r="AF1871">
        <v>-2.7028917744556602</v>
      </c>
      <c r="AG1871">
        <v>-1.1112896024809999</v>
      </c>
      <c r="AH1871">
        <v>25.641669343242501</v>
      </c>
      <c r="AI1871">
        <v>92.467944569454204</v>
      </c>
      <c r="AJ1871">
        <v>96.017334594705204</v>
      </c>
      <c r="AK1871">
        <v>25.807669310365501</v>
      </c>
      <c r="AL1871">
        <v>82.802467963728006</v>
      </c>
      <c r="AM1871">
        <v>91.388485968913102</v>
      </c>
      <c r="AN1871">
        <v>1.0000000079235001</v>
      </c>
    </row>
    <row r="1872" spans="1:40" x14ac:dyDescent="0.25">
      <c r="A1872" t="str">
        <f>"20190312172653209"</f>
        <v>20190312172653209</v>
      </c>
      <c r="B1872" t="str">
        <f>"1552382813200425"</f>
        <v>1552382813200425</v>
      </c>
      <c r="C1872" t="s">
        <v>40</v>
      </c>
      <c r="D1872">
        <v>3.2200980000000001</v>
      </c>
      <c r="E1872">
        <v>0.46920499999999998</v>
      </c>
      <c r="F1872" t="s">
        <v>49</v>
      </c>
      <c r="G1872">
        <v>-408.88709999999998</v>
      </c>
      <c r="H1872" s="1">
        <v>4.8665720000000002E-6</v>
      </c>
      <c r="I1872">
        <v>282.65440000000001</v>
      </c>
      <c r="J1872">
        <v>-382.44369999999998</v>
      </c>
      <c r="K1872">
        <v>1.111213</v>
      </c>
      <c r="L1872">
        <v>285.50740000000002</v>
      </c>
      <c r="M1872">
        <v>-0.99993460000000001</v>
      </c>
      <c r="N1872">
        <v>0</v>
      </c>
      <c r="O1872">
        <v>-1.300769E-3</v>
      </c>
      <c r="P1872">
        <v>-0.99312310000000004</v>
      </c>
      <c r="Q1872">
        <v>0.114522</v>
      </c>
      <c r="R1872">
        <v>-2.432136E-2</v>
      </c>
      <c r="S1872">
        <v>-3.0274960000000002</v>
      </c>
      <c r="T1872">
        <v>-0.12480819999999999</v>
      </c>
      <c r="U1872">
        <v>-0.3204651</v>
      </c>
      <c r="V1872">
        <v>-2.3789979999999999E-2</v>
      </c>
      <c r="W1872">
        <v>0.12565760000000001</v>
      </c>
      <c r="X1872">
        <v>0.99178840000000001</v>
      </c>
      <c r="Y1872">
        <v>-0.10388360000000001</v>
      </c>
      <c r="Z1872">
        <v>-2.080976E-3</v>
      </c>
      <c r="AA1872">
        <v>0.99458729999999995</v>
      </c>
      <c r="AB1872">
        <v>53</v>
      </c>
      <c r="AC1872">
        <v>-26.4434</v>
      </c>
      <c r="AD1872">
        <v>-1.111208133428</v>
      </c>
      <c r="AE1872">
        <v>-2.8530000000000002</v>
      </c>
      <c r="AF1872">
        <v>-2.8136872040724499</v>
      </c>
      <c r="AG1872">
        <v>-1.111208133428</v>
      </c>
      <c r="AH1872">
        <v>26.401004922644599</v>
      </c>
      <c r="AI1872">
        <v>92.396578701874205</v>
      </c>
      <c r="AJ1872">
        <v>96.083335300115294</v>
      </c>
      <c r="AK1872">
        <v>26.5737592395894</v>
      </c>
      <c r="AL1872">
        <v>82.781267167549004</v>
      </c>
      <c r="AM1872">
        <v>91.374087572359997</v>
      </c>
      <c r="AN1872">
        <v>1.0000000129803599</v>
      </c>
    </row>
    <row r="1873" spans="1:40" x14ac:dyDescent="0.25">
      <c r="A1873" t="str">
        <f>"20190312172653231"</f>
        <v>20190312172653231</v>
      </c>
      <c r="B1873" t="str">
        <f>"1552382813220922"</f>
        <v>1552382813220922</v>
      </c>
      <c r="C1873" t="s">
        <v>40</v>
      </c>
      <c r="D1873">
        <v>3.273943</v>
      </c>
      <c r="E1873">
        <v>0.46888220000000003</v>
      </c>
      <c r="F1873" t="s">
        <v>49</v>
      </c>
      <c r="G1873">
        <v>-409.93700000000001</v>
      </c>
      <c r="H1873" s="1">
        <v>4.4258939999999997E-6</v>
      </c>
      <c r="I1873">
        <v>282.53390000000002</v>
      </c>
      <c r="J1873">
        <v>-382.96620000000001</v>
      </c>
      <c r="K1873">
        <v>1.111124</v>
      </c>
      <c r="L1873">
        <v>285.5061</v>
      </c>
      <c r="M1873">
        <v>-0.99993069999999895</v>
      </c>
      <c r="N1873">
        <v>0</v>
      </c>
      <c r="O1873">
        <v>-2.6964189999999998E-3</v>
      </c>
      <c r="P1873">
        <v>-0.99310430000000005</v>
      </c>
      <c r="Q1873">
        <v>0.11444890000000001</v>
      </c>
      <c r="R1873">
        <v>-2.540042E-2</v>
      </c>
      <c r="S1873">
        <v>-3.0268549999999999</v>
      </c>
      <c r="T1873">
        <v>-0.1223378</v>
      </c>
      <c r="U1873">
        <v>-0.32736209999999999</v>
      </c>
      <c r="V1873">
        <v>-2.345175E-2</v>
      </c>
      <c r="W1873">
        <v>0.12568789999999999</v>
      </c>
      <c r="X1873">
        <v>0.99179260000000002</v>
      </c>
      <c r="Y1873">
        <v>-0.1047618</v>
      </c>
      <c r="Z1873">
        <v>-2.0014690000000001E-3</v>
      </c>
      <c r="AA1873">
        <v>0.99449529999999997</v>
      </c>
      <c r="AB1873">
        <v>53</v>
      </c>
      <c r="AC1873">
        <v>-26.970799999999901</v>
      </c>
      <c r="AD1873">
        <v>-1.111119574106</v>
      </c>
      <c r="AE1873">
        <v>-2.97219999999998</v>
      </c>
      <c r="AF1873">
        <v>-2.8946060498902502</v>
      </c>
      <c r="AG1873">
        <v>-1.111119574106</v>
      </c>
      <c r="AH1873">
        <v>26.933553509248998</v>
      </c>
      <c r="AI1873">
        <v>92.348835799314401</v>
      </c>
      <c r="AJ1873">
        <v>96.134154083923093</v>
      </c>
      <c r="AK1873">
        <v>27.111429979394298</v>
      </c>
      <c r="AL1873">
        <v>82.779517116247206</v>
      </c>
      <c r="AM1873">
        <v>91.354553312572094</v>
      </c>
      <c r="AN1873">
        <v>0.99999999709961596</v>
      </c>
    </row>
    <row r="1874" spans="1:40" x14ac:dyDescent="0.25">
      <c r="A1874" t="str">
        <f>"20190312172653254"</f>
        <v>20190312172653254</v>
      </c>
      <c r="B1874" t="str">
        <f>"1552382813251177"</f>
        <v>1552382813251177</v>
      </c>
      <c r="C1874" t="s">
        <v>40</v>
      </c>
      <c r="D1874">
        <v>3.260529</v>
      </c>
      <c r="E1874">
        <v>0.46839259999999999</v>
      </c>
      <c r="F1874" t="s">
        <v>49</v>
      </c>
      <c r="G1874">
        <v>-410.69229999999999</v>
      </c>
      <c r="H1874" s="1">
        <v>2.5175609999999998E-6</v>
      </c>
      <c r="I1874">
        <v>282.45429999999999</v>
      </c>
      <c r="J1874">
        <v>-383.50049999999999</v>
      </c>
      <c r="K1874">
        <v>1.111019</v>
      </c>
      <c r="L1874">
        <v>285.50420000000003</v>
      </c>
      <c r="M1874">
        <v>-0.99992539999999996</v>
      </c>
      <c r="N1874">
        <v>0</v>
      </c>
      <c r="O1874">
        <v>-4.0075780000000004E-3</v>
      </c>
      <c r="P1874">
        <v>-0.99308350000000001</v>
      </c>
      <c r="Q1874">
        <v>0.11435969999999999</v>
      </c>
      <c r="R1874">
        <v>-2.659603E-2</v>
      </c>
      <c r="S1874">
        <v>-3.0262760000000002</v>
      </c>
      <c r="T1874">
        <v>-0.1212776</v>
      </c>
      <c r="U1874">
        <v>-0.33309939999999999</v>
      </c>
      <c r="V1874">
        <v>-2.3310299999999999E-2</v>
      </c>
      <c r="W1874">
        <v>0.12570400000000001</v>
      </c>
      <c r="X1874">
        <v>0.99179390000000001</v>
      </c>
      <c r="Y1874">
        <v>-0.1053433</v>
      </c>
      <c r="Z1874">
        <v>-1.94356E-3</v>
      </c>
      <c r="AA1874">
        <v>0.99443400000000004</v>
      </c>
      <c r="AB1874">
        <v>53</v>
      </c>
      <c r="AC1874">
        <v>-27.191800000000001</v>
      </c>
      <c r="AD1874">
        <v>-1.1110164824390001</v>
      </c>
      <c r="AE1874">
        <v>-3.0499000000000298</v>
      </c>
      <c r="AF1874">
        <v>-2.93605438556432</v>
      </c>
      <c r="AG1874">
        <v>-1.1110164824390001</v>
      </c>
      <c r="AH1874">
        <v>27.159028672327999</v>
      </c>
      <c r="AI1874">
        <v>92.328984234209102</v>
      </c>
      <c r="AJ1874">
        <v>96.170056605319999</v>
      </c>
      <c r="AK1874">
        <v>27.339853902381702</v>
      </c>
      <c r="AL1874">
        <v>82.778587321519396</v>
      </c>
      <c r="AM1874">
        <v>91.346384532097701</v>
      </c>
      <c r="AN1874">
        <v>1.0000000028896401</v>
      </c>
    </row>
    <row r="1875" spans="1:40" x14ac:dyDescent="0.25">
      <c r="A1875" t="str">
        <f>"20190312172653276"</f>
        <v>20190312172653276</v>
      </c>
      <c r="B1875" t="str">
        <f>"1552382813270712"</f>
        <v>1552382813270712</v>
      </c>
      <c r="C1875" t="s">
        <v>40</v>
      </c>
      <c r="D1875">
        <v>3.2370160000000001</v>
      </c>
      <c r="E1875">
        <v>0.4680861</v>
      </c>
      <c r="F1875" t="s">
        <v>49</v>
      </c>
      <c r="G1875">
        <v>-411.47390000000001</v>
      </c>
      <c r="H1875" s="1">
        <v>2.6649620000000001E-6</v>
      </c>
      <c r="I1875">
        <v>282.35430000000002</v>
      </c>
      <c r="J1875">
        <v>-384.0265</v>
      </c>
      <c r="K1875">
        <v>1.1109089999999999</v>
      </c>
      <c r="L1875">
        <v>285.5016</v>
      </c>
      <c r="M1875">
        <v>-0.99991870000000005</v>
      </c>
      <c r="N1875">
        <v>0</v>
      </c>
      <c r="O1875">
        <v>-5.1708919999999998E-3</v>
      </c>
      <c r="P1875">
        <v>-0.99310920000000003</v>
      </c>
      <c r="Q1875">
        <v>0.1139039</v>
      </c>
      <c r="R1875">
        <v>-2.756958E-2</v>
      </c>
      <c r="S1875">
        <v>-3.0256349999999999</v>
      </c>
      <c r="T1875">
        <v>-0.12016880000000001</v>
      </c>
      <c r="U1875">
        <v>-0.34069820000000001</v>
      </c>
      <c r="V1875">
        <v>-2.3088569999999999E-2</v>
      </c>
      <c r="W1875">
        <v>0.12535669999999999</v>
      </c>
      <c r="X1875">
        <v>0.99184300000000003</v>
      </c>
      <c r="Y1875">
        <v>-0.10667740000000001</v>
      </c>
      <c r="Z1875">
        <v>-1.906308E-3</v>
      </c>
      <c r="AA1875">
        <v>0.99429179999999995</v>
      </c>
      <c r="AB1875">
        <v>53</v>
      </c>
      <c r="AC1875">
        <v>-27.447399999999998</v>
      </c>
      <c r="AD1875">
        <v>-1.110906335038</v>
      </c>
      <c r="AE1875">
        <v>-3.1472999999999698</v>
      </c>
      <c r="AF1875">
        <v>-3.0004693179893702</v>
      </c>
      <c r="AG1875">
        <v>-1.110906335038</v>
      </c>
      <c r="AH1875">
        <v>27.418975099942902</v>
      </c>
      <c r="AI1875">
        <v>92.306371715506202</v>
      </c>
      <c r="AJ1875">
        <v>96.245050795535704</v>
      </c>
      <c r="AK1875">
        <v>27.6050199156731</v>
      </c>
      <c r="AL1875">
        <v>82.798644497835198</v>
      </c>
      <c r="AM1875">
        <v>91.333516235816703</v>
      </c>
      <c r="AN1875">
        <v>0.99999996047426598</v>
      </c>
    </row>
    <row r="1876" spans="1:40" x14ac:dyDescent="0.25">
      <c r="A1876" t="str">
        <f>"20190312172653299"</f>
        <v>20190312172653299</v>
      </c>
      <c r="B1876" t="str">
        <f>"1552382813291193"</f>
        <v>1552382813291193</v>
      </c>
      <c r="C1876" t="s">
        <v>40</v>
      </c>
      <c r="D1876">
        <v>3.23977</v>
      </c>
      <c r="E1876">
        <v>0.46785700000000002</v>
      </c>
      <c r="F1876" t="s">
        <v>49</v>
      </c>
      <c r="G1876">
        <v>-411.82929999999999</v>
      </c>
      <c r="H1876" s="1">
        <v>2.7308499999999999E-6</v>
      </c>
      <c r="I1876">
        <v>282.32159999999999</v>
      </c>
      <c r="J1876">
        <v>-384.56880000000001</v>
      </c>
      <c r="K1876">
        <v>1.110779</v>
      </c>
      <c r="L1876">
        <v>285.4984</v>
      </c>
      <c r="M1876">
        <v>-0.99991140000000001</v>
      </c>
      <c r="N1876">
        <v>0</v>
      </c>
      <c r="O1876">
        <v>-6.230363E-3</v>
      </c>
      <c r="P1876">
        <v>-0.99309760000000002</v>
      </c>
      <c r="Q1876">
        <v>0.11381910000000001</v>
      </c>
      <c r="R1876">
        <v>-2.8330080000000001E-2</v>
      </c>
      <c r="S1876">
        <v>-3.0251160000000001</v>
      </c>
      <c r="T1876">
        <v>-0.1208732</v>
      </c>
      <c r="U1876">
        <v>-0.34600829999999999</v>
      </c>
      <c r="V1876">
        <v>-2.2754090000000001E-2</v>
      </c>
      <c r="W1876">
        <v>0.1253927</v>
      </c>
      <c r="X1876">
        <v>0.99184620000000001</v>
      </c>
      <c r="Y1876">
        <v>-0.1073653</v>
      </c>
      <c r="Z1876">
        <v>-1.8891299999999999E-3</v>
      </c>
      <c r="AA1876">
        <v>0.99421780000000004</v>
      </c>
      <c r="AB1876">
        <v>53</v>
      </c>
      <c r="AC1876">
        <v>-27.260499999999901</v>
      </c>
      <c r="AD1876">
        <v>-1.1107762691500001</v>
      </c>
      <c r="AE1876">
        <v>-3.1768000000000098</v>
      </c>
      <c r="AF1876">
        <v>-3.0019663972023398</v>
      </c>
      <c r="AG1876">
        <v>-1.1107762691500001</v>
      </c>
      <c r="AH1876">
        <v>27.235152255551601</v>
      </c>
      <c r="AI1876">
        <v>92.321450261693798</v>
      </c>
      <c r="AJ1876">
        <v>96.289976866924803</v>
      </c>
      <c r="AK1876">
        <v>27.422602804130602</v>
      </c>
      <c r="AL1876">
        <v>82.796565594494794</v>
      </c>
      <c r="AM1876">
        <v>91.314200410014905</v>
      </c>
      <c r="AN1876">
        <v>0.99999998113972899</v>
      </c>
    </row>
    <row r="1877" spans="1:40" x14ac:dyDescent="0.25">
      <c r="A1877" t="str">
        <f>"20190312172653321"</f>
        <v>20190312172653321</v>
      </c>
      <c r="B1877" t="str">
        <f>"1552382813310714"</f>
        <v>1552382813310714</v>
      </c>
      <c r="C1877" t="s">
        <v>40</v>
      </c>
      <c r="D1877">
        <v>3.2424900000000001</v>
      </c>
      <c r="E1877">
        <v>0.46773290000000001</v>
      </c>
      <c r="F1877" t="s">
        <v>49</v>
      </c>
      <c r="G1877">
        <v>-412.31240000000003</v>
      </c>
      <c r="H1877" s="1">
        <v>2.8192800000000001E-6</v>
      </c>
      <c r="I1877">
        <v>282.2903</v>
      </c>
      <c r="J1877">
        <v>-385.09949999999998</v>
      </c>
      <c r="K1877">
        <v>1.110646</v>
      </c>
      <c r="L1877">
        <v>285.4948</v>
      </c>
      <c r="M1877">
        <v>-0.99990400000000002</v>
      </c>
      <c r="N1877">
        <v>0</v>
      </c>
      <c r="O1877">
        <v>-7.1263999999999997E-3</v>
      </c>
      <c r="P1877">
        <v>-0.99308410000000003</v>
      </c>
      <c r="Q1877">
        <v>0.11398999999999999</v>
      </c>
      <c r="R1877">
        <v>-2.81234E-2</v>
      </c>
      <c r="S1877">
        <v>-3.02475</v>
      </c>
      <c r="T1877">
        <v>-0.1211023</v>
      </c>
      <c r="U1877">
        <v>-0.34976200000000002</v>
      </c>
      <c r="V1877">
        <v>-2.1612490000000002E-2</v>
      </c>
      <c r="W1877">
        <v>0.125695</v>
      </c>
      <c r="X1877">
        <v>0.99183350000000003</v>
      </c>
      <c r="Y1877">
        <v>-0.1077058</v>
      </c>
      <c r="Z1877">
        <v>-1.863855E-3</v>
      </c>
      <c r="AA1877">
        <v>0.99418099999999998</v>
      </c>
      <c r="AB1877">
        <v>53</v>
      </c>
      <c r="AC1877">
        <v>-27.212900000000001</v>
      </c>
      <c r="AD1877">
        <v>-1.1106431807199999</v>
      </c>
      <c r="AE1877">
        <v>-3.2044999999999901</v>
      </c>
      <c r="AF1877">
        <v>-3.0055370302614999</v>
      </c>
      <c r="AG1877">
        <v>-1.1106431807199999</v>
      </c>
      <c r="AH1877">
        <v>27.190375204745301</v>
      </c>
      <c r="AI1877">
        <v>92.324911500667199</v>
      </c>
      <c r="AJ1877">
        <v>96.307685311173799</v>
      </c>
      <c r="AK1877">
        <v>27.378518675961601</v>
      </c>
      <c r="AL1877">
        <v>82.779107174123695</v>
      </c>
      <c r="AM1877">
        <v>91.248302790367802</v>
      </c>
      <c r="AN1877">
        <v>1.0000000122356201</v>
      </c>
    </row>
    <row r="1878" spans="1:40" x14ac:dyDescent="0.25">
      <c r="A1878" t="str">
        <f>"20190312172653342"</f>
        <v>20190312172653342</v>
      </c>
      <c r="B1878" t="str">
        <f>"1552382813331210"</f>
        <v>1552382813331210</v>
      </c>
      <c r="C1878" t="s">
        <v>40</v>
      </c>
      <c r="D1878">
        <v>3.2690220000000001</v>
      </c>
      <c r="E1878">
        <v>0.46762120000000001</v>
      </c>
      <c r="F1878" t="s">
        <v>49</v>
      </c>
      <c r="G1878">
        <v>-413.0471</v>
      </c>
      <c r="H1878" s="1">
        <v>2.9525519999999998E-6</v>
      </c>
      <c r="I1878">
        <v>282.25670000000002</v>
      </c>
      <c r="J1878">
        <v>-385.61810000000003</v>
      </c>
      <c r="K1878">
        <v>1.110517</v>
      </c>
      <c r="L1878">
        <v>285.49079999999998</v>
      </c>
      <c r="M1878">
        <v>-0.99989680000000003</v>
      </c>
      <c r="N1878">
        <v>0</v>
      </c>
      <c r="O1878">
        <v>-7.8691309999999997E-3</v>
      </c>
      <c r="P1878">
        <v>-0.99310580000000004</v>
      </c>
      <c r="Q1878">
        <v>0.1139276</v>
      </c>
      <c r="R1878">
        <v>-2.7595580000000001E-2</v>
      </c>
      <c r="S1878">
        <v>-3.0247799999999998</v>
      </c>
      <c r="T1878">
        <v>-0.1202053</v>
      </c>
      <c r="U1878">
        <v>-0.35046389999999999</v>
      </c>
      <c r="V1878">
        <v>-2.029889E-2</v>
      </c>
      <c r="W1878">
        <v>0.1257778</v>
      </c>
      <c r="X1878">
        <v>0.99185069999999997</v>
      </c>
      <c r="Y1878">
        <v>-0.107196</v>
      </c>
      <c r="Z1878">
        <v>-1.810522E-3</v>
      </c>
      <c r="AA1878">
        <v>0.99423629999999996</v>
      </c>
      <c r="AB1878">
        <v>53</v>
      </c>
      <c r="AC1878">
        <v>-27.428999999999899</v>
      </c>
      <c r="AD1878">
        <v>-1.110514047448</v>
      </c>
      <c r="AE1878">
        <v>-3.23409999999995</v>
      </c>
      <c r="AF1878">
        <v>-3.0132702808076401</v>
      </c>
      <c r="AG1878">
        <v>-1.110514047448</v>
      </c>
      <c r="AH1878">
        <v>27.409289148725701</v>
      </c>
      <c r="AI1878">
        <v>92.3062457561266</v>
      </c>
      <c r="AJ1878">
        <v>96.273680886404804</v>
      </c>
      <c r="AK1878">
        <v>27.5967782698132</v>
      </c>
      <c r="AL1878">
        <v>82.774324719704296</v>
      </c>
      <c r="AM1878">
        <v>91.172432896577405</v>
      </c>
      <c r="AN1878">
        <v>0.99999995549928</v>
      </c>
    </row>
    <row r="1879" spans="1:40" x14ac:dyDescent="0.25">
      <c r="A1879" t="str">
        <f>"20190312172653367"</f>
        <v>20190312172653367</v>
      </c>
      <c r="B1879" t="str">
        <f>"1552382813360489"</f>
        <v>1552382813360489</v>
      </c>
      <c r="C1879" t="s">
        <v>40</v>
      </c>
      <c r="D1879">
        <v>3.24316</v>
      </c>
      <c r="E1879">
        <v>0.46747499999999997</v>
      </c>
      <c r="F1879" t="s">
        <v>49</v>
      </c>
      <c r="G1879">
        <v>-413.57420000000002</v>
      </c>
      <c r="H1879" s="1">
        <v>3.0461060000000001E-6</v>
      </c>
      <c r="I1879">
        <v>282.25599999999997</v>
      </c>
      <c r="J1879">
        <v>-386.17790000000002</v>
      </c>
      <c r="K1879">
        <v>1.1103540000000001</v>
      </c>
      <c r="L1879">
        <v>285.48610000000002</v>
      </c>
      <c r="M1879">
        <v>-0.99988940000000004</v>
      </c>
      <c r="N1879">
        <v>0</v>
      </c>
      <c r="O1879">
        <v>-8.5266819999999903E-3</v>
      </c>
      <c r="P1879">
        <v>-0.99317889999999998</v>
      </c>
      <c r="Q1879">
        <v>0.1133446</v>
      </c>
      <c r="R1879">
        <v>-2.73592E-2</v>
      </c>
      <c r="S1879">
        <v>-3.0248719999999998</v>
      </c>
      <c r="T1879">
        <v>-0.1201583</v>
      </c>
      <c r="U1879">
        <v>-0.35000609999999999</v>
      </c>
      <c r="V1879">
        <v>-1.9352109999999999E-2</v>
      </c>
      <c r="W1879">
        <v>0.1253657</v>
      </c>
      <c r="X1879">
        <v>0.99192179999999996</v>
      </c>
      <c r="Y1879">
        <v>-0.1063914</v>
      </c>
      <c r="Z1879">
        <v>-1.7678360000000001E-3</v>
      </c>
      <c r="AA1879">
        <v>0.99432279999999995</v>
      </c>
      <c r="AB1879">
        <v>53</v>
      </c>
      <c r="AC1879">
        <v>-27.3963</v>
      </c>
      <c r="AD1879">
        <v>-1.110350953894</v>
      </c>
      <c r="AE1879">
        <v>-3.2301000000000499</v>
      </c>
      <c r="AF1879">
        <v>-2.9915191240435099</v>
      </c>
      <c r="AG1879">
        <v>-1.110350953894</v>
      </c>
      <c r="AH1879">
        <v>27.378492175148399</v>
      </c>
      <c r="AI1879">
        <v>92.308665968835697</v>
      </c>
      <c r="AJ1879">
        <v>96.235703152273203</v>
      </c>
      <c r="AK1879">
        <v>27.563815042460899</v>
      </c>
      <c r="AL1879">
        <v>82.798124732818906</v>
      </c>
      <c r="AM1879">
        <v>91.117682442383398</v>
      </c>
      <c r="AN1879">
        <v>0.99999996010658998</v>
      </c>
    </row>
    <row r="1880" spans="1:40" x14ac:dyDescent="0.25">
      <c r="A1880" t="str">
        <f>"20190312172653389"</f>
        <v>20190312172653389</v>
      </c>
      <c r="B1880" t="str">
        <f>"1552382813380986"</f>
        <v>1552382813380986</v>
      </c>
      <c r="C1880" t="s">
        <v>40</v>
      </c>
      <c r="D1880">
        <v>3.2458300000000002</v>
      </c>
      <c r="E1880">
        <v>0.46738940000000001</v>
      </c>
      <c r="F1880" t="s">
        <v>49</v>
      </c>
      <c r="G1880">
        <v>-413.637</v>
      </c>
      <c r="H1880" s="1">
        <v>3.0527099999999901E-6</v>
      </c>
      <c r="I1880">
        <v>282.30779999999999</v>
      </c>
      <c r="J1880">
        <v>-386.71190000000001</v>
      </c>
      <c r="K1880">
        <v>1.110204</v>
      </c>
      <c r="L1880">
        <v>285.48140000000001</v>
      </c>
      <c r="M1880">
        <v>-0.99988319999999997</v>
      </c>
      <c r="N1880">
        <v>0</v>
      </c>
      <c r="O1880">
        <v>-9.0097579999999997E-3</v>
      </c>
      <c r="P1880">
        <v>-0.99324100000000004</v>
      </c>
      <c r="Q1880">
        <v>0.1128712</v>
      </c>
      <c r="R1880">
        <v>-2.7065680000000002E-2</v>
      </c>
      <c r="S1880">
        <v>-3.0248719999999998</v>
      </c>
      <c r="T1880">
        <v>-0.1223158</v>
      </c>
      <c r="U1880">
        <v>-0.3501282</v>
      </c>
      <c r="V1880">
        <v>-1.8523189999999998E-2</v>
      </c>
      <c r="W1880">
        <v>0.12506819999999999</v>
      </c>
      <c r="X1880">
        <v>0.99197519999999995</v>
      </c>
      <c r="Y1880">
        <v>-0.1059486</v>
      </c>
      <c r="Z1880">
        <v>-1.771171E-3</v>
      </c>
      <c r="AA1880">
        <v>0.99436999999999998</v>
      </c>
      <c r="AB1880">
        <v>53</v>
      </c>
      <c r="AC1880">
        <v>-26.925099999999901</v>
      </c>
      <c r="AD1880">
        <v>-1.1102009472900001</v>
      </c>
      <c r="AE1880">
        <v>-3.17360000000002</v>
      </c>
      <c r="AF1880">
        <v>-2.9259576264585498</v>
      </c>
      <c r="AG1880">
        <v>-1.1102009472900001</v>
      </c>
      <c r="AH1880">
        <v>26.907482476721501</v>
      </c>
      <c r="AI1880">
        <v>92.348849198531795</v>
      </c>
      <c r="AJ1880">
        <v>96.206039095090304</v>
      </c>
      <c r="AK1880">
        <v>27.088860947080601</v>
      </c>
      <c r="AL1880">
        <v>82.815305596780206</v>
      </c>
      <c r="AM1880">
        <v>91.069761909031598</v>
      </c>
      <c r="AN1880">
        <v>0.99999998031702697</v>
      </c>
    </row>
    <row r="1881" spans="1:40" x14ac:dyDescent="0.25">
      <c r="A1881" t="str">
        <f>"20190312172653412"</f>
        <v>20190312172653412</v>
      </c>
      <c r="B1881" t="str">
        <f>"1552382813400505"</f>
        <v>1552382813400505</v>
      </c>
      <c r="C1881" t="s">
        <v>40</v>
      </c>
      <c r="D1881">
        <v>3.2697859999999999</v>
      </c>
      <c r="E1881">
        <v>0.46739799999999998</v>
      </c>
      <c r="F1881" t="s">
        <v>49</v>
      </c>
      <c r="G1881">
        <v>-413.80590000000001</v>
      </c>
      <c r="H1881" s="1">
        <v>3.0790550000000001E-6</v>
      </c>
      <c r="I1881">
        <v>282.3492</v>
      </c>
      <c r="J1881">
        <v>-387.25560000000002</v>
      </c>
      <c r="K1881">
        <v>1.11006</v>
      </c>
      <c r="L1881">
        <v>285.47629999999998</v>
      </c>
      <c r="M1881">
        <v>-0.99987760000000003</v>
      </c>
      <c r="N1881">
        <v>0</v>
      </c>
      <c r="O1881">
        <v>-9.3751070000000006E-3</v>
      </c>
      <c r="P1881">
        <v>-0.99326210000000004</v>
      </c>
      <c r="Q1881">
        <v>0.1127794</v>
      </c>
      <c r="R1881">
        <v>-2.6669419999999999E-2</v>
      </c>
      <c r="S1881">
        <v>-3.024994</v>
      </c>
      <c r="T1881">
        <v>-0.1239518</v>
      </c>
      <c r="U1881">
        <v>-0.34970089999999998</v>
      </c>
      <c r="V1881">
        <v>-1.7710799999999999E-2</v>
      </c>
      <c r="W1881">
        <v>0.12516469999999999</v>
      </c>
      <c r="X1881">
        <v>0.99197789999999997</v>
      </c>
      <c r="Y1881">
        <v>-0.1054406</v>
      </c>
      <c r="Z1881">
        <v>-1.7695040000000001E-3</v>
      </c>
      <c r="AA1881">
        <v>0.99442399999999997</v>
      </c>
      <c r="AB1881">
        <v>53</v>
      </c>
      <c r="AC1881">
        <v>-26.5503</v>
      </c>
      <c r="AD1881">
        <v>-1.110056920945</v>
      </c>
      <c r="AE1881">
        <v>-3.12709999999998</v>
      </c>
      <c r="AF1881">
        <v>-2.8730775778214199</v>
      </c>
      <c r="AG1881">
        <v>-1.110056920945</v>
      </c>
      <c r="AH1881">
        <v>26.532706531906999</v>
      </c>
      <c r="AI1881">
        <v>92.381796825273796</v>
      </c>
      <c r="AJ1881">
        <v>96.180157657169801</v>
      </c>
      <c r="AK1881">
        <v>26.710883868644601</v>
      </c>
      <c r="AL1881">
        <v>82.809733008791795</v>
      </c>
      <c r="AM1881">
        <v>91.022851707977907</v>
      </c>
      <c r="AN1881">
        <v>1.0000000143255601</v>
      </c>
    </row>
    <row r="1882" spans="1:40" x14ac:dyDescent="0.25">
      <c r="A1882" t="str">
        <f>"20190312172653432"</f>
        <v>20190312172653432</v>
      </c>
      <c r="B1882" t="str">
        <f>"1552382813421002"</f>
        <v>1552382813421002</v>
      </c>
      <c r="C1882" t="s">
        <v>40</v>
      </c>
      <c r="D1882">
        <v>3.315639</v>
      </c>
      <c r="E1882">
        <v>0.49974859999999999</v>
      </c>
      <c r="F1882" t="s">
        <v>49</v>
      </c>
      <c r="G1882">
        <v>-414.28300000000002</v>
      </c>
      <c r="H1882" s="1">
        <v>3.1627490000000001E-6</v>
      </c>
      <c r="I1882">
        <v>282.35980000000001</v>
      </c>
      <c r="J1882">
        <v>-387.75619999999998</v>
      </c>
      <c r="K1882">
        <v>1.109928</v>
      </c>
      <c r="L1882">
        <v>285.47149999999999</v>
      </c>
      <c r="M1882">
        <v>-0.99987309999999996</v>
      </c>
      <c r="N1882">
        <v>0</v>
      </c>
      <c r="O1882">
        <v>-9.6298689999999992E-3</v>
      </c>
      <c r="P1882">
        <v>-0.99330320000000005</v>
      </c>
      <c r="Q1882">
        <v>0.1125627</v>
      </c>
      <c r="R1882">
        <v>-2.6043819999999999E-2</v>
      </c>
      <c r="S1882">
        <v>-3.025055</v>
      </c>
      <c r="T1882">
        <v>-0.1242436</v>
      </c>
      <c r="U1882">
        <v>-0.34881590000000001</v>
      </c>
      <c r="V1882">
        <v>-1.6785680000000001E-2</v>
      </c>
      <c r="W1882">
        <v>0.1251216</v>
      </c>
      <c r="X1882">
        <v>0.99199939999999998</v>
      </c>
      <c r="Y1882">
        <v>-0.10489809999999999</v>
      </c>
      <c r="Z1882">
        <v>-1.752139E-3</v>
      </c>
      <c r="AA1882">
        <v>0.99448139999999996</v>
      </c>
      <c r="AB1882">
        <v>53</v>
      </c>
      <c r="AC1882">
        <v>-26.526800000000001</v>
      </c>
      <c r="AD1882">
        <v>-1.109924837251</v>
      </c>
      <c r="AE1882">
        <v>-3.1116999999999799</v>
      </c>
      <c r="AF1882">
        <v>-2.85116167028443</v>
      </c>
      <c r="AG1882">
        <v>-1.109924837251</v>
      </c>
      <c r="AH1882">
        <v>26.509756200360499</v>
      </c>
      <c r="AI1882">
        <v>92.383759283106599</v>
      </c>
      <c r="AJ1882">
        <v>96.1386452753881</v>
      </c>
      <c r="AK1882">
        <v>26.685730827859999</v>
      </c>
      <c r="AL1882">
        <v>82.812221860414795</v>
      </c>
      <c r="AM1882">
        <v>90.969412729504896</v>
      </c>
      <c r="AN1882">
        <v>0.99999999171999099</v>
      </c>
    </row>
    <row r="1883" spans="1:40" x14ac:dyDescent="0.25">
      <c r="A1883" t="str">
        <f>"20190312172653455"</f>
        <v>20190312172653455</v>
      </c>
      <c r="B1883" t="str">
        <f>"1552382813451257"</f>
        <v>1552382813451257</v>
      </c>
      <c r="C1883" t="s">
        <v>40</v>
      </c>
      <c r="D1883">
        <v>3.3589319999999998</v>
      </c>
      <c r="E1883">
        <v>0.51268979999999997</v>
      </c>
      <c r="F1883" t="s">
        <v>49</v>
      </c>
      <c r="G1883">
        <v>-418.911</v>
      </c>
      <c r="H1883" s="1">
        <v>3.7914560000000001E-6</v>
      </c>
      <c r="I1883">
        <v>284.55869999999999</v>
      </c>
      <c r="J1883">
        <v>-388.28519999999997</v>
      </c>
      <c r="K1883">
        <v>1.109809</v>
      </c>
      <c r="L1883">
        <v>285.46629999999999</v>
      </c>
      <c r="M1883">
        <v>-0.99986900000000001</v>
      </c>
      <c r="N1883">
        <v>0</v>
      </c>
      <c r="O1883">
        <v>-9.8270360000000008E-3</v>
      </c>
      <c r="P1883">
        <v>-0.99335839999999997</v>
      </c>
      <c r="Q1883">
        <v>0.1123132</v>
      </c>
      <c r="R1883">
        <v>-2.4998119999999999E-2</v>
      </c>
      <c r="S1883">
        <v>-3.0301209999999998</v>
      </c>
      <c r="T1883">
        <v>-0.1079512</v>
      </c>
      <c r="U1883">
        <v>-8.8775629999999994E-2</v>
      </c>
      <c r="V1883">
        <v>-1.5500109999999999E-2</v>
      </c>
      <c r="W1883">
        <v>0.12505819999999901</v>
      </c>
      <c r="X1883">
        <v>0.99202829999999997</v>
      </c>
      <c r="Y1883">
        <v>-1.9453999999999999E-2</v>
      </c>
      <c r="Z1883" s="1">
        <v>3.5740960000000001E-6</v>
      </c>
      <c r="AA1883">
        <v>0.9998108</v>
      </c>
      <c r="AB1883">
        <v>53</v>
      </c>
      <c r="AC1883">
        <v>-30.625800000000002</v>
      </c>
      <c r="AD1883">
        <v>-1.109805208544</v>
      </c>
      <c r="AE1883">
        <v>-0.90760000000000196</v>
      </c>
      <c r="AF1883">
        <v>-0.60577565027165403</v>
      </c>
      <c r="AG1883">
        <v>-1.109805208544</v>
      </c>
      <c r="AH1883">
        <v>30.593102220537801</v>
      </c>
      <c r="AI1883">
        <v>92.077162279078394</v>
      </c>
      <c r="AJ1883">
        <v>91.134368549297207</v>
      </c>
      <c r="AK1883">
        <v>30.619218396550298</v>
      </c>
      <c r="AL1883">
        <v>82.815883067530294</v>
      </c>
      <c r="AM1883">
        <v>90.895154529007996</v>
      </c>
      <c r="AN1883">
        <v>0.99999997739906998</v>
      </c>
    </row>
    <row r="1884" spans="1:40" x14ac:dyDescent="0.25">
      <c r="A1884" t="str">
        <f>"20190312172653477"</f>
        <v>20190312172653477</v>
      </c>
      <c r="B1884" t="str">
        <f>"1552382813470781"</f>
        <v>1552382813470781</v>
      </c>
      <c r="C1884" t="s">
        <v>40</v>
      </c>
      <c r="D1884">
        <v>3.3172830000000002</v>
      </c>
      <c r="E1884">
        <v>0.51607840000000005</v>
      </c>
      <c r="F1884" t="s">
        <v>49</v>
      </c>
      <c r="G1884">
        <v>-418.19310000000002</v>
      </c>
      <c r="H1884" s="1">
        <v>3.5692809999999898E-6</v>
      </c>
      <c r="I1884">
        <v>285.64350000000002</v>
      </c>
      <c r="J1884">
        <v>-388.82889999999998</v>
      </c>
      <c r="K1884">
        <v>1.109701</v>
      </c>
      <c r="L1884">
        <v>285.46080000000001</v>
      </c>
      <c r="M1884">
        <v>-0.999865</v>
      </c>
      <c r="N1884">
        <v>0</v>
      </c>
      <c r="O1884">
        <v>-9.9687600000000001E-3</v>
      </c>
      <c r="P1884">
        <v>-0.99342889999999995</v>
      </c>
      <c r="Q1884">
        <v>0.1119902</v>
      </c>
      <c r="R1884">
        <v>-2.360605E-2</v>
      </c>
      <c r="S1884">
        <v>-3.0332340000000002</v>
      </c>
      <c r="T1884">
        <v>-0.1125555</v>
      </c>
      <c r="U1884">
        <v>1.7974850000000001E-2</v>
      </c>
      <c r="V1884">
        <v>-1.3926040000000001E-2</v>
      </c>
      <c r="W1884">
        <v>0.1249381</v>
      </c>
      <c r="X1884">
        <v>0.99206680000000003</v>
      </c>
      <c r="Y1884">
        <v>1.5877220000000001E-2</v>
      </c>
      <c r="Z1884">
        <v>6.6429179999999996E-4</v>
      </c>
      <c r="AA1884">
        <v>0.99987380000000003</v>
      </c>
      <c r="AB1884">
        <v>53</v>
      </c>
      <c r="AC1884">
        <v>-29.3642</v>
      </c>
      <c r="AD1884">
        <v>-1.109697430719</v>
      </c>
      <c r="AE1884">
        <v>0.18270000000001099</v>
      </c>
      <c r="AF1884">
        <v>0.47476255171755799</v>
      </c>
      <c r="AG1884">
        <v>-1.109697430719</v>
      </c>
      <c r="AH1884">
        <v>29.319048934490201</v>
      </c>
      <c r="AI1884">
        <v>92.1672709192582</v>
      </c>
      <c r="AJ1884">
        <v>89.072292100546406</v>
      </c>
      <c r="AK1884">
        <v>29.343882808709701</v>
      </c>
      <c r="AL1884">
        <v>82.822818846811501</v>
      </c>
      <c r="AM1884">
        <v>90.804231040629006</v>
      </c>
      <c r="AN1884">
        <v>0.99999999954196495</v>
      </c>
    </row>
    <row r="1885" spans="1:40" x14ac:dyDescent="0.25">
      <c r="A1885" t="str">
        <f>"20190312172653500"</f>
        <v>20190312172653500</v>
      </c>
      <c r="B1885" t="str">
        <f>"1552382813490298"</f>
        <v>1552382813490298</v>
      </c>
      <c r="C1885" t="s">
        <v>40</v>
      </c>
      <c r="D1885">
        <v>3.3064110000000002</v>
      </c>
      <c r="E1885">
        <v>0.51792590000000005</v>
      </c>
      <c r="F1885" t="s">
        <v>49</v>
      </c>
      <c r="G1885">
        <v>-418.70269999999999</v>
      </c>
      <c r="H1885" s="1">
        <v>3.6330319999999998E-6</v>
      </c>
      <c r="I1885">
        <v>285.94819999999999</v>
      </c>
      <c r="J1885">
        <v>-389.34809999999999</v>
      </c>
      <c r="K1885">
        <v>1.1096159999999999</v>
      </c>
      <c r="L1885">
        <v>285.45549999999997</v>
      </c>
      <c r="M1885">
        <v>-0.99986149999999996</v>
      </c>
      <c r="N1885">
        <v>0</v>
      </c>
      <c r="O1885">
        <v>-1.006378E-2</v>
      </c>
      <c r="P1885">
        <v>-0.99349149999999997</v>
      </c>
      <c r="Q1885">
        <v>0.111758</v>
      </c>
      <c r="R1885">
        <v>-2.202231E-2</v>
      </c>
      <c r="S1885">
        <v>-3.0337519999999998</v>
      </c>
      <c r="T1885">
        <v>-0.11269220000000001</v>
      </c>
      <c r="U1885">
        <v>4.9499509999999997E-2</v>
      </c>
      <c r="V1885">
        <v>-1.221266E-2</v>
      </c>
      <c r="W1885">
        <v>0.124913</v>
      </c>
      <c r="X1885">
        <v>0.99209250000000004</v>
      </c>
      <c r="Y1885">
        <v>2.635148E-2</v>
      </c>
      <c r="Z1885">
        <v>8.6293990000000005E-4</v>
      </c>
      <c r="AA1885">
        <v>0.9996524</v>
      </c>
      <c r="AB1885">
        <v>53</v>
      </c>
      <c r="AC1885">
        <v>-29.354600000000001</v>
      </c>
      <c r="AD1885">
        <v>-1.109612366968</v>
      </c>
      <c r="AE1885">
        <v>0.49270000000001302</v>
      </c>
      <c r="AF1885">
        <v>0.78699504670675302</v>
      </c>
      <c r="AG1885">
        <v>-1.109612366968</v>
      </c>
      <c r="AH1885">
        <v>29.306291480374099</v>
      </c>
      <c r="AI1885">
        <v>92.167550700431406</v>
      </c>
      <c r="AJ1885">
        <v>88.461741219243393</v>
      </c>
      <c r="AK1885">
        <v>29.3378479296134</v>
      </c>
      <c r="AL1885">
        <v>82.824268095474693</v>
      </c>
      <c r="AM1885">
        <v>90.705275498860203</v>
      </c>
      <c r="AN1885">
        <v>0.99999996759476195</v>
      </c>
    </row>
    <row r="1886" spans="1:40" x14ac:dyDescent="0.25">
      <c r="A1886" t="str">
        <f>"20190312172653521"</f>
        <v>20190312172653521</v>
      </c>
      <c r="B1886" t="str">
        <f>"1552382813510794"</f>
        <v>1552382813510794</v>
      </c>
      <c r="C1886" t="s">
        <v>40</v>
      </c>
      <c r="D1886">
        <v>3.2882500000000001</v>
      </c>
      <c r="E1886">
        <v>0.51917760000000002</v>
      </c>
      <c r="F1886" t="s">
        <v>49</v>
      </c>
      <c r="G1886">
        <v>-419.4862</v>
      </c>
      <c r="H1886" s="1">
        <v>3.7551100000000001E-6</v>
      </c>
      <c r="I1886">
        <v>286.14159999999998</v>
      </c>
      <c r="J1886">
        <v>-389.87150000000003</v>
      </c>
      <c r="K1886">
        <v>1.10954</v>
      </c>
      <c r="L1886">
        <v>285.45010000000002</v>
      </c>
      <c r="M1886">
        <v>-0.99985800000000002</v>
      </c>
      <c r="N1886">
        <v>0</v>
      </c>
      <c r="O1886">
        <v>-1.0135430000000001E-2</v>
      </c>
      <c r="P1886">
        <v>-0.99356909999999998</v>
      </c>
      <c r="Q1886">
        <v>0.1112679</v>
      </c>
      <c r="R1886">
        <v>-2.097831E-2</v>
      </c>
      <c r="S1886">
        <v>-3.0337830000000001</v>
      </c>
      <c r="T1886">
        <v>-0.1116964</v>
      </c>
      <c r="U1886">
        <v>6.9061280000000003E-2</v>
      </c>
      <c r="V1886">
        <v>-1.106443E-2</v>
      </c>
      <c r="W1886">
        <v>0.1246353</v>
      </c>
      <c r="X1886">
        <v>0.99214089999999999</v>
      </c>
      <c r="Y1886">
        <v>3.2861620000000001E-2</v>
      </c>
      <c r="Z1886">
        <v>9.7768500000000006E-4</v>
      </c>
      <c r="AA1886">
        <v>0.9994594</v>
      </c>
      <c r="AB1886">
        <v>53</v>
      </c>
      <c r="AC1886">
        <v>-29.6146999999999</v>
      </c>
      <c r="AD1886">
        <v>-1.1095362448899999</v>
      </c>
      <c r="AE1886">
        <v>0.69149999999996203</v>
      </c>
      <c r="AF1886">
        <v>0.99026014799381801</v>
      </c>
      <c r="AG1886">
        <v>-1.1095362448899999</v>
      </c>
      <c r="AH1886">
        <v>29.564692513407199</v>
      </c>
      <c r="AI1886">
        <v>92.148046808764406</v>
      </c>
      <c r="AJ1886">
        <v>88.081612942937298</v>
      </c>
      <c r="AK1886">
        <v>29.602073056658501</v>
      </c>
      <c r="AL1886">
        <v>82.840304491007601</v>
      </c>
      <c r="AM1886">
        <v>90.638940358857894</v>
      </c>
      <c r="AN1886">
        <v>0.99999997253506201</v>
      </c>
    </row>
    <row r="1887" spans="1:40" x14ac:dyDescent="0.25">
      <c r="A1887" t="str">
        <f>"20190312172653543"</f>
        <v>20190312172653543</v>
      </c>
      <c r="B1887" t="str">
        <f>"1552382813541050"</f>
        <v>1552382813541050</v>
      </c>
      <c r="C1887" t="s">
        <v>40</v>
      </c>
      <c r="D1887">
        <v>3.361361</v>
      </c>
      <c r="E1887">
        <v>0.52077649999999998</v>
      </c>
      <c r="F1887" t="s">
        <v>49</v>
      </c>
      <c r="G1887">
        <v>-420.06380000000001</v>
      </c>
      <c r="H1887" s="1">
        <v>3.8086950000000001E-6</v>
      </c>
      <c r="I1887">
        <v>286.27019999999999</v>
      </c>
      <c r="J1887">
        <v>-390.3999</v>
      </c>
      <c r="K1887">
        <v>1.109475</v>
      </c>
      <c r="L1887">
        <v>285.44470000000001</v>
      </c>
      <c r="M1887">
        <v>-0.99985460000000004</v>
      </c>
      <c r="N1887">
        <v>0</v>
      </c>
      <c r="O1887">
        <v>-1.019436E-2</v>
      </c>
      <c r="P1887">
        <v>-0.99354889999999996</v>
      </c>
      <c r="Q1887">
        <v>0.11143409999999999</v>
      </c>
      <c r="R1887">
        <v>-2.1052870000000001E-2</v>
      </c>
      <c r="S1887">
        <v>-3.0336609999999999</v>
      </c>
      <c r="T1887">
        <v>-0.11148379999999999</v>
      </c>
      <c r="U1887">
        <v>8.2397460000000006E-2</v>
      </c>
      <c r="V1887">
        <v>-1.1052559999999999E-2</v>
      </c>
      <c r="W1887">
        <v>0.12500530000000001</v>
      </c>
      <c r="X1887">
        <v>0.99209449999999999</v>
      </c>
      <c r="Y1887">
        <v>3.7309149999999999E-2</v>
      </c>
      <c r="Z1887">
        <v>1.059658E-3</v>
      </c>
      <c r="AA1887">
        <v>0.99930319999999995</v>
      </c>
      <c r="AB1887">
        <v>53</v>
      </c>
      <c r="AC1887">
        <v>-29.663900000000002</v>
      </c>
      <c r="AD1887">
        <v>-1.1094711913049999</v>
      </c>
      <c r="AE1887">
        <v>0.82549999999997603</v>
      </c>
      <c r="AF1887">
        <v>1.1263154848950301</v>
      </c>
      <c r="AG1887">
        <v>-1.1094711913049999</v>
      </c>
      <c r="AH1887">
        <v>29.612550149146902</v>
      </c>
      <c r="AI1887">
        <v>92.144105484442207</v>
      </c>
      <c r="AJ1887">
        <v>87.821800856865806</v>
      </c>
      <c r="AK1887">
        <v>29.654723725430198</v>
      </c>
      <c r="AL1887">
        <v>82.818938081803296</v>
      </c>
      <c r="AM1887">
        <v>90.638284804333495</v>
      </c>
      <c r="AN1887">
        <v>0.99999999052044597</v>
      </c>
    </row>
    <row r="1888" spans="1:40" x14ac:dyDescent="0.25">
      <c r="A1888" t="str">
        <f>"20190312172653567"</f>
        <v>20190312172653567</v>
      </c>
      <c r="B1888" t="str">
        <f>"1552382813560570"</f>
        <v>1552382813560570</v>
      </c>
      <c r="C1888" t="s">
        <v>40</v>
      </c>
      <c r="D1888">
        <v>3.2095950000000002</v>
      </c>
      <c r="E1888">
        <v>0.52153660000000002</v>
      </c>
      <c r="F1888" t="s">
        <v>49</v>
      </c>
      <c r="G1888">
        <v>-421.0206</v>
      </c>
      <c r="H1888" s="1">
        <v>3.6269259999999998E-6</v>
      </c>
      <c r="I1888">
        <v>286.40809999999999</v>
      </c>
      <c r="J1888">
        <v>-390.94740000000002</v>
      </c>
      <c r="K1888">
        <v>1.1094170000000001</v>
      </c>
      <c r="L1888">
        <v>285.43900000000002</v>
      </c>
      <c r="M1888">
        <v>-0.9998513</v>
      </c>
      <c r="N1888">
        <v>0</v>
      </c>
      <c r="O1888">
        <v>-1.024635E-2</v>
      </c>
      <c r="P1888">
        <v>-0.99350959999999999</v>
      </c>
      <c r="Q1888">
        <v>0.1117354</v>
      </c>
      <c r="R1888">
        <v>-2.1312230000000001E-2</v>
      </c>
      <c r="S1888">
        <v>-3.0338750000000001</v>
      </c>
      <c r="T1888">
        <v>-0.1099256</v>
      </c>
      <c r="U1888">
        <v>9.5458979999999999E-2</v>
      </c>
      <c r="V1888">
        <v>-1.1234930000000001E-2</v>
      </c>
      <c r="W1888">
        <v>0.1255001</v>
      </c>
      <c r="X1888">
        <v>0.99202999999999997</v>
      </c>
      <c r="Y1888">
        <v>4.1655409999999997E-2</v>
      </c>
      <c r="Z1888">
        <v>1.1252969999999999E-3</v>
      </c>
      <c r="AA1888">
        <v>0.9991314</v>
      </c>
      <c r="AB1888">
        <v>53</v>
      </c>
      <c r="AC1888">
        <v>-30.0731999999999</v>
      </c>
      <c r="AD1888">
        <v>-1.1094133730739999</v>
      </c>
      <c r="AE1888">
        <v>0.96909999999996899</v>
      </c>
      <c r="AF1888">
        <v>1.2754852833566299</v>
      </c>
      <c r="AG1888">
        <v>-1.1094133730739999</v>
      </c>
      <c r="AH1888">
        <v>30.020877151990799</v>
      </c>
      <c r="AI1888">
        <v>92.1144810838761</v>
      </c>
      <c r="AJ1888">
        <v>87.567159737554903</v>
      </c>
      <c r="AK1888">
        <v>30.068434041621501</v>
      </c>
      <c r="AL1888">
        <v>82.790363237781705</v>
      </c>
      <c r="AM1888">
        <v>90.648857951197996</v>
      </c>
      <c r="AN1888">
        <v>1.00000000982605</v>
      </c>
    </row>
    <row r="1889" spans="1:40" x14ac:dyDescent="0.25">
      <c r="A1889" t="str">
        <f>"20190312172653589"</f>
        <v>20190312172653589</v>
      </c>
      <c r="B1889" t="str">
        <f>"1552382813581066"</f>
        <v>1552382813581066</v>
      </c>
      <c r="C1889" t="s">
        <v>40</v>
      </c>
      <c r="D1889">
        <v>3.1850499999999999</v>
      </c>
      <c r="E1889">
        <v>0.52204839999999997</v>
      </c>
      <c r="F1889" t="s">
        <v>49</v>
      </c>
      <c r="G1889">
        <v>-422.5052</v>
      </c>
      <c r="H1889" s="1">
        <v>3.3564659999999999E-6</v>
      </c>
      <c r="I1889">
        <v>286.48939999999999</v>
      </c>
      <c r="J1889">
        <v>-391.47570000000002</v>
      </c>
      <c r="K1889">
        <v>1.109372</v>
      </c>
      <c r="L1889">
        <v>285.43349999999998</v>
      </c>
      <c r="M1889">
        <v>-0.99984870000000003</v>
      </c>
      <c r="N1889">
        <v>0</v>
      </c>
      <c r="O1889">
        <v>-1.028914E-2</v>
      </c>
      <c r="P1889">
        <v>-0.99339960000000005</v>
      </c>
      <c r="Q1889">
        <v>0.11253390000000001</v>
      </c>
      <c r="R1889">
        <v>-2.221861E-2</v>
      </c>
      <c r="S1889">
        <v>-3.0337519999999998</v>
      </c>
      <c r="T1889">
        <v>-0.10665139999999999</v>
      </c>
      <c r="U1889">
        <v>0.10098269999999999</v>
      </c>
      <c r="V1889">
        <v>-1.2080169999999999E-2</v>
      </c>
      <c r="W1889">
        <v>0.1264623</v>
      </c>
      <c r="X1889">
        <v>0.9918979</v>
      </c>
      <c r="Y1889">
        <v>4.3517460000000001E-2</v>
      </c>
      <c r="Z1889">
        <v>1.1260280000000001E-3</v>
      </c>
      <c r="AA1889">
        <v>0.99905200000000005</v>
      </c>
      <c r="AB1889">
        <v>53</v>
      </c>
      <c r="AC1889">
        <v>-31.029499999999899</v>
      </c>
      <c r="AD1889">
        <v>-1.109368643534</v>
      </c>
      <c r="AE1889">
        <v>1.0559000000000001</v>
      </c>
      <c r="AF1889">
        <v>1.37338892218002</v>
      </c>
      <c r="AG1889">
        <v>-1.109368643534</v>
      </c>
      <c r="AH1889">
        <v>30.977441891777499</v>
      </c>
      <c r="AI1889">
        <v>92.048997204378693</v>
      </c>
      <c r="AJ1889">
        <v>87.461446542984604</v>
      </c>
      <c r="AK1889">
        <v>31.027710229362299</v>
      </c>
      <c r="AL1889">
        <v>82.734790717235896</v>
      </c>
      <c r="AM1889">
        <v>90.697761875822096</v>
      </c>
      <c r="AN1889">
        <v>1.00000004392646</v>
      </c>
    </row>
    <row r="1890" spans="1:40" x14ac:dyDescent="0.25">
      <c r="A1890" t="str">
        <f>"20190312172653612"</f>
        <v>20190312172653612</v>
      </c>
      <c r="B1890" t="str">
        <f>"1552382813600586"</f>
        <v>1552382813600586</v>
      </c>
      <c r="C1890" t="s">
        <v>40</v>
      </c>
      <c r="D1890">
        <v>3.1724559999999999</v>
      </c>
      <c r="E1890">
        <v>0.522509</v>
      </c>
      <c r="F1890" t="s">
        <v>49</v>
      </c>
      <c r="G1890">
        <v>-424.28339999999997</v>
      </c>
      <c r="H1890" s="1">
        <v>3.036675E-6</v>
      </c>
      <c r="I1890">
        <v>286.5394</v>
      </c>
      <c r="J1890">
        <v>-392.01560000000001</v>
      </c>
      <c r="K1890">
        <v>1.109329</v>
      </c>
      <c r="L1890">
        <v>285.42790000000002</v>
      </c>
      <c r="M1890">
        <v>-0.99984620000000002</v>
      </c>
      <c r="N1890">
        <v>0</v>
      </c>
      <c r="O1890">
        <v>-1.031225E-2</v>
      </c>
      <c r="P1890">
        <v>-0.99329509999999999</v>
      </c>
      <c r="Q1890">
        <v>0.1133028</v>
      </c>
      <c r="R1890">
        <v>-2.2970239999999999E-2</v>
      </c>
      <c r="S1890">
        <v>-3.0338129999999999</v>
      </c>
      <c r="T1890">
        <v>-0.10258630000000001</v>
      </c>
      <c r="U1890">
        <v>0.10226440000000001</v>
      </c>
      <c r="V1890">
        <v>-1.2791429999999999E-2</v>
      </c>
      <c r="W1890">
        <v>0.12737979999999999</v>
      </c>
      <c r="X1890">
        <v>0.99177150000000003</v>
      </c>
      <c r="Y1890">
        <v>4.3963719999999998E-2</v>
      </c>
      <c r="Z1890">
        <v>1.0914259999999999E-3</v>
      </c>
      <c r="AA1890">
        <v>0.99903260000000005</v>
      </c>
      <c r="AB1890">
        <v>53</v>
      </c>
      <c r="AC1890">
        <v>-32.267799999999902</v>
      </c>
      <c r="AD1890">
        <v>-1.1093259633249899</v>
      </c>
      <c r="AE1890">
        <v>1.11149999999997</v>
      </c>
      <c r="AF1890">
        <v>1.4425250973493</v>
      </c>
      <c r="AG1890">
        <v>-1.1093259633249899</v>
      </c>
      <c r="AH1890">
        <v>32.216589105132201</v>
      </c>
      <c r="AI1890">
        <v>91.970135624236207</v>
      </c>
      <c r="AJ1890">
        <v>87.436245306779895</v>
      </c>
      <c r="AK1890">
        <v>32.267942238672603</v>
      </c>
      <c r="AL1890">
        <v>82.681792704542303</v>
      </c>
      <c r="AM1890">
        <v>90.7389346424076</v>
      </c>
      <c r="AN1890">
        <v>0.99999997117086703</v>
      </c>
    </row>
    <row r="1891" spans="1:40" x14ac:dyDescent="0.25">
      <c r="A1891" t="str">
        <f>"20190312172653632"</f>
        <v>20190312172653632</v>
      </c>
      <c r="B1891" t="str">
        <f>"1552382813630842"</f>
        <v>1552382813630842</v>
      </c>
      <c r="C1891" t="s">
        <v>40</v>
      </c>
      <c r="D1891">
        <v>3.176809</v>
      </c>
      <c r="E1891">
        <v>0.52302870000000001</v>
      </c>
      <c r="F1891" t="s">
        <v>49</v>
      </c>
      <c r="G1891">
        <v>-425.84210000000002</v>
      </c>
      <c r="H1891" s="1">
        <v>2.7562270000000001E-6</v>
      </c>
      <c r="I1891">
        <v>286.5847</v>
      </c>
      <c r="J1891">
        <v>-392.51170000000002</v>
      </c>
      <c r="K1891">
        <v>1.1092919999999999</v>
      </c>
      <c r="L1891">
        <v>285.4228</v>
      </c>
      <c r="M1891">
        <v>-0.99984450000000002</v>
      </c>
      <c r="N1891">
        <v>0</v>
      </c>
      <c r="O1891">
        <v>-1.0311610000000001E-2</v>
      </c>
      <c r="P1891">
        <v>-0.99323450000000002</v>
      </c>
      <c r="Q1891">
        <v>0.1136534</v>
      </c>
      <c r="R1891">
        <v>-2.3841999999999999E-2</v>
      </c>
      <c r="S1891">
        <v>-3.0339969999999998</v>
      </c>
      <c r="T1891">
        <v>-9.9498630000000005E-2</v>
      </c>
      <c r="U1891">
        <v>0.1037598</v>
      </c>
      <c r="V1891">
        <v>-1.3648449999999999E-2</v>
      </c>
      <c r="W1891">
        <v>0.12785279999999999</v>
      </c>
      <c r="X1891">
        <v>0.9916992</v>
      </c>
      <c r="Y1891">
        <v>4.4454470000000003E-2</v>
      </c>
      <c r="Z1891">
        <v>1.066544E-3</v>
      </c>
      <c r="AA1891">
        <v>0.99901090000000003</v>
      </c>
      <c r="AB1891">
        <v>53</v>
      </c>
      <c r="AC1891">
        <v>-33.330399999999997</v>
      </c>
      <c r="AD1891">
        <v>-1.109289243773</v>
      </c>
      <c r="AE1891">
        <v>1.1618999999999999</v>
      </c>
      <c r="AF1891">
        <v>1.5038996769300299</v>
      </c>
      <c r="AG1891">
        <v>-1.109289243773</v>
      </c>
      <c r="AH1891">
        <v>33.279827137795998</v>
      </c>
      <c r="AI1891">
        <v>91.907141672065805</v>
      </c>
      <c r="AJ1891">
        <v>87.412591058703001</v>
      </c>
      <c r="AK1891">
        <v>33.332253616972899</v>
      </c>
      <c r="AL1891">
        <v>82.654468310212394</v>
      </c>
      <c r="AM1891">
        <v>90.788494348171</v>
      </c>
      <c r="AN1891">
        <v>0.99999996096793997</v>
      </c>
    </row>
    <row r="1892" spans="1:40" x14ac:dyDescent="0.25">
      <c r="A1892" t="str">
        <f>"20190312172653656"</f>
        <v>20190312172653656</v>
      </c>
      <c r="B1892" t="str">
        <f>"1552382813650362"</f>
        <v>1552382813650362</v>
      </c>
      <c r="C1892" t="s">
        <v>40</v>
      </c>
      <c r="D1892">
        <v>3.3613559999999998</v>
      </c>
      <c r="E1892">
        <v>0.52335949999999998</v>
      </c>
      <c r="F1892" t="s">
        <v>49</v>
      </c>
      <c r="G1892">
        <v>-426.91419999999999</v>
      </c>
      <c r="H1892" s="1">
        <v>2.56348E-6</v>
      </c>
      <c r="I1892">
        <v>286.61410000000001</v>
      </c>
      <c r="J1892">
        <v>-393.05070000000001</v>
      </c>
      <c r="K1892">
        <v>1.1092470000000001</v>
      </c>
      <c r="L1892">
        <v>285.41719999999998</v>
      </c>
      <c r="M1892">
        <v>-0.99984320000000004</v>
      </c>
      <c r="N1892">
        <v>0</v>
      </c>
      <c r="O1892">
        <v>-1.0271010000000001E-2</v>
      </c>
      <c r="P1892">
        <v>-0.99320509999999995</v>
      </c>
      <c r="Q1892">
        <v>0.1137745</v>
      </c>
      <c r="R1892">
        <v>-2.4480289999999998E-2</v>
      </c>
      <c r="S1892">
        <v>-3.0341800000000001</v>
      </c>
      <c r="T1892">
        <v>-9.78353E-2</v>
      </c>
      <c r="U1892">
        <v>0.105072</v>
      </c>
      <c r="V1892">
        <v>-1.4308609999999999E-2</v>
      </c>
      <c r="W1892">
        <v>0.1280916</v>
      </c>
      <c r="X1892">
        <v>0.99165910000000002</v>
      </c>
      <c r="Y1892">
        <v>4.4844210000000002E-2</v>
      </c>
      <c r="Z1892">
        <v>1.0536250000000001E-3</v>
      </c>
      <c r="AA1892">
        <v>0.99899349999999998</v>
      </c>
      <c r="AB1892">
        <v>53</v>
      </c>
      <c r="AC1892">
        <v>-33.863499999999902</v>
      </c>
      <c r="AD1892">
        <v>-1.1092444365199901</v>
      </c>
      <c r="AE1892">
        <v>1.1969000000000201</v>
      </c>
      <c r="AF1892">
        <v>1.54303181849807</v>
      </c>
      <c r="AG1892">
        <v>-1.1092444365199901</v>
      </c>
      <c r="AH1892">
        <v>33.813183202594303</v>
      </c>
      <c r="AI1892">
        <v>91.876967300745207</v>
      </c>
      <c r="AJ1892">
        <v>87.387175374635603</v>
      </c>
      <c r="AK1892">
        <v>33.866542910445602</v>
      </c>
      <c r="AL1892">
        <v>82.640672805217804</v>
      </c>
      <c r="AM1892">
        <v>90.826661174676104</v>
      </c>
      <c r="AN1892">
        <v>0.99999998246175004</v>
      </c>
    </row>
    <row r="1893" spans="1:40" x14ac:dyDescent="0.25">
      <c r="A1893" t="str">
        <f>"20190312172653678"</f>
        <v>20190312172653678</v>
      </c>
      <c r="B1893" t="str">
        <f>"1552382813670861"</f>
        <v>1552382813670861</v>
      </c>
      <c r="C1893" t="s">
        <v>40</v>
      </c>
      <c r="D1893">
        <v>3.1782569999999999</v>
      </c>
      <c r="E1893">
        <v>0.52365569999999995</v>
      </c>
      <c r="F1893" t="s">
        <v>49</v>
      </c>
      <c r="G1893">
        <v>-427.7423</v>
      </c>
      <c r="H1893" s="1">
        <v>2.415256E-6</v>
      </c>
      <c r="I1893">
        <v>286.62939999999998</v>
      </c>
      <c r="J1893">
        <v>-393.57740000000001</v>
      </c>
      <c r="K1893">
        <v>1.1091869999999999</v>
      </c>
      <c r="L1893">
        <v>285.41180000000003</v>
      </c>
      <c r="M1893">
        <v>-0.99984289999999998</v>
      </c>
      <c r="N1893">
        <v>0</v>
      </c>
      <c r="O1893">
        <v>-1.01745E-2</v>
      </c>
      <c r="P1893">
        <v>-0.99317699999999998</v>
      </c>
      <c r="Q1893">
        <v>0.1139445</v>
      </c>
      <c r="R1893">
        <v>-2.482912E-2</v>
      </c>
      <c r="S1893">
        <v>-3.0342709999999999</v>
      </c>
      <c r="T1893">
        <v>-9.7018960000000001E-2</v>
      </c>
      <c r="U1893">
        <v>0.1060181</v>
      </c>
      <c r="V1893">
        <v>-1.4733670000000001E-2</v>
      </c>
      <c r="W1893">
        <v>0.12836349999999999</v>
      </c>
      <c r="X1893">
        <v>0.99161770000000005</v>
      </c>
      <c r="Y1893">
        <v>4.5058269999999997E-2</v>
      </c>
      <c r="Z1893">
        <v>1.045137E-3</v>
      </c>
      <c r="AA1893">
        <v>0.99898379999999998</v>
      </c>
      <c r="AB1893">
        <v>53</v>
      </c>
      <c r="AC1893">
        <v>-34.164899999999903</v>
      </c>
      <c r="AD1893">
        <v>-1.1091845847440001</v>
      </c>
      <c r="AE1893">
        <v>1.2175999999999401</v>
      </c>
      <c r="AF1893">
        <v>1.5635384510705601</v>
      </c>
      <c r="AG1893">
        <v>-1.1091845847440001</v>
      </c>
      <c r="AH1893">
        <v>34.114829447817002</v>
      </c>
      <c r="AI1893">
        <v>91.860265634218905</v>
      </c>
      <c r="AJ1893">
        <v>87.375877008985</v>
      </c>
      <c r="AK1893">
        <v>34.168648366370199</v>
      </c>
      <c r="AL1893">
        <v>82.624964284396995</v>
      </c>
      <c r="AM1893">
        <v>90.851250430416798</v>
      </c>
      <c r="AN1893">
        <v>0.99999996605860397</v>
      </c>
    </row>
    <row r="1894" spans="1:40" x14ac:dyDescent="0.25">
      <c r="A1894" t="str">
        <f>"20190312172653701"</f>
        <v>20190312172653701</v>
      </c>
      <c r="B1894" t="str">
        <f>"1552382813690739"</f>
        <v>1552382813690739</v>
      </c>
      <c r="C1894" t="s">
        <v>40</v>
      </c>
      <c r="D1894">
        <v>3.1660499999999998</v>
      </c>
      <c r="E1894">
        <v>0.52410249999999903</v>
      </c>
      <c r="F1894" t="s">
        <v>49</v>
      </c>
      <c r="G1894">
        <v>-428.63979999999998</v>
      </c>
      <c r="H1894" s="1">
        <v>2.254202E-6</v>
      </c>
      <c r="I1894">
        <v>286.65069999999997</v>
      </c>
      <c r="J1894">
        <v>-394.11059999999998</v>
      </c>
      <c r="K1894">
        <v>1.1091150000000001</v>
      </c>
      <c r="L1894">
        <v>285.40649999999999</v>
      </c>
      <c r="M1894">
        <v>-0.99984309999999998</v>
      </c>
      <c r="N1894">
        <v>0</v>
      </c>
      <c r="O1894">
        <v>-1.000473E-2</v>
      </c>
      <c r="P1894">
        <v>-0.99316729999999998</v>
      </c>
      <c r="Q1894">
        <v>0.1140193</v>
      </c>
      <c r="R1894">
        <v>-2.4868029999999999E-2</v>
      </c>
      <c r="S1894">
        <v>-3.034332</v>
      </c>
      <c r="T1894">
        <v>-9.5989939999999996E-2</v>
      </c>
      <c r="U1894">
        <v>0.10720830000000001</v>
      </c>
      <c r="V1894">
        <v>-1.4916799999999999E-2</v>
      </c>
      <c r="W1894">
        <v>0.12852949999999999</v>
      </c>
      <c r="X1894">
        <v>0.99159350000000002</v>
      </c>
      <c r="Y1894">
        <v>4.5279880000000002E-2</v>
      </c>
      <c r="Z1894">
        <v>1.0321659999999999E-3</v>
      </c>
      <c r="AA1894">
        <v>0.99897380000000002</v>
      </c>
      <c r="AB1894">
        <v>53</v>
      </c>
      <c r="AC1894">
        <v>-34.529200000000003</v>
      </c>
      <c r="AD1894">
        <v>-1.1091127457979999</v>
      </c>
      <c r="AE1894">
        <v>1.24419999999997</v>
      </c>
      <c r="AF1894">
        <v>1.58799365135239</v>
      </c>
      <c r="AG1894">
        <v>-1.1091127457979999</v>
      </c>
      <c r="AH1894">
        <v>34.479493872730401</v>
      </c>
      <c r="AI1894">
        <v>91.840466505857606</v>
      </c>
      <c r="AJ1894">
        <v>87.363038901495401</v>
      </c>
      <c r="AK1894">
        <v>34.533858061897497</v>
      </c>
      <c r="AL1894">
        <v>82.615374039393004</v>
      </c>
      <c r="AM1894">
        <v>90.861850367205406</v>
      </c>
      <c r="AN1894">
        <v>1.00000000626737</v>
      </c>
    </row>
    <row r="1895" spans="1:40" x14ac:dyDescent="0.25">
      <c r="A1895" t="str">
        <f>"20190312172653722"</f>
        <v>20190312172653722</v>
      </c>
      <c r="B1895" t="str">
        <f>"1552382813720991"</f>
        <v>1552382813720991</v>
      </c>
      <c r="C1895" t="s">
        <v>40</v>
      </c>
      <c r="D1895">
        <v>3.146954</v>
      </c>
      <c r="E1895">
        <v>0.52454769999999995</v>
      </c>
      <c r="F1895" t="s">
        <v>49</v>
      </c>
      <c r="G1895">
        <v>-429.12520000000001</v>
      </c>
      <c r="H1895" s="1">
        <v>2.1651350000000002E-6</v>
      </c>
      <c r="I1895">
        <v>286.68439999999998</v>
      </c>
      <c r="J1895">
        <v>-394.63260000000002</v>
      </c>
      <c r="K1895">
        <v>1.109038</v>
      </c>
      <c r="L1895">
        <v>285.4015</v>
      </c>
      <c r="M1895">
        <v>-0.99984439999999997</v>
      </c>
      <c r="N1895">
        <v>0</v>
      </c>
      <c r="O1895">
        <v>-9.7583089999999997E-3</v>
      </c>
      <c r="P1895">
        <v>-0.99324730000000006</v>
      </c>
      <c r="Q1895">
        <v>0.1134196</v>
      </c>
      <c r="R1895">
        <v>-2.4405320000000001E-2</v>
      </c>
      <c r="S1895">
        <v>-3.0344850000000001</v>
      </c>
      <c r="T1895">
        <v>-9.6119399999999994E-2</v>
      </c>
      <c r="U1895">
        <v>0.11074829999999999</v>
      </c>
      <c r="V1895">
        <v>-1.467098E-2</v>
      </c>
      <c r="W1895">
        <v>0.12800929999999999</v>
      </c>
      <c r="X1895">
        <v>0.99166449999999995</v>
      </c>
      <c r="Y1895">
        <v>4.6195399999999998E-2</v>
      </c>
      <c r="Z1895">
        <v>1.0401729999999999E-3</v>
      </c>
      <c r="AA1895">
        <v>0.99893189999999998</v>
      </c>
      <c r="AB1895">
        <v>53</v>
      </c>
      <c r="AC1895">
        <v>-34.492599999999896</v>
      </c>
      <c r="AD1895">
        <v>-1.109035834865</v>
      </c>
      <c r="AE1895">
        <v>1.2828999999999799</v>
      </c>
      <c r="AF1895">
        <v>1.6177945256958799</v>
      </c>
      <c r="AG1895">
        <v>-1.109035834865</v>
      </c>
      <c r="AH1895">
        <v>34.442878962041</v>
      </c>
      <c r="AI1895">
        <v>91.8422159009572</v>
      </c>
      <c r="AJ1895">
        <v>87.310772949935995</v>
      </c>
      <c r="AK1895">
        <v>34.498683029996897</v>
      </c>
      <c r="AL1895">
        <v>82.645427885468806</v>
      </c>
      <c r="AM1895">
        <v>90.847588994792304</v>
      </c>
      <c r="AN1895">
        <v>1.00000004955044</v>
      </c>
    </row>
    <row r="1896" spans="1:40" x14ac:dyDescent="0.25">
      <c r="A1896" t="str">
        <f>"20190312172653745"</f>
        <v>20190312172653745</v>
      </c>
      <c r="B1896" t="str">
        <f>"1552382813740511"</f>
        <v>1552382813740511</v>
      </c>
      <c r="C1896" t="s">
        <v>40</v>
      </c>
      <c r="D1896">
        <v>3.1254390000000001</v>
      </c>
      <c r="E1896">
        <v>0.52479830000000005</v>
      </c>
      <c r="F1896" t="s">
        <v>49</v>
      </c>
      <c r="G1896">
        <v>-429.11649999999997</v>
      </c>
      <c r="H1896" s="1">
        <v>2.163972E-6</v>
      </c>
      <c r="I1896">
        <v>286.71550000000002</v>
      </c>
      <c r="J1896">
        <v>-395.14729999999997</v>
      </c>
      <c r="K1896">
        <v>1.1089560000000001</v>
      </c>
      <c r="L1896">
        <v>285.39670000000001</v>
      </c>
      <c r="M1896">
        <v>-0.99984660000000003</v>
      </c>
      <c r="N1896">
        <v>0</v>
      </c>
      <c r="O1896">
        <v>-9.4317189999999999E-3</v>
      </c>
      <c r="P1896">
        <v>-0.9932552</v>
      </c>
      <c r="Q1896">
        <v>0.1134661</v>
      </c>
      <c r="R1896">
        <v>-2.3864730000000001E-2</v>
      </c>
      <c r="S1896">
        <v>-3.034424</v>
      </c>
      <c r="T1896">
        <v>-9.7590209999999997E-2</v>
      </c>
      <c r="U1896">
        <v>0.1156311</v>
      </c>
      <c r="V1896">
        <v>-1.4425820000000001E-2</v>
      </c>
      <c r="W1896">
        <v>0.1281243</v>
      </c>
      <c r="X1896">
        <v>0.99165320000000001</v>
      </c>
      <c r="Y1896">
        <v>4.7473639999999998E-2</v>
      </c>
      <c r="Z1896">
        <v>1.0661150000000001E-3</v>
      </c>
      <c r="AA1896">
        <v>0.99887190000000003</v>
      </c>
      <c r="AB1896">
        <v>53</v>
      </c>
      <c r="AC1896">
        <v>-33.969200000000001</v>
      </c>
      <c r="AD1896">
        <v>-1.108953836028</v>
      </c>
      <c r="AE1896">
        <v>1.31880000000001</v>
      </c>
      <c r="AF1896">
        <v>1.63742171582721</v>
      </c>
      <c r="AG1896">
        <v>-1.108953836028</v>
      </c>
      <c r="AH1896">
        <v>33.919153813463801</v>
      </c>
      <c r="AI1896">
        <v>91.870386377413894</v>
      </c>
      <c r="AJ1896">
        <v>87.236234770912105</v>
      </c>
      <c r="AK1896">
        <v>33.976755641280903</v>
      </c>
      <c r="AL1896">
        <v>82.638783832490304</v>
      </c>
      <c r="AM1896">
        <v>90.833436835334297</v>
      </c>
      <c r="AN1896">
        <v>1.0000000048016999</v>
      </c>
    </row>
    <row r="1897" spans="1:40" x14ac:dyDescent="0.25">
      <c r="A1897" t="str">
        <f>"20190312172653768"</f>
        <v>20190312172653768</v>
      </c>
      <c r="B1897" t="str">
        <f>"1552382813761007"</f>
        <v>1552382813761007</v>
      </c>
      <c r="C1897" t="s">
        <v>40</v>
      </c>
      <c r="D1897">
        <v>3.1472380000000002</v>
      </c>
      <c r="E1897">
        <v>0.52499649999999998</v>
      </c>
      <c r="F1897" t="s">
        <v>49</v>
      </c>
      <c r="G1897">
        <v>-429.55110000000002</v>
      </c>
      <c r="H1897" s="1">
        <v>2.0839300000000001E-6</v>
      </c>
      <c r="I1897">
        <v>286.74919999999997</v>
      </c>
      <c r="J1897">
        <v>-395.6909</v>
      </c>
      <c r="K1897">
        <v>1.1088639999999901</v>
      </c>
      <c r="L1897">
        <v>285.39179999999999</v>
      </c>
      <c r="M1897">
        <v>-0.99984969999999995</v>
      </c>
      <c r="N1897">
        <v>0</v>
      </c>
      <c r="O1897">
        <v>-8.9967050000000007E-3</v>
      </c>
      <c r="P1897">
        <v>-0.99333519999999997</v>
      </c>
      <c r="Q1897">
        <v>0.1129795</v>
      </c>
      <c r="R1897">
        <v>-2.282437E-2</v>
      </c>
      <c r="S1897">
        <v>-3.034424</v>
      </c>
      <c r="T1897">
        <v>-9.780991E-2</v>
      </c>
      <c r="U1897">
        <v>0.1192932</v>
      </c>
      <c r="V1897">
        <v>-1.378538E-2</v>
      </c>
      <c r="W1897">
        <v>0.12770100000000001</v>
      </c>
      <c r="X1897">
        <v>0.99171690000000001</v>
      </c>
      <c r="Y1897">
        <v>4.8242420000000001E-2</v>
      </c>
      <c r="Z1897">
        <v>1.066857E-3</v>
      </c>
      <c r="AA1897">
        <v>0.99883509999999998</v>
      </c>
      <c r="AB1897">
        <v>53</v>
      </c>
      <c r="AC1897">
        <v>-33.860199999999999</v>
      </c>
      <c r="AD1897">
        <v>-1.10886191607</v>
      </c>
      <c r="AE1897">
        <v>1.35739999999998</v>
      </c>
      <c r="AF1897">
        <v>1.6602310892418499</v>
      </c>
      <c r="AG1897">
        <v>-1.10886191607</v>
      </c>
      <c r="AH1897">
        <v>33.810414165104199</v>
      </c>
      <c r="AI1897">
        <v>91.876166544451195</v>
      </c>
      <c r="AJ1897">
        <v>87.188798416885902</v>
      </c>
      <c r="AK1897">
        <v>33.869308348923703</v>
      </c>
      <c r="AL1897">
        <v>82.663237950965893</v>
      </c>
      <c r="AM1897">
        <v>90.796389802863104</v>
      </c>
      <c r="AN1897">
        <v>0.99999999592417699</v>
      </c>
    </row>
    <row r="1898" spans="1:40" x14ac:dyDescent="0.25">
      <c r="A1898" t="str">
        <f>"20190312172653790"</f>
        <v>20190312172653790</v>
      </c>
      <c r="B1898" t="str">
        <f>"1552382813780528"</f>
        <v>1552382813780528</v>
      </c>
      <c r="C1898" t="s">
        <v>40</v>
      </c>
      <c r="D1898">
        <v>3.1464599999999998</v>
      </c>
      <c r="E1898">
        <v>0.52520749999999905</v>
      </c>
      <c r="F1898" t="s">
        <v>49</v>
      </c>
      <c r="G1898">
        <v>-429.42630000000003</v>
      </c>
      <c r="H1898" s="1">
        <v>2.1043750000000001E-6</v>
      </c>
      <c r="I1898">
        <v>286.76859999999999</v>
      </c>
      <c r="J1898">
        <v>-396.21660000000003</v>
      </c>
      <c r="K1898">
        <v>1.108771</v>
      </c>
      <c r="L1898">
        <v>285.38740000000001</v>
      </c>
      <c r="M1898">
        <v>-0.99985349999999995</v>
      </c>
      <c r="N1898">
        <v>0</v>
      </c>
      <c r="O1898">
        <v>-8.4825449999999993E-3</v>
      </c>
      <c r="P1898">
        <v>-0.9932976</v>
      </c>
      <c r="Q1898">
        <v>0.1134787</v>
      </c>
      <c r="R1898">
        <v>-2.1966019999999999E-2</v>
      </c>
      <c r="S1898">
        <v>-3.034332</v>
      </c>
      <c r="T1898">
        <v>-9.9736569999999997E-2</v>
      </c>
      <c r="U1898">
        <v>0.1238403</v>
      </c>
      <c r="V1898">
        <v>-1.3406589999999999E-2</v>
      </c>
      <c r="W1898">
        <v>0.12825149999999999</v>
      </c>
      <c r="X1898">
        <v>0.99165110000000001</v>
      </c>
      <c r="Y1898">
        <v>4.9222950000000001E-2</v>
      </c>
      <c r="Z1898">
        <v>1.0870739999999999E-3</v>
      </c>
      <c r="AA1898">
        <v>0.99878719999999999</v>
      </c>
      <c r="AB1898">
        <v>53</v>
      </c>
      <c r="AC1898">
        <v>-33.209699999999998</v>
      </c>
      <c r="AD1898">
        <v>-1.1087688956249999</v>
      </c>
      <c r="AE1898">
        <v>1.38119999999997</v>
      </c>
      <c r="AF1898">
        <v>1.6610358738619999</v>
      </c>
      <c r="AG1898">
        <v>-1.1087688956249999</v>
      </c>
      <c r="AH1898">
        <v>33.159888545113702</v>
      </c>
      <c r="AI1898">
        <v>91.9126920640348</v>
      </c>
      <c r="AJ1898">
        <v>87.132352696866903</v>
      </c>
      <c r="AK1898">
        <v>33.219973163181898</v>
      </c>
      <c r="AL1898">
        <v>82.631435472842696</v>
      </c>
      <c r="AM1898">
        <v>90.774560962599793</v>
      </c>
      <c r="AN1898">
        <v>1.0000000440194401</v>
      </c>
    </row>
    <row r="1899" spans="1:40" x14ac:dyDescent="0.25">
      <c r="A1899" t="str">
        <f>"20190312172653813"</f>
        <v>20190312172653813</v>
      </c>
      <c r="B1899" t="str">
        <f>"1552382813800554"</f>
        <v>1552382813800554</v>
      </c>
      <c r="C1899" t="s">
        <v>40</v>
      </c>
      <c r="D1899">
        <v>3.158684</v>
      </c>
      <c r="E1899">
        <v>0.52544709999999994</v>
      </c>
      <c r="F1899" t="s">
        <v>49</v>
      </c>
      <c r="G1899">
        <v>-430.2294</v>
      </c>
      <c r="H1899" s="1">
        <v>2.1257619999999998E-6</v>
      </c>
      <c r="I1899">
        <v>286.82350000000002</v>
      </c>
      <c r="J1899">
        <v>-396.7312</v>
      </c>
      <c r="K1899">
        <v>1.108687</v>
      </c>
      <c r="L1899">
        <v>285.38350000000003</v>
      </c>
      <c r="M1899">
        <v>-0.99985749999999995</v>
      </c>
      <c r="N1899">
        <v>0</v>
      </c>
      <c r="O1899">
        <v>-7.9123370000000002E-3</v>
      </c>
      <c r="P1899">
        <v>-0.99323910000000004</v>
      </c>
      <c r="Q1899">
        <v>0.114172</v>
      </c>
      <c r="R1899">
        <v>-2.1001499999999999E-2</v>
      </c>
      <c r="S1899">
        <v>-3.034332</v>
      </c>
      <c r="T1899">
        <v>-9.891498E-2</v>
      </c>
      <c r="U1899">
        <v>0.1281128</v>
      </c>
      <c r="V1899">
        <v>-1.2979289999999999E-2</v>
      </c>
      <c r="W1899">
        <v>0.1289872</v>
      </c>
      <c r="X1899">
        <v>0.99156129999999998</v>
      </c>
      <c r="Y1899">
        <v>5.0057610000000002E-2</v>
      </c>
      <c r="Z1899">
        <v>1.0731099999999999E-3</v>
      </c>
      <c r="AA1899">
        <v>0.99874569999999996</v>
      </c>
      <c r="AB1899">
        <v>53</v>
      </c>
      <c r="AC1899">
        <v>-33.498199999999997</v>
      </c>
      <c r="AD1899">
        <v>-1.108684874238</v>
      </c>
      <c r="AE1899">
        <v>1.43999999999999</v>
      </c>
      <c r="AF1899">
        <v>1.70317122094086</v>
      </c>
      <c r="AG1899">
        <v>-1.108684874238</v>
      </c>
      <c r="AH1899">
        <v>33.449183439280603</v>
      </c>
      <c r="AI1899">
        <v>91.895939261364404</v>
      </c>
      <c r="AJ1899">
        <v>87.085121094978007</v>
      </c>
      <c r="AK1899">
        <v>33.510861628923301</v>
      </c>
      <c r="AL1899">
        <v>82.588929484493704</v>
      </c>
      <c r="AM1899">
        <v>90.749944626959206</v>
      </c>
      <c r="AN1899">
        <v>0.99999998569521598</v>
      </c>
    </row>
    <row r="1900" spans="1:40" x14ac:dyDescent="0.25">
      <c r="A1900" t="str">
        <f>"20190312172653834"</f>
        <v>20190312172653834</v>
      </c>
      <c r="B1900" t="str">
        <f>"1552382813830811"</f>
        <v>1552382813830811</v>
      </c>
      <c r="C1900" t="s">
        <v>40</v>
      </c>
      <c r="D1900">
        <v>3.182636</v>
      </c>
      <c r="E1900">
        <v>0.52577109999999905</v>
      </c>
      <c r="F1900" t="s">
        <v>49</v>
      </c>
      <c r="G1900">
        <v>-431.28989999999999</v>
      </c>
      <c r="H1900" s="1">
        <v>2.5895809999999998E-6</v>
      </c>
      <c r="I1900">
        <v>286.89780000000002</v>
      </c>
      <c r="J1900">
        <v>-397.24650000000003</v>
      </c>
      <c r="K1900">
        <v>1.108616</v>
      </c>
      <c r="L1900">
        <v>285.37979999999999</v>
      </c>
      <c r="M1900">
        <v>-0.99986189999999997</v>
      </c>
      <c r="N1900">
        <v>0</v>
      </c>
      <c r="O1900">
        <v>-7.2818869999999999E-3</v>
      </c>
      <c r="P1900">
        <v>-0.99317820000000001</v>
      </c>
      <c r="Q1900">
        <v>0.11476509999999999</v>
      </c>
      <c r="R1900">
        <v>-2.064684E-2</v>
      </c>
      <c r="S1900">
        <v>-3.0344540000000002</v>
      </c>
      <c r="T1900">
        <v>-9.7348690000000002E-2</v>
      </c>
      <c r="U1900">
        <v>0.1329651</v>
      </c>
      <c r="V1900">
        <v>-1.322359E-2</v>
      </c>
      <c r="W1900">
        <v>0.1296176</v>
      </c>
      <c r="X1900">
        <v>0.99147589999999997</v>
      </c>
      <c r="Y1900">
        <v>5.102106E-2</v>
      </c>
      <c r="Z1900">
        <v>1.051277E-3</v>
      </c>
      <c r="AA1900">
        <v>0.99869699999999995</v>
      </c>
      <c r="AB1900">
        <v>53</v>
      </c>
      <c r="AC1900">
        <v>-34.043399999999899</v>
      </c>
      <c r="AD1900">
        <v>-1.108613410419</v>
      </c>
      <c r="AE1900">
        <v>1.51800000000002</v>
      </c>
      <c r="AF1900">
        <v>1.7640206387077699</v>
      </c>
      <c r="AG1900">
        <v>-1.108613410419</v>
      </c>
      <c r="AH1900">
        <v>33.995462757447498</v>
      </c>
      <c r="AI1900">
        <v>91.865281744951204</v>
      </c>
      <c r="AJ1900">
        <v>87.029592702720706</v>
      </c>
      <c r="AK1900">
        <v>34.059246624089397</v>
      </c>
      <c r="AL1900">
        <v>82.552504722109404</v>
      </c>
      <c r="AM1900">
        <v>90.764124450333298</v>
      </c>
      <c r="AN1900">
        <v>1.00000002292152</v>
      </c>
    </row>
    <row r="1901" spans="1:40" x14ac:dyDescent="0.25">
      <c r="A1901" t="str">
        <f>"20190312172653858"</f>
        <v>20190312172653858</v>
      </c>
      <c r="B1901" t="str">
        <f>"1552382813850330"</f>
        <v>1552382813850330</v>
      </c>
      <c r="C1901" t="s">
        <v>40</v>
      </c>
      <c r="D1901">
        <v>3.2092520000000002</v>
      </c>
      <c r="E1901">
        <v>0.52601200000000004</v>
      </c>
      <c r="F1901" t="s">
        <v>49</v>
      </c>
      <c r="G1901">
        <v>-432.15460000000002</v>
      </c>
      <c r="H1901" s="1">
        <v>2.9679559999999998E-6</v>
      </c>
      <c r="I1901">
        <v>286.95569999999998</v>
      </c>
      <c r="J1901">
        <v>-397.7912</v>
      </c>
      <c r="K1901">
        <v>1.1085389999999999</v>
      </c>
      <c r="L1901">
        <v>285.37630000000001</v>
      </c>
      <c r="M1901">
        <v>-0.99986640000000004</v>
      </c>
      <c r="N1901">
        <v>0</v>
      </c>
      <c r="O1901">
        <v>-6.5578779999999996E-3</v>
      </c>
      <c r="P1901">
        <v>-0.99310799999999999</v>
      </c>
      <c r="Q1901">
        <v>0.1153444</v>
      </c>
      <c r="R1901">
        <v>-2.0800010000000001E-2</v>
      </c>
      <c r="S1901">
        <v>-3.0345460000000002</v>
      </c>
      <c r="T1901">
        <v>-9.6371170000000006E-2</v>
      </c>
      <c r="U1901">
        <v>0.13699339999999999</v>
      </c>
      <c r="V1901">
        <v>-1.40687E-2</v>
      </c>
      <c r="W1901">
        <v>0.13023170000000001</v>
      </c>
      <c r="X1901">
        <v>0.99138380000000004</v>
      </c>
      <c r="Y1901">
        <v>5.162038E-2</v>
      </c>
      <c r="Z1901">
        <v>1.0271939999999999E-3</v>
      </c>
      <c r="AA1901">
        <v>0.99866619999999995</v>
      </c>
      <c r="AB1901">
        <v>52</v>
      </c>
      <c r="AC1901">
        <v>-34.363399999999999</v>
      </c>
      <c r="AD1901">
        <v>-1.1085360320440001</v>
      </c>
      <c r="AE1901">
        <v>1.5793999999999599</v>
      </c>
      <c r="AF1901">
        <v>1.8028700653420799</v>
      </c>
      <c r="AG1901">
        <v>-1.1085360320440001</v>
      </c>
      <c r="AH1901">
        <v>34.316665663146999</v>
      </c>
      <c r="AI1901">
        <v>91.847643895638697</v>
      </c>
      <c r="AJ1901">
        <v>86.992657484863301</v>
      </c>
      <c r="AK1901">
        <v>34.381866366488303</v>
      </c>
      <c r="AL1901">
        <v>82.517018663368006</v>
      </c>
      <c r="AM1901">
        <v>90.813028243460707</v>
      </c>
      <c r="AN1901">
        <v>1.0000000314535</v>
      </c>
    </row>
    <row r="1902" spans="1:40" x14ac:dyDescent="0.25">
      <c r="A1902" t="str">
        <f>"20190312172653879"</f>
        <v>20190312172653879</v>
      </c>
      <c r="B1902" t="str">
        <f>"1552382813870826"</f>
        <v>1552382813870826</v>
      </c>
      <c r="C1902" t="s">
        <v>40</v>
      </c>
      <c r="D1902">
        <v>3.213428</v>
      </c>
      <c r="E1902">
        <v>0.52622469999999999</v>
      </c>
      <c r="F1902" t="s">
        <v>49</v>
      </c>
      <c r="G1902">
        <v>-433.03039999999999</v>
      </c>
      <c r="H1902" s="1">
        <v>3.3534980000000001E-6</v>
      </c>
      <c r="I1902">
        <v>286.98829999999998</v>
      </c>
      <c r="J1902">
        <v>-398.30180000000001</v>
      </c>
      <c r="K1902">
        <v>1.108471</v>
      </c>
      <c r="L1902">
        <v>285.3734</v>
      </c>
      <c r="M1902">
        <v>-0.9998705</v>
      </c>
      <c r="N1902">
        <v>0</v>
      </c>
      <c r="O1902">
        <v>-5.8343589999999999E-3</v>
      </c>
      <c r="P1902">
        <v>-0.99299059999999995</v>
      </c>
      <c r="Q1902">
        <v>0.1164331</v>
      </c>
      <c r="R1902">
        <v>-2.0327930000000001E-2</v>
      </c>
      <c r="S1902">
        <v>-3.0348510000000002</v>
      </c>
      <c r="T1902">
        <v>-9.5468520000000001E-2</v>
      </c>
      <c r="U1902">
        <v>0.13882449999999999</v>
      </c>
      <c r="V1902">
        <v>-1.429018E-2</v>
      </c>
      <c r="W1902">
        <v>0.1313464</v>
      </c>
      <c r="X1902">
        <v>0.99123349999999999</v>
      </c>
      <c r="Y1902">
        <v>5.1495489999999998E-2</v>
      </c>
      <c r="Z1902">
        <v>9.9275249999999991E-4</v>
      </c>
      <c r="AA1902">
        <v>0.99867269999999997</v>
      </c>
      <c r="AB1902">
        <v>52</v>
      </c>
      <c r="AC1902">
        <v>-34.728599999999901</v>
      </c>
      <c r="AD1902">
        <v>-1.108467646502</v>
      </c>
      <c r="AE1902">
        <v>1.61489999999997</v>
      </c>
      <c r="AF1902">
        <v>1.8156686830237301</v>
      </c>
      <c r="AG1902">
        <v>-1.108467646502</v>
      </c>
      <c r="AH1902">
        <v>34.683328102004097</v>
      </c>
      <c r="AI1902">
        <v>91.828029552971998</v>
      </c>
      <c r="AJ1902">
        <v>87.003307288491101</v>
      </c>
      <c r="AK1902">
        <v>34.748505025700297</v>
      </c>
      <c r="AL1902">
        <v>82.452597218722701</v>
      </c>
      <c r="AM1902">
        <v>90.825950985432101</v>
      </c>
      <c r="AN1902">
        <v>0.99999996877982</v>
      </c>
    </row>
    <row r="1903" spans="1:40" x14ac:dyDescent="0.25">
      <c r="A1903" t="str">
        <f>"20190312172653901"</f>
        <v>20190312172653901</v>
      </c>
      <c r="B1903" t="str">
        <f>"1552382813890713"</f>
        <v>1552382813890713</v>
      </c>
      <c r="C1903" t="s">
        <v>40</v>
      </c>
      <c r="D1903">
        <v>3.2286549999999998</v>
      </c>
      <c r="E1903">
        <v>0.52639019999999903</v>
      </c>
      <c r="F1903" t="s">
        <v>49</v>
      </c>
      <c r="G1903">
        <v>-434.42739999999998</v>
      </c>
      <c r="H1903" s="1">
        <v>3.9662699999999899E-6</v>
      </c>
      <c r="I1903">
        <v>287.065</v>
      </c>
      <c r="J1903">
        <v>-398.8193</v>
      </c>
      <c r="K1903">
        <v>1.108414</v>
      </c>
      <c r="L1903">
        <v>285.37079999999997</v>
      </c>
      <c r="M1903">
        <v>-0.99987440000000005</v>
      </c>
      <c r="N1903">
        <v>0</v>
      </c>
      <c r="O1903">
        <v>-5.0657239999999997E-3</v>
      </c>
      <c r="P1903">
        <v>-0.99296030000000002</v>
      </c>
      <c r="Q1903">
        <v>0.11672540000000001</v>
      </c>
      <c r="R1903">
        <v>-2.0124679999999999E-2</v>
      </c>
      <c r="S1903">
        <v>-3.035034</v>
      </c>
      <c r="T1903">
        <v>-9.3126180000000003E-2</v>
      </c>
      <c r="U1903">
        <v>0.14212040000000001</v>
      </c>
      <c r="V1903">
        <v>-1.482791E-2</v>
      </c>
      <c r="W1903">
        <v>0.13166310000000001</v>
      </c>
      <c r="X1903">
        <v>0.99118360000000005</v>
      </c>
      <c r="Y1903">
        <v>5.1808800000000002E-2</v>
      </c>
      <c r="Z1903">
        <v>9.4955720000000003E-4</v>
      </c>
      <c r="AA1903">
        <v>0.99865660000000001</v>
      </c>
      <c r="AB1903">
        <v>52</v>
      </c>
      <c r="AC1903">
        <v>-35.608099999999901</v>
      </c>
      <c r="AD1903">
        <v>-1.10841003373</v>
      </c>
      <c r="AE1903">
        <v>1.6942000000000199</v>
      </c>
      <c r="AF1903">
        <v>1.8727688783900001</v>
      </c>
      <c r="AG1903">
        <v>-1.10841003373</v>
      </c>
      <c r="AH1903">
        <v>35.564676984491904</v>
      </c>
      <c r="AI1903">
        <v>91.782636347362796</v>
      </c>
      <c r="AJ1903">
        <v>86.985696249451294</v>
      </c>
      <c r="AK1903">
        <v>35.631195392324202</v>
      </c>
      <c r="AL1903">
        <v>82.434292794445099</v>
      </c>
      <c r="AM1903">
        <v>90.857069561398703</v>
      </c>
      <c r="AN1903">
        <v>0.999999983862768</v>
      </c>
    </row>
    <row r="1904" spans="1:40" x14ac:dyDescent="0.25">
      <c r="A1904" t="str">
        <f>"20190312172653923"</f>
        <v>20190312172653923</v>
      </c>
      <c r="B1904" t="str">
        <f>"1552382813920970"</f>
        <v>1552382813920970</v>
      </c>
      <c r="C1904" t="s">
        <v>40</v>
      </c>
      <c r="D1904">
        <v>3.2376800000000001</v>
      </c>
      <c r="E1904">
        <v>0.52664829999999996</v>
      </c>
      <c r="F1904" t="s">
        <v>49</v>
      </c>
      <c r="G1904">
        <v>-434.78870000000001</v>
      </c>
      <c r="H1904" s="1">
        <v>4.1258170000000002E-6</v>
      </c>
      <c r="I1904">
        <v>287.07279999999997</v>
      </c>
      <c r="J1904">
        <v>-399.33969999999999</v>
      </c>
      <c r="K1904">
        <v>1.108358</v>
      </c>
      <c r="L1904">
        <v>285.36869999999999</v>
      </c>
      <c r="M1904">
        <v>-0.99987780000000004</v>
      </c>
      <c r="N1904">
        <v>0</v>
      </c>
      <c r="O1904">
        <v>-4.2656949999999999E-3</v>
      </c>
      <c r="P1904">
        <v>-0.99303960000000002</v>
      </c>
      <c r="Q1904">
        <v>0.1161856</v>
      </c>
      <c r="R1904">
        <v>-1.932946E-2</v>
      </c>
      <c r="S1904">
        <v>-3.035126</v>
      </c>
      <c r="T1904">
        <v>-9.3528509999999995E-2</v>
      </c>
      <c r="U1904">
        <v>0.14361570000000001</v>
      </c>
      <c r="V1904">
        <v>-1.48072E-2</v>
      </c>
      <c r="W1904">
        <v>0.1311456</v>
      </c>
      <c r="X1904">
        <v>0.99125249999999998</v>
      </c>
      <c r="Y1904">
        <v>5.1499570000000001E-2</v>
      </c>
      <c r="Z1904">
        <v>9.2421970000000002E-4</v>
      </c>
      <c r="AA1904">
        <v>0.99867260000000002</v>
      </c>
      <c r="AB1904">
        <v>52</v>
      </c>
      <c r="AC1904">
        <v>-35.448999999999998</v>
      </c>
      <c r="AD1904">
        <v>-1.1083538741829999</v>
      </c>
      <c r="AE1904">
        <v>1.70409999999998</v>
      </c>
      <c r="AF1904">
        <v>1.8535084578224901</v>
      </c>
      <c r="AG1904">
        <v>-1.1083538741829999</v>
      </c>
      <c r="AH1904">
        <v>35.406874435657798</v>
      </c>
      <c r="AI1904">
        <v>91.790514413226205</v>
      </c>
      <c r="AJ1904">
        <v>87.003368292671496</v>
      </c>
      <c r="AK1904">
        <v>35.4726753884744</v>
      </c>
      <c r="AL1904">
        <v>82.4642026106348</v>
      </c>
      <c r="AM1904">
        <v>90.855813197565496</v>
      </c>
      <c r="AN1904">
        <v>0.99999997016372399</v>
      </c>
    </row>
    <row r="1905" spans="1:40" x14ac:dyDescent="0.25">
      <c r="A1905" t="str">
        <f>"20190312172653946"</f>
        <v>20190312172653946</v>
      </c>
      <c r="B1905" t="str">
        <f>"1552382813940489"</f>
        <v>1552382813940489</v>
      </c>
      <c r="C1905" t="s">
        <v>40</v>
      </c>
      <c r="D1905">
        <v>3.3203179999999999</v>
      </c>
      <c r="E1905">
        <v>0.52672640000000004</v>
      </c>
      <c r="F1905" t="s">
        <v>49</v>
      </c>
      <c r="G1905">
        <v>-434.2183</v>
      </c>
      <c r="H1905" s="1">
        <v>3.8728359999999997E-6</v>
      </c>
      <c r="I1905">
        <v>287.07299999999998</v>
      </c>
      <c r="J1905">
        <v>-399.87549999999999</v>
      </c>
      <c r="K1905">
        <v>1.108309</v>
      </c>
      <c r="L1905">
        <v>285.36680000000001</v>
      </c>
      <c r="M1905">
        <v>-0.99988069999999896</v>
      </c>
      <c r="N1905">
        <v>0</v>
      </c>
      <c r="O1905">
        <v>-3.4196069999999999E-3</v>
      </c>
      <c r="P1905">
        <v>-0.99308459999999998</v>
      </c>
      <c r="Q1905">
        <v>0.1157547</v>
      </c>
      <c r="R1905">
        <v>-1.9596470000000001E-2</v>
      </c>
      <c r="S1905">
        <v>-3.0351560000000002</v>
      </c>
      <c r="T1905">
        <v>-9.6449729999999997E-2</v>
      </c>
      <c r="U1905">
        <v>0.14831539999999999</v>
      </c>
      <c r="V1905">
        <v>-1.58966E-2</v>
      </c>
      <c r="W1905">
        <v>0.13073660000000001</v>
      </c>
      <c r="X1905">
        <v>0.99128970000000005</v>
      </c>
      <c r="Y1905">
        <v>5.2195220000000001E-2</v>
      </c>
      <c r="Z1905">
        <v>9.3720269999999996E-4</v>
      </c>
      <c r="AA1905">
        <v>0.99863650000000004</v>
      </c>
      <c r="AB1905">
        <v>52</v>
      </c>
      <c r="AC1905">
        <v>-34.342799999999997</v>
      </c>
      <c r="AD1905">
        <v>-1.1083051271639901</v>
      </c>
      <c r="AE1905">
        <v>1.70619999999996</v>
      </c>
      <c r="AF1905">
        <v>1.82174959797472</v>
      </c>
      <c r="AG1905">
        <v>-1.1083051271639901</v>
      </c>
      <c r="AH1905">
        <v>34.301128279839098</v>
      </c>
      <c r="AI1905">
        <v>91.848039616737097</v>
      </c>
      <c r="AJ1905">
        <v>86.959849624310294</v>
      </c>
      <c r="AK1905">
        <v>34.367346611610799</v>
      </c>
      <c r="AL1905">
        <v>82.487840438593494</v>
      </c>
      <c r="AM1905">
        <v>90.918732460837504</v>
      </c>
      <c r="AN1905">
        <v>1.0000000148985999</v>
      </c>
    </row>
    <row r="1906" spans="1:40" x14ac:dyDescent="0.25">
      <c r="A1906" t="str">
        <f>"20190312172653968"</f>
        <v>20190312172653968</v>
      </c>
      <c r="B1906" t="str">
        <f>"1552382813960989"</f>
        <v>1552382813960989</v>
      </c>
      <c r="C1906" t="s">
        <v>40</v>
      </c>
      <c r="D1906">
        <v>3.200939</v>
      </c>
      <c r="E1906">
        <v>0.52625330000000003</v>
      </c>
      <c r="F1906" t="s">
        <v>49</v>
      </c>
      <c r="G1906">
        <v>-434.27800000000002</v>
      </c>
      <c r="H1906" s="1">
        <v>3.901147E-6</v>
      </c>
      <c r="I1906">
        <v>287.0521</v>
      </c>
      <c r="J1906">
        <v>-400.38490000000002</v>
      </c>
      <c r="K1906">
        <v>1.108284</v>
      </c>
      <c r="L1906">
        <v>285.36559999999997</v>
      </c>
      <c r="M1906">
        <v>-0.99988299999999997</v>
      </c>
      <c r="N1906">
        <v>0</v>
      </c>
      <c r="O1906">
        <v>-2.5988090000000001E-3</v>
      </c>
      <c r="P1906">
        <v>-0.99294760000000004</v>
      </c>
      <c r="Q1906">
        <v>0.11696570000000001</v>
      </c>
      <c r="R1906">
        <v>-1.9339189999999999E-2</v>
      </c>
      <c r="S1906">
        <v>-3.0351870000000001</v>
      </c>
      <c r="T1906">
        <v>-9.7781060000000003E-2</v>
      </c>
      <c r="U1906">
        <v>0.1486816</v>
      </c>
      <c r="V1906">
        <v>-1.6436079999999999E-2</v>
      </c>
      <c r="W1906">
        <v>0.13196089999999999</v>
      </c>
      <c r="X1906">
        <v>0.99111870000000002</v>
      </c>
      <c r="Y1906">
        <v>5.1495159999999998E-2</v>
      </c>
      <c r="Z1906">
        <v>9.124297E-4</v>
      </c>
      <c r="AA1906">
        <v>0.99867280000000003</v>
      </c>
      <c r="AB1906">
        <v>52</v>
      </c>
      <c r="AC1906">
        <v>-33.893099999999997</v>
      </c>
      <c r="AD1906">
        <v>-1.1082800988529999</v>
      </c>
      <c r="AE1906">
        <v>1.6865000000000201</v>
      </c>
      <c r="AF1906">
        <v>1.7726952453224001</v>
      </c>
      <c r="AG1906">
        <v>-1.1082800988529999</v>
      </c>
      <c r="AH1906">
        <v>33.8524949828548</v>
      </c>
      <c r="AI1906">
        <v>91.872544688588505</v>
      </c>
      <c r="AJ1906">
        <v>87.002428590017104</v>
      </c>
      <c r="AK1906">
        <v>33.916989102432296</v>
      </c>
      <c r="AL1906">
        <v>82.417080433660502</v>
      </c>
      <c r="AM1906">
        <v>90.950069556101596</v>
      </c>
      <c r="AN1906">
        <v>1.00000005067213</v>
      </c>
    </row>
    <row r="1907" spans="1:40" x14ac:dyDescent="0.25">
      <c r="A1907" t="str">
        <f>"20190312172653992"</f>
        <v>20190312172653992</v>
      </c>
      <c r="B1907" t="str">
        <f>"1552382813980505"</f>
        <v>1552382813980505</v>
      </c>
      <c r="C1907" t="s">
        <v>40</v>
      </c>
      <c r="D1907">
        <v>3.2423090000000001</v>
      </c>
      <c r="E1907">
        <v>0.49546059999999997</v>
      </c>
      <c r="F1907" t="s">
        <v>49</v>
      </c>
      <c r="G1907">
        <v>-435.59750000000003</v>
      </c>
      <c r="H1907" s="1">
        <v>4.4857930000000003E-6</v>
      </c>
      <c r="I1907">
        <v>287.0582</v>
      </c>
      <c r="J1907">
        <v>-400.93020000000001</v>
      </c>
      <c r="K1907">
        <v>1.1082590000000001</v>
      </c>
      <c r="L1907">
        <v>285.36470000000003</v>
      </c>
      <c r="M1907">
        <v>-0.99988489999999997</v>
      </c>
      <c r="N1907">
        <v>0</v>
      </c>
      <c r="O1907">
        <v>-1.707149E-3</v>
      </c>
      <c r="P1907">
        <v>-0.99263659999999998</v>
      </c>
      <c r="Q1907">
        <v>0.119589</v>
      </c>
      <c r="R1907">
        <v>-1.9273149999999999E-2</v>
      </c>
      <c r="S1907">
        <v>-3.0354000000000001</v>
      </c>
      <c r="T1907">
        <v>-9.5535990000000001E-2</v>
      </c>
      <c r="U1907">
        <v>0.14590449999999999</v>
      </c>
      <c r="V1907">
        <v>-1.7235219999999999E-2</v>
      </c>
      <c r="W1907">
        <v>0.13459409999999999</v>
      </c>
      <c r="X1907">
        <v>0.99075089999999999</v>
      </c>
      <c r="Y1907">
        <v>4.9692119999999999E-2</v>
      </c>
      <c r="Z1907">
        <v>8.3505210000000001E-4</v>
      </c>
      <c r="AA1907">
        <v>0.99876419999999999</v>
      </c>
      <c r="AB1907">
        <v>52</v>
      </c>
      <c r="AC1907">
        <v>-34.667299999999997</v>
      </c>
      <c r="AD1907">
        <v>-1.1082545142069999</v>
      </c>
      <c r="AE1907">
        <v>1.69349999999997</v>
      </c>
      <c r="AF1907">
        <v>1.7509013923611001</v>
      </c>
      <c r="AG1907">
        <v>-1.1082545142069999</v>
      </c>
      <c r="AH1907">
        <v>34.629052416961997</v>
      </c>
      <c r="AI1907">
        <v>91.830708848571504</v>
      </c>
      <c r="AJ1907">
        <v>87.105496800915304</v>
      </c>
      <c r="AK1907">
        <v>34.690995302105897</v>
      </c>
      <c r="AL1907">
        <v>82.264850563866105</v>
      </c>
      <c r="AM1907">
        <v>90.996623640190606</v>
      </c>
      <c r="AN1907">
        <v>0.99999998520703404</v>
      </c>
    </row>
    <row r="1908" spans="1:40" x14ac:dyDescent="0.25">
      <c r="A1908" t="str">
        <f>"20190312172654014"</f>
        <v>20190312172654014</v>
      </c>
      <c r="B1908" t="str">
        <f>"1552382814000531"</f>
        <v>1552382814000531</v>
      </c>
      <c r="C1908" t="s">
        <v>40</v>
      </c>
      <c r="D1908">
        <v>3.222772</v>
      </c>
      <c r="E1908">
        <v>0.4942608</v>
      </c>
      <c r="F1908" t="s">
        <v>49</v>
      </c>
      <c r="G1908">
        <v>-428.99439999999998</v>
      </c>
      <c r="H1908" s="1">
        <v>2.3844430000000001E-6</v>
      </c>
      <c r="I1908">
        <v>284.44130000000001</v>
      </c>
      <c r="J1908">
        <v>-401.43599999999998</v>
      </c>
      <c r="K1908">
        <v>1.108239</v>
      </c>
      <c r="L1908">
        <v>285.36439999999999</v>
      </c>
      <c r="M1908">
        <v>-0.99988580000000005</v>
      </c>
      <c r="N1908">
        <v>0</v>
      </c>
      <c r="O1908">
        <v>-8.7033499999999997E-4</v>
      </c>
      <c r="P1908">
        <v>-0.99245119999999998</v>
      </c>
      <c r="Q1908">
        <v>0.1211411</v>
      </c>
      <c r="R1908">
        <v>-1.912316E-2</v>
      </c>
      <c r="S1908">
        <v>-3.034729</v>
      </c>
      <c r="T1908">
        <v>-0.1198415</v>
      </c>
      <c r="U1908">
        <v>-9.9853520000000001E-2</v>
      </c>
      <c r="V1908">
        <v>-1.7899849999999998E-2</v>
      </c>
      <c r="W1908">
        <v>0.13615469999999999</v>
      </c>
      <c r="X1908">
        <v>0.99052589999999996</v>
      </c>
      <c r="Y1908">
        <v>-3.1991600000000002E-2</v>
      </c>
      <c r="Z1908">
        <v>-5.9690679999999997E-4</v>
      </c>
      <c r="AA1908">
        <v>0.99948789999999998</v>
      </c>
      <c r="AB1908">
        <v>52</v>
      </c>
      <c r="AC1908">
        <v>-27.558399999999999</v>
      </c>
      <c r="AD1908">
        <v>-1.108236615557</v>
      </c>
      <c r="AE1908">
        <v>-0.92309999999997605</v>
      </c>
      <c r="AF1908">
        <v>-0.89766183068816496</v>
      </c>
      <c r="AG1908">
        <v>-1.108236615557</v>
      </c>
      <c r="AH1908">
        <v>27.514746768423102</v>
      </c>
      <c r="AI1908">
        <v>92.305282560913696</v>
      </c>
      <c r="AJ1908">
        <v>91.868597908077305</v>
      </c>
      <c r="AK1908">
        <v>27.551683703338099</v>
      </c>
      <c r="AL1908">
        <v>82.174604370364307</v>
      </c>
      <c r="AM1908">
        <v>91.035282612284007</v>
      </c>
      <c r="AN1908">
        <v>1.00000003276646</v>
      </c>
    </row>
    <row r="1909" spans="1:40" x14ac:dyDescent="0.25">
      <c r="A1909" t="str">
        <f>"20190312172654036"</f>
        <v>20190312172654036</v>
      </c>
      <c r="B1909" t="str">
        <f>"1552382814030788"</f>
        <v>1552382814030788</v>
      </c>
      <c r="C1909" t="s">
        <v>40</v>
      </c>
      <c r="D1909">
        <v>3.2442489999999999</v>
      </c>
      <c r="E1909">
        <v>0.49332500000000001</v>
      </c>
      <c r="F1909" t="s">
        <v>49</v>
      </c>
      <c r="G1909">
        <v>-429.71699999999998</v>
      </c>
      <c r="H1909" s="1">
        <v>2.2643090000000001E-6</v>
      </c>
      <c r="I1909">
        <v>284.34930000000003</v>
      </c>
      <c r="J1909">
        <v>-401.97680000000003</v>
      </c>
      <c r="K1909">
        <v>1.1082129999999999</v>
      </c>
      <c r="L1909">
        <v>285.36439999999999</v>
      </c>
      <c r="M1909">
        <v>-0.9998861</v>
      </c>
      <c r="N1909">
        <v>0</v>
      </c>
      <c r="O1909" s="1">
        <v>3.469163E-5</v>
      </c>
      <c r="P1909">
        <v>-0.99229290000000003</v>
      </c>
      <c r="Q1909">
        <v>0.122458</v>
      </c>
      <c r="R1909">
        <v>-1.8956279999999999E-2</v>
      </c>
      <c r="S1909">
        <v>-3.0353089999999998</v>
      </c>
      <c r="T1909">
        <v>-0.1189436</v>
      </c>
      <c r="U1909">
        <v>-0.1089478</v>
      </c>
      <c r="V1909">
        <v>-1.86167E-2</v>
      </c>
      <c r="W1909">
        <v>0.13747909999999999</v>
      </c>
      <c r="X1909">
        <v>0.99032969999999998</v>
      </c>
      <c r="Y1909">
        <v>-3.5877510000000001E-2</v>
      </c>
      <c r="Z1909">
        <v>-7.0382270000000002E-4</v>
      </c>
      <c r="AA1909">
        <v>0.99935600000000002</v>
      </c>
      <c r="AB1909">
        <v>52</v>
      </c>
      <c r="AC1909">
        <v>-27.740199999999898</v>
      </c>
      <c r="AD1909">
        <v>-1.10821073569099</v>
      </c>
      <c r="AE1909">
        <v>-1.0150999999999599</v>
      </c>
      <c r="AF1909">
        <v>-1.0144455990854799</v>
      </c>
      <c r="AG1909">
        <v>-1.10821073569099</v>
      </c>
      <c r="AH1909">
        <v>27.696021771744199</v>
      </c>
      <c r="AI1909">
        <v>92.289840100250004</v>
      </c>
      <c r="AJ1909">
        <v>92.097683196747695</v>
      </c>
      <c r="AK1909">
        <v>27.736741929958701</v>
      </c>
      <c r="AL1909">
        <v>82.098001226217704</v>
      </c>
      <c r="AM1909">
        <v>91.076947120486096</v>
      </c>
      <c r="AN1909">
        <v>0.99999999957889496</v>
      </c>
    </row>
    <row r="1910" spans="1:40" x14ac:dyDescent="0.25">
      <c r="A1910" t="str">
        <f>"20190312172654058"</f>
        <v>20190312172654058</v>
      </c>
      <c r="B1910" t="str">
        <f>"1552382814051283"</f>
        <v>1552382814051283</v>
      </c>
      <c r="C1910" t="s">
        <v>40</v>
      </c>
      <c r="D1910">
        <v>3.2631760000000001</v>
      </c>
      <c r="E1910">
        <v>0.49310850000000001</v>
      </c>
      <c r="F1910" t="s">
        <v>49</v>
      </c>
      <c r="G1910">
        <v>-430.98480000000001</v>
      </c>
      <c r="H1910" s="1">
        <v>2.6851549999999898E-6</v>
      </c>
      <c r="I1910">
        <v>284.25650000000002</v>
      </c>
      <c r="J1910">
        <v>-402.47410000000002</v>
      </c>
      <c r="K1910">
        <v>1.1081890000000001</v>
      </c>
      <c r="L1910">
        <v>285.36489999999998</v>
      </c>
      <c r="M1910">
        <v>-0.99988560000000004</v>
      </c>
      <c r="N1910">
        <v>0</v>
      </c>
      <c r="O1910">
        <v>8.7814369999999998E-4</v>
      </c>
      <c r="P1910">
        <v>-0.99230560000000001</v>
      </c>
      <c r="Q1910">
        <v>0.1223306</v>
      </c>
      <c r="R1910">
        <v>-1.9112009999999999E-2</v>
      </c>
      <c r="S1910">
        <v>-3.0354000000000001</v>
      </c>
      <c r="T1910">
        <v>-0.1159632</v>
      </c>
      <c r="U1910">
        <v>-0.11593630000000001</v>
      </c>
      <c r="V1910">
        <v>-1.9600179999999998E-2</v>
      </c>
      <c r="W1910">
        <v>0.1373615</v>
      </c>
      <c r="X1910">
        <v>0.99032710000000002</v>
      </c>
      <c r="Y1910">
        <v>-3.9015420000000002E-2</v>
      </c>
      <c r="Z1910">
        <v>-7.7824960000000005E-4</v>
      </c>
      <c r="AA1910">
        <v>0.99923830000000002</v>
      </c>
      <c r="AB1910">
        <v>52</v>
      </c>
      <c r="AC1910">
        <v>-28.5106999999999</v>
      </c>
      <c r="AD1910">
        <v>-1.108186314845</v>
      </c>
      <c r="AE1910">
        <v>-1.1083999999999601</v>
      </c>
      <c r="AF1910">
        <v>-1.1317316679582601</v>
      </c>
      <c r="AG1910">
        <v>-1.108186314845</v>
      </c>
      <c r="AH1910">
        <v>28.466772582771998</v>
      </c>
      <c r="AI1910">
        <v>92.227590424750005</v>
      </c>
      <c r="AJ1910">
        <v>92.276665447123307</v>
      </c>
      <c r="AK1910">
        <v>28.510805578866599</v>
      </c>
      <c r="AL1910">
        <v>82.104804201760899</v>
      </c>
      <c r="AM1910">
        <v>91.133828404451194</v>
      </c>
      <c r="AN1910">
        <v>1.0000000568663401</v>
      </c>
    </row>
    <row r="1911" spans="1:40" x14ac:dyDescent="0.25">
      <c r="A1911" t="str">
        <f>"20190312172654080"</f>
        <v>20190312172654080</v>
      </c>
      <c r="B1911" t="str">
        <f>"1552382814070807"</f>
        <v>1552382814070807</v>
      </c>
      <c r="C1911" t="s">
        <v>40</v>
      </c>
      <c r="D1911">
        <v>3.2730939999999999</v>
      </c>
      <c r="E1911">
        <v>0.49294850000000001</v>
      </c>
      <c r="F1911" t="s">
        <v>49</v>
      </c>
      <c r="G1911">
        <v>-430.70350000000002</v>
      </c>
      <c r="H1911" s="1">
        <v>2.559446E-6</v>
      </c>
      <c r="I1911">
        <v>284.26780000000002</v>
      </c>
      <c r="J1911">
        <v>-402.99540000000002</v>
      </c>
      <c r="K1911">
        <v>1.108169</v>
      </c>
      <c r="L1911">
        <v>285.36599999999999</v>
      </c>
      <c r="M1911">
        <v>-0.9998842</v>
      </c>
      <c r="N1911">
        <v>0</v>
      </c>
      <c r="O1911">
        <v>1.77895299999999E-3</v>
      </c>
      <c r="P1911">
        <v>-0.99234579999999994</v>
      </c>
      <c r="Q1911">
        <v>0.122042</v>
      </c>
      <c r="R1911">
        <v>-1.8857169999999999E-2</v>
      </c>
      <c r="S1911">
        <v>-3.0356749999999999</v>
      </c>
      <c r="T1911">
        <v>-0.1191696</v>
      </c>
      <c r="U1911">
        <v>-0.117981</v>
      </c>
      <c r="V1911">
        <v>-2.0230450000000001E-2</v>
      </c>
      <c r="W1911">
        <v>0.13708100000000001</v>
      </c>
      <c r="X1911">
        <v>0.99035320000000004</v>
      </c>
      <c r="Y1911">
        <v>-4.0580680000000001E-2</v>
      </c>
      <c r="Z1911">
        <v>-8.6570899999999999E-4</v>
      </c>
      <c r="AA1911">
        <v>0.99917590000000001</v>
      </c>
      <c r="AB1911">
        <v>52</v>
      </c>
      <c r="AC1911">
        <v>-27.708100000000002</v>
      </c>
      <c r="AD1911">
        <v>-1.1081664405539999</v>
      </c>
      <c r="AE1911">
        <v>-1.0981999999999601</v>
      </c>
      <c r="AF1911">
        <v>-1.1456656304472801</v>
      </c>
      <c r="AG1911">
        <v>-1.1081664405539999</v>
      </c>
      <c r="AH1911">
        <v>27.661925177561201</v>
      </c>
      <c r="AI1911">
        <v>92.292140782526005</v>
      </c>
      <c r="AJ1911">
        <v>92.3716466146915</v>
      </c>
      <c r="AK1911">
        <v>27.707809136157898</v>
      </c>
      <c r="AL1911">
        <v>82.121028429356599</v>
      </c>
      <c r="AM1911">
        <v>91.170247358214098</v>
      </c>
      <c r="AN1911">
        <v>0.99999996620922005</v>
      </c>
    </row>
    <row r="1912" spans="1:40" x14ac:dyDescent="0.25">
      <c r="A1912" t="str">
        <f>"20190312172654103"</f>
        <v>20190312172654103</v>
      </c>
      <c r="B1912" t="str">
        <f>"1552382814090767"</f>
        <v>1552382814090767</v>
      </c>
      <c r="C1912" t="s">
        <v>40</v>
      </c>
      <c r="D1912">
        <v>3.2381709999999999</v>
      </c>
      <c r="E1912">
        <v>0.4928265</v>
      </c>
      <c r="F1912" t="s">
        <v>49</v>
      </c>
      <c r="G1912">
        <v>-430.56909999999999</v>
      </c>
      <c r="H1912" s="1">
        <v>2.4978640000000001E-6</v>
      </c>
      <c r="I1912">
        <v>284.2903</v>
      </c>
      <c r="J1912">
        <v>-403.51369999999997</v>
      </c>
      <c r="K1912">
        <v>1.1081529999999999</v>
      </c>
      <c r="L1912">
        <v>285.36739999999998</v>
      </c>
      <c r="M1912">
        <v>-0.9998821</v>
      </c>
      <c r="N1912">
        <v>0</v>
      </c>
      <c r="O1912">
        <v>2.699482E-3</v>
      </c>
      <c r="P1912">
        <v>-0.99226650000000005</v>
      </c>
      <c r="Q1912">
        <v>0.1226864</v>
      </c>
      <c r="R1912">
        <v>-1.8846439999999999E-2</v>
      </c>
      <c r="S1912">
        <v>-3.0358890000000001</v>
      </c>
      <c r="T1912">
        <v>-0.1220102</v>
      </c>
      <c r="U1912">
        <v>-0.11843869999999999</v>
      </c>
      <c r="V1912">
        <v>-2.112058E-2</v>
      </c>
      <c r="W1912">
        <v>0.1377313</v>
      </c>
      <c r="X1912">
        <v>0.99024440000000002</v>
      </c>
      <c r="Y1912">
        <v>-4.1645059999999998E-2</v>
      </c>
      <c r="Z1912">
        <v>-9.4460659999999995E-4</v>
      </c>
      <c r="AA1912">
        <v>0.99913200000000002</v>
      </c>
      <c r="AB1912">
        <v>52</v>
      </c>
      <c r="AC1912">
        <v>-27.055399999999999</v>
      </c>
      <c r="AD1912">
        <v>-1.1081505021359901</v>
      </c>
      <c r="AE1912">
        <v>-1.07709999999997</v>
      </c>
      <c r="AF1912">
        <v>-1.14821678007029</v>
      </c>
      <c r="AG1912">
        <v>-1.1081505021359901</v>
      </c>
      <c r="AH1912">
        <v>27.007157819297198</v>
      </c>
      <c r="AI1912">
        <v>92.347508848958199</v>
      </c>
      <c r="AJ1912">
        <v>92.434479796568198</v>
      </c>
      <c r="AK1912">
        <v>27.054259790019099</v>
      </c>
      <c r="AL1912">
        <v>82.083412300347007</v>
      </c>
      <c r="AM1912">
        <v>91.221856589914395</v>
      </c>
      <c r="AN1912">
        <v>0.99999998081529295</v>
      </c>
    </row>
    <row r="1913" spans="1:40" x14ac:dyDescent="0.25">
      <c r="A1913" t="str">
        <f>"20190312172654125"</f>
        <v>20190312172654125</v>
      </c>
      <c r="B1913" t="str">
        <f>"1552382814121023"</f>
        <v>1552382814121023</v>
      </c>
      <c r="C1913" t="s">
        <v>40</v>
      </c>
      <c r="D1913">
        <v>3.2822710000000002</v>
      </c>
      <c r="E1913">
        <v>0.49265550000000002</v>
      </c>
      <c r="F1913" t="s">
        <v>49</v>
      </c>
      <c r="G1913">
        <v>-430.9427</v>
      </c>
      <c r="H1913" s="1">
        <v>2.6634479999999998E-6</v>
      </c>
      <c r="I1913">
        <v>284.29109999999997</v>
      </c>
      <c r="J1913">
        <v>-404.03129999999999</v>
      </c>
      <c r="K1913">
        <v>1.108136</v>
      </c>
      <c r="L1913">
        <v>285.36939999999998</v>
      </c>
      <c r="M1913">
        <v>-0.99987910000000002</v>
      </c>
      <c r="N1913">
        <v>0</v>
      </c>
      <c r="O1913">
        <v>3.6541849999999999E-3</v>
      </c>
      <c r="P1913">
        <v>-0.99203889999999995</v>
      </c>
      <c r="Q1913">
        <v>0.1245436</v>
      </c>
      <c r="R1913">
        <v>-1.865168E-2</v>
      </c>
      <c r="S1913">
        <v>-3.0363159999999998</v>
      </c>
      <c r="T1913">
        <v>-0.1226693</v>
      </c>
      <c r="U1913">
        <v>-0.1191406</v>
      </c>
      <c r="V1913">
        <v>-2.1853790000000001E-2</v>
      </c>
      <c r="W1913">
        <v>0.1395914</v>
      </c>
      <c r="X1913">
        <v>0.98996799999999996</v>
      </c>
      <c r="Y1913">
        <v>-4.282205E-2</v>
      </c>
      <c r="Z1913">
        <v>-1.01187E-3</v>
      </c>
      <c r="AA1913">
        <v>0.99908220000000003</v>
      </c>
      <c r="AB1913">
        <v>52</v>
      </c>
      <c r="AC1913">
        <v>-26.9114</v>
      </c>
      <c r="AD1913">
        <v>-1.1081333365520001</v>
      </c>
      <c r="AE1913">
        <v>-1.07830000000001</v>
      </c>
      <c r="AF1913">
        <v>-1.1746547697712999</v>
      </c>
      <c r="AG1913">
        <v>-1.1081333365520001</v>
      </c>
      <c r="AH1913">
        <v>26.8618069048404</v>
      </c>
      <c r="AI1913">
        <v>92.360037309083197</v>
      </c>
      <c r="AJ1913">
        <v>92.503923494565001</v>
      </c>
      <c r="AK1913">
        <v>26.910303668161301</v>
      </c>
      <c r="AL1913">
        <v>81.975796928117106</v>
      </c>
      <c r="AM1913">
        <v>91.264613197842706</v>
      </c>
      <c r="AN1913">
        <v>0.99999999405766105</v>
      </c>
    </row>
    <row r="1914" spans="1:40" x14ac:dyDescent="0.25">
      <c r="A1914" t="str">
        <f>"20190312172654149"</f>
        <v>20190312172654149</v>
      </c>
      <c r="B1914" t="str">
        <f>"1552382814140544"</f>
        <v>1552382814140544</v>
      </c>
      <c r="C1914" t="s">
        <v>40</v>
      </c>
      <c r="D1914">
        <v>3.2742330000000002</v>
      </c>
      <c r="E1914">
        <v>0.49266660000000001</v>
      </c>
      <c r="F1914" t="s">
        <v>49</v>
      </c>
      <c r="G1914">
        <v>-432.14</v>
      </c>
      <c r="H1914" s="1">
        <v>3.197127E-6</v>
      </c>
      <c r="I1914">
        <v>284.2602</v>
      </c>
      <c r="J1914">
        <v>-404.5702</v>
      </c>
      <c r="K1914">
        <v>1.1081080000000001</v>
      </c>
      <c r="L1914">
        <v>285.37200000000001</v>
      </c>
      <c r="M1914">
        <v>-0.99987479999999995</v>
      </c>
      <c r="N1914">
        <v>0</v>
      </c>
      <c r="O1914">
        <v>4.6944320000000001E-3</v>
      </c>
      <c r="P1914">
        <v>-0.99179919999999999</v>
      </c>
      <c r="Q1914">
        <v>0.12639990000000001</v>
      </c>
      <c r="R1914">
        <v>-1.8910099999999999E-2</v>
      </c>
      <c r="S1914">
        <v>-3.0368650000000001</v>
      </c>
      <c r="T1914">
        <v>-0.1197227</v>
      </c>
      <c r="U1914">
        <v>-0.1198425</v>
      </c>
      <c r="V1914">
        <v>-2.3121200000000001E-2</v>
      </c>
      <c r="W1914">
        <v>0.14145250000000001</v>
      </c>
      <c r="X1914">
        <v>0.98967499999999997</v>
      </c>
      <c r="Y1914">
        <v>-4.4084940000000003E-2</v>
      </c>
      <c r="Z1914">
        <v>-1.053259E-3</v>
      </c>
      <c r="AA1914">
        <v>0.99902729999999995</v>
      </c>
      <c r="AB1914">
        <v>52</v>
      </c>
      <c r="AC1914">
        <v>-27.569799999999901</v>
      </c>
      <c r="AD1914">
        <v>-1.1081048028730001</v>
      </c>
      <c r="AE1914">
        <v>-1.1118000000000099</v>
      </c>
      <c r="AF1914">
        <v>-1.2392284116268499</v>
      </c>
      <c r="AG1914">
        <v>-1.1081048028730001</v>
      </c>
      <c r="AH1914">
        <v>27.519891353908999</v>
      </c>
      <c r="AI1914">
        <v>92.303471347615101</v>
      </c>
      <c r="AJ1914">
        <v>92.578303234668397</v>
      </c>
      <c r="AK1914">
        <v>27.570056282882099</v>
      </c>
      <c r="AL1914">
        <v>81.868095140945201</v>
      </c>
      <c r="AM1914">
        <v>91.338324439225403</v>
      </c>
      <c r="AN1914">
        <v>1.0000000026353399</v>
      </c>
    </row>
    <row r="1915" spans="1:40" x14ac:dyDescent="0.25">
      <c r="A1915" t="str">
        <f>"20190312172654169"</f>
        <v>20190312172654169</v>
      </c>
      <c r="B1915" t="str">
        <f>"1552382814161040"</f>
        <v>1552382814161040</v>
      </c>
      <c r="C1915" t="s">
        <v>40</v>
      </c>
      <c r="D1915">
        <v>3.2362500000000001</v>
      </c>
      <c r="E1915">
        <v>0.49259720000000001</v>
      </c>
      <c r="F1915" t="s">
        <v>49</v>
      </c>
      <c r="G1915">
        <v>-433.66039999999998</v>
      </c>
      <c r="H1915" s="1">
        <v>3.8746019999999998E-6</v>
      </c>
      <c r="I1915">
        <v>284.22329999999999</v>
      </c>
      <c r="J1915">
        <v>-405.06950000000001</v>
      </c>
      <c r="K1915">
        <v>1.1080719999999999</v>
      </c>
      <c r="L1915">
        <v>285.375</v>
      </c>
      <c r="M1915">
        <v>-0.99986949999999997</v>
      </c>
      <c r="N1915">
        <v>0</v>
      </c>
      <c r="O1915">
        <v>5.7120840000000001E-3</v>
      </c>
      <c r="P1915">
        <v>-0.99167059999999996</v>
      </c>
      <c r="Q1915">
        <v>0.12732669999999999</v>
      </c>
      <c r="R1915">
        <v>-1.9430559999999999E-2</v>
      </c>
      <c r="S1915">
        <v>-3.0372309999999998</v>
      </c>
      <c r="T1915">
        <v>-0.11569400000000001</v>
      </c>
      <c r="U1915">
        <v>-0.1199341</v>
      </c>
      <c r="V1915">
        <v>-2.4629390000000001E-2</v>
      </c>
      <c r="W1915">
        <v>0.1423857</v>
      </c>
      <c r="X1915">
        <v>0.98950479999999996</v>
      </c>
      <c r="Y1915">
        <v>-4.5128050000000003E-2</v>
      </c>
      <c r="Z1915">
        <v>-1.076313E-3</v>
      </c>
      <c r="AA1915">
        <v>0.9989806</v>
      </c>
      <c r="AB1915">
        <v>52</v>
      </c>
      <c r="AC1915">
        <v>-28.590899999999898</v>
      </c>
      <c r="AD1915">
        <v>-1.108068125398</v>
      </c>
      <c r="AE1915">
        <v>-1.1516999999999999</v>
      </c>
      <c r="AF1915">
        <v>-1.3130444481013299</v>
      </c>
      <c r="AG1915">
        <v>-1.108068125398</v>
      </c>
      <c r="AH1915">
        <v>28.541054161985802</v>
      </c>
      <c r="AI1915">
        <v>92.220968402059</v>
      </c>
      <c r="AJ1915">
        <v>92.634061653240494</v>
      </c>
      <c r="AK1915">
        <v>28.5927206360399</v>
      </c>
      <c r="AL1915">
        <v>81.8140801483366</v>
      </c>
      <c r="AM1915">
        <v>91.425833186908903</v>
      </c>
      <c r="AN1915">
        <v>1.0000000218196501</v>
      </c>
    </row>
    <row r="1916" spans="1:40" x14ac:dyDescent="0.25">
      <c r="A1916" t="str">
        <f>"20190312172654193"</f>
        <v>20190312172654193</v>
      </c>
      <c r="B1916" t="str">
        <f>"1552382814180560"</f>
        <v>1552382814180560</v>
      </c>
      <c r="C1916" t="s">
        <v>40</v>
      </c>
      <c r="D1916">
        <v>3.231481</v>
      </c>
      <c r="E1916">
        <v>0.49255359999999998</v>
      </c>
      <c r="F1916" t="s">
        <v>49</v>
      </c>
      <c r="G1916">
        <v>-434.53359999999998</v>
      </c>
      <c r="H1916" s="1">
        <v>4.2647859999999901E-6</v>
      </c>
      <c r="I1916">
        <v>284.18939999999998</v>
      </c>
      <c r="J1916">
        <v>-405.60809999999998</v>
      </c>
      <c r="K1916">
        <v>1.108025</v>
      </c>
      <c r="L1916">
        <v>285.37880000000001</v>
      </c>
      <c r="M1916">
        <v>-0.99986209999999998</v>
      </c>
      <c r="N1916">
        <v>0</v>
      </c>
      <c r="O1916">
        <v>6.8618280000000004E-3</v>
      </c>
      <c r="P1916">
        <v>-0.99163539999999994</v>
      </c>
      <c r="Q1916">
        <v>0.12759200000000001</v>
      </c>
      <c r="R1916">
        <v>-1.9481970000000001E-2</v>
      </c>
      <c r="S1916">
        <v>-3.0374759999999998</v>
      </c>
      <c r="T1916">
        <v>-0.1142316</v>
      </c>
      <c r="U1916">
        <v>-0.1222229</v>
      </c>
      <c r="V1916">
        <v>-2.580085E-2</v>
      </c>
      <c r="W1916">
        <v>0.14265890000000001</v>
      </c>
      <c r="X1916">
        <v>0.98943559999999997</v>
      </c>
      <c r="Y1916">
        <v>-4.7023870000000002E-2</v>
      </c>
      <c r="Z1916">
        <v>-1.1414509999999999E-3</v>
      </c>
      <c r="AA1916">
        <v>0.99889309999999998</v>
      </c>
      <c r="AB1916">
        <v>52</v>
      </c>
      <c r="AC1916">
        <v>-28.9255</v>
      </c>
      <c r="AD1916">
        <v>-1.1080207352139999</v>
      </c>
      <c r="AE1916">
        <v>-1.18940000000003</v>
      </c>
      <c r="AF1916">
        <v>-1.3858464070563801</v>
      </c>
      <c r="AG1916">
        <v>-1.1080207352139999</v>
      </c>
      <c r="AH1916">
        <v>28.874359166049199</v>
      </c>
      <c r="AI1916">
        <v>92.195057867104595</v>
      </c>
      <c r="AJ1916">
        <v>92.747845001283494</v>
      </c>
      <c r="AK1916">
        <v>28.928824681684201</v>
      </c>
      <c r="AL1916">
        <v>81.7982655344384</v>
      </c>
      <c r="AM1916">
        <v>91.493725195488096</v>
      </c>
      <c r="AN1916">
        <v>1.0000000260786399</v>
      </c>
    </row>
    <row r="1917" spans="1:40" x14ac:dyDescent="0.25">
      <c r="A1917" t="str">
        <f>"20190312172654215"</f>
        <v>20190312172654215</v>
      </c>
      <c r="B1917" t="str">
        <f>"1552382814210345"</f>
        <v>1552382814210345</v>
      </c>
      <c r="C1917" t="s">
        <v>40</v>
      </c>
      <c r="D1917">
        <v>3.2840600000000002</v>
      </c>
      <c r="E1917">
        <v>0.49253550000000001</v>
      </c>
      <c r="F1917" t="s">
        <v>49</v>
      </c>
      <c r="G1917">
        <v>-434.9126</v>
      </c>
      <c r="H1917" s="1">
        <v>4.4332579999999997E-6</v>
      </c>
      <c r="I1917">
        <v>284.18470000000002</v>
      </c>
      <c r="J1917">
        <v>-406.10629999999998</v>
      </c>
      <c r="K1917">
        <v>1.1079829999999999</v>
      </c>
      <c r="L1917">
        <v>285.38290000000001</v>
      </c>
      <c r="M1917">
        <v>-0.99985400000000002</v>
      </c>
      <c r="N1917">
        <v>0</v>
      </c>
      <c r="O1917">
        <v>7.9721710000000001E-3</v>
      </c>
      <c r="P1917">
        <v>-0.9916431</v>
      </c>
      <c r="Q1917">
        <v>0.12750629999999999</v>
      </c>
      <c r="R1917">
        <v>-1.9656549999999998E-2</v>
      </c>
      <c r="S1917">
        <v>-3.0376590000000001</v>
      </c>
      <c r="T1917">
        <v>-0.1148556</v>
      </c>
      <c r="U1917">
        <v>-0.12377929999999999</v>
      </c>
      <c r="V1917">
        <v>-2.705801E-2</v>
      </c>
      <c r="W1917">
        <v>0.1425806</v>
      </c>
      <c r="X1917">
        <v>0.98941330000000005</v>
      </c>
      <c r="Y1917">
        <v>-4.8639259999999997E-2</v>
      </c>
      <c r="Z1917">
        <v>-1.220074E-3</v>
      </c>
      <c r="AA1917">
        <v>0.99881569999999997</v>
      </c>
      <c r="AB1917">
        <v>52</v>
      </c>
      <c r="AC1917">
        <v>-28.8063</v>
      </c>
      <c r="AD1917">
        <v>-1.1079785667419999</v>
      </c>
      <c r="AE1917">
        <v>-1.1981999999999799</v>
      </c>
      <c r="AF1917">
        <v>-1.42573130279195</v>
      </c>
      <c r="AG1917">
        <v>-1.1079785667419999</v>
      </c>
      <c r="AH1917">
        <v>28.753366559539401</v>
      </c>
      <c r="AI1917">
        <v>92.204031335239407</v>
      </c>
      <c r="AJ1917">
        <v>92.8386775815504</v>
      </c>
      <c r="AK1917">
        <v>28.810005462674901</v>
      </c>
      <c r="AL1917">
        <v>81.802798084556599</v>
      </c>
      <c r="AM1917">
        <v>91.566507608743393</v>
      </c>
      <c r="AN1917">
        <v>1.0000000208091999</v>
      </c>
    </row>
    <row r="1918" spans="1:40" x14ac:dyDescent="0.25">
      <c r="A1918" t="str">
        <f>"20190312172654236"</f>
        <v>20190312172654236</v>
      </c>
      <c r="B1918" t="str">
        <f>"1552382814230841"</f>
        <v>1552382814230841</v>
      </c>
      <c r="C1918" t="s">
        <v>40</v>
      </c>
      <c r="D1918">
        <v>3.2337750000000001</v>
      </c>
      <c r="E1918">
        <v>0.49262479999999997</v>
      </c>
      <c r="F1918" t="s">
        <v>49</v>
      </c>
      <c r="G1918">
        <v>-434.78739999999999</v>
      </c>
      <c r="H1918" s="1">
        <v>4.376619E-6</v>
      </c>
      <c r="I1918">
        <v>284.19760000000002</v>
      </c>
      <c r="J1918">
        <v>-406.62610000000001</v>
      </c>
      <c r="K1918">
        <v>1.1079300000000001</v>
      </c>
      <c r="L1918">
        <v>285.38780000000003</v>
      </c>
      <c r="M1918">
        <v>-0.9998435</v>
      </c>
      <c r="N1918">
        <v>0</v>
      </c>
      <c r="O1918">
        <v>9.1779449999999999E-3</v>
      </c>
      <c r="P1918">
        <v>-0.99158599999999997</v>
      </c>
      <c r="Q1918">
        <v>0.12796959999999999</v>
      </c>
      <c r="R1918">
        <v>-1.9521710000000001E-2</v>
      </c>
      <c r="S1918">
        <v>-3.037903</v>
      </c>
      <c r="T1918">
        <v>-0.11735710000000001</v>
      </c>
      <c r="U1918">
        <v>-0.1255493</v>
      </c>
      <c r="V1918">
        <v>-2.809826E-2</v>
      </c>
      <c r="W1918">
        <v>0.1430497</v>
      </c>
      <c r="X1918">
        <v>0.98931659999999999</v>
      </c>
      <c r="Y1918">
        <v>-5.0417440000000001E-2</v>
      </c>
      <c r="Z1918">
        <v>-1.3273829999999999E-3</v>
      </c>
      <c r="AA1918">
        <v>0.99872729999999998</v>
      </c>
      <c r="AB1918">
        <v>52</v>
      </c>
      <c r="AC1918">
        <v>-28.161299999999901</v>
      </c>
      <c r="AD1918">
        <v>-1.10792562338099</v>
      </c>
      <c r="AE1918">
        <v>-1.1901999999999999</v>
      </c>
      <c r="AF1918">
        <v>-1.4464075247196599</v>
      </c>
      <c r="AG1918">
        <v>-1.10792562338099</v>
      </c>
      <c r="AH1918">
        <v>28.1057641516785</v>
      </c>
      <c r="AI1918">
        <v>92.254443161776607</v>
      </c>
      <c r="AJ1918">
        <v>92.946014942510203</v>
      </c>
      <c r="AK1918">
        <v>28.164757631911002</v>
      </c>
      <c r="AL1918">
        <v>81.775642363077097</v>
      </c>
      <c r="AM1918">
        <v>91.626859427520799</v>
      </c>
      <c r="AN1918">
        <v>1.0000000319603299</v>
      </c>
    </row>
    <row r="1919" spans="1:40" x14ac:dyDescent="0.25">
      <c r="A1919" t="str">
        <f>"20190312172654259"</f>
        <v>20190312172654259</v>
      </c>
      <c r="B1919" t="str">
        <f>"1552382814250365"</f>
        <v>1552382814250365</v>
      </c>
      <c r="C1919" t="s">
        <v>40</v>
      </c>
      <c r="D1919">
        <v>3.272777</v>
      </c>
      <c r="E1919">
        <v>0.49269049999999998</v>
      </c>
      <c r="F1919" t="s">
        <v>49</v>
      </c>
      <c r="G1919">
        <v>-435.31490000000002</v>
      </c>
      <c r="H1919" s="1">
        <v>4.6106210000000003E-6</v>
      </c>
      <c r="I1919">
        <v>284.19650000000001</v>
      </c>
      <c r="J1919">
        <v>-407.13060000000002</v>
      </c>
      <c r="K1919">
        <v>1.107888</v>
      </c>
      <c r="L1919">
        <v>285.39319999999998</v>
      </c>
      <c r="M1919">
        <v>-0.99983169999999999</v>
      </c>
      <c r="N1919">
        <v>0</v>
      </c>
      <c r="O1919">
        <v>1.0385729999999999E-2</v>
      </c>
      <c r="P1919">
        <v>-0.99156180000000005</v>
      </c>
      <c r="Q1919">
        <v>0.12821440000000001</v>
      </c>
      <c r="R1919">
        <v>-1.914159E-2</v>
      </c>
      <c r="S1919">
        <v>-3.038116</v>
      </c>
      <c r="T1919">
        <v>-0.11732819999999999</v>
      </c>
      <c r="U1919">
        <v>-0.12615970000000001</v>
      </c>
      <c r="V1919">
        <v>-2.889773E-2</v>
      </c>
      <c r="W1919">
        <v>0.14329979999999901</v>
      </c>
      <c r="X1919">
        <v>0.98925730000000001</v>
      </c>
      <c r="Y1919">
        <v>-5.1819299999999999E-2</v>
      </c>
      <c r="Z1919">
        <v>-1.400618E-3</v>
      </c>
      <c r="AA1919">
        <v>0.99865550000000003</v>
      </c>
      <c r="AB1919">
        <v>52</v>
      </c>
      <c r="AC1919">
        <v>-28.1843</v>
      </c>
      <c r="AD1919">
        <v>-1.1078833893790001</v>
      </c>
      <c r="AE1919">
        <v>-1.1966999999999599</v>
      </c>
      <c r="AF1919">
        <v>-1.4870897950200199</v>
      </c>
      <c r="AG1919">
        <v>-1.1078833893790001</v>
      </c>
      <c r="AH1919">
        <v>28.126967092674501</v>
      </c>
      <c r="AI1919">
        <v>92.252494875266507</v>
      </c>
      <c r="AJ1919">
        <v>93.026444741506097</v>
      </c>
      <c r="AK1919">
        <v>28.1880314937973</v>
      </c>
      <c r="AL1919">
        <v>81.761162910570604</v>
      </c>
      <c r="AM1919">
        <v>91.673222182247898</v>
      </c>
      <c r="AN1919">
        <v>0.99999995854124002</v>
      </c>
    </row>
    <row r="1920" spans="1:40" x14ac:dyDescent="0.25">
      <c r="A1920" t="str">
        <f>"20190312172654280"</f>
        <v>20190312172654280</v>
      </c>
      <c r="B1920" t="str">
        <f>"1552382814270857"</f>
        <v>1552382814270857</v>
      </c>
      <c r="C1920" t="s">
        <v>40</v>
      </c>
      <c r="D1920">
        <v>3.2889349999999999</v>
      </c>
      <c r="E1920">
        <v>0.49273329999999999</v>
      </c>
      <c r="F1920" t="s">
        <v>49</v>
      </c>
      <c r="G1920">
        <v>-435.77190000000002</v>
      </c>
      <c r="H1920" s="1">
        <v>4.8120790000000001E-6</v>
      </c>
      <c r="I1920">
        <v>284.21050000000002</v>
      </c>
      <c r="J1920">
        <v>-407.64100000000002</v>
      </c>
      <c r="K1920">
        <v>1.107845</v>
      </c>
      <c r="L1920">
        <v>285.39929999999998</v>
      </c>
      <c r="M1920">
        <v>-0.99981810000000004</v>
      </c>
      <c r="N1920">
        <v>0</v>
      </c>
      <c r="O1920">
        <v>1.163666E-2</v>
      </c>
      <c r="P1920">
        <v>-0.99148999999999998</v>
      </c>
      <c r="Q1920">
        <v>0.12887489999999999</v>
      </c>
      <c r="R1920">
        <v>-1.8417639999999999E-2</v>
      </c>
      <c r="S1920">
        <v>-3.0382690000000001</v>
      </c>
      <c r="T1920">
        <v>-0.11752410000000001</v>
      </c>
      <c r="U1920">
        <v>-0.12545780000000001</v>
      </c>
      <c r="V1920">
        <v>-2.9395359999999999E-2</v>
      </c>
      <c r="W1920">
        <v>0.1439628</v>
      </c>
      <c r="X1920">
        <v>0.98914639999999998</v>
      </c>
      <c r="Y1920">
        <v>-5.2834489999999998E-2</v>
      </c>
      <c r="Z1920">
        <v>-1.470868E-3</v>
      </c>
      <c r="AA1920">
        <v>0.9986022</v>
      </c>
      <c r="AB1920">
        <v>52</v>
      </c>
      <c r="AC1920">
        <v>-28.1309</v>
      </c>
      <c r="AD1920">
        <v>-1.107840187921</v>
      </c>
      <c r="AE1920">
        <v>-1.1887999999999499</v>
      </c>
      <c r="AF1920">
        <v>-1.5137630641665001</v>
      </c>
      <c r="AG1920">
        <v>-1.107840187921</v>
      </c>
      <c r="AH1920">
        <v>28.0717005237452</v>
      </c>
      <c r="AI1920">
        <v>92.256710454437695</v>
      </c>
      <c r="AJ1920">
        <v>93.086678404801901</v>
      </c>
      <c r="AK1920">
        <v>28.1343057279053</v>
      </c>
      <c r="AL1920">
        <v>81.722778045447598</v>
      </c>
      <c r="AM1920">
        <v>91.702209618666004</v>
      </c>
      <c r="AN1920">
        <v>0.99999998780316401</v>
      </c>
    </row>
    <row r="1921" spans="1:40" x14ac:dyDescent="0.25">
      <c r="A1921" t="str">
        <f>"20190312172654303"</f>
        <v>20190312172654303</v>
      </c>
      <c r="B1921" t="str">
        <f>"1552382814290378"</f>
        <v>1552382814290378</v>
      </c>
      <c r="C1921" t="s">
        <v>40</v>
      </c>
      <c r="D1921">
        <v>3.2937099999999999</v>
      </c>
      <c r="E1921">
        <v>0.49280790000000002</v>
      </c>
      <c r="F1921" t="s">
        <v>49</v>
      </c>
      <c r="G1921">
        <v>-436.57819999999998</v>
      </c>
      <c r="H1921" s="1">
        <v>5.1685499999999998E-6</v>
      </c>
      <c r="I1921">
        <v>284.22280000000001</v>
      </c>
      <c r="J1921">
        <v>-408.15359999999998</v>
      </c>
      <c r="K1921">
        <v>1.107823</v>
      </c>
      <c r="L1921">
        <v>285.40600000000001</v>
      </c>
      <c r="M1921">
        <v>-0.99980230000000003</v>
      </c>
      <c r="N1921">
        <v>0</v>
      </c>
      <c r="O1921">
        <v>1.2914510000000001E-2</v>
      </c>
      <c r="P1921">
        <v>-0.99131820000000004</v>
      </c>
      <c r="Q1921">
        <v>0.13026489999999999</v>
      </c>
      <c r="R1921">
        <v>-1.7870090000000002E-2</v>
      </c>
      <c r="S1921">
        <v>-3.038605</v>
      </c>
      <c r="T1921">
        <v>-0.1163309</v>
      </c>
      <c r="U1921">
        <v>-0.123535199999999</v>
      </c>
      <c r="V1921">
        <v>-3.0092890000000001E-2</v>
      </c>
      <c r="W1921">
        <v>0.14535419999999999</v>
      </c>
      <c r="X1921">
        <v>0.98892190000000002</v>
      </c>
      <c r="Y1921">
        <v>-5.3475040000000001E-2</v>
      </c>
      <c r="Z1921">
        <v>-1.516947E-3</v>
      </c>
      <c r="AA1921">
        <v>0.99856809999999996</v>
      </c>
      <c r="AB1921">
        <v>52</v>
      </c>
      <c r="AC1921">
        <v>-28.424600000000002</v>
      </c>
      <c r="AD1921">
        <v>-1.10781783145</v>
      </c>
      <c r="AE1921">
        <v>-1.18319999999999</v>
      </c>
      <c r="AF1921">
        <v>-1.54788592693261</v>
      </c>
      <c r="AG1921">
        <v>-1.10781783145</v>
      </c>
      <c r="AH1921">
        <v>28.363937445667599</v>
      </c>
      <c r="AI1921">
        <v>92.233359815255795</v>
      </c>
      <c r="AJ1921">
        <v>93.123665284113898</v>
      </c>
      <c r="AK1921">
        <v>28.427735727845398</v>
      </c>
      <c r="AL1921">
        <v>81.642209129559305</v>
      </c>
      <c r="AM1921">
        <v>91.7429725167692</v>
      </c>
      <c r="AN1921">
        <v>0.99999997489290005</v>
      </c>
    </row>
    <row r="1922" spans="1:40" x14ac:dyDescent="0.25">
      <c r="A1922" t="str">
        <f>"20190312172654325"</f>
        <v>20190312172654325</v>
      </c>
      <c r="B1922" t="str">
        <f>"1552382814320633"</f>
        <v>1552382814320633</v>
      </c>
      <c r="C1922" t="s">
        <v>40</v>
      </c>
      <c r="D1922">
        <v>3.2960799999999999</v>
      </c>
      <c r="E1922">
        <v>0.49284070000000002</v>
      </c>
      <c r="F1922" t="s">
        <v>49</v>
      </c>
      <c r="G1922">
        <v>-437.84730000000002</v>
      </c>
      <c r="H1922" s="1">
        <v>5.7318970000000003E-6</v>
      </c>
      <c r="I1922">
        <v>284.21660000000003</v>
      </c>
      <c r="J1922">
        <v>-408.66809999999998</v>
      </c>
      <c r="K1922">
        <v>1.1077999999999999</v>
      </c>
      <c r="L1922">
        <v>285.41340000000002</v>
      </c>
      <c r="M1922">
        <v>-0.99978480000000003</v>
      </c>
      <c r="N1922">
        <v>0</v>
      </c>
      <c r="O1922">
        <v>1.4211659999999999E-2</v>
      </c>
      <c r="P1922">
        <v>-0.99110600000000004</v>
      </c>
      <c r="Q1922">
        <v>0.13189110000000001</v>
      </c>
      <c r="R1922">
        <v>-1.7702349999999999E-2</v>
      </c>
      <c r="S1922">
        <v>-3.0390009999999998</v>
      </c>
      <c r="T1922">
        <v>-0.1133796</v>
      </c>
      <c r="U1922">
        <v>-0.1217346</v>
      </c>
      <c r="V1922">
        <v>-3.1190140000000002E-2</v>
      </c>
      <c r="W1922">
        <v>0.14698169999999999</v>
      </c>
      <c r="X1922">
        <v>0.98864730000000001</v>
      </c>
      <c r="Y1922">
        <v>-5.4175679999999997E-2</v>
      </c>
      <c r="Z1922">
        <v>-1.5397410000000001E-3</v>
      </c>
      <c r="AA1922">
        <v>0.99853020000000003</v>
      </c>
      <c r="AB1922">
        <v>52</v>
      </c>
      <c r="AC1922">
        <v>-29.179200000000002</v>
      </c>
      <c r="AD1922">
        <v>-1.107794268103</v>
      </c>
      <c r="AE1922">
        <v>-1.1967999999999901</v>
      </c>
      <c r="AF1922">
        <v>-1.6090959515294301</v>
      </c>
      <c r="AG1922">
        <v>-1.107794268103</v>
      </c>
      <c r="AH1922">
        <v>29.117344046017202</v>
      </c>
      <c r="AI1922">
        <v>92.175499899053406</v>
      </c>
      <c r="AJ1922">
        <v>93.163088167372507</v>
      </c>
      <c r="AK1922">
        <v>29.182805249252599</v>
      </c>
      <c r="AL1922">
        <v>81.547947759289499</v>
      </c>
      <c r="AM1922">
        <v>91.806985011810596</v>
      </c>
      <c r="AN1922">
        <v>0.999999964382699</v>
      </c>
    </row>
    <row r="1923" spans="1:40" x14ac:dyDescent="0.25">
      <c r="A1923" t="str">
        <f>"20190312172654348"</f>
        <v>20190312172654348</v>
      </c>
      <c r="B1923" t="str">
        <f>"1552382814341129"</f>
        <v>1552382814341129</v>
      </c>
      <c r="C1923" t="s">
        <v>40</v>
      </c>
      <c r="D1923">
        <v>3.2829290000000002</v>
      </c>
      <c r="E1923">
        <v>0.49289559999999999</v>
      </c>
      <c r="F1923" t="s">
        <v>49</v>
      </c>
      <c r="G1923">
        <v>-439.2441</v>
      </c>
      <c r="H1923" s="1">
        <v>6.3530099999999897E-6</v>
      </c>
      <c r="I1923">
        <v>284.19709999999998</v>
      </c>
      <c r="J1923">
        <v>-409.1902</v>
      </c>
      <c r="K1923">
        <v>1.1077840000000001</v>
      </c>
      <c r="L1923">
        <v>285.42169999999999</v>
      </c>
      <c r="M1923">
        <v>-0.99976509999999996</v>
      </c>
      <c r="N1923">
        <v>0</v>
      </c>
      <c r="O1923">
        <v>1.553742E-2</v>
      </c>
      <c r="P1923">
        <v>-0.99085480000000004</v>
      </c>
      <c r="Q1923">
        <v>0.13379949999999999</v>
      </c>
      <c r="R1923">
        <v>-1.7454589999999999E-2</v>
      </c>
      <c r="S1923">
        <v>-3.0394589999999999</v>
      </c>
      <c r="T1923">
        <v>-0.1101222</v>
      </c>
      <c r="U1923">
        <v>-0.12091059999999999</v>
      </c>
      <c r="V1923">
        <v>-3.2233980000000002E-2</v>
      </c>
      <c r="W1923">
        <v>0.1488902</v>
      </c>
      <c r="X1923">
        <v>0.98832819999999999</v>
      </c>
      <c r="Y1923">
        <v>-5.5224629999999997E-2</v>
      </c>
      <c r="Z1923">
        <v>-1.5623130000000001E-3</v>
      </c>
      <c r="AA1923">
        <v>0.99847280000000005</v>
      </c>
      <c r="AB1923">
        <v>52</v>
      </c>
      <c r="AC1923">
        <v>-30.053899999999999</v>
      </c>
      <c r="AD1923">
        <v>-1.10777764699</v>
      </c>
      <c r="AE1923">
        <v>-1.2245999999999999</v>
      </c>
      <c r="AF1923">
        <v>-1.6891743572728899</v>
      </c>
      <c r="AG1923">
        <v>-1.10777764699</v>
      </c>
      <c r="AH1923">
        <v>29.990563220219698</v>
      </c>
      <c r="AI1923">
        <v>92.112059066674902</v>
      </c>
      <c r="AJ1923">
        <v>93.223694493086398</v>
      </c>
      <c r="AK1923">
        <v>30.058515658469101</v>
      </c>
      <c r="AL1923">
        <v>81.4373822831257</v>
      </c>
      <c r="AM1923">
        <v>91.868019732809302</v>
      </c>
      <c r="AN1923">
        <v>0.99999997601895896</v>
      </c>
    </row>
    <row r="1924" spans="1:40" x14ac:dyDescent="0.25">
      <c r="A1924" t="str">
        <f>"20190312172654370"</f>
        <v>20190312172654370</v>
      </c>
      <c r="B1924" t="str">
        <f>"1552382814360649"</f>
        <v>1552382814360649</v>
      </c>
      <c r="C1924" t="s">
        <v>40</v>
      </c>
      <c r="D1924">
        <v>3.2821609999999999</v>
      </c>
      <c r="E1924">
        <v>0.49295749999999999</v>
      </c>
      <c r="F1924" t="s">
        <v>48</v>
      </c>
      <c r="G1924">
        <v>-441.0052</v>
      </c>
      <c r="H1924" s="1">
        <v>-9.8230360000000004E-7</v>
      </c>
      <c r="I1924">
        <v>284.16930000000002</v>
      </c>
      <c r="J1924">
        <v>-409.71120000000002</v>
      </c>
      <c r="K1924">
        <v>1.1077600000000001</v>
      </c>
      <c r="L1924">
        <v>285.43049999999999</v>
      </c>
      <c r="M1924">
        <v>-0.99974350000000001</v>
      </c>
      <c r="N1924">
        <v>0</v>
      </c>
      <c r="O1924">
        <v>1.686754E-2</v>
      </c>
      <c r="P1924">
        <v>-0.9906587</v>
      </c>
      <c r="Q1924">
        <v>0.13524169999999999</v>
      </c>
      <c r="R1924">
        <v>-1.7467529999999998E-2</v>
      </c>
      <c r="S1924">
        <v>-3.039917</v>
      </c>
      <c r="T1924">
        <v>-0.10584830000000001</v>
      </c>
      <c r="U1924">
        <v>-0.1196594</v>
      </c>
      <c r="V1924">
        <v>-3.354563E-2</v>
      </c>
      <c r="W1924">
        <v>0.15033379999999999</v>
      </c>
      <c r="X1924">
        <v>0.988066</v>
      </c>
      <c r="Y1924">
        <v>-5.613891E-2</v>
      </c>
      <c r="Z1924">
        <v>-1.563699E-3</v>
      </c>
      <c r="AA1924">
        <v>0.99842169999999997</v>
      </c>
      <c r="AB1924">
        <v>51</v>
      </c>
      <c r="AC1924">
        <v>-31.293999999999901</v>
      </c>
      <c r="AD1924">
        <v>-1.1077609823036001</v>
      </c>
      <c r="AE1924">
        <v>-1.2611999999999699</v>
      </c>
      <c r="AF1924">
        <v>-1.7866984249109299</v>
      </c>
      <c r="AG1924">
        <v>-1.1077609823036001</v>
      </c>
      <c r="AH1924">
        <v>31.2292026673592</v>
      </c>
      <c r="AI1924">
        <v>92.028227760901999</v>
      </c>
      <c r="AJ1924">
        <v>93.274460896433496</v>
      </c>
      <c r="AK1924">
        <v>31.2998805891411</v>
      </c>
      <c r="AL1924">
        <v>81.353728671589806</v>
      </c>
      <c r="AM1924">
        <v>91.944490603681203</v>
      </c>
      <c r="AN1924">
        <v>0.999999990535268</v>
      </c>
    </row>
    <row r="1925" spans="1:40" x14ac:dyDescent="0.25">
      <c r="A1925" t="str">
        <f>"20190312172654392"</f>
        <v>20190312172654392</v>
      </c>
      <c r="B1925" t="str">
        <f>"1552382814381145"</f>
        <v>1552382814381145</v>
      </c>
      <c r="C1925" t="s">
        <v>40</v>
      </c>
      <c r="D1925">
        <v>3.2906970000000002</v>
      </c>
      <c r="E1925">
        <v>0.49301929999999999</v>
      </c>
      <c r="F1925" t="s">
        <v>48</v>
      </c>
      <c r="G1925">
        <v>-442.4785</v>
      </c>
      <c r="H1925" s="1">
        <v>-1.9702319999999999E-7</v>
      </c>
      <c r="I1925">
        <v>284.13990000000001</v>
      </c>
      <c r="J1925">
        <v>-410.21109999999999</v>
      </c>
      <c r="K1925">
        <v>1.1077490000000001</v>
      </c>
      <c r="L1925">
        <v>285.43979999999999</v>
      </c>
      <c r="M1925">
        <v>-0.99972119999999998</v>
      </c>
      <c r="N1925">
        <v>0</v>
      </c>
      <c r="O1925">
        <v>1.814611E-2</v>
      </c>
      <c r="P1925">
        <v>-0.99039290000000002</v>
      </c>
      <c r="Q1925">
        <v>0.13719619999999999</v>
      </c>
      <c r="R1925">
        <v>-1.7305959999999999E-2</v>
      </c>
      <c r="S1925">
        <v>-3.0401919999999998</v>
      </c>
      <c r="T1925">
        <v>-0.1027795</v>
      </c>
      <c r="U1925">
        <v>-0.119751</v>
      </c>
      <c r="V1925">
        <v>-3.4629600000000003E-2</v>
      </c>
      <c r="W1925">
        <v>0.15228749999999999</v>
      </c>
      <c r="X1925">
        <v>0.98772939999999998</v>
      </c>
      <c r="Y1925">
        <v>-5.7443279999999999E-2</v>
      </c>
      <c r="Z1925">
        <v>-1.5834880000000001E-3</v>
      </c>
      <c r="AA1925">
        <v>0.99834750000000005</v>
      </c>
      <c r="AB1925">
        <v>51</v>
      </c>
      <c r="AC1925">
        <v>-32.267400000000002</v>
      </c>
      <c r="AD1925">
        <v>-1.1077491970231901</v>
      </c>
      <c r="AE1925">
        <v>-1.2998999999999701</v>
      </c>
      <c r="AF1925">
        <v>-1.8830648135475301</v>
      </c>
      <c r="AG1925">
        <v>-1.1077491970231901</v>
      </c>
      <c r="AH1925">
        <v>32.200605863707899</v>
      </c>
      <c r="AI1925">
        <v>91.966926104353703</v>
      </c>
      <c r="AJ1925">
        <v>93.346798155543993</v>
      </c>
      <c r="AK1925">
        <v>32.274634922263502</v>
      </c>
      <c r="AL1925">
        <v>81.240486386515499</v>
      </c>
      <c r="AM1925">
        <v>92.007956397540696</v>
      </c>
      <c r="AN1925">
        <v>1.00000002973838</v>
      </c>
    </row>
    <row r="1926" spans="1:40" x14ac:dyDescent="0.25">
      <c r="A1926" t="str">
        <f>"20190312172654416"</f>
        <v>20190312172654416</v>
      </c>
      <c r="B1926" t="str">
        <f>"1552382814410425"</f>
        <v>1552382814410425</v>
      </c>
      <c r="C1926" t="s">
        <v>40</v>
      </c>
      <c r="D1926">
        <v>3.3150719999999998</v>
      </c>
      <c r="E1926">
        <v>0.4930078</v>
      </c>
      <c r="F1926" t="s">
        <v>48</v>
      </c>
      <c r="G1926">
        <v>-444.51429999999999</v>
      </c>
      <c r="H1926" s="1">
        <v>8.8862759999999895E-7</v>
      </c>
      <c r="I1926">
        <v>284.08769999999998</v>
      </c>
      <c r="J1926">
        <v>-410.7484</v>
      </c>
      <c r="K1926">
        <v>1.1077269999999999</v>
      </c>
      <c r="L1926">
        <v>285.4504</v>
      </c>
      <c r="M1926">
        <v>-0.99969529999999995</v>
      </c>
      <c r="N1926">
        <v>0</v>
      </c>
      <c r="O1926">
        <v>1.952282E-2</v>
      </c>
      <c r="P1926">
        <v>-0.99021110000000001</v>
      </c>
      <c r="Q1926">
        <v>0.13848089999999999</v>
      </c>
      <c r="R1926">
        <v>-1.747423E-2</v>
      </c>
      <c r="S1926">
        <v>-3.0406490000000002</v>
      </c>
      <c r="T1926">
        <v>-9.8191020000000004E-2</v>
      </c>
      <c r="U1926">
        <v>-0.1198425</v>
      </c>
      <c r="V1926">
        <v>-3.6144969999999998E-2</v>
      </c>
      <c r="W1926">
        <v>0.1535745</v>
      </c>
      <c r="X1926">
        <v>0.98747580000000001</v>
      </c>
      <c r="Y1926">
        <v>-5.8844489999999999E-2</v>
      </c>
      <c r="Z1926">
        <v>-1.5796499999999999E-3</v>
      </c>
      <c r="AA1926">
        <v>0.99826590000000004</v>
      </c>
      <c r="AB1926">
        <v>51</v>
      </c>
      <c r="AC1926">
        <v>-33.765899999999903</v>
      </c>
      <c r="AD1926">
        <v>-1.1077261113724</v>
      </c>
      <c r="AE1926">
        <v>-1.36270000000001</v>
      </c>
      <c r="AF1926">
        <v>-2.0195510486422599</v>
      </c>
      <c r="AG1926">
        <v>-1.1077261113724</v>
      </c>
      <c r="AH1926">
        <v>33.6966497310911</v>
      </c>
      <c r="AI1926">
        <v>91.879463504409799</v>
      </c>
      <c r="AJ1926">
        <v>93.429821802641598</v>
      </c>
      <c r="AK1926">
        <v>33.775284553586403</v>
      </c>
      <c r="AL1926">
        <v>81.165868900546698</v>
      </c>
      <c r="AM1926">
        <v>92.096284364856302</v>
      </c>
      <c r="AN1926">
        <v>1.00000002074609</v>
      </c>
    </row>
    <row r="1927" spans="1:40" x14ac:dyDescent="0.25">
      <c r="A1927" t="str">
        <f>"20190312172654438"</f>
        <v>20190312172654438</v>
      </c>
      <c r="B1927" t="str">
        <f>"1552382814430921"</f>
        <v>1552382814430921</v>
      </c>
      <c r="C1927" t="s">
        <v>40</v>
      </c>
      <c r="D1927">
        <v>3.3379889999999999</v>
      </c>
      <c r="E1927">
        <v>0.49298579999999997</v>
      </c>
      <c r="F1927" t="s">
        <v>48</v>
      </c>
      <c r="G1927">
        <v>-445.81389999999999</v>
      </c>
      <c r="H1927" s="1">
        <v>1.5819409999999999E-6</v>
      </c>
      <c r="I1927">
        <v>284.048</v>
      </c>
      <c r="J1927">
        <v>-411.26170000000002</v>
      </c>
      <c r="K1927">
        <v>1.10771</v>
      </c>
      <c r="L1927">
        <v>285.46120000000002</v>
      </c>
      <c r="M1927">
        <v>-0.99966869999999997</v>
      </c>
      <c r="N1927">
        <v>0</v>
      </c>
      <c r="O1927">
        <v>2.083892E-2</v>
      </c>
      <c r="P1927">
        <v>-0.99016329999999997</v>
      </c>
      <c r="Q1927">
        <v>0.13878279999999901</v>
      </c>
      <c r="R1927">
        <v>-1.7784790000000002E-2</v>
      </c>
      <c r="S1927">
        <v>-3.040924</v>
      </c>
      <c r="T1927">
        <v>-9.6063259999999998E-2</v>
      </c>
      <c r="U1927">
        <v>-0.1216125</v>
      </c>
      <c r="V1927">
        <v>-3.775063E-2</v>
      </c>
      <c r="W1927">
        <v>0.15388070000000001</v>
      </c>
      <c r="X1927">
        <v>0.98736800000000002</v>
      </c>
      <c r="Y1927">
        <v>-6.0735369999999997E-2</v>
      </c>
      <c r="Z1927">
        <v>-1.6166829999999901E-3</v>
      </c>
      <c r="AA1927">
        <v>0.99815259999999995</v>
      </c>
      <c r="AB1927">
        <v>51</v>
      </c>
      <c r="AC1927">
        <v>-34.5521999999999</v>
      </c>
      <c r="AD1927">
        <v>-1.107708418059</v>
      </c>
      <c r="AE1927">
        <v>-1.41320000000001</v>
      </c>
      <c r="AF1927">
        <v>-2.1308194071240298</v>
      </c>
      <c r="AG1927">
        <v>-1.107708418059</v>
      </c>
      <c r="AH1927">
        <v>34.479863742250402</v>
      </c>
      <c r="AI1927">
        <v>91.836563892110107</v>
      </c>
      <c r="AJ1927">
        <v>93.536321774040005</v>
      </c>
      <c r="AK1927">
        <v>34.563397011424797</v>
      </c>
      <c r="AL1927">
        <v>81.148113463844794</v>
      </c>
      <c r="AM1927">
        <v>92.1895572434766</v>
      </c>
      <c r="AN1927">
        <v>0.99999997366094295</v>
      </c>
    </row>
    <row r="1928" spans="1:40" x14ac:dyDescent="0.25">
      <c r="A1928" t="str">
        <f>"20190312172654460"</f>
        <v>20190312172654460</v>
      </c>
      <c r="B1928" t="str">
        <f>"1552382814450442"</f>
        <v>1552382814450442</v>
      </c>
      <c r="C1928" t="s">
        <v>40</v>
      </c>
      <c r="D1928">
        <v>3.275652</v>
      </c>
      <c r="E1928">
        <v>0.49298900000000001</v>
      </c>
      <c r="F1928" t="s">
        <v>48</v>
      </c>
      <c r="G1928">
        <v>-446.20240000000001</v>
      </c>
      <c r="H1928" s="1">
        <v>1.789201E-6</v>
      </c>
      <c r="I1928">
        <v>284.03519999999997</v>
      </c>
      <c r="J1928">
        <v>-411.75889999999998</v>
      </c>
      <c r="K1928">
        <v>1.1076950000000001</v>
      </c>
      <c r="L1928">
        <v>285.47230000000002</v>
      </c>
      <c r="M1928">
        <v>-0.99964140000000001</v>
      </c>
      <c r="N1928">
        <v>0</v>
      </c>
      <c r="O1928">
        <v>2.2115760000000002E-2</v>
      </c>
      <c r="P1928">
        <v>-0.99011800000000005</v>
      </c>
      <c r="Q1928">
        <v>0.1390072</v>
      </c>
      <c r="R1928">
        <v>-1.853144E-2</v>
      </c>
      <c r="S1928">
        <v>-3.041077</v>
      </c>
      <c r="T1928">
        <v>-9.6409919999999996E-2</v>
      </c>
      <c r="U1928">
        <v>-0.124115</v>
      </c>
      <c r="V1928">
        <v>-3.9754310000000001E-2</v>
      </c>
      <c r="W1928">
        <v>0.1541111</v>
      </c>
      <c r="X1928">
        <v>0.98725339999999995</v>
      </c>
      <c r="Y1928">
        <v>-6.2826209999999993E-2</v>
      </c>
      <c r="Z1928">
        <v>-1.6959869999999999E-3</v>
      </c>
      <c r="AA1928">
        <v>0.99802299999999999</v>
      </c>
      <c r="AB1928">
        <v>51</v>
      </c>
      <c r="AC1928">
        <v>-34.4435</v>
      </c>
      <c r="AD1928">
        <v>-1.1076932107990001</v>
      </c>
      <c r="AE1928">
        <v>-1.43710000000004</v>
      </c>
      <c r="AF1928">
        <v>-2.1963118665661501</v>
      </c>
      <c r="AG1928">
        <v>-1.1076932107990001</v>
      </c>
      <c r="AH1928">
        <v>34.367804549043903</v>
      </c>
      <c r="AI1928">
        <v>91.842279890639603</v>
      </c>
      <c r="AJ1928">
        <v>93.656576606860298</v>
      </c>
      <c r="AK1928">
        <v>34.455721724929099</v>
      </c>
      <c r="AL1928">
        <v>81.134752989839598</v>
      </c>
      <c r="AM1928">
        <v>92.305916867013394</v>
      </c>
      <c r="AN1928">
        <v>0.99999995605917202</v>
      </c>
    </row>
    <row r="1929" spans="1:40" x14ac:dyDescent="0.25">
      <c r="A1929" t="str">
        <f>"20190312172654481"</f>
        <v>20190312172654481</v>
      </c>
      <c r="B1929" t="str">
        <f>"1552382814470938"</f>
        <v>1552382814470938</v>
      </c>
      <c r="C1929" t="s">
        <v>40</v>
      </c>
      <c r="D1929">
        <v>3.3117640000000002</v>
      </c>
      <c r="E1929">
        <v>0.49362699999999998</v>
      </c>
      <c r="F1929" t="s">
        <v>48</v>
      </c>
      <c r="G1929">
        <v>-446.7629</v>
      </c>
      <c r="H1929" s="1">
        <v>2.0885769999999998E-6</v>
      </c>
      <c r="I1929">
        <v>284.01069999999999</v>
      </c>
      <c r="J1929">
        <v>-412.25700000000001</v>
      </c>
      <c r="K1929">
        <v>1.107685</v>
      </c>
      <c r="L1929">
        <v>285.48410000000001</v>
      </c>
      <c r="M1929">
        <v>-0.99961219999999995</v>
      </c>
      <c r="N1929">
        <v>0</v>
      </c>
      <c r="O1929">
        <v>2.339745E-2</v>
      </c>
      <c r="P1929">
        <v>-0.99017869999999997</v>
      </c>
      <c r="Q1929">
        <v>0.13841339999999999</v>
      </c>
      <c r="R1929">
        <v>-1.9693140000000001E-2</v>
      </c>
      <c r="S1929">
        <v>-3.0410460000000001</v>
      </c>
      <c r="T1929">
        <v>-9.6233009999999994E-2</v>
      </c>
      <c r="U1929">
        <v>-0.1269836</v>
      </c>
      <c r="V1929">
        <v>-4.2184840000000001E-2</v>
      </c>
      <c r="W1929">
        <v>0.15352550000000001</v>
      </c>
      <c r="X1929">
        <v>0.9872438</v>
      </c>
      <c r="Y1929">
        <v>-6.5044329999999997E-2</v>
      </c>
      <c r="Z1929">
        <v>-1.768471E-3</v>
      </c>
      <c r="AA1929">
        <v>0.99788080000000001</v>
      </c>
      <c r="AB1929">
        <v>51</v>
      </c>
      <c r="AC1929">
        <v>-34.505899999999997</v>
      </c>
      <c r="AD1929">
        <v>-1.107682911423</v>
      </c>
      <c r="AE1929">
        <v>-1.47340000000002</v>
      </c>
      <c r="AF1929">
        <v>-2.27809539619324</v>
      </c>
      <c r="AG1929">
        <v>-1.107682911423</v>
      </c>
      <c r="AH1929">
        <v>34.426562156276198</v>
      </c>
      <c r="AI1929">
        <v>91.8388508851599</v>
      </c>
      <c r="AJ1929">
        <v>93.785891680074101</v>
      </c>
      <c r="AK1929">
        <v>34.5196300960245</v>
      </c>
      <c r="AL1929">
        <v>81.168709727236703</v>
      </c>
      <c r="AM1929">
        <v>92.446755168337504</v>
      </c>
      <c r="AN1929">
        <v>0.999999980257257</v>
      </c>
    </row>
    <row r="1930" spans="1:40" x14ac:dyDescent="0.25">
      <c r="A1930" t="str">
        <f>"20190312172654593"</f>
        <v>20190312172654593</v>
      </c>
      <c r="B1930" t="str">
        <f>"1552382814590986"</f>
        <v>1552382814590986</v>
      </c>
      <c r="C1930" t="s">
        <v>40</v>
      </c>
      <c r="D1930">
        <v>3.3762889999999999</v>
      </c>
      <c r="E1930">
        <v>0.49729499999999999</v>
      </c>
      <c r="F1930" t="s">
        <v>49</v>
      </c>
      <c r="G1930">
        <v>-433.46019999999999</v>
      </c>
      <c r="H1930" s="1">
        <v>3.7530389999999999E-6</v>
      </c>
      <c r="I1930">
        <v>284.59820000000002</v>
      </c>
      <c r="J1930">
        <v>-414.82029999999997</v>
      </c>
      <c r="K1930">
        <v>1.107712</v>
      </c>
      <c r="L1930">
        <v>285.55489999999998</v>
      </c>
      <c r="M1930">
        <v>-0.99943559999999998</v>
      </c>
      <c r="N1930">
        <v>0</v>
      </c>
      <c r="O1930">
        <v>3.0016569999999999E-2</v>
      </c>
      <c r="P1930">
        <v>-0.98927399999999999</v>
      </c>
      <c r="Q1930">
        <v>0.14464569999999999</v>
      </c>
      <c r="R1930">
        <v>-2.037164E-2</v>
      </c>
      <c r="S1930">
        <v>-3.0495000000000001</v>
      </c>
      <c r="T1930">
        <v>-0.1593096</v>
      </c>
      <c r="U1930">
        <v>-0.12741089999999999</v>
      </c>
      <c r="V1930">
        <v>-4.935088E-2</v>
      </c>
      <c r="W1930">
        <v>0.1597594</v>
      </c>
      <c r="X1930">
        <v>0.98592159999999995</v>
      </c>
      <c r="Y1930">
        <v>-7.158117E-2</v>
      </c>
      <c r="Z1930">
        <v>-3.434257E-3</v>
      </c>
      <c r="AA1930">
        <v>0.99742889999999995</v>
      </c>
      <c r="AB1930">
        <v>51</v>
      </c>
      <c r="AC1930">
        <v>-18.639900000000001</v>
      </c>
      <c r="AD1930">
        <v>-1.107708246961</v>
      </c>
      <c r="AE1930">
        <v>-0.95669999999995503</v>
      </c>
      <c r="AF1930">
        <v>-1.51051789566533</v>
      </c>
      <c r="AG1930">
        <v>-1.107708246961</v>
      </c>
      <c r="AH1930">
        <v>18.537485062878201</v>
      </c>
      <c r="AI1930">
        <v>93.408375737506802</v>
      </c>
      <c r="AJ1930">
        <v>94.658426513177204</v>
      </c>
      <c r="AK1930">
        <v>18.631882200409599</v>
      </c>
      <c r="AL1930">
        <v>80.807068673449507</v>
      </c>
      <c r="AM1930">
        <v>92.865581918948905</v>
      </c>
      <c r="AN1930">
        <v>0.99999998829584702</v>
      </c>
    </row>
    <row r="1931" spans="1:40" x14ac:dyDescent="0.25">
      <c r="A1931" t="str">
        <f>"20190312172654617"</f>
        <v>20190312172654617</v>
      </c>
      <c r="B1931" t="str">
        <f>"1552382814610506"</f>
        <v>1552382814610506</v>
      </c>
      <c r="C1931" t="s">
        <v>40</v>
      </c>
      <c r="D1931">
        <v>3.3736709999999999</v>
      </c>
      <c r="E1931">
        <v>0.50598220000000005</v>
      </c>
      <c r="F1931" t="s">
        <v>44</v>
      </c>
      <c r="G1931">
        <v>-415.83460000000002</v>
      </c>
      <c r="H1931">
        <v>0.94520800000000005</v>
      </c>
      <c r="I1931">
        <v>285.5179</v>
      </c>
      <c r="J1931">
        <v>-415.3356</v>
      </c>
      <c r="K1931">
        <v>1.107718</v>
      </c>
      <c r="L1931">
        <v>285.57119999999998</v>
      </c>
      <c r="M1931">
        <v>-0.99939460000000002</v>
      </c>
      <c r="N1931">
        <v>0</v>
      </c>
      <c r="O1931">
        <v>3.135085E-2</v>
      </c>
      <c r="P1931">
        <v>-0.9889966</v>
      </c>
      <c r="Q1931">
        <v>0.14666109999999999</v>
      </c>
      <c r="R1931">
        <v>-1.9404359999999999E-2</v>
      </c>
      <c r="S1931">
        <v>-3.102875</v>
      </c>
      <c r="T1931">
        <v>-0.49706040000000001</v>
      </c>
      <c r="U1931">
        <v>-0.1138306</v>
      </c>
      <c r="V1931">
        <v>-4.9685119999999999E-2</v>
      </c>
      <c r="W1931">
        <v>0.16176860000000001</v>
      </c>
      <c r="X1931">
        <v>0.98557720000000004</v>
      </c>
      <c r="Y1931">
        <v>-6.6727069999999999E-2</v>
      </c>
      <c r="Z1931">
        <v>-1.0298420000000001E-2</v>
      </c>
      <c r="AA1931">
        <v>0.99771810000000005</v>
      </c>
      <c r="AB1931">
        <v>51</v>
      </c>
      <c r="AC1931">
        <v>-0.49900000000002298</v>
      </c>
      <c r="AD1931">
        <v>-0.16250999999999899</v>
      </c>
      <c r="AE1931">
        <v>-5.3299999999978802E-2</v>
      </c>
      <c r="AF1931">
        <v>-6.2378320907872403E-2</v>
      </c>
      <c r="AG1931">
        <v>-0.16250999999999899</v>
      </c>
      <c r="AH1931">
        <v>0.44990409389945302</v>
      </c>
      <c r="AI1931">
        <v>109.686587639382</v>
      </c>
      <c r="AJ1931">
        <v>97.893623805324907</v>
      </c>
      <c r="AK1931">
        <v>0.48240465247214798</v>
      </c>
      <c r="AL1931">
        <v>80.690433492362502</v>
      </c>
      <c r="AM1931">
        <v>92.885963459187096</v>
      </c>
      <c r="AN1931">
        <v>1.0000000541276</v>
      </c>
    </row>
    <row r="1932" spans="1:40" x14ac:dyDescent="0.25">
      <c r="A1932" t="str">
        <f>"20190312172654638"</f>
        <v>20190312172654638</v>
      </c>
      <c r="B1932" t="str">
        <f>"1552382814631002"</f>
        <v>1552382814631002</v>
      </c>
      <c r="C1932" t="s">
        <v>40</v>
      </c>
      <c r="D1932">
        <v>3.3424320000000001</v>
      </c>
      <c r="E1932">
        <v>0.50646289999999905</v>
      </c>
      <c r="F1932" t="s">
        <v>48</v>
      </c>
      <c r="G1932">
        <v>-452.38749999999999</v>
      </c>
      <c r="H1932" s="1">
        <v>-2.9301149999999999E-7</v>
      </c>
      <c r="I1932">
        <v>285.22789999999998</v>
      </c>
      <c r="J1932">
        <v>-415.84539999999998</v>
      </c>
      <c r="K1932">
        <v>1.1077220000000001</v>
      </c>
      <c r="L1932">
        <v>285.58800000000002</v>
      </c>
      <c r="M1932">
        <v>-0.99935249999999998</v>
      </c>
      <c r="N1932">
        <v>0</v>
      </c>
      <c r="O1932">
        <v>3.2671400000000003E-2</v>
      </c>
      <c r="P1932">
        <v>-0.98870210000000003</v>
      </c>
      <c r="Q1932">
        <v>0.14880270000000001</v>
      </c>
      <c r="R1932">
        <v>-1.8064029999999998E-2</v>
      </c>
      <c r="S1932">
        <v>-3.0463559999999998</v>
      </c>
      <c r="T1932">
        <v>-9.1075180000000006E-2</v>
      </c>
      <c r="U1932">
        <v>-2.8228759999999999E-2</v>
      </c>
      <c r="V1932">
        <v>-4.9631689999999999E-2</v>
      </c>
      <c r="W1932">
        <v>0.16390170000000001</v>
      </c>
      <c r="X1932">
        <v>0.98522730000000003</v>
      </c>
      <c r="Y1932">
        <v>-4.190145E-2</v>
      </c>
      <c r="Z1932">
        <v>-1.6027350000000001E-3</v>
      </c>
      <c r="AA1932">
        <v>0.99912049999999997</v>
      </c>
      <c r="AB1932">
        <v>51</v>
      </c>
      <c r="AC1932">
        <v>-36.542099999999998</v>
      </c>
      <c r="AD1932">
        <v>-1.1077222930114901</v>
      </c>
      <c r="AE1932">
        <v>-0.36009999999998799</v>
      </c>
      <c r="AF1932">
        <v>-1.5524984325298601</v>
      </c>
      <c r="AG1932">
        <v>-1.1077222930114901</v>
      </c>
      <c r="AH1932">
        <v>36.477304915094003</v>
      </c>
      <c r="AI1932">
        <v>91.737819207819001</v>
      </c>
      <c r="AJ1932">
        <v>92.437075795513195</v>
      </c>
      <c r="AK1932">
        <v>36.5271279178939</v>
      </c>
      <c r="AL1932">
        <v>80.566561607446303</v>
      </c>
      <c r="AM1932">
        <v>92.883887323607198</v>
      </c>
      <c r="AN1932">
        <v>0.99999995229021699</v>
      </c>
    </row>
    <row r="1933" spans="1:40" x14ac:dyDescent="0.25">
      <c r="A1933" t="str">
        <f>"20190312172654661"</f>
        <v>20190312172654661</v>
      </c>
      <c r="B1933" t="str">
        <f>"1552382814650522"</f>
        <v>1552382814650522</v>
      </c>
      <c r="C1933" t="s">
        <v>40</v>
      </c>
      <c r="D1933">
        <v>3.3343639999999999</v>
      </c>
      <c r="E1933">
        <v>0.50712849999999998</v>
      </c>
      <c r="F1933" t="s">
        <v>48</v>
      </c>
      <c r="G1933">
        <v>-451.60390000000001</v>
      </c>
      <c r="H1933" s="1">
        <v>-7.1476349999999997E-7</v>
      </c>
      <c r="I1933">
        <v>285.33670000000001</v>
      </c>
      <c r="J1933">
        <v>-416.3569</v>
      </c>
      <c r="K1933">
        <v>1.107718</v>
      </c>
      <c r="L1933">
        <v>285.60559999999998</v>
      </c>
      <c r="M1933">
        <v>-0.99930819999999998</v>
      </c>
      <c r="N1933">
        <v>0</v>
      </c>
      <c r="O1933">
        <v>3.3997850000000003E-2</v>
      </c>
      <c r="P1933">
        <v>-0.98850360000000004</v>
      </c>
      <c r="Q1933">
        <v>0.15016060000000001</v>
      </c>
      <c r="R1933">
        <v>-1.7684809999999999E-2</v>
      </c>
      <c r="S1933">
        <v>-3.0480649999999998</v>
      </c>
      <c r="T1933">
        <v>-9.4422580000000006E-2</v>
      </c>
      <c r="U1933">
        <v>-2.1423339999999999E-2</v>
      </c>
      <c r="V1933">
        <v>-5.0550270000000001E-2</v>
      </c>
      <c r="W1933">
        <v>0.16525670000000001</v>
      </c>
      <c r="X1933">
        <v>0.9849542</v>
      </c>
      <c r="Y1933">
        <v>-4.0989169999999998E-2</v>
      </c>
      <c r="Z1933">
        <v>-1.68763299999999E-3</v>
      </c>
      <c r="AA1933">
        <v>0.99915810000000005</v>
      </c>
      <c r="AB1933">
        <v>51</v>
      </c>
      <c r="AC1933">
        <v>-35.247</v>
      </c>
      <c r="AD1933">
        <v>-1.1077187147634999</v>
      </c>
      <c r="AE1933">
        <v>-0.26889999999997299</v>
      </c>
      <c r="AF1933">
        <v>-1.4657553195948001</v>
      </c>
      <c r="AG1933">
        <v>-1.1077187147634999</v>
      </c>
      <c r="AH1933">
        <v>35.182729098457401</v>
      </c>
      <c r="AI1933">
        <v>91.801784477559707</v>
      </c>
      <c r="AJ1933">
        <v>92.3856323415269</v>
      </c>
      <c r="AK1933">
        <v>35.230667127140798</v>
      </c>
      <c r="AL1933">
        <v>80.487852424067697</v>
      </c>
      <c r="AM1933">
        <v>92.937982470993703</v>
      </c>
      <c r="AN1933">
        <v>0.99999994139479897</v>
      </c>
    </row>
    <row r="1934" spans="1:40" x14ac:dyDescent="0.25">
      <c r="A1934" t="str">
        <f>"20190312172654682"</f>
        <v>20190312172654682</v>
      </c>
      <c r="B1934" t="str">
        <f>"1552382814671018"</f>
        <v>1552382814671018</v>
      </c>
      <c r="C1934" t="s">
        <v>40</v>
      </c>
      <c r="D1934">
        <v>3.3654160000000002</v>
      </c>
      <c r="E1934">
        <v>0.50714020000000004</v>
      </c>
      <c r="F1934" t="s">
        <v>48</v>
      </c>
      <c r="G1934">
        <v>-452.44869999999997</v>
      </c>
      <c r="H1934" s="1">
        <v>-2.6934310000000002E-7</v>
      </c>
      <c r="I1934">
        <v>285.43110000000001</v>
      </c>
      <c r="J1934">
        <v>-416.84660000000002</v>
      </c>
      <c r="K1934">
        <v>1.107718</v>
      </c>
      <c r="L1934">
        <v>285.62299999999999</v>
      </c>
      <c r="M1934">
        <v>-0.99926420000000005</v>
      </c>
      <c r="N1934">
        <v>0</v>
      </c>
      <c r="O1934">
        <v>3.5268910000000001E-2</v>
      </c>
      <c r="P1934">
        <v>-0.98836100000000005</v>
      </c>
      <c r="Q1934">
        <v>0.15107670000000001</v>
      </c>
      <c r="R1934">
        <v>-1.7854459999999999E-2</v>
      </c>
      <c r="S1934">
        <v>-3.0488279999999999</v>
      </c>
      <c r="T1934">
        <v>-9.3573809999999993E-2</v>
      </c>
      <c r="U1934">
        <v>-1.473999E-2</v>
      </c>
      <c r="V1934">
        <v>-5.1967050000000001E-2</v>
      </c>
      <c r="W1934">
        <v>0.16617319999999999</v>
      </c>
      <c r="X1934">
        <v>0.98472630000000005</v>
      </c>
      <c r="Y1934">
        <v>-4.0068609999999998E-2</v>
      </c>
      <c r="Z1934">
        <v>-1.6969190000000001E-3</v>
      </c>
      <c r="AA1934">
        <v>0.99919550000000001</v>
      </c>
      <c r="AB1934">
        <v>51</v>
      </c>
      <c r="AC1934">
        <v>-35.602099999999901</v>
      </c>
      <c r="AD1934">
        <v>-1.1077182693431</v>
      </c>
      <c r="AE1934">
        <v>-0.19189999999997501</v>
      </c>
      <c r="AF1934">
        <v>-1.4461705312489499</v>
      </c>
      <c r="AG1934">
        <v>-1.1077182693431</v>
      </c>
      <c r="AH1934">
        <v>35.538773475952397</v>
      </c>
      <c r="AI1934">
        <v>91.783815313143506</v>
      </c>
      <c r="AJ1934">
        <v>92.330237358106103</v>
      </c>
      <c r="AK1934">
        <v>35.585430574109203</v>
      </c>
      <c r="AL1934">
        <v>80.434605146567705</v>
      </c>
      <c r="AM1934">
        <v>93.020873052396396</v>
      </c>
      <c r="AN1934">
        <v>0.999999996297816</v>
      </c>
    </row>
    <row r="1935" spans="1:40" x14ac:dyDescent="0.25">
      <c r="A1935" t="str">
        <f>"20190312172654706"</f>
        <v>20190312172654706</v>
      </c>
      <c r="B1935" t="str">
        <f>"1552382814701274"</f>
        <v>1552382814701274</v>
      </c>
      <c r="C1935" t="s">
        <v>40</v>
      </c>
      <c r="D1935">
        <v>3.3440089999999998</v>
      </c>
      <c r="E1935">
        <v>0.50635299999999905</v>
      </c>
      <c r="F1935" t="s">
        <v>48</v>
      </c>
      <c r="G1935">
        <v>-451.8716</v>
      </c>
      <c r="H1935" s="1">
        <v>-5.774442E-7</v>
      </c>
      <c r="I1935">
        <v>285.45409999999998</v>
      </c>
      <c r="J1935">
        <v>-417.35899999999998</v>
      </c>
      <c r="K1935">
        <v>1.107726</v>
      </c>
      <c r="L1935">
        <v>285.64190000000002</v>
      </c>
      <c r="M1935">
        <v>-0.9992164</v>
      </c>
      <c r="N1935">
        <v>0</v>
      </c>
      <c r="O1935">
        <v>3.6598869999999999E-2</v>
      </c>
      <c r="P1935">
        <v>-0.9880584</v>
      </c>
      <c r="Q1935">
        <v>0.15306310000000001</v>
      </c>
      <c r="R1935">
        <v>-1.767001E-2</v>
      </c>
      <c r="S1935">
        <v>-3.0498050000000001</v>
      </c>
      <c r="T1935">
        <v>-9.6454860000000003E-2</v>
      </c>
      <c r="U1935">
        <v>-1.4709470000000001E-2</v>
      </c>
      <c r="V1935">
        <v>-5.3077270000000003E-2</v>
      </c>
      <c r="W1935">
        <v>0.16815529999999901</v>
      </c>
      <c r="X1935">
        <v>0.9843305</v>
      </c>
      <c r="Y1935">
        <v>-4.1383419999999997E-2</v>
      </c>
      <c r="Z1935">
        <v>-1.811404E-3</v>
      </c>
      <c r="AA1935">
        <v>0.99914170000000002</v>
      </c>
      <c r="AB1935">
        <v>51</v>
      </c>
      <c r="AC1935">
        <v>-34.5125999999999</v>
      </c>
      <c r="AD1935">
        <v>-1.1077265774442</v>
      </c>
      <c r="AE1935">
        <v>-0.18780000000003799</v>
      </c>
      <c r="AF1935">
        <v>-1.4494466352369799</v>
      </c>
      <c r="AG1935">
        <v>-1.1077265774442</v>
      </c>
      <c r="AH1935">
        <v>34.447113124905798</v>
      </c>
      <c r="AI1935">
        <v>91.840216355192894</v>
      </c>
      <c r="AJ1935">
        <v>92.409438913783006</v>
      </c>
      <c r="AK1935">
        <v>34.495384566037799</v>
      </c>
      <c r="AL1935">
        <v>80.319418092021394</v>
      </c>
      <c r="AM1935">
        <v>93.086525560988306</v>
      </c>
      <c r="AN1935">
        <v>0.99999996736949504</v>
      </c>
    </row>
    <row r="1936" spans="1:40" x14ac:dyDescent="0.25">
      <c r="A1936" t="str">
        <f>"20190312172654727"</f>
        <v>20190312172654727</v>
      </c>
      <c r="B1936" t="str">
        <f>"1552382814720797"</f>
        <v>1552382814720797</v>
      </c>
      <c r="C1936" t="s">
        <v>40</v>
      </c>
      <c r="D1936">
        <v>3.320611</v>
      </c>
      <c r="E1936">
        <v>0.50640680000000005</v>
      </c>
      <c r="F1936" t="s">
        <v>48</v>
      </c>
      <c r="G1936">
        <v>-452.0992</v>
      </c>
      <c r="H1936" s="1">
        <v>-4.5435640000000002E-7</v>
      </c>
      <c r="I1936">
        <v>285.40980000000002</v>
      </c>
      <c r="J1936">
        <v>-417.86939999999998</v>
      </c>
      <c r="K1936">
        <v>1.1077379999999999</v>
      </c>
      <c r="L1936">
        <v>285.66140000000001</v>
      </c>
      <c r="M1936">
        <v>-0.99916700000000003</v>
      </c>
      <c r="N1936">
        <v>0</v>
      </c>
      <c r="O1936">
        <v>3.7924590000000001E-2</v>
      </c>
      <c r="P1936">
        <v>-0.98766330000000002</v>
      </c>
      <c r="Q1936">
        <v>0.15563949999999999</v>
      </c>
      <c r="R1936">
        <v>-1.7253350000000001E-2</v>
      </c>
      <c r="S1936">
        <v>-3.0509339999999998</v>
      </c>
      <c r="T1936">
        <v>-9.7282049999999995E-2</v>
      </c>
      <c r="U1936">
        <v>-2.0385739999999999E-2</v>
      </c>
      <c r="V1936">
        <v>-5.3943909999999998E-2</v>
      </c>
      <c r="W1936">
        <v>0.1707254</v>
      </c>
      <c r="X1936">
        <v>0.98384090000000002</v>
      </c>
      <c r="Y1936">
        <v>-4.456297E-2</v>
      </c>
      <c r="Z1936">
        <v>-1.919179E-3</v>
      </c>
      <c r="AA1936">
        <v>0.99900469999999997</v>
      </c>
      <c r="AB1936">
        <v>51</v>
      </c>
      <c r="AC1936">
        <v>-34.229799999999997</v>
      </c>
      <c r="AD1936">
        <v>-1.1077384543563999</v>
      </c>
      <c r="AE1936">
        <v>-0.25159999999999599</v>
      </c>
      <c r="AF1936">
        <v>-1.5480962617682601</v>
      </c>
      <c r="AG1936">
        <v>-1.1077384543563999</v>
      </c>
      <c r="AH1936">
        <v>34.159853473671902</v>
      </c>
      <c r="AI1936">
        <v>91.855438180490495</v>
      </c>
      <c r="AJ1936">
        <v>92.594821797578405</v>
      </c>
      <c r="AK1936">
        <v>34.2128524952494</v>
      </c>
      <c r="AL1936">
        <v>80.170002107373605</v>
      </c>
      <c r="AM1936">
        <v>93.138380076992107</v>
      </c>
      <c r="AN1936">
        <v>1.0000000120720201</v>
      </c>
    </row>
    <row r="1937" spans="1:40" x14ac:dyDescent="0.25">
      <c r="A1937" t="str">
        <f>"20190312172654751"</f>
        <v>20190312172654751</v>
      </c>
      <c r="B1937" t="str">
        <f>"1552382814740314"</f>
        <v>1552382814740314</v>
      </c>
      <c r="C1937" t="s">
        <v>40</v>
      </c>
      <c r="D1937">
        <v>3.3422670000000001</v>
      </c>
      <c r="E1937">
        <v>0.50626610000000005</v>
      </c>
      <c r="F1937" t="s">
        <v>48</v>
      </c>
      <c r="G1937">
        <v>-454.33120000000002</v>
      </c>
      <c r="H1937" s="1">
        <v>7.3214219999999897E-7</v>
      </c>
      <c r="I1937">
        <v>285.43819999999999</v>
      </c>
      <c r="J1937">
        <v>-418.39229999999998</v>
      </c>
      <c r="K1937">
        <v>1.1077520000000001</v>
      </c>
      <c r="L1937">
        <v>285.68209999999999</v>
      </c>
      <c r="M1937">
        <v>-0.99911459999999996</v>
      </c>
      <c r="N1937">
        <v>0</v>
      </c>
      <c r="O1937">
        <v>3.9282610000000003E-2</v>
      </c>
      <c r="P1937">
        <v>-0.98730810000000002</v>
      </c>
      <c r="Q1937">
        <v>0.15793270000000001</v>
      </c>
      <c r="R1937">
        <v>-1.6740620000000001E-2</v>
      </c>
      <c r="S1937">
        <v>-3.051758</v>
      </c>
      <c r="T1937">
        <v>-9.2714790000000005E-2</v>
      </c>
      <c r="U1937">
        <v>-1.8676760000000001E-2</v>
      </c>
      <c r="V1937">
        <v>-5.4748329999999998E-2</v>
      </c>
      <c r="W1937">
        <v>0.17301259999999999</v>
      </c>
      <c r="X1937">
        <v>0.98339679999999996</v>
      </c>
      <c r="Y1937">
        <v>-4.5362449999999999E-2</v>
      </c>
      <c r="Z1937">
        <v>-1.8819990000000001E-3</v>
      </c>
      <c r="AA1937">
        <v>0.99896879999999999</v>
      </c>
      <c r="AB1937">
        <v>51</v>
      </c>
      <c r="AC1937">
        <v>-35.938899999999997</v>
      </c>
      <c r="AD1937">
        <v>-1.1077512678577901</v>
      </c>
      <c r="AE1937">
        <v>-0.24389999999999601</v>
      </c>
      <c r="AF1937">
        <v>-1.65407426941519</v>
      </c>
      <c r="AG1937">
        <v>-1.1077512678577901</v>
      </c>
      <c r="AH1937">
        <v>35.867496789245799</v>
      </c>
      <c r="AI1937">
        <v>91.767114810705195</v>
      </c>
      <c r="AJ1937">
        <v>92.640395482308406</v>
      </c>
      <c r="AK1937">
        <v>35.9227003507078</v>
      </c>
      <c r="AL1937">
        <v>80.036975619321495</v>
      </c>
      <c r="AM1937">
        <v>93.1865198530691</v>
      </c>
      <c r="AN1937">
        <v>1.00000000282339</v>
      </c>
    </row>
    <row r="1938" spans="1:40" x14ac:dyDescent="0.25">
      <c r="A1938" t="str">
        <f>"20190312172654772"</f>
        <v>20190312172654772</v>
      </c>
      <c r="B1938" t="str">
        <f>"1552382814760810"</f>
        <v>1552382814760810</v>
      </c>
      <c r="C1938" t="s">
        <v>40</v>
      </c>
      <c r="D1938">
        <v>3.3725399999999999</v>
      </c>
      <c r="E1938">
        <v>0.50597349999999996</v>
      </c>
      <c r="F1938" t="s">
        <v>48</v>
      </c>
      <c r="G1938">
        <v>-456.19600000000003</v>
      </c>
      <c r="H1938" s="1">
        <v>1.7239680000000001E-6</v>
      </c>
      <c r="I1938">
        <v>285.45010000000002</v>
      </c>
      <c r="J1938">
        <v>-418.87240000000003</v>
      </c>
      <c r="K1938">
        <v>1.1077629999999901</v>
      </c>
      <c r="L1938">
        <v>285.70179999999999</v>
      </c>
      <c r="M1938">
        <v>-0.99906470000000003</v>
      </c>
      <c r="N1938">
        <v>0</v>
      </c>
      <c r="O1938">
        <v>4.0530719999999999E-2</v>
      </c>
      <c r="P1938">
        <v>-0.98714939999999995</v>
      </c>
      <c r="Q1938">
        <v>0.15899779999999999</v>
      </c>
      <c r="R1938">
        <v>-1.5990520000000001E-2</v>
      </c>
      <c r="S1938">
        <v>-3.0524900000000001</v>
      </c>
      <c r="T1938">
        <v>-8.9446310000000001E-2</v>
      </c>
      <c r="U1938">
        <v>-1.8737790000000001E-2</v>
      </c>
      <c r="V1938">
        <v>-5.5220350000000001E-2</v>
      </c>
      <c r="W1938">
        <v>0.1740729</v>
      </c>
      <c r="X1938">
        <v>0.98318329999999998</v>
      </c>
      <c r="Y1938">
        <v>-4.6630520000000002E-2</v>
      </c>
      <c r="Z1938">
        <v>-1.870371E-3</v>
      </c>
      <c r="AA1938">
        <v>0.99891039999999998</v>
      </c>
      <c r="AB1938">
        <v>51</v>
      </c>
      <c r="AC1938">
        <v>-37.3235999999999</v>
      </c>
      <c r="AD1938">
        <v>-1.1077612760319999</v>
      </c>
      <c r="AE1938">
        <v>-0.251699999999971</v>
      </c>
      <c r="AF1938">
        <v>-1.7628643943437099</v>
      </c>
      <c r="AG1938">
        <v>-1.1077612760319999</v>
      </c>
      <c r="AH1938">
        <v>37.249909367352402</v>
      </c>
      <c r="AI1938">
        <v>91.701492739714197</v>
      </c>
      <c r="AJ1938">
        <v>92.709520270785106</v>
      </c>
      <c r="AK1938">
        <v>37.308049718438703</v>
      </c>
      <c r="AL1938">
        <v>79.975289177869797</v>
      </c>
      <c r="AM1938">
        <v>93.214631957755898</v>
      </c>
      <c r="AN1938">
        <v>1.0000000314837101</v>
      </c>
    </row>
    <row r="1939" spans="1:40" x14ac:dyDescent="0.25">
      <c r="A1939" t="str">
        <f>"20190312172654794"</f>
        <v>20190312172654794</v>
      </c>
      <c r="B1939" t="str">
        <f>"1552382814791067"</f>
        <v>1552382814791067</v>
      </c>
      <c r="C1939" t="s">
        <v>40</v>
      </c>
      <c r="D1939">
        <v>3.3938860000000002</v>
      </c>
      <c r="E1939">
        <v>0.50562510000000005</v>
      </c>
      <c r="F1939" t="s">
        <v>48</v>
      </c>
      <c r="G1939">
        <v>-456.9787</v>
      </c>
      <c r="H1939" s="1">
        <v>2.1398109999999999E-6</v>
      </c>
      <c r="I1939">
        <v>285.46519999999998</v>
      </c>
      <c r="J1939">
        <v>-419.38479999999998</v>
      </c>
      <c r="K1939">
        <v>1.107774</v>
      </c>
      <c r="L1939">
        <v>285.7235</v>
      </c>
      <c r="M1939">
        <v>-0.99900999999999995</v>
      </c>
      <c r="N1939">
        <v>0</v>
      </c>
      <c r="O1939">
        <v>4.1862139999999999E-2</v>
      </c>
      <c r="P1939">
        <v>-0.98722799999999999</v>
      </c>
      <c r="Q1939">
        <v>0.15859529999999999</v>
      </c>
      <c r="R1939">
        <v>-1.5118639999999999E-2</v>
      </c>
      <c r="S1939">
        <v>-3.0530089999999999</v>
      </c>
      <c r="T1939">
        <v>-8.8751789999999997E-2</v>
      </c>
      <c r="U1939">
        <v>-1.895142E-2</v>
      </c>
      <c r="V1939">
        <v>-5.5668820000000001E-2</v>
      </c>
      <c r="W1939">
        <v>0.17366960000000001</v>
      </c>
      <c r="X1939">
        <v>0.98322929999999997</v>
      </c>
      <c r="Y1939">
        <v>-4.8030000000000003E-2</v>
      </c>
      <c r="Z1939">
        <v>-1.914554E-3</v>
      </c>
      <c r="AA1939">
        <v>0.99884410000000001</v>
      </c>
      <c r="AB1939">
        <v>51</v>
      </c>
      <c r="AC1939">
        <v>-37.593899999999998</v>
      </c>
      <c r="AD1939">
        <v>-1.1077718601890001</v>
      </c>
      <c r="AE1939">
        <v>-0.25830000000001901</v>
      </c>
      <c r="AF1939">
        <v>-1.830423681931</v>
      </c>
      <c r="AG1939">
        <v>-1.1077718601890001</v>
      </c>
      <c r="AH1939">
        <v>37.517548707308499</v>
      </c>
      <c r="AI1939">
        <v>91.689259533561795</v>
      </c>
      <c r="AJ1939">
        <v>92.793158446695898</v>
      </c>
      <c r="AK1939">
        <v>37.578505430031001</v>
      </c>
      <c r="AL1939">
        <v>79.998753673086199</v>
      </c>
      <c r="AM1939">
        <v>93.2405327581248</v>
      </c>
      <c r="AN1939">
        <v>1.0000000019314199</v>
      </c>
    </row>
    <row r="1940" spans="1:40" x14ac:dyDescent="0.25">
      <c r="A1940" t="str">
        <f>"20190312172654818"</f>
        <v>20190312172654818</v>
      </c>
      <c r="B1940" t="str">
        <f>"1552382814810587"</f>
        <v>1552382814810587</v>
      </c>
      <c r="C1940" t="s">
        <v>40</v>
      </c>
      <c r="D1940">
        <v>3.3505600000000002</v>
      </c>
      <c r="E1940">
        <v>0.50555260000000002</v>
      </c>
      <c r="F1940" t="s">
        <v>48</v>
      </c>
      <c r="G1940">
        <v>-455.02530000000002</v>
      </c>
      <c r="H1940" s="1">
        <v>1.098739E-6</v>
      </c>
      <c r="I1940">
        <v>285.5016</v>
      </c>
      <c r="J1940">
        <v>-419.9085</v>
      </c>
      <c r="K1940">
        <v>1.107775</v>
      </c>
      <c r="L1940">
        <v>285.74630000000002</v>
      </c>
      <c r="M1940">
        <v>-0.99895230000000002</v>
      </c>
      <c r="N1940">
        <v>0</v>
      </c>
      <c r="O1940">
        <v>4.3218149999999997E-2</v>
      </c>
      <c r="P1940">
        <v>-0.98735410000000001</v>
      </c>
      <c r="Q1940">
        <v>0.1578291</v>
      </c>
      <c r="R1940">
        <v>-1.490405E-2</v>
      </c>
      <c r="S1940">
        <v>-3.0537719999999999</v>
      </c>
      <c r="T1940">
        <v>-9.4916940000000005E-2</v>
      </c>
      <c r="U1940">
        <v>-1.901245E-2</v>
      </c>
      <c r="V1940">
        <v>-5.6803149999999997E-2</v>
      </c>
      <c r="W1940">
        <v>0.17290549999999999</v>
      </c>
      <c r="X1940">
        <v>0.98329909999999998</v>
      </c>
      <c r="Y1940">
        <v>-4.9397459999999997E-2</v>
      </c>
      <c r="Z1940">
        <v>-2.1103369999999999E-3</v>
      </c>
      <c r="AA1940">
        <v>0.99877700000000003</v>
      </c>
      <c r="AB1940">
        <v>51</v>
      </c>
      <c r="AC1940">
        <v>-35.116799999999998</v>
      </c>
      <c r="AD1940">
        <v>-1.1077739012609999</v>
      </c>
      <c r="AE1940">
        <v>-0.24470000000002301</v>
      </c>
      <c r="AF1940">
        <v>-1.7605744616283301</v>
      </c>
      <c r="AG1940">
        <v>-1.1077739012609999</v>
      </c>
      <c r="AH1940">
        <v>35.038539215095703</v>
      </c>
      <c r="AI1940">
        <v>91.808572592986707</v>
      </c>
      <c r="AJ1940">
        <v>92.876510369951902</v>
      </c>
      <c r="AK1940">
        <v>35.100228144259297</v>
      </c>
      <c r="AL1940">
        <v>80.043206015331705</v>
      </c>
      <c r="AM1940">
        <v>93.306183913340902</v>
      </c>
      <c r="AN1940">
        <v>1.00000001492049</v>
      </c>
    </row>
    <row r="1941" spans="1:40" x14ac:dyDescent="0.25">
      <c r="A1941" t="str">
        <f>"20190312172654840"</f>
        <v>20190312172654840</v>
      </c>
      <c r="B1941" t="str">
        <f>"1552382814831082"</f>
        <v>1552382814831082</v>
      </c>
      <c r="C1941" t="s">
        <v>40</v>
      </c>
      <c r="D1941">
        <v>3.3438460000000001</v>
      </c>
      <c r="E1941">
        <v>0.50539970000000001</v>
      </c>
      <c r="F1941" t="s">
        <v>48</v>
      </c>
      <c r="G1941">
        <v>-452.74329999999998</v>
      </c>
      <c r="H1941" s="1">
        <v>-1.175774E-7</v>
      </c>
      <c r="I1941">
        <v>285.54590000000002</v>
      </c>
      <c r="J1941">
        <v>-420.41930000000002</v>
      </c>
      <c r="K1941">
        <v>1.1077870000000001</v>
      </c>
      <c r="L1941">
        <v>285.76920000000001</v>
      </c>
      <c r="M1941">
        <v>-0.99889459999999997</v>
      </c>
      <c r="N1941">
        <v>0</v>
      </c>
      <c r="O1941">
        <v>4.4531139999999997E-2</v>
      </c>
      <c r="P1941">
        <v>-0.98739080000000001</v>
      </c>
      <c r="Q1941">
        <v>0.15771099999999999</v>
      </c>
      <c r="R1941">
        <v>-1.3662880000000001E-2</v>
      </c>
      <c r="S1941">
        <v>-3.0546259999999998</v>
      </c>
      <c r="T1941">
        <v>-0.10305639999999899</v>
      </c>
      <c r="U1941">
        <v>-1.8646240000000001E-2</v>
      </c>
      <c r="V1941">
        <v>-5.6864869999999998E-2</v>
      </c>
      <c r="W1941">
        <v>0.17278389999999999</v>
      </c>
      <c r="X1941">
        <v>0.98331690000000005</v>
      </c>
      <c r="Y1941">
        <v>-5.0579350000000002E-2</v>
      </c>
      <c r="Z1941">
        <v>-2.3547590000000001E-3</v>
      </c>
      <c r="AA1941">
        <v>0.99871719999999997</v>
      </c>
      <c r="AB1941">
        <v>51</v>
      </c>
      <c r="AC1941">
        <v>-32.323999999999899</v>
      </c>
      <c r="AD1941">
        <v>-1.1077871175773999</v>
      </c>
      <c r="AE1941">
        <v>-0.223299999999994</v>
      </c>
      <c r="AF1941">
        <v>-1.6607156277589901</v>
      </c>
      <c r="AG1941">
        <v>-1.1077871175773999</v>
      </c>
      <c r="AH1941">
        <v>32.244112563942402</v>
      </c>
      <c r="AI1941">
        <v>91.965092118429695</v>
      </c>
      <c r="AJ1941">
        <v>92.948382996967595</v>
      </c>
      <c r="AK1941">
        <v>32.305850301924202</v>
      </c>
      <c r="AL1941">
        <v>80.050279573857594</v>
      </c>
      <c r="AM1941">
        <v>93.309708516475496</v>
      </c>
      <c r="AN1941">
        <v>1.00000000768246</v>
      </c>
    </row>
    <row r="1942" spans="1:40" x14ac:dyDescent="0.25">
      <c r="A1942" t="str">
        <f>"20190312172654862"</f>
        <v>20190312172654862</v>
      </c>
      <c r="B1942" t="str">
        <f>"1552382814850601"</f>
        <v>1552382814850601</v>
      </c>
      <c r="C1942" t="s">
        <v>40</v>
      </c>
      <c r="D1942">
        <v>3.4003410000000001</v>
      </c>
      <c r="E1942">
        <v>0.50526329999999997</v>
      </c>
      <c r="F1942" t="s">
        <v>48</v>
      </c>
      <c r="G1942">
        <v>-452.1361</v>
      </c>
      <c r="H1942" s="1">
        <v>-4.4283660000000001E-7</v>
      </c>
      <c r="I1942">
        <v>285.59500000000003</v>
      </c>
      <c r="J1942">
        <v>-420.90190000000001</v>
      </c>
      <c r="K1942">
        <v>1.1077980000000001</v>
      </c>
      <c r="L1942">
        <v>285.79149999999998</v>
      </c>
      <c r="M1942">
        <v>-0.99883949999999999</v>
      </c>
      <c r="N1942">
        <v>0</v>
      </c>
      <c r="O1942">
        <v>4.5752939999999999E-2</v>
      </c>
      <c r="P1942">
        <v>-0.98736789999999997</v>
      </c>
      <c r="Q1942">
        <v>0.15795670000000001</v>
      </c>
      <c r="R1942">
        <v>-1.2434570000000001E-2</v>
      </c>
      <c r="S1942">
        <v>-3.0550839999999999</v>
      </c>
      <c r="T1942">
        <v>-0.1067063</v>
      </c>
      <c r="U1942">
        <v>-1.6784670000000002E-2</v>
      </c>
      <c r="V1942">
        <v>-5.6846500000000001E-2</v>
      </c>
      <c r="W1942">
        <v>0.17302339999999999</v>
      </c>
      <c r="X1942">
        <v>0.98327580000000003</v>
      </c>
      <c r="Y1942">
        <v>-5.1186490000000001E-2</v>
      </c>
      <c r="Z1942">
        <v>-2.4909730000000001E-3</v>
      </c>
      <c r="AA1942">
        <v>0.99868599999999996</v>
      </c>
      <c r="AB1942">
        <v>51</v>
      </c>
      <c r="AC1942">
        <v>-31.234199999999898</v>
      </c>
      <c r="AD1942">
        <v>-1.1077984428365999</v>
      </c>
      <c r="AE1942">
        <v>-0.19649999999995699</v>
      </c>
      <c r="AF1942">
        <v>-1.62347024399413</v>
      </c>
      <c r="AG1942">
        <v>-1.1077984428365999</v>
      </c>
      <c r="AH1942">
        <v>31.153304717872999</v>
      </c>
      <c r="AI1942">
        <v>92.033798378604203</v>
      </c>
      <c r="AJ1942">
        <v>92.983116179847599</v>
      </c>
      <c r="AK1942">
        <v>31.2152409548242</v>
      </c>
      <c r="AL1942">
        <v>80.036346920617603</v>
      </c>
      <c r="AM1942">
        <v>93.308779693128699</v>
      </c>
      <c r="AN1942">
        <v>0.99999996018772397</v>
      </c>
    </row>
    <row r="1943" spans="1:40" x14ac:dyDescent="0.25">
      <c r="A1943" t="str">
        <f>"20190312172654884"</f>
        <v>20190312172654884</v>
      </c>
      <c r="B1943" t="str">
        <f>"1552382814880858"</f>
        <v>1552382814880858</v>
      </c>
      <c r="C1943" t="s">
        <v>40</v>
      </c>
      <c r="D1943">
        <v>3.3949639999999999</v>
      </c>
      <c r="E1943">
        <v>0.50501229999999997</v>
      </c>
      <c r="F1943" t="s">
        <v>48</v>
      </c>
      <c r="G1943">
        <v>-451.98989999999998</v>
      </c>
      <c r="H1943" s="1">
        <v>-5.2260179999999899E-7</v>
      </c>
      <c r="I1943">
        <v>285.64</v>
      </c>
      <c r="J1943">
        <v>-421.40890000000002</v>
      </c>
      <c r="K1943">
        <v>1.1078250000000001</v>
      </c>
      <c r="L1943">
        <v>285.81549999999999</v>
      </c>
      <c r="M1943">
        <v>-0.99878160000000005</v>
      </c>
      <c r="N1943">
        <v>0</v>
      </c>
      <c r="O1943">
        <v>4.7001750000000002E-2</v>
      </c>
      <c r="P1943">
        <v>-0.98751529999999998</v>
      </c>
      <c r="Q1943">
        <v>0.15712970000000001</v>
      </c>
      <c r="R1943">
        <v>-1.1131230000000001E-2</v>
      </c>
      <c r="S1943">
        <v>-3.0556030000000001</v>
      </c>
      <c r="T1943">
        <v>-0.1088842</v>
      </c>
      <c r="U1943">
        <v>-1.4892580000000001E-2</v>
      </c>
      <c r="V1943">
        <v>-5.6798639999999997E-2</v>
      </c>
      <c r="W1943">
        <v>0.1721916</v>
      </c>
      <c r="X1943">
        <v>0.98342459999999998</v>
      </c>
      <c r="Y1943">
        <v>-5.1812209999999997E-2</v>
      </c>
      <c r="Z1943">
        <v>-2.5969529999999999E-3</v>
      </c>
      <c r="AA1943">
        <v>0.99865349999999997</v>
      </c>
      <c r="AB1943">
        <v>51</v>
      </c>
      <c r="AC1943">
        <v>-30.5809999999999</v>
      </c>
      <c r="AD1943">
        <v>-1.1078255226017999</v>
      </c>
      <c r="AE1943">
        <v>-0.17549999999999899</v>
      </c>
      <c r="AF1943">
        <v>-1.61071536678873</v>
      </c>
      <c r="AG1943">
        <v>-1.1078255226017999</v>
      </c>
      <c r="AH1943">
        <v>30.4989217123948</v>
      </c>
      <c r="AI1943">
        <v>92.077372332791001</v>
      </c>
      <c r="AJ1943">
        <v>93.023108042355105</v>
      </c>
      <c r="AK1943">
        <v>30.5615102211937</v>
      </c>
      <c r="AL1943">
        <v>80.084732058099604</v>
      </c>
      <c r="AM1943">
        <v>93.305501043905593</v>
      </c>
      <c r="AN1943">
        <v>0.99999998825078396</v>
      </c>
    </row>
    <row r="1944" spans="1:40" x14ac:dyDescent="0.25">
      <c r="A1944" t="str">
        <f>"20190312172654907"</f>
        <v>20190312172654907</v>
      </c>
      <c r="B1944" t="str">
        <f>"1552382814900378"</f>
        <v>1552382814900378</v>
      </c>
      <c r="C1944" t="s">
        <v>40</v>
      </c>
      <c r="D1944">
        <v>3.4113540000000002</v>
      </c>
      <c r="E1944">
        <v>0.50485709999999995</v>
      </c>
      <c r="F1944" t="s">
        <v>48</v>
      </c>
      <c r="G1944">
        <v>-451.01229999999998</v>
      </c>
      <c r="H1944" s="1">
        <v>-1.0451599999999999E-6</v>
      </c>
      <c r="I1944">
        <v>285.69279999999998</v>
      </c>
      <c r="J1944">
        <v>-421.91770000000002</v>
      </c>
      <c r="K1944">
        <v>1.1078709999999901</v>
      </c>
      <c r="L1944">
        <v>285.84019999999998</v>
      </c>
      <c r="M1944">
        <v>-0.99872490000000003</v>
      </c>
      <c r="N1944">
        <v>0</v>
      </c>
      <c r="O1944">
        <v>4.8193090000000001E-2</v>
      </c>
      <c r="P1944">
        <v>-0.98758199999999996</v>
      </c>
      <c r="Q1944">
        <v>0.15675439999999999</v>
      </c>
      <c r="R1944">
        <v>-1.048931E-2</v>
      </c>
      <c r="S1944">
        <v>-3.056</v>
      </c>
      <c r="T1944">
        <v>-0.1143624</v>
      </c>
      <c r="U1944">
        <v>-1.266479E-2</v>
      </c>
      <c r="V1944">
        <v>-5.7356810000000001E-2</v>
      </c>
      <c r="W1944">
        <v>0.17180879999999901</v>
      </c>
      <c r="X1944">
        <v>0.98345919999999998</v>
      </c>
      <c r="Y1944">
        <v>-5.22672E-2</v>
      </c>
      <c r="Z1944">
        <v>-2.7802109999999999E-3</v>
      </c>
      <c r="AA1944">
        <v>0.99862930000000005</v>
      </c>
      <c r="AB1944">
        <v>51</v>
      </c>
      <c r="AC1944">
        <v>-29.0945999999999</v>
      </c>
      <c r="AD1944">
        <v>-1.1078720451599999</v>
      </c>
      <c r="AE1944">
        <v>-0.147400000000004</v>
      </c>
      <c r="AF1944">
        <v>-1.5473023745710099</v>
      </c>
      <c r="AG1944">
        <v>-1.1078720451599999</v>
      </c>
      <c r="AH1944">
        <v>29.011616618924201</v>
      </c>
      <c r="AI1944">
        <v>92.183801367952199</v>
      </c>
      <c r="AJ1944">
        <v>93.052914329010704</v>
      </c>
      <c r="AK1944">
        <v>29.073964709860999</v>
      </c>
      <c r="AL1944">
        <v>80.106997139229406</v>
      </c>
      <c r="AM1944">
        <v>93.337794509644098</v>
      </c>
      <c r="AN1944">
        <v>1.0000000327377201</v>
      </c>
    </row>
    <row r="1945" spans="1:40" x14ac:dyDescent="0.25">
      <c r="A1945" t="str">
        <f>"20190312172654929"</f>
        <v>20190312172654929</v>
      </c>
      <c r="B1945" t="str">
        <f>"1552382814920874"</f>
        <v>1552382814920874</v>
      </c>
      <c r="C1945" t="s">
        <v>40</v>
      </c>
      <c r="D1945">
        <v>3.38863</v>
      </c>
      <c r="E1945">
        <v>0.50469339999999996</v>
      </c>
      <c r="F1945" t="s">
        <v>48</v>
      </c>
      <c r="G1945">
        <v>-450.77249999999998</v>
      </c>
      <c r="H1945" s="1">
        <v>-1.1743389999999999E-6</v>
      </c>
      <c r="I1945">
        <v>285.72899999999998</v>
      </c>
      <c r="J1945">
        <v>-422.41219999999998</v>
      </c>
      <c r="K1945">
        <v>1.107942</v>
      </c>
      <c r="L1945">
        <v>285.86470000000003</v>
      </c>
      <c r="M1945">
        <v>-0.99867329999999999</v>
      </c>
      <c r="N1945">
        <v>0</v>
      </c>
      <c r="O1945">
        <v>4.9251330000000003E-2</v>
      </c>
      <c r="P1945">
        <v>-0.98760630000000005</v>
      </c>
      <c r="Q1945">
        <v>0.15663369999999999</v>
      </c>
      <c r="R1945">
        <v>-9.9842760000000003E-3</v>
      </c>
      <c r="S1945">
        <v>-3.0562130000000001</v>
      </c>
      <c r="T1945">
        <v>-0.11734260000000001</v>
      </c>
      <c r="U1945">
        <v>-1.177979E-2</v>
      </c>
      <c r="V1945">
        <v>-5.7928390000000003E-2</v>
      </c>
      <c r="W1945">
        <v>0.1716763</v>
      </c>
      <c r="X1945">
        <v>0.98344880000000001</v>
      </c>
      <c r="Y1945">
        <v>-5.3030849999999997E-2</v>
      </c>
      <c r="Z1945">
        <v>-2.907649E-3</v>
      </c>
      <c r="AA1945">
        <v>0.99858860000000005</v>
      </c>
      <c r="AB1945">
        <v>50</v>
      </c>
      <c r="AC1945">
        <v>-28.360299999999899</v>
      </c>
      <c r="AD1945">
        <v>-1.107943174339</v>
      </c>
      <c r="AE1945">
        <v>-0.135699999999985</v>
      </c>
      <c r="AF1945">
        <v>-1.53014034258495</v>
      </c>
      <c r="AG1945">
        <v>-1.107943174339</v>
      </c>
      <c r="AH1945">
        <v>28.276036388493999</v>
      </c>
      <c r="AI1945">
        <v>92.240604301025598</v>
      </c>
      <c r="AJ1945">
        <v>93.097504732595496</v>
      </c>
      <c r="AK1945">
        <v>28.339073756723401</v>
      </c>
      <c r="AL1945">
        <v>80.114702965410302</v>
      </c>
      <c r="AM1945">
        <v>93.371015997692794</v>
      </c>
      <c r="AN1945">
        <v>0.99999999628556002</v>
      </c>
    </row>
    <row r="1946" spans="1:40" x14ac:dyDescent="0.25">
      <c r="A1946" t="str">
        <f>"20190312172654951"</f>
        <v>20190312172654951</v>
      </c>
      <c r="B1946" t="str">
        <f>"1552382814940395"</f>
        <v>1552382814940395</v>
      </c>
      <c r="C1946" t="s">
        <v>40</v>
      </c>
      <c r="D1946">
        <v>3.3886579999999999</v>
      </c>
      <c r="E1946">
        <v>0.50452319999999995</v>
      </c>
      <c r="F1946" t="s">
        <v>48</v>
      </c>
      <c r="G1946">
        <v>-450.7749</v>
      </c>
      <c r="H1946" s="1">
        <v>-1.1742140000000001E-6</v>
      </c>
      <c r="I1946">
        <v>285.75540000000001</v>
      </c>
      <c r="J1946">
        <v>-422.91469999999998</v>
      </c>
      <c r="K1946">
        <v>1.108047</v>
      </c>
      <c r="L1946">
        <v>285.89010000000002</v>
      </c>
      <c r="M1946">
        <v>-0.99862680000000004</v>
      </c>
      <c r="N1946">
        <v>0</v>
      </c>
      <c r="O1946">
        <v>5.0186889999999998E-2</v>
      </c>
      <c r="P1946">
        <v>-0.98757539999999999</v>
      </c>
      <c r="Q1946">
        <v>0.15683079999999999</v>
      </c>
      <c r="R1946">
        <v>-9.9526900000000001E-3</v>
      </c>
      <c r="S1946">
        <v>-3.0564580000000001</v>
      </c>
      <c r="T1946">
        <v>-0.11939569999999999</v>
      </c>
      <c r="U1946">
        <v>-1.177979E-2</v>
      </c>
      <c r="V1946">
        <v>-5.886251E-2</v>
      </c>
      <c r="W1946">
        <v>0.1718557</v>
      </c>
      <c r="X1946">
        <v>0.98336199999999996</v>
      </c>
      <c r="Y1946">
        <v>-5.3961960000000003E-2</v>
      </c>
      <c r="Z1946">
        <v>-3.0129330000000002E-3</v>
      </c>
      <c r="AA1946">
        <v>0.99853840000000005</v>
      </c>
      <c r="AB1946">
        <v>50</v>
      </c>
      <c r="AC1946">
        <v>-27.860199999999999</v>
      </c>
      <c r="AD1946">
        <v>-1.108048174214</v>
      </c>
      <c r="AE1946">
        <v>-0.13470000000000901</v>
      </c>
      <c r="AF1946">
        <v>-1.5304840423444599</v>
      </c>
      <c r="AG1946">
        <v>-1.108048174214</v>
      </c>
      <c r="AH1946">
        <v>27.774390705120599</v>
      </c>
      <c r="AI1946">
        <v>92.281123631762199</v>
      </c>
      <c r="AJ1946">
        <v>93.154045117278599</v>
      </c>
      <c r="AK1946">
        <v>27.838587090600399</v>
      </c>
      <c r="AL1946">
        <v>80.104269066937604</v>
      </c>
      <c r="AM1946">
        <v>93.425548291398499</v>
      </c>
      <c r="AN1946">
        <v>0.99999999987499499</v>
      </c>
    </row>
    <row r="1947" spans="1:40" x14ac:dyDescent="0.25">
      <c r="A1947" t="str">
        <f>"20190312172654973"</f>
        <v>20190312172654973</v>
      </c>
      <c r="B1947" t="str">
        <f>"1552382814970650"</f>
        <v>1552382814970650</v>
      </c>
      <c r="C1947" t="s">
        <v>40</v>
      </c>
      <c r="D1947">
        <v>3.407686</v>
      </c>
      <c r="E1947">
        <v>0.50433309999999998</v>
      </c>
      <c r="F1947" t="s">
        <v>48</v>
      </c>
      <c r="G1947">
        <v>-451.1875</v>
      </c>
      <c r="H1947" s="1">
        <v>-9.548691000000001E-7</v>
      </c>
      <c r="I1947">
        <v>285.76029999999997</v>
      </c>
      <c r="J1947">
        <v>-423.4153</v>
      </c>
      <c r="K1947">
        <v>1.108174</v>
      </c>
      <c r="L1947">
        <v>285.91579999999999</v>
      </c>
      <c r="M1947">
        <v>-0.99858639999999999</v>
      </c>
      <c r="N1947">
        <v>0</v>
      </c>
      <c r="O1947">
        <v>5.0987110000000002E-2</v>
      </c>
      <c r="P1947">
        <v>-0.98759580000000002</v>
      </c>
      <c r="Q1947">
        <v>0.1567151</v>
      </c>
      <c r="R1947">
        <v>-9.7630700000000004E-3</v>
      </c>
      <c r="S1947">
        <v>-3.0565799999999999</v>
      </c>
      <c r="T1947">
        <v>-0.1197913</v>
      </c>
      <c r="U1947">
        <v>-1.403809E-2</v>
      </c>
      <c r="V1947">
        <v>-5.9516180000000002E-2</v>
      </c>
      <c r="W1947">
        <v>0.1717195</v>
      </c>
      <c r="X1947">
        <v>0.98334650000000001</v>
      </c>
      <c r="Y1947">
        <v>-5.5497320000000003E-2</v>
      </c>
      <c r="Z1947">
        <v>-3.0841890000000002E-3</v>
      </c>
      <c r="AA1947">
        <v>0.99845410000000001</v>
      </c>
      <c r="AB1947">
        <v>50</v>
      </c>
      <c r="AC1947">
        <v>-27.772200000000002</v>
      </c>
      <c r="AD1947">
        <v>-1.1081749548691</v>
      </c>
      <c r="AE1947">
        <v>-0.15550000000001701</v>
      </c>
      <c r="AF1947">
        <v>-1.5689835604003399</v>
      </c>
      <c r="AG1947">
        <v>-1.1081749548691</v>
      </c>
      <c r="AH1947">
        <v>27.684062445675199</v>
      </c>
      <c r="AI1947">
        <v>92.288620164191897</v>
      </c>
      <c r="AJ1947">
        <v>93.243746188877793</v>
      </c>
      <c r="AK1947">
        <v>27.7506229594842</v>
      </c>
      <c r="AL1947">
        <v>80.112191019948597</v>
      </c>
      <c r="AM1947">
        <v>93.463551475403193</v>
      </c>
      <c r="AN1947">
        <v>1.00000005071214</v>
      </c>
    </row>
    <row r="1948" spans="1:40" x14ac:dyDescent="0.25">
      <c r="A1948" t="str">
        <f>"20190312172654996"</f>
        <v>20190312172654996</v>
      </c>
      <c r="B1948" t="str">
        <f>"1552382814991146"</f>
        <v>1552382814991146</v>
      </c>
      <c r="C1948" t="s">
        <v>40</v>
      </c>
      <c r="D1948">
        <v>3.3956949999999999</v>
      </c>
      <c r="E1948">
        <v>0.50421079999999996</v>
      </c>
      <c r="F1948" t="s">
        <v>48</v>
      </c>
      <c r="G1948">
        <v>-451.31650000000002</v>
      </c>
      <c r="H1948" s="1">
        <v>-8.8675579999999999E-7</v>
      </c>
      <c r="I1948">
        <v>285.77260000000001</v>
      </c>
      <c r="J1948">
        <v>-423.92869999999999</v>
      </c>
      <c r="K1948">
        <v>1.1083179999999999</v>
      </c>
      <c r="L1948">
        <v>285.94229999999999</v>
      </c>
      <c r="M1948">
        <v>-0.99855260000000001</v>
      </c>
      <c r="N1948">
        <v>0</v>
      </c>
      <c r="O1948">
        <v>5.164324E-2</v>
      </c>
      <c r="P1948">
        <v>-0.98756449999999996</v>
      </c>
      <c r="Q1948">
        <v>0.15688540000000001</v>
      </c>
      <c r="R1948">
        <v>-1.016541E-2</v>
      </c>
      <c r="S1948">
        <v>-3.0567929999999999</v>
      </c>
      <c r="T1948">
        <v>-0.121409199999999</v>
      </c>
      <c r="U1948">
        <v>-1.5686039999999998E-2</v>
      </c>
      <c r="V1948">
        <v>-6.0625390000000001E-2</v>
      </c>
      <c r="W1948">
        <v>0.17186560000000001</v>
      </c>
      <c r="X1948">
        <v>0.98325320000000005</v>
      </c>
      <c r="Y1948">
        <v>-5.6687620000000001E-2</v>
      </c>
      <c r="Z1948">
        <v>-3.1752540000000002E-3</v>
      </c>
      <c r="AA1948">
        <v>0.99838689999999997</v>
      </c>
      <c r="AB1948">
        <v>50</v>
      </c>
      <c r="AC1948">
        <v>-27.387799999999999</v>
      </c>
      <c r="AD1948">
        <v>-1.1083188867558</v>
      </c>
      <c r="AE1948">
        <v>-0.16969999999997701</v>
      </c>
      <c r="AF1948">
        <v>-1.58143814963592</v>
      </c>
      <c r="AG1948">
        <v>-1.1083188867558</v>
      </c>
      <c r="AH1948">
        <v>27.297778668976399</v>
      </c>
      <c r="AI1948">
        <v>92.321105154445107</v>
      </c>
      <c r="AJ1948">
        <v>93.315601891491895</v>
      </c>
      <c r="AK1948">
        <v>27.366001491563999</v>
      </c>
      <c r="AL1948">
        <v>80.103693661139204</v>
      </c>
      <c r="AM1948">
        <v>93.528274458298199</v>
      </c>
      <c r="AN1948">
        <v>1.0000000388431201</v>
      </c>
    </row>
    <row r="1949" spans="1:40" x14ac:dyDescent="0.25">
      <c r="A1949" t="str">
        <f>"20190312172655019"</f>
        <v>20190312172655019</v>
      </c>
      <c r="B1949" t="str">
        <f>"1552382815010665"</f>
        <v>1552382815010665</v>
      </c>
      <c r="C1949" t="s">
        <v>40</v>
      </c>
      <c r="D1949">
        <v>3.4048569999999998</v>
      </c>
      <c r="E1949">
        <v>0.50407800000000003</v>
      </c>
      <c r="F1949" t="s">
        <v>48</v>
      </c>
      <c r="G1949">
        <v>-451.78829999999999</v>
      </c>
      <c r="H1949" s="1">
        <v>-6.36022E-7</v>
      </c>
      <c r="I1949">
        <v>285.78070000000002</v>
      </c>
      <c r="J1949">
        <v>-424.43169999999998</v>
      </c>
      <c r="K1949">
        <v>1.1084860000000001</v>
      </c>
      <c r="L1949">
        <v>285.96859999999998</v>
      </c>
      <c r="M1949">
        <v>-0.99852870000000005</v>
      </c>
      <c r="N1949">
        <v>0</v>
      </c>
      <c r="O1949">
        <v>5.21065E-2</v>
      </c>
      <c r="P1949">
        <v>-0.98753599999999997</v>
      </c>
      <c r="Q1949">
        <v>0.15700639999999999</v>
      </c>
      <c r="R1949">
        <v>-1.1031289999999999E-2</v>
      </c>
      <c r="S1949">
        <v>-3.056915</v>
      </c>
      <c r="T1949">
        <v>-0.1216111</v>
      </c>
      <c r="U1949">
        <v>-1.773071E-2</v>
      </c>
      <c r="V1949">
        <v>-6.2013980000000003E-2</v>
      </c>
      <c r="W1949">
        <v>0.17196</v>
      </c>
      <c r="X1949">
        <v>0.98315010000000003</v>
      </c>
      <c r="Y1949">
        <v>-5.7816800000000002E-2</v>
      </c>
      <c r="Z1949">
        <v>-3.2212650000000001E-3</v>
      </c>
      <c r="AA1949">
        <v>0.99832200000000004</v>
      </c>
      <c r="AB1949">
        <v>50</v>
      </c>
      <c r="AC1949">
        <v>-27.3566</v>
      </c>
      <c r="AD1949">
        <v>-1.108486636022</v>
      </c>
      <c r="AE1949">
        <v>-0.18789999999995599</v>
      </c>
      <c r="AF1949">
        <v>-1.6106177160372299</v>
      </c>
      <c r="AG1949">
        <v>-1.108486636022</v>
      </c>
      <c r="AH1949">
        <v>27.264873630180801</v>
      </c>
      <c r="AI1949">
        <v>92.324100366766501</v>
      </c>
      <c r="AJ1949">
        <v>93.380704435061702</v>
      </c>
      <c r="AK1949">
        <v>27.3348891733473</v>
      </c>
      <c r="AL1949">
        <v>80.0982032825098</v>
      </c>
      <c r="AM1949">
        <v>93.609253834293099</v>
      </c>
      <c r="AN1949">
        <v>1.00000004722272</v>
      </c>
    </row>
    <row r="1950" spans="1:40" x14ac:dyDescent="0.25">
      <c r="A1950" t="str">
        <f>"20190312172655041"</f>
        <v>20190312172655041</v>
      </c>
      <c r="B1950" t="str">
        <f>"1552382815030187"</f>
        <v>1552382815030187</v>
      </c>
      <c r="C1950" t="s">
        <v>40</v>
      </c>
      <c r="D1950">
        <v>3.3857970000000002</v>
      </c>
      <c r="E1950">
        <v>0.50392870000000001</v>
      </c>
      <c r="F1950" t="s">
        <v>48</v>
      </c>
      <c r="G1950">
        <v>-452.21300000000002</v>
      </c>
      <c r="H1950" s="1">
        <v>-4.0981300000000002E-7</v>
      </c>
      <c r="I1950">
        <v>285.77530000000002</v>
      </c>
      <c r="J1950">
        <v>-424.9427</v>
      </c>
      <c r="K1950">
        <v>1.1086640000000001</v>
      </c>
      <c r="L1950">
        <v>285.99540000000002</v>
      </c>
      <c r="M1950">
        <v>-0.99851429999999997</v>
      </c>
      <c r="N1950">
        <v>0</v>
      </c>
      <c r="O1950">
        <v>5.2380540000000003E-2</v>
      </c>
      <c r="P1950">
        <v>-0.98745749999999999</v>
      </c>
      <c r="Q1950">
        <v>0.15742149999999999</v>
      </c>
      <c r="R1950">
        <v>-1.2091859999999999E-2</v>
      </c>
      <c r="S1950">
        <v>-3.057007</v>
      </c>
      <c r="T1950">
        <v>-0.1219759</v>
      </c>
      <c r="U1950">
        <v>-2.1270750000000001E-2</v>
      </c>
      <c r="V1950">
        <v>-6.3415509999999994E-2</v>
      </c>
      <c r="W1950">
        <v>0.1723442</v>
      </c>
      <c r="X1950">
        <v>0.98299340000000002</v>
      </c>
      <c r="Y1950">
        <v>-5.9244680000000001E-2</v>
      </c>
      <c r="Z1950">
        <v>-3.2702220000000001E-3</v>
      </c>
      <c r="AA1950">
        <v>0.99823810000000002</v>
      </c>
      <c r="AB1950">
        <v>50</v>
      </c>
      <c r="AC1950">
        <v>-27.270299999999999</v>
      </c>
      <c r="AD1950">
        <v>-1.1086644098130001</v>
      </c>
      <c r="AE1950">
        <v>-0.22010000000000199</v>
      </c>
      <c r="AF1950">
        <v>-1.6456720906086799</v>
      </c>
      <c r="AG1950">
        <v>-1.1086644098130001</v>
      </c>
      <c r="AH1950">
        <v>27.176410297858599</v>
      </c>
      <c r="AI1950">
        <v>92.331825084266598</v>
      </c>
      <c r="AJ1950">
        <v>93.465323988459303</v>
      </c>
      <c r="AK1950">
        <v>27.248755018916899</v>
      </c>
      <c r="AL1950">
        <v>80.075856518394701</v>
      </c>
      <c r="AM1950">
        <v>93.691187527176396</v>
      </c>
      <c r="AN1950">
        <v>1.0000000373128699</v>
      </c>
    </row>
    <row r="1951" spans="1:40" x14ac:dyDescent="0.25">
      <c r="A1951" t="str">
        <f>"20190312172655064"</f>
        <v>20190312172655064</v>
      </c>
      <c r="B1951" t="str">
        <f>"1552382815060442"</f>
        <v>1552382815060442</v>
      </c>
      <c r="C1951" t="s">
        <v>40</v>
      </c>
      <c r="D1951">
        <v>3.3607230000000001</v>
      </c>
      <c r="E1951">
        <v>0.5036851</v>
      </c>
      <c r="F1951" t="s">
        <v>48</v>
      </c>
      <c r="G1951">
        <v>-452.91890000000001</v>
      </c>
      <c r="H1951" s="1">
        <v>-3.3559890000000002E-8</v>
      </c>
      <c r="I1951">
        <v>285.76139999999998</v>
      </c>
      <c r="J1951">
        <v>-425.43920000000003</v>
      </c>
      <c r="K1951">
        <v>1.108865</v>
      </c>
      <c r="L1951">
        <v>286.02140000000003</v>
      </c>
      <c r="M1951">
        <v>-0.99851109999999998</v>
      </c>
      <c r="N1951">
        <v>0</v>
      </c>
      <c r="O1951">
        <v>5.2443370000000003E-2</v>
      </c>
      <c r="P1951">
        <v>-0.98743599999999998</v>
      </c>
      <c r="Q1951">
        <v>0.15744379999999999</v>
      </c>
      <c r="R1951">
        <v>-1.347958E-2</v>
      </c>
      <c r="S1951">
        <v>-3.0570979999999999</v>
      </c>
      <c r="T1951">
        <v>-0.1211493</v>
      </c>
      <c r="U1951">
        <v>-2.5573729999999999E-2</v>
      </c>
      <c r="V1951">
        <v>-6.4945970000000006E-2</v>
      </c>
      <c r="W1951">
        <v>0.17233289999999901</v>
      </c>
      <c r="X1951">
        <v>0.98289539999999997</v>
      </c>
      <c r="Y1951">
        <v>-6.0712210000000003E-2</v>
      </c>
      <c r="Z1951">
        <v>-3.279536E-3</v>
      </c>
      <c r="AA1951">
        <v>0.99814990000000003</v>
      </c>
      <c r="AB1951">
        <v>50</v>
      </c>
      <c r="AC1951">
        <v>-27.479699999999902</v>
      </c>
      <c r="AD1951">
        <v>-1.10886503355989</v>
      </c>
      <c r="AE1951">
        <v>-0.26000000000004703</v>
      </c>
      <c r="AF1951">
        <v>-1.6981676886805801</v>
      </c>
      <c r="AG1951">
        <v>-1.10886503355989</v>
      </c>
      <c r="AH1951">
        <v>27.3836551264829</v>
      </c>
      <c r="AI1951">
        <v>92.314409044018106</v>
      </c>
      <c r="AJ1951">
        <v>93.548591343639103</v>
      </c>
      <c r="AK1951">
        <v>27.458658438599699</v>
      </c>
      <c r="AL1951">
        <v>80.076513294587997</v>
      </c>
      <c r="AM1951">
        <v>93.780390629355693</v>
      </c>
      <c r="AN1951">
        <v>0.99999998739140505</v>
      </c>
    </row>
    <row r="1952" spans="1:40" x14ac:dyDescent="0.25">
      <c r="A1952" t="str">
        <f>"20190312172655084"</f>
        <v>20190312172655084</v>
      </c>
      <c r="B1952" t="str">
        <f>"1552382815080940"</f>
        <v>1552382815080940</v>
      </c>
      <c r="C1952" t="s">
        <v>40</v>
      </c>
      <c r="D1952">
        <v>3.3539240000000001</v>
      </c>
      <c r="E1952">
        <v>0.50354279999999996</v>
      </c>
      <c r="F1952" t="s">
        <v>48</v>
      </c>
      <c r="G1952">
        <v>-453.31979999999999</v>
      </c>
      <c r="H1952" s="1">
        <v>1.8096260000000001E-7</v>
      </c>
      <c r="I1952">
        <v>285.73419999999999</v>
      </c>
      <c r="J1952">
        <v>-425.92149999999998</v>
      </c>
      <c r="K1952">
        <v>1.1090789999999999</v>
      </c>
      <c r="L1952">
        <v>286.04669999999999</v>
      </c>
      <c r="M1952">
        <v>-0.99851829999999997</v>
      </c>
      <c r="N1952">
        <v>0</v>
      </c>
      <c r="O1952">
        <v>5.2305219999999999E-2</v>
      </c>
      <c r="P1952">
        <v>-0.98733400000000004</v>
      </c>
      <c r="Q1952">
        <v>0.15794079999999999</v>
      </c>
      <c r="R1952">
        <v>-1.504577E-2</v>
      </c>
      <c r="S1952">
        <v>-3.0571290000000002</v>
      </c>
      <c r="T1952">
        <v>-0.121588</v>
      </c>
      <c r="U1952">
        <v>-3.1494139999999997E-2</v>
      </c>
      <c r="V1952">
        <v>-6.6456169999999995E-2</v>
      </c>
      <c r="W1952">
        <v>0.1727928</v>
      </c>
      <c r="X1952">
        <v>0.98271370000000002</v>
      </c>
      <c r="Y1952">
        <v>-6.2504809999999994E-2</v>
      </c>
      <c r="Z1952">
        <v>-3.3215110000000001E-3</v>
      </c>
      <c r="AA1952">
        <v>0.99803909999999996</v>
      </c>
      <c r="AB1952">
        <v>50</v>
      </c>
      <c r="AC1952">
        <v>-27.398299999999999</v>
      </c>
      <c r="AD1952">
        <v>-1.1090788190373999</v>
      </c>
      <c r="AE1952">
        <v>-0.3125</v>
      </c>
      <c r="AF1952">
        <v>-1.7424529152272199</v>
      </c>
      <c r="AG1952">
        <v>-1.1090788190373999</v>
      </c>
      <c r="AH1952">
        <v>27.299712052150301</v>
      </c>
      <c r="AI1952">
        <v>92.321701358240205</v>
      </c>
      <c r="AJ1952">
        <v>93.652051595679794</v>
      </c>
      <c r="AK1952">
        <v>27.3777368699267</v>
      </c>
      <c r="AL1952">
        <v>80.049761729079904</v>
      </c>
      <c r="AM1952">
        <v>93.868745894600906</v>
      </c>
      <c r="AN1952">
        <v>0.99999999521529903</v>
      </c>
    </row>
    <row r="1953" spans="1:40" x14ac:dyDescent="0.25">
      <c r="A1953" t="str">
        <f>"20190312172655109"</f>
        <v>20190312172655109</v>
      </c>
      <c r="B1953" t="str">
        <f>"1552382815100458"</f>
        <v>1552382815100458</v>
      </c>
      <c r="C1953" t="s">
        <v>40</v>
      </c>
      <c r="D1953">
        <v>3.3556309999999998</v>
      </c>
      <c r="E1953">
        <v>0.50340620000000003</v>
      </c>
      <c r="F1953" t="s">
        <v>48</v>
      </c>
      <c r="G1953">
        <v>-454.11419999999998</v>
      </c>
      <c r="H1953" s="1">
        <v>6.0493150000000005E-7</v>
      </c>
      <c r="I1953">
        <v>285.70670000000001</v>
      </c>
      <c r="J1953">
        <v>-426.43349999999998</v>
      </c>
      <c r="K1953">
        <v>1.1093309999999901</v>
      </c>
      <c r="L1953">
        <v>286.07319999999999</v>
      </c>
      <c r="M1953">
        <v>-0.9985368</v>
      </c>
      <c r="N1953">
        <v>0</v>
      </c>
      <c r="O1953">
        <v>5.1952100000000001E-2</v>
      </c>
      <c r="P1953">
        <v>-0.9870835</v>
      </c>
      <c r="Q1953">
        <v>0.15932639999999901</v>
      </c>
      <c r="R1953">
        <v>-1.6769659999999999E-2</v>
      </c>
      <c r="S1953">
        <v>-3.0571899999999999</v>
      </c>
      <c r="T1953">
        <v>-0.1202675</v>
      </c>
      <c r="U1953">
        <v>-3.6865229999999999E-2</v>
      </c>
      <c r="V1953">
        <v>-6.7914959999999996E-2</v>
      </c>
      <c r="W1953">
        <v>0.17413310000000001</v>
      </c>
      <c r="X1953">
        <v>0.98237739999999996</v>
      </c>
      <c r="Y1953">
        <v>-6.3905970000000006E-2</v>
      </c>
      <c r="Z1953">
        <v>-3.2990659999999998E-3</v>
      </c>
      <c r="AA1953">
        <v>0.99795049999999996</v>
      </c>
      <c r="AB1953">
        <v>50</v>
      </c>
      <c r="AC1953">
        <v>-27.680700000000002</v>
      </c>
      <c r="AD1953">
        <v>-1.1093303950684901</v>
      </c>
      <c r="AE1953">
        <v>-0.36649999999997301</v>
      </c>
      <c r="AF1953">
        <v>-1.80134483459538</v>
      </c>
      <c r="AG1953">
        <v>-1.1093303950684901</v>
      </c>
      <c r="AH1953">
        <v>27.579980409156001</v>
      </c>
      <c r="AI1953">
        <v>92.298434838328504</v>
      </c>
      <c r="AJ1953">
        <v>93.736879818861794</v>
      </c>
      <c r="AK1953">
        <v>27.660997388163199</v>
      </c>
      <c r="AL1953">
        <v>79.971786838428798</v>
      </c>
      <c r="AM1953">
        <v>93.954752027342394</v>
      </c>
      <c r="AN1953">
        <v>1.0000000671690801</v>
      </c>
    </row>
    <row r="1954" spans="1:40" x14ac:dyDescent="0.25">
      <c r="A1954" t="str">
        <f>"20190312172655130"</f>
        <v>20190312172655130</v>
      </c>
      <c r="B1954" t="str">
        <f>"1552382815120954"</f>
        <v>1552382815120954</v>
      </c>
      <c r="C1954" t="s">
        <v>40</v>
      </c>
      <c r="D1954">
        <v>3.3636240000000002</v>
      </c>
      <c r="E1954">
        <v>0.50327730000000004</v>
      </c>
      <c r="F1954" t="s">
        <v>48</v>
      </c>
      <c r="G1954">
        <v>-455.56729999999999</v>
      </c>
      <c r="H1954" s="1">
        <v>1.3798910000000001E-6</v>
      </c>
      <c r="I1954">
        <v>285.66730000000001</v>
      </c>
      <c r="J1954">
        <v>-426.93060000000003</v>
      </c>
      <c r="K1954">
        <v>1.1095699999999999</v>
      </c>
      <c r="L1954">
        <v>286.09879999999998</v>
      </c>
      <c r="M1954">
        <v>-0.99856590000000001</v>
      </c>
      <c r="N1954">
        <v>0</v>
      </c>
      <c r="O1954">
        <v>5.139469E-2</v>
      </c>
      <c r="P1954">
        <v>-0.98683790000000005</v>
      </c>
      <c r="Q1954">
        <v>0.1607017</v>
      </c>
      <c r="R1954">
        <v>-1.8065830000000001E-2</v>
      </c>
      <c r="S1954">
        <v>-3.0572810000000001</v>
      </c>
      <c r="T1954">
        <v>-0.1164126</v>
      </c>
      <c r="U1954">
        <v>-4.2602540000000001E-2</v>
      </c>
      <c r="V1954">
        <v>-6.8747240000000001E-2</v>
      </c>
      <c r="W1954">
        <v>0.1754626</v>
      </c>
      <c r="X1954">
        <v>0.98208280000000003</v>
      </c>
      <c r="Y1954">
        <v>-6.5225989999999998E-2</v>
      </c>
      <c r="Z1954">
        <v>-3.1972099999999998E-3</v>
      </c>
      <c r="AA1954">
        <v>0.99786540000000001</v>
      </c>
      <c r="AB1954">
        <v>50</v>
      </c>
      <c r="AC1954">
        <v>-28.636699999999902</v>
      </c>
      <c r="AD1954">
        <v>-1.109568620109</v>
      </c>
      <c r="AE1954">
        <v>-0.43149999999997102</v>
      </c>
      <c r="AF1954">
        <v>-1.90001751678141</v>
      </c>
      <c r="AG1954">
        <v>-1.109568620109</v>
      </c>
      <c r="AH1954">
        <v>28.533838859784801</v>
      </c>
      <c r="AI1954">
        <v>92.221969529945497</v>
      </c>
      <c r="AJ1954">
        <v>93.809599990675693</v>
      </c>
      <c r="AK1954">
        <v>28.6185458953276</v>
      </c>
      <c r="AL1954">
        <v>79.894419972898802</v>
      </c>
      <c r="AM1954">
        <v>94.0042567744471</v>
      </c>
      <c r="AN1954">
        <v>0.99999996653110801</v>
      </c>
    </row>
    <row r="1955" spans="1:40" x14ac:dyDescent="0.25">
      <c r="A1955" t="str">
        <f>"20190312172655153"</f>
        <v>20190312172655153</v>
      </c>
      <c r="B1955" t="str">
        <f>"1552382815140474"</f>
        <v>1552382815140474</v>
      </c>
      <c r="C1955" t="s">
        <v>40</v>
      </c>
      <c r="D1955">
        <v>3.3387159999999998</v>
      </c>
      <c r="E1955">
        <v>0.50317279999999998</v>
      </c>
      <c r="F1955" t="s">
        <v>48</v>
      </c>
      <c r="G1955">
        <v>-457.10320000000002</v>
      </c>
      <c r="H1955" s="1">
        <v>2.1989240000000001E-6</v>
      </c>
      <c r="I1955">
        <v>285.62889999999999</v>
      </c>
      <c r="J1955">
        <v>-427.42399999999998</v>
      </c>
      <c r="K1955">
        <v>1.1098030000000001</v>
      </c>
      <c r="L1955">
        <v>286.12369999999999</v>
      </c>
      <c r="M1955">
        <v>-0.99860190000000004</v>
      </c>
      <c r="N1955">
        <v>0</v>
      </c>
      <c r="O1955">
        <v>5.0689940000000003E-2</v>
      </c>
      <c r="P1955">
        <v>-0.98668029999999995</v>
      </c>
      <c r="Q1955">
        <v>0.16148299999999999</v>
      </c>
      <c r="R1955">
        <v>-1.9631260000000001E-2</v>
      </c>
      <c r="S1955">
        <v>-3.0574650000000001</v>
      </c>
      <c r="T1955">
        <v>-0.1124352</v>
      </c>
      <c r="U1955">
        <v>-4.7607419999999998E-2</v>
      </c>
      <c r="V1955">
        <v>-6.9705379999999997E-2</v>
      </c>
      <c r="W1955">
        <v>0.1762001</v>
      </c>
      <c r="X1955">
        <v>0.98188319999999996</v>
      </c>
      <c r="Y1955">
        <v>-6.6159499999999996E-2</v>
      </c>
      <c r="Z1955">
        <v>-3.0791130000000001E-3</v>
      </c>
      <c r="AA1955">
        <v>0.99780429999999998</v>
      </c>
      <c r="AB1955">
        <v>50</v>
      </c>
      <c r="AC1955">
        <v>-29.679199999999899</v>
      </c>
      <c r="AD1955">
        <v>-1.1098008010760001</v>
      </c>
      <c r="AE1955">
        <v>-0.49479999999999702</v>
      </c>
      <c r="AF1955">
        <v>-1.9959796284788101</v>
      </c>
      <c r="AG1955">
        <v>-1.1098008010760001</v>
      </c>
      <c r="AH1955">
        <v>29.574611490733901</v>
      </c>
      <c r="AI1955">
        <v>92.144168868589603</v>
      </c>
      <c r="AJ1955">
        <v>93.861016027060003</v>
      </c>
      <c r="AK1955">
        <v>29.6626572869529</v>
      </c>
      <c r="AL1955">
        <v>79.851495587252401</v>
      </c>
      <c r="AM1955">
        <v>94.060701869899901</v>
      </c>
      <c r="AN1955">
        <v>0.99999996684159598</v>
      </c>
    </row>
    <row r="1956" spans="1:40" x14ac:dyDescent="0.25">
      <c r="A1956" t="str">
        <f>"20190312172655174"</f>
        <v>20190312172655174</v>
      </c>
      <c r="B1956" t="str">
        <f>"1552382815170731"</f>
        <v>1552382815170731</v>
      </c>
      <c r="C1956" t="s">
        <v>40</v>
      </c>
      <c r="D1956">
        <v>3.317917</v>
      </c>
      <c r="E1956">
        <v>0.50303180000000003</v>
      </c>
      <c r="F1956" t="s">
        <v>48</v>
      </c>
      <c r="G1956">
        <v>-458.14249999999998</v>
      </c>
      <c r="H1956" s="1">
        <v>2.7534519999999999E-6</v>
      </c>
      <c r="I1956">
        <v>285.5951</v>
      </c>
      <c r="J1956">
        <v>-427.91390000000001</v>
      </c>
      <c r="K1956">
        <v>1.1100289999999999</v>
      </c>
      <c r="L1956">
        <v>286.14800000000002</v>
      </c>
      <c r="M1956">
        <v>-0.99864390000000003</v>
      </c>
      <c r="N1956">
        <v>0</v>
      </c>
      <c r="O1956">
        <v>4.9854320000000001E-2</v>
      </c>
      <c r="P1956">
        <v>-0.98652200000000001</v>
      </c>
      <c r="Q1956">
        <v>0.16225110000000001</v>
      </c>
      <c r="R1956">
        <v>-2.1198620000000001E-2</v>
      </c>
      <c r="S1956">
        <v>-3.0575260000000002</v>
      </c>
      <c r="T1956">
        <v>-0.1104624</v>
      </c>
      <c r="U1956">
        <v>-5.2612300000000001E-2</v>
      </c>
      <c r="V1956">
        <v>-7.0534570000000005E-2</v>
      </c>
      <c r="W1956">
        <v>0.1769252</v>
      </c>
      <c r="X1956">
        <v>0.98169360000000006</v>
      </c>
      <c r="Y1956">
        <v>-6.6959889999999994E-2</v>
      </c>
      <c r="Z1956">
        <v>-3.0093350000000001E-3</v>
      </c>
      <c r="AA1956">
        <v>0.9977511</v>
      </c>
      <c r="AB1956">
        <v>50</v>
      </c>
      <c r="AC1956">
        <v>-30.228599999999901</v>
      </c>
      <c r="AD1956">
        <v>-1.110026246548</v>
      </c>
      <c r="AE1956">
        <v>-0.55289999999996498</v>
      </c>
      <c r="AF1956">
        <v>-2.05663579648049</v>
      </c>
      <c r="AG1956">
        <v>-1.110026246548</v>
      </c>
      <c r="AH1956">
        <v>30.122829596300299</v>
      </c>
      <c r="AI1956">
        <v>92.105497296564195</v>
      </c>
      <c r="AJ1956">
        <v>93.905807182801695</v>
      </c>
      <c r="AK1956">
        <v>30.213354199015001</v>
      </c>
      <c r="AL1956">
        <v>79.809287516849494</v>
      </c>
      <c r="AM1956">
        <v>94.109632881981696</v>
      </c>
      <c r="AN1956">
        <v>0.99999998812054203</v>
      </c>
    </row>
    <row r="1957" spans="1:40" x14ac:dyDescent="0.25">
      <c r="A1957" t="str">
        <f>"20190312172655197"</f>
        <v>20190312172655197</v>
      </c>
      <c r="B1957" t="str">
        <f>"1552382815190251"</f>
        <v>1552382815190251</v>
      </c>
      <c r="C1957" t="s">
        <v>40</v>
      </c>
      <c r="D1957">
        <v>3.354457</v>
      </c>
      <c r="E1957">
        <v>0.50298129999999996</v>
      </c>
      <c r="F1957" t="s">
        <v>48</v>
      </c>
      <c r="G1957">
        <v>-459.02949999999998</v>
      </c>
      <c r="H1957" s="1">
        <v>3.2270549999999998E-6</v>
      </c>
      <c r="I1957">
        <v>285.55950000000001</v>
      </c>
      <c r="J1957">
        <v>-428.41910000000001</v>
      </c>
      <c r="K1957">
        <v>1.110252</v>
      </c>
      <c r="L1957">
        <v>286.17250000000001</v>
      </c>
      <c r="M1957">
        <v>-0.99869370000000002</v>
      </c>
      <c r="N1957">
        <v>0</v>
      </c>
      <c r="O1957">
        <v>4.8846479999999998E-2</v>
      </c>
      <c r="P1957">
        <v>-0.98637949999999996</v>
      </c>
      <c r="Q1957">
        <v>0.1629622</v>
      </c>
      <c r="R1957">
        <v>-2.23339E-2</v>
      </c>
      <c r="S1957">
        <v>-3.057709</v>
      </c>
      <c r="T1957">
        <v>-0.10908130000000001</v>
      </c>
      <c r="U1957">
        <v>-5.7830810000000003E-2</v>
      </c>
      <c r="V1957">
        <v>-7.0763709999999994E-2</v>
      </c>
      <c r="W1957">
        <v>0.177594</v>
      </c>
      <c r="X1957">
        <v>0.9815564</v>
      </c>
      <c r="Y1957">
        <v>-6.7656320000000006E-2</v>
      </c>
      <c r="Z1957">
        <v>-2.9480270000000002E-3</v>
      </c>
      <c r="AA1957">
        <v>0.99770429999999999</v>
      </c>
      <c r="AB1957">
        <v>50</v>
      </c>
      <c r="AC1957">
        <v>-30.610399999999899</v>
      </c>
      <c r="AD1957">
        <v>-1.1102487729449999</v>
      </c>
      <c r="AE1957">
        <v>-0.61299999999999899</v>
      </c>
      <c r="AF1957">
        <v>-2.1048786307913501</v>
      </c>
      <c r="AG1957">
        <v>-1.1102487729449999</v>
      </c>
      <c r="AH1957">
        <v>30.503793088164301</v>
      </c>
      <c r="AI1957">
        <v>92.079537852007505</v>
      </c>
      <c r="AJ1957">
        <v>93.947371137526403</v>
      </c>
      <c r="AK1957">
        <v>30.5964795222216</v>
      </c>
      <c r="AL1957">
        <v>79.7703521415268</v>
      </c>
      <c r="AM1957">
        <v>94.123511859725994</v>
      </c>
      <c r="AN1957">
        <v>1.0000000489349601</v>
      </c>
    </row>
    <row r="1958" spans="1:40" x14ac:dyDescent="0.25">
      <c r="A1958" t="str">
        <f>"20190312172655219"</f>
        <v>20190312172655219</v>
      </c>
      <c r="B1958" t="str">
        <f>"1552382815210746"</f>
        <v>1552382815210746</v>
      </c>
      <c r="C1958" t="s">
        <v>40</v>
      </c>
      <c r="D1958">
        <v>3.3257089999999998</v>
      </c>
      <c r="E1958">
        <v>0.50334789999999996</v>
      </c>
      <c r="F1958" t="s">
        <v>48</v>
      </c>
      <c r="G1958">
        <v>-460.13459999999998</v>
      </c>
      <c r="H1958" s="1">
        <v>-1.5052509999999999E-6</v>
      </c>
      <c r="I1958">
        <v>285.53309999999999</v>
      </c>
      <c r="J1958">
        <v>-428.91840000000002</v>
      </c>
      <c r="K1958">
        <v>1.110465</v>
      </c>
      <c r="L1958">
        <v>286.19619999999998</v>
      </c>
      <c r="M1958">
        <v>-0.99874940000000001</v>
      </c>
      <c r="N1958">
        <v>0</v>
      </c>
      <c r="O1958">
        <v>4.7699999999999999E-2</v>
      </c>
      <c r="P1958">
        <v>-0.986294</v>
      </c>
      <c r="Q1958">
        <v>0.16334299999999999</v>
      </c>
      <c r="R1958">
        <v>-2.3318129999999999E-2</v>
      </c>
      <c r="S1958">
        <v>-3.057709</v>
      </c>
      <c r="T1958">
        <v>-0.1070403</v>
      </c>
      <c r="U1958">
        <v>-6.1645510000000001E-2</v>
      </c>
      <c r="V1958">
        <v>-7.0703589999999997E-2</v>
      </c>
      <c r="W1958">
        <v>0.1779356</v>
      </c>
      <c r="X1958">
        <v>0.9814988</v>
      </c>
      <c r="Y1958">
        <v>-6.7758600000000002E-2</v>
      </c>
      <c r="Z1958">
        <v>-2.8545699999999999E-3</v>
      </c>
      <c r="AA1958">
        <v>0.99769770000000002</v>
      </c>
      <c r="AB1958">
        <v>50</v>
      </c>
      <c r="AC1958">
        <v>-31.216199999999901</v>
      </c>
      <c r="AD1958">
        <v>-1.1104665052509901</v>
      </c>
      <c r="AE1958">
        <v>-0.66309999999998503</v>
      </c>
      <c r="AF1958">
        <v>-2.1488068058099699</v>
      </c>
      <c r="AG1958">
        <v>-1.1104665052509901</v>
      </c>
      <c r="AH1958">
        <v>31.109674912001299</v>
      </c>
      <c r="AI1958">
        <v>92.039461988241996</v>
      </c>
      <c r="AJ1958">
        <v>93.951257107516099</v>
      </c>
      <c r="AK1958">
        <v>31.203563573386699</v>
      </c>
      <c r="AL1958">
        <v>79.750462468452398</v>
      </c>
      <c r="AM1958">
        <v>94.120261596334402</v>
      </c>
      <c r="AN1958">
        <v>0.99999998489384301</v>
      </c>
    </row>
    <row r="1959" spans="1:40" x14ac:dyDescent="0.25">
      <c r="A1959" t="str">
        <f>"20190312172655242"</f>
        <v>20190312172655242</v>
      </c>
      <c r="B1959" t="str">
        <f>"1552382815231242"</f>
        <v>1552382815231242</v>
      </c>
      <c r="C1959" t="s">
        <v>40</v>
      </c>
      <c r="D1959">
        <v>3.5006870000000001</v>
      </c>
      <c r="E1959">
        <v>0.53008</v>
      </c>
      <c r="F1959" t="s">
        <v>48</v>
      </c>
      <c r="G1959">
        <v>-460.76420000000002</v>
      </c>
      <c r="H1959" s="1">
        <v>-1.1706850000000001E-6</v>
      </c>
      <c r="I1959">
        <v>285.5437</v>
      </c>
      <c r="J1959">
        <v>-429.43619999999999</v>
      </c>
      <c r="K1959">
        <v>1.110679</v>
      </c>
      <c r="L1959">
        <v>286.2201</v>
      </c>
      <c r="M1959">
        <v>-0.9988129</v>
      </c>
      <c r="N1959">
        <v>0</v>
      </c>
      <c r="O1959">
        <v>4.6348590000000002E-2</v>
      </c>
      <c r="P1959">
        <v>-0.98630039999999997</v>
      </c>
      <c r="Q1959">
        <v>0.16311979999999901</v>
      </c>
      <c r="R1959">
        <v>-2.4569359999999998E-2</v>
      </c>
      <c r="S1959">
        <v>-3.0578609999999999</v>
      </c>
      <c r="T1959">
        <v>-0.10662820000000001</v>
      </c>
      <c r="U1959">
        <v>-6.2652589999999994E-2</v>
      </c>
      <c r="V1959">
        <v>-7.0714929999999995E-2</v>
      </c>
      <c r="W1959">
        <v>0.1776742</v>
      </c>
      <c r="X1959">
        <v>0.98154529999999995</v>
      </c>
      <c r="Y1959">
        <v>-6.6738080000000005E-2</v>
      </c>
      <c r="Z1959">
        <v>-2.778572E-3</v>
      </c>
      <c r="AA1959">
        <v>0.99776670000000001</v>
      </c>
      <c r="AB1959">
        <v>50</v>
      </c>
      <c r="AC1959">
        <v>-31.327999999999999</v>
      </c>
      <c r="AD1959">
        <v>-1.110680170685</v>
      </c>
      <c r="AE1959">
        <v>-0.676400000000001</v>
      </c>
      <c r="AF1959">
        <v>-2.1251746813545398</v>
      </c>
      <c r="AG1959">
        <v>-1.110680170685</v>
      </c>
      <c r="AH1959">
        <v>31.223743440047201</v>
      </c>
      <c r="AI1959">
        <v>92.032548078124293</v>
      </c>
      <c r="AJ1959">
        <v>93.893704680613197</v>
      </c>
      <c r="AK1959">
        <v>31.315685083959298</v>
      </c>
      <c r="AL1959">
        <v>79.765681730674302</v>
      </c>
      <c r="AM1959">
        <v>94.120725606845795</v>
      </c>
      <c r="AN1959">
        <v>0.99999994931131597</v>
      </c>
    </row>
    <row r="1960" spans="1:40" x14ac:dyDescent="0.25">
      <c r="A1960" t="str">
        <f>"20190312172655265"</f>
        <v>20190312172655265</v>
      </c>
      <c r="B1960" t="str">
        <f>"1552382815260523"</f>
        <v>1552382815260523</v>
      </c>
      <c r="C1960" t="s">
        <v>40</v>
      </c>
      <c r="D1960">
        <v>3.2438259999999999</v>
      </c>
      <c r="E1960">
        <v>0.53102280000000002</v>
      </c>
      <c r="F1960" t="s">
        <v>48</v>
      </c>
      <c r="G1960">
        <v>-455.27699999999999</v>
      </c>
      <c r="H1960" s="1">
        <v>1.1476569999999999E-6</v>
      </c>
      <c r="I1960">
        <v>287.44650000000001</v>
      </c>
      <c r="J1960">
        <v>-429.93169999999998</v>
      </c>
      <c r="K1960">
        <v>1.110881</v>
      </c>
      <c r="L1960">
        <v>286.24209999999999</v>
      </c>
      <c r="M1960">
        <v>-0.99887939999999997</v>
      </c>
      <c r="N1960">
        <v>0</v>
      </c>
      <c r="O1960">
        <v>4.4892599999999998E-2</v>
      </c>
      <c r="P1960">
        <v>-0.98628320000000003</v>
      </c>
      <c r="Q1960">
        <v>0.16304460000000001</v>
      </c>
      <c r="R1960">
        <v>-2.5731960000000002E-2</v>
      </c>
      <c r="S1960">
        <v>-3.0671390000000001</v>
      </c>
      <c r="T1960">
        <v>-0.13183029999999901</v>
      </c>
      <c r="U1960">
        <v>0.1455688</v>
      </c>
      <c r="V1960">
        <v>-7.0531029999999995E-2</v>
      </c>
      <c r="W1960">
        <v>0.177563</v>
      </c>
      <c r="X1960">
        <v>0.98157870000000003</v>
      </c>
      <c r="Y1960">
        <v>2.5514370000000001E-3</v>
      </c>
      <c r="Z1960">
        <v>-1.8720200000000001E-3</v>
      </c>
      <c r="AA1960">
        <v>0.99999499999999997</v>
      </c>
      <c r="AB1960">
        <v>50</v>
      </c>
      <c r="AC1960">
        <v>-25.345300000000002</v>
      </c>
      <c r="AD1960">
        <v>-1.1108798523429999</v>
      </c>
      <c r="AE1960">
        <v>1.2044000000000199</v>
      </c>
      <c r="AF1960">
        <v>6.5116451236927303E-2</v>
      </c>
      <c r="AG1960">
        <v>-1.1108798523429999</v>
      </c>
      <c r="AH1960">
        <v>25.325274749526301</v>
      </c>
      <c r="AI1960">
        <v>92.511630881981205</v>
      </c>
      <c r="AJ1960">
        <v>89.852681179260202</v>
      </c>
      <c r="AK1960">
        <v>25.3497107545147</v>
      </c>
      <c r="AL1960">
        <v>79.772156435415496</v>
      </c>
      <c r="AM1960">
        <v>94.109906719918996</v>
      </c>
      <c r="AN1960">
        <v>0.99999999472777501</v>
      </c>
    </row>
    <row r="1961" spans="1:40" x14ac:dyDescent="0.25">
      <c r="A1961" t="str">
        <f>"20190312172655286"</f>
        <v>20190312172655286</v>
      </c>
      <c r="B1961" t="str">
        <f>"1552382815281018"</f>
        <v>1552382815281018</v>
      </c>
      <c r="C1961" t="s">
        <v>40</v>
      </c>
      <c r="D1961">
        <v>3.2038880000000001</v>
      </c>
      <c r="E1961">
        <v>0.53107079999999995</v>
      </c>
      <c r="F1961" t="s">
        <v>48</v>
      </c>
      <c r="G1961">
        <v>-456.06939999999997</v>
      </c>
      <c r="H1961" s="1">
        <v>1.5665120000000001E-6</v>
      </c>
      <c r="I1961">
        <v>287.51100000000002</v>
      </c>
      <c r="J1961">
        <v>-430.40269999999998</v>
      </c>
      <c r="K1961">
        <v>1.1110770000000001</v>
      </c>
      <c r="L1961">
        <v>286.26240000000001</v>
      </c>
      <c r="M1961">
        <v>-0.99894720000000004</v>
      </c>
      <c r="N1961">
        <v>0</v>
      </c>
      <c r="O1961">
        <v>4.3355919999999999E-2</v>
      </c>
      <c r="P1961">
        <v>-0.9864079</v>
      </c>
      <c r="Q1961">
        <v>0.16222539999999999</v>
      </c>
      <c r="R1961">
        <v>-2.6119469999999999E-2</v>
      </c>
      <c r="S1961">
        <v>-3.0671689999999998</v>
      </c>
      <c r="T1961">
        <v>-0.13035769999999999</v>
      </c>
      <c r="U1961">
        <v>0.14889530000000001</v>
      </c>
      <c r="V1961">
        <v>-6.949379E-2</v>
      </c>
      <c r="W1961">
        <v>0.17671500000000001</v>
      </c>
      <c r="X1961">
        <v>0.9818057</v>
      </c>
      <c r="Y1961">
        <v>5.1667170000000004E-3</v>
      </c>
      <c r="Z1961">
        <v>-1.730365E-3</v>
      </c>
      <c r="AA1961">
        <v>0.99998520000000002</v>
      </c>
      <c r="AB1961">
        <v>50</v>
      </c>
      <c r="AC1961">
        <v>-25.666699999999899</v>
      </c>
      <c r="AD1961">
        <v>-1.111075433488</v>
      </c>
      <c r="AE1961">
        <v>1.24859999999995</v>
      </c>
      <c r="AF1961">
        <v>0.13424622698222</v>
      </c>
      <c r="AG1961">
        <v>-1.111075433488</v>
      </c>
      <c r="AH1961">
        <v>25.6487504158567</v>
      </c>
      <c r="AI1961">
        <v>92.480404956295601</v>
      </c>
      <c r="AJ1961">
        <v>89.700115137791002</v>
      </c>
      <c r="AK1961">
        <v>25.673155407220001</v>
      </c>
      <c r="AL1961">
        <v>79.821524073068204</v>
      </c>
      <c r="AM1961">
        <v>94.048735200480493</v>
      </c>
      <c r="AN1961">
        <v>1.00000000531302</v>
      </c>
    </row>
    <row r="1962" spans="1:40" x14ac:dyDescent="0.25">
      <c r="A1962" t="str">
        <f>"20190312172655309"</f>
        <v>20190312172655309</v>
      </c>
      <c r="B1962" t="str">
        <f>"1552382815300538"</f>
        <v>1552382815300538</v>
      </c>
      <c r="C1962" t="s">
        <v>40</v>
      </c>
      <c r="D1962">
        <v>3.1572819999999999</v>
      </c>
      <c r="E1962">
        <v>0.53127230000000003</v>
      </c>
      <c r="F1962" t="s">
        <v>48</v>
      </c>
      <c r="G1962">
        <v>-456.38130000000001</v>
      </c>
      <c r="H1962" s="1">
        <v>1.7325769999999999E-6</v>
      </c>
      <c r="I1962">
        <v>287.50970000000001</v>
      </c>
      <c r="J1962">
        <v>-430.88909999999998</v>
      </c>
      <c r="K1962">
        <v>1.1112850000000001</v>
      </c>
      <c r="L1962">
        <v>286.28230000000002</v>
      </c>
      <c r="M1962">
        <v>-0.99902159999999995</v>
      </c>
      <c r="N1962">
        <v>0</v>
      </c>
      <c r="O1962">
        <v>4.16114E-2</v>
      </c>
      <c r="P1962">
        <v>-0.98647019999999996</v>
      </c>
      <c r="Q1962">
        <v>0.1617537</v>
      </c>
      <c r="R1962">
        <v>-2.6698619999999999E-2</v>
      </c>
      <c r="S1962">
        <v>-3.0667719999999998</v>
      </c>
      <c r="T1962">
        <v>-0.13116220000000001</v>
      </c>
      <c r="U1962">
        <v>0.1472473</v>
      </c>
      <c r="V1962">
        <v>-6.8445240000000004E-2</v>
      </c>
      <c r="W1962">
        <v>0.1762137</v>
      </c>
      <c r="X1962">
        <v>0.98196939999999999</v>
      </c>
      <c r="Y1962">
        <v>6.380897E-3</v>
      </c>
      <c r="Z1962">
        <v>-1.6408939999999999E-3</v>
      </c>
      <c r="AA1962">
        <v>0.99997829999999999</v>
      </c>
      <c r="AB1962">
        <v>50</v>
      </c>
      <c r="AC1962">
        <v>-25.4922</v>
      </c>
      <c r="AD1962">
        <v>-1.111283267423</v>
      </c>
      <c r="AE1962">
        <v>1.2273999999999801</v>
      </c>
      <c r="AF1962">
        <v>0.165138444047535</v>
      </c>
      <c r="AG1962">
        <v>-1.111283267423</v>
      </c>
      <c r="AH1962">
        <v>25.4728994507993</v>
      </c>
      <c r="AI1962">
        <v>92.497955038155595</v>
      </c>
      <c r="AJ1962">
        <v>89.628561980232504</v>
      </c>
      <c r="AK1962">
        <v>25.497663179920799</v>
      </c>
      <c r="AL1962">
        <v>79.850703915872799</v>
      </c>
      <c r="AM1962">
        <v>93.987182217242903</v>
      </c>
      <c r="AN1962">
        <v>0.999999960741353</v>
      </c>
    </row>
    <row r="1963" spans="1:40" x14ac:dyDescent="0.25">
      <c r="A1963" t="str">
        <f>"20190312172655330"</f>
        <v>20190312172655330</v>
      </c>
      <c r="B1963" t="str">
        <f>"1552382815321036"</f>
        <v>1552382815321036</v>
      </c>
      <c r="C1963" t="s">
        <v>40</v>
      </c>
      <c r="D1963">
        <v>3.1530119999999999</v>
      </c>
      <c r="E1963">
        <v>0.53139139999999996</v>
      </c>
      <c r="F1963" t="s">
        <v>48</v>
      </c>
      <c r="G1963">
        <v>-456.34160000000003</v>
      </c>
      <c r="H1963" s="1">
        <v>1.7120599999999901E-6</v>
      </c>
      <c r="I1963">
        <v>287.49470000000002</v>
      </c>
      <c r="J1963">
        <v>-431.38889999999998</v>
      </c>
      <c r="K1963">
        <v>1.111505</v>
      </c>
      <c r="L1963">
        <v>286.30189999999999</v>
      </c>
      <c r="M1963">
        <v>-0.99910149999999998</v>
      </c>
      <c r="N1963">
        <v>0</v>
      </c>
      <c r="O1963">
        <v>3.9643829999999998E-2</v>
      </c>
      <c r="P1963">
        <v>-0.98652289999999998</v>
      </c>
      <c r="Q1963">
        <v>0.16122339999999999</v>
      </c>
      <c r="R1963">
        <v>-2.7928339999999999E-2</v>
      </c>
      <c r="S1963">
        <v>-3.0670470000000001</v>
      </c>
      <c r="T1963">
        <v>-0.13391049999999999</v>
      </c>
      <c r="U1963">
        <v>0.14608759999999901</v>
      </c>
      <c r="V1963">
        <v>-6.7828429999999995E-2</v>
      </c>
      <c r="W1963">
        <v>0.17565229999999901</v>
      </c>
      <c r="X1963">
        <v>0.98211280000000001</v>
      </c>
      <c r="Y1963">
        <v>7.9667219999999903E-3</v>
      </c>
      <c r="Z1963">
        <v>-1.5547989999999999E-3</v>
      </c>
      <c r="AA1963">
        <v>0.99996700000000005</v>
      </c>
      <c r="AB1963">
        <v>50</v>
      </c>
      <c r="AC1963">
        <v>-24.9527</v>
      </c>
      <c r="AD1963">
        <v>-1.11150328794</v>
      </c>
      <c r="AE1963">
        <v>1.1928000000000301</v>
      </c>
      <c r="AF1963">
        <v>0.202130260317675</v>
      </c>
      <c r="AG1963">
        <v>-1.11150328794</v>
      </c>
      <c r="AH1963">
        <v>24.931016653510699</v>
      </c>
      <c r="AI1963">
        <v>92.5526521976266</v>
      </c>
      <c r="AJ1963">
        <v>89.535479950794695</v>
      </c>
      <c r="AK1963">
        <v>24.956600080517099</v>
      </c>
      <c r="AL1963">
        <v>79.883379726966993</v>
      </c>
      <c r="AM1963">
        <v>93.950790025418399</v>
      </c>
      <c r="AN1963">
        <v>0.99999998916769695</v>
      </c>
    </row>
    <row r="1964" spans="1:40" x14ac:dyDescent="0.25">
      <c r="A1964" t="str">
        <f>"20190312172655352"</f>
        <v>20190312172655352</v>
      </c>
      <c r="B1964" t="str">
        <f>"1552382815340554"</f>
        <v>1552382815340554</v>
      </c>
      <c r="C1964" t="s">
        <v>40</v>
      </c>
      <c r="D1964">
        <v>3.1022699999999999</v>
      </c>
      <c r="E1964">
        <v>0.53156300000000001</v>
      </c>
      <c r="F1964" t="s">
        <v>48</v>
      </c>
      <c r="G1964">
        <v>-456.45420000000001</v>
      </c>
      <c r="H1964" s="1">
        <v>1.773268E-6</v>
      </c>
      <c r="I1964">
        <v>287.46600000000001</v>
      </c>
      <c r="J1964">
        <v>-431.87220000000002</v>
      </c>
      <c r="K1964">
        <v>1.1116999999999999</v>
      </c>
      <c r="L1964">
        <v>286.31970000000001</v>
      </c>
      <c r="M1964">
        <v>-0.99918030000000002</v>
      </c>
      <c r="N1964">
        <v>0</v>
      </c>
      <c r="O1964">
        <v>3.7607729999999999E-2</v>
      </c>
      <c r="P1964">
        <v>-0.98660579999999998</v>
      </c>
      <c r="Q1964">
        <v>0.16045599999999999</v>
      </c>
      <c r="R1964">
        <v>-2.937708E-2</v>
      </c>
      <c r="S1964">
        <v>-3.0672609999999998</v>
      </c>
      <c r="T1964">
        <v>-0.1360152</v>
      </c>
      <c r="U1964">
        <v>0.1424561</v>
      </c>
      <c r="V1964">
        <v>-6.7353399999999994E-2</v>
      </c>
      <c r="W1964">
        <v>0.1748575</v>
      </c>
      <c r="X1964">
        <v>0.98228729999999997</v>
      </c>
      <c r="Y1964">
        <v>8.8179950000000003E-3</v>
      </c>
      <c r="Z1964">
        <v>-1.4701849999999999E-3</v>
      </c>
      <c r="AA1964">
        <v>0.99996010000000002</v>
      </c>
      <c r="AB1964">
        <v>50</v>
      </c>
      <c r="AC1964">
        <v>-24.581999999999901</v>
      </c>
      <c r="AD1964">
        <v>-1.1116982267319999</v>
      </c>
      <c r="AE1964">
        <v>1.1462999999999901</v>
      </c>
      <c r="AF1964">
        <v>0.22046203092380101</v>
      </c>
      <c r="AG1964">
        <v>-1.1116982267319999</v>
      </c>
      <c r="AH1964">
        <v>24.5576042028523</v>
      </c>
      <c r="AI1964">
        <v>92.591848861871</v>
      </c>
      <c r="AJ1964">
        <v>89.485649964458503</v>
      </c>
      <c r="AK1964">
        <v>24.5837426084464</v>
      </c>
      <c r="AL1964">
        <v>79.929634226899594</v>
      </c>
      <c r="AM1964">
        <v>93.922512978907505</v>
      </c>
      <c r="AN1964">
        <v>0.99999998276954905</v>
      </c>
    </row>
    <row r="1965" spans="1:40" x14ac:dyDescent="0.25">
      <c r="A1965" t="str">
        <f>"20190312172655375"</f>
        <v>20190312172655375</v>
      </c>
      <c r="B1965" t="str">
        <f>"1552382815370810"</f>
        <v>1552382815370810</v>
      </c>
      <c r="C1965" t="s">
        <v>40</v>
      </c>
      <c r="D1965">
        <v>3.08684</v>
      </c>
      <c r="E1965">
        <v>0.53179690000000002</v>
      </c>
      <c r="F1965" t="s">
        <v>48</v>
      </c>
      <c r="G1965">
        <v>-456.3064</v>
      </c>
      <c r="H1965" s="1">
        <v>1.6963110000000001E-6</v>
      </c>
      <c r="I1965">
        <v>287.42720000000003</v>
      </c>
      <c r="J1965">
        <v>-432.37830000000002</v>
      </c>
      <c r="K1965">
        <v>1.111893</v>
      </c>
      <c r="L1965">
        <v>286.3372</v>
      </c>
      <c r="M1965">
        <v>-0.99926289999999995</v>
      </c>
      <c r="N1965">
        <v>0</v>
      </c>
      <c r="O1965">
        <v>3.5342199999999997E-2</v>
      </c>
      <c r="P1965">
        <v>-0.98656529999999998</v>
      </c>
      <c r="Q1965">
        <v>0.16034809999999999</v>
      </c>
      <c r="R1965">
        <v>-3.1267070000000001E-2</v>
      </c>
      <c r="S1965">
        <v>-3.067596</v>
      </c>
      <c r="T1965">
        <v>-0.1395681</v>
      </c>
      <c r="U1965">
        <v>0.1390381</v>
      </c>
      <c r="V1965">
        <v>-6.7090419999999998E-2</v>
      </c>
      <c r="W1965">
        <v>0.1747204</v>
      </c>
      <c r="X1965">
        <v>0.98232969999999997</v>
      </c>
      <c r="Y1965">
        <v>9.9662469999999993E-3</v>
      </c>
      <c r="Z1965">
        <v>-1.3794499999999999E-3</v>
      </c>
      <c r="AA1965">
        <v>0.99994939999999999</v>
      </c>
      <c r="AB1965">
        <v>50</v>
      </c>
      <c r="AC1965">
        <v>-23.928099999999901</v>
      </c>
      <c r="AD1965">
        <v>-1.1118913036889999</v>
      </c>
      <c r="AE1965">
        <v>1.0900000000000301</v>
      </c>
      <c r="AF1965">
        <v>0.243028536771599</v>
      </c>
      <c r="AG1965">
        <v>-1.1118913036889999</v>
      </c>
      <c r="AH1965">
        <v>23.900175130507499</v>
      </c>
      <c r="AI1965">
        <v>92.663473860003705</v>
      </c>
      <c r="AJ1965">
        <v>89.417408889701207</v>
      </c>
      <c r="AK1965">
        <v>23.9272592749323</v>
      </c>
      <c r="AL1965">
        <v>79.937612377751293</v>
      </c>
      <c r="AM1965">
        <v>93.907077011454703</v>
      </c>
      <c r="AN1965">
        <v>0.99999999106701298</v>
      </c>
    </row>
    <row r="1966" spans="1:40" x14ac:dyDescent="0.25">
      <c r="A1966" t="str">
        <f>"20190312172655398"</f>
        <v>20190312172655398</v>
      </c>
      <c r="B1966" t="str">
        <f>"1552382815391307"</f>
        <v>1552382815391307</v>
      </c>
      <c r="C1966" t="s">
        <v>40</v>
      </c>
      <c r="D1966">
        <v>3.0691380000000001</v>
      </c>
      <c r="E1966">
        <v>0.53199169999999996</v>
      </c>
      <c r="F1966" t="s">
        <v>48</v>
      </c>
      <c r="G1966">
        <v>-457.02789999999999</v>
      </c>
      <c r="H1966" s="1">
        <v>2.0805900000000002E-6</v>
      </c>
      <c r="I1966">
        <v>287.41890000000001</v>
      </c>
      <c r="J1966">
        <v>-432.86959999999999</v>
      </c>
      <c r="K1966">
        <v>1.1120699999999999</v>
      </c>
      <c r="L1966">
        <v>286.35309999999998</v>
      </c>
      <c r="M1966">
        <v>-0.99934230000000002</v>
      </c>
      <c r="N1966">
        <v>0</v>
      </c>
      <c r="O1966">
        <v>3.3024480000000002E-2</v>
      </c>
      <c r="P1966">
        <v>-0.98635830000000002</v>
      </c>
      <c r="Q1966">
        <v>0.16113</v>
      </c>
      <c r="R1966">
        <v>-3.3683739999999997E-2</v>
      </c>
      <c r="S1966">
        <v>-3.0676269999999999</v>
      </c>
      <c r="T1966">
        <v>-0.13837439999999901</v>
      </c>
      <c r="U1966">
        <v>0.13461300000000001</v>
      </c>
      <c r="V1966">
        <v>-6.729396E-2</v>
      </c>
      <c r="W1966">
        <v>0.17547019999999999</v>
      </c>
      <c r="X1966">
        <v>0.98218209999999995</v>
      </c>
      <c r="Y1966">
        <v>1.0841770000000001E-2</v>
      </c>
      <c r="Z1966">
        <v>-1.2436070000000001E-3</v>
      </c>
      <c r="AA1966">
        <v>0.99994050000000001</v>
      </c>
      <c r="AB1966">
        <v>50</v>
      </c>
      <c r="AC1966">
        <v>-24.158300000000001</v>
      </c>
      <c r="AD1966">
        <v>-1.11206791941</v>
      </c>
      <c r="AE1966">
        <v>1.0658000000000201</v>
      </c>
      <c r="AF1966">
        <v>0.26674957297178198</v>
      </c>
      <c r="AG1966">
        <v>-1.11206791941</v>
      </c>
      <c r="AH1966">
        <v>24.129290652498199</v>
      </c>
      <c r="AI1966">
        <v>92.638612890079202</v>
      </c>
      <c r="AJ1966">
        <v>89.366620330312202</v>
      </c>
      <c r="AK1966">
        <v>24.1563763380354</v>
      </c>
      <c r="AL1966">
        <v>79.893977727236802</v>
      </c>
      <c r="AM1966">
        <v>93.919480573074196</v>
      </c>
      <c r="AN1966">
        <v>0.99999997285046505</v>
      </c>
    </row>
    <row r="1967" spans="1:40" x14ac:dyDescent="0.25">
      <c r="A1967" t="str">
        <f>"20190312172655420"</f>
        <v>20190312172655420</v>
      </c>
      <c r="B1967" t="str">
        <f>"1552382815410826"</f>
        <v>1552382815410826</v>
      </c>
      <c r="C1967" t="s">
        <v>40</v>
      </c>
      <c r="D1967">
        <v>3.052044</v>
      </c>
      <c r="E1967">
        <v>0.53215469999999998</v>
      </c>
      <c r="F1967" t="s">
        <v>48</v>
      </c>
      <c r="G1967">
        <v>-458.5779</v>
      </c>
      <c r="H1967" s="1">
        <v>2.9049279999999998E-6</v>
      </c>
      <c r="I1967">
        <v>287.43090000000001</v>
      </c>
      <c r="J1967">
        <v>-433.36399999999998</v>
      </c>
      <c r="K1967">
        <v>1.1122320000000001</v>
      </c>
      <c r="L1967">
        <v>286.36799999999999</v>
      </c>
      <c r="M1967">
        <v>-0.99941959999999996</v>
      </c>
      <c r="N1967">
        <v>0</v>
      </c>
      <c r="O1967">
        <v>3.0592350000000001E-2</v>
      </c>
      <c r="P1967">
        <v>-0.98613799999999996</v>
      </c>
      <c r="Q1967">
        <v>0.16195229999999999</v>
      </c>
      <c r="R1967">
        <v>-3.6101679999999997E-2</v>
      </c>
      <c r="S1967">
        <v>-3.0675349999999999</v>
      </c>
      <c r="T1967">
        <v>-0.13269259999999999</v>
      </c>
      <c r="U1967">
        <v>0.1286011</v>
      </c>
      <c r="V1967">
        <v>-6.7381670000000005E-2</v>
      </c>
      <c r="W1967">
        <v>0.17626349999999999</v>
      </c>
      <c r="X1967">
        <v>0.98203410000000002</v>
      </c>
      <c r="Y1967">
        <v>1.131591E-2</v>
      </c>
      <c r="Z1967">
        <v>-1.077394E-3</v>
      </c>
      <c r="AA1967">
        <v>0.99993540000000003</v>
      </c>
      <c r="AB1967">
        <v>50</v>
      </c>
      <c r="AC1967">
        <v>-25.213899999999899</v>
      </c>
      <c r="AD1967">
        <v>-1.112229095072</v>
      </c>
      <c r="AE1967">
        <v>1.0629000000000099</v>
      </c>
      <c r="AF1967">
        <v>0.290399242215099</v>
      </c>
      <c r="AG1967">
        <v>-1.112229095072</v>
      </c>
      <c r="AH1967">
        <v>25.185695557066399</v>
      </c>
      <c r="AI1967">
        <v>92.528436329375495</v>
      </c>
      <c r="AJ1967">
        <v>89.339390345076694</v>
      </c>
      <c r="AK1967">
        <v>25.211914762132601</v>
      </c>
      <c r="AL1967">
        <v>79.847806049929105</v>
      </c>
      <c r="AM1967">
        <v>93.925162829485799</v>
      </c>
      <c r="AN1967">
        <v>1.00000004222352</v>
      </c>
    </row>
    <row r="1968" spans="1:40" x14ac:dyDescent="0.25">
      <c r="A1968" t="str">
        <f>"20190312172655443"</f>
        <v>20190312172655443</v>
      </c>
      <c r="B1968" t="str">
        <f>"1552382815431323"</f>
        <v>1552382815431323</v>
      </c>
      <c r="C1968" t="s">
        <v>40</v>
      </c>
      <c r="D1968">
        <v>3.0640580000000002</v>
      </c>
      <c r="E1968">
        <v>0.53235259999999995</v>
      </c>
      <c r="F1968" t="s">
        <v>48</v>
      </c>
      <c r="G1968">
        <v>-460.03910000000002</v>
      </c>
      <c r="H1968" s="1">
        <v>-1.639043E-6</v>
      </c>
      <c r="I1968">
        <v>287.43209999999999</v>
      </c>
      <c r="J1968">
        <v>-433.86720000000003</v>
      </c>
      <c r="K1968">
        <v>1.112379</v>
      </c>
      <c r="L1968">
        <v>286.3818</v>
      </c>
      <c r="M1968">
        <v>-0.99949460000000001</v>
      </c>
      <c r="N1968">
        <v>0</v>
      </c>
      <c r="O1968">
        <v>2.803721E-2</v>
      </c>
      <c r="P1968">
        <v>-0.98599930000000002</v>
      </c>
      <c r="Q1968">
        <v>0.16206199999999901</v>
      </c>
      <c r="R1968">
        <v>-3.9259719999999998E-2</v>
      </c>
      <c r="S1968">
        <v>-3.0677189999999999</v>
      </c>
      <c r="T1968">
        <v>-0.12790989999999999</v>
      </c>
      <c r="U1968">
        <v>0.1223755</v>
      </c>
      <c r="V1968">
        <v>-6.8081210000000003E-2</v>
      </c>
      <c r="W1968">
        <v>0.17634330000000001</v>
      </c>
      <c r="X1968">
        <v>0.9819715</v>
      </c>
      <c r="Y1968">
        <v>1.183997E-2</v>
      </c>
      <c r="Z1968">
        <v>-9.2127409999999996E-4</v>
      </c>
      <c r="AA1968">
        <v>0.99992950000000003</v>
      </c>
      <c r="AB1968">
        <v>50</v>
      </c>
      <c r="AC1968">
        <v>-26.171899999999901</v>
      </c>
      <c r="AD1968">
        <v>-1.112380639043</v>
      </c>
      <c r="AE1968">
        <v>1.05029999999999</v>
      </c>
      <c r="AF1968">
        <v>0.31544865095039298</v>
      </c>
      <c r="AG1968">
        <v>-1.112380639043</v>
      </c>
      <c r="AH1968">
        <v>26.143906931503899</v>
      </c>
      <c r="AI1968">
        <v>92.436195408487393</v>
      </c>
      <c r="AJ1968">
        <v>89.308710844865701</v>
      </c>
      <c r="AK1968">
        <v>26.169462512261202</v>
      </c>
      <c r="AL1968">
        <v>79.843160846298105</v>
      </c>
      <c r="AM1968">
        <v>93.966035555667801</v>
      </c>
      <c r="AN1968">
        <v>1.0000000187111</v>
      </c>
    </row>
    <row r="1969" spans="1:40" x14ac:dyDescent="0.25">
      <c r="A1969" t="str">
        <f>"20190312172655466"</f>
        <v>20190312172655466</v>
      </c>
      <c r="B1969" t="str">
        <f>"1552382815460602"</f>
        <v>1552382815460602</v>
      </c>
      <c r="C1969" t="s">
        <v>40</v>
      </c>
      <c r="D1969">
        <v>3.0479069999999999</v>
      </c>
      <c r="E1969">
        <v>0.53272589999999997</v>
      </c>
      <c r="F1969" t="s">
        <v>48</v>
      </c>
      <c r="G1969">
        <v>-461.09190000000001</v>
      </c>
      <c r="H1969" s="1">
        <v>-1.07743E-6</v>
      </c>
      <c r="I1969">
        <v>287.40010000000001</v>
      </c>
      <c r="J1969">
        <v>-434.36259999999999</v>
      </c>
      <c r="K1969">
        <v>1.1125069999999999</v>
      </c>
      <c r="L1969">
        <v>286.39409999999998</v>
      </c>
      <c r="M1969">
        <v>-0.99956350000000005</v>
      </c>
      <c r="N1969">
        <v>0</v>
      </c>
      <c r="O1969">
        <v>2.546522E-2</v>
      </c>
      <c r="P1969">
        <v>-0.98584070000000001</v>
      </c>
      <c r="Q1969">
        <v>0.16232639999999901</v>
      </c>
      <c r="R1969">
        <v>-4.205503E-2</v>
      </c>
      <c r="S1969">
        <v>-3.0677490000000001</v>
      </c>
      <c r="T1969">
        <v>-0.12534619999999999</v>
      </c>
      <c r="U1969">
        <v>0.1147461</v>
      </c>
      <c r="V1969">
        <v>-6.8394280000000002E-2</v>
      </c>
      <c r="W1969">
        <v>0.17658260000000001</v>
      </c>
      <c r="X1969">
        <v>0.98190670000000002</v>
      </c>
      <c r="Y1969">
        <v>1.192673E-2</v>
      </c>
      <c r="Z1969">
        <v>-7.9613090000000002E-4</v>
      </c>
      <c r="AA1969">
        <v>0.9999285</v>
      </c>
      <c r="AB1969">
        <v>49</v>
      </c>
      <c r="AC1969">
        <v>-26.729299999999999</v>
      </c>
      <c r="AD1969">
        <v>-1.11250807742999</v>
      </c>
      <c r="AE1969">
        <v>1.00600000000002</v>
      </c>
      <c r="AF1969">
        <v>0.32436870466870599</v>
      </c>
      <c r="AG1969">
        <v>-1.11250807742999</v>
      </c>
      <c r="AH1969">
        <v>26.7000629080921</v>
      </c>
      <c r="AI1969">
        <v>92.385779871490797</v>
      </c>
      <c r="AJ1969">
        <v>89.3039700461308</v>
      </c>
      <c r="AK1969">
        <v>26.725198756510501</v>
      </c>
      <c r="AL1969">
        <v>79.829230975605498</v>
      </c>
      <c r="AM1969">
        <v>93.984476771997706</v>
      </c>
      <c r="AN1969">
        <v>0.99999997983218403</v>
      </c>
    </row>
    <row r="1970" spans="1:40" x14ac:dyDescent="0.25">
      <c r="A1970" t="str">
        <f>"20190312172655486"</f>
        <v>20190312172655486</v>
      </c>
      <c r="B1970" t="str">
        <f>"1552382815481099"</f>
        <v>1552382815481099</v>
      </c>
      <c r="C1970" t="s">
        <v>40</v>
      </c>
      <c r="D1970">
        <v>3.0439479999999999</v>
      </c>
      <c r="E1970">
        <v>0.53294929999999996</v>
      </c>
      <c r="F1970" t="s">
        <v>48</v>
      </c>
      <c r="G1970">
        <v>-462.16300000000001</v>
      </c>
      <c r="H1970" s="1">
        <v>-5.0655090000000003E-7</v>
      </c>
      <c r="I1970">
        <v>287.3802</v>
      </c>
      <c r="J1970">
        <v>-434.8374</v>
      </c>
      <c r="K1970">
        <v>1.112608</v>
      </c>
      <c r="L1970">
        <v>286.40469999999999</v>
      </c>
      <c r="M1970">
        <v>-0.99962410000000002</v>
      </c>
      <c r="N1970">
        <v>0</v>
      </c>
      <c r="O1970">
        <v>2.2961539999999999E-2</v>
      </c>
      <c r="P1970">
        <v>-0.98567830000000001</v>
      </c>
      <c r="Q1970">
        <v>0.16247539999999999</v>
      </c>
      <c r="R1970">
        <v>-4.5170719999999998E-2</v>
      </c>
      <c r="S1970">
        <v>-3.0679319999999999</v>
      </c>
      <c r="T1970">
        <v>-0.12277150000000001</v>
      </c>
      <c r="U1970">
        <v>0.1088257</v>
      </c>
      <c r="V1970">
        <v>-6.9085170000000001E-2</v>
      </c>
      <c r="W1970">
        <v>0.17670749999999999</v>
      </c>
      <c r="X1970">
        <v>0.98183589999999998</v>
      </c>
      <c r="Y1970">
        <v>1.2499039999999999E-2</v>
      </c>
      <c r="Z1970">
        <v>-6.6824780000000002E-4</v>
      </c>
      <c r="AA1970">
        <v>0.99992170000000002</v>
      </c>
      <c r="AB1970">
        <v>49</v>
      </c>
      <c r="AC1970">
        <v>-27.325600000000001</v>
      </c>
      <c r="AD1970">
        <v>-1.1126085065508999</v>
      </c>
      <c r="AE1970">
        <v>0.97550000000001003</v>
      </c>
      <c r="AF1970">
        <v>0.34715966846354401</v>
      </c>
      <c r="AG1970">
        <v>-1.1126085065508999</v>
      </c>
      <c r="AH1970">
        <v>27.295601033160299</v>
      </c>
      <c r="AI1970">
        <v>92.333978812851896</v>
      </c>
      <c r="AJ1970">
        <v>89.271321727487503</v>
      </c>
      <c r="AK1970">
        <v>27.320473152669202</v>
      </c>
      <c r="AL1970">
        <v>79.821960791599693</v>
      </c>
      <c r="AM1970">
        <v>94.024883919437798</v>
      </c>
      <c r="AN1970">
        <v>1.0000000178994899</v>
      </c>
    </row>
    <row r="1971" spans="1:40" x14ac:dyDescent="0.25">
      <c r="A1971" t="str">
        <f>"20190312172655509"</f>
        <v>20190312172655509</v>
      </c>
      <c r="B1971" t="str">
        <f>"1552382815500619"</f>
        <v>1552382815500619</v>
      </c>
      <c r="C1971" t="s">
        <v>40</v>
      </c>
      <c r="D1971">
        <v>3.050583</v>
      </c>
      <c r="E1971">
        <v>0.53317939999999997</v>
      </c>
      <c r="F1971" t="s">
        <v>48</v>
      </c>
      <c r="G1971">
        <v>-462.959</v>
      </c>
      <c r="H1971" s="1">
        <v>-8.0681470000000004E-8</v>
      </c>
      <c r="I1971">
        <v>287.32749999999999</v>
      </c>
      <c r="J1971">
        <v>-435.32679999999999</v>
      </c>
      <c r="K1971">
        <v>1.1126940000000001</v>
      </c>
      <c r="L1971">
        <v>286.41430000000003</v>
      </c>
      <c r="M1971">
        <v>-0.99968060000000003</v>
      </c>
      <c r="N1971">
        <v>0</v>
      </c>
      <c r="O1971">
        <v>2.0352869999999999E-2</v>
      </c>
      <c r="P1971">
        <v>-0.98555780000000004</v>
      </c>
      <c r="Q1971">
        <v>0.1623705</v>
      </c>
      <c r="R1971">
        <v>-4.8080539999999998E-2</v>
      </c>
      <c r="S1971">
        <v>-3.0682369999999999</v>
      </c>
      <c r="T1971">
        <v>-0.1213924</v>
      </c>
      <c r="U1971">
        <v>0.1006775</v>
      </c>
      <c r="V1971">
        <v>-6.9461770000000006E-2</v>
      </c>
      <c r="W1971">
        <v>0.17658219999999999</v>
      </c>
      <c r="X1971">
        <v>0.98183180000000003</v>
      </c>
      <c r="Y1971">
        <v>1.2450330000000001E-2</v>
      </c>
      <c r="Z1971">
        <v>-5.5856410000000003E-4</v>
      </c>
      <c r="AA1971">
        <v>0.99992230000000004</v>
      </c>
      <c r="AB1971">
        <v>49</v>
      </c>
      <c r="AC1971">
        <v>-27.632200000000001</v>
      </c>
      <c r="AD1971">
        <v>-1.11269408068147</v>
      </c>
      <c r="AE1971">
        <v>0.91319999999996004</v>
      </c>
      <c r="AF1971">
        <v>0.34998620577238498</v>
      </c>
      <c r="AG1971">
        <v>-1.11269408068147</v>
      </c>
      <c r="AH1971">
        <v>27.600357745771699</v>
      </c>
      <c r="AI1971">
        <v>92.308414048529599</v>
      </c>
      <c r="AJ1971">
        <v>89.273500076551201</v>
      </c>
      <c r="AK1971">
        <v>27.624994591058201</v>
      </c>
      <c r="AL1971">
        <v>79.829253924074393</v>
      </c>
      <c r="AM1971">
        <v>94.046768681908205</v>
      </c>
      <c r="AN1971">
        <v>0.999999947169805</v>
      </c>
    </row>
    <row r="1972" spans="1:40" x14ac:dyDescent="0.25">
      <c r="A1972" t="str">
        <f>"20190312172655531"</f>
        <v>20190312172655531</v>
      </c>
      <c r="B1972" t="str">
        <f>"1552382815521115"</f>
        <v>1552382815521115</v>
      </c>
      <c r="C1972" t="s">
        <v>40</v>
      </c>
      <c r="D1972">
        <v>3.0539960000000002</v>
      </c>
      <c r="E1972">
        <v>0.53340449999999995</v>
      </c>
      <c r="F1972" t="s">
        <v>48</v>
      </c>
      <c r="G1972">
        <v>-463.47489999999999</v>
      </c>
      <c r="H1972" s="1">
        <v>1.9645310000000001E-7</v>
      </c>
      <c r="I1972">
        <v>287.2679</v>
      </c>
      <c r="J1972">
        <v>-435.81459999999998</v>
      </c>
      <c r="K1972">
        <v>1.1127689999999999</v>
      </c>
      <c r="L1972">
        <v>286.42270000000002</v>
      </c>
      <c r="M1972">
        <v>-0.99973069999999997</v>
      </c>
      <c r="N1972">
        <v>0</v>
      </c>
      <c r="O1972">
        <v>1.7733599999999999E-2</v>
      </c>
      <c r="P1972">
        <v>-0.98537399999999997</v>
      </c>
      <c r="Q1972">
        <v>0.16249459999999999</v>
      </c>
      <c r="R1972">
        <v>-5.1326259999999999E-2</v>
      </c>
      <c r="S1972">
        <v>-3.0684809999999998</v>
      </c>
      <c r="T1972">
        <v>-0.1212974</v>
      </c>
      <c r="U1972">
        <v>9.3048099999999995E-2</v>
      </c>
      <c r="V1972">
        <v>-7.0157999999999998E-2</v>
      </c>
      <c r="W1972">
        <v>0.17668539999999999</v>
      </c>
      <c r="X1972">
        <v>0.98176379999999996</v>
      </c>
      <c r="Y1972">
        <v>1.2581699999999999E-2</v>
      </c>
      <c r="Z1972">
        <v>-4.520565E-4</v>
      </c>
      <c r="AA1972">
        <v>0.9999207</v>
      </c>
      <c r="AB1972">
        <v>49</v>
      </c>
      <c r="AC1972">
        <v>-27.660299999999999</v>
      </c>
      <c r="AD1972">
        <v>-1.1127688035468899</v>
      </c>
      <c r="AE1972">
        <v>0.84519999999997697</v>
      </c>
      <c r="AF1972">
        <v>0.353923137195924</v>
      </c>
      <c r="AG1972">
        <v>-1.1127688035468899</v>
      </c>
      <c r="AH1972">
        <v>27.626269786304299</v>
      </c>
      <c r="AI1972">
        <v>92.306402086161796</v>
      </c>
      <c r="AJ1972">
        <v>89.266017710290896</v>
      </c>
      <c r="AK1972">
        <v>27.650936662305998</v>
      </c>
      <c r="AL1972">
        <v>79.823247264005502</v>
      </c>
      <c r="AM1972">
        <v>94.087475646784</v>
      </c>
      <c r="AN1972">
        <v>1.0000000172637999</v>
      </c>
    </row>
    <row r="1973" spans="1:40" x14ac:dyDescent="0.25">
      <c r="A1973" t="str">
        <f>"20190312172655554"</f>
        <v>20190312172655554</v>
      </c>
      <c r="B1973" t="str">
        <f>"1552382815550396"</f>
        <v>1552382815550396</v>
      </c>
      <c r="C1973" t="s">
        <v>40</v>
      </c>
      <c r="D1973">
        <v>3.101899</v>
      </c>
      <c r="E1973">
        <v>0.51195679999999999</v>
      </c>
      <c r="F1973" t="s">
        <v>48</v>
      </c>
      <c r="G1973">
        <v>-464.17759999999998</v>
      </c>
      <c r="H1973" s="1">
        <v>5.7291240000000004E-7</v>
      </c>
      <c r="I1973">
        <v>287.21100000000001</v>
      </c>
      <c r="J1973">
        <v>-436.29930000000002</v>
      </c>
      <c r="K1973">
        <v>1.112832</v>
      </c>
      <c r="L1973">
        <v>286.42970000000003</v>
      </c>
      <c r="M1973">
        <v>-0.99977360000000004</v>
      </c>
      <c r="N1973">
        <v>0</v>
      </c>
      <c r="O1973">
        <v>1.512031E-2</v>
      </c>
      <c r="P1973">
        <v>-0.98532520000000001</v>
      </c>
      <c r="Q1973">
        <v>0.1619418</v>
      </c>
      <c r="R1973">
        <v>-5.3938020000000003E-2</v>
      </c>
      <c r="S1973">
        <v>-3.068848</v>
      </c>
      <c r="T1973">
        <v>-0.12040049999999999</v>
      </c>
      <c r="U1973">
        <v>8.5296629999999998E-2</v>
      </c>
      <c r="V1973">
        <v>-7.0219080000000003E-2</v>
      </c>
      <c r="W1973">
        <v>0.17612030000000001</v>
      </c>
      <c r="X1973">
        <v>0.98186090000000004</v>
      </c>
      <c r="Y1973">
        <v>1.2666169999999999E-2</v>
      </c>
      <c r="Z1973">
        <v>-3.445697E-4</v>
      </c>
      <c r="AA1973">
        <v>0.99991969999999997</v>
      </c>
      <c r="AB1973">
        <v>49</v>
      </c>
      <c r="AC1973">
        <v>-27.8782999999999</v>
      </c>
      <c r="AD1973">
        <v>-1.1128314270876001</v>
      </c>
      <c r="AE1973">
        <v>0.781299999999987</v>
      </c>
      <c r="AF1973">
        <v>0.35906319514812501</v>
      </c>
      <c r="AG1973">
        <v>-1.1128314270876001</v>
      </c>
      <c r="AH1973">
        <v>27.842597386780501</v>
      </c>
      <c r="AI1973">
        <v>92.288627400590798</v>
      </c>
      <c r="AJ1973">
        <v>89.261144174503002</v>
      </c>
      <c r="AK1973">
        <v>27.867141033941401</v>
      </c>
      <c r="AL1973">
        <v>79.856140288140793</v>
      </c>
      <c r="AM1973">
        <v>94.090618948185593</v>
      </c>
      <c r="AN1973">
        <v>0.99999995310847201</v>
      </c>
    </row>
    <row r="1974" spans="1:40" x14ac:dyDescent="0.25">
      <c r="A1974" t="str">
        <f>"20190312172655576"</f>
        <v>20190312172655576</v>
      </c>
      <c r="B1974" t="str">
        <f>"1552382815570894"</f>
        <v>1552382815570894</v>
      </c>
      <c r="C1974" t="s">
        <v>40</v>
      </c>
      <c r="D1974">
        <v>3.1069460000000002</v>
      </c>
      <c r="E1974">
        <v>0.50255470000000002</v>
      </c>
      <c r="F1974" t="s">
        <v>48</v>
      </c>
      <c r="G1974">
        <v>-468.41910000000001</v>
      </c>
      <c r="H1974" s="1">
        <v>2.9069800000000002E-6</v>
      </c>
      <c r="I1974">
        <v>285.45010000000002</v>
      </c>
      <c r="J1974">
        <v>-436.80020000000002</v>
      </c>
      <c r="K1974">
        <v>1.112878</v>
      </c>
      <c r="L1974">
        <v>286.43549999999999</v>
      </c>
      <c r="M1974">
        <v>-0.99981089999999995</v>
      </c>
      <c r="N1974">
        <v>0</v>
      </c>
      <c r="O1974">
        <v>1.2413570000000001E-2</v>
      </c>
      <c r="P1974">
        <v>-0.98518939999999999</v>
      </c>
      <c r="Q1974">
        <v>0.16184419999999999</v>
      </c>
      <c r="R1974">
        <v>-5.6644550000000002E-2</v>
      </c>
      <c r="S1974">
        <v>-3.057007</v>
      </c>
      <c r="T1974">
        <v>-0.1059138</v>
      </c>
      <c r="U1974">
        <v>-9.32312E-2</v>
      </c>
      <c r="V1974">
        <v>-7.0280850000000006E-2</v>
      </c>
      <c r="W1974">
        <v>0.1760109</v>
      </c>
      <c r="X1974">
        <v>0.98187610000000003</v>
      </c>
      <c r="Y1974">
        <v>-4.2857079999999999E-2</v>
      </c>
      <c r="Z1974">
        <v>-1.171938E-3</v>
      </c>
      <c r="AA1974">
        <v>0.99908050000000004</v>
      </c>
      <c r="AB1974">
        <v>49</v>
      </c>
      <c r="AC1974">
        <v>-31.6189</v>
      </c>
      <c r="AD1974">
        <v>-1.11287509302</v>
      </c>
      <c r="AE1974">
        <v>-0.98539999999996997</v>
      </c>
      <c r="AF1974">
        <v>-1.37616833027089</v>
      </c>
      <c r="AG1974">
        <v>-1.11287509302</v>
      </c>
      <c r="AH1974">
        <v>31.565164656904798</v>
      </c>
      <c r="AI1974">
        <v>92.017293717910405</v>
      </c>
      <c r="AJ1974">
        <v>92.496382881729204</v>
      </c>
      <c r="AK1974">
        <v>31.614742606312898</v>
      </c>
      <c r="AL1974">
        <v>79.862507941261697</v>
      </c>
      <c r="AM1974">
        <v>94.094141968580004</v>
      </c>
      <c r="AN1974">
        <v>0.99999995527337004</v>
      </c>
    </row>
    <row r="1975" spans="1:40" x14ac:dyDescent="0.25">
      <c r="A1975" t="str">
        <f>"20190312172655599"</f>
        <v>20190312172655599</v>
      </c>
      <c r="B1975" t="str">
        <f>"1552382815590411"</f>
        <v>1552382815590411</v>
      </c>
      <c r="C1975" t="s">
        <v>40</v>
      </c>
      <c r="D1975">
        <v>3.0896620000000001</v>
      </c>
      <c r="E1975">
        <v>0.49968400000000002</v>
      </c>
      <c r="F1975" t="s">
        <v>47</v>
      </c>
      <c r="G1975">
        <v>-473.76459999999997</v>
      </c>
      <c r="H1975" s="1">
        <v>4.9174160000000002E-6</v>
      </c>
      <c r="I1975">
        <v>284.30439999999999</v>
      </c>
      <c r="J1975">
        <v>-437.2921</v>
      </c>
      <c r="K1975">
        <v>1.1129209999999901</v>
      </c>
      <c r="L1975">
        <v>286.44</v>
      </c>
      <c r="M1975">
        <v>-0.99984030000000002</v>
      </c>
      <c r="N1975">
        <v>0</v>
      </c>
      <c r="O1975">
        <v>9.76052E-3</v>
      </c>
      <c r="P1975">
        <v>-0.98508759999999995</v>
      </c>
      <c r="Q1975">
        <v>0.16160039999999901</v>
      </c>
      <c r="R1975">
        <v>-5.9057569999999997E-2</v>
      </c>
      <c r="S1975">
        <v>-3.0500790000000002</v>
      </c>
      <c r="T1975">
        <v>-9.182775E-2</v>
      </c>
      <c r="U1975">
        <v>-0.17584229999999901</v>
      </c>
      <c r="V1975">
        <v>-7.0096290000000006E-2</v>
      </c>
      <c r="W1975">
        <v>0.17576029999999901</v>
      </c>
      <c r="X1975">
        <v>0.98193419999999998</v>
      </c>
      <c r="Y1975">
        <v>-6.7264039999999997E-2</v>
      </c>
      <c r="Z1975">
        <v>-1.3050760000000001E-3</v>
      </c>
      <c r="AA1975">
        <v>0.99773440000000002</v>
      </c>
      <c r="AB1975">
        <v>49</v>
      </c>
      <c r="AC1975">
        <v>-36.472499999999897</v>
      </c>
      <c r="AD1975">
        <v>-1.1129160825840001</v>
      </c>
      <c r="AE1975">
        <v>-2.1356000000000099</v>
      </c>
      <c r="AF1975">
        <v>-2.4892189312722399</v>
      </c>
      <c r="AG1975">
        <v>-1.1129160825840001</v>
      </c>
      <c r="AH1975">
        <v>36.4161243398813</v>
      </c>
      <c r="AI1975">
        <v>91.746403408290803</v>
      </c>
      <c r="AJ1975">
        <v>93.910362080610199</v>
      </c>
      <c r="AK1975">
        <v>36.518062722882398</v>
      </c>
      <c r="AL1975">
        <v>79.877093828141099</v>
      </c>
      <c r="AM1975">
        <v>94.083186229014501</v>
      </c>
      <c r="AN1975">
        <v>0.99999997302874599</v>
      </c>
    </row>
    <row r="1976" spans="1:40" x14ac:dyDescent="0.25">
      <c r="A1976" t="str">
        <f>"20190312172655621"</f>
        <v>20190312172655621</v>
      </c>
      <c r="B1976" t="str">
        <f>"1552382815610907"</f>
        <v>1552382815610907</v>
      </c>
      <c r="C1976" t="s">
        <v>40</v>
      </c>
      <c r="D1976">
        <v>3.0595910000000002</v>
      </c>
      <c r="E1976">
        <v>0.49863619999999997</v>
      </c>
      <c r="F1976" t="s">
        <v>47</v>
      </c>
      <c r="G1976">
        <v>-477.89389999999997</v>
      </c>
      <c r="H1976" s="1">
        <v>3.0331249999999999E-6</v>
      </c>
      <c r="I1976">
        <v>283.69690000000003</v>
      </c>
      <c r="J1976">
        <v>-437.779</v>
      </c>
      <c r="K1976">
        <v>1.112946</v>
      </c>
      <c r="L1976">
        <v>286.44319999999999</v>
      </c>
      <c r="M1976">
        <v>-0.99986260000000005</v>
      </c>
      <c r="N1976">
        <v>0</v>
      </c>
      <c r="O1976">
        <v>7.1495019999999899E-3</v>
      </c>
      <c r="P1976">
        <v>-0.98496329999999999</v>
      </c>
      <c r="Q1976">
        <v>0.16158069999999999</v>
      </c>
      <c r="R1976">
        <v>-6.1148050000000002E-2</v>
      </c>
      <c r="S1976">
        <v>-3.046783</v>
      </c>
      <c r="T1976">
        <v>-8.3513980000000002E-2</v>
      </c>
      <c r="U1976">
        <v>-0.2058411</v>
      </c>
      <c r="V1976">
        <v>-6.9625530000000005E-2</v>
      </c>
      <c r="W1976">
        <v>0.17573820000000001</v>
      </c>
      <c r="X1976">
        <v>0.9819717</v>
      </c>
      <c r="Y1976">
        <v>-7.4508249999999998E-2</v>
      </c>
      <c r="Z1976">
        <v>-1.2155460000000001E-3</v>
      </c>
      <c r="AA1976">
        <v>0.99721970000000004</v>
      </c>
      <c r="AB1976">
        <v>49</v>
      </c>
      <c r="AC1976">
        <v>-40.114899999999899</v>
      </c>
      <c r="AD1976">
        <v>-1.1129429668749999</v>
      </c>
      <c r="AE1976">
        <v>-2.7462999999999602</v>
      </c>
      <c r="AF1976">
        <v>-3.0307414829966399</v>
      </c>
      <c r="AG1976">
        <v>-1.1129429668749999</v>
      </c>
      <c r="AH1976">
        <v>40.063543673184299</v>
      </c>
      <c r="AI1976">
        <v>91.586704371426904</v>
      </c>
      <c r="AJ1976">
        <v>94.326092192861296</v>
      </c>
      <c r="AK1976">
        <v>40.193426920796597</v>
      </c>
      <c r="AL1976">
        <v>79.878380611840797</v>
      </c>
      <c r="AM1976">
        <v>94.055701393265096</v>
      </c>
      <c r="AN1976">
        <v>1.00000002448395</v>
      </c>
    </row>
    <row r="1977" spans="1:40" x14ac:dyDescent="0.25">
      <c r="A1977" t="str">
        <f>"20190312172655644"</f>
        <v>20190312172655644</v>
      </c>
      <c r="B1977" t="str">
        <f>"1552382815641163"</f>
        <v>1552382815641163</v>
      </c>
      <c r="C1977" t="s">
        <v>40</v>
      </c>
      <c r="D1977">
        <v>3.0744739999999999</v>
      </c>
      <c r="E1977">
        <v>0.49802099999999999</v>
      </c>
      <c r="F1977" t="s">
        <v>47</v>
      </c>
      <c r="G1977">
        <v>-478.2681</v>
      </c>
      <c r="H1977" s="1">
        <v>2.8509429999999998E-6</v>
      </c>
      <c r="I1977">
        <v>283.51130000000001</v>
      </c>
      <c r="J1977">
        <v>-438.27659999999997</v>
      </c>
      <c r="K1977">
        <v>1.112949</v>
      </c>
      <c r="L1977">
        <v>286.44510000000002</v>
      </c>
      <c r="M1977">
        <v>-0.99987789999999999</v>
      </c>
      <c r="N1977">
        <v>0</v>
      </c>
      <c r="O1977">
        <v>4.5105379999999997E-3</v>
      </c>
      <c r="P1977">
        <v>-0.98484689999999997</v>
      </c>
      <c r="Q1977">
        <v>0.16133929999999999</v>
      </c>
      <c r="R1977">
        <v>-6.3610509999999995E-2</v>
      </c>
      <c r="S1977">
        <v>-3.0458370000000001</v>
      </c>
      <c r="T1977">
        <v>-8.3722229999999995E-2</v>
      </c>
      <c r="U1977">
        <v>-0.22055050000000001</v>
      </c>
      <c r="V1977">
        <v>-6.9490010000000005E-2</v>
      </c>
      <c r="W1977">
        <v>0.17549409999999999</v>
      </c>
      <c r="X1977">
        <v>0.98202489999999998</v>
      </c>
      <c r="Y1977">
        <v>-7.668941E-2</v>
      </c>
      <c r="Z1977">
        <v>-1.176238E-3</v>
      </c>
      <c r="AA1977">
        <v>0.99705429999999995</v>
      </c>
      <c r="AB1977">
        <v>49</v>
      </c>
      <c r="AC1977">
        <v>-39.991500000000002</v>
      </c>
      <c r="AD1977">
        <v>-1.1129461490570001</v>
      </c>
      <c r="AE1977">
        <v>-2.9338000000000202</v>
      </c>
      <c r="AF1977">
        <v>-3.1117763986397202</v>
      </c>
      <c r="AG1977">
        <v>-1.1129461490570001</v>
      </c>
      <c r="AH1977">
        <v>39.947085797032301</v>
      </c>
      <c r="AI1977">
        <v>91.591059268455794</v>
      </c>
      <c r="AJ1977">
        <v>94.454200670141503</v>
      </c>
      <c r="AK1977">
        <v>40.083556044359298</v>
      </c>
      <c r="AL1977">
        <v>79.892586769736894</v>
      </c>
      <c r="AM1977">
        <v>94.047615034110507</v>
      </c>
      <c r="AN1977">
        <v>0.99999997242230898</v>
      </c>
    </row>
    <row r="1978" spans="1:40" x14ac:dyDescent="0.25">
      <c r="A1978" t="str">
        <f>"20190312172655667"</f>
        <v>20190312172655667</v>
      </c>
      <c r="B1978" t="str">
        <f>"1552382815660683"</f>
        <v>1552382815660683</v>
      </c>
      <c r="C1978" t="s">
        <v>40</v>
      </c>
      <c r="D1978">
        <v>3.0754359999999998</v>
      </c>
      <c r="E1978">
        <v>0.49780239999999998</v>
      </c>
      <c r="F1978" t="s">
        <v>47</v>
      </c>
      <c r="G1978">
        <v>-478.10550000000001</v>
      </c>
      <c r="H1978" s="1">
        <v>2.9132980000000001E-6</v>
      </c>
      <c r="I1978">
        <v>283.39949999999999</v>
      </c>
      <c r="J1978">
        <v>-438.78199999999998</v>
      </c>
      <c r="K1978">
        <v>1.1129340000000001</v>
      </c>
      <c r="L1978">
        <v>286.44580000000002</v>
      </c>
      <c r="M1978">
        <v>-0.99988639999999995</v>
      </c>
      <c r="N1978">
        <v>0</v>
      </c>
      <c r="O1978">
        <v>1.8754570000000001E-3</v>
      </c>
      <c r="P1978">
        <v>-0.98474439999999996</v>
      </c>
      <c r="Q1978">
        <v>0.16106479999999901</v>
      </c>
      <c r="R1978">
        <v>-6.5854850000000006E-2</v>
      </c>
      <c r="S1978">
        <v>-3.045013</v>
      </c>
      <c r="T1978">
        <v>-8.5087540000000003E-2</v>
      </c>
      <c r="U1978">
        <v>-0.2328491</v>
      </c>
      <c r="V1978">
        <v>-6.9132369999999999E-2</v>
      </c>
      <c r="W1978">
        <v>0.1752223</v>
      </c>
      <c r="X1978">
        <v>0.98209869999999999</v>
      </c>
      <c r="Y1978">
        <v>-7.8085440000000006E-2</v>
      </c>
      <c r="Z1978">
        <v>-1.1415049999999999E-3</v>
      </c>
      <c r="AA1978">
        <v>0.996946</v>
      </c>
      <c r="AB1978">
        <v>49</v>
      </c>
      <c r="AC1978">
        <v>-39.323500000000003</v>
      </c>
      <c r="AD1978">
        <v>-1.1129310867019999</v>
      </c>
      <c r="AE1978">
        <v>-3.04630000000002</v>
      </c>
      <c r="AF1978">
        <v>-3.11757014862139</v>
      </c>
      <c r="AG1978">
        <v>-1.1129310867019999</v>
      </c>
      <c r="AH1978">
        <v>39.286436292934901</v>
      </c>
      <c r="AI1978">
        <v>91.617594757233206</v>
      </c>
      <c r="AJ1978">
        <v>94.537191365842304</v>
      </c>
      <c r="AK1978">
        <v>39.425650734441398</v>
      </c>
      <c r="AL1978">
        <v>79.908405127806603</v>
      </c>
      <c r="AM1978">
        <v>94.026550524819996</v>
      </c>
      <c r="AN1978">
        <v>0.99999999777039805</v>
      </c>
    </row>
    <row r="1979" spans="1:40" x14ac:dyDescent="0.25">
      <c r="A1979" t="str">
        <f>"20190312172655688"</f>
        <v>20190312172655688</v>
      </c>
      <c r="B1979" t="str">
        <f>"1552382815681178"</f>
        <v>1552382815681178</v>
      </c>
      <c r="C1979" t="s">
        <v>40</v>
      </c>
      <c r="D1979">
        <v>3.0835219999999999</v>
      </c>
      <c r="E1979">
        <v>0.4978149</v>
      </c>
      <c r="F1979" t="s">
        <v>47</v>
      </c>
      <c r="G1979">
        <v>-477.92419999999998</v>
      </c>
      <c r="H1979" s="1">
        <v>2.988676E-6</v>
      </c>
      <c r="I1979">
        <v>283.34230000000002</v>
      </c>
      <c r="J1979">
        <v>-439.24869999999999</v>
      </c>
      <c r="K1979">
        <v>1.1129020000000001</v>
      </c>
      <c r="L1979">
        <v>286.4452</v>
      </c>
      <c r="M1979">
        <v>-0.99988809999999995</v>
      </c>
      <c r="N1979">
        <v>0</v>
      </c>
      <c r="O1979">
        <v>-5.0190580000000003E-4</v>
      </c>
      <c r="P1979">
        <v>-0.98463449999999997</v>
      </c>
      <c r="Q1979">
        <v>0.16089000000000001</v>
      </c>
      <c r="R1979">
        <v>-6.7892830000000001E-2</v>
      </c>
      <c r="S1979">
        <v>-3.0444640000000001</v>
      </c>
      <c r="T1979">
        <v>-8.6563470000000003E-2</v>
      </c>
      <c r="U1979">
        <v>-0.241394</v>
      </c>
      <c r="V1979">
        <v>-6.8816050000000004E-2</v>
      </c>
      <c r="W1979">
        <v>0.1750514</v>
      </c>
      <c r="X1979">
        <v>0.98215140000000001</v>
      </c>
      <c r="Y1979">
        <v>-7.8509700000000002E-2</v>
      </c>
      <c r="Z1979">
        <v>-1.099916E-3</v>
      </c>
      <c r="AA1979">
        <v>0.99691269999999998</v>
      </c>
      <c r="AB1979">
        <v>49</v>
      </c>
      <c r="AC1979">
        <v>-38.6755</v>
      </c>
      <c r="AD1979">
        <v>-1.112899011324</v>
      </c>
      <c r="AE1979">
        <v>-3.1028999999999698</v>
      </c>
      <c r="AF1979">
        <v>-3.08095121468057</v>
      </c>
      <c r="AG1979">
        <v>-1.112899011324</v>
      </c>
      <c r="AH1979">
        <v>38.645258356455301</v>
      </c>
      <c r="AI1979">
        <v>91.644322957124601</v>
      </c>
      <c r="AJ1979">
        <v>94.558202890232906</v>
      </c>
      <c r="AK1979">
        <v>38.783847127816301</v>
      </c>
      <c r="AL1979">
        <v>79.918350787767494</v>
      </c>
      <c r="AM1979">
        <v>94.007972578961102</v>
      </c>
      <c r="AN1979">
        <v>1.00000000695076</v>
      </c>
    </row>
    <row r="1980" spans="1:40" x14ac:dyDescent="0.25">
      <c r="A1980" t="str">
        <f>"20190312172655710"</f>
        <v>20190312172655710</v>
      </c>
      <c r="B1980" t="str">
        <f>"1552382815700699"</f>
        <v>1552382815700699</v>
      </c>
      <c r="C1980" t="s">
        <v>40</v>
      </c>
      <c r="D1980">
        <v>3.0807829999999998</v>
      </c>
      <c r="E1980">
        <v>0.49777250000000001</v>
      </c>
      <c r="F1980" t="s">
        <v>47</v>
      </c>
      <c r="G1980">
        <v>-477.13040000000001</v>
      </c>
      <c r="H1980" s="1">
        <v>3.342439E-6</v>
      </c>
      <c r="I1980">
        <v>283.36250000000001</v>
      </c>
      <c r="J1980">
        <v>-439.73390000000001</v>
      </c>
      <c r="K1980">
        <v>1.1128549999999999</v>
      </c>
      <c r="L1980">
        <v>286.44349999999997</v>
      </c>
      <c r="M1980">
        <v>-0.999884</v>
      </c>
      <c r="N1980">
        <v>0</v>
      </c>
      <c r="O1980">
        <v>-2.905815E-3</v>
      </c>
      <c r="P1980">
        <v>-0.9845853</v>
      </c>
      <c r="Q1980">
        <v>0.1603454</v>
      </c>
      <c r="R1980">
        <v>-6.9866259999999999E-2</v>
      </c>
      <c r="S1980">
        <v>-3.0443120000000001</v>
      </c>
      <c r="T1980">
        <v>-8.943653E-2</v>
      </c>
      <c r="U1980">
        <v>-0.24774170000000001</v>
      </c>
      <c r="V1980">
        <v>-6.8398840000000002E-2</v>
      </c>
      <c r="W1980">
        <v>0.1745148</v>
      </c>
      <c r="X1980">
        <v>0.98227600000000004</v>
      </c>
      <c r="Y1980">
        <v>-7.8181260000000002E-2</v>
      </c>
      <c r="Z1980">
        <v>-1.061057E-3</v>
      </c>
      <c r="AA1980">
        <v>0.99693860000000001</v>
      </c>
      <c r="AB1980">
        <v>49</v>
      </c>
      <c r="AC1980">
        <v>-37.396500000000003</v>
      </c>
      <c r="AD1980">
        <v>-1.1128516575609999</v>
      </c>
      <c r="AE1980">
        <v>-3.08099999999996</v>
      </c>
      <c r="AF1980">
        <v>-2.9696954497582499</v>
      </c>
      <c r="AG1980">
        <v>-1.1128516575609999</v>
      </c>
      <c r="AH1980">
        <v>37.372423906503698</v>
      </c>
      <c r="AI1980">
        <v>91.700256038100804</v>
      </c>
      <c r="AJ1980">
        <v>94.543302887251102</v>
      </c>
      <c r="AK1980">
        <v>37.506740707817599</v>
      </c>
      <c r="AL1980">
        <v>79.949576070315103</v>
      </c>
      <c r="AM1980">
        <v>93.983248275865193</v>
      </c>
      <c r="AN1980">
        <v>0.99999997845419197</v>
      </c>
    </row>
    <row r="1981" spans="1:40" x14ac:dyDescent="0.25">
      <c r="A1981" t="str">
        <f>"20190312172655732"</f>
        <v>20190312172655732</v>
      </c>
      <c r="B1981" t="str">
        <f>"1552382815721195"</f>
        <v>1552382815721195</v>
      </c>
      <c r="C1981" t="s">
        <v>40</v>
      </c>
      <c r="D1981">
        <v>3.082357</v>
      </c>
      <c r="E1981">
        <v>0.4977762</v>
      </c>
      <c r="F1981" t="s">
        <v>47</v>
      </c>
      <c r="G1981">
        <v>-476.20870000000002</v>
      </c>
      <c r="H1981" s="1">
        <v>3.7540649999999999E-6</v>
      </c>
      <c r="I1981">
        <v>283.39519999999999</v>
      </c>
      <c r="J1981">
        <v>-440.21839999999997</v>
      </c>
      <c r="K1981">
        <v>1.1127990000000001</v>
      </c>
      <c r="L1981">
        <v>286.44060000000002</v>
      </c>
      <c r="M1981">
        <v>-0.9998745</v>
      </c>
      <c r="N1981">
        <v>0</v>
      </c>
      <c r="O1981">
        <v>-5.2456489999999998E-3</v>
      </c>
      <c r="P1981">
        <v>-0.98461189999999998</v>
      </c>
      <c r="Q1981">
        <v>0.15934970000000001</v>
      </c>
      <c r="R1981">
        <v>-7.1743719999999997E-2</v>
      </c>
      <c r="S1981">
        <v>-3.0440369999999999</v>
      </c>
      <c r="T1981">
        <v>-9.2874170000000006E-2</v>
      </c>
      <c r="U1981">
        <v>-0.25439450000000002</v>
      </c>
      <c r="V1981">
        <v>-6.7941979999999999E-2</v>
      </c>
      <c r="W1981">
        <v>0.17352970000000001</v>
      </c>
      <c r="X1981">
        <v>0.98248230000000003</v>
      </c>
      <c r="Y1981">
        <v>-7.8018340000000005E-2</v>
      </c>
      <c r="Z1981">
        <v>-1.0280930000000001E-3</v>
      </c>
      <c r="AA1981">
        <v>0.99695140000000004</v>
      </c>
      <c r="AB1981">
        <v>49</v>
      </c>
      <c r="AC1981">
        <v>-35.990299999999998</v>
      </c>
      <c r="AD1981">
        <v>-1.1127952459349999</v>
      </c>
      <c r="AE1981">
        <v>-3.0454000000000199</v>
      </c>
      <c r="AF1981">
        <v>-2.8538356295186098</v>
      </c>
      <c r="AG1981">
        <v>-1.1127952459349999</v>
      </c>
      <c r="AH1981">
        <v>35.971637059236997</v>
      </c>
      <c r="AI1981">
        <v>91.766353404413906</v>
      </c>
      <c r="AJ1981">
        <v>94.536100713472806</v>
      </c>
      <c r="AK1981">
        <v>36.101819397104599</v>
      </c>
      <c r="AL1981">
        <v>80.006893620070102</v>
      </c>
      <c r="AM1981">
        <v>93.955899355227103</v>
      </c>
      <c r="AN1981">
        <v>1.00000006962084</v>
      </c>
    </row>
    <row r="1982" spans="1:40" x14ac:dyDescent="0.25">
      <c r="A1982" t="str">
        <f>"20190312172655755"</f>
        <v>20190312172655755</v>
      </c>
      <c r="B1982" t="str">
        <f>"1552382815750478"</f>
        <v>1552382815750478</v>
      </c>
      <c r="C1982" t="s">
        <v>40</v>
      </c>
      <c r="D1982">
        <v>3.2034859999999998</v>
      </c>
      <c r="E1982">
        <v>0.49781999999999998</v>
      </c>
      <c r="F1982" t="s">
        <v>47</v>
      </c>
      <c r="G1982">
        <v>-474.9171</v>
      </c>
      <c r="H1982" s="1">
        <v>4.3334870000000004E-6</v>
      </c>
      <c r="I1982">
        <v>283.47160000000002</v>
      </c>
      <c r="J1982">
        <v>-440.70510000000002</v>
      </c>
      <c r="K1982">
        <v>1.112738</v>
      </c>
      <c r="L1982">
        <v>286.4366</v>
      </c>
      <c r="M1982">
        <v>-0.99985990000000002</v>
      </c>
      <c r="N1982">
        <v>0</v>
      </c>
      <c r="O1982">
        <v>-7.536025E-3</v>
      </c>
      <c r="P1982">
        <v>-0.98462729999999998</v>
      </c>
      <c r="Q1982">
        <v>0.15827379999999999</v>
      </c>
      <c r="R1982">
        <v>-7.388277E-2</v>
      </c>
      <c r="S1982">
        <v>-3.043701</v>
      </c>
      <c r="T1982">
        <v>-9.7612019999999994E-2</v>
      </c>
      <c r="U1982">
        <v>-0.26043699999999997</v>
      </c>
      <c r="V1982">
        <v>-6.7792770000000002E-2</v>
      </c>
      <c r="W1982">
        <v>0.17246310000000001</v>
      </c>
      <c r="X1982">
        <v>0.98268029999999995</v>
      </c>
      <c r="Y1982">
        <v>-7.7706739999999996E-2</v>
      </c>
      <c r="Z1982">
        <v>-1.0022589999999999E-3</v>
      </c>
      <c r="AA1982">
        <v>0.99697579999999997</v>
      </c>
      <c r="AB1982">
        <v>49</v>
      </c>
      <c r="AC1982">
        <v>-34.211999999999897</v>
      </c>
      <c r="AD1982">
        <v>-1.1127336665129901</v>
      </c>
      <c r="AE1982">
        <v>-2.9649999999999701</v>
      </c>
      <c r="AF1982">
        <v>-2.7042251489256999</v>
      </c>
      <c r="AG1982">
        <v>-1.1127336665129901</v>
      </c>
      <c r="AH1982">
        <v>34.197468877088902</v>
      </c>
      <c r="AI1982">
        <v>91.857864456540199</v>
      </c>
      <c r="AJ1982">
        <v>94.521356237184605</v>
      </c>
      <c r="AK1982">
        <v>34.322265185563403</v>
      </c>
      <c r="AL1982">
        <v>80.068939880172707</v>
      </c>
      <c r="AM1982">
        <v>93.946446330153506</v>
      </c>
      <c r="AN1982">
        <v>0.999999976266986</v>
      </c>
    </row>
    <row r="1983" spans="1:40" x14ac:dyDescent="0.25">
      <c r="A1983" t="str">
        <f>"20190312172655777"</f>
        <v>20190312172655777</v>
      </c>
      <c r="B1983" t="str">
        <f>"1552382815770974"</f>
        <v>1552382815770974</v>
      </c>
      <c r="C1983" t="s">
        <v>40</v>
      </c>
      <c r="D1983">
        <v>3.2928739999999999</v>
      </c>
      <c r="E1983">
        <v>0.5186868</v>
      </c>
      <c r="F1983" t="s">
        <v>47</v>
      </c>
      <c r="G1983">
        <v>-473.63720000000001</v>
      </c>
      <c r="H1983" s="1">
        <v>4.9078370000000002E-6</v>
      </c>
      <c r="I1983">
        <v>283.5487</v>
      </c>
      <c r="J1983">
        <v>-441.19439999999997</v>
      </c>
      <c r="K1983">
        <v>1.112668</v>
      </c>
      <c r="L1983">
        <v>286.43150000000003</v>
      </c>
      <c r="M1983">
        <v>-0.99984070000000003</v>
      </c>
      <c r="N1983">
        <v>0</v>
      </c>
      <c r="O1983">
        <v>-9.7760339999999994E-3</v>
      </c>
      <c r="P1983">
        <v>-0.98461480000000001</v>
      </c>
      <c r="Q1983">
        <v>0.15741150000000001</v>
      </c>
      <c r="R1983">
        <v>-7.5864619999999994E-2</v>
      </c>
      <c r="S1983">
        <v>-3.0433650000000001</v>
      </c>
      <c r="T1983">
        <v>-0.10283150000000001</v>
      </c>
      <c r="U1983">
        <v>-0.26687620000000001</v>
      </c>
      <c r="V1983">
        <v>-6.7536349999999995E-2</v>
      </c>
      <c r="W1983">
        <v>0.17161100000000001</v>
      </c>
      <c r="X1983">
        <v>0.98284720000000003</v>
      </c>
      <c r="Y1983">
        <v>-7.7573630000000005E-2</v>
      </c>
      <c r="Z1983">
        <v>-9.7808529999999995E-4</v>
      </c>
      <c r="AA1983">
        <v>0.99698620000000004</v>
      </c>
      <c r="AB1983">
        <v>49</v>
      </c>
      <c r="AC1983">
        <v>-32.442799999999998</v>
      </c>
      <c r="AD1983">
        <v>-1.1126630921629901</v>
      </c>
      <c r="AE1983">
        <v>-2.8828000000000298</v>
      </c>
      <c r="AF1983">
        <v>-2.5624744872936298</v>
      </c>
      <c r="AG1983">
        <v>-1.1126630921629901</v>
      </c>
      <c r="AH1983">
        <v>32.431586786365898</v>
      </c>
      <c r="AI1983">
        <v>91.958833229473996</v>
      </c>
      <c r="AJ1983">
        <v>94.517650977526102</v>
      </c>
      <c r="AK1983">
        <v>32.551683768067697</v>
      </c>
      <c r="AL1983">
        <v>80.118501340429404</v>
      </c>
      <c r="AM1983">
        <v>93.930900618918699</v>
      </c>
      <c r="AN1983">
        <v>1.0000000562200699</v>
      </c>
    </row>
    <row r="1984" spans="1:40" x14ac:dyDescent="0.25">
      <c r="A1984" t="str">
        <f>"20190312172655800"</f>
        <v>20190312172655800</v>
      </c>
      <c r="B1984" t="str">
        <f>"1552382815790491"</f>
        <v>1552382815790491</v>
      </c>
      <c r="C1984" t="s">
        <v>40</v>
      </c>
      <c r="D1984">
        <v>3.1422569999999999</v>
      </c>
      <c r="E1984">
        <v>0.56716699999999998</v>
      </c>
      <c r="F1984" t="s">
        <v>44</v>
      </c>
      <c r="G1984">
        <v>-442.15410000000003</v>
      </c>
      <c r="H1984">
        <v>1.031013</v>
      </c>
      <c r="I1984">
        <v>286.39609999999999</v>
      </c>
      <c r="J1984">
        <v>-441.6789</v>
      </c>
      <c r="K1984">
        <v>1.1125989999999999</v>
      </c>
      <c r="L1984">
        <v>286.42540000000002</v>
      </c>
      <c r="M1984">
        <v>-0.99981710000000001</v>
      </c>
      <c r="N1984">
        <v>0</v>
      </c>
      <c r="O1984">
        <v>-1.1935889999999999E-2</v>
      </c>
      <c r="P1984">
        <v>-0.98468630000000001</v>
      </c>
      <c r="Q1984">
        <v>0.155943</v>
      </c>
      <c r="R1984">
        <v>-7.7940800000000005E-2</v>
      </c>
      <c r="S1984">
        <v>-3.0799560000000001</v>
      </c>
      <c r="T1984">
        <v>-0.26230310000000001</v>
      </c>
      <c r="U1984">
        <v>-0.1149597</v>
      </c>
      <c r="V1984">
        <v>-6.7447740000000006E-2</v>
      </c>
      <c r="W1984">
        <v>0.17015269999999999</v>
      </c>
      <c r="X1984">
        <v>0.9831067</v>
      </c>
      <c r="Y1984">
        <v>-2.53192E-2</v>
      </c>
      <c r="Z1984" s="1">
        <v>-6.1463560000000003E-5</v>
      </c>
      <c r="AA1984">
        <v>0.9996794</v>
      </c>
      <c r="AB1984">
        <v>49</v>
      </c>
      <c r="AC1984">
        <v>-0.47520000000002899</v>
      </c>
      <c r="AD1984">
        <v>-8.1585999999999895E-2</v>
      </c>
      <c r="AE1984">
        <v>-2.9300000000034701E-2</v>
      </c>
      <c r="AF1984">
        <v>-2.2951376143480699E-2</v>
      </c>
      <c r="AG1984">
        <v>-8.1585999999999895E-2</v>
      </c>
      <c r="AH1984">
        <v>0.46195070496855201</v>
      </c>
      <c r="AI1984">
        <v>100.003743034449</v>
      </c>
      <c r="AJ1984">
        <v>92.844322024236405</v>
      </c>
      <c r="AK1984">
        <v>0.469661042544324</v>
      </c>
      <c r="AL1984">
        <v>80.203302143905105</v>
      </c>
      <c r="AM1984">
        <v>93.924726278781606</v>
      </c>
      <c r="AN1984">
        <v>0.99999996126664303</v>
      </c>
    </row>
    <row r="1985" spans="1:40" x14ac:dyDescent="0.25">
      <c r="A1985" t="str">
        <f>"20190312172655822"</f>
        <v>20190312172655822</v>
      </c>
      <c r="B1985" t="str">
        <f>"1552382815810924"</f>
        <v>1552382815810924</v>
      </c>
      <c r="C1985" t="s">
        <v>40</v>
      </c>
      <c r="D1985">
        <v>3.1763159999999999</v>
      </c>
      <c r="E1985">
        <v>0.57629560000000002</v>
      </c>
      <c r="F1985" t="s">
        <v>44</v>
      </c>
      <c r="G1985">
        <v>-442.5446</v>
      </c>
      <c r="H1985">
        <v>0.95597339999999997</v>
      </c>
      <c r="I1985">
        <v>286.4941</v>
      </c>
      <c r="J1985">
        <v>-442.16550000000001</v>
      </c>
      <c r="K1985">
        <v>1.112533</v>
      </c>
      <c r="L1985">
        <v>286.41820000000001</v>
      </c>
      <c r="M1985">
        <v>-0.99978990000000001</v>
      </c>
      <c r="N1985">
        <v>0</v>
      </c>
      <c r="O1985">
        <v>-1.405109E-2</v>
      </c>
      <c r="P1985">
        <v>-0.98470650000000004</v>
      </c>
      <c r="Q1985">
        <v>0.1547174</v>
      </c>
      <c r="R1985">
        <v>-8.0099459999999997E-2</v>
      </c>
      <c r="S1985">
        <v>-3.1569210000000001</v>
      </c>
      <c r="T1985">
        <v>-0.57119580000000003</v>
      </c>
      <c r="U1985">
        <v>0.25018309999999999</v>
      </c>
      <c r="V1985">
        <v>-6.7485989999999996E-2</v>
      </c>
      <c r="W1985">
        <v>0.16893549999999999</v>
      </c>
      <c r="X1985">
        <v>0.98331400000000002</v>
      </c>
      <c r="Y1985">
        <v>9.130183E-2</v>
      </c>
      <c r="Z1985">
        <v>1.069935E-2</v>
      </c>
      <c r="AA1985">
        <v>0.99576580000000003</v>
      </c>
      <c r="AB1985">
        <v>49</v>
      </c>
      <c r="AC1985">
        <v>-0.379099999999993</v>
      </c>
      <c r="AD1985">
        <v>-0.15655959999999899</v>
      </c>
      <c r="AE1985">
        <v>7.5899999999990003E-2</v>
      </c>
      <c r="AF1985">
        <v>6.9777890037293705E-2</v>
      </c>
      <c r="AG1985">
        <v>-0.15655959999999899</v>
      </c>
      <c r="AH1985">
        <v>0.32474519140930203</v>
      </c>
      <c r="AI1985">
        <v>115.23646660314699</v>
      </c>
      <c r="AJ1985">
        <v>77.873257801610194</v>
      </c>
      <c r="AK1985">
        <v>0.36720471352323503</v>
      </c>
      <c r="AL1985">
        <v>80.274067371087895</v>
      </c>
      <c r="AM1985">
        <v>93.926119771647294</v>
      </c>
      <c r="AN1985">
        <v>0.99999999230126502</v>
      </c>
    </row>
    <row r="1986" spans="1:40" x14ac:dyDescent="0.25">
      <c r="A1986" t="str">
        <f>"20190312172655845"</f>
        <v>20190312172655845</v>
      </c>
      <c r="B1986" t="str">
        <f>"1552382815841179"</f>
        <v>1552382815841179</v>
      </c>
      <c r="C1986" t="s">
        <v>40</v>
      </c>
      <c r="D1986">
        <v>3.237965</v>
      </c>
      <c r="E1986">
        <v>0.5824011</v>
      </c>
      <c r="F1986" t="s">
        <v>44</v>
      </c>
      <c r="G1986">
        <v>-442.97899999999998</v>
      </c>
      <c r="H1986">
        <v>0.95377769999999995</v>
      </c>
      <c r="I1986">
        <v>286.49889999999999</v>
      </c>
      <c r="J1986">
        <v>-442.65750000000003</v>
      </c>
      <c r="K1986">
        <v>1.1124750000000001</v>
      </c>
      <c r="L1986">
        <v>286.41000000000003</v>
      </c>
      <c r="M1986">
        <v>-0.99975829999999999</v>
      </c>
      <c r="N1986">
        <v>0</v>
      </c>
      <c r="O1986">
        <v>-1.6139069999999998E-2</v>
      </c>
      <c r="P1986">
        <v>-0.9846724</v>
      </c>
      <c r="Q1986">
        <v>0.1541256</v>
      </c>
      <c r="R1986">
        <v>-8.1644419999999995E-2</v>
      </c>
      <c r="S1986">
        <v>-3.1693419999999999</v>
      </c>
      <c r="T1986">
        <v>-0.61845709999999998</v>
      </c>
      <c r="U1986">
        <v>0.31390380000000001</v>
      </c>
      <c r="V1986">
        <v>-6.6941769999999998E-2</v>
      </c>
      <c r="W1986">
        <v>0.16835649999999999</v>
      </c>
      <c r="X1986">
        <v>0.98345050000000001</v>
      </c>
      <c r="Y1986">
        <v>0.11221250000000001</v>
      </c>
      <c r="Z1986">
        <v>1.393376E-2</v>
      </c>
      <c r="AA1986">
        <v>0.99358650000000004</v>
      </c>
      <c r="AB1986">
        <v>49</v>
      </c>
      <c r="AC1986">
        <v>-0.321500000000014</v>
      </c>
      <c r="AD1986">
        <v>-0.15869730000000001</v>
      </c>
      <c r="AE1986">
        <v>8.8899999999966894E-2</v>
      </c>
      <c r="AF1986">
        <v>7.6713645940620107E-2</v>
      </c>
      <c r="AG1986">
        <v>-0.15869730000000001</v>
      </c>
      <c r="AH1986">
        <v>0.26095603846250898</v>
      </c>
      <c r="AI1986">
        <v>120.26141367892301</v>
      </c>
      <c r="AJ1986">
        <v>73.618165299360399</v>
      </c>
      <c r="AK1986">
        <v>0.31490930521475402</v>
      </c>
      <c r="AL1986">
        <v>80.307723762056895</v>
      </c>
      <c r="AM1986">
        <v>93.894017723451498</v>
      </c>
      <c r="AN1986">
        <v>0.99999999880661605</v>
      </c>
    </row>
    <row r="1987" spans="1:40" x14ac:dyDescent="0.25">
      <c r="A1987" t="str">
        <f>"20190312172655869"</f>
        <v>20190312172655869</v>
      </c>
      <c r="B1987" t="str">
        <f>"1552382815860700"</f>
        <v>1552382815860700</v>
      </c>
      <c r="C1987" t="s">
        <v>40</v>
      </c>
      <c r="D1987">
        <v>3.1594389999999999</v>
      </c>
      <c r="E1987">
        <v>0.58448279999999997</v>
      </c>
      <c r="F1987" t="s">
        <v>44</v>
      </c>
      <c r="G1987">
        <v>-443.416</v>
      </c>
      <c r="H1987">
        <v>0.95791510000000002</v>
      </c>
      <c r="I1987">
        <v>286.49509999999998</v>
      </c>
      <c r="J1987">
        <v>-443.17360000000002</v>
      </c>
      <c r="K1987">
        <v>1.112409</v>
      </c>
      <c r="L1987">
        <v>286.40030000000002</v>
      </c>
      <c r="M1987">
        <v>-0.99972159999999999</v>
      </c>
      <c r="N1987">
        <v>0</v>
      </c>
      <c r="O1987">
        <v>-1.8278450000000002E-2</v>
      </c>
      <c r="P1987">
        <v>-0.98458840000000003</v>
      </c>
      <c r="Q1987">
        <v>0.15389749999999999</v>
      </c>
      <c r="R1987">
        <v>-8.3072960000000001E-2</v>
      </c>
      <c r="S1987">
        <v>-3.1775509999999998</v>
      </c>
      <c r="T1987">
        <v>-0.64762779999999998</v>
      </c>
      <c r="U1987">
        <v>0.35540769999999999</v>
      </c>
      <c r="V1987">
        <v>-6.6231899999999996E-2</v>
      </c>
      <c r="W1987">
        <v>0.16814119999999999</v>
      </c>
      <c r="X1987">
        <v>0.98353539999999995</v>
      </c>
      <c r="Y1987">
        <v>0.12636620000000001</v>
      </c>
      <c r="Z1987">
        <v>1.638566E-2</v>
      </c>
      <c r="AA1987">
        <v>0.99184830000000002</v>
      </c>
      <c r="AB1987">
        <v>49</v>
      </c>
      <c r="AC1987">
        <v>-0.242399999999975</v>
      </c>
      <c r="AD1987">
        <v>-0.15449389999999899</v>
      </c>
      <c r="AE1987">
        <v>9.4799999999963802E-2</v>
      </c>
      <c r="AF1987">
        <v>7.3366354230858702E-2</v>
      </c>
      <c r="AG1987">
        <v>-0.15449389999999899</v>
      </c>
      <c r="AH1987">
        <v>0.17793506421838901</v>
      </c>
      <c r="AI1987">
        <v>128.75414221377301</v>
      </c>
      <c r="AJ1987">
        <v>67.592620250014406</v>
      </c>
      <c r="AK1987">
        <v>0.246803310651904</v>
      </c>
      <c r="AL1987">
        <v>80.320238002885205</v>
      </c>
      <c r="AM1987">
        <v>93.852517878565294</v>
      </c>
      <c r="AN1987">
        <v>1.0000000053841001</v>
      </c>
    </row>
    <row r="1988" spans="1:40" x14ac:dyDescent="0.25">
      <c r="A1988" t="str">
        <f>"20190312172655889"</f>
        <v>20190312172655889</v>
      </c>
      <c r="B1988" t="str">
        <f>"1552382815881197"</f>
        <v>1552382815881197</v>
      </c>
      <c r="C1988" t="s">
        <v>40</v>
      </c>
      <c r="D1988">
        <v>3.3404099999999999</v>
      </c>
      <c r="E1988">
        <v>0.58507919999999902</v>
      </c>
      <c r="F1988" t="s">
        <v>44</v>
      </c>
      <c r="G1988">
        <v>-444.25639999999999</v>
      </c>
      <c r="H1988">
        <v>0.88921209999999995</v>
      </c>
      <c r="I1988">
        <v>286.52539999999999</v>
      </c>
      <c r="J1988">
        <v>-443.61450000000002</v>
      </c>
      <c r="K1988">
        <v>1.1123499999999999</v>
      </c>
      <c r="L1988">
        <v>286.39109999999999</v>
      </c>
      <c r="M1988">
        <v>-0.9996874</v>
      </c>
      <c r="N1988">
        <v>0</v>
      </c>
      <c r="O1988">
        <v>-2.0063910000000001E-2</v>
      </c>
      <c r="P1988">
        <v>-0.9845604</v>
      </c>
      <c r="Q1988">
        <v>0.15350139999999901</v>
      </c>
      <c r="R1988">
        <v>-8.4132899999999997E-2</v>
      </c>
      <c r="S1988">
        <v>-3.1804199999999998</v>
      </c>
      <c r="T1988">
        <v>-0.65566639999999998</v>
      </c>
      <c r="U1988">
        <v>0.36697390000000002</v>
      </c>
      <c r="V1988">
        <v>-6.5503660000000005E-2</v>
      </c>
      <c r="W1988">
        <v>0.1677572</v>
      </c>
      <c r="X1988">
        <v>0.98364969999999996</v>
      </c>
      <c r="Y1988">
        <v>0.13139029999999999</v>
      </c>
      <c r="Z1988">
        <v>1.7441209999999999E-2</v>
      </c>
      <c r="AA1988">
        <v>0.99117730000000004</v>
      </c>
      <c r="AB1988">
        <v>49</v>
      </c>
      <c r="AC1988">
        <v>-0.64189999999996405</v>
      </c>
      <c r="AD1988">
        <v>-0.2231379</v>
      </c>
      <c r="AE1988">
        <v>0.13429999999999601</v>
      </c>
      <c r="AF1988">
        <v>0.13188478510243301</v>
      </c>
      <c r="AG1988">
        <v>-0.2231379</v>
      </c>
      <c r="AH1988">
        <v>0.57276539183243702</v>
      </c>
      <c r="AI1988">
        <v>110.789044993047</v>
      </c>
      <c r="AJ1988">
        <v>77.033104372195297</v>
      </c>
      <c r="AK1988">
        <v>0.628684589471454</v>
      </c>
      <c r="AL1988">
        <v>80.3425562581224</v>
      </c>
      <c r="AM1988">
        <v>93.809842286063898</v>
      </c>
      <c r="AN1988">
        <v>0.99999996996766205</v>
      </c>
    </row>
    <row r="1989" spans="1:40" x14ac:dyDescent="0.25">
      <c r="A1989" t="str">
        <f>"20190312172655911"</f>
        <v>20190312172655911</v>
      </c>
      <c r="B1989" t="str">
        <f>"1552382815901088"</f>
        <v>1552382815901088</v>
      </c>
      <c r="C1989" t="s">
        <v>40</v>
      </c>
      <c r="D1989">
        <v>3.2291750000000001</v>
      </c>
      <c r="E1989">
        <v>0.58671019999999996</v>
      </c>
      <c r="F1989" t="s">
        <v>44</v>
      </c>
      <c r="G1989">
        <v>-444.69040000000001</v>
      </c>
      <c r="H1989">
        <v>0.88944049999999997</v>
      </c>
      <c r="I1989">
        <v>286.51530000000002</v>
      </c>
      <c r="J1989">
        <v>-444.11149999999998</v>
      </c>
      <c r="K1989">
        <v>1.1122810000000001</v>
      </c>
      <c r="L1989">
        <v>286.37970000000001</v>
      </c>
      <c r="M1989">
        <v>-0.99964580000000003</v>
      </c>
      <c r="N1989">
        <v>0</v>
      </c>
      <c r="O1989">
        <v>-2.2037580000000001E-2</v>
      </c>
      <c r="P1989">
        <v>-0.98433859999999995</v>
      </c>
      <c r="Q1989">
        <v>0.1539095</v>
      </c>
      <c r="R1989">
        <v>-8.5961460000000003E-2</v>
      </c>
      <c r="S1989">
        <v>-3.1811829999999999</v>
      </c>
      <c r="T1989">
        <v>-0.65910279999999999</v>
      </c>
      <c r="U1989">
        <v>0.36727910000000002</v>
      </c>
      <c r="V1989">
        <v>-6.5365759999999995E-2</v>
      </c>
      <c r="W1989">
        <v>0.16817219999999999</v>
      </c>
      <c r="X1989">
        <v>0.98358800000000002</v>
      </c>
      <c r="Y1989">
        <v>0.13330029999999901</v>
      </c>
      <c r="Z1989">
        <v>1.8125260000000001E-2</v>
      </c>
      <c r="AA1989">
        <v>0.99090990000000001</v>
      </c>
      <c r="AB1989">
        <v>49</v>
      </c>
      <c r="AC1989">
        <v>-0.57890000000003194</v>
      </c>
      <c r="AD1989">
        <v>-0.222840499999999</v>
      </c>
      <c r="AE1989">
        <v>0.13560000000000999</v>
      </c>
      <c r="AF1989">
        <v>0.13005694564122899</v>
      </c>
      <c r="AG1989">
        <v>-0.222840499999999</v>
      </c>
      <c r="AH1989">
        <v>0.50485394799500705</v>
      </c>
      <c r="AI1989">
        <v>113.143819072159</v>
      </c>
      <c r="AJ1989">
        <v>75.553962632229101</v>
      </c>
      <c r="AK1989">
        <v>0.566965789405252</v>
      </c>
      <c r="AL1989">
        <v>80.318435757901597</v>
      </c>
      <c r="AM1989">
        <v>93.802083042701994</v>
      </c>
      <c r="AN1989">
        <v>0.99999996258860802</v>
      </c>
    </row>
    <row r="1990" spans="1:40" x14ac:dyDescent="0.25">
      <c r="A1990" t="str">
        <f>"20190312172655934"</f>
        <v>20190312172655934</v>
      </c>
      <c r="B1990" t="str">
        <f>"1552382815931344"</f>
        <v>1552382815931344</v>
      </c>
      <c r="C1990" t="s">
        <v>40</v>
      </c>
      <c r="D1990">
        <v>3.2000549999999999</v>
      </c>
      <c r="E1990">
        <v>0.58833659999999999</v>
      </c>
      <c r="F1990" t="s">
        <v>44</v>
      </c>
      <c r="G1990">
        <v>-445.1284</v>
      </c>
      <c r="H1990">
        <v>0.90018240000000005</v>
      </c>
      <c r="I1990">
        <v>286.49959999999999</v>
      </c>
      <c r="J1990">
        <v>-444.58940000000001</v>
      </c>
      <c r="K1990">
        <v>1.1122209999999999</v>
      </c>
      <c r="L1990">
        <v>286.36799999999999</v>
      </c>
      <c r="M1990">
        <v>-0.99960329999999997</v>
      </c>
      <c r="N1990">
        <v>0</v>
      </c>
      <c r="O1990">
        <v>-2.3895E-2</v>
      </c>
      <c r="P1990">
        <v>-0.98418629999999996</v>
      </c>
      <c r="Q1990">
        <v>0.1538157</v>
      </c>
      <c r="R1990">
        <v>-8.7854489999999993E-2</v>
      </c>
      <c r="S1990">
        <v>-3.1842649999999999</v>
      </c>
      <c r="T1990">
        <v>-0.66417289999999995</v>
      </c>
      <c r="U1990">
        <v>0.37454219999999999</v>
      </c>
      <c r="V1990">
        <v>-6.5403810000000007E-2</v>
      </c>
      <c r="W1990">
        <v>0.16808429999999999</v>
      </c>
      <c r="X1990">
        <v>0.98360060000000005</v>
      </c>
      <c r="Y1990">
        <v>0.13709779999999999</v>
      </c>
      <c r="Z1990">
        <v>1.9015049999999999E-2</v>
      </c>
      <c r="AA1990">
        <v>0.99037500000000001</v>
      </c>
      <c r="AB1990">
        <v>49</v>
      </c>
      <c r="AC1990">
        <v>-0.53899999999998705</v>
      </c>
      <c r="AD1990">
        <v>-0.21203859999999899</v>
      </c>
      <c r="AE1990">
        <v>0.131599999999991</v>
      </c>
      <c r="AF1990">
        <v>0.12603559108134299</v>
      </c>
      <c r="AG1990">
        <v>-0.21203859999999899</v>
      </c>
      <c r="AH1990">
        <v>0.46743207362873901</v>
      </c>
      <c r="AI1990">
        <v>113.652578108602</v>
      </c>
      <c r="AJ1990">
        <v>74.909970777382995</v>
      </c>
      <c r="AK1990">
        <v>0.52852443800267801</v>
      </c>
      <c r="AL1990">
        <v>80.323545786819196</v>
      </c>
      <c r="AM1990">
        <v>93.804241182252994</v>
      </c>
      <c r="AN1990">
        <v>1.0000000652946801</v>
      </c>
    </row>
    <row r="1991" spans="1:40" x14ac:dyDescent="0.25">
      <c r="A1991" t="str">
        <f>"20190312172655956"</f>
        <v>20190312172655956</v>
      </c>
      <c r="B1991" t="str">
        <f>"1552382815950864"</f>
        <v>1552382815950864</v>
      </c>
      <c r="C1991" t="s">
        <v>40</v>
      </c>
      <c r="D1991">
        <v>3.1964429999999999</v>
      </c>
      <c r="E1991">
        <v>0.58899539999999995</v>
      </c>
      <c r="F1991" t="s">
        <v>44</v>
      </c>
      <c r="G1991">
        <v>-445.56439999999998</v>
      </c>
      <c r="H1991">
        <v>0.90673170000000003</v>
      </c>
      <c r="I1991">
        <v>286.48480000000001</v>
      </c>
      <c r="J1991">
        <v>-445.0702</v>
      </c>
      <c r="K1991">
        <v>1.1121570000000001</v>
      </c>
      <c r="L1991">
        <v>286.35520000000002</v>
      </c>
      <c r="M1991">
        <v>-0.99955799999999995</v>
      </c>
      <c r="N1991">
        <v>0</v>
      </c>
      <c r="O1991">
        <v>-2.571646E-2</v>
      </c>
      <c r="P1991">
        <v>-0.98400449999999995</v>
      </c>
      <c r="Q1991">
        <v>0.1537683</v>
      </c>
      <c r="R1991">
        <v>-8.9947170000000007E-2</v>
      </c>
      <c r="S1991">
        <v>-3.187195</v>
      </c>
      <c r="T1991">
        <v>-0.67185019999999995</v>
      </c>
      <c r="U1991">
        <v>0.38125609999999999</v>
      </c>
      <c r="V1991">
        <v>-6.5675860000000003E-2</v>
      </c>
      <c r="W1991">
        <v>0.1680411</v>
      </c>
      <c r="X1991">
        <v>0.98358979999999996</v>
      </c>
      <c r="Y1991">
        <v>0.14066429999999999</v>
      </c>
      <c r="Z1991">
        <v>1.9959979999999999E-2</v>
      </c>
      <c r="AA1991">
        <v>0.98985610000000002</v>
      </c>
      <c r="AB1991">
        <v>49</v>
      </c>
      <c r="AC1991">
        <v>-0.49419999999997699</v>
      </c>
      <c r="AD1991">
        <v>-0.20542530000000001</v>
      </c>
      <c r="AE1991">
        <v>0.12959999999998201</v>
      </c>
      <c r="AF1991">
        <v>0.122468643609681</v>
      </c>
      <c r="AG1991">
        <v>-0.20542530000000001</v>
      </c>
      <c r="AH1991">
        <v>0.42241353509097002</v>
      </c>
      <c r="AI1991">
        <v>115.03627492863799</v>
      </c>
      <c r="AJ1991">
        <v>73.831754909775199</v>
      </c>
      <c r="AK1991">
        <v>0.48541870295213702</v>
      </c>
      <c r="AL1991">
        <v>80.3260561605899</v>
      </c>
      <c r="AM1991">
        <v>93.820060154923098</v>
      </c>
      <c r="AN1991">
        <v>1.0000000122699899</v>
      </c>
    </row>
    <row r="1992" spans="1:40" x14ac:dyDescent="0.25">
      <c r="A1992" t="str">
        <f>"20190312172655978"</f>
        <v>20190312172655978</v>
      </c>
      <c r="B1992" t="str">
        <f>"1552382815970388"</f>
        <v>1552382815970388</v>
      </c>
      <c r="C1992" t="s">
        <v>40</v>
      </c>
      <c r="D1992">
        <v>3.207862</v>
      </c>
      <c r="E1992">
        <v>0.58961730000000001</v>
      </c>
      <c r="F1992" t="s">
        <v>44</v>
      </c>
      <c r="G1992">
        <v>-446.00069999999999</v>
      </c>
      <c r="H1992">
        <v>0.91576590000000002</v>
      </c>
      <c r="I1992">
        <v>286.46629999999999</v>
      </c>
      <c r="J1992">
        <v>-445.55250000000001</v>
      </c>
      <c r="K1992">
        <v>1.112093</v>
      </c>
      <c r="L1992">
        <v>286.34160000000003</v>
      </c>
      <c r="M1992">
        <v>-0.99951109999999999</v>
      </c>
      <c r="N1992">
        <v>0</v>
      </c>
      <c r="O1992">
        <v>-2.748542E-2</v>
      </c>
      <c r="P1992">
        <v>-0.98383100000000001</v>
      </c>
      <c r="Q1992">
        <v>0.1536662</v>
      </c>
      <c r="R1992">
        <v>-9.1997449999999995E-2</v>
      </c>
      <c r="S1992">
        <v>-3.1886899999999998</v>
      </c>
      <c r="T1992">
        <v>-0.67304869999999895</v>
      </c>
      <c r="U1992">
        <v>0.38000489999999998</v>
      </c>
      <c r="V1992">
        <v>-6.5955559999999996E-2</v>
      </c>
      <c r="W1992">
        <v>0.1679447</v>
      </c>
      <c r="X1992">
        <v>0.98358760000000001</v>
      </c>
      <c r="Y1992">
        <v>0.14190249999999999</v>
      </c>
      <c r="Z1992">
        <v>2.048326E-2</v>
      </c>
      <c r="AA1992">
        <v>0.98966869999999996</v>
      </c>
      <c r="AB1992">
        <v>49</v>
      </c>
      <c r="AC1992">
        <v>-0.448199999999985</v>
      </c>
      <c r="AD1992">
        <v>-0.1963271</v>
      </c>
      <c r="AE1992">
        <v>0.12469999999996099</v>
      </c>
      <c r="AF1992">
        <v>0.116267316797965</v>
      </c>
      <c r="AG1992">
        <v>-0.1963271</v>
      </c>
      <c r="AH1992">
        <v>0.37739333393484098</v>
      </c>
      <c r="AI1992">
        <v>116.434726895873</v>
      </c>
      <c r="AJ1992">
        <v>72.876984229719199</v>
      </c>
      <c r="AK1992">
        <v>0.441008103835137</v>
      </c>
      <c r="AL1992">
        <v>80.331659591948195</v>
      </c>
      <c r="AM1992">
        <v>93.836289084795197</v>
      </c>
      <c r="AN1992">
        <v>1.00000006251337</v>
      </c>
    </row>
    <row r="1993" spans="1:40" x14ac:dyDescent="0.25">
      <c r="A1993" t="str">
        <f>"20190312172656000"</f>
        <v>20190312172656000</v>
      </c>
      <c r="B1993" t="str">
        <f>"1552382815990880"</f>
        <v>1552382815990880</v>
      </c>
      <c r="C1993" t="s">
        <v>40</v>
      </c>
      <c r="D1993">
        <v>3.209247</v>
      </c>
      <c r="E1993">
        <v>0.59029770000000004</v>
      </c>
      <c r="F1993" t="s">
        <v>44</v>
      </c>
      <c r="G1993">
        <v>-446.43680000000001</v>
      </c>
      <c r="H1993">
        <v>0.9249638</v>
      </c>
      <c r="I1993">
        <v>286.44690000000003</v>
      </c>
      <c r="J1993">
        <v>-446.03530000000001</v>
      </c>
      <c r="K1993">
        <v>1.1120139999999901</v>
      </c>
      <c r="L1993">
        <v>286.3272</v>
      </c>
      <c r="M1993">
        <v>-0.99946299999999999</v>
      </c>
      <c r="N1993">
        <v>0</v>
      </c>
      <c r="O1993">
        <v>-2.9184539999999998E-2</v>
      </c>
      <c r="P1993">
        <v>-0.98363440000000002</v>
      </c>
      <c r="Q1993">
        <v>0.15374499999999999</v>
      </c>
      <c r="R1993">
        <v>-9.3948019999999993E-2</v>
      </c>
      <c r="S1993">
        <v>-3.1901860000000002</v>
      </c>
      <c r="T1993">
        <v>-0.67517320000000003</v>
      </c>
      <c r="U1993">
        <v>0.37863160000000001</v>
      </c>
      <c r="V1993">
        <v>-6.6201270000000006E-2</v>
      </c>
      <c r="W1993">
        <v>0.16802979999999901</v>
      </c>
      <c r="X1993">
        <v>0.98355649999999994</v>
      </c>
      <c r="Y1993">
        <v>0.14302790000000001</v>
      </c>
      <c r="Z1993">
        <v>2.1009730000000001E-2</v>
      </c>
      <c r="AA1993">
        <v>0.98949560000000003</v>
      </c>
      <c r="AB1993">
        <v>48</v>
      </c>
      <c r="AC1993">
        <v>-0.40149999999999803</v>
      </c>
      <c r="AD1993">
        <v>-0.187050199999999</v>
      </c>
      <c r="AE1993">
        <v>0.119700000000023</v>
      </c>
      <c r="AF1993">
        <v>0.109534759023178</v>
      </c>
      <c r="AG1993">
        <v>-0.187050199999999</v>
      </c>
      <c r="AH1993">
        <v>0.33171558892606801</v>
      </c>
      <c r="AI1993">
        <v>118.166847197507</v>
      </c>
      <c r="AJ1993">
        <v>71.726423086176993</v>
      </c>
      <c r="AK1993">
        <v>0.39625859320760998</v>
      </c>
      <c r="AL1993">
        <v>80.326712873278495</v>
      </c>
      <c r="AM1993">
        <v>93.850659221113702</v>
      </c>
      <c r="AN1993">
        <v>1.00000000526495</v>
      </c>
    </row>
    <row r="1994" spans="1:40" x14ac:dyDescent="0.25">
      <c r="A1994" t="str">
        <f>"20190312172656023"</f>
        <v>20190312172656023</v>
      </c>
      <c r="B1994" t="str">
        <f>"1552382816021136"</f>
        <v>1552382816021136</v>
      </c>
      <c r="C1994" t="s">
        <v>40</v>
      </c>
      <c r="D1994">
        <v>3.1069740000000001</v>
      </c>
      <c r="E1994">
        <v>0.62370199999999998</v>
      </c>
      <c r="F1994" t="s">
        <v>44</v>
      </c>
      <c r="G1994">
        <v>-446.87329999999997</v>
      </c>
      <c r="H1994">
        <v>0.93494549999999998</v>
      </c>
      <c r="I1994">
        <v>286.42660000000001</v>
      </c>
      <c r="J1994">
        <v>-446.5138</v>
      </c>
      <c r="K1994">
        <v>1.1119239999999999</v>
      </c>
      <c r="L1994">
        <v>286.31209999999999</v>
      </c>
      <c r="M1994">
        <v>-0.9994151</v>
      </c>
      <c r="N1994">
        <v>0</v>
      </c>
      <c r="O1994">
        <v>-3.0782779999999999E-2</v>
      </c>
      <c r="P1994">
        <v>-0.98346999999999996</v>
      </c>
      <c r="Q1994">
        <v>0.15367510000000001</v>
      </c>
      <c r="R1994">
        <v>-9.5765690000000001E-2</v>
      </c>
      <c r="S1994">
        <v>-3.191376</v>
      </c>
      <c r="T1994">
        <v>-0.67447979999999996</v>
      </c>
      <c r="U1994">
        <v>0.3773804</v>
      </c>
      <c r="V1994">
        <v>-6.6408339999999996E-2</v>
      </c>
      <c r="W1994">
        <v>0.16796820000000001</v>
      </c>
      <c r="X1994">
        <v>0.98355309999999996</v>
      </c>
      <c r="Y1994">
        <v>0.14413489999999901</v>
      </c>
      <c r="Z1994">
        <v>2.1429960000000001E-2</v>
      </c>
      <c r="AA1994">
        <v>0.98932600000000004</v>
      </c>
      <c r="AB1994">
        <v>48</v>
      </c>
      <c r="AC1994">
        <v>-0.35949999999996801</v>
      </c>
      <c r="AD1994">
        <v>-0.17697849999999901</v>
      </c>
      <c r="AE1994">
        <v>0.11450000000002</v>
      </c>
      <c r="AF1994">
        <v>0.102877271063092</v>
      </c>
      <c r="AG1994">
        <v>-0.17697849999999901</v>
      </c>
      <c r="AH1994">
        <v>0.29163590785874899</v>
      </c>
      <c r="AI1994">
        <v>119.78181209634501</v>
      </c>
      <c r="AJ1994">
        <v>70.569233492221599</v>
      </c>
      <c r="AK1994">
        <v>0.35630973199764798</v>
      </c>
      <c r="AL1994">
        <v>80.330293539926998</v>
      </c>
      <c r="AM1994">
        <v>93.862680550464702</v>
      </c>
      <c r="AN1994">
        <v>1.0000000421762001</v>
      </c>
    </row>
    <row r="1995" spans="1:40" x14ac:dyDescent="0.25">
      <c r="A1995" t="str">
        <f>"20190312172656047"</f>
        <v>20190312172656047</v>
      </c>
      <c r="B1995" t="str">
        <f>"1552382816040656"</f>
        <v>1552382816040656</v>
      </c>
      <c r="C1995" t="s">
        <v>40</v>
      </c>
      <c r="D1995">
        <v>3.202207</v>
      </c>
      <c r="E1995">
        <v>0.62122909999999998</v>
      </c>
      <c r="F1995" t="s">
        <v>44</v>
      </c>
      <c r="G1995">
        <v>-447.31130000000002</v>
      </c>
      <c r="H1995">
        <v>0.93791139999999995</v>
      </c>
      <c r="I1995">
        <v>286.4701</v>
      </c>
      <c r="J1995">
        <v>-447.02800000000002</v>
      </c>
      <c r="K1995">
        <v>1.1118140000000001</v>
      </c>
      <c r="L1995">
        <v>286.29520000000002</v>
      </c>
      <c r="M1995">
        <v>-0.99936429999999998</v>
      </c>
      <c r="N1995">
        <v>0</v>
      </c>
      <c r="O1995">
        <v>-3.2390519999999999E-2</v>
      </c>
      <c r="P1995">
        <v>-0.98319999999999996</v>
      </c>
      <c r="Q1995">
        <v>0.1540967</v>
      </c>
      <c r="R1995">
        <v>-9.7838649999999999E-2</v>
      </c>
      <c r="S1995">
        <v>-3.2222900000000001</v>
      </c>
      <c r="T1995">
        <v>-0.70334339999999995</v>
      </c>
      <c r="U1995">
        <v>0.63589479999999998</v>
      </c>
      <c r="V1995">
        <v>-6.6857330000000006E-2</v>
      </c>
      <c r="W1995">
        <v>0.16839879999999999</v>
      </c>
      <c r="X1995">
        <v>0.98344900000000002</v>
      </c>
      <c r="Y1995">
        <v>0.2195667</v>
      </c>
      <c r="Z1995">
        <v>3.0394020000000001E-2</v>
      </c>
      <c r="AA1995">
        <v>0.97512390000000004</v>
      </c>
      <c r="AB1995">
        <v>48</v>
      </c>
      <c r="AC1995">
        <v>-0.283299999999997</v>
      </c>
      <c r="AD1995">
        <v>-0.17390259999999899</v>
      </c>
      <c r="AE1995">
        <v>0.17489999999997899</v>
      </c>
      <c r="AF1995">
        <v>0.14454914774528399</v>
      </c>
      <c r="AG1995">
        <v>-0.17390259999999899</v>
      </c>
      <c r="AH1995">
        <v>0.21800801514672899</v>
      </c>
      <c r="AI1995">
        <v>123.61701453793501</v>
      </c>
      <c r="AJ1995">
        <v>56.453826591040603</v>
      </c>
      <c r="AK1995">
        <v>0.314108365168558</v>
      </c>
      <c r="AL1995">
        <v>80.305265028817701</v>
      </c>
      <c r="AM1995">
        <v>93.8891268264411</v>
      </c>
      <c r="AN1995">
        <v>0.999999997008584</v>
      </c>
    </row>
    <row r="1996" spans="1:40" x14ac:dyDescent="0.25">
      <c r="A1996" t="str">
        <f>"20190312172656069"</f>
        <v>20190312172656069</v>
      </c>
      <c r="B1996" t="str">
        <f>"1552382816061152"</f>
        <v>1552382816061152</v>
      </c>
      <c r="C1996" t="s">
        <v>40</v>
      </c>
      <c r="D1996">
        <v>3.7163729999999999</v>
      </c>
      <c r="E1996">
        <v>0.62038769999999999</v>
      </c>
      <c r="F1996" t="s">
        <v>44</v>
      </c>
      <c r="G1996">
        <v>-447.74979999999999</v>
      </c>
      <c r="H1996">
        <v>0.95710989999999996</v>
      </c>
      <c r="I1996">
        <v>286.43220000000002</v>
      </c>
      <c r="J1996">
        <v>-447.50510000000003</v>
      </c>
      <c r="K1996">
        <v>1.111699</v>
      </c>
      <c r="L1996">
        <v>286.27879999999999</v>
      </c>
      <c r="M1996">
        <v>-0.99931919999999996</v>
      </c>
      <c r="N1996">
        <v>0</v>
      </c>
      <c r="O1996">
        <v>-3.3756990000000001E-2</v>
      </c>
      <c r="P1996">
        <v>-0.98299530000000002</v>
      </c>
      <c r="Q1996">
        <v>0.15445339999999999</v>
      </c>
      <c r="R1996">
        <v>-9.9319290000000005E-2</v>
      </c>
      <c r="S1996">
        <v>-3.2202760000000001</v>
      </c>
      <c r="T1996">
        <v>-0.69011880000000003</v>
      </c>
      <c r="U1996">
        <v>0.61117549999999998</v>
      </c>
      <c r="V1996">
        <v>-6.6948240000000006E-2</v>
      </c>
      <c r="W1996">
        <v>0.16876820000000001</v>
      </c>
      <c r="X1996">
        <v>0.98337949999999996</v>
      </c>
      <c r="Y1996">
        <v>0.2140813</v>
      </c>
      <c r="Z1996">
        <v>2.9584820000000001E-2</v>
      </c>
      <c r="AA1996">
        <v>0.97636769999999995</v>
      </c>
      <c r="AB1996">
        <v>48</v>
      </c>
      <c r="AC1996">
        <v>-0.244699999999966</v>
      </c>
      <c r="AD1996">
        <v>-0.15458909999999901</v>
      </c>
      <c r="AE1996">
        <v>0.15340000000003301</v>
      </c>
      <c r="AF1996">
        <v>0.12559068116807501</v>
      </c>
      <c r="AG1996">
        <v>-0.15458909999999901</v>
      </c>
      <c r="AH1996">
        <v>0.18607038277226601</v>
      </c>
      <c r="AI1996">
        <v>124.552360231168</v>
      </c>
      <c r="AJ1996">
        <v>55.982094272537502</v>
      </c>
      <c r="AK1996">
        <v>0.27256741621127201</v>
      </c>
      <c r="AL1996">
        <v>80.283792735512293</v>
      </c>
      <c r="AM1996">
        <v>93.894673236623504</v>
      </c>
      <c r="AN1996">
        <v>1.0000000065952901</v>
      </c>
    </row>
    <row r="1997" spans="1:40" x14ac:dyDescent="0.25">
      <c r="A1997" t="str">
        <f>"20190312172656092"</f>
        <v>20190312172656092</v>
      </c>
      <c r="B1997" t="str">
        <f>"1552382816080672"</f>
        <v>1552382816080672</v>
      </c>
      <c r="C1997" t="s">
        <v>40</v>
      </c>
      <c r="D1997">
        <v>3.2892169999999998</v>
      </c>
      <c r="E1997">
        <v>0.62003019999999998</v>
      </c>
      <c r="F1997" t="s">
        <v>44</v>
      </c>
      <c r="G1997">
        <v>-448.5865</v>
      </c>
      <c r="H1997">
        <v>0.88188149999999998</v>
      </c>
      <c r="I1997">
        <v>286.48020000000002</v>
      </c>
      <c r="J1997">
        <v>-447.99579999999997</v>
      </c>
      <c r="K1997">
        <v>1.1115660000000001</v>
      </c>
      <c r="L1997">
        <v>286.26130000000001</v>
      </c>
      <c r="M1997">
        <v>-0.99927580000000005</v>
      </c>
      <c r="N1997">
        <v>0</v>
      </c>
      <c r="O1997">
        <v>-3.5021410000000003E-2</v>
      </c>
      <c r="P1997">
        <v>-0.98274980000000001</v>
      </c>
      <c r="Q1997">
        <v>0.1551806</v>
      </c>
      <c r="R1997">
        <v>-0.10061</v>
      </c>
      <c r="S1997">
        <v>-3.2200319999999998</v>
      </c>
      <c r="T1997">
        <v>-0.68432680000000001</v>
      </c>
      <c r="U1997">
        <v>0.59976200000000002</v>
      </c>
      <c r="V1997">
        <v>-6.6946160000000005E-2</v>
      </c>
      <c r="W1997">
        <v>0.16951079999999999</v>
      </c>
      <c r="X1997">
        <v>0.98325189999999996</v>
      </c>
      <c r="Y1997">
        <v>0.21208689999999999</v>
      </c>
      <c r="Z1997">
        <v>2.940912E-2</v>
      </c>
      <c r="AA1997">
        <v>0.97680820000000002</v>
      </c>
      <c r="AB1997">
        <v>48</v>
      </c>
      <c r="AC1997">
        <v>-0.59070000000002598</v>
      </c>
      <c r="AD1997">
        <v>-0.22968450000000001</v>
      </c>
      <c r="AE1997">
        <v>0.218900000000019</v>
      </c>
      <c r="AF1997">
        <v>0.211357961122844</v>
      </c>
      <c r="AG1997">
        <v>-0.22968450000000001</v>
      </c>
      <c r="AH1997">
        <v>0.51430118319343898</v>
      </c>
      <c r="AI1997">
        <v>112.44422910797699</v>
      </c>
      <c r="AJ1997">
        <v>67.659227138518105</v>
      </c>
      <c r="AK1997">
        <v>0.60160856402184504</v>
      </c>
      <c r="AL1997">
        <v>80.2406228307877</v>
      </c>
      <c r="AM1997">
        <v>93.895056460196798</v>
      </c>
      <c r="AN1997">
        <v>0.99999999925449701</v>
      </c>
    </row>
    <row r="1998" spans="1:40" x14ac:dyDescent="0.25">
      <c r="A1998" t="str">
        <f>"20190312172656136"</f>
        <v>20190312172656136</v>
      </c>
      <c r="B1998" t="str">
        <f>"1552382816130448"</f>
        <v>1552382816130448</v>
      </c>
      <c r="C1998" t="s">
        <v>40</v>
      </c>
      <c r="D1998">
        <v>3.2331789999999998</v>
      </c>
      <c r="E1998">
        <v>0.62146849999999998</v>
      </c>
      <c r="F1998" t="s">
        <v>44</v>
      </c>
      <c r="G1998">
        <v>-449.02159999999998</v>
      </c>
      <c r="H1998">
        <v>0.89490289999999995</v>
      </c>
      <c r="I1998">
        <v>286.4504</v>
      </c>
      <c r="J1998">
        <v>-448.94159999999999</v>
      </c>
      <c r="K1998">
        <v>1.1112949999999999</v>
      </c>
      <c r="L1998">
        <v>286.22629999999998</v>
      </c>
      <c r="M1998">
        <v>-0.99920059999999999</v>
      </c>
      <c r="N1998">
        <v>0</v>
      </c>
      <c r="O1998">
        <v>-3.7109049999999998E-2</v>
      </c>
      <c r="P1998">
        <v>-0.9825315</v>
      </c>
      <c r="Q1998">
        <v>0.1549121</v>
      </c>
      <c r="R1998">
        <v>-0.1031222</v>
      </c>
      <c r="S1998">
        <v>-3.2207949999999999</v>
      </c>
      <c r="T1998">
        <v>-0.68033120000000002</v>
      </c>
      <c r="U1998">
        <v>0.59265140000000005</v>
      </c>
      <c r="V1998">
        <v>-6.7292580000000005E-2</v>
      </c>
      <c r="W1998">
        <v>0.1692739</v>
      </c>
      <c r="X1998">
        <v>0.98326899999999995</v>
      </c>
      <c r="Y1998">
        <v>0.21201729999999999</v>
      </c>
      <c r="Z1998">
        <v>2.9665919999999998E-2</v>
      </c>
      <c r="AA1998">
        <v>0.97681549999999995</v>
      </c>
      <c r="AB1998">
        <v>48</v>
      </c>
      <c r="AC1998">
        <v>-7.9999999999984001E-2</v>
      </c>
      <c r="AD1998">
        <v>-0.2163921</v>
      </c>
      <c r="AE1998">
        <v>0.224100000000021</v>
      </c>
      <c r="AF1998">
        <v>0.124200533884972</v>
      </c>
      <c r="AG1998">
        <v>-0.2163921</v>
      </c>
      <c r="AH1998">
        <v>3.9205110724457301E-2</v>
      </c>
      <c r="AI1998">
        <v>148.95724445954099</v>
      </c>
      <c r="AJ1998">
        <v>17.518810016817099</v>
      </c>
      <c r="AK1998">
        <v>0.252563564804267</v>
      </c>
      <c r="AL1998">
        <v>80.254394602278595</v>
      </c>
      <c r="AM1998">
        <v>93.915081444311397</v>
      </c>
      <c r="AN1998">
        <v>0.99999993545263099</v>
      </c>
    </row>
    <row r="1999" spans="1:40" x14ac:dyDescent="0.25">
      <c r="A1999" t="str">
        <f>"20190312172656158"</f>
        <v>20190312172656158</v>
      </c>
      <c r="B1999" t="str">
        <f>"1552382816150945"</f>
        <v>1552382816150945</v>
      </c>
      <c r="C1999" t="s">
        <v>40</v>
      </c>
      <c r="D1999">
        <v>3.213012</v>
      </c>
      <c r="E1999">
        <v>0.62153309999999995</v>
      </c>
      <c r="F1999" t="s">
        <v>44</v>
      </c>
      <c r="G1999">
        <v>-449.887</v>
      </c>
      <c r="H1999">
        <v>0.90961610000000004</v>
      </c>
      <c r="I1999">
        <v>286.40129999999999</v>
      </c>
      <c r="J1999">
        <v>-449.41770000000002</v>
      </c>
      <c r="K1999">
        <v>1.1111599999999999</v>
      </c>
      <c r="L1999">
        <v>286.20800000000003</v>
      </c>
      <c r="M1999">
        <v>-0.9991679</v>
      </c>
      <c r="N1999">
        <v>0</v>
      </c>
      <c r="O1999">
        <v>-3.798174E-2</v>
      </c>
      <c r="P1999">
        <v>-0.98242600000000002</v>
      </c>
      <c r="Q1999">
        <v>0.15466779999999999</v>
      </c>
      <c r="R1999">
        <v>-0.1044852</v>
      </c>
      <c r="S1999">
        <v>-3.224396</v>
      </c>
      <c r="T1999">
        <v>-0.68795130000000004</v>
      </c>
      <c r="U1999">
        <v>0.59625240000000002</v>
      </c>
      <c r="V1999">
        <v>-6.7740239999999993E-2</v>
      </c>
      <c r="W1999">
        <v>0.169045</v>
      </c>
      <c r="X1999">
        <v>0.98327770000000003</v>
      </c>
      <c r="Y1999">
        <v>0.2135716</v>
      </c>
      <c r="Z1999">
        <v>3.0301439999999999E-2</v>
      </c>
      <c r="AA1999">
        <v>0.97645740000000003</v>
      </c>
      <c r="AB1999">
        <v>48</v>
      </c>
      <c r="AC1999">
        <v>-0.469299999999918</v>
      </c>
      <c r="AD1999">
        <v>-0.201543899999999</v>
      </c>
      <c r="AE1999">
        <v>0.19330000000002201</v>
      </c>
      <c r="AF1999">
        <v>0.182249843237831</v>
      </c>
      <c r="AG1999">
        <v>-0.201543899999999</v>
      </c>
      <c r="AH1999">
        <v>0.398744018147137</v>
      </c>
      <c r="AI1999">
        <v>114.688498877827</v>
      </c>
      <c r="AJ1999">
        <v>65.436767167943799</v>
      </c>
      <c r="AK1999">
        <v>0.48252641481637898</v>
      </c>
      <c r="AL1999">
        <v>80.267701947720695</v>
      </c>
      <c r="AM1999">
        <v>93.941009734509606</v>
      </c>
      <c r="AN1999">
        <v>0.99999999372877302</v>
      </c>
    </row>
    <row r="2000" spans="1:40" x14ac:dyDescent="0.25">
      <c r="A2000" t="str">
        <f>"20190312172656180"</f>
        <v>20190312172656180</v>
      </c>
      <c r="B2000" t="str">
        <f>"1552382816170465"</f>
        <v>1552382816170465</v>
      </c>
      <c r="C2000" t="s">
        <v>40</v>
      </c>
      <c r="D2000">
        <v>3.2042199999999998</v>
      </c>
      <c r="E2000">
        <v>0.62126649999999894</v>
      </c>
      <c r="F2000" t="s">
        <v>44</v>
      </c>
      <c r="G2000">
        <v>-450.31959999999998</v>
      </c>
      <c r="H2000">
        <v>0.91836879999999999</v>
      </c>
      <c r="I2000">
        <v>286.37400000000002</v>
      </c>
      <c r="J2000">
        <v>-449.89159999999998</v>
      </c>
      <c r="K2000">
        <v>1.111024</v>
      </c>
      <c r="L2000">
        <v>286.18939999999998</v>
      </c>
      <c r="M2000">
        <v>-0.99913920000000001</v>
      </c>
      <c r="N2000">
        <v>0</v>
      </c>
      <c r="O2000">
        <v>-3.8733940000000001E-2</v>
      </c>
      <c r="P2000">
        <v>-0.98230930000000005</v>
      </c>
      <c r="Q2000">
        <v>0.15462089999999901</v>
      </c>
      <c r="R2000">
        <v>-0.10564659999999999</v>
      </c>
      <c r="S2000">
        <v>-3.225311</v>
      </c>
      <c r="T2000">
        <v>-0.68947199999999997</v>
      </c>
      <c r="U2000">
        <v>0.59307860000000001</v>
      </c>
      <c r="V2000">
        <v>-6.8106310000000003E-2</v>
      </c>
      <c r="W2000">
        <v>0.169014</v>
      </c>
      <c r="X2000">
        <v>0.98325779999999996</v>
      </c>
      <c r="Y2000">
        <v>0.2132945</v>
      </c>
      <c r="Z2000">
        <v>3.0490119999999999E-2</v>
      </c>
      <c r="AA2000">
        <v>0.97651209999999999</v>
      </c>
      <c r="AB2000">
        <v>48</v>
      </c>
      <c r="AC2000">
        <v>-0.42799999999999699</v>
      </c>
      <c r="AD2000">
        <v>-0.1926552</v>
      </c>
      <c r="AE2000">
        <v>0.18460000000004501</v>
      </c>
      <c r="AF2000">
        <v>0.17170756103254101</v>
      </c>
      <c r="AG2000">
        <v>-0.1926552</v>
      </c>
      <c r="AH2000">
        <v>0.35916872132077898</v>
      </c>
      <c r="AI2000">
        <v>115.823898471441</v>
      </c>
      <c r="AJ2000">
        <v>64.448965536439502</v>
      </c>
      <c r="AK2000">
        <v>0.44226879041821099</v>
      </c>
      <c r="AL2000">
        <v>80.269504614532707</v>
      </c>
      <c r="AM2000">
        <v>93.962319334523897</v>
      </c>
      <c r="AN2000">
        <v>1.0000000514593199</v>
      </c>
    </row>
    <row r="2001" spans="1:40" x14ac:dyDescent="0.25">
      <c r="A2001" t="str">
        <f>"20190312172656202"</f>
        <v>20190312172656202</v>
      </c>
      <c r="B2001" t="str">
        <f>"1552382816190961"</f>
        <v>1552382816190961</v>
      </c>
      <c r="C2001" t="s">
        <v>40</v>
      </c>
      <c r="D2001">
        <v>3.2077450000000001</v>
      </c>
      <c r="E2001">
        <v>0.62127049999999995</v>
      </c>
      <c r="F2001" t="s">
        <v>44</v>
      </c>
      <c r="G2001">
        <v>-450.75220000000002</v>
      </c>
      <c r="H2001">
        <v>0.92749689999999996</v>
      </c>
      <c r="I2001">
        <v>286.3467</v>
      </c>
      <c r="J2001">
        <v>-450.37329999999997</v>
      </c>
      <c r="K2001">
        <v>1.1108709999999999</v>
      </c>
      <c r="L2001">
        <v>286.1703</v>
      </c>
      <c r="M2001">
        <v>-0.99911430000000001</v>
      </c>
      <c r="N2001">
        <v>0</v>
      </c>
      <c r="O2001">
        <v>-3.9370019999999999E-2</v>
      </c>
      <c r="P2001">
        <v>-0.98219440000000002</v>
      </c>
      <c r="Q2001">
        <v>0.15441839999999901</v>
      </c>
      <c r="R2001">
        <v>-0.10699980000000001</v>
      </c>
      <c r="S2001">
        <v>-3.2255549999999999</v>
      </c>
      <c r="T2001">
        <v>-0.68792690000000001</v>
      </c>
      <c r="U2001">
        <v>0.58782959999999995</v>
      </c>
      <c r="V2001">
        <v>-6.8774269999999998E-2</v>
      </c>
      <c r="W2001">
        <v>0.16882929999999999</v>
      </c>
      <c r="X2001">
        <v>0.98324299999999998</v>
      </c>
      <c r="Y2001">
        <v>0.2123939</v>
      </c>
      <c r="Z2001">
        <v>3.0464310000000001E-2</v>
      </c>
      <c r="AA2001">
        <v>0.9767091</v>
      </c>
      <c r="AB2001">
        <v>48</v>
      </c>
      <c r="AC2001">
        <v>-0.37890000000004398</v>
      </c>
      <c r="AD2001">
        <v>-0.18337409999999901</v>
      </c>
      <c r="AE2001">
        <v>0.176400000000001</v>
      </c>
      <c r="AF2001">
        <v>0.16032066189873301</v>
      </c>
      <c r="AG2001">
        <v>-0.18337409999999901</v>
      </c>
      <c r="AH2001">
        <v>0.31166540476101601</v>
      </c>
      <c r="AI2001">
        <v>117.618771535441</v>
      </c>
      <c r="AJ2001">
        <v>62.778713483080402</v>
      </c>
      <c r="AK2001">
        <v>0.39555543190216202</v>
      </c>
      <c r="AL2001">
        <v>80.280241079391701</v>
      </c>
      <c r="AM2001">
        <v>94.001114636582798</v>
      </c>
      <c r="AN2001">
        <v>1.00000001490076</v>
      </c>
    </row>
    <row r="2002" spans="1:40" x14ac:dyDescent="0.25">
      <c r="A2002" t="str">
        <f>"20190312172656226"</f>
        <v>20190312172656226</v>
      </c>
      <c r="B2002" t="str">
        <f>"1552382816221218"</f>
        <v>1552382816221218</v>
      </c>
      <c r="C2002" t="s">
        <v>40</v>
      </c>
      <c r="D2002">
        <v>3.2568540000000001</v>
      </c>
      <c r="E2002">
        <v>0.62092700000000001</v>
      </c>
      <c r="F2002" t="s">
        <v>44</v>
      </c>
      <c r="G2002">
        <v>-451.18430000000001</v>
      </c>
      <c r="H2002">
        <v>0.93677429999999995</v>
      </c>
      <c r="I2002">
        <v>286.31670000000003</v>
      </c>
      <c r="J2002">
        <v>-450.85950000000003</v>
      </c>
      <c r="K2002">
        <v>1.1107149999999999</v>
      </c>
      <c r="L2002">
        <v>286.15069999999997</v>
      </c>
      <c r="M2002">
        <v>-0.99909409999999998</v>
      </c>
      <c r="N2002">
        <v>0</v>
      </c>
      <c r="O2002">
        <v>-3.9885459999999998E-2</v>
      </c>
      <c r="P2002">
        <v>-0.98201210000000005</v>
      </c>
      <c r="Q2002">
        <v>0.15424589999999999</v>
      </c>
      <c r="R2002">
        <v>-0.1089073</v>
      </c>
      <c r="S2002">
        <v>-3.2267459999999999</v>
      </c>
      <c r="T2002">
        <v>-0.69267829999999997</v>
      </c>
      <c r="U2002">
        <v>0.58248900000000003</v>
      </c>
      <c r="V2002">
        <v>-7.0113729999999999E-2</v>
      </c>
      <c r="W2002">
        <v>0.1686733</v>
      </c>
      <c r="X2002">
        <v>0.98317520000000003</v>
      </c>
      <c r="Y2002">
        <v>0.21121010000000001</v>
      </c>
      <c r="Z2002">
        <v>3.0647569999999999E-2</v>
      </c>
      <c r="AA2002">
        <v>0.9769601</v>
      </c>
      <c r="AB2002">
        <v>48</v>
      </c>
      <c r="AC2002">
        <v>-0.32479999999998199</v>
      </c>
      <c r="AD2002">
        <v>-0.173940699999999</v>
      </c>
      <c r="AE2002">
        <v>0.16600000000005299</v>
      </c>
      <c r="AF2002">
        <v>0.14569381004147899</v>
      </c>
      <c r="AG2002">
        <v>-0.173940699999999</v>
      </c>
      <c r="AH2002">
        <v>0.259019575007645</v>
      </c>
      <c r="AI2002">
        <v>120.34035249847599</v>
      </c>
      <c r="AJ2002">
        <v>60.643036379774799</v>
      </c>
      <c r="AK2002">
        <v>0.34434458560870901</v>
      </c>
      <c r="AL2002">
        <v>80.289309571678402</v>
      </c>
      <c r="AM2002">
        <v>94.079060877232195</v>
      </c>
      <c r="AN2002">
        <v>1.0000000455812199</v>
      </c>
    </row>
    <row r="2003" spans="1:40" x14ac:dyDescent="0.25">
      <c r="A2003" t="str">
        <f>"20190312172656247"</f>
        <v>20190312172656247</v>
      </c>
      <c r="B2003" t="str">
        <f>"1552382816240736"</f>
        <v>1552382816240736</v>
      </c>
      <c r="C2003" t="s">
        <v>40</v>
      </c>
      <c r="D2003">
        <v>3.3443510000000001</v>
      </c>
      <c r="E2003">
        <v>0.5464715</v>
      </c>
      <c r="F2003" t="s">
        <v>44</v>
      </c>
      <c r="G2003">
        <v>-451.61689999999999</v>
      </c>
      <c r="H2003">
        <v>0.94798110000000002</v>
      </c>
      <c r="I2003">
        <v>286.28570000000002</v>
      </c>
      <c r="J2003">
        <v>-451.33089999999999</v>
      </c>
      <c r="K2003">
        <v>1.1105689999999999</v>
      </c>
      <c r="L2003">
        <v>286.13159999999999</v>
      </c>
      <c r="M2003">
        <v>-0.99907849999999998</v>
      </c>
      <c r="N2003">
        <v>0</v>
      </c>
      <c r="O2003">
        <v>-4.0273150000000001E-2</v>
      </c>
      <c r="P2003">
        <v>-0.98172800000000005</v>
      </c>
      <c r="Q2003">
        <v>0.15438060000000001</v>
      </c>
      <c r="R2003">
        <v>-0.11125210000000001</v>
      </c>
      <c r="S2003">
        <v>-3.227509</v>
      </c>
      <c r="T2003">
        <v>-0.69359799999999905</v>
      </c>
      <c r="U2003">
        <v>0.57394409999999996</v>
      </c>
      <c r="V2003">
        <v>-7.202356E-2</v>
      </c>
      <c r="W2003">
        <v>0.1688228</v>
      </c>
      <c r="X2003">
        <v>0.98301139999999998</v>
      </c>
      <c r="Y2003">
        <v>0.20906569999999999</v>
      </c>
      <c r="Z2003">
        <v>3.0542920000000001E-2</v>
      </c>
      <c r="AA2003">
        <v>0.97742450000000003</v>
      </c>
      <c r="AB2003">
        <v>48</v>
      </c>
      <c r="AC2003">
        <v>-0.28600000000000098</v>
      </c>
      <c r="AD2003">
        <v>-0.16258790000000001</v>
      </c>
      <c r="AE2003">
        <v>0.15410000000002799</v>
      </c>
      <c r="AF2003">
        <v>0.13234619510029699</v>
      </c>
      <c r="AG2003">
        <v>-0.16258790000000001</v>
      </c>
      <c r="AH2003">
        <v>0.22356567145013401</v>
      </c>
      <c r="AI2003">
        <v>122.03892734875799</v>
      </c>
      <c r="AJ2003">
        <v>59.375355882376503</v>
      </c>
      <c r="AK2003">
        <v>0.30648319698620602</v>
      </c>
      <c r="AL2003">
        <v>80.280618502263295</v>
      </c>
      <c r="AM2003">
        <v>94.1904757455885</v>
      </c>
      <c r="AN2003">
        <v>0.99999997176243605</v>
      </c>
    </row>
    <row r="2004" spans="1:40" x14ac:dyDescent="0.25">
      <c r="A2004" t="str">
        <f>"20190312172656270"</f>
        <v>20190312172656270</v>
      </c>
      <c r="B2004" t="str">
        <f>"1552382816261232"</f>
        <v>1552382816261232</v>
      </c>
      <c r="C2004" t="s">
        <v>40</v>
      </c>
      <c r="D2004">
        <v>3.2472210000000001</v>
      </c>
      <c r="E2004">
        <v>0.53391959999999905</v>
      </c>
      <c r="F2004" t="s">
        <v>44</v>
      </c>
      <c r="G2004">
        <v>-452.06830000000002</v>
      </c>
      <c r="H2004">
        <v>1.0101309999999999</v>
      </c>
      <c r="I2004">
        <v>286.12909999999999</v>
      </c>
      <c r="J2004">
        <v>-451.81569999999999</v>
      </c>
      <c r="K2004">
        <v>1.1104259999999999</v>
      </c>
      <c r="L2004">
        <v>286.11180000000002</v>
      </c>
      <c r="M2004">
        <v>-0.99906649999999997</v>
      </c>
      <c r="N2004">
        <v>0</v>
      </c>
      <c r="O2004">
        <v>-4.0569319999999999E-2</v>
      </c>
      <c r="P2004">
        <v>-0.98129809999999995</v>
      </c>
      <c r="Q2004">
        <v>0.15532089999999901</v>
      </c>
      <c r="R2004">
        <v>-0.1137087</v>
      </c>
      <c r="S2004">
        <v>-3.121613</v>
      </c>
      <c r="T2004">
        <v>-0.42505480000000001</v>
      </c>
      <c r="U2004">
        <v>-9.4909669999999995E-3</v>
      </c>
      <c r="V2004">
        <v>-7.4143810000000004E-2</v>
      </c>
      <c r="W2004">
        <v>0.16977579999999901</v>
      </c>
      <c r="X2004">
        <v>0.98268960000000005</v>
      </c>
      <c r="Y2004">
        <v>3.6821699999999999E-2</v>
      </c>
      <c r="Z2004">
        <v>7.9935230000000006E-3</v>
      </c>
      <c r="AA2004">
        <v>0.99928989999999995</v>
      </c>
      <c r="AB2004">
        <v>48</v>
      </c>
      <c r="AC2004">
        <v>-0.25260000000002902</v>
      </c>
      <c r="AD2004">
        <v>-0.100295</v>
      </c>
      <c r="AE2004">
        <v>1.7299999999977399E-2</v>
      </c>
      <c r="AF2004">
        <v>2.38001369871968E-2</v>
      </c>
      <c r="AG2004">
        <v>-0.100295</v>
      </c>
      <c r="AH2004">
        <v>0.217553108833867</v>
      </c>
      <c r="AI2004">
        <v>114.62102219937</v>
      </c>
      <c r="AJ2004">
        <v>83.756715249181298</v>
      </c>
      <c r="AK2004">
        <v>0.240738216137135</v>
      </c>
      <c r="AL2004">
        <v>80.225216030042802</v>
      </c>
      <c r="AM2004">
        <v>94.314784373178298</v>
      </c>
      <c r="AN2004">
        <v>0.99999998838755799</v>
      </c>
    </row>
    <row r="2005" spans="1:40" x14ac:dyDescent="0.25">
      <c r="A2005" t="str">
        <f>"20190312172656291"</f>
        <v>20190312172656291</v>
      </c>
      <c r="B2005" t="str">
        <f>"1552382816280752"</f>
        <v>1552382816280752</v>
      </c>
      <c r="C2005" t="s">
        <v>40</v>
      </c>
      <c r="D2005">
        <v>3.2228159999999999</v>
      </c>
      <c r="E2005">
        <v>0.47475319999999999</v>
      </c>
      <c r="F2005" t="s">
        <v>44</v>
      </c>
      <c r="G2005">
        <v>-452.90980000000002</v>
      </c>
      <c r="H2005">
        <v>0.98087740000000001</v>
      </c>
      <c r="I2005">
        <v>286.07170000000002</v>
      </c>
      <c r="J2005">
        <v>-452.29039999999998</v>
      </c>
      <c r="K2005">
        <v>1.1103019999999999</v>
      </c>
      <c r="L2005">
        <v>286.09230000000002</v>
      </c>
      <c r="M2005">
        <v>-0.99905809999999995</v>
      </c>
      <c r="N2005">
        <v>0</v>
      </c>
      <c r="O2005">
        <v>-4.0777340000000002E-2</v>
      </c>
      <c r="P2005">
        <v>-0.98094360000000003</v>
      </c>
      <c r="Q2005">
        <v>0.1566005</v>
      </c>
      <c r="R2005">
        <v>-0.11500299999999999</v>
      </c>
      <c r="S2005">
        <v>-3.1020509999999999</v>
      </c>
      <c r="T2005">
        <v>-0.36733529999999998</v>
      </c>
      <c r="U2005">
        <v>-0.1139526</v>
      </c>
      <c r="V2005">
        <v>-7.5194140000000007E-2</v>
      </c>
      <c r="W2005">
        <v>0.17106840000000001</v>
      </c>
      <c r="X2005">
        <v>0.98238559999999997</v>
      </c>
      <c r="Y2005">
        <v>3.7644449999999999E-3</v>
      </c>
      <c r="Z2005">
        <v>5.0309769999999998E-3</v>
      </c>
      <c r="AA2005">
        <v>0.99998030000000004</v>
      </c>
      <c r="AB2005">
        <v>48</v>
      </c>
      <c r="AC2005">
        <v>-0.61940000000004103</v>
      </c>
      <c r="AD2005">
        <v>-0.1294246</v>
      </c>
      <c r="AE2005">
        <v>-2.06000000000017E-2</v>
      </c>
      <c r="AF2005">
        <v>4.48193394045615E-3</v>
      </c>
      <c r="AG2005">
        <v>-0.1294246</v>
      </c>
      <c r="AH2005">
        <v>0.59382654107713795</v>
      </c>
      <c r="AI2005">
        <v>102.295006715759</v>
      </c>
      <c r="AJ2005">
        <v>89.567565601936494</v>
      </c>
      <c r="AK2005">
        <v>0.60778349410348698</v>
      </c>
      <c r="AL2005">
        <v>80.150056225254502</v>
      </c>
      <c r="AM2005">
        <v>94.377021175149807</v>
      </c>
      <c r="AN2005">
        <v>1.00000001162812</v>
      </c>
    </row>
    <row r="2006" spans="1:40" x14ac:dyDescent="0.25">
      <c r="A2006" t="str">
        <f>"20190312172656312"</f>
        <v>20190312172656312</v>
      </c>
      <c r="B2006" t="str">
        <f>"1552382816301249"</f>
        <v>1552382816301249</v>
      </c>
      <c r="C2006" t="s">
        <v>40</v>
      </c>
      <c r="D2006">
        <v>3.5582389999999999</v>
      </c>
      <c r="E2006">
        <v>0.47427839999999999</v>
      </c>
      <c r="F2006" t="s">
        <v>47</v>
      </c>
      <c r="G2006">
        <v>-486.20670000000001</v>
      </c>
      <c r="H2006" s="1">
        <v>2.8698520000000002E-6</v>
      </c>
      <c r="I2006">
        <v>279.6191</v>
      </c>
      <c r="J2006">
        <v>-452.74979999999999</v>
      </c>
      <c r="K2006">
        <v>1.110198</v>
      </c>
      <c r="L2006">
        <v>286.07339999999999</v>
      </c>
      <c r="M2006">
        <v>-0.99905239999999995</v>
      </c>
      <c r="N2006">
        <v>0</v>
      </c>
      <c r="O2006">
        <v>-4.0921699999999998E-2</v>
      </c>
      <c r="P2006">
        <v>-0.98064269999999998</v>
      </c>
      <c r="Q2006">
        <v>0.15778429999999999</v>
      </c>
      <c r="R2006">
        <v>-0.11595080000000001</v>
      </c>
      <c r="S2006">
        <v>-3.0067140000000001</v>
      </c>
      <c r="T2006">
        <v>-9.8429080000000002E-2</v>
      </c>
      <c r="U2006">
        <v>-0.57385249999999999</v>
      </c>
      <c r="V2006">
        <v>-7.5966430000000001E-2</v>
      </c>
      <c r="W2006">
        <v>0.1722639</v>
      </c>
      <c r="X2006">
        <v>0.98211720000000002</v>
      </c>
      <c r="Y2006">
        <v>-0.14706069999999999</v>
      </c>
      <c r="Z2006">
        <v>-1.0590809999999999E-3</v>
      </c>
      <c r="AA2006">
        <v>0.98912690000000003</v>
      </c>
      <c r="AB2006">
        <v>48</v>
      </c>
      <c r="AC2006">
        <v>-33.456899999999997</v>
      </c>
      <c r="AD2006">
        <v>-1.110195130148</v>
      </c>
      <c r="AE2006">
        <v>-6.4542999999999804</v>
      </c>
      <c r="AF2006">
        <v>-5.0742419696094103</v>
      </c>
      <c r="AG2006">
        <v>-1.110195130148</v>
      </c>
      <c r="AH2006">
        <v>33.6572884807698</v>
      </c>
      <c r="AI2006">
        <v>91.868136307579306</v>
      </c>
      <c r="AJ2006">
        <v>98.573462562348894</v>
      </c>
      <c r="AK2006">
        <v>34.055741552209803</v>
      </c>
      <c r="AL2006">
        <v>80.080526572189498</v>
      </c>
      <c r="AM2006">
        <v>94.423002110873199</v>
      </c>
      <c r="AN2006">
        <v>0.99999997213299696</v>
      </c>
    </row>
    <row r="2007" spans="1:40" x14ac:dyDescent="0.25">
      <c r="A2007" t="str">
        <f>"20190312172656336"</f>
        <v>20190312172656336</v>
      </c>
      <c r="B2007" t="str">
        <f>"1552382816330532"</f>
        <v>1552382816330532</v>
      </c>
      <c r="C2007" t="s">
        <v>40</v>
      </c>
      <c r="D2007">
        <v>3.229031</v>
      </c>
      <c r="E2007">
        <v>0.47447879999999998</v>
      </c>
      <c r="F2007" t="s">
        <v>47</v>
      </c>
      <c r="G2007">
        <v>-485.9674</v>
      </c>
      <c r="H2007" s="1">
        <v>2.8313349999999998E-6</v>
      </c>
      <c r="I2007">
        <v>279.66419999999999</v>
      </c>
      <c r="J2007">
        <v>-453.2396</v>
      </c>
      <c r="K2007">
        <v>1.110101</v>
      </c>
      <c r="L2007">
        <v>286.05309999999997</v>
      </c>
      <c r="M2007">
        <v>-0.99904789999999999</v>
      </c>
      <c r="N2007">
        <v>0</v>
      </c>
      <c r="O2007">
        <v>-4.1029919999999998E-2</v>
      </c>
      <c r="P2007">
        <v>-0.98047439999999997</v>
      </c>
      <c r="Q2007">
        <v>0.15824449999999901</v>
      </c>
      <c r="R2007">
        <v>-0.1167425</v>
      </c>
      <c r="S2007">
        <v>-3.0067439999999999</v>
      </c>
      <c r="T2007">
        <v>-0.10049089999999999</v>
      </c>
      <c r="U2007">
        <v>-0.58013919999999997</v>
      </c>
      <c r="V2007">
        <v>-7.6615619999999995E-2</v>
      </c>
      <c r="W2007">
        <v>0.17273549999999999</v>
      </c>
      <c r="X2007">
        <v>0.98198399999999997</v>
      </c>
      <c r="Y2007">
        <v>-0.14894279999999999</v>
      </c>
      <c r="Z2007">
        <v>-1.108628E-3</v>
      </c>
      <c r="AA2007">
        <v>0.98884519999999998</v>
      </c>
      <c r="AB2007">
        <v>48</v>
      </c>
      <c r="AC2007">
        <v>-32.727800000000002</v>
      </c>
      <c r="AD2007">
        <v>-1.110098168665</v>
      </c>
      <c r="AE2007">
        <v>-6.3888999999999703</v>
      </c>
      <c r="AF2007">
        <v>-5.03497207776089</v>
      </c>
      <c r="AG2007">
        <v>-1.110098168665</v>
      </c>
      <c r="AH2007">
        <v>32.925908454040503</v>
      </c>
      <c r="AI2007">
        <v>91.908825490051598</v>
      </c>
      <c r="AJ2007">
        <v>98.6942189282626</v>
      </c>
      <c r="AK2007">
        <v>33.327146731932601</v>
      </c>
      <c r="AL2007">
        <v>80.053095359653696</v>
      </c>
      <c r="AM2007">
        <v>94.461250687261298</v>
      </c>
      <c r="AN2007">
        <v>1.0000000412221099</v>
      </c>
    </row>
    <row r="2008" spans="1:40" x14ac:dyDescent="0.25">
      <c r="A2008" t="str">
        <f>"20190312172656358"</f>
        <v>20190312172656358</v>
      </c>
      <c r="B2008" t="str">
        <f>"1552382816351028"</f>
        <v>1552382816351028</v>
      </c>
      <c r="C2008" t="s">
        <v>40</v>
      </c>
      <c r="D2008">
        <v>3.292144</v>
      </c>
      <c r="E2008">
        <v>0.47439979999999998</v>
      </c>
      <c r="F2008" t="s">
        <v>47</v>
      </c>
      <c r="G2008">
        <v>-485.25830000000002</v>
      </c>
      <c r="H2008" s="1">
        <v>2.7238839999999999E-6</v>
      </c>
      <c r="I2008">
        <v>279.87380000000002</v>
      </c>
      <c r="J2008">
        <v>-453.70830000000001</v>
      </c>
      <c r="K2008">
        <v>1.1100190000000001</v>
      </c>
      <c r="L2008">
        <v>286.03379999999999</v>
      </c>
      <c r="M2008">
        <v>-0.99904499999999996</v>
      </c>
      <c r="N2008">
        <v>0</v>
      </c>
      <c r="O2008">
        <v>-4.1104689999999999E-2</v>
      </c>
      <c r="P2008">
        <v>-0.98042810000000002</v>
      </c>
      <c r="Q2008">
        <v>0.15842339999999999</v>
      </c>
      <c r="R2008">
        <v>-0.11688900000000001</v>
      </c>
      <c r="S2008">
        <v>-3.0075069999999999</v>
      </c>
      <c r="T2008">
        <v>-0.10427110000000001</v>
      </c>
      <c r="U2008">
        <v>-0.58041379999999998</v>
      </c>
      <c r="V2008">
        <v>-7.6655189999999998E-2</v>
      </c>
      <c r="W2008">
        <v>0.1729252</v>
      </c>
      <c r="X2008">
        <v>0.98194749999999997</v>
      </c>
      <c r="Y2008">
        <v>-0.14890490000000001</v>
      </c>
      <c r="Z2008">
        <v>-1.146799E-3</v>
      </c>
      <c r="AA2008">
        <v>0.98885080000000003</v>
      </c>
      <c r="AB2008">
        <v>48</v>
      </c>
      <c r="AC2008">
        <v>-31.55</v>
      </c>
      <c r="AD2008">
        <v>-1.110016276116</v>
      </c>
      <c r="AE2008">
        <v>-6.1599999999999602</v>
      </c>
      <c r="AF2008">
        <v>-4.8520119776985204</v>
      </c>
      <c r="AG2008">
        <v>-1.110016276116</v>
      </c>
      <c r="AH2008">
        <v>31.738717806517499</v>
      </c>
      <c r="AI2008">
        <v>91.980036759766307</v>
      </c>
      <c r="AJ2008">
        <v>98.691719360657203</v>
      </c>
      <c r="AK2008">
        <v>32.1266301433363</v>
      </c>
      <c r="AL2008">
        <v>80.042060055596096</v>
      </c>
      <c r="AM2008">
        <v>94.463710744011195</v>
      </c>
      <c r="AN2008">
        <v>1.0000000178526101</v>
      </c>
    </row>
    <row r="2009" spans="1:40" x14ac:dyDescent="0.25">
      <c r="A2009" t="str">
        <f>"20190312172656380"</f>
        <v>20190312172656380</v>
      </c>
      <c r="B2009" t="str">
        <f>"1552382816370545"</f>
        <v>1552382816370545</v>
      </c>
      <c r="C2009" t="s">
        <v>40</v>
      </c>
      <c r="D2009">
        <v>3.2590780000000001</v>
      </c>
      <c r="E2009">
        <v>0.47445480000000001</v>
      </c>
      <c r="F2009" t="s">
        <v>47</v>
      </c>
      <c r="G2009">
        <v>-484.82119999999998</v>
      </c>
      <c r="H2009" s="1">
        <v>2.6595769999999999E-6</v>
      </c>
      <c r="I2009">
        <v>280.02510000000001</v>
      </c>
      <c r="J2009">
        <v>-454.18770000000001</v>
      </c>
      <c r="K2009">
        <v>1.1099490000000001</v>
      </c>
      <c r="L2009">
        <v>286.01389999999998</v>
      </c>
      <c r="M2009">
        <v>-0.9990426</v>
      </c>
      <c r="N2009">
        <v>0</v>
      </c>
      <c r="O2009">
        <v>-4.1163230000000002E-2</v>
      </c>
      <c r="P2009">
        <v>-0.98035340000000004</v>
      </c>
      <c r="Q2009">
        <v>0.15885150000000001</v>
      </c>
      <c r="R2009">
        <v>-0.11693389999999999</v>
      </c>
      <c r="S2009">
        <v>-3.0079349999999998</v>
      </c>
      <c r="T2009">
        <v>-0.1073142</v>
      </c>
      <c r="U2009">
        <v>-0.58090209999999998</v>
      </c>
      <c r="V2009">
        <v>-7.6615489999999994E-2</v>
      </c>
      <c r="W2009">
        <v>0.1733625</v>
      </c>
      <c r="X2009">
        <v>0.98187349999999995</v>
      </c>
      <c r="Y2009">
        <v>-0.14897189999999999</v>
      </c>
      <c r="Z2009">
        <v>-1.1791880000000001E-3</v>
      </c>
      <c r="AA2009">
        <v>0.98884070000000002</v>
      </c>
      <c r="AB2009">
        <v>48</v>
      </c>
      <c r="AC2009">
        <v>-30.633499999999898</v>
      </c>
      <c r="AD2009">
        <v>-1.1099463404230001</v>
      </c>
      <c r="AE2009">
        <v>-5.9887999999999604</v>
      </c>
      <c r="AF2009">
        <v>-4.7166465491284599</v>
      </c>
      <c r="AG2009">
        <v>-1.1099463404230001</v>
      </c>
      <c r="AH2009">
        <v>30.815109880450699</v>
      </c>
      <c r="AI2009">
        <v>92.039148167447095</v>
      </c>
      <c r="AJ2009">
        <v>98.702311173358595</v>
      </c>
      <c r="AK2009">
        <v>31.193745086030798</v>
      </c>
      <c r="AL2009">
        <v>80.016620505645903</v>
      </c>
      <c r="AM2009">
        <v>94.461743189013305</v>
      </c>
      <c r="AN2009">
        <v>1.0000000298582099</v>
      </c>
    </row>
    <row r="2010" spans="1:40" x14ac:dyDescent="0.25">
      <c r="A2010" t="str">
        <f>"20190312172656402"</f>
        <v>20190312172656402</v>
      </c>
      <c r="B2010" t="str">
        <f>"1552382816391041"</f>
        <v>1552382816391041</v>
      </c>
      <c r="C2010" t="s">
        <v>40</v>
      </c>
      <c r="D2010">
        <v>3.2635350000000001</v>
      </c>
      <c r="E2010">
        <v>0.47457120000000003</v>
      </c>
      <c r="F2010" t="s">
        <v>47</v>
      </c>
      <c r="G2010">
        <v>-484.9074</v>
      </c>
      <c r="H2010" s="1">
        <v>2.6804650000000001E-6</v>
      </c>
      <c r="I2010">
        <v>280.08909999999997</v>
      </c>
      <c r="J2010">
        <v>-454.65230000000003</v>
      </c>
      <c r="K2010">
        <v>1.109891</v>
      </c>
      <c r="L2010">
        <v>285.99459999999999</v>
      </c>
      <c r="M2010">
        <v>-0.99904059999999995</v>
      </c>
      <c r="N2010">
        <v>0</v>
      </c>
      <c r="O2010">
        <v>-4.1212020000000002E-2</v>
      </c>
      <c r="P2010">
        <v>-0.98023210000000005</v>
      </c>
      <c r="Q2010">
        <v>0.15912579999999901</v>
      </c>
      <c r="R2010">
        <v>-0.1175765</v>
      </c>
      <c r="S2010">
        <v>-3.0084840000000002</v>
      </c>
      <c r="T2010">
        <v>-0.1087008</v>
      </c>
      <c r="U2010">
        <v>-0.58023069999999999</v>
      </c>
      <c r="V2010">
        <v>-7.7189369999999993E-2</v>
      </c>
      <c r="W2010">
        <v>0.17364189999999999</v>
      </c>
      <c r="X2010">
        <v>0.98177919999999996</v>
      </c>
      <c r="Y2010">
        <v>-0.148675799999999</v>
      </c>
      <c r="Z2010">
        <v>-1.187181E-3</v>
      </c>
      <c r="AA2010">
        <v>0.98888529999999997</v>
      </c>
      <c r="AB2010">
        <v>48</v>
      </c>
      <c r="AC2010">
        <v>-30.255099999999899</v>
      </c>
      <c r="AD2010">
        <v>-1.109888319535</v>
      </c>
      <c r="AE2010">
        <v>-5.9055000000000097</v>
      </c>
      <c r="AF2010">
        <v>-4.64744638430387</v>
      </c>
      <c r="AG2010">
        <v>-1.109888319535</v>
      </c>
      <c r="AH2010">
        <v>30.433342351293799</v>
      </c>
      <c r="AI2010">
        <v>92.064707204470906</v>
      </c>
      <c r="AJ2010">
        <v>98.682505783849706</v>
      </c>
      <c r="AK2010">
        <v>30.806150954766601</v>
      </c>
      <c r="AL2010">
        <v>80.000365766883107</v>
      </c>
      <c r="AM2010">
        <v>94.495456912640606</v>
      </c>
      <c r="AN2010">
        <v>1.00000005291462</v>
      </c>
    </row>
    <row r="2011" spans="1:40" x14ac:dyDescent="0.25">
      <c r="A2011" t="str">
        <f>"20190312172656425"</f>
        <v>20190312172656425</v>
      </c>
      <c r="B2011" t="str">
        <f>"1552382816421296"</f>
        <v>1552382816421296</v>
      </c>
      <c r="C2011" t="s">
        <v>40</v>
      </c>
      <c r="D2011">
        <v>3.270483</v>
      </c>
      <c r="E2011">
        <v>0.4747632</v>
      </c>
      <c r="F2011" t="s">
        <v>47</v>
      </c>
      <c r="G2011">
        <v>-484.87040000000002</v>
      </c>
      <c r="H2011" s="1">
        <v>2.6798889999999999E-6</v>
      </c>
      <c r="I2011">
        <v>280.15769999999998</v>
      </c>
      <c r="J2011">
        <v>-455.1336</v>
      </c>
      <c r="K2011">
        <v>1.109839</v>
      </c>
      <c r="L2011">
        <v>285.97469999999998</v>
      </c>
      <c r="M2011">
        <v>-0.99903889999999995</v>
      </c>
      <c r="N2011">
        <v>0</v>
      </c>
      <c r="O2011">
        <v>-4.125798E-2</v>
      </c>
      <c r="P2011">
        <v>-0.98024160000000005</v>
      </c>
      <c r="Q2011">
        <v>0.15833639999999999</v>
      </c>
      <c r="R2011">
        <v>-0.11855880000000001</v>
      </c>
      <c r="S2011">
        <v>-3.008759</v>
      </c>
      <c r="T2011">
        <v>-0.1105096</v>
      </c>
      <c r="U2011">
        <v>-0.58117680000000005</v>
      </c>
      <c r="V2011">
        <v>-7.8103320000000004E-2</v>
      </c>
      <c r="W2011">
        <v>0.1728586</v>
      </c>
      <c r="X2011">
        <v>0.98184510000000003</v>
      </c>
      <c r="Y2011">
        <v>-0.14891089999999901</v>
      </c>
      <c r="Z2011">
        <v>-1.2093920000000001E-3</v>
      </c>
      <c r="AA2011">
        <v>0.98884989999999995</v>
      </c>
      <c r="AB2011">
        <v>48</v>
      </c>
      <c r="AC2011">
        <v>-29.736799999999999</v>
      </c>
      <c r="AD2011">
        <v>-1.109836320111</v>
      </c>
      <c r="AE2011">
        <v>-5.8170000000000002</v>
      </c>
      <c r="AF2011">
        <v>-4.5788881910702797</v>
      </c>
      <c r="AG2011">
        <v>-1.109836320111</v>
      </c>
      <c r="AH2011">
        <v>29.911369434963699</v>
      </c>
      <c r="AI2011">
        <v>92.100490456959605</v>
      </c>
      <c r="AJ2011">
        <v>98.703379278712305</v>
      </c>
      <c r="AK2011">
        <v>30.280158110529101</v>
      </c>
      <c r="AL2011">
        <v>80.045934241482598</v>
      </c>
      <c r="AM2011">
        <v>94.548158688812904</v>
      </c>
      <c r="AN2011">
        <v>1.00000001229149</v>
      </c>
    </row>
    <row r="2012" spans="1:40" x14ac:dyDescent="0.25">
      <c r="A2012" t="str">
        <f>"20190312172656447"</f>
        <v>20190312172656447</v>
      </c>
      <c r="B2012" t="str">
        <f>"1552382816440817"</f>
        <v>1552382816440817</v>
      </c>
      <c r="C2012" t="s">
        <v>40</v>
      </c>
      <c r="D2012">
        <v>3.262715</v>
      </c>
      <c r="E2012">
        <v>0.47487649999999998</v>
      </c>
      <c r="F2012" t="s">
        <v>47</v>
      </c>
      <c r="G2012">
        <v>-483.81220000000002</v>
      </c>
      <c r="H2012" s="1">
        <v>2.5157400000000002E-6</v>
      </c>
      <c r="I2012">
        <v>280.42720000000003</v>
      </c>
      <c r="J2012">
        <v>-455.6157</v>
      </c>
      <c r="K2012">
        <v>1.1097919999999999</v>
      </c>
      <c r="L2012">
        <v>285.9547</v>
      </c>
      <c r="M2012">
        <v>-0.99903710000000001</v>
      </c>
      <c r="N2012">
        <v>0</v>
      </c>
      <c r="O2012">
        <v>-4.1300429999999999E-2</v>
      </c>
      <c r="P2012">
        <v>-0.9800392</v>
      </c>
      <c r="Q2012">
        <v>0.15856110000000001</v>
      </c>
      <c r="R2012">
        <v>-0.119924</v>
      </c>
      <c r="S2012">
        <v>-3.0089109999999999</v>
      </c>
      <c r="T2012">
        <v>-0.1164424</v>
      </c>
      <c r="U2012">
        <v>-0.58203130000000003</v>
      </c>
      <c r="V2012">
        <v>-7.9415630000000001E-2</v>
      </c>
      <c r="W2012">
        <v>0.17308490000000001</v>
      </c>
      <c r="X2012">
        <v>0.98169989999999996</v>
      </c>
      <c r="Y2012">
        <v>-0.14912249999999999</v>
      </c>
      <c r="Z2012">
        <v>-1.2766089999999999E-3</v>
      </c>
      <c r="AA2012">
        <v>0.98881790000000003</v>
      </c>
      <c r="AB2012">
        <v>48</v>
      </c>
      <c r="AC2012">
        <v>-28.1965</v>
      </c>
      <c r="AD2012">
        <v>-1.10978948426</v>
      </c>
      <c r="AE2012">
        <v>-5.5274999999999697</v>
      </c>
      <c r="AF2012">
        <v>-4.3516357413839799</v>
      </c>
      <c r="AG2012">
        <v>-1.10978948426</v>
      </c>
      <c r="AH2012">
        <v>28.358444432307401</v>
      </c>
      <c r="AI2012">
        <v>92.215187124280902</v>
      </c>
      <c r="AJ2012">
        <v>98.724051848761306</v>
      </c>
      <c r="AK2012">
        <v>28.711839664941898</v>
      </c>
      <c r="AL2012">
        <v>80.032769242112806</v>
      </c>
      <c r="AM2012">
        <v>94.624930187470696</v>
      </c>
      <c r="AN2012">
        <v>0.99999995927815699</v>
      </c>
    </row>
    <row r="2013" spans="1:40" x14ac:dyDescent="0.25">
      <c r="A2013" t="str">
        <f>"20190312172656471"</f>
        <v>20190312172656471</v>
      </c>
      <c r="B2013" t="str">
        <f>"1552382816461312"</f>
        <v>1552382816461312</v>
      </c>
      <c r="C2013" t="s">
        <v>40</v>
      </c>
      <c r="D2013">
        <v>3.2745190000000002</v>
      </c>
      <c r="E2013">
        <v>0.47504190000000002</v>
      </c>
      <c r="F2013" t="s">
        <v>47</v>
      </c>
      <c r="G2013">
        <v>-483.8338</v>
      </c>
      <c r="H2013" s="1">
        <v>2.5230959999999999E-6</v>
      </c>
      <c r="I2013">
        <v>280.46749999999997</v>
      </c>
      <c r="J2013">
        <v>-456.09429999999998</v>
      </c>
      <c r="K2013">
        <v>1.1097600000000001</v>
      </c>
      <c r="L2013">
        <v>285.9348</v>
      </c>
      <c r="M2013">
        <v>-0.99903549999999997</v>
      </c>
      <c r="N2013">
        <v>0</v>
      </c>
      <c r="O2013">
        <v>-4.1340790000000002E-2</v>
      </c>
      <c r="P2013">
        <v>-0.97993160000000001</v>
      </c>
      <c r="Q2013">
        <v>0.15880269999999999</v>
      </c>
      <c r="R2013">
        <v>-0.1204827</v>
      </c>
      <c r="S2013">
        <v>-3.008667</v>
      </c>
      <c r="T2013">
        <v>-0.11832769999999999</v>
      </c>
      <c r="U2013">
        <v>-0.58505249999999998</v>
      </c>
      <c r="V2013">
        <v>-7.9924729999999999E-2</v>
      </c>
      <c r="W2013">
        <v>0.1733277</v>
      </c>
      <c r="X2013">
        <v>0.98161580000000004</v>
      </c>
      <c r="Y2013">
        <v>-0.1500512</v>
      </c>
      <c r="Z2013">
        <v>-1.313771E-3</v>
      </c>
      <c r="AA2013">
        <v>0.98867740000000004</v>
      </c>
      <c r="AB2013">
        <v>48</v>
      </c>
      <c r="AC2013">
        <v>-27.7395</v>
      </c>
      <c r="AD2013">
        <v>-1.109757476904</v>
      </c>
      <c r="AE2013">
        <v>-5.4673000000000203</v>
      </c>
      <c r="AF2013">
        <v>-4.3090877100225198</v>
      </c>
      <c r="AG2013">
        <v>-1.109757476904</v>
      </c>
      <c r="AH2013">
        <v>27.898844956842201</v>
      </c>
      <c r="AI2013">
        <v>92.251238306990103</v>
      </c>
      <c r="AJ2013">
        <v>98.780179940332602</v>
      </c>
      <c r="AK2013">
        <v>28.251466306656202</v>
      </c>
      <c r="AL2013">
        <v>80.018644912571105</v>
      </c>
      <c r="AM2013">
        <v>94.654845822426097</v>
      </c>
      <c r="AN2013">
        <v>1.0000000164312499</v>
      </c>
    </row>
    <row r="2014" spans="1:40" x14ac:dyDescent="0.25">
      <c r="A2014" t="str">
        <f>"20190312172656492"</f>
        <v>20190312172656492</v>
      </c>
      <c r="B2014" t="str">
        <f>"1552382816480833"</f>
        <v>1552382816480833</v>
      </c>
      <c r="C2014" t="s">
        <v>40</v>
      </c>
      <c r="D2014">
        <v>3.2927</v>
      </c>
      <c r="E2014">
        <v>0.4751187</v>
      </c>
      <c r="F2014" t="s">
        <v>47</v>
      </c>
      <c r="G2014">
        <v>-483.88159999999999</v>
      </c>
      <c r="H2014" s="1">
        <v>2.536591E-6</v>
      </c>
      <c r="I2014">
        <v>280.52480000000003</v>
      </c>
      <c r="J2014">
        <v>-456.55889999999999</v>
      </c>
      <c r="K2014">
        <v>1.1097360000000001</v>
      </c>
      <c r="L2014">
        <v>285.91550000000001</v>
      </c>
      <c r="M2014">
        <v>-0.99903399999999998</v>
      </c>
      <c r="N2014">
        <v>0</v>
      </c>
      <c r="O2014">
        <v>-4.1377120000000003E-2</v>
      </c>
      <c r="P2014">
        <v>-0.97978310000000002</v>
      </c>
      <c r="Q2014">
        <v>0.1588581</v>
      </c>
      <c r="R2014">
        <v>-0.1216107</v>
      </c>
      <c r="S2014">
        <v>-3.0089109999999999</v>
      </c>
      <c r="T2014">
        <v>-0.12016839999999999</v>
      </c>
      <c r="U2014">
        <v>-0.58581539999999999</v>
      </c>
      <c r="V2014">
        <v>-8.1011219999999995E-2</v>
      </c>
      <c r="W2014">
        <v>0.1733826</v>
      </c>
      <c r="X2014">
        <v>0.98151699999999997</v>
      </c>
      <c r="Y2014">
        <v>-0.15023909999999999</v>
      </c>
      <c r="Z2014">
        <v>-1.3363379999999901E-3</v>
      </c>
      <c r="AA2014">
        <v>0.98864879999999999</v>
      </c>
      <c r="AB2014">
        <v>48</v>
      </c>
      <c r="AC2014">
        <v>-27.322700000000001</v>
      </c>
      <c r="AD2014">
        <v>-1.1097334634089999</v>
      </c>
      <c r="AE2014">
        <v>-5.3906999999999803</v>
      </c>
      <c r="AF2014">
        <v>-4.2486777436391199</v>
      </c>
      <c r="AG2014">
        <v>-1.1097334634089999</v>
      </c>
      <c r="AH2014">
        <v>27.478740080154001</v>
      </c>
      <c r="AI2014">
        <v>92.2855142746468</v>
      </c>
      <c r="AJ2014">
        <v>98.789296985621107</v>
      </c>
      <c r="AK2014">
        <v>27.827395266567201</v>
      </c>
      <c r="AL2014">
        <v>80.015450674685496</v>
      </c>
      <c r="AM2014">
        <v>94.718312425024905</v>
      </c>
      <c r="AN2014">
        <v>0.99999998251882405</v>
      </c>
    </row>
    <row r="2015" spans="1:40" x14ac:dyDescent="0.25">
      <c r="A2015" t="str">
        <f>"20190312172656514"</f>
        <v>20190312172656514</v>
      </c>
      <c r="B2015" t="str">
        <f>"1552382816511089"</f>
        <v>1552382816511089</v>
      </c>
      <c r="C2015" t="s">
        <v>40</v>
      </c>
      <c r="D2015">
        <v>3.2624819999999999</v>
      </c>
      <c r="E2015">
        <v>0.47520180000000001</v>
      </c>
      <c r="F2015" t="s">
        <v>47</v>
      </c>
      <c r="G2015">
        <v>-484.05369999999999</v>
      </c>
      <c r="H2015" s="1">
        <v>2.5679290000000002E-6</v>
      </c>
      <c r="I2015">
        <v>280.53399999999999</v>
      </c>
      <c r="J2015">
        <v>-457.02670000000001</v>
      </c>
      <c r="K2015">
        <v>1.1097159999999999</v>
      </c>
      <c r="L2015">
        <v>285.89609999999999</v>
      </c>
      <c r="M2015">
        <v>-0.99903260000000005</v>
      </c>
      <c r="N2015">
        <v>0</v>
      </c>
      <c r="O2015">
        <v>-4.1411749999999997E-2</v>
      </c>
      <c r="P2015">
        <v>-0.97972820000000005</v>
      </c>
      <c r="Q2015">
        <v>0.15853339999999999</v>
      </c>
      <c r="R2015">
        <v>-0.12247479999999999</v>
      </c>
      <c r="S2015">
        <v>-3.0084529999999998</v>
      </c>
      <c r="T2015">
        <v>-0.1214257</v>
      </c>
      <c r="U2015">
        <v>-0.58883669999999899</v>
      </c>
      <c r="V2015">
        <v>-8.1833550000000005E-2</v>
      </c>
      <c r="W2015">
        <v>0.17305860000000001</v>
      </c>
      <c r="X2015">
        <v>0.98150599999999999</v>
      </c>
      <c r="Y2015">
        <v>-0.15118690000000001</v>
      </c>
      <c r="Z2015">
        <v>-1.3679499999999999E-3</v>
      </c>
      <c r="AA2015">
        <v>0.98850420000000006</v>
      </c>
      <c r="AB2015">
        <v>48</v>
      </c>
      <c r="AC2015">
        <v>-27.026999999999902</v>
      </c>
      <c r="AD2015">
        <v>-1.10971343207099</v>
      </c>
      <c r="AE2015">
        <v>-5.3620999999999901</v>
      </c>
      <c r="AF2015">
        <v>-4.2312780268543397</v>
      </c>
      <c r="AG2015">
        <v>-1.10971343207099</v>
      </c>
      <c r="AH2015">
        <v>27.181798751239398</v>
      </c>
      <c r="AI2015">
        <v>92.310046555992301</v>
      </c>
      <c r="AJ2015">
        <v>98.847985013849694</v>
      </c>
      <c r="AK2015">
        <v>27.531533938281399</v>
      </c>
      <c r="AL2015">
        <v>80.034299805670301</v>
      </c>
      <c r="AM2015">
        <v>94.766040789434797</v>
      </c>
      <c r="AN2015">
        <v>1.00000001848778</v>
      </c>
    </row>
    <row r="2016" spans="1:40" x14ac:dyDescent="0.25">
      <c r="A2016" t="str">
        <f>"20190312172656537"</f>
        <v>20190312172656537</v>
      </c>
      <c r="B2016" t="str">
        <f>"1552382816530608"</f>
        <v>1552382816530608</v>
      </c>
      <c r="C2016" t="s">
        <v>40</v>
      </c>
      <c r="D2016">
        <v>3.2696000000000001</v>
      </c>
      <c r="E2016">
        <v>0.4752094</v>
      </c>
      <c r="F2016" t="s">
        <v>47</v>
      </c>
      <c r="G2016">
        <v>-483.59390000000002</v>
      </c>
      <c r="H2016" s="1">
        <v>2.4992179999999998E-6</v>
      </c>
      <c r="I2016">
        <v>280.68110000000001</v>
      </c>
      <c r="J2016">
        <v>-457.51549999999997</v>
      </c>
      <c r="K2016">
        <v>1.109702</v>
      </c>
      <c r="L2016">
        <v>285.8759</v>
      </c>
      <c r="M2016">
        <v>-0.99903140000000001</v>
      </c>
      <c r="N2016">
        <v>0</v>
      </c>
      <c r="O2016">
        <v>-4.1445509999999998E-2</v>
      </c>
      <c r="P2016">
        <v>-0.97969039999999996</v>
      </c>
      <c r="Q2016">
        <v>0.15851199999999999</v>
      </c>
      <c r="R2016">
        <v>-0.1228047</v>
      </c>
      <c r="S2016">
        <v>-3.0086059999999999</v>
      </c>
      <c r="T2016">
        <v>-0.12566959999999999</v>
      </c>
      <c r="U2016">
        <v>-0.5905762</v>
      </c>
      <c r="V2016">
        <v>-8.2124050000000004E-2</v>
      </c>
      <c r="W2016">
        <v>0.17303650000000001</v>
      </c>
      <c r="X2016">
        <v>0.98148559999999996</v>
      </c>
      <c r="Y2016">
        <v>-0.15168789999999999</v>
      </c>
      <c r="Z2016">
        <v>-1.4245460000000001E-3</v>
      </c>
      <c r="AA2016">
        <v>0.98842739999999996</v>
      </c>
      <c r="AB2016">
        <v>48</v>
      </c>
      <c r="AC2016">
        <v>-26.078399999999998</v>
      </c>
      <c r="AD2016">
        <v>-1.1096995007820001</v>
      </c>
      <c r="AE2016">
        <v>-5.1947999999999803</v>
      </c>
      <c r="AF2016">
        <v>-4.1022402961837203</v>
      </c>
      <c r="AG2016">
        <v>-1.1096995007820001</v>
      </c>
      <c r="AH2016">
        <v>26.225637671571601</v>
      </c>
      <c r="AI2016">
        <v>92.393867217746106</v>
      </c>
      <c r="AJ2016">
        <v>98.890222610080798</v>
      </c>
      <c r="AK2016">
        <v>26.5677225164339</v>
      </c>
      <c r="AL2016">
        <v>80.035585115749797</v>
      </c>
      <c r="AM2016">
        <v>94.782980302820505</v>
      </c>
      <c r="AN2016">
        <v>0.99999998646400601</v>
      </c>
    </row>
    <row r="2017" spans="1:40" x14ac:dyDescent="0.25">
      <c r="A2017" t="str">
        <f>"20190312172656558"</f>
        <v>20190312172656558</v>
      </c>
      <c r="B2017" t="str">
        <f>"1552382816551105"</f>
        <v>1552382816551105</v>
      </c>
      <c r="C2017" t="s">
        <v>40</v>
      </c>
      <c r="D2017">
        <v>3.2307760000000001</v>
      </c>
      <c r="E2017">
        <v>0.4751782</v>
      </c>
      <c r="F2017" t="s">
        <v>47</v>
      </c>
      <c r="G2017">
        <v>-483.66879999999998</v>
      </c>
      <c r="H2017" s="1">
        <v>2.5168970000000001E-6</v>
      </c>
      <c r="I2017">
        <v>280.73140000000001</v>
      </c>
      <c r="J2017">
        <v>-457.98239999999998</v>
      </c>
      <c r="K2017">
        <v>1.109683</v>
      </c>
      <c r="L2017">
        <v>285.85640000000001</v>
      </c>
      <c r="M2017">
        <v>-0.99903010000000003</v>
      </c>
      <c r="N2017">
        <v>0</v>
      </c>
      <c r="O2017">
        <v>-4.1476359999999997E-2</v>
      </c>
      <c r="P2017">
        <v>-0.97968359999999999</v>
      </c>
      <c r="Q2017">
        <v>0.15849050000000001</v>
      </c>
      <c r="R2017">
        <v>-0.12288590000000001</v>
      </c>
      <c r="S2017">
        <v>-3.0086979999999999</v>
      </c>
      <c r="T2017">
        <v>-0.12766060000000001</v>
      </c>
      <c r="U2017">
        <v>-0.5918274</v>
      </c>
      <c r="V2017">
        <v>-8.2170229999999997E-2</v>
      </c>
      <c r="W2017">
        <v>0.17301449999999999</v>
      </c>
      <c r="X2017">
        <v>0.98148559999999996</v>
      </c>
      <c r="Y2017">
        <v>-0.15204429999999999</v>
      </c>
      <c r="Z2017">
        <v>-1.4531909999999999E-3</v>
      </c>
      <c r="AA2017">
        <v>0.98837260000000005</v>
      </c>
      <c r="AB2017">
        <v>47</v>
      </c>
      <c r="AC2017">
        <v>-25.6863999999999</v>
      </c>
      <c r="AD2017">
        <v>-1.1096804831029901</v>
      </c>
      <c r="AE2017">
        <v>-5.125</v>
      </c>
      <c r="AF2017">
        <v>-4.0478287020473296</v>
      </c>
      <c r="AG2017">
        <v>-1.1096804831029901</v>
      </c>
      <c r="AH2017">
        <v>25.830518500013198</v>
      </c>
      <c r="AI2017">
        <v>92.430293893010798</v>
      </c>
      <c r="AJ2017">
        <v>98.906229720885094</v>
      </c>
      <c r="AK2017">
        <v>26.169294869278101</v>
      </c>
      <c r="AL2017">
        <v>80.036864794947604</v>
      </c>
      <c r="AM2017">
        <v>94.785657380295802</v>
      </c>
      <c r="AN2017">
        <v>0.99999997345793101</v>
      </c>
    </row>
    <row r="2018" spans="1:40" x14ac:dyDescent="0.25">
      <c r="A2018" t="str">
        <f>"20190312172656581"</f>
        <v>20190312172656581</v>
      </c>
      <c r="B2018" t="str">
        <f>"1552382816570625"</f>
        <v>1552382816570625</v>
      </c>
      <c r="C2018" t="s">
        <v>40</v>
      </c>
      <c r="D2018">
        <v>3.264583</v>
      </c>
      <c r="E2018">
        <v>0.47514240000000002</v>
      </c>
      <c r="F2018" t="s">
        <v>47</v>
      </c>
      <c r="G2018">
        <v>-483.77949999999998</v>
      </c>
      <c r="H2018" s="1">
        <v>2.5406420000000002E-6</v>
      </c>
      <c r="I2018">
        <v>280.7783</v>
      </c>
      <c r="J2018">
        <v>-458.44760000000002</v>
      </c>
      <c r="K2018">
        <v>1.1096760000000001</v>
      </c>
      <c r="L2018">
        <v>285.83699999999999</v>
      </c>
      <c r="M2018">
        <v>-0.99902899999999994</v>
      </c>
      <c r="N2018">
        <v>0</v>
      </c>
      <c r="O2018">
        <v>-4.1506069999999999E-2</v>
      </c>
      <c r="P2018">
        <v>-0.97955449999999999</v>
      </c>
      <c r="Q2018">
        <v>0.15882779999999999</v>
      </c>
      <c r="R2018">
        <v>-0.12347900000000001</v>
      </c>
      <c r="S2018">
        <v>-3.0088499999999998</v>
      </c>
      <c r="T2018">
        <v>-0.12942790000000001</v>
      </c>
      <c r="U2018">
        <v>-0.59228519999999996</v>
      </c>
      <c r="V2018">
        <v>-8.2734379999999996E-2</v>
      </c>
      <c r="W2018">
        <v>0.17334929999999901</v>
      </c>
      <c r="X2018">
        <v>0.98137920000000001</v>
      </c>
      <c r="Y2018">
        <v>-0.15214739999999999</v>
      </c>
      <c r="Z2018">
        <v>-1.474132E-3</v>
      </c>
      <c r="AA2018">
        <v>0.98835669999999998</v>
      </c>
      <c r="AB2018">
        <v>47</v>
      </c>
      <c r="AC2018">
        <v>-25.331899999999901</v>
      </c>
      <c r="AD2018">
        <v>-1.109673459358</v>
      </c>
      <c r="AE2018">
        <v>-5.0586999999999804</v>
      </c>
      <c r="AF2018">
        <v>-3.99542447920473</v>
      </c>
      <c r="AG2018">
        <v>-1.109673459358</v>
      </c>
      <c r="AH2018">
        <v>25.473049214319801</v>
      </c>
      <c r="AI2018">
        <v>92.464288013819498</v>
      </c>
      <c r="AJ2018">
        <v>98.914163124344498</v>
      </c>
      <c r="AK2018">
        <v>25.808351908453801</v>
      </c>
      <c r="AL2018">
        <v>80.017388597930307</v>
      </c>
      <c r="AM2018">
        <v>94.818879682126806</v>
      </c>
      <c r="AN2018">
        <v>1.0000000458185501</v>
      </c>
    </row>
    <row r="2019" spans="1:40" x14ac:dyDescent="0.25">
      <c r="A2019" t="str">
        <f>"20190312172656603"</f>
        <v>20190312172656603</v>
      </c>
      <c r="B2019" t="str">
        <f>"1552382816600881"</f>
        <v>1552382816600881</v>
      </c>
      <c r="C2019" t="s">
        <v>40</v>
      </c>
      <c r="D2019">
        <v>3.2122229999999998</v>
      </c>
      <c r="E2019">
        <v>0.47499449999999999</v>
      </c>
      <c r="F2019" t="s">
        <v>47</v>
      </c>
      <c r="G2019">
        <v>-484.1764</v>
      </c>
      <c r="H2019" s="1">
        <v>2.6087679999999999E-6</v>
      </c>
      <c r="I2019">
        <v>280.75229999999999</v>
      </c>
      <c r="J2019">
        <v>-458.92140000000001</v>
      </c>
      <c r="K2019">
        <v>1.109674</v>
      </c>
      <c r="L2019">
        <v>285.81729999999999</v>
      </c>
      <c r="M2019">
        <v>-0.99902769999999996</v>
      </c>
      <c r="N2019">
        <v>0</v>
      </c>
      <c r="O2019">
        <v>-4.1534990000000001E-2</v>
      </c>
      <c r="P2019">
        <v>-0.97951089999999996</v>
      </c>
      <c r="Q2019">
        <v>0.1590135</v>
      </c>
      <c r="R2019">
        <v>-0.1235865</v>
      </c>
      <c r="S2019">
        <v>-3.0087280000000001</v>
      </c>
      <c r="T2019">
        <v>-0.12976560000000001</v>
      </c>
      <c r="U2019">
        <v>-0.59460449999999998</v>
      </c>
      <c r="V2019">
        <v>-8.2811679999999999E-2</v>
      </c>
      <c r="W2019">
        <v>0.17353250000000001</v>
      </c>
      <c r="X2019">
        <v>0.98134030000000005</v>
      </c>
      <c r="Y2019">
        <v>-0.15285860000000001</v>
      </c>
      <c r="Z2019">
        <v>-1.4918829999999901E-3</v>
      </c>
      <c r="AA2019">
        <v>0.98824690000000004</v>
      </c>
      <c r="AB2019">
        <v>47</v>
      </c>
      <c r="AC2019">
        <v>-25.2549999999999</v>
      </c>
      <c r="AD2019">
        <v>-1.109671391232</v>
      </c>
      <c r="AE2019">
        <v>-5.0649999999999897</v>
      </c>
      <c r="AF2019">
        <v>-4.0041159438118097</v>
      </c>
      <c r="AG2019">
        <v>-1.109671391232</v>
      </c>
      <c r="AH2019">
        <v>25.396464389797899</v>
      </c>
      <c r="AI2019">
        <v>92.471396624079702</v>
      </c>
      <c r="AJ2019">
        <v>98.959744614293399</v>
      </c>
      <c r="AK2019">
        <v>25.734115850176</v>
      </c>
      <c r="AL2019">
        <v>80.006730458275598</v>
      </c>
      <c r="AM2019">
        <v>94.823551097872397</v>
      </c>
      <c r="AN2019">
        <v>1.0000000436523799</v>
      </c>
    </row>
    <row r="2020" spans="1:40" x14ac:dyDescent="0.25">
      <c r="A2020" t="str">
        <f>"20190312172656626"</f>
        <v>20190312172656626</v>
      </c>
      <c r="B2020" t="str">
        <f>"1552382816621376"</f>
        <v>1552382816621376</v>
      </c>
      <c r="C2020" t="s">
        <v>40</v>
      </c>
      <c r="D2020">
        <v>3.2279040000000001</v>
      </c>
      <c r="E2020">
        <v>0.47487740000000001</v>
      </c>
      <c r="F2020" t="s">
        <v>47</v>
      </c>
      <c r="G2020">
        <v>-484.39269999999999</v>
      </c>
      <c r="H2020" s="1">
        <v>2.64854E-6</v>
      </c>
      <c r="I2020">
        <v>280.76830000000001</v>
      </c>
      <c r="J2020">
        <v>-459.39589999999998</v>
      </c>
      <c r="K2020">
        <v>1.109667</v>
      </c>
      <c r="L2020">
        <v>285.79759999999999</v>
      </c>
      <c r="M2020">
        <v>-0.99902650000000004</v>
      </c>
      <c r="N2020">
        <v>0</v>
      </c>
      <c r="O2020">
        <v>-4.1563570000000001E-2</v>
      </c>
      <c r="P2020">
        <v>-0.97944229999999999</v>
      </c>
      <c r="Q2020">
        <v>0.15887709999999999</v>
      </c>
      <c r="R2020">
        <v>-0.1243016</v>
      </c>
      <c r="S2020">
        <v>-3.008759</v>
      </c>
      <c r="T2020">
        <v>-0.13107849999999999</v>
      </c>
      <c r="U2020">
        <v>-0.59640499999999996</v>
      </c>
      <c r="V2020">
        <v>-8.3497870000000002E-2</v>
      </c>
      <c r="W2020">
        <v>0.17339350000000001</v>
      </c>
      <c r="X2020">
        <v>0.98130669999999998</v>
      </c>
      <c r="Y2020">
        <v>-0.15339510000000001</v>
      </c>
      <c r="Z2020">
        <v>-1.517205E-3</v>
      </c>
      <c r="AA2020">
        <v>0.98816380000000004</v>
      </c>
      <c r="AB2020">
        <v>47</v>
      </c>
      <c r="AC2020">
        <v>-24.9968</v>
      </c>
      <c r="AD2020">
        <v>-1.10966435146</v>
      </c>
      <c r="AE2020">
        <v>-5.0292999999999699</v>
      </c>
      <c r="AF2020">
        <v>-3.9783482548343101</v>
      </c>
      <c r="AG2020">
        <v>-1.10966435146</v>
      </c>
      <c r="AH2020">
        <v>25.1366442248674</v>
      </c>
      <c r="AI2020">
        <v>92.496661417203796</v>
      </c>
      <c r="AJ2020">
        <v>98.993540187751606</v>
      </c>
      <c r="AK2020">
        <v>25.473701982578099</v>
      </c>
      <c r="AL2020">
        <v>80.0148169219827</v>
      </c>
      <c r="AM2020">
        <v>94.863494568239901</v>
      </c>
      <c r="AN2020">
        <v>1.0000000198008301</v>
      </c>
    </row>
    <row r="2021" spans="1:40" x14ac:dyDescent="0.25">
      <c r="A2021" t="str">
        <f>"20190312172656648"</f>
        <v>20190312172656648</v>
      </c>
      <c r="B2021" t="str">
        <f>"1552382816640897"</f>
        <v>1552382816640897</v>
      </c>
      <c r="C2021" t="s">
        <v>40</v>
      </c>
      <c r="D2021">
        <v>3.2233149999999999</v>
      </c>
      <c r="E2021">
        <v>0.47472740000000002</v>
      </c>
      <c r="F2021" t="s">
        <v>47</v>
      </c>
      <c r="G2021">
        <v>-484.50810000000001</v>
      </c>
      <c r="H2021" s="1">
        <v>2.6715569999999998E-6</v>
      </c>
      <c r="I2021">
        <v>280.79750000000001</v>
      </c>
      <c r="J2021">
        <v>-459.8657</v>
      </c>
      <c r="K2021">
        <v>1.109664</v>
      </c>
      <c r="L2021">
        <v>285.77800000000002</v>
      </c>
      <c r="M2021">
        <v>-0.99902539999999995</v>
      </c>
      <c r="N2021">
        <v>0</v>
      </c>
      <c r="O2021">
        <v>-4.1591000000000003E-2</v>
      </c>
      <c r="P2021">
        <v>-0.97927819999999999</v>
      </c>
      <c r="Q2021">
        <v>0.15915270000000001</v>
      </c>
      <c r="R2021">
        <v>-0.1252376</v>
      </c>
      <c r="S2021">
        <v>-3.0085139999999999</v>
      </c>
      <c r="T2021">
        <v>-0.1329408</v>
      </c>
      <c r="U2021">
        <v>-0.59902949999999999</v>
      </c>
      <c r="V2021">
        <v>-8.4410869999999999E-2</v>
      </c>
      <c r="W2021">
        <v>0.17366489999999901</v>
      </c>
      <c r="X2021">
        <v>0.98118050000000001</v>
      </c>
      <c r="Y2021">
        <v>-0.15420889999999901</v>
      </c>
      <c r="Z2021">
        <v>-1.5553400000000001E-3</v>
      </c>
      <c r="AA2021">
        <v>0.98803700000000005</v>
      </c>
      <c r="AB2021">
        <v>47</v>
      </c>
      <c r="AC2021">
        <v>-24.642399999999999</v>
      </c>
      <c r="AD2021">
        <v>-1.1096613284429999</v>
      </c>
      <c r="AE2021">
        <v>-4.9805000000000001</v>
      </c>
      <c r="AF2021">
        <v>-3.9434929137796302</v>
      </c>
      <c r="AG2021">
        <v>-1.1096613284429999</v>
      </c>
      <c r="AH2021">
        <v>24.779963743042099</v>
      </c>
      <c r="AI2021">
        <v>92.532203568952994</v>
      </c>
      <c r="AJ2021">
        <v>99.042247438865502</v>
      </c>
      <c r="AK2021">
        <v>25.1163111887744</v>
      </c>
      <c r="AL2021">
        <v>79.999026422183505</v>
      </c>
      <c r="AM2021">
        <v>94.917044011679295</v>
      </c>
      <c r="AN2021">
        <v>0.999999933023206</v>
      </c>
    </row>
    <row r="2022" spans="1:40" x14ac:dyDescent="0.25">
      <c r="A2022" t="str">
        <f>"20190312172656672"</f>
        <v>20190312172656672</v>
      </c>
      <c r="B2022" t="str">
        <f>"1552382816661395"</f>
        <v>1552382816661395</v>
      </c>
      <c r="C2022" t="s">
        <v>40</v>
      </c>
      <c r="D2022">
        <v>3.2521089999999999</v>
      </c>
      <c r="E2022">
        <v>0.47461300000000001</v>
      </c>
      <c r="F2022" t="s">
        <v>47</v>
      </c>
      <c r="G2022">
        <v>-484.8098</v>
      </c>
      <c r="H2022" s="1">
        <v>2.7240129999999998E-6</v>
      </c>
      <c r="I2022">
        <v>280.78530000000001</v>
      </c>
      <c r="J2022">
        <v>-460.35939999999999</v>
      </c>
      <c r="K2022">
        <v>1.109667</v>
      </c>
      <c r="L2022">
        <v>285.75740000000002</v>
      </c>
      <c r="M2022">
        <v>-0.99902429999999998</v>
      </c>
      <c r="N2022">
        <v>0</v>
      </c>
      <c r="O2022">
        <v>-4.1619870000000003E-2</v>
      </c>
      <c r="P2022">
        <v>-0.97904990000000003</v>
      </c>
      <c r="Q2022">
        <v>0.1603049</v>
      </c>
      <c r="R2022">
        <v>-0.1255541</v>
      </c>
      <c r="S2022">
        <v>-3.0082089999999999</v>
      </c>
      <c r="T2022">
        <v>-0.133823</v>
      </c>
      <c r="U2022">
        <v>-0.60211179999999997</v>
      </c>
      <c r="V2022">
        <v>-8.4706870000000004E-2</v>
      </c>
      <c r="W2022">
        <v>0.174812</v>
      </c>
      <c r="X2022">
        <v>0.98095129999999997</v>
      </c>
      <c r="Y2022">
        <v>-0.15517069999999999</v>
      </c>
      <c r="Z2022">
        <v>-1.585569E-3</v>
      </c>
      <c r="AA2022">
        <v>0.98788640000000005</v>
      </c>
      <c r="AB2022">
        <v>47</v>
      </c>
      <c r="AC2022">
        <v>-24.450399999999998</v>
      </c>
      <c r="AD2022">
        <v>-1.1096642759869999</v>
      </c>
      <c r="AE2022">
        <v>-4.97210000000001</v>
      </c>
      <c r="AF2022">
        <v>-3.94225973930403</v>
      </c>
      <c r="AG2022">
        <v>-1.1096642759869999</v>
      </c>
      <c r="AH2022">
        <v>24.587537585645499</v>
      </c>
      <c r="AI2022">
        <v>92.551527214800899</v>
      </c>
      <c r="AJ2022">
        <v>99.109029320522097</v>
      </c>
      <c r="AK2022">
        <v>24.926286750799299</v>
      </c>
      <c r="AL2022">
        <v>79.932281846933293</v>
      </c>
      <c r="AM2022">
        <v>94.935348610412305</v>
      </c>
      <c r="AN2022">
        <v>0.99999997107044203</v>
      </c>
    </row>
    <row r="2023" spans="1:40" x14ac:dyDescent="0.25">
      <c r="A2023" t="str">
        <f>"20190312172656695"</f>
        <v>20190312172656695</v>
      </c>
      <c r="B2023" t="str">
        <f>"1552382816690674"</f>
        <v>1552382816690674</v>
      </c>
      <c r="C2023" t="s">
        <v>40</v>
      </c>
      <c r="D2023">
        <v>3.282359</v>
      </c>
      <c r="E2023">
        <v>0.4743657</v>
      </c>
      <c r="F2023" t="s">
        <v>47</v>
      </c>
      <c r="G2023">
        <v>-485.69310000000002</v>
      </c>
      <c r="H2023" s="1">
        <v>2.8710900000000001E-6</v>
      </c>
      <c r="I2023">
        <v>280.6755</v>
      </c>
      <c r="J2023">
        <v>-460.85599999999999</v>
      </c>
      <c r="K2023">
        <v>1.109669</v>
      </c>
      <c r="L2023">
        <v>285.73669999999998</v>
      </c>
      <c r="M2023">
        <v>-0.9990232</v>
      </c>
      <c r="N2023">
        <v>0</v>
      </c>
      <c r="O2023">
        <v>-4.1647799999999999E-2</v>
      </c>
      <c r="P2023">
        <v>-0.97880370000000005</v>
      </c>
      <c r="Q2023">
        <v>0.16117790000000001</v>
      </c>
      <c r="R2023">
        <v>-0.12635379999999999</v>
      </c>
      <c r="S2023">
        <v>-3.0083920000000002</v>
      </c>
      <c r="T2023">
        <v>-0.13177359999999999</v>
      </c>
      <c r="U2023">
        <v>-0.6034851</v>
      </c>
      <c r="V2023">
        <v>-8.5487220000000003E-2</v>
      </c>
      <c r="W2023">
        <v>0.17567949999999999</v>
      </c>
      <c r="X2023">
        <v>0.98072859999999995</v>
      </c>
      <c r="Y2023">
        <v>-0.15556800000000001</v>
      </c>
      <c r="Z2023">
        <v>-1.5685549999999999E-3</v>
      </c>
      <c r="AA2023">
        <v>0.98782400000000004</v>
      </c>
      <c r="AB2023">
        <v>47</v>
      </c>
      <c r="AC2023">
        <v>-24.8371</v>
      </c>
      <c r="AD2023">
        <v>-1.10966612891</v>
      </c>
      <c r="AE2023">
        <v>-5.0611999999999799</v>
      </c>
      <c r="AF2023">
        <v>-4.0145902710770596</v>
      </c>
      <c r="AG2023">
        <v>-1.10966612891</v>
      </c>
      <c r="AH2023">
        <v>24.978484555594601</v>
      </c>
      <c r="AI2023">
        <v>92.5114964885733</v>
      </c>
      <c r="AJ2023">
        <v>99.1306034946724</v>
      </c>
      <c r="AK2023">
        <v>25.3233683513145</v>
      </c>
      <c r="AL2023">
        <v>79.881796460520604</v>
      </c>
      <c r="AM2023">
        <v>94.981712429847406</v>
      </c>
      <c r="AN2023">
        <v>0.99999996918076794</v>
      </c>
    </row>
    <row r="2024" spans="1:40" x14ac:dyDescent="0.25">
      <c r="A2024" t="str">
        <f>"20190312172656716"</f>
        <v>20190312172656716</v>
      </c>
      <c r="B2024" t="str">
        <f>"1552382816711169"</f>
        <v>1552382816711169</v>
      </c>
      <c r="C2024" t="s">
        <v>40</v>
      </c>
      <c r="D2024">
        <v>3.2667039999999998</v>
      </c>
      <c r="E2024">
        <v>0.47420230000000002</v>
      </c>
      <c r="F2024" t="s">
        <v>47</v>
      </c>
      <c r="G2024">
        <v>-486.31670000000003</v>
      </c>
      <c r="H2024" s="1">
        <v>2.9740959999999999E-6</v>
      </c>
      <c r="I2024">
        <v>280.58839999999998</v>
      </c>
      <c r="J2024">
        <v>-461.27980000000002</v>
      </c>
      <c r="K2024">
        <v>1.109677</v>
      </c>
      <c r="L2024">
        <v>285.71910000000003</v>
      </c>
      <c r="M2024">
        <v>-0.99902219999999997</v>
      </c>
      <c r="N2024">
        <v>0</v>
      </c>
      <c r="O2024">
        <v>-4.1671350000000003E-2</v>
      </c>
      <c r="P2024">
        <v>-0.97846460000000002</v>
      </c>
      <c r="Q2024">
        <v>0.1623125</v>
      </c>
      <c r="R2024">
        <v>-0.12752239999999901</v>
      </c>
      <c r="S2024">
        <v>-3.0080260000000001</v>
      </c>
      <c r="T2024">
        <v>-0.13110039999999901</v>
      </c>
      <c r="U2024">
        <v>-0.60824579999999995</v>
      </c>
      <c r="V2024">
        <v>-8.6645050000000001E-2</v>
      </c>
      <c r="W2024">
        <v>0.17680699999999999</v>
      </c>
      <c r="X2024">
        <v>0.98042430000000003</v>
      </c>
      <c r="Y2024">
        <v>-0.15706989999999901</v>
      </c>
      <c r="Z2024">
        <v>-1.5918830000000001E-3</v>
      </c>
      <c r="AA2024">
        <v>0.98758619999999997</v>
      </c>
      <c r="AB2024">
        <v>47</v>
      </c>
      <c r="AC2024">
        <v>-25.036899999999999</v>
      </c>
      <c r="AD2024">
        <v>-1.1096740259039899</v>
      </c>
      <c r="AE2024">
        <v>-5.13070000000004</v>
      </c>
      <c r="AF2024">
        <v>-4.07512457323545</v>
      </c>
      <c r="AG2024">
        <v>-1.1096740259039899</v>
      </c>
      <c r="AH2024">
        <v>25.181501101871699</v>
      </c>
      <c r="AI2024">
        <v>92.490858427104101</v>
      </c>
      <c r="AJ2024">
        <v>99.192486706376499</v>
      </c>
      <c r="AK2024">
        <v>25.533233529553598</v>
      </c>
      <c r="AL2024">
        <v>79.816167900754493</v>
      </c>
      <c r="AM2024">
        <v>95.050396735204004</v>
      </c>
      <c r="AN2024">
        <v>0.99999994398449399</v>
      </c>
    </row>
    <row r="2025" spans="1:40" x14ac:dyDescent="0.25">
      <c r="A2025" t="str">
        <f>"20190312172656737"</f>
        <v>20190312172656737</v>
      </c>
      <c r="B2025" t="str">
        <f>"1552382816730690"</f>
        <v>1552382816730690</v>
      </c>
      <c r="C2025" t="s">
        <v>40</v>
      </c>
      <c r="D2025">
        <v>3.2238220000000002</v>
      </c>
      <c r="E2025">
        <v>0.47412090000000001</v>
      </c>
      <c r="F2025" t="s">
        <v>47</v>
      </c>
      <c r="G2025">
        <v>-487.13740000000001</v>
      </c>
      <c r="H2025" s="1">
        <v>3.1071470000000001E-6</v>
      </c>
      <c r="I2025">
        <v>280.4452</v>
      </c>
      <c r="J2025">
        <v>-461.75119999999998</v>
      </c>
      <c r="K2025">
        <v>1.1096779999999999</v>
      </c>
      <c r="L2025">
        <v>285.69940000000003</v>
      </c>
      <c r="M2025">
        <v>-0.9990213</v>
      </c>
      <c r="N2025">
        <v>0</v>
      </c>
      <c r="O2025">
        <v>-4.1697049999999999E-2</v>
      </c>
      <c r="P2025">
        <v>-0.97834319999999997</v>
      </c>
      <c r="Q2025">
        <v>0.16235469999999999</v>
      </c>
      <c r="R2025">
        <v>-0.12839729999999999</v>
      </c>
      <c r="S2025">
        <v>-3.0075069999999999</v>
      </c>
      <c r="T2025">
        <v>-0.12906669999999901</v>
      </c>
      <c r="U2025">
        <v>-0.61340329999999998</v>
      </c>
      <c r="V2025">
        <v>-8.7498049999999994E-2</v>
      </c>
      <c r="W2025">
        <v>0.176845899999999</v>
      </c>
      <c r="X2025">
        <v>0.98034160000000004</v>
      </c>
      <c r="Y2025">
        <v>-0.15870570000000001</v>
      </c>
      <c r="Z2025">
        <v>-1.6008660000000001E-3</v>
      </c>
      <c r="AA2025">
        <v>0.98732470000000006</v>
      </c>
      <c r="AB2025">
        <v>47</v>
      </c>
      <c r="AC2025">
        <v>-25.386199999999999</v>
      </c>
      <c r="AD2025">
        <v>-1.109674892853</v>
      </c>
      <c r="AE2025">
        <v>-5.2542000000000204</v>
      </c>
      <c r="AF2025">
        <v>-4.1833196834724404</v>
      </c>
      <c r="AG2025">
        <v>-1.109674892853</v>
      </c>
      <c r="AH2025">
        <v>25.536436708634302</v>
      </c>
      <c r="AI2025">
        <v>92.455508831269995</v>
      </c>
      <c r="AJ2025">
        <v>99.303425756069402</v>
      </c>
      <c r="AK2025">
        <v>25.9006011844521</v>
      </c>
      <c r="AL2025">
        <v>79.813904161683993</v>
      </c>
      <c r="AM2025">
        <v>95.100283715488402</v>
      </c>
      <c r="AN2025">
        <v>1.00000001689558</v>
      </c>
    </row>
    <row r="2026" spans="1:40" x14ac:dyDescent="0.25">
      <c r="A2026" t="str">
        <f>"20190312172656759"</f>
        <v>20190312172656759</v>
      </c>
      <c r="B2026" t="str">
        <f>"1552382816751185"</f>
        <v>1552382816751185</v>
      </c>
      <c r="C2026" t="s">
        <v>40</v>
      </c>
      <c r="D2026">
        <v>3.1735910000000001</v>
      </c>
      <c r="E2026">
        <v>0.46876960000000001</v>
      </c>
      <c r="F2026" t="s">
        <v>47</v>
      </c>
      <c r="G2026">
        <v>-487.46839999999997</v>
      </c>
      <c r="H2026" s="1">
        <v>3.1642539999999999E-6</v>
      </c>
      <c r="I2026">
        <v>280.42669999999998</v>
      </c>
      <c r="J2026">
        <v>-462.221</v>
      </c>
      <c r="K2026">
        <v>1.109675</v>
      </c>
      <c r="L2026">
        <v>285.67970000000003</v>
      </c>
      <c r="M2026">
        <v>-0.99902020000000002</v>
      </c>
      <c r="N2026">
        <v>0</v>
      </c>
      <c r="O2026">
        <v>-4.1722269999999999E-2</v>
      </c>
      <c r="P2026">
        <v>-0.9781649</v>
      </c>
      <c r="Q2026">
        <v>0.1630926</v>
      </c>
      <c r="R2026">
        <v>-0.1288193</v>
      </c>
      <c r="S2026">
        <v>-3.0070190000000001</v>
      </c>
      <c r="T2026">
        <v>-0.12975</v>
      </c>
      <c r="U2026">
        <v>-0.61651610000000001</v>
      </c>
      <c r="V2026">
        <v>-8.7901820000000006E-2</v>
      </c>
      <c r="W2026">
        <v>0.17757899999999999</v>
      </c>
      <c r="X2026">
        <v>0.98017290000000001</v>
      </c>
      <c r="Y2026">
        <v>-0.15969120000000001</v>
      </c>
      <c r="Z2026">
        <v>-1.6293929999999901E-3</v>
      </c>
      <c r="AA2026">
        <v>0.98716570000000003</v>
      </c>
      <c r="AB2026">
        <v>47</v>
      </c>
      <c r="AC2026">
        <v>-25.247399999999899</v>
      </c>
      <c r="AD2026">
        <v>-1.109671835746</v>
      </c>
      <c r="AE2026">
        <v>-5.2530000000000401</v>
      </c>
      <c r="AF2026">
        <v>-4.1871782693884398</v>
      </c>
      <c r="AG2026">
        <v>-1.109671835746</v>
      </c>
      <c r="AH2026">
        <v>25.397575356118001</v>
      </c>
      <c r="AI2026">
        <v>92.468497641682006</v>
      </c>
      <c r="AJ2026">
        <v>99.361870397345697</v>
      </c>
      <c r="AK2026">
        <v>25.764329360811601</v>
      </c>
      <c r="AL2026">
        <v>79.771224669633497</v>
      </c>
      <c r="AM2026">
        <v>95.124571738857298</v>
      </c>
      <c r="AN2026">
        <v>0.99999997254735995</v>
      </c>
    </row>
    <row r="2027" spans="1:40" x14ac:dyDescent="0.25">
      <c r="A2027" t="str">
        <f>"20190312172656782"</f>
        <v>20190312172656782</v>
      </c>
      <c r="B2027" t="str">
        <f>"1552382816770705"</f>
        <v>1552382816770705</v>
      </c>
      <c r="C2027" t="s">
        <v>40</v>
      </c>
      <c r="D2027">
        <v>3.2141440000000001</v>
      </c>
      <c r="E2027">
        <v>0.46862789999999999</v>
      </c>
      <c r="F2027" t="s">
        <v>47</v>
      </c>
      <c r="G2027">
        <v>-483.65039999999999</v>
      </c>
      <c r="H2027" s="1">
        <v>2.5334179999999998E-6</v>
      </c>
      <c r="I2027">
        <v>280.95769999999999</v>
      </c>
      <c r="J2027">
        <v>-462.68310000000002</v>
      </c>
      <c r="K2027">
        <v>1.109672</v>
      </c>
      <c r="L2027">
        <v>285.66039999999998</v>
      </c>
      <c r="M2027">
        <v>-0.99901910000000005</v>
      </c>
      <c r="N2027">
        <v>0</v>
      </c>
      <c r="O2027">
        <v>-4.1751219999999999E-2</v>
      </c>
      <c r="P2027">
        <v>-0.97797699999999999</v>
      </c>
      <c r="Q2027">
        <v>0.1641137</v>
      </c>
      <c r="R2027">
        <v>-0.12894939999999999</v>
      </c>
      <c r="S2027">
        <v>-3.0057369999999999</v>
      </c>
      <c r="T2027">
        <v>-0.155645799999999</v>
      </c>
      <c r="U2027">
        <v>-0.662323</v>
      </c>
      <c r="V2027">
        <v>-8.8011119999999998E-2</v>
      </c>
      <c r="W2027">
        <v>0.178593899999999</v>
      </c>
      <c r="X2027">
        <v>0.97997869999999998</v>
      </c>
      <c r="Y2027">
        <v>-0.17405660000000001</v>
      </c>
      <c r="Z2027">
        <v>-2.3179469999999999E-3</v>
      </c>
      <c r="AA2027">
        <v>0.98473290000000002</v>
      </c>
      <c r="AB2027">
        <v>47</v>
      </c>
      <c r="AC2027">
        <v>-20.967299999999899</v>
      </c>
      <c r="AD2027">
        <v>-1.1096694665819999</v>
      </c>
      <c r="AE2027">
        <v>-4.7026999999999903</v>
      </c>
      <c r="AF2027">
        <v>-3.8129246576249902</v>
      </c>
      <c r="AG2027">
        <v>-1.1096694665819999</v>
      </c>
      <c r="AH2027">
        <v>21.089138102723702</v>
      </c>
      <c r="AI2027">
        <v>92.964046687897806</v>
      </c>
      <c r="AJ2027">
        <v>100.24838797768901</v>
      </c>
      <c r="AK2027">
        <v>21.459764832950601</v>
      </c>
      <c r="AL2027">
        <v>79.712130787637605</v>
      </c>
      <c r="AM2027">
        <v>95.131921158813896</v>
      </c>
      <c r="AN2027">
        <v>0.99999999540727702</v>
      </c>
    </row>
    <row r="2028" spans="1:40" x14ac:dyDescent="0.25">
      <c r="A2028" t="str">
        <f>"20190312172656804"</f>
        <v>20190312172656804</v>
      </c>
      <c r="B2028" t="str">
        <f>"1552382816800961"</f>
        <v>1552382816800961</v>
      </c>
      <c r="C2028" t="s">
        <v>40</v>
      </c>
      <c r="D2028">
        <v>3.2370109999999999</v>
      </c>
      <c r="E2028">
        <v>0.46813840000000001</v>
      </c>
      <c r="F2028" t="s">
        <v>47</v>
      </c>
      <c r="G2028">
        <v>-483.88679999999999</v>
      </c>
      <c r="H2028" s="1">
        <v>2.5764399999999998E-6</v>
      </c>
      <c r="I2028">
        <v>280.9701</v>
      </c>
      <c r="J2028">
        <v>-463.15989999999999</v>
      </c>
      <c r="K2028">
        <v>1.1096760000000001</v>
      </c>
      <c r="L2028">
        <v>285.64049999999997</v>
      </c>
      <c r="M2028">
        <v>-0.99901719999999905</v>
      </c>
      <c r="N2028">
        <v>0</v>
      </c>
      <c r="O2028">
        <v>-4.1797109999999998E-2</v>
      </c>
      <c r="P2028">
        <v>-0.97791799999999995</v>
      </c>
      <c r="Q2028">
        <v>0.1640556</v>
      </c>
      <c r="R2028">
        <v>-0.1294698</v>
      </c>
      <c r="S2028">
        <v>-3.0063170000000001</v>
      </c>
      <c r="T2028">
        <v>-0.1573319</v>
      </c>
      <c r="U2028">
        <v>-0.6650085</v>
      </c>
      <c r="V2028">
        <v>-8.8492039999999994E-2</v>
      </c>
      <c r="W2028">
        <v>0.17853050000000001</v>
      </c>
      <c r="X2028">
        <v>0.97994689999999995</v>
      </c>
      <c r="Y2028">
        <v>-0.17480570000000001</v>
      </c>
      <c r="Z2028">
        <v>-2.35936E-3</v>
      </c>
      <c r="AA2028">
        <v>0.98460009999999998</v>
      </c>
      <c r="AB2028">
        <v>47</v>
      </c>
      <c r="AC2028">
        <v>-20.726900000000001</v>
      </c>
      <c r="AD2028">
        <v>-1.1096734235600001</v>
      </c>
      <c r="AE2028">
        <v>-4.6703999999999697</v>
      </c>
      <c r="AF2028">
        <v>-3.7895617663776999</v>
      </c>
      <c r="AG2028">
        <v>-1.1096734235600001</v>
      </c>
      <c r="AH2028">
        <v>20.847146842732201</v>
      </c>
      <c r="AI2028">
        <v>92.997887508218994</v>
      </c>
      <c r="AJ2028">
        <v>100.302642106812</v>
      </c>
      <c r="AK2028">
        <v>21.217815273269402</v>
      </c>
      <c r="AL2028">
        <v>79.715822240133093</v>
      </c>
      <c r="AM2028">
        <v>95.159979137240995</v>
      </c>
      <c r="AN2028">
        <v>0.99999995369660899</v>
      </c>
    </row>
    <row r="2029" spans="1:40" x14ac:dyDescent="0.25">
      <c r="A2029" t="str">
        <f>"20190312172656827"</f>
        <v>20190312172656827</v>
      </c>
      <c r="B2029" t="str">
        <f>"1552382816820481"</f>
        <v>1552382816820481</v>
      </c>
      <c r="C2029" t="s">
        <v>40</v>
      </c>
      <c r="D2029">
        <v>3.2358850000000001</v>
      </c>
      <c r="E2029">
        <v>0.4680685</v>
      </c>
      <c r="F2029" t="s">
        <v>47</v>
      </c>
      <c r="G2029">
        <v>-483.74299999999999</v>
      </c>
      <c r="H2029" s="1">
        <v>2.5577079999999999E-6</v>
      </c>
      <c r="I2029">
        <v>281.04770000000002</v>
      </c>
      <c r="J2029">
        <v>-463.63010000000003</v>
      </c>
      <c r="K2029">
        <v>1.1096969999999999</v>
      </c>
      <c r="L2029">
        <v>285.62079999999997</v>
      </c>
      <c r="M2029">
        <v>-0.99901379999999995</v>
      </c>
      <c r="N2029">
        <v>0</v>
      </c>
      <c r="O2029">
        <v>-4.1879109999999997E-2</v>
      </c>
      <c r="P2029">
        <v>-0.97780849999999997</v>
      </c>
      <c r="Q2029">
        <v>0.16419210000000001</v>
      </c>
      <c r="R2029">
        <v>-0.13012219999999999</v>
      </c>
      <c r="S2029">
        <v>-3.0061650000000002</v>
      </c>
      <c r="T2029">
        <v>-0.1620684</v>
      </c>
      <c r="U2029">
        <v>-0.67077640000000005</v>
      </c>
      <c r="V2029">
        <v>-8.9076340000000004E-2</v>
      </c>
      <c r="W2029">
        <v>0.17865909999999999</v>
      </c>
      <c r="X2029">
        <v>0.97987060000000004</v>
      </c>
      <c r="Y2029">
        <v>-0.1765227</v>
      </c>
      <c r="Z2029">
        <v>-2.4712710000000001E-3</v>
      </c>
      <c r="AA2029">
        <v>0.98429350000000004</v>
      </c>
      <c r="AB2029">
        <v>47</v>
      </c>
      <c r="AC2029">
        <v>-20.1129</v>
      </c>
      <c r="AD2029">
        <v>-1.1096944422920001</v>
      </c>
      <c r="AE2029">
        <v>-4.5730999999999504</v>
      </c>
      <c r="AF2029">
        <v>-3.7159294996850298</v>
      </c>
      <c r="AG2029">
        <v>-1.1096944422920001</v>
      </c>
      <c r="AH2029">
        <v>20.228239325788</v>
      </c>
      <c r="AI2029">
        <v>93.088447216802706</v>
      </c>
      <c r="AJ2029">
        <v>100.409187092881</v>
      </c>
      <c r="AK2029">
        <v>20.596631278518299</v>
      </c>
      <c r="AL2029">
        <v>79.708334405166099</v>
      </c>
      <c r="AM2029">
        <v>95.194266209517806</v>
      </c>
      <c r="AN2029">
        <v>1.0000000305524801</v>
      </c>
    </row>
    <row r="2030" spans="1:40" x14ac:dyDescent="0.25">
      <c r="A2030" t="str">
        <f>"20190312172656850"</f>
        <v>20190312172656850</v>
      </c>
      <c r="B2030" t="str">
        <f>"1552382816840977"</f>
        <v>1552382816840977</v>
      </c>
      <c r="C2030" t="s">
        <v>40</v>
      </c>
      <c r="D2030">
        <v>3.3215729999999999</v>
      </c>
      <c r="E2030">
        <v>0.4679236</v>
      </c>
      <c r="F2030" t="s">
        <v>47</v>
      </c>
      <c r="G2030">
        <v>-483.80369999999999</v>
      </c>
      <c r="H2030" s="1">
        <v>2.5736429999999999E-6</v>
      </c>
      <c r="I2030">
        <v>281.10669999999999</v>
      </c>
      <c r="J2030">
        <v>-464.10219999999998</v>
      </c>
      <c r="K2030">
        <v>1.1097429999999999</v>
      </c>
      <c r="L2030">
        <v>285.60090000000002</v>
      </c>
      <c r="M2030">
        <v>-0.99900750000000005</v>
      </c>
      <c r="N2030">
        <v>0</v>
      </c>
      <c r="O2030">
        <v>-4.2029459999999998E-2</v>
      </c>
      <c r="P2030">
        <v>-0.97762629999999995</v>
      </c>
      <c r="Q2030">
        <v>0.16466789999999901</v>
      </c>
      <c r="R2030">
        <v>-0.13088820000000001</v>
      </c>
      <c r="S2030">
        <v>-3.0063170000000001</v>
      </c>
      <c r="T2030">
        <v>-0.16536879999999901</v>
      </c>
      <c r="U2030">
        <v>-0.67269899999999905</v>
      </c>
      <c r="V2030">
        <v>-8.9719999999999994E-2</v>
      </c>
      <c r="W2030">
        <v>0.17912120000000001</v>
      </c>
      <c r="X2030">
        <v>0.97972740000000003</v>
      </c>
      <c r="Y2030">
        <v>-0.17695549999999999</v>
      </c>
      <c r="Z2030">
        <v>-2.5248409999999999E-3</v>
      </c>
      <c r="AA2030">
        <v>0.98421559999999997</v>
      </c>
      <c r="AB2030">
        <v>47</v>
      </c>
      <c r="AC2030">
        <v>-19.701499999999999</v>
      </c>
      <c r="AD2030">
        <v>-1.1097404263570001</v>
      </c>
      <c r="AE2030">
        <v>-4.4942000000000304</v>
      </c>
      <c r="AF2030">
        <v>-3.6510832318552202</v>
      </c>
      <c r="AG2030">
        <v>-1.1097404263570001</v>
      </c>
      <c r="AH2030">
        <v>19.813242471372401</v>
      </c>
      <c r="AI2030">
        <v>93.152815394746099</v>
      </c>
      <c r="AJ2030">
        <v>100.44104247901301</v>
      </c>
      <c r="AK2030">
        <v>20.177376187433801</v>
      </c>
      <c r="AL2030">
        <v>79.681422890952007</v>
      </c>
      <c r="AM2030">
        <v>95.232352541586707</v>
      </c>
      <c r="AN2030">
        <v>0.99999993050009695</v>
      </c>
    </row>
    <row r="2031" spans="1:40" x14ac:dyDescent="0.25">
      <c r="A2031" t="str">
        <f>"20190312172656873"</f>
        <v>20190312172656873</v>
      </c>
      <c r="B2031" t="str">
        <f>"1552382816860497"</f>
        <v>1552382816860497</v>
      </c>
      <c r="C2031" t="s">
        <v>40</v>
      </c>
      <c r="D2031">
        <v>3.2708080000000002</v>
      </c>
      <c r="E2031">
        <v>0.46776040000000002</v>
      </c>
      <c r="F2031" t="s">
        <v>47</v>
      </c>
      <c r="G2031">
        <v>-484.04919999999998</v>
      </c>
      <c r="H2031" s="1">
        <v>2.6179960000000001E-6</v>
      </c>
      <c r="I2031">
        <v>281.11579999999998</v>
      </c>
      <c r="J2031">
        <v>-464.5761</v>
      </c>
      <c r="K2031">
        <v>1.1098319999999999</v>
      </c>
      <c r="L2031">
        <v>285.58080000000001</v>
      </c>
      <c r="M2031">
        <v>-0.99899689999999997</v>
      </c>
      <c r="N2031">
        <v>0</v>
      </c>
      <c r="O2031">
        <v>-4.2273970000000001E-2</v>
      </c>
      <c r="P2031">
        <v>-0.97727269999999999</v>
      </c>
      <c r="Q2031">
        <v>0.1660085</v>
      </c>
      <c r="R2031">
        <v>-0.131829799999999</v>
      </c>
      <c r="S2031">
        <v>-3.0063170000000001</v>
      </c>
      <c r="T2031">
        <v>-0.16725479999999901</v>
      </c>
      <c r="U2031">
        <v>-0.67596440000000002</v>
      </c>
      <c r="V2031">
        <v>-9.046556E-2</v>
      </c>
      <c r="W2031">
        <v>0.18045659999999999</v>
      </c>
      <c r="X2031">
        <v>0.9794138</v>
      </c>
      <c r="Y2031">
        <v>-0.1777272</v>
      </c>
      <c r="Z2031">
        <v>-2.5611060000000001E-3</v>
      </c>
      <c r="AA2031">
        <v>0.98407639999999996</v>
      </c>
      <c r="AB2031">
        <v>47</v>
      </c>
      <c r="AC2031">
        <v>-19.473099999999899</v>
      </c>
      <c r="AD2031">
        <v>-1.1098293820039999</v>
      </c>
      <c r="AE2031">
        <v>-4.4650000000000301</v>
      </c>
      <c r="AF2031">
        <v>-3.6265213569831798</v>
      </c>
      <c r="AG2031">
        <v>-1.1098293820039999</v>
      </c>
      <c r="AH2031">
        <v>19.584026790001001</v>
      </c>
      <c r="AI2031">
        <v>93.189382805229101</v>
      </c>
      <c r="AJ2031">
        <v>100.49105195060601</v>
      </c>
      <c r="AK2031">
        <v>19.9478691524005</v>
      </c>
      <c r="AL2031">
        <v>79.603643380585794</v>
      </c>
      <c r="AM2031">
        <v>95.277267951375904</v>
      </c>
      <c r="AN2031">
        <v>0.99999999683005603</v>
      </c>
    </row>
    <row r="2032" spans="1:40" x14ac:dyDescent="0.25">
      <c r="A2032" t="str">
        <f>"20190312172656896"</f>
        <v>20190312172656896</v>
      </c>
      <c r="B2032" t="str">
        <f>"1552382816890753"</f>
        <v>1552382816890753</v>
      </c>
      <c r="C2032" t="s">
        <v>40</v>
      </c>
      <c r="D2032">
        <v>3.2926299999999999</v>
      </c>
      <c r="E2032">
        <v>0.46746939999999998</v>
      </c>
      <c r="F2032" t="s">
        <v>47</v>
      </c>
      <c r="G2032">
        <v>-484.86759999999998</v>
      </c>
      <c r="H2032" s="1">
        <v>2.7519459999999999E-6</v>
      </c>
      <c r="I2032">
        <v>280.98759999999999</v>
      </c>
      <c r="J2032">
        <v>-465.07229999999998</v>
      </c>
      <c r="K2032">
        <v>1.1099490000000001</v>
      </c>
      <c r="L2032">
        <v>285.55950000000001</v>
      </c>
      <c r="M2032">
        <v>-0.99898109999999996</v>
      </c>
      <c r="N2032">
        <v>0</v>
      </c>
      <c r="O2032">
        <v>-4.2631540000000002E-2</v>
      </c>
      <c r="P2032">
        <v>-0.9768116</v>
      </c>
      <c r="Q2032">
        <v>0.16751279999999999</v>
      </c>
      <c r="R2032">
        <v>-0.1333365</v>
      </c>
      <c r="S2032">
        <v>-3.0059200000000001</v>
      </c>
      <c r="T2032">
        <v>-0.16440650000000001</v>
      </c>
      <c r="U2032">
        <v>-0.68041989999999997</v>
      </c>
      <c r="V2032">
        <v>-9.1678780000000001E-2</v>
      </c>
      <c r="W2032">
        <v>0.18198020000000001</v>
      </c>
      <c r="X2032">
        <v>0.97901899999999997</v>
      </c>
      <c r="Y2032">
        <v>-0.17879639999999999</v>
      </c>
      <c r="Z2032">
        <v>-2.5271019999999998E-3</v>
      </c>
      <c r="AA2032">
        <v>0.98388279999999995</v>
      </c>
      <c r="AB2032">
        <v>47</v>
      </c>
      <c r="AC2032">
        <v>-19.795300000000001</v>
      </c>
      <c r="AD2032">
        <v>-1.1099462480539899</v>
      </c>
      <c r="AE2032">
        <v>-4.5719000000000198</v>
      </c>
      <c r="AF2032">
        <v>-3.7126644883476398</v>
      </c>
      <c r="AG2032">
        <v>-1.1099462480539899</v>
      </c>
      <c r="AH2032">
        <v>19.912792886329701</v>
      </c>
      <c r="AI2032">
        <v>93.136447489646798</v>
      </c>
      <c r="AJ2032">
        <v>100.56131623857399</v>
      </c>
      <c r="AK2032">
        <v>20.286329850676999</v>
      </c>
      <c r="AL2032">
        <v>79.514877821805598</v>
      </c>
      <c r="AM2032">
        <v>95.349776974172897</v>
      </c>
      <c r="AN2032">
        <v>0.99999999712766396</v>
      </c>
    </row>
    <row r="2033" spans="1:40" x14ac:dyDescent="0.25">
      <c r="A2033" t="str">
        <f>"20190312172656916"</f>
        <v>20190312172656916</v>
      </c>
      <c r="B2033" t="str">
        <f>"1552382816911249"</f>
        <v>1552382816911249</v>
      </c>
      <c r="C2033" t="s">
        <v>40</v>
      </c>
      <c r="D2033">
        <v>3.3099449999999999</v>
      </c>
      <c r="E2033">
        <v>0.46730549999999998</v>
      </c>
      <c r="F2033" t="s">
        <v>47</v>
      </c>
      <c r="G2033">
        <v>-485.7296</v>
      </c>
      <c r="H2033" s="1">
        <v>2.890834E-6</v>
      </c>
      <c r="I2033">
        <v>280.8272</v>
      </c>
      <c r="J2033">
        <v>-465.49270000000001</v>
      </c>
      <c r="K2033">
        <v>1.1100669999999999</v>
      </c>
      <c r="L2033">
        <v>285.54129999999998</v>
      </c>
      <c r="M2033">
        <v>-0.99896260000000003</v>
      </c>
      <c r="N2033">
        <v>0</v>
      </c>
      <c r="O2033">
        <v>-4.3044289999999999E-2</v>
      </c>
      <c r="P2033">
        <v>-0.97634889999999996</v>
      </c>
      <c r="Q2033">
        <v>0.16892929999999901</v>
      </c>
      <c r="R2033">
        <v>-0.1349293</v>
      </c>
      <c r="S2033">
        <v>-3.0049130000000002</v>
      </c>
      <c r="T2033">
        <v>-0.16145799999999999</v>
      </c>
      <c r="U2033">
        <v>-0.68838500000000002</v>
      </c>
      <c r="V2033">
        <v>-9.2927800000000005E-2</v>
      </c>
      <c r="W2033">
        <v>0.18342320000000001</v>
      </c>
      <c r="X2033">
        <v>0.9786319</v>
      </c>
      <c r="Y2033">
        <v>-0.1809443</v>
      </c>
      <c r="Z2033">
        <v>-2.5170790000000002E-3</v>
      </c>
      <c r="AA2033">
        <v>0.98349010000000003</v>
      </c>
      <c r="AB2033">
        <v>47</v>
      </c>
      <c r="AC2033">
        <v>-20.236899999999899</v>
      </c>
      <c r="AD2033">
        <v>-1.110064109166</v>
      </c>
      <c r="AE2033">
        <v>-4.71409999999997</v>
      </c>
      <c r="AF2033">
        <v>-3.8276264468587802</v>
      </c>
      <c r="AG2033">
        <v>-1.110064109166</v>
      </c>
      <c r="AH2033">
        <v>20.3629605441471</v>
      </c>
      <c r="AI2033">
        <v>93.066724704423805</v>
      </c>
      <c r="AJ2033">
        <v>100.645669553346</v>
      </c>
      <c r="AK2033">
        <v>20.749292244933098</v>
      </c>
      <c r="AL2033">
        <v>79.430784834372602</v>
      </c>
      <c r="AM2033">
        <v>95.424362141783902</v>
      </c>
      <c r="AN2033">
        <v>1.00000002100434</v>
      </c>
    </row>
    <row r="2034" spans="1:40" x14ac:dyDescent="0.25">
      <c r="A2034" t="str">
        <f>"20190312172656938"</f>
        <v>20190312172656938</v>
      </c>
      <c r="B2034" t="str">
        <f>"1552382816930769"</f>
        <v>1552382816930769</v>
      </c>
      <c r="C2034" t="s">
        <v>40</v>
      </c>
      <c r="D2034">
        <v>3.3142909999999999</v>
      </c>
      <c r="E2034">
        <v>0.4671883</v>
      </c>
      <c r="F2034" t="s">
        <v>47</v>
      </c>
      <c r="G2034">
        <v>-486.60239999999999</v>
      </c>
      <c r="H2034" s="1">
        <v>3.0308439999999998E-6</v>
      </c>
      <c r="I2034">
        <v>280.65800000000002</v>
      </c>
      <c r="J2034">
        <v>-465.95870000000002</v>
      </c>
      <c r="K2034">
        <v>1.110228</v>
      </c>
      <c r="L2034">
        <v>285.52069999999998</v>
      </c>
      <c r="M2034">
        <v>-0.99893399999999999</v>
      </c>
      <c r="N2034">
        <v>0</v>
      </c>
      <c r="O2034">
        <v>-4.367592E-2</v>
      </c>
      <c r="P2034">
        <v>-0.97597500000000004</v>
      </c>
      <c r="Q2034">
        <v>0.16935210000000001</v>
      </c>
      <c r="R2034">
        <v>-0.1370886</v>
      </c>
      <c r="S2034">
        <v>-3.0039980000000002</v>
      </c>
      <c r="T2034">
        <v>-0.157967</v>
      </c>
      <c r="U2034">
        <v>-0.69491579999999997</v>
      </c>
      <c r="V2034">
        <v>-9.4543769999999999E-2</v>
      </c>
      <c r="W2034">
        <v>0.18388489999999999</v>
      </c>
      <c r="X2034">
        <v>0.97839039999999999</v>
      </c>
      <c r="Y2034">
        <v>-0.1824249</v>
      </c>
      <c r="Z2034">
        <v>-2.4686259999999998E-3</v>
      </c>
      <c r="AA2034">
        <v>0.98321670000000005</v>
      </c>
      <c r="AB2034">
        <v>47</v>
      </c>
      <c r="AC2034">
        <v>-20.6436999999999</v>
      </c>
      <c r="AD2034">
        <v>-1.110224969156</v>
      </c>
      <c r="AE2034">
        <v>-4.8626999999999603</v>
      </c>
      <c r="AF2034">
        <v>-3.9455136722868001</v>
      </c>
      <c r="AG2034">
        <v>-1.110224969156</v>
      </c>
      <c r="AH2034">
        <v>20.7794614938982</v>
      </c>
      <c r="AI2034">
        <v>93.004761463123401</v>
      </c>
      <c r="AJ2034">
        <v>100.751090215087</v>
      </c>
      <c r="AK2034">
        <v>21.179841774591601</v>
      </c>
      <c r="AL2034">
        <v>79.4038731766463</v>
      </c>
      <c r="AM2034">
        <v>95.519465576332095</v>
      </c>
      <c r="AN2034">
        <v>0.999999977852991</v>
      </c>
    </row>
    <row r="2035" spans="1:40" x14ac:dyDescent="0.25">
      <c r="A2035" t="str">
        <f>"20190312172656961"</f>
        <v>20190312172656961</v>
      </c>
      <c r="B2035" t="str">
        <f>"1552382816951265"</f>
        <v>1552382816951265</v>
      </c>
      <c r="C2035" t="s">
        <v>40</v>
      </c>
      <c r="D2035">
        <v>3.2974320000000001</v>
      </c>
      <c r="E2035">
        <v>0.46710780000000002</v>
      </c>
      <c r="F2035" t="s">
        <v>47</v>
      </c>
      <c r="G2035">
        <v>-487.18700000000001</v>
      </c>
      <c r="H2035" s="1">
        <v>3.1247840000000001E-6</v>
      </c>
      <c r="I2035">
        <v>280.54629999999997</v>
      </c>
      <c r="J2035">
        <v>-466.42410000000001</v>
      </c>
      <c r="K2035">
        <v>1.1104499999999999</v>
      </c>
      <c r="L2035">
        <v>285.49959999999999</v>
      </c>
      <c r="M2035">
        <v>-0.99889360000000005</v>
      </c>
      <c r="N2035">
        <v>0</v>
      </c>
      <c r="O2035">
        <v>-4.4553469999999998E-2</v>
      </c>
      <c r="P2035">
        <v>-0.9755374</v>
      </c>
      <c r="Q2035">
        <v>0.1691483</v>
      </c>
      <c r="R2035">
        <v>-0.1404127</v>
      </c>
      <c r="S2035">
        <v>-3.0022890000000002</v>
      </c>
      <c r="T2035">
        <v>-0.15701770000000001</v>
      </c>
      <c r="U2035">
        <v>-0.70352169999999903</v>
      </c>
      <c r="V2035">
        <v>-9.7106579999999998E-2</v>
      </c>
      <c r="W2035">
        <v>0.1837345</v>
      </c>
      <c r="X2035">
        <v>0.97816769999999997</v>
      </c>
      <c r="Y2035">
        <v>-0.18435779999999999</v>
      </c>
      <c r="Z2035">
        <v>-2.4591410000000002E-3</v>
      </c>
      <c r="AA2035">
        <v>0.98285619999999996</v>
      </c>
      <c r="AB2035">
        <v>47</v>
      </c>
      <c r="AC2035">
        <v>-20.762899999999899</v>
      </c>
      <c r="AD2035">
        <v>-1.1104468752159999</v>
      </c>
      <c r="AE2035">
        <v>-4.9533000000000103</v>
      </c>
      <c r="AF2035">
        <v>-4.0123574608857</v>
      </c>
      <c r="AG2035">
        <v>-1.1104468752159999</v>
      </c>
      <c r="AH2035">
        <v>20.906409922035799</v>
      </c>
      <c r="AI2035">
        <v>92.986022347471007</v>
      </c>
      <c r="AJ2035">
        <v>100.86410264380299</v>
      </c>
      <c r="AK2035">
        <v>21.316896596005702</v>
      </c>
      <c r="AL2035">
        <v>79.412640622095296</v>
      </c>
      <c r="AM2035">
        <v>95.6694029622995</v>
      </c>
      <c r="AN2035">
        <v>1.0000000518464101</v>
      </c>
    </row>
    <row r="2036" spans="1:40" x14ac:dyDescent="0.25">
      <c r="A2036" t="str">
        <f>"20190312172656984"</f>
        <v>20190312172656984</v>
      </c>
      <c r="B2036" t="str">
        <f>"1552382816970785"</f>
        <v>1552382816970785</v>
      </c>
      <c r="C2036" t="s">
        <v>40</v>
      </c>
      <c r="D2036">
        <v>3.3584779999999999</v>
      </c>
      <c r="E2036">
        <v>0.46432620000000002</v>
      </c>
      <c r="F2036" t="s">
        <v>47</v>
      </c>
      <c r="G2036">
        <v>-487.59660000000002</v>
      </c>
      <c r="H2036" s="1">
        <v>3.189174E-6</v>
      </c>
      <c r="I2036">
        <v>280.45179999999999</v>
      </c>
      <c r="J2036">
        <v>-466.89370000000002</v>
      </c>
      <c r="K2036">
        <v>1.1107320000000001</v>
      </c>
      <c r="L2036">
        <v>285.4778</v>
      </c>
      <c r="M2036">
        <v>-0.99883670000000002</v>
      </c>
      <c r="N2036">
        <v>0</v>
      </c>
      <c r="O2036">
        <v>-4.576218E-2</v>
      </c>
      <c r="P2036">
        <v>-0.97493589999999997</v>
      </c>
      <c r="Q2036">
        <v>0.16980780000000001</v>
      </c>
      <c r="R2036">
        <v>-0.14375470000000001</v>
      </c>
      <c r="S2036">
        <v>-2.9995729999999998</v>
      </c>
      <c r="T2036">
        <v>-0.15732070000000001</v>
      </c>
      <c r="U2036">
        <v>-0.71514889999999998</v>
      </c>
      <c r="V2036">
        <v>-9.9401630000000005E-2</v>
      </c>
      <c r="W2036">
        <v>0.18447079999999999</v>
      </c>
      <c r="X2036">
        <v>0.97779850000000001</v>
      </c>
      <c r="Y2036">
        <v>-0.18697079999999999</v>
      </c>
      <c r="Z2036">
        <v>-2.4702729999999998E-3</v>
      </c>
      <c r="AA2036">
        <v>0.98236239999999997</v>
      </c>
      <c r="AB2036">
        <v>47</v>
      </c>
      <c r="AC2036">
        <v>-20.7029</v>
      </c>
      <c r="AD2036">
        <v>-1.1107288108260001</v>
      </c>
      <c r="AE2036">
        <v>-5.0260000000000096</v>
      </c>
      <c r="AF2036">
        <v>-4.06217218368411</v>
      </c>
      <c r="AG2036">
        <v>-1.1107288108260001</v>
      </c>
      <c r="AH2036">
        <v>20.854545997865198</v>
      </c>
      <c r="AI2036">
        <v>92.992597457182399</v>
      </c>
      <c r="AJ2036">
        <v>101.022392648032</v>
      </c>
      <c r="AK2036">
        <v>21.275503522083099</v>
      </c>
      <c r="AL2036">
        <v>79.369719902402593</v>
      </c>
      <c r="AM2036">
        <v>95.804667683002705</v>
      </c>
      <c r="AN2036">
        <v>1.0000000333507699</v>
      </c>
    </row>
    <row r="2037" spans="1:40" x14ac:dyDescent="0.25">
      <c r="A2037" t="str">
        <f>"20190312172657006"</f>
        <v>20190312172657006</v>
      </c>
      <c r="B2037" t="str">
        <f>"1552382817001041"</f>
        <v>1552382817001041</v>
      </c>
      <c r="C2037" t="s">
        <v>40</v>
      </c>
      <c r="D2037">
        <v>3.3784190000000001</v>
      </c>
      <c r="E2037">
        <v>0.46418579999999998</v>
      </c>
      <c r="F2037" t="s">
        <v>47</v>
      </c>
      <c r="G2037">
        <v>-485.41930000000002</v>
      </c>
      <c r="H2037" s="1">
        <v>2.8372679999999999E-6</v>
      </c>
      <c r="I2037">
        <v>280.84410000000003</v>
      </c>
      <c r="J2037">
        <v>-467.37779999999998</v>
      </c>
      <c r="K2037">
        <v>1.111108</v>
      </c>
      <c r="L2037">
        <v>285.45429999999999</v>
      </c>
      <c r="M2037">
        <v>-0.99875559999999997</v>
      </c>
      <c r="N2037">
        <v>0</v>
      </c>
      <c r="O2037">
        <v>-4.7431540000000001E-2</v>
      </c>
      <c r="P2037">
        <v>-0.97444609999999998</v>
      </c>
      <c r="Q2037">
        <v>0.16999690000000001</v>
      </c>
      <c r="R2037">
        <v>-0.14681939999999999</v>
      </c>
      <c r="S2037">
        <v>-2.997925</v>
      </c>
      <c r="T2037">
        <v>-0.17974509999999999</v>
      </c>
      <c r="U2037">
        <v>-0.74984740000000005</v>
      </c>
      <c r="V2037">
        <v>-0.10100190000000001</v>
      </c>
      <c r="W2037">
        <v>0.18477440000000001</v>
      </c>
      <c r="X2037">
        <v>0.97757709999999998</v>
      </c>
      <c r="Y2037">
        <v>-0.1961039</v>
      </c>
      <c r="Z2037">
        <v>-2.9909509999999999E-3</v>
      </c>
      <c r="AA2037">
        <v>0.98057850000000002</v>
      </c>
      <c r="AB2037">
        <v>47</v>
      </c>
      <c r="AC2037">
        <v>-18.041499999999999</v>
      </c>
      <c r="AD2037">
        <v>-1.1111051627320001</v>
      </c>
      <c r="AE2037">
        <v>-4.6101999999999599</v>
      </c>
      <c r="AF2037">
        <v>-3.7358711224247001</v>
      </c>
      <c r="AG2037">
        <v>-1.1111051627320001</v>
      </c>
      <c r="AH2037">
        <v>18.175173945506302</v>
      </c>
      <c r="AI2037">
        <v>93.426849131054396</v>
      </c>
      <c r="AJ2037">
        <v>101.615256188641</v>
      </c>
      <c r="AK2037">
        <v>18.588389808572099</v>
      </c>
      <c r="AL2037">
        <v>79.352020011838107</v>
      </c>
      <c r="AM2037">
        <v>95.898789958811903</v>
      </c>
      <c r="AN2037">
        <v>0.99999997457168899</v>
      </c>
    </row>
    <row r="2038" spans="1:40" x14ac:dyDescent="0.25">
      <c r="A2038" t="str">
        <f>"20190312172657028"</f>
        <v>20190312172657028</v>
      </c>
      <c r="B2038" t="str">
        <f>"1552382817020561"</f>
        <v>1552382817020561</v>
      </c>
      <c r="C2038" t="s">
        <v>40</v>
      </c>
      <c r="D2038">
        <v>3.3681749999999999</v>
      </c>
      <c r="E2038">
        <v>0.46439520000000001</v>
      </c>
      <c r="F2038" t="s">
        <v>47</v>
      </c>
      <c r="G2038">
        <v>-485.90460000000002</v>
      </c>
      <c r="H2038" s="1">
        <v>2.9145959999999999E-6</v>
      </c>
      <c r="I2038">
        <v>280.74400000000003</v>
      </c>
      <c r="J2038">
        <v>-467.81169999999997</v>
      </c>
      <c r="K2038">
        <v>1.1115409999999999</v>
      </c>
      <c r="L2038">
        <v>285.4323</v>
      </c>
      <c r="M2038">
        <v>-0.99865680000000001</v>
      </c>
      <c r="N2038">
        <v>0</v>
      </c>
      <c r="O2038">
        <v>-4.9392039999999998E-2</v>
      </c>
      <c r="P2038">
        <v>-0.97405240000000004</v>
      </c>
      <c r="Q2038">
        <v>0.17038110000000001</v>
      </c>
      <c r="R2038">
        <v>-0.14897179999999999</v>
      </c>
      <c r="S2038">
        <v>-2.9952700000000001</v>
      </c>
      <c r="T2038">
        <v>-0.17963519999999999</v>
      </c>
      <c r="U2038">
        <v>-0.76153559999999998</v>
      </c>
      <c r="V2038">
        <v>-0.1014224</v>
      </c>
      <c r="W2038">
        <v>0.18529789999999999</v>
      </c>
      <c r="X2038">
        <v>0.97743449999999998</v>
      </c>
      <c r="Y2038">
        <v>-0.19798099999999999</v>
      </c>
      <c r="Z2038">
        <v>-2.9304999999999999E-3</v>
      </c>
      <c r="AA2038">
        <v>0.98020149999999995</v>
      </c>
      <c r="AB2038">
        <v>47</v>
      </c>
      <c r="AC2038">
        <v>-18.0929</v>
      </c>
      <c r="AD2038">
        <v>-1.11153808540399</v>
      </c>
      <c r="AE2038">
        <v>-4.6882999999999697</v>
      </c>
      <c r="AF2038">
        <v>-3.77546860949839</v>
      </c>
      <c r="AG2038">
        <v>-1.11153808540399</v>
      </c>
      <c r="AH2038">
        <v>18.237901139643199</v>
      </c>
      <c r="AI2038">
        <v>93.415431014414395</v>
      </c>
      <c r="AJ2038">
        <v>101.69572491109</v>
      </c>
      <c r="AK2038">
        <v>18.657725427179201</v>
      </c>
      <c r="AL2038">
        <v>79.321498983186999</v>
      </c>
      <c r="AM2038">
        <v>95.924032077938605</v>
      </c>
      <c r="AN2038">
        <v>1.0000000083782099</v>
      </c>
    </row>
    <row r="2039" spans="1:40" x14ac:dyDescent="0.25">
      <c r="A2039" t="str">
        <f>"20190312172657051"</f>
        <v>20190312172657051</v>
      </c>
      <c r="B2039" t="str">
        <f>"1552382817041057"</f>
        <v>1552382817041057</v>
      </c>
      <c r="C2039" t="s">
        <v>40</v>
      </c>
      <c r="D2039">
        <v>3.3872309999999999</v>
      </c>
      <c r="E2039">
        <v>0.46446280000000001</v>
      </c>
      <c r="F2039" t="s">
        <v>47</v>
      </c>
      <c r="G2039">
        <v>-486.22460000000001</v>
      </c>
      <c r="H2039" s="1">
        <v>2.969089E-6</v>
      </c>
      <c r="I2039">
        <v>280.71789999999999</v>
      </c>
      <c r="J2039">
        <v>-468.28309999999999</v>
      </c>
      <c r="K2039">
        <v>1.1121030000000001</v>
      </c>
      <c r="L2039">
        <v>285.4067</v>
      </c>
      <c r="M2039">
        <v>-0.99851350000000005</v>
      </c>
      <c r="N2039">
        <v>0</v>
      </c>
      <c r="O2039">
        <v>-5.2115870000000002E-2</v>
      </c>
      <c r="P2039">
        <v>-0.97386039999999996</v>
      </c>
      <c r="Q2039">
        <v>0.16896079999999999</v>
      </c>
      <c r="R2039">
        <v>-0.15181629999999999</v>
      </c>
      <c r="S2039">
        <v>-2.9942630000000001</v>
      </c>
      <c r="T2039">
        <v>-0.18075540000000001</v>
      </c>
      <c r="U2039">
        <v>-0.76663210000000004</v>
      </c>
      <c r="V2039">
        <v>-0.1018201</v>
      </c>
      <c r="W2039">
        <v>0.1840668</v>
      </c>
      <c r="X2039">
        <v>0.97762570000000004</v>
      </c>
      <c r="Y2039">
        <v>-0.1969554</v>
      </c>
      <c r="Z2039">
        <v>-2.7576430000000002E-3</v>
      </c>
      <c r="AA2039">
        <v>0.98040850000000002</v>
      </c>
      <c r="AB2039">
        <v>46</v>
      </c>
      <c r="AC2039">
        <v>-17.941500000000001</v>
      </c>
      <c r="AD2039">
        <v>-1.1121000309110001</v>
      </c>
      <c r="AE2039">
        <v>-4.6888000000000103</v>
      </c>
      <c r="AF2039">
        <v>-3.7338418160868501</v>
      </c>
      <c r="AG2039">
        <v>-1.1121000309110001</v>
      </c>
      <c r="AH2039">
        <v>18.096420650193998</v>
      </c>
      <c r="AI2039">
        <v>93.444269692180498</v>
      </c>
      <c r="AJ2039">
        <v>101.65825945055199</v>
      </c>
      <c r="AK2039">
        <v>18.511044852603</v>
      </c>
      <c r="AL2039">
        <v>79.393269943799794</v>
      </c>
      <c r="AM2039">
        <v>95.945940598758796</v>
      </c>
      <c r="AN2039">
        <v>0.99999996446336903</v>
      </c>
    </row>
    <row r="2040" spans="1:40" x14ac:dyDescent="0.25">
      <c r="A2040" t="str">
        <f>"20190312172657075"</f>
        <v>20190312172657075</v>
      </c>
      <c r="B2040" t="str">
        <f>"1552382817070337"</f>
        <v>1552382817070337</v>
      </c>
      <c r="C2040" t="s">
        <v>40</v>
      </c>
      <c r="D2040">
        <v>3.428267</v>
      </c>
      <c r="E2040">
        <v>0.46429359999999997</v>
      </c>
      <c r="F2040" t="s">
        <v>47</v>
      </c>
      <c r="G2040">
        <v>-486.00319999999999</v>
      </c>
      <c r="H2040" s="1">
        <v>2.9387010000000002E-6</v>
      </c>
      <c r="I2040">
        <v>280.81959999999998</v>
      </c>
      <c r="J2040">
        <v>-468.78339999999997</v>
      </c>
      <c r="K2040">
        <v>1.112754</v>
      </c>
      <c r="L2040">
        <v>285.3777</v>
      </c>
      <c r="M2040">
        <v>-0.99831590000000003</v>
      </c>
      <c r="N2040">
        <v>0</v>
      </c>
      <c r="O2040">
        <v>-5.5657669999999999E-2</v>
      </c>
      <c r="P2040">
        <v>-0.97347419999999996</v>
      </c>
      <c r="Q2040">
        <v>0.16776779999999999</v>
      </c>
      <c r="R2040">
        <v>-0.15557000000000001</v>
      </c>
      <c r="S2040">
        <v>-2.9923099999999998</v>
      </c>
      <c r="T2040">
        <v>-0.1877944</v>
      </c>
      <c r="U2040">
        <v>-0.77459719999999999</v>
      </c>
      <c r="V2040">
        <v>-0.1023704</v>
      </c>
      <c r="W2040">
        <v>0.18309790000000001</v>
      </c>
      <c r="X2040">
        <v>0.97775020000000001</v>
      </c>
      <c r="Y2040">
        <v>-0.19606689999999999</v>
      </c>
      <c r="Z2040">
        <v>-2.6208260000000001E-3</v>
      </c>
      <c r="AA2040">
        <v>0.98058699999999999</v>
      </c>
      <c r="AB2040">
        <v>46</v>
      </c>
      <c r="AC2040">
        <v>-17.219799999999999</v>
      </c>
      <c r="AD2040">
        <v>-1.1127510612989999</v>
      </c>
      <c r="AE2040">
        <v>-4.55810000000002</v>
      </c>
      <c r="AF2040">
        <v>-3.5785256941185799</v>
      </c>
      <c r="AG2040">
        <v>-1.1127510612989999</v>
      </c>
      <c r="AH2040">
        <v>17.379008387582701</v>
      </c>
      <c r="AI2040">
        <v>93.588477543939902</v>
      </c>
      <c r="AJ2040">
        <v>101.635198158382</v>
      </c>
      <c r="AK2040">
        <v>17.778469945514399</v>
      </c>
      <c r="AL2040">
        <v>79.449743981018401</v>
      </c>
      <c r="AM2040">
        <v>95.977088462433599</v>
      </c>
      <c r="AN2040">
        <v>0.99999999669030404</v>
      </c>
    </row>
    <row r="2041" spans="1:40" x14ac:dyDescent="0.25">
      <c r="A2041" t="str">
        <f>"20190312172657099"</f>
        <v>20190312172657099</v>
      </c>
      <c r="B2041" t="str">
        <f>"1552382817090832"</f>
        <v>1552382817090832</v>
      </c>
      <c r="C2041" t="s">
        <v>40</v>
      </c>
      <c r="D2041">
        <v>3.4903770000000001</v>
      </c>
      <c r="E2041">
        <v>0.46408149999999998</v>
      </c>
      <c r="F2041" t="s">
        <v>47</v>
      </c>
      <c r="G2041">
        <v>-485.8288</v>
      </c>
      <c r="H2041" s="1">
        <v>2.913158E-6</v>
      </c>
      <c r="I2041">
        <v>280.88130000000001</v>
      </c>
      <c r="J2041">
        <v>-469.26620000000003</v>
      </c>
      <c r="K2041">
        <v>1.1133869999999999</v>
      </c>
      <c r="L2041">
        <v>285.34750000000003</v>
      </c>
      <c r="M2041">
        <v>-0.99807939999999995</v>
      </c>
      <c r="N2041">
        <v>0</v>
      </c>
      <c r="O2041">
        <v>-5.9646490000000003E-2</v>
      </c>
      <c r="P2041">
        <v>-0.97264669999999998</v>
      </c>
      <c r="Q2041">
        <v>0.1678675</v>
      </c>
      <c r="R2041">
        <v>-0.1605588</v>
      </c>
      <c r="S2041">
        <v>-2.9893800000000001</v>
      </c>
      <c r="T2041">
        <v>-0.19515160000000001</v>
      </c>
      <c r="U2041">
        <v>-0.788574199999999</v>
      </c>
      <c r="V2041">
        <v>-0.103741</v>
      </c>
      <c r="W2041">
        <v>0.18340680000000001</v>
      </c>
      <c r="X2041">
        <v>0.97754779999999997</v>
      </c>
      <c r="Y2041">
        <v>-0.196659</v>
      </c>
      <c r="Z2041">
        <v>-2.4888449999999999E-3</v>
      </c>
      <c r="AA2041">
        <v>0.98046880000000003</v>
      </c>
      <c r="AB2041">
        <v>46</v>
      </c>
      <c r="AC2041">
        <v>-16.5625999999999</v>
      </c>
      <c r="AD2041">
        <v>-1.113384086842</v>
      </c>
      <c r="AE2041">
        <v>-4.4662000000000104</v>
      </c>
      <c r="AF2041">
        <v>-3.4556495630299602</v>
      </c>
      <c r="AG2041">
        <v>-1.113384086842</v>
      </c>
      <c r="AH2041">
        <v>16.729060869996101</v>
      </c>
      <c r="AI2041">
        <v>93.729141975909698</v>
      </c>
      <c r="AJ2041">
        <v>101.671187727107</v>
      </c>
      <c r="AK2041">
        <v>17.118487538896002</v>
      </c>
      <c r="AL2041">
        <v>79.431740212573203</v>
      </c>
      <c r="AM2041">
        <v>96.057767285175103</v>
      </c>
      <c r="AN2041">
        <v>0.99999997532603901</v>
      </c>
    </row>
    <row r="2042" spans="1:40" x14ac:dyDescent="0.25">
      <c r="A2042" t="str">
        <f>"20190312172657120"</f>
        <v>20190312172657120</v>
      </c>
      <c r="B2042" t="str">
        <f>"1552382817110353"</f>
        <v>1552382817110353</v>
      </c>
      <c r="C2042" t="s">
        <v>40</v>
      </c>
      <c r="D2042">
        <v>3.4297219999999999</v>
      </c>
      <c r="E2042">
        <v>0.46402520000000003</v>
      </c>
      <c r="F2042" t="s">
        <v>47</v>
      </c>
      <c r="G2042">
        <v>-486.16770000000002</v>
      </c>
      <c r="H2042" s="1">
        <v>2.9645350000000001E-6</v>
      </c>
      <c r="I2042">
        <v>280.78129999999999</v>
      </c>
      <c r="J2042">
        <v>-469.69529999999997</v>
      </c>
      <c r="K2042">
        <v>1.11395</v>
      </c>
      <c r="L2042">
        <v>285.31880000000001</v>
      </c>
      <c r="M2042">
        <v>-0.99782409999999999</v>
      </c>
      <c r="N2042">
        <v>0</v>
      </c>
      <c r="O2042">
        <v>-6.3691120000000004E-2</v>
      </c>
      <c r="P2042">
        <v>-0.97143170000000001</v>
      </c>
      <c r="Q2042">
        <v>0.1696001</v>
      </c>
      <c r="R2042">
        <v>-0.1660016</v>
      </c>
      <c r="S2042">
        <v>-2.9851990000000002</v>
      </c>
      <c r="T2042">
        <v>-0.1966492</v>
      </c>
      <c r="U2042">
        <v>-0.80648799999999998</v>
      </c>
      <c r="V2042">
        <v>-0.1055253</v>
      </c>
      <c r="W2042">
        <v>0.18529689999999999</v>
      </c>
      <c r="X2042">
        <v>0.97700019999999999</v>
      </c>
      <c r="Y2042">
        <v>-0.1985151</v>
      </c>
      <c r="Z2042">
        <v>-2.3094629999999999E-3</v>
      </c>
      <c r="AA2042">
        <v>0.9800951</v>
      </c>
      <c r="AB2042">
        <v>46</v>
      </c>
      <c r="AC2042">
        <v>-16.4724</v>
      </c>
      <c r="AD2042">
        <v>-1.1139470354650001</v>
      </c>
      <c r="AE2042">
        <v>-4.5375000000000201</v>
      </c>
      <c r="AF2042">
        <v>-3.4642613693082098</v>
      </c>
      <c r="AG2042">
        <v>-1.1139470354650001</v>
      </c>
      <c r="AH2042">
        <v>16.6571828190663</v>
      </c>
      <c r="AI2042">
        <v>93.746030662811805</v>
      </c>
      <c r="AJ2042">
        <v>101.748557068084</v>
      </c>
      <c r="AK2042">
        <v>17.050035903202701</v>
      </c>
      <c r="AL2042">
        <v>79.321556770808499</v>
      </c>
      <c r="AM2042">
        <v>96.164590296744706</v>
      </c>
      <c r="AN2042">
        <v>0.99999996044486905</v>
      </c>
    </row>
    <row r="2043" spans="1:40" x14ac:dyDescent="0.25">
      <c r="A2043" t="str">
        <f>"20190312172657140"</f>
        <v>20190312172657140</v>
      </c>
      <c r="B2043" t="str">
        <f>"1552382817130849"</f>
        <v>1552382817130849</v>
      </c>
      <c r="C2043" t="s">
        <v>40</v>
      </c>
      <c r="D2043">
        <v>3.450475</v>
      </c>
      <c r="E2043">
        <v>0.46394839999999998</v>
      </c>
      <c r="F2043" t="s">
        <v>47</v>
      </c>
      <c r="G2043">
        <v>-487.06400000000002</v>
      </c>
      <c r="H2043" s="1">
        <v>3.1001289999999999E-6</v>
      </c>
      <c r="I2043">
        <v>280.51389999999998</v>
      </c>
      <c r="J2043">
        <v>-470.10489999999999</v>
      </c>
      <c r="K2043">
        <v>1.1144860000000001</v>
      </c>
      <c r="L2043">
        <v>285.28919999999999</v>
      </c>
      <c r="M2043">
        <v>-0.99753420000000004</v>
      </c>
      <c r="N2043">
        <v>0</v>
      </c>
      <c r="O2043">
        <v>-6.8010950000000001E-2</v>
      </c>
      <c r="P2043">
        <v>-0.9698618</v>
      </c>
      <c r="Q2043">
        <v>0.1721338</v>
      </c>
      <c r="R2043">
        <v>-0.17244809999999999</v>
      </c>
      <c r="S2043">
        <v>-2.9806819999999998</v>
      </c>
      <c r="T2043">
        <v>-0.19116749999999999</v>
      </c>
      <c r="U2043">
        <v>-0.82458500000000001</v>
      </c>
      <c r="V2043">
        <v>-0.1080748</v>
      </c>
      <c r="W2043">
        <v>0.18794369999999999</v>
      </c>
      <c r="X2043">
        <v>0.97621570000000002</v>
      </c>
      <c r="Y2043">
        <v>-0.20020080000000001</v>
      </c>
      <c r="Z2043">
        <v>-2.0298349999999998E-3</v>
      </c>
      <c r="AA2043">
        <v>0.97975279999999998</v>
      </c>
      <c r="AB2043">
        <v>46</v>
      </c>
      <c r="AC2043">
        <v>-16.959099999999999</v>
      </c>
      <c r="AD2043">
        <v>-1.1144828998709999</v>
      </c>
      <c r="AE2043">
        <v>-4.7753000000000103</v>
      </c>
      <c r="AF2043">
        <v>-3.5962723736864102</v>
      </c>
      <c r="AG2043">
        <v>-1.1144828998709999</v>
      </c>
      <c r="AH2043">
        <v>17.175915531064</v>
      </c>
      <c r="AI2043">
        <v>93.633928752703596</v>
      </c>
      <c r="AJ2043">
        <v>101.825685375839</v>
      </c>
      <c r="AK2043">
        <v>17.583723196470299</v>
      </c>
      <c r="AL2043">
        <v>79.167195350195797</v>
      </c>
      <c r="AM2043">
        <v>96.317370751894401</v>
      </c>
      <c r="AN2043">
        <v>1.0000000448455999</v>
      </c>
    </row>
    <row r="2044" spans="1:40" x14ac:dyDescent="0.25">
      <c r="A2044" t="str">
        <f>"20190312172657163"</f>
        <v>20190312172657163</v>
      </c>
      <c r="B2044" t="str">
        <f>"1552382817150370"</f>
        <v>1552382817150370</v>
      </c>
      <c r="C2044" t="s">
        <v>40</v>
      </c>
      <c r="D2044">
        <v>3.4199769999999998</v>
      </c>
      <c r="E2044">
        <v>0.46382030000000002</v>
      </c>
      <c r="F2044" t="s">
        <v>47</v>
      </c>
      <c r="G2044">
        <v>-488.13049999999998</v>
      </c>
      <c r="H2044" s="1">
        <v>3.2591599999999998E-6</v>
      </c>
      <c r="I2044">
        <v>280.16890000000001</v>
      </c>
      <c r="J2044">
        <v>-470.56020000000001</v>
      </c>
      <c r="K2044">
        <v>1.115078</v>
      </c>
      <c r="L2044">
        <v>285.25409999999999</v>
      </c>
      <c r="M2044">
        <v>-0.99715220000000004</v>
      </c>
      <c r="N2044">
        <v>0</v>
      </c>
      <c r="O2044">
        <v>-7.3327610000000001E-2</v>
      </c>
      <c r="P2044">
        <v>-0.96817589999999998</v>
      </c>
      <c r="Q2044">
        <v>0.1733566</v>
      </c>
      <c r="R2044">
        <v>-0.1805069</v>
      </c>
      <c r="S2044">
        <v>-2.9755859999999998</v>
      </c>
      <c r="T2044">
        <v>-0.18397440000000001</v>
      </c>
      <c r="U2044">
        <v>-0.84524539999999904</v>
      </c>
      <c r="V2044">
        <v>-0.1112895</v>
      </c>
      <c r="W2044">
        <v>0.1892624</v>
      </c>
      <c r="X2044">
        <v>0.97559949999999995</v>
      </c>
      <c r="Y2044">
        <v>-0.20174</v>
      </c>
      <c r="Z2044">
        <v>-1.68194E-3</v>
      </c>
      <c r="AA2044">
        <v>0.97943760000000002</v>
      </c>
      <c r="AB2044">
        <v>46</v>
      </c>
      <c r="AC2044">
        <v>-17.5702999999999</v>
      </c>
      <c r="AD2044">
        <v>-1.1150747408399999</v>
      </c>
      <c r="AE2044">
        <v>-5.08519999999998</v>
      </c>
      <c r="AF2044">
        <v>-3.7689111661860801</v>
      </c>
      <c r="AG2044">
        <v>-1.1150747408399999</v>
      </c>
      <c r="AH2044">
        <v>17.829666867420599</v>
      </c>
      <c r="AI2044">
        <v>93.501466131183093</v>
      </c>
      <c r="AJ2044">
        <v>101.93572095630699</v>
      </c>
      <c r="AK2044">
        <v>18.257740924316401</v>
      </c>
      <c r="AL2044">
        <v>79.090258118706203</v>
      </c>
      <c r="AM2044">
        <v>96.507767384651004</v>
      </c>
      <c r="AN2044">
        <v>0.99999999663213002</v>
      </c>
    </row>
    <row r="2045" spans="1:40" x14ac:dyDescent="0.25">
      <c r="A2045" t="str">
        <f>"20190312172657185"</f>
        <v>20190312172657185</v>
      </c>
      <c r="B2045" t="str">
        <f>"1552382817180625"</f>
        <v>1552382817180625</v>
      </c>
      <c r="C2045" t="s">
        <v>40</v>
      </c>
      <c r="D2045">
        <v>3.6222989999999999</v>
      </c>
      <c r="E2045">
        <v>0.46252799999999999</v>
      </c>
      <c r="F2045" t="s">
        <v>47</v>
      </c>
      <c r="G2045">
        <v>-488.82069999999999</v>
      </c>
      <c r="H2045" s="1">
        <v>3.3574939999999999E-6</v>
      </c>
      <c r="I2045">
        <v>279.89330000000001</v>
      </c>
      <c r="J2045">
        <v>-471.01350000000002</v>
      </c>
      <c r="K2045">
        <v>1.1156649999999999</v>
      </c>
      <c r="L2045">
        <v>285.21620000000001</v>
      </c>
      <c r="M2045">
        <v>-0.99670219999999998</v>
      </c>
      <c r="N2045">
        <v>0</v>
      </c>
      <c r="O2045">
        <v>-7.9147410000000001E-2</v>
      </c>
      <c r="P2045">
        <v>-0.96613910000000003</v>
      </c>
      <c r="Q2045">
        <v>0.1750961</v>
      </c>
      <c r="R2045">
        <v>-0.18951779999999999</v>
      </c>
      <c r="S2045">
        <v>-2.9685969999999999</v>
      </c>
      <c r="T2045">
        <v>-0.18127760000000001</v>
      </c>
      <c r="U2045">
        <v>-0.87149049999999995</v>
      </c>
      <c r="V2045">
        <v>-0.11500299999999999</v>
      </c>
      <c r="W2045">
        <v>0.1910577</v>
      </c>
      <c r="X2045">
        <v>0.97481859999999998</v>
      </c>
      <c r="Y2045">
        <v>-0.20462959999999999</v>
      </c>
      <c r="Z2045">
        <v>-1.4006029999999901E-3</v>
      </c>
      <c r="AA2045">
        <v>0.9788384</v>
      </c>
      <c r="AB2045">
        <v>46</v>
      </c>
      <c r="AC2045">
        <v>-17.807199999999899</v>
      </c>
      <c r="AD2045">
        <v>-1.115661642506</v>
      </c>
      <c r="AE2045">
        <v>-5.3228999999999997</v>
      </c>
      <c r="AF2045">
        <v>-3.88258640179109</v>
      </c>
      <c r="AG2045">
        <v>-1.115661642506</v>
      </c>
      <c r="AH2045">
        <v>18.107433505968199</v>
      </c>
      <c r="AI2045">
        <v>93.447568123815401</v>
      </c>
      <c r="AJ2045">
        <v>102.102084383521</v>
      </c>
      <c r="AK2045">
        <v>18.5525827377482</v>
      </c>
      <c r="AL2045">
        <v>78.985483419252006</v>
      </c>
      <c r="AM2045">
        <v>96.728298259768195</v>
      </c>
      <c r="AN2045">
        <v>1.0000000188221201</v>
      </c>
    </row>
    <row r="2046" spans="1:40" x14ac:dyDescent="0.25">
      <c r="A2046" t="str">
        <f>"20190312172657206"</f>
        <v>20190312172657206</v>
      </c>
      <c r="B2046" t="str">
        <f>"1552382817201122"</f>
        <v>1552382817201122</v>
      </c>
      <c r="C2046" t="s">
        <v>40</v>
      </c>
      <c r="D2046">
        <v>3.4913240000000001</v>
      </c>
      <c r="E2046">
        <v>0.46078180000000002</v>
      </c>
      <c r="F2046" t="s">
        <v>47</v>
      </c>
      <c r="G2046">
        <v>-489.47910000000002</v>
      </c>
      <c r="H2046" s="1">
        <v>3.424355E-6</v>
      </c>
      <c r="I2046">
        <v>279.54360000000003</v>
      </c>
      <c r="J2046">
        <v>-471.44670000000002</v>
      </c>
      <c r="K2046">
        <v>1.1162099999999999</v>
      </c>
      <c r="L2046">
        <v>285.1773</v>
      </c>
      <c r="M2046">
        <v>-0.99619970000000002</v>
      </c>
      <c r="N2046">
        <v>0</v>
      </c>
      <c r="O2046">
        <v>-8.518887E-2</v>
      </c>
      <c r="P2046">
        <v>-0.9642442</v>
      </c>
      <c r="Q2046">
        <v>0.1752155</v>
      </c>
      <c r="R2046">
        <v>-0.1988287</v>
      </c>
      <c r="S2046">
        <v>-2.9592589999999999</v>
      </c>
      <c r="T2046">
        <v>-0.1787937</v>
      </c>
      <c r="U2046">
        <v>-0.90908809999999995</v>
      </c>
      <c r="V2046">
        <v>-0.1187624</v>
      </c>
      <c r="W2046">
        <v>0.19120419999999999</v>
      </c>
      <c r="X2046">
        <v>0.97433890000000001</v>
      </c>
      <c r="Y2046">
        <v>-0.21093439999999999</v>
      </c>
      <c r="Z2046">
        <v>-1.216265E-3</v>
      </c>
      <c r="AA2046">
        <v>0.97749949999999997</v>
      </c>
      <c r="AB2046">
        <v>46</v>
      </c>
      <c r="AC2046">
        <v>-18.032399999999999</v>
      </c>
      <c r="AD2046">
        <v>-1.1162065756449999</v>
      </c>
      <c r="AE2046">
        <v>-5.63369999999997</v>
      </c>
      <c r="AF2046">
        <v>-4.0626190611467798</v>
      </c>
      <c r="AG2046">
        <v>-1.1162065756449999</v>
      </c>
      <c r="AH2046">
        <v>18.3826631682862</v>
      </c>
      <c r="AI2046">
        <v>93.3930915855602</v>
      </c>
      <c r="AJ2046">
        <v>102.462207804903</v>
      </c>
      <c r="AK2046">
        <v>18.8592973335215</v>
      </c>
      <c r="AL2046">
        <v>78.976930866692399</v>
      </c>
      <c r="AM2046">
        <v>96.949514637099995</v>
      </c>
      <c r="AN2046">
        <v>0.999999922902302</v>
      </c>
    </row>
    <row r="2047" spans="1:40" x14ac:dyDescent="0.25">
      <c r="A2047" t="str">
        <f>"20190312172657229"</f>
        <v>20190312172657229</v>
      </c>
      <c r="B2047" t="str">
        <f>"1552382817220936"</f>
        <v>1552382817220936</v>
      </c>
      <c r="C2047" t="s">
        <v>40</v>
      </c>
      <c r="D2047">
        <v>3.321793</v>
      </c>
      <c r="E2047">
        <v>0.4593526</v>
      </c>
      <c r="F2047" t="s">
        <v>47</v>
      </c>
      <c r="G2047">
        <v>-489.6832</v>
      </c>
      <c r="H2047" s="1">
        <v>3.3720329999999999E-6</v>
      </c>
      <c r="I2047">
        <v>279.29320000000001</v>
      </c>
      <c r="J2047">
        <v>-471.89389999999997</v>
      </c>
      <c r="K2047">
        <v>1.1167560000000001</v>
      </c>
      <c r="L2047">
        <v>285.13389999999998</v>
      </c>
      <c r="M2047">
        <v>-0.99559770000000003</v>
      </c>
      <c r="N2047">
        <v>0</v>
      </c>
      <c r="O2047">
        <v>-9.1913170000000002E-2</v>
      </c>
      <c r="P2047">
        <v>-0.96240000000000003</v>
      </c>
      <c r="Q2047">
        <v>0.17432919999999999</v>
      </c>
      <c r="R2047">
        <v>-0.20831640000000001</v>
      </c>
      <c r="S2047">
        <v>-2.947845</v>
      </c>
      <c r="T2047">
        <v>-0.1804299</v>
      </c>
      <c r="U2047">
        <v>-0.95114140000000003</v>
      </c>
      <c r="V2047">
        <v>-0.1220156</v>
      </c>
      <c r="W2047">
        <v>0.19033120000000001</v>
      </c>
      <c r="X2047">
        <v>0.97410790000000003</v>
      </c>
      <c r="Y2047">
        <v>-0.21806790000000001</v>
      </c>
      <c r="Z2047">
        <v>-1.0456529999999999E-3</v>
      </c>
      <c r="AA2047">
        <v>0.97593300000000005</v>
      </c>
      <c r="AB2047">
        <v>45</v>
      </c>
      <c r="AC2047">
        <v>-17.789300000000001</v>
      </c>
      <c r="AD2047">
        <v>-1.1167526279669999</v>
      </c>
      <c r="AE2047">
        <v>-5.8406999999999698</v>
      </c>
      <c r="AF2047">
        <v>-4.1658018999111697</v>
      </c>
      <c r="AG2047">
        <v>-1.1167526279669999</v>
      </c>
      <c r="AH2047">
        <v>18.186204649984099</v>
      </c>
      <c r="AI2047">
        <v>93.425427435501604</v>
      </c>
      <c r="AJ2047">
        <v>102.901811064361</v>
      </c>
      <c r="AK2047">
        <v>18.690614796535701</v>
      </c>
      <c r="AL2047">
        <v>79.027886573381096</v>
      </c>
      <c r="AM2047">
        <v>97.139616680520106</v>
      </c>
      <c r="AN2047">
        <v>0.99999998658960498</v>
      </c>
    </row>
    <row r="2048" spans="1:40" x14ac:dyDescent="0.25">
      <c r="A2048" t="str">
        <f>"20190312172657251"</f>
        <v>20190312172657251</v>
      </c>
      <c r="B2048" t="str">
        <f>"1552382817240457"</f>
        <v>1552382817240457</v>
      </c>
      <c r="C2048" t="s">
        <v>40</v>
      </c>
      <c r="D2048">
        <v>3.4368270000000001</v>
      </c>
      <c r="E2048">
        <v>0.45830480000000001</v>
      </c>
      <c r="F2048" t="s">
        <v>47</v>
      </c>
      <c r="G2048">
        <v>-489.62240000000003</v>
      </c>
      <c r="H2048" s="1">
        <v>3.3106180000000002E-6</v>
      </c>
      <c r="I2048">
        <v>279.1499</v>
      </c>
      <c r="J2048">
        <v>-472.33699999999999</v>
      </c>
      <c r="K2048">
        <v>1.117265</v>
      </c>
      <c r="L2048">
        <v>285.08749999999998</v>
      </c>
      <c r="M2048">
        <v>-0.99490889999999998</v>
      </c>
      <c r="N2048">
        <v>0</v>
      </c>
      <c r="O2048">
        <v>-9.9052089999999995E-2</v>
      </c>
      <c r="P2048">
        <v>-0.96061960000000002</v>
      </c>
      <c r="Q2048">
        <v>0.17241339999999999</v>
      </c>
      <c r="R2048">
        <v>-0.2179072</v>
      </c>
      <c r="S2048">
        <v>-2.936188</v>
      </c>
      <c r="T2048">
        <v>-0.18495539999999999</v>
      </c>
      <c r="U2048">
        <v>-0.99105829999999995</v>
      </c>
      <c r="V2048">
        <v>-0.12493070000000001</v>
      </c>
      <c r="W2048">
        <v>0.1884149</v>
      </c>
      <c r="X2048">
        <v>0.97411099999999995</v>
      </c>
      <c r="Y2048">
        <v>-0.22414539999999999</v>
      </c>
      <c r="Z2048">
        <v>-8.282335E-4</v>
      </c>
      <c r="AA2048">
        <v>0.97455539999999996</v>
      </c>
      <c r="AB2048">
        <v>45</v>
      </c>
      <c r="AC2048">
        <v>-17.285399999999999</v>
      </c>
      <c r="AD2048">
        <v>-1.117261689382</v>
      </c>
      <c r="AE2048">
        <v>-5.9375999999999696</v>
      </c>
      <c r="AF2048">
        <v>-4.18031845479294</v>
      </c>
      <c r="AG2048">
        <v>-1.117261689382</v>
      </c>
      <c r="AH2048">
        <v>17.722371787694499</v>
      </c>
      <c r="AI2048">
        <v>93.511187007289905</v>
      </c>
      <c r="AJ2048">
        <v>103.272217396374</v>
      </c>
      <c r="AK2048">
        <v>18.242965708659199</v>
      </c>
      <c r="AL2048">
        <v>79.139706510082107</v>
      </c>
      <c r="AM2048">
        <v>97.308344706995101</v>
      </c>
      <c r="AN2048">
        <v>1.0000000473327399</v>
      </c>
    </row>
    <row r="2049" spans="1:40" x14ac:dyDescent="0.25">
      <c r="A2049" t="str">
        <f>"20190312172657274"</f>
        <v>20190312172657274</v>
      </c>
      <c r="B2049" t="str">
        <f>"1552382817270712"</f>
        <v>1552382817270712</v>
      </c>
      <c r="C2049" t="s">
        <v>40</v>
      </c>
      <c r="D2049">
        <v>3.464035</v>
      </c>
      <c r="E2049">
        <v>0.45694509999999999</v>
      </c>
      <c r="F2049" t="s">
        <v>47</v>
      </c>
      <c r="G2049">
        <v>-489.2697</v>
      </c>
      <c r="H2049" s="1">
        <v>3.2414800000000001E-6</v>
      </c>
      <c r="I2049">
        <v>279.13130000000001</v>
      </c>
      <c r="J2049">
        <v>-472.78429999999997</v>
      </c>
      <c r="K2049">
        <v>1.117742</v>
      </c>
      <c r="L2049">
        <v>285.03699999999998</v>
      </c>
      <c r="M2049">
        <v>-0.99411859999999996</v>
      </c>
      <c r="N2049">
        <v>0</v>
      </c>
      <c r="O2049">
        <v>-0.1066594</v>
      </c>
      <c r="P2049">
        <v>-0.95875410000000005</v>
      </c>
      <c r="Q2049">
        <v>0.17041519999999999</v>
      </c>
      <c r="R2049">
        <v>-0.22748470000000001</v>
      </c>
      <c r="S2049">
        <v>-2.9242859999999999</v>
      </c>
      <c r="T2049">
        <v>-0.19295129999999999</v>
      </c>
      <c r="U2049">
        <v>-1.0286249999999999</v>
      </c>
      <c r="V2049">
        <v>-0.12736040000000001</v>
      </c>
      <c r="W2049">
        <v>0.18641160000000001</v>
      </c>
      <c r="X2049">
        <v>0.97418170000000004</v>
      </c>
      <c r="Y2049">
        <v>-0.22906029999999999</v>
      </c>
      <c r="Z2049">
        <v>-5.4303979999999999E-4</v>
      </c>
      <c r="AA2049">
        <v>0.9734121</v>
      </c>
      <c r="AB2049">
        <v>45</v>
      </c>
      <c r="AC2049">
        <v>-16.485399999999998</v>
      </c>
      <c r="AD2049">
        <v>-1.11773875852</v>
      </c>
      <c r="AE2049">
        <v>-5.9057000000000199</v>
      </c>
      <c r="AF2049">
        <v>-4.0966765884521097</v>
      </c>
      <c r="AG2049">
        <v>-1.11773875852</v>
      </c>
      <c r="AH2049">
        <v>16.952269889732399</v>
      </c>
      <c r="AI2049">
        <v>93.667049313833601</v>
      </c>
      <c r="AJ2049">
        <v>103.585601722428</v>
      </c>
      <c r="AK2049">
        <v>17.4760279645289</v>
      </c>
      <c r="AL2049">
        <v>79.256556791294997</v>
      </c>
      <c r="AM2049">
        <v>97.448364441313103</v>
      </c>
      <c r="AN2049">
        <v>0.99999997035880395</v>
      </c>
    </row>
    <row r="2050" spans="1:40" x14ac:dyDescent="0.25">
      <c r="A2050" t="str">
        <f>"20190312172657297"</f>
        <v>20190312172657297</v>
      </c>
      <c r="B2050" t="str">
        <f>"1552382817291208"</f>
        <v>1552382817291208</v>
      </c>
      <c r="C2050" t="s">
        <v>40</v>
      </c>
      <c r="D2050">
        <v>3.4295930000000001</v>
      </c>
      <c r="E2050">
        <v>0.45621289999999998</v>
      </c>
      <c r="F2050" t="s">
        <v>47</v>
      </c>
      <c r="G2050">
        <v>-488.97590000000002</v>
      </c>
      <c r="H2050" s="1">
        <v>3.176523E-6</v>
      </c>
      <c r="I2050">
        <v>279.09500000000003</v>
      </c>
      <c r="J2050">
        <v>-473.23180000000002</v>
      </c>
      <c r="K2050">
        <v>1.11819</v>
      </c>
      <c r="L2050">
        <v>284.98289999999997</v>
      </c>
      <c r="M2050">
        <v>-0.99322460000000001</v>
      </c>
      <c r="N2050">
        <v>0</v>
      </c>
      <c r="O2050">
        <v>-0.1146605</v>
      </c>
      <c r="P2050">
        <v>-0.95655469999999998</v>
      </c>
      <c r="Q2050">
        <v>0.16956360000000001</v>
      </c>
      <c r="R2050">
        <v>-0.23717340000000001</v>
      </c>
      <c r="S2050">
        <v>-2.9112849999999999</v>
      </c>
      <c r="T2050">
        <v>-0.20097180000000001</v>
      </c>
      <c r="U2050">
        <v>-1.06839</v>
      </c>
      <c r="V2050">
        <v>-0.12955449999999999</v>
      </c>
      <c r="W2050">
        <v>0.1855387</v>
      </c>
      <c r="X2050">
        <v>0.97405900000000001</v>
      </c>
      <c r="Y2050">
        <v>-0.23433319999999999</v>
      </c>
      <c r="Z2050">
        <v>-2.1725100000000001E-4</v>
      </c>
      <c r="AA2050">
        <v>0.97215629999999997</v>
      </c>
      <c r="AB2050">
        <v>45</v>
      </c>
      <c r="AC2050">
        <v>-15.7441</v>
      </c>
      <c r="AD2050">
        <v>-1.118186823477</v>
      </c>
      <c r="AE2050">
        <v>-5.8878999999999397</v>
      </c>
      <c r="AF2050">
        <v>-4.0256894431868</v>
      </c>
      <c r="AG2050">
        <v>-1.118186823477</v>
      </c>
      <c r="AH2050">
        <v>16.243573935104902</v>
      </c>
      <c r="AI2050">
        <v>93.8226672728685</v>
      </c>
      <c r="AJ2050">
        <v>103.919313579205</v>
      </c>
      <c r="AK2050">
        <v>16.772304893794502</v>
      </c>
      <c r="AL2050">
        <v>79.307458136115997</v>
      </c>
      <c r="AM2050">
        <v>97.5761464962996</v>
      </c>
      <c r="AN2050">
        <v>0.99999995657446905</v>
      </c>
    </row>
    <row r="2051" spans="1:40" x14ac:dyDescent="0.25">
      <c r="A2051" t="str">
        <f>"20190312172657319"</f>
        <v>20190312172657319</v>
      </c>
      <c r="B2051" t="str">
        <f>"1552382817311237"</f>
        <v>1552382817311237</v>
      </c>
      <c r="C2051" t="s">
        <v>40</v>
      </c>
      <c r="D2051">
        <v>3.4997129999999999</v>
      </c>
      <c r="E2051">
        <v>0.45555079999999998</v>
      </c>
      <c r="F2051" t="s">
        <v>47</v>
      </c>
      <c r="G2051">
        <v>-489.03179999999998</v>
      </c>
      <c r="H2051" s="1">
        <v>3.1421470000000002E-6</v>
      </c>
      <c r="I2051">
        <v>278.96969999999999</v>
      </c>
      <c r="J2051">
        <v>-473.6721</v>
      </c>
      <c r="K2051">
        <v>1.1186119999999999</v>
      </c>
      <c r="L2051">
        <v>284.92599999999999</v>
      </c>
      <c r="M2051">
        <v>-0.99223470000000002</v>
      </c>
      <c r="N2051">
        <v>0</v>
      </c>
      <c r="O2051">
        <v>-0.122909199999999</v>
      </c>
      <c r="P2051">
        <v>-0.95414960000000004</v>
      </c>
      <c r="Q2051">
        <v>0.16937469999999999</v>
      </c>
      <c r="R2051">
        <v>-0.2468014</v>
      </c>
      <c r="S2051">
        <v>-2.8990480000000001</v>
      </c>
      <c r="T2051">
        <v>-0.20516980000000001</v>
      </c>
      <c r="U2051">
        <v>-1.1033329999999999</v>
      </c>
      <c r="V2051">
        <v>-0.13147110000000001</v>
      </c>
      <c r="W2051">
        <v>0.18531610000000001</v>
      </c>
      <c r="X2051">
        <v>0.97384459999999995</v>
      </c>
      <c r="Y2051">
        <v>-0.23785580000000001</v>
      </c>
      <c r="Z2051">
        <v>2.105962E-4</v>
      </c>
      <c r="AA2051">
        <v>0.97130050000000001</v>
      </c>
      <c r="AB2051">
        <v>45</v>
      </c>
      <c r="AC2051">
        <v>-15.359699999999901</v>
      </c>
      <c r="AD2051">
        <v>-1.118608857853</v>
      </c>
      <c r="AE2051">
        <v>-5.9562999999999899</v>
      </c>
      <c r="AF2051">
        <v>-4.0044679126209299</v>
      </c>
      <c r="AG2051">
        <v>-1.118608857853</v>
      </c>
      <c r="AH2051">
        <v>15.9020992456422</v>
      </c>
      <c r="AI2051">
        <v>93.902322127795301</v>
      </c>
      <c r="AJ2051">
        <v>104.134350000005</v>
      </c>
      <c r="AK2051">
        <v>16.436660532429698</v>
      </c>
      <c r="AL2051">
        <v>79.320437795729603</v>
      </c>
      <c r="AM2051">
        <v>97.688567897719196</v>
      </c>
      <c r="AN2051">
        <v>1.00000000600179</v>
      </c>
    </row>
    <row r="2052" spans="1:40" x14ac:dyDescent="0.25">
      <c r="A2052" t="str">
        <f>"20190312172657340"</f>
        <v>20190312172657340</v>
      </c>
      <c r="B2052" t="str">
        <f>"1552382817330756"</f>
        <v>1552382817330756</v>
      </c>
      <c r="C2052" t="s">
        <v>40</v>
      </c>
      <c r="D2052">
        <v>3.3733689999999998</v>
      </c>
      <c r="E2052">
        <v>0.45495780000000002</v>
      </c>
      <c r="F2052" t="s">
        <v>47</v>
      </c>
      <c r="G2052">
        <v>-489.25909999999999</v>
      </c>
      <c r="H2052" s="1">
        <v>3.1146499999999999E-6</v>
      </c>
      <c r="I2052">
        <v>278.77789999999999</v>
      </c>
      <c r="J2052">
        <v>-474.1003</v>
      </c>
      <c r="K2052">
        <v>1.1190040000000001</v>
      </c>
      <c r="L2052">
        <v>284.86689999999999</v>
      </c>
      <c r="M2052">
        <v>-0.99115850000000005</v>
      </c>
      <c r="N2052">
        <v>0</v>
      </c>
      <c r="O2052">
        <v>-0.13128809999999999</v>
      </c>
      <c r="P2052">
        <v>-0.95177730000000005</v>
      </c>
      <c r="Q2052">
        <v>0.16911499999999999</v>
      </c>
      <c r="R2052">
        <v>-0.25596989999999997</v>
      </c>
      <c r="S2052">
        <v>-2.8864139999999998</v>
      </c>
      <c r="T2052">
        <v>-0.20714579999999999</v>
      </c>
      <c r="U2052">
        <v>-1.1385190000000001</v>
      </c>
      <c r="V2052">
        <v>-0.13278980000000001</v>
      </c>
      <c r="W2052">
        <v>0.1850242</v>
      </c>
      <c r="X2052">
        <v>0.97372110000000001</v>
      </c>
      <c r="Y2052">
        <v>-0.24135480000000001</v>
      </c>
      <c r="Z2052">
        <v>6.5919660000000001E-4</v>
      </c>
      <c r="AA2052">
        <v>0.97043679999999999</v>
      </c>
      <c r="AB2052">
        <v>45</v>
      </c>
      <c r="AC2052">
        <v>-15.1587999999999</v>
      </c>
      <c r="AD2052">
        <v>-1.11900088535</v>
      </c>
      <c r="AE2052">
        <v>-6.0889999999999898</v>
      </c>
      <c r="AF2052">
        <v>-4.0268446380064304</v>
      </c>
      <c r="AG2052">
        <v>-1.11900088535</v>
      </c>
      <c r="AH2052">
        <v>15.7531854240453</v>
      </c>
      <c r="AI2052">
        <v>93.936913712353501</v>
      </c>
      <c r="AJ2052">
        <v>104.33895390595001</v>
      </c>
      <c r="AK2052">
        <v>16.298174490549801</v>
      </c>
      <c r="AL2052">
        <v>79.337455964812904</v>
      </c>
      <c r="AM2052">
        <v>97.765723477809701</v>
      </c>
      <c r="AN2052">
        <v>0.99999993307744195</v>
      </c>
    </row>
    <row r="2053" spans="1:40" x14ac:dyDescent="0.25">
      <c r="A2053" t="str">
        <f>"20190312172657362"</f>
        <v>20190312172657362</v>
      </c>
      <c r="B2053" t="str">
        <f>"1552382817351253"</f>
        <v>1552382817351253</v>
      </c>
      <c r="C2053" t="s">
        <v>40</v>
      </c>
      <c r="D2053">
        <v>3.3999609999999998</v>
      </c>
      <c r="E2053">
        <v>0.45449240000000002</v>
      </c>
      <c r="F2053" t="s">
        <v>47</v>
      </c>
      <c r="G2053">
        <v>-489.53250000000003</v>
      </c>
      <c r="H2053" s="1">
        <v>3.093252E-6</v>
      </c>
      <c r="I2053">
        <v>278.58010000000002</v>
      </c>
      <c r="J2053">
        <v>-474.53210000000001</v>
      </c>
      <c r="K2053">
        <v>1.119397</v>
      </c>
      <c r="L2053">
        <v>284.80340000000001</v>
      </c>
      <c r="M2053">
        <v>-0.98994859999999896</v>
      </c>
      <c r="N2053">
        <v>0</v>
      </c>
      <c r="O2053">
        <v>-0.1401029</v>
      </c>
      <c r="P2053">
        <v>-0.94918849999999999</v>
      </c>
      <c r="Q2053">
        <v>0.1694484</v>
      </c>
      <c r="R2053">
        <v>-0.26519599999999999</v>
      </c>
      <c r="S2053">
        <v>-2.8741460000000001</v>
      </c>
      <c r="T2053">
        <v>-0.20840610000000001</v>
      </c>
      <c r="U2053">
        <v>-1.170868</v>
      </c>
      <c r="V2053">
        <v>-0.1337795</v>
      </c>
      <c r="W2053">
        <v>0.1853204</v>
      </c>
      <c r="X2053">
        <v>0.97352930000000004</v>
      </c>
      <c r="Y2053">
        <v>-0.24354729999999999</v>
      </c>
      <c r="Z2053">
        <v>1.1881960000000001E-3</v>
      </c>
      <c r="AA2053">
        <v>0.96988830000000004</v>
      </c>
      <c r="AB2053">
        <v>45</v>
      </c>
      <c r="AC2053">
        <v>-15.000400000000001</v>
      </c>
      <c r="AD2053">
        <v>-1.1193939067480001</v>
      </c>
      <c r="AE2053">
        <v>-6.2232999999999903</v>
      </c>
      <c r="AF2053">
        <v>-4.0407072083801898</v>
      </c>
      <c r="AG2053">
        <v>-1.1193939067480001</v>
      </c>
      <c r="AH2053">
        <v>15.6501057542539</v>
      </c>
      <c r="AI2053">
        <v>93.961703147742995</v>
      </c>
      <c r="AJ2053">
        <v>104.477056653011</v>
      </c>
      <c r="AK2053">
        <v>16.202042080603601</v>
      </c>
      <c r="AL2053">
        <v>79.320186493504593</v>
      </c>
      <c r="AM2053">
        <v>97.824410546208895</v>
      </c>
      <c r="AN2053">
        <v>0.99999995161744804</v>
      </c>
    </row>
    <row r="2054" spans="1:40" x14ac:dyDescent="0.25">
      <c r="A2054" t="str">
        <f>"20190312172657385"</f>
        <v>20190312172657385</v>
      </c>
      <c r="B2054" t="str">
        <f>"1552382817380532"</f>
        <v>1552382817380532</v>
      </c>
      <c r="C2054" t="s">
        <v>40</v>
      </c>
      <c r="D2054">
        <v>3.262588</v>
      </c>
      <c r="E2054">
        <v>0.4540303</v>
      </c>
      <c r="F2054" t="s">
        <v>47</v>
      </c>
      <c r="G2054">
        <v>-489.92469999999997</v>
      </c>
      <c r="H2054" s="1">
        <v>3.07628E-6</v>
      </c>
      <c r="I2054">
        <v>278.33539999999999</v>
      </c>
      <c r="J2054">
        <v>-474.9631</v>
      </c>
      <c r="K2054">
        <v>1.119793</v>
      </c>
      <c r="L2054">
        <v>284.73599999999999</v>
      </c>
      <c r="M2054">
        <v>-0.98860630000000005</v>
      </c>
      <c r="N2054">
        <v>0</v>
      </c>
      <c r="O2054">
        <v>-0.14926539999999999</v>
      </c>
      <c r="P2054">
        <v>-0.9465211</v>
      </c>
      <c r="Q2054">
        <v>0.16997309999999999</v>
      </c>
      <c r="R2054">
        <v>-0.2742386</v>
      </c>
      <c r="S2054">
        <v>-2.8617859999999999</v>
      </c>
      <c r="T2054">
        <v>-0.20811769999999999</v>
      </c>
      <c r="U2054">
        <v>-1.202545</v>
      </c>
      <c r="V2054">
        <v>-0.13426070000000001</v>
      </c>
      <c r="W2054">
        <v>0.18581139999999999</v>
      </c>
      <c r="X2054">
        <v>0.9733695</v>
      </c>
      <c r="Y2054">
        <v>-0.24520420000000001</v>
      </c>
      <c r="Z2054">
        <v>1.75369E-3</v>
      </c>
      <c r="AA2054">
        <v>0.9694699</v>
      </c>
      <c r="AB2054">
        <v>44</v>
      </c>
      <c r="AC2054">
        <v>-14.961599999999899</v>
      </c>
      <c r="AD2054">
        <v>-1.11978992372</v>
      </c>
      <c r="AE2054">
        <v>-6.4005999999999901</v>
      </c>
      <c r="AF2054">
        <v>-4.0758974747078396</v>
      </c>
      <c r="AG2054">
        <v>-1.11978992372</v>
      </c>
      <c r="AH2054">
        <v>15.6752689389875</v>
      </c>
      <c r="AI2054">
        <v>93.955005974741297</v>
      </c>
      <c r="AJ2054">
        <v>104.575337635907</v>
      </c>
      <c r="AK2054">
        <v>16.235175576727901</v>
      </c>
      <c r="AL2054">
        <v>79.291557521915294</v>
      </c>
      <c r="AM2054">
        <v>97.8534772332237</v>
      </c>
      <c r="AN2054">
        <v>0.99999999773235004</v>
      </c>
    </row>
    <row r="2055" spans="1:40" x14ac:dyDescent="0.25">
      <c r="A2055" t="str">
        <f>"20190312172657407"</f>
        <v>20190312172657407</v>
      </c>
      <c r="B2055" t="str">
        <f>"1552382817401032"</f>
        <v>1552382817401032</v>
      </c>
      <c r="C2055" t="s">
        <v>40</v>
      </c>
      <c r="D2055">
        <v>3.3687550000000002</v>
      </c>
      <c r="E2055">
        <v>0.45382790000000001</v>
      </c>
      <c r="F2055" t="s">
        <v>47</v>
      </c>
      <c r="G2055">
        <v>-490.37329999999997</v>
      </c>
      <c r="H2055" s="1">
        <v>2.9488320000000001E-6</v>
      </c>
      <c r="I2055">
        <v>278.06240000000003</v>
      </c>
      <c r="J2055">
        <v>-475.3897</v>
      </c>
      <c r="K2055">
        <v>1.120185</v>
      </c>
      <c r="L2055">
        <v>284.6651</v>
      </c>
      <c r="M2055">
        <v>-0.98713269999999997</v>
      </c>
      <c r="N2055">
        <v>0</v>
      </c>
      <c r="O2055">
        <v>-0.15870770000000001</v>
      </c>
      <c r="P2055">
        <v>-0.94380779999999997</v>
      </c>
      <c r="Q2055">
        <v>0.16887669999999999</v>
      </c>
      <c r="R2055">
        <v>-0.28409129999999999</v>
      </c>
      <c r="S2055">
        <v>-2.8491520000000001</v>
      </c>
      <c r="T2055">
        <v>-0.20703530000000001</v>
      </c>
      <c r="U2055">
        <v>-1.2338559999999901</v>
      </c>
      <c r="V2055">
        <v>-0.13523160000000001</v>
      </c>
      <c r="W2055">
        <v>0.18466669999999999</v>
      </c>
      <c r="X2055">
        <v>0.97345289999999995</v>
      </c>
      <c r="Y2055">
        <v>-0.246499</v>
      </c>
      <c r="Z2055">
        <v>2.3408719999999999E-3</v>
      </c>
      <c r="AA2055">
        <v>0.96914020000000001</v>
      </c>
      <c r="AB2055">
        <v>44</v>
      </c>
      <c r="AC2055">
        <v>-14.9835999999999</v>
      </c>
      <c r="AD2055">
        <v>-1.1201820511679901</v>
      </c>
      <c r="AE2055">
        <v>-6.6026999999999703</v>
      </c>
      <c r="AF2055">
        <v>-4.12122841635931</v>
      </c>
      <c r="AG2055">
        <v>-1.1201820511679901</v>
      </c>
      <c r="AH2055">
        <v>15.767919529001</v>
      </c>
      <c r="AI2055">
        <v>93.931923386191997</v>
      </c>
      <c r="AJ2055">
        <v>104.64760530627601</v>
      </c>
      <c r="AK2055">
        <v>16.336052698268901</v>
      </c>
      <c r="AL2055">
        <v>79.358298684888794</v>
      </c>
      <c r="AM2055">
        <v>97.908883960099203</v>
      </c>
      <c r="AN2055">
        <v>0.99999996212292896</v>
      </c>
    </row>
    <row r="2056" spans="1:40" x14ac:dyDescent="0.25">
      <c r="A2056" t="str">
        <f>"20190312172657430"</f>
        <v>20190312172657430</v>
      </c>
      <c r="B2056" t="str">
        <f>"1552382817421056"</f>
        <v>1552382817421056</v>
      </c>
      <c r="C2056" t="s">
        <v>40</v>
      </c>
      <c r="D2056">
        <v>3.3575740000000001</v>
      </c>
      <c r="E2056">
        <v>0.4536636</v>
      </c>
      <c r="F2056" t="s">
        <v>47</v>
      </c>
      <c r="G2056">
        <v>-490.4085</v>
      </c>
      <c r="H2056" s="1">
        <v>2.914094E-6</v>
      </c>
      <c r="I2056">
        <v>277.97300000000001</v>
      </c>
      <c r="J2056">
        <v>-475.8227</v>
      </c>
      <c r="K2056">
        <v>1.120573</v>
      </c>
      <c r="L2056">
        <v>284.5883</v>
      </c>
      <c r="M2056">
        <v>-0.98547200000000001</v>
      </c>
      <c r="N2056">
        <v>0</v>
      </c>
      <c r="O2056">
        <v>-0.1687015</v>
      </c>
      <c r="P2056">
        <v>-0.94093610000000005</v>
      </c>
      <c r="Q2056">
        <v>0.1670895</v>
      </c>
      <c r="R2056">
        <v>-0.29448410000000003</v>
      </c>
      <c r="S2056">
        <v>-2.83609</v>
      </c>
      <c r="T2056">
        <v>-0.211531</v>
      </c>
      <c r="U2056">
        <v>-1.2637020000000001</v>
      </c>
      <c r="V2056">
        <v>-0.13619129999999999</v>
      </c>
      <c r="W2056">
        <v>0.1828264</v>
      </c>
      <c r="X2056">
        <v>0.97366649999999999</v>
      </c>
      <c r="Y2056">
        <v>-0.24686130000000001</v>
      </c>
      <c r="Z2056">
        <v>3.0731579999999999E-3</v>
      </c>
      <c r="AA2056">
        <v>0.96904590000000002</v>
      </c>
      <c r="AB2056">
        <v>44</v>
      </c>
      <c r="AC2056">
        <v>-14.585800000000001</v>
      </c>
      <c r="AD2056">
        <v>-1.1205700859059999</v>
      </c>
      <c r="AE2056">
        <v>-6.6152999999999897</v>
      </c>
      <c r="AF2056">
        <v>-4.0395528105569998</v>
      </c>
      <c r="AG2056">
        <v>-1.1205700859059999</v>
      </c>
      <c r="AH2056">
        <v>15.4174166199033</v>
      </c>
      <c r="AI2056">
        <v>94.021778255453995</v>
      </c>
      <c r="AJ2056">
        <v>104.682159029293</v>
      </c>
      <c r="AK2056">
        <v>15.977183714859599</v>
      </c>
      <c r="AL2056">
        <v>79.4655669966658</v>
      </c>
      <c r="AM2056">
        <v>97.962568565312495</v>
      </c>
      <c r="AN2056">
        <v>1.00000000797745</v>
      </c>
    </row>
    <row r="2057" spans="1:40" x14ac:dyDescent="0.25">
      <c r="A2057" t="str">
        <f>"20190312172657452"</f>
        <v>20190312172657452</v>
      </c>
      <c r="B2057" t="str">
        <f>"1552382817440576"</f>
        <v>1552382817440576</v>
      </c>
      <c r="C2057" t="s">
        <v>40</v>
      </c>
      <c r="D2057">
        <v>3.3340869999999998</v>
      </c>
      <c r="E2057">
        <v>0.45355590000000001</v>
      </c>
      <c r="F2057" t="s">
        <v>47</v>
      </c>
      <c r="G2057">
        <v>-490.30040000000002</v>
      </c>
      <c r="H2057" s="1">
        <v>2.9134380000000001E-6</v>
      </c>
      <c r="I2057">
        <v>277.94409999999999</v>
      </c>
      <c r="J2057">
        <v>-476.245</v>
      </c>
      <c r="K2057">
        <v>1.120946</v>
      </c>
      <c r="L2057">
        <v>284.50880000000001</v>
      </c>
      <c r="M2057">
        <v>-0.98368299999999997</v>
      </c>
      <c r="N2057">
        <v>0</v>
      </c>
      <c r="O2057">
        <v>-0.17882679999999901</v>
      </c>
      <c r="P2057">
        <v>-0.9378495</v>
      </c>
      <c r="Q2057">
        <v>0.1651627</v>
      </c>
      <c r="R2057">
        <v>-0.30522050000000001</v>
      </c>
      <c r="S2057">
        <v>-2.821777</v>
      </c>
      <c r="T2057">
        <v>-0.21840380000000001</v>
      </c>
      <c r="U2057">
        <v>-1.294983</v>
      </c>
      <c r="V2057">
        <v>-0.13737360000000001</v>
      </c>
      <c r="W2057">
        <v>0.1808379</v>
      </c>
      <c r="X2057">
        <v>0.97387170000000001</v>
      </c>
      <c r="Y2057">
        <v>-0.2476421</v>
      </c>
      <c r="Z2057">
        <v>3.8718960000000001E-3</v>
      </c>
      <c r="AA2057">
        <v>0.96884380000000003</v>
      </c>
      <c r="AB2057">
        <v>44</v>
      </c>
      <c r="AC2057">
        <v>-14.055400000000001</v>
      </c>
      <c r="AD2057">
        <v>-1.120943086562</v>
      </c>
      <c r="AE2057">
        <v>-6.56470000000001</v>
      </c>
      <c r="AF2057">
        <v>-3.9243778910438198</v>
      </c>
      <c r="AG2057">
        <v>-1.120943086562</v>
      </c>
      <c r="AH2057">
        <v>14.9249902021128</v>
      </c>
      <c r="AI2057">
        <v>94.1544479661369</v>
      </c>
      <c r="AJ2057">
        <v>104.7318898132</v>
      </c>
      <c r="AK2057">
        <v>15.4729631217873</v>
      </c>
      <c r="AL2057">
        <v>79.581430779411804</v>
      </c>
      <c r="AM2057">
        <v>98.029124933998204</v>
      </c>
      <c r="AN2057">
        <v>0.99999997005712904</v>
      </c>
    </row>
    <row r="2058" spans="1:40" x14ac:dyDescent="0.25">
      <c r="A2058" t="str">
        <f>"20190312172657477"</f>
        <v>20190312172657477</v>
      </c>
      <c r="B2058" t="str">
        <f>"1552382817470831"</f>
        <v>1552382817470831</v>
      </c>
      <c r="C2058" t="s">
        <v>40</v>
      </c>
      <c r="D2058">
        <v>3.340973</v>
      </c>
      <c r="E2058">
        <v>0.45355709999999999</v>
      </c>
      <c r="F2058" t="s">
        <v>47</v>
      </c>
      <c r="G2058">
        <v>-490.23140000000001</v>
      </c>
      <c r="H2058" s="1">
        <v>2.9018899999999998E-6</v>
      </c>
      <c r="I2058">
        <v>277.89409999999998</v>
      </c>
      <c r="J2058">
        <v>-476.70100000000002</v>
      </c>
      <c r="K2058">
        <v>1.121321</v>
      </c>
      <c r="L2058">
        <v>284.4178</v>
      </c>
      <c r="M2058">
        <v>-0.98155610000000004</v>
      </c>
      <c r="N2058">
        <v>0</v>
      </c>
      <c r="O2058">
        <v>-0.1901458</v>
      </c>
      <c r="P2058">
        <v>-0.93421460000000001</v>
      </c>
      <c r="Q2058">
        <v>0.1636502</v>
      </c>
      <c r="R2058">
        <v>-0.31695770000000001</v>
      </c>
      <c r="S2058">
        <v>-2.8064879999999999</v>
      </c>
      <c r="T2058">
        <v>-0.22492670000000001</v>
      </c>
      <c r="U2058">
        <v>-1.3273010000000001</v>
      </c>
      <c r="V2058">
        <v>-0.1384552</v>
      </c>
      <c r="W2058">
        <v>0.1792647</v>
      </c>
      <c r="X2058">
        <v>0.97400940000000003</v>
      </c>
      <c r="Y2058">
        <v>-0.2476566</v>
      </c>
      <c r="Z2058">
        <v>4.8254500000000002E-3</v>
      </c>
      <c r="AA2058">
        <v>0.96883580000000002</v>
      </c>
      <c r="AB2058">
        <v>44</v>
      </c>
      <c r="AC2058">
        <v>-13.5304</v>
      </c>
      <c r="AD2058">
        <v>-1.1213180981099999</v>
      </c>
      <c r="AE2058">
        <v>-6.5237000000000096</v>
      </c>
      <c r="AF2058">
        <v>-3.8101476626539199</v>
      </c>
      <c r="AG2058">
        <v>-1.1213180981099999</v>
      </c>
      <c r="AH2058">
        <v>14.443660106942501</v>
      </c>
      <c r="AI2058">
        <v>94.292915723718195</v>
      </c>
      <c r="AJ2058">
        <v>104.77763123113699</v>
      </c>
      <c r="AK2058">
        <v>14.979782934784399</v>
      </c>
      <c r="AL2058">
        <v>79.673066330083401</v>
      </c>
      <c r="AM2058">
        <v>98.090378834264996</v>
      </c>
      <c r="AN2058">
        <v>0.99999999318074495</v>
      </c>
    </row>
    <row r="2059" spans="1:40" x14ac:dyDescent="0.25">
      <c r="A2059" t="str">
        <f>"20190312172657498"</f>
        <v>20190312172657498</v>
      </c>
      <c r="B2059" t="str">
        <f>"1552382817490351"</f>
        <v>1552382817490351</v>
      </c>
      <c r="C2059" t="s">
        <v>40</v>
      </c>
      <c r="D2059">
        <v>3.360249</v>
      </c>
      <c r="E2059">
        <v>0.45367449999999998</v>
      </c>
      <c r="F2059" t="s">
        <v>47</v>
      </c>
      <c r="G2059">
        <v>-490.31509999999997</v>
      </c>
      <c r="H2059" s="1">
        <v>2.8500420000000001E-6</v>
      </c>
      <c r="I2059">
        <v>277.76839999999999</v>
      </c>
      <c r="J2059">
        <v>-477.1046</v>
      </c>
      <c r="K2059">
        <v>1.1216429999999999</v>
      </c>
      <c r="L2059">
        <v>284.33249999999998</v>
      </c>
      <c r="M2059">
        <v>-0.97949359999999996</v>
      </c>
      <c r="N2059">
        <v>0</v>
      </c>
      <c r="O2059">
        <v>-0.20049110000000001</v>
      </c>
      <c r="P2059">
        <v>-0.93076680000000001</v>
      </c>
      <c r="Q2059">
        <v>0.16188029999999901</v>
      </c>
      <c r="R2059">
        <v>-0.32782299999999998</v>
      </c>
      <c r="S2059">
        <v>-2.7892760000000001</v>
      </c>
      <c r="T2059">
        <v>-0.22973759999999999</v>
      </c>
      <c r="U2059">
        <v>-1.3623350000000001</v>
      </c>
      <c r="V2059">
        <v>-0.13956760000000001</v>
      </c>
      <c r="W2059">
        <v>0.17743539999999999</v>
      </c>
      <c r="X2059">
        <v>0.97418559999999998</v>
      </c>
      <c r="Y2059">
        <v>-0.24963080000000001</v>
      </c>
      <c r="Z2059">
        <v>5.6378280000000001E-3</v>
      </c>
      <c r="AA2059">
        <v>0.96832470000000004</v>
      </c>
      <c r="AB2059">
        <v>44</v>
      </c>
      <c r="AC2059">
        <v>-13.2104999999999</v>
      </c>
      <c r="AD2059">
        <v>-1.121640149958</v>
      </c>
      <c r="AE2059">
        <v>-6.5640999999999901</v>
      </c>
      <c r="AF2059">
        <v>-3.7599164906924898</v>
      </c>
      <c r="AG2059">
        <v>-1.121640149958</v>
      </c>
      <c r="AH2059">
        <v>14.176503356376299</v>
      </c>
      <c r="AI2059">
        <v>94.373218086037994</v>
      </c>
      <c r="AJ2059">
        <v>104.854096025386</v>
      </c>
      <c r="AK2059">
        <v>14.709462806517701</v>
      </c>
      <c r="AL2059">
        <v>79.7795854955436</v>
      </c>
      <c r="AM2059">
        <v>98.153054037385104</v>
      </c>
      <c r="AN2059">
        <v>1.00000000969514</v>
      </c>
    </row>
    <row r="2060" spans="1:40" x14ac:dyDescent="0.25">
      <c r="A2060" t="str">
        <f>"20190312172657520"</f>
        <v>20190312172657520</v>
      </c>
      <c r="B2060" t="str">
        <f>"1552382817510392"</f>
        <v>1552382817510392</v>
      </c>
      <c r="C2060" t="s">
        <v>40</v>
      </c>
      <c r="D2060">
        <v>3.3726129999999999</v>
      </c>
      <c r="E2060">
        <v>0.45385029999999998</v>
      </c>
      <c r="F2060" t="s">
        <v>47</v>
      </c>
      <c r="G2060">
        <v>-490.31</v>
      </c>
      <c r="H2060" s="1">
        <v>2.8246949999999999E-6</v>
      </c>
      <c r="I2060">
        <v>277.69540000000001</v>
      </c>
      <c r="J2060">
        <v>-477.51589999999999</v>
      </c>
      <c r="K2060">
        <v>1.1219589999999999</v>
      </c>
      <c r="L2060">
        <v>284.24099999999999</v>
      </c>
      <c r="M2060">
        <v>-0.97720499999999999</v>
      </c>
      <c r="N2060">
        <v>0</v>
      </c>
      <c r="O2060">
        <v>-0.21135780000000001</v>
      </c>
      <c r="P2060">
        <v>-0.92707079999999997</v>
      </c>
      <c r="Q2060">
        <v>0.16023280000000001</v>
      </c>
      <c r="R2060">
        <v>-0.33891880000000002</v>
      </c>
      <c r="S2060">
        <v>-2.773193</v>
      </c>
      <c r="T2060">
        <v>-0.2355505</v>
      </c>
      <c r="U2060">
        <v>-1.393829</v>
      </c>
      <c r="V2060">
        <v>-0.14042270000000001</v>
      </c>
      <c r="W2060">
        <v>0.17573069999999999</v>
      </c>
      <c r="X2060">
        <v>0.97437169999999895</v>
      </c>
      <c r="Y2060">
        <v>-0.24992829999999999</v>
      </c>
      <c r="Z2060">
        <v>6.6149069999999997E-3</v>
      </c>
      <c r="AA2060">
        <v>0.96824180000000004</v>
      </c>
      <c r="AB2060">
        <v>44</v>
      </c>
      <c r="AC2060">
        <v>-12.7941</v>
      </c>
      <c r="AD2060">
        <v>-1.121956175305</v>
      </c>
      <c r="AE2060">
        <v>-6.5455999999999701</v>
      </c>
      <c r="AF2060">
        <v>-3.6706239218647698</v>
      </c>
      <c r="AG2060">
        <v>-1.121956175305</v>
      </c>
      <c r="AH2060">
        <v>13.8045519103808</v>
      </c>
      <c r="AI2060">
        <v>94.491082846188604</v>
      </c>
      <c r="AJ2060">
        <v>104.890373961637</v>
      </c>
      <c r="AK2060">
        <v>14.3282210717684</v>
      </c>
      <c r="AL2060">
        <v>79.878816992376599</v>
      </c>
      <c r="AM2060">
        <v>98.200783050824498</v>
      </c>
      <c r="AN2060">
        <v>1.0000000116793299</v>
      </c>
    </row>
    <row r="2061" spans="1:40" x14ac:dyDescent="0.25">
      <c r="A2061" t="str">
        <f>"20190312172657541"</f>
        <v>20190312172657541</v>
      </c>
      <c r="B2061" t="str">
        <f>"1552382817530875"</f>
        <v>1552382817530875</v>
      </c>
      <c r="C2061" t="s">
        <v>40</v>
      </c>
      <c r="D2061">
        <v>3.3921250000000001</v>
      </c>
      <c r="E2061">
        <v>0.4540401</v>
      </c>
      <c r="F2061" t="s">
        <v>47</v>
      </c>
      <c r="G2061">
        <v>-490.36329999999998</v>
      </c>
      <c r="H2061" s="1">
        <v>2.7853759999999998E-6</v>
      </c>
      <c r="I2061">
        <v>277.5976</v>
      </c>
      <c r="J2061">
        <v>-477.92790000000002</v>
      </c>
      <c r="K2061">
        <v>1.122261</v>
      </c>
      <c r="L2061">
        <v>284.14449999999999</v>
      </c>
      <c r="M2061">
        <v>-0.9747112</v>
      </c>
      <c r="N2061">
        <v>0</v>
      </c>
      <c r="O2061">
        <v>-0.2225676</v>
      </c>
      <c r="P2061">
        <v>-0.92324289999999998</v>
      </c>
      <c r="Q2061">
        <v>0.15882939999999901</v>
      </c>
      <c r="R2061">
        <v>-0.34985040000000001</v>
      </c>
      <c r="S2061">
        <v>-2.7565309999999998</v>
      </c>
      <c r="T2061">
        <v>-0.24072579999999999</v>
      </c>
      <c r="U2061">
        <v>-1.4254150000000001</v>
      </c>
      <c r="V2061">
        <v>-0.14078969999999999</v>
      </c>
      <c r="W2061">
        <v>0.17428379999999999</v>
      </c>
      <c r="X2061">
        <v>0.97457859999999996</v>
      </c>
      <c r="Y2061">
        <v>-0.24997369999999999</v>
      </c>
      <c r="Z2061">
        <v>7.6519429999999996E-3</v>
      </c>
      <c r="AA2061">
        <v>0.96822240000000004</v>
      </c>
      <c r="AB2061">
        <v>43</v>
      </c>
      <c r="AC2061">
        <v>-12.4353999999999</v>
      </c>
      <c r="AD2061">
        <v>-1.1222582146240001</v>
      </c>
      <c r="AE2061">
        <v>-6.5468999999999902</v>
      </c>
      <c r="AF2061">
        <v>-3.5914430915332698</v>
      </c>
      <c r="AG2061">
        <v>-1.1222582146240001</v>
      </c>
      <c r="AH2061">
        <v>13.4947239253253</v>
      </c>
      <c r="AI2061">
        <v>94.594719747908499</v>
      </c>
      <c r="AJ2061">
        <v>104.90307164164901</v>
      </c>
      <c r="AK2061">
        <v>14.009478962501101</v>
      </c>
      <c r="AL2061">
        <v>79.963017754993103</v>
      </c>
      <c r="AM2061">
        <v>98.220201820827299</v>
      </c>
      <c r="AN2061">
        <v>1.00000001507324</v>
      </c>
    </row>
    <row r="2062" spans="1:40" x14ac:dyDescent="0.25">
      <c r="A2062" t="str">
        <f>"20190312172657564"</f>
        <v>20190312172657564</v>
      </c>
      <c r="B2062" t="str">
        <f>"1552382817561130"</f>
        <v>1552382817561130</v>
      </c>
      <c r="C2062" t="s">
        <v>40</v>
      </c>
      <c r="D2062">
        <v>3.402644</v>
      </c>
      <c r="E2062">
        <v>0.4544126</v>
      </c>
      <c r="F2062" t="s">
        <v>47</v>
      </c>
      <c r="G2062">
        <v>-490.49549999999999</v>
      </c>
      <c r="H2062" s="1">
        <v>2.7260420000000001E-6</v>
      </c>
      <c r="I2062">
        <v>277.46289999999999</v>
      </c>
      <c r="J2062">
        <v>-478.32900000000001</v>
      </c>
      <c r="K2062">
        <v>1.1225459999999901</v>
      </c>
      <c r="L2062">
        <v>284.04570000000001</v>
      </c>
      <c r="M2062">
        <v>-0.97207829999999995</v>
      </c>
      <c r="N2062">
        <v>0</v>
      </c>
      <c r="O2062">
        <v>-0.2337939</v>
      </c>
      <c r="P2062">
        <v>-0.91935829999999996</v>
      </c>
      <c r="Q2062">
        <v>0.15742890000000001</v>
      </c>
      <c r="R2062">
        <v>-0.36055029999999999</v>
      </c>
      <c r="S2062">
        <v>-2.7395939999999999</v>
      </c>
      <c r="T2062">
        <v>-0.24463770000000001</v>
      </c>
      <c r="U2062">
        <v>-1.456512</v>
      </c>
      <c r="V2062">
        <v>-0.1409021</v>
      </c>
      <c r="W2062">
        <v>0.17284910000000001</v>
      </c>
      <c r="X2062">
        <v>0.97481779999999996</v>
      </c>
      <c r="Y2062">
        <v>-0.24988460000000001</v>
      </c>
      <c r="Z2062">
        <v>8.6910400000000006E-3</v>
      </c>
      <c r="AA2062">
        <v>0.9682366</v>
      </c>
      <c r="AB2062">
        <v>43</v>
      </c>
      <c r="AC2062">
        <v>-12.1664999999999</v>
      </c>
      <c r="AD2062">
        <v>-1.1225432739579999</v>
      </c>
      <c r="AE2062">
        <v>-6.5828000000000104</v>
      </c>
      <c r="AF2062">
        <v>-3.5320035538452501</v>
      </c>
      <c r="AG2062">
        <v>-1.1225432739579999</v>
      </c>
      <c r="AH2062">
        <v>13.281054140749999</v>
      </c>
      <c r="AI2062">
        <v>94.669721301756397</v>
      </c>
      <c r="AJ2062">
        <v>104.89270059104</v>
      </c>
      <c r="AK2062">
        <v>13.788457186930501</v>
      </c>
      <c r="AL2062">
        <v>80.046486526801502</v>
      </c>
      <c r="AM2062">
        <v>98.224683625704202</v>
      </c>
      <c r="AN2062">
        <v>0.99999997817602904</v>
      </c>
    </row>
    <row r="2063" spans="1:40" x14ac:dyDescent="0.25">
      <c r="A2063" t="str">
        <f>"20190312172657586"</f>
        <v>20190312172657586</v>
      </c>
      <c r="B2063" t="str">
        <f>"1552382817580649"</f>
        <v>1552382817580649</v>
      </c>
      <c r="C2063" t="s">
        <v>40</v>
      </c>
      <c r="D2063">
        <v>3.4187439999999998</v>
      </c>
      <c r="E2063">
        <v>0.4545188</v>
      </c>
      <c r="F2063" t="s">
        <v>47</v>
      </c>
      <c r="G2063">
        <v>-490.61579999999998</v>
      </c>
      <c r="H2063" s="1">
        <v>2.6723970000000002E-6</v>
      </c>
      <c r="I2063">
        <v>277.34129999999999</v>
      </c>
      <c r="J2063">
        <v>-478.75130000000001</v>
      </c>
      <c r="K2063">
        <v>1.1228450000000001</v>
      </c>
      <c r="L2063">
        <v>283.93619999999999</v>
      </c>
      <c r="M2063">
        <v>-0.9690761</v>
      </c>
      <c r="N2063">
        <v>0</v>
      </c>
      <c r="O2063">
        <v>-0.24593599999999999</v>
      </c>
      <c r="P2063">
        <v>-0.91513420000000001</v>
      </c>
      <c r="Q2063">
        <v>0.15641679999999999</v>
      </c>
      <c r="R2063">
        <v>-0.37156860000000003</v>
      </c>
      <c r="S2063">
        <v>-2.7230530000000002</v>
      </c>
      <c r="T2063">
        <v>-0.2487819</v>
      </c>
      <c r="U2063">
        <v>-1.48584</v>
      </c>
      <c r="V2063">
        <v>-0.14047499999999999</v>
      </c>
      <c r="W2063">
        <v>0.17182</v>
      </c>
      <c r="X2063">
        <v>0.97506139999999997</v>
      </c>
      <c r="Y2063">
        <v>-0.2483165</v>
      </c>
      <c r="Z2063">
        <v>9.9062460000000005E-3</v>
      </c>
      <c r="AA2063">
        <v>0.9686283</v>
      </c>
      <c r="AB2063">
        <v>43</v>
      </c>
      <c r="AC2063">
        <v>-11.8644999999999</v>
      </c>
      <c r="AD2063">
        <v>-1.122842327603</v>
      </c>
      <c r="AE2063">
        <v>-6.5948999999999902</v>
      </c>
      <c r="AF2063">
        <v>-3.4501519434670702</v>
      </c>
      <c r="AG2063">
        <v>-1.122842327603</v>
      </c>
      <c r="AH2063">
        <v>13.0330201460085</v>
      </c>
      <c r="AI2063">
        <v>94.760881120920601</v>
      </c>
      <c r="AJ2063">
        <v>104.827444791741</v>
      </c>
      <c r="AK2063">
        <v>13.5286339832198</v>
      </c>
      <c r="AL2063">
        <v>80.106345771355194</v>
      </c>
      <c r="AM2063">
        <v>98.198071870690498</v>
      </c>
      <c r="AN2063">
        <v>1.0000000358974701</v>
      </c>
    </row>
    <row r="2064" spans="1:40" x14ac:dyDescent="0.25">
      <c r="A2064" t="str">
        <f>"20190312172657608"</f>
        <v>20190312172657608</v>
      </c>
      <c r="B2064" t="str">
        <f>"1552382817601145"</f>
        <v>1552382817601145</v>
      </c>
      <c r="C2064" t="s">
        <v>40</v>
      </c>
      <c r="D2064">
        <v>3.334292</v>
      </c>
      <c r="E2064">
        <v>0.43757020000000002</v>
      </c>
      <c r="F2064" t="s">
        <v>47</v>
      </c>
      <c r="G2064">
        <v>-490.80329999999998</v>
      </c>
      <c r="H2064" s="1">
        <v>2.5960129999999999E-6</v>
      </c>
      <c r="I2064">
        <v>277.17230000000001</v>
      </c>
      <c r="J2064">
        <v>-479.15960000000001</v>
      </c>
      <c r="K2064">
        <v>1.123132</v>
      </c>
      <c r="L2064">
        <v>283.82479999999998</v>
      </c>
      <c r="M2064">
        <v>-0.96593280000000004</v>
      </c>
      <c r="N2064">
        <v>0</v>
      </c>
      <c r="O2064">
        <v>-0.25800040000000002</v>
      </c>
      <c r="P2064">
        <v>-0.9109621</v>
      </c>
      <c r="Q2064">
        <v>0.15435179999999901</v>
      </c>
      <c r="R2064">
        <v>-0.38252239999999998</v>
      </c>
      <c r="S2064">
        <v>-2.704895</v>
      </c>
      <c r="T2064">
        <v>-0.25200400000000001</v>
      </c>
      <c r="U2064">
        <v>-1.5180659999999999</v>
      </c>
      <c r="V2064">
        <v>-0.13998260000000001</v>
      </c>
      <c r="W2064">
        <v>0.16974620000000001</v>
      </c>
      <c r="X2064">
        <v>0.97549529999999995</v>
      </c>
      <c r="Y2064">
        <v>-0.24782589999999999</v>
      </c>
      <c r="Z2064">
        <v>1.10659E-2</v>
      </c>
      <c r="AA2064">
        <v>0.96874139999999997</v>
      </c>
      <c r="AB2064">
        <v>43</v>
      </c>
      <c r="AC2064">
        <v>-11.6436999999999</v>
      </c>
      <c r="AD2064">
        <v>-1.1231294039869999</v>
      </c>
      <c r="AE2064">
        <v>-6.6524999999999697</v>
      </c>
      <c r="AF2064">
        <v>-3.3986500542626001</v>
      </c>
      <c r="AG2064">
        <v>-1.1231294039869999</v>
      </c>
      <c r="AH2064">
        <v>12.875719119247099</v>
      </c>
      <c r="AI2064">
        <v>94.820905979236898</v>
      </c>
      <c r="AJ2064">
        <v>104.7864320644</v>
      </c>
      <c r="AK2064">
        <v>13.363995835347501</v>
      </c>
      <c r="AL2064">
        <v>80.226936985083299</v>
      </c>
      <c r="AM2064">
        <v>98.166139299204701</v>
      </c>
      <c r="AN2064">
        <v>0.99999999051964505</v>
      </c>
    </row>
    <row r="2065" spans="1:40" x14ac:dyDescent="0.25">
      <c r="A2065" t="str">
        <f>"20190312172657631"</f>
        <v>20190312172657631</v>
      </c>
      <c r="B2065" t="str">
        <f>"1552382817620666"</f>
        <v>1552382817620666</v>
      </c>
      <c r="C2065" t="s">
        <v>40</v>
      </c>
      <c r="D2065">
        <v>3.5148419999999998</v>
      </c>
      <c r="E2065">
        <v>0.43766929999999998</v>
      </c>
      <c r="F2065" t="s">
        <v>47</v>
      </c>
      <c r="G2065">
        <v>-489.72129999999999</v>
      </c>
      <c r="H2065" s="1">
        <v>2.6058320000000001E-6</v>
      </c>
      <c r="I2065">
        <v>277.10660000000001</v>
      </c>
      <c r="J2065">
        <v>-479.56670000000003</v>
      </c>
      <c r="K2065">
        <v>1.1233979999999999</v>
      </c>
      <c r="L2065">
        <v>283.7079</v>
      </c>
      <c r="M2065">
        <v>-0.96254680000000004</v>
      </c>
      <c r="N2065">
        <v>0</v>
      </c>
      <c r="O2065">
        <v>-0.2703546</v>
      </c>
      <c r="P2065">
        <v>-0.90649120000000005</v>
      </c>
      <c r="Q2065">
        <v>0.15292269999999999</v>
      </c>
      <c r="R2065">
        <v>-0.39355869999999998</v>
      </c>
      <c r="S2065">
        <v>-2.6365050000000001</v>
      </c>
      <c r="T2065">
        <v>-0.28036480000000003</v>
      </c>
      <c r="U2065">
        <v>-1.677063</v>
      </c>
      <c r="V2065">
        <v>-0.139337299999999</v>
      </c>
      <c r="W2065">
        <v>0.16830800000000001</v>
      </c>
      <c r="X2065">
        <v>0.97583679999999995</v>
      </c>
      <c r="Y2065">
        <v>-0.28846480000000002</v>
      </c>
      <c r="Z2065">
        <v>1.1508630000000001E-2</v>
      </c>
      <c r="AA2065">
        <v>0.95742130000000003</v>
      </c>
      <c r="AB2065">
        <v>43</v>
      </c>
      <c r="AC2065">
        <v>-10.154599999999901</v>
      </c>
      <c r="AD2065">
        <v>-1.1233953941679999</v>
      </c>
      <c r="AE2065">
        <v>-6.6012999999999797</v>
      </c>
      <c r="AF2065">
        <v>-3.5786733455904902</v>
      </c>
      <c r="AG2065">
        <v>-1.1233953941679999</v>
      </c>
      <c r="AH2065">
        <v>11.4627364838902</v>
      </c>
      <c r="AI2065">
        <v>95.344518904333299</v>
      </c>
      <c r="AJ2065">
        <v>107.338395763375</v>
      </c>
      <c r="AK2065">
        <v>12.060814558942001</v>
      </c>
      <c r="AL2065">
        <v>80.310542485671206</v>
      </c>
      <c r="AM2065">
        <v>98.1261920471038</v>
      </c>
      <c r="AN2065">
        <v>0.99999996313476402</v>
      </c>
    </row>
    <row r="2066" spans="1:40" x14ac:dyDescent="0.25">
      <c r="A2066" t="str">
        <f>"20190312172657652"</f>
        <v>20190312172657652</v>
      </c>
      <c r="B2066" t="str">
        <f>"1552382817641162"</f>
        <v>1552382817641162</v>
      </c>
      <c r="C2066" t="s">
        <v>40</v>
      </c>
      <c r="D2066">
        <v>3.4586209999999999</v>
      </c>
      <c r="E2066">
        <v>0.43860290000000002</v>
      </c>
      <c r="F2066" t="s">
        <v>47</v>
      </c>
      <c r="G2066">
        <v>-490.42590000000001</v>
      </c>
      <c r="H2066" s="1">
        <v>2.433181E-6</v>
      </c>
      <c r="I2066">
        <v>276.61689999999999</v>
      </c>
      <c r="J2066">
        <v>-479.95920000000001</v>
      </c>
      <c r="K2066">
        <v>1.1236389999999901</v>
      </c>
      <c r="L2066">
        <v>283.58980000000003</v>
      </c>
      <c r="M2066">
        <v>-0.95904409999999896</v>
      </c>
      <c r="N2066">
        <v>0</v>
      </c>
      <c r="O2066">
        <v>-0.28252539999999998</v>
      </c>
      <c r="P2066">
        <v>-0.9017269</v>
      </c>
      <c r="Q2066">
        <v>0.1513082</v>
      </c>
      <c r="R2066">
        <v>-0.40496260000000001</v>
      </c>
      <c r="S2066">
        <v>-2.6140140000000001</v>
      </c>
      <c r="T2066">
        <v>-0.27042070000000001</v>
      </c>
      <c r="U2066">
        <v>-1.706909</v>
      </c>
      <c r="V2066">
        <v>-0.13926140000000001</v>
      </c>
      <c r="W2066">
        <v>0.16666220000000001</v>
      </c>
      <c r="X2066">
        <v>0.9761301</v>
      </c>
      <c r="Y2066">
        <v>-0.2878115</v>
      </c>
      <c r="Z2066">
        <v>1.223746E-2</v>
      </c>
      <c r="AA2066">
        <v>0.95760889999999999</v>
      </c>
      <c r="AB2066">
        <v>43</v>
      </c>
      <c r="AC2066">
        <v>-10.466699999999999</v>
      </c>
      <c r="AD2066">
        <v>-1.12363656681899</v>
      </c>
      <c r="AE2066">
        <v>-6.9729000000000303</v>
      </c>
      <c r="AF2066">
        <v>-3.7014366828258298</v>
      </c>
      <c r="AG2066">
        <v>-1.12363656681899</v>
      </c>
      <c r="AH2066">
        <v>11.9154230587027</v>
      </c>
      <c r="AI2066">
        <v>95.145943467677697</v>
      </c>
      <c r="AJ2066">
        <v>107.25701455687999</v>
      </c>
      <c r="AK2066">
        <v>12.527589525488301</v>
      </c>
      <c r="AL2066">
        <v>80.406191317507606</v>
      </c>
      <c r="AM2066">
        <v>98.119416774372695</v>
      </c>
      <c r="AN2066">
        <v>0.99999999928240402</v>
      </c>
    </row>
    <row r="2067" spans="1:40" x14ac:dyDescent="0.25">
      <c r="A2067" t="str">
        <f>"20190312172657676"</f>
        <v>20190312172657676</v>
      </c>
      <c r="B2067" t="str">
        <f>"1552382817671421"</f>
        <v>1552382817671421</v>
      </c>
      <c r="C2067" t="s">
        <v>40</v>
      </c>
      <c r="D2067">
        <v>3.4722360000000001</v>
      </c>
      <c r="E2067">
        <v>0.43992809999999999</v>
      </c>
      <c r="F2067" t="s">
        <v>47</v>
      </c>
      <c r="G2067">
        <v>-490.83819999999997</v>
      </c>
      <c r="H2067" s="1">
        <v>2.2942590000000001E-6</v>
      </c>
      <c r="I2067">
        <v>276.32740000000001</v>
      </c>
      <c r="J2067">
        <v>-480.36619999999999</v>
      </c>
      <c r="K2067">
        <v>1.123872</v>
      </c>
      <c r="L2067">
        <v>283.4615</v>
      </c>
      <c r="M2067">
        <v>-0.9551539</v>
      </c>
      <c r="N2067">
        <v>0</v>
      </c>
      <c r="O2067">
        <v>-0.2954077</v>
      </c>
      <c r="P2067">
        <v>-0.89633859999999999</v>
      </c>
      <c r="Q2067">
        <v>0.14940139999999999</v>
      </c>
      <c r="R2067">
        <v>-0.4174408</v>
      </c>
      <c r="S2067">
        <v>-2.594147</v>
      </c>
      <c r="T2067">
        <v>-0.26793539999999999</v>
      </c>
      <c r="U2067">
        <v>-1.7317499999999999</v>
      </c>
      <c r="V2067">
        <v>-0.13961789999999999</v>
      </c>
      <c r="W2067">
        <v>0.16470650000000001</v>
      </c>
      <c r="X2067">
        <v>0.97641109999999998</v>
      </c>
      <c r="Y2067">
        <v>-0.28469519999999998</v>
      </c>
      <c r="Z2067">
        <v>1.342615E-2</v>
      </c>
      <c r="AA2067">
        <v>0.95852400000000004</v>
      </c>
      <c r="AB2067">
        <v>43</v>
      </c>
      <c r="AC2067">
        <v>-10.4719999999999</v>
      </c>
      <c r="AD2067">
        <v>-1.1238697057410001</v>
      </c>
      <c r="AE2067">
        <v>-7.1340999999999797</v>
      </c>
      <c r="AF2067">
        <v>-3.69237956529</v>
      </c>
      <c r="AG2067">
        <v>-1.1238697057410001</v>
      </c>
      <c r="AH2067">
        <v>12.017813173017601</v>
      </c>
      <c r="AI2067">
        <v>95.108256606866604</v>
      </c>
      <c r="AJ2067">
        <v>107.079168042757</v>
      </c>
      <c r="AK2067">
        <v>12.622384221342999</v>
      </c>
      <c r="AL2067">
        <v>80.519815234662502</v>
      </c>
      <c r="AM2067">
        <v>98.137612546194902</v>
      </c>
      <c r="AN2067">
        <v>1.00000001267293</v>
      </c>
    </row>
    <row r="2068" spans="1:40" x14ac:dyDescent="0.25">
      <c r="A2068" t="str">
        <f>"20190312172657710"</f>
        <v>20190312172657710</v>
      </c>
      <c r="B2068" t="str">
        <f>"1552382817700698"</f>
        <v>1552382817700698</v>
      </c>
      <c r="C2068" t="s">
        <v>40</v>
      </c>
      <c r="D2068">
        <v>3.4573710000000002</v>
      </c>
      <c r="E2068">
        <v>0.44085479999999999</v>
      </c>
      <c r="F2068" t="s">
        <v>47</v>
      </c>
      <c r="G2068">
        <v>-491.02370000000002</v>
      </c>
      <c r="H2068" s="1">
        <v>2.2284550000000002E-6</v>
      </c>
      <c r="I2068">
        <v>276.18779999999998</v>
      </c>
      <c r="J2068">
        <v>-480.96499999999997</v>
      </c>
      <c r="K2068">
        <v>1.12419</v>
      </c>
      <c r="L2068">
        <v>283.26229999999998</v>
      </c>
      <c r="M2068">
        <v>-0.94893729999999998</v>
      </c>
      <c r="N2068">
        <v>0</v>
      </c>
      <c r="O2068">
        <v>-0.31480219999999998</v>
      </c>
      <c r="P2068">
        <v>-0.88683099999999904</v>
      </c>
      <c r="Q2068">
        <v>0.14927279999999901</v>
      </c>
      <c r="R2068">
        <v>-0.43731910000000002</v>
      </c>
      <c r="S2068">
        <v>-2.574036</v>
      </c>
      <c r="T2068">
        <v>-0.27144059999999998</v>
      </c>
      <c r="U2068">
        <v>-1.756775</v>
      </c>
      <c r="V2068">
        <v>-0.141628799999999</v>
      </c>
      <c r="W2068">
        <v>0.16444120000000001</v>
      </c>
      <c r="X2068">
        <v>0.97616610000000004</v>
      </c>
      <c r="Y2068">
        <v>-0.27508890000000003</v>
      </c>
      <c r="Z2068">
        <v>1.5798159999999999E-2</v>
      </c>
      <c r="AA2068">
        <v>0.96128899999999995</v>
      </c>
      <c r="AB2068">
        <v>42</v>
      </c>
      <c r="AC2068">
        <v>-10.0587</v>
      </c>
      <c r="AD2068">
        <v>-1.1241877715449999</v>
      </c>
      <c r="AE2068">
        <v>-7.0744999999999996</v>
      </c>
      <c r="AF2068">
        <v>-3.5180960045843599</v>
      </c>
      <c r="AG2068">
        <v>-1.1241877715449999</v>
      </c>
      <c r="AH2068">
        <v>11.6770174057965</v>
      </c>
      <c r="AI2068">
        <v>95.266680658775698</v>
      </c>
      <c r="AJ2068">
        <v>106.76670245669401</v>
      </c>
      <c r="AK2068">
        <v>12.2471847025526</v>
      </c>
      <c r="AL2068">
        <v>80.535225239344101</v>
      </c>
      <c r="AM2068">
        <v>98.255257129089799</v>
      </c>
      <c r="AN2068">
        <v>0.99999994001804304</v>
      </c>
    </row>
    <row r="2069" spans="1:40" x14ac:dyDescent="0.25">
      <c r="A2069" t="str">
        <f>"20190312172657730"</f>
        <v>20190312172657730</v>
      </c>
      <c r="B2069" t="str">
        <f>"1552382817721194"</f>
        <v>1552382817721194</v>
      </c>
      <c r="C2069" t="s">
        <v>40</v>
      </c>
      <c r="D2069">
        <v>3.457983</v>
      </c>
      <c r="E2069">
        <v>0.44948389999999999</v>
      </c>
      <c r="F2069" t="s">
        <v>47</v>
      </c>
      <c r="G2069">
        <v>-491.49160000000001</v>
      </c>
      <c r="H2069" s="1">
        <v>2.039119E-6</v>
      </c>
      <c r="I2069">
        <v>275.76960000000003</v>
      </c>
      <c r="J2069">
        <v>-481.33760000000001</v>
      </c>
      <c r="K2069">
        <v>1.124377</v>
      </c>
      <c r="L2069">
        <v>283.13099999999997</v>
      </c>
      <c r="M2069">
        <v>-0.94474740000000001</v>
      </c>
      <c r="N2069">
        <v>0</v>
      </c>
      <c r="O2069">
        <v>-0.32716040000000002</v>
      </c>
      <c r="P2069">
        <v>-0.88026119999999997</v>
      </c>
      <c r="Q2069">
        <v>0.1492754</v>
      </c>
      <c r="R2069">
        <v>-0.4503973</v>
      </c>
      <c r="S2069">
        <v>-2.5377200000000002</v>
      </c>
      <c r="T2069">
        <v>-0.27101340000000002</v>
      </c>
      <c r="U2069">
        <v>-1.806305</v>
      </c>
      <c r="V2069">
        <v>-0.14342170000000001</v>
      </c>
      <c r="W2069">
        <v>0.1643396</v>
      </c>
      <c r="X2069">
        <v>0.9759215</v>
      </c>
      <c r="Y2069">
        <v>-0.28149790000000002</v>
      </c>
      <c r="Z2069">
        <v>1.6625580000000001E-2</v>
      </c>
      <c r="AA2069">
        <v>0.95941779999999999</v>
      </c>
      <c r="AB2069">
        <v>42</v>
      </c>
      <c r="AC2069">
        <v>-10.1539999999999</v>
      </c>
      <c r="AD2069">
        <v>-1.1243749608810001</v>
      </c>
      <c r="AE2069">
        <v>-7.3613999999999402</v>
      </c>
      <c r="AF2069">
        <v>-3.6044668501218</v>
      </c>
      <c r="AG2069">
        <v>-1.1243749608810001</v>
      </c>
      <c r="AH2069">
        <v>11.908126045000801</v>
      </c>
      <c r="AI2069">
        <v>95.163881791380803</v>
      </c>
      <c r="AJ2069">
        <v>106.840522165431</v>
      </c>
      <c r="AK2069">
        <v>12.4923923341332</v>
      </c>
      <c r="AL2069">
        <v>80.541127649284405</v>
      </c>
      <c r="AM2069">
        <v>98.360359615660599</v>
      </c>
      <c r="AN2069">
        <v>1.0000000311606401</v>
      </c>
    </row>
    <row r="2070" spans="1:40" x14ac:dyDescent="0.25">
      <c r="A2070" t="str">
        <f>"20190312172657753"</f>
        <v>20190312172657753</v>
      </c>
      <c r="B2070" t="str">
        <f>"1552382817740714"</f>
        <v>1552382817740714</v>
      </c>
      <c r="C2070" t="s">
        <v>40</v>
      </c>
      <c r="D2070">
        <v>3.4610029999999998</v>
      </c>
      <c r="E2070">
        <v>0.44878899999999999</v>
      </c>
      <c r="F2070" t="s">
        <v>47</v>
      </c>
      <c r="G2070">
        <v>-491.67349999999999</v>
      </c>
      <c r="H2070" s="1">
        <v>2.061574E-6</v>
      </c>
      <c r="I2070">
        <v>275.87869999999998</v>
      </c>
      <c r="J2070">
        <v>-481.72840000000002</v>
      </c>
      <c r="K2070">
        <v>1.1245639999999999</v>
      </c>
      <c r="L2070">
        <v>282.9873</v>
      </c>
      <c r="M2070">
        <v>-0.94008420000000004</v>
      </c>
      <c r="N2070">
        <v>0</v>
      </c>
      <c r="O2070">
        <v>-0.34032610000000002</v>
      </c>
      <c r="P2070">
        <v>-0.87302939999999996</v>
      </c>
      <c r="Q2070">
        <v>0.1493496</v>
      </c>
      <c r="R2070">
        <v>-0.46423589999999998</v>
      </c>
      <c r="S2070">
        <v>-2.542297</v>
      </c>
      <c r="T2070">
        <v>-0.27656219999999998</v>
      </c>
      <c r="U2070">
        <v>-1.78384399999999</v>
      </c>
      <c r="V2070">
        <v>-0.1452832</v>
      </c>
      <c r="W2070">
        <v>0.1643076</v>
      </c>
      <c r="X2070">
        <v>0.9756515</v>
      </c>
      <c r="Y2070">
        <v>-0.26168360000000002</v>
      </c>
      <c r="Z2070">
        <v>1.9120350000000001E-2</v>
      </c>
      <c r="AA2070">
        <v>0.9649643</v>
      </c>
      <c r="AB2070">
        <v>42</v>
      </c>
      <c r="AC2070">
        <v>-9.9450999999999592</v>
      </c>
      <c r="AD2070">
        <v>-1.1245619384259999</v>
      </c>
      <c r="AE2070">
        <v>-7.1086000000000196</v>
      </c>
      <c r="AF2070">
        <v>-3.2711155969074301</v>
      </c>
      <c r="AG2070">
        <v>-1.1245619384259999</v>
      </c>
      <c r="AH2070">
        <v>11.672166887805099</v>
      </c>
      <c r="AI2070">
        <v>95.300235576742807</v>
      </c>
      <c r="AJ2070">
        <v>105.65548643383001</v>
      </c>
      <c r="AK2070">
        <v>12.173919527352799</v>
      </c>
      <c r="AL2070">
        <v>80.542986298553998</v>
      </c>
      <c r="AM2070">
        <v>98.469616545186895</v>
      </c>
      <c r="AN2070">
        <v>1.0000000225361201</v>
      </c>
    </row>
    <row r="2071" spans="1:40" x14ac:dyDescent="0.25">
      <c r="A2071" t="str">
        <f>"20190312172657776"</f>
        <v>20190312172657776</v>
      </c>
      <c r="B2071" t="str">
        <f>"1552382817770969"</f>
        <v>1552382817770969</v>
      </c>
      <c r="C2071" t="s">
        <v>40</v>
      </c>
      <c r="D2071">
        <v>3.4337330000000001</v>
      </c>
      <c r="E2071">
        <v>0.44932119999999998</v>
      </c>
      <c r="F2071" t="s">
        <v>47</v>
      </c>
      <c r="G2071">
        <v>-492.13909999999998</v>
      </c>
      <c r="H2071" s="1">
        <v>1.8538510000000001E-6</v>
      </c>
      <c r="I2071">
        <v>275.40789999999998</v>
      </c>
      <c r="J2071">
        <v>-482.11939999999998</v>
      </c>
      <c r="K2071">
        <v>1.1247419999999999</v>
      </c>
      <c r="L2071">
        <v>282.83749999999998</v>
      </c>
      <c r="M2071">
        <v>-0.93513310000000005</v>
      </c>
      <c r="N2071">
        <v>0</v>
      </c>
      <c r="O2071">
        <v>-0.35370200000000002</v>
      </c>
      <c r="P2071">
        <v>-0.86511530000000003</v>
      </c>
      <c r="Q2071">
        <v>0.15003250000000001</v>
      </c>
      <c r="R2071">
        <v>-0.47860829999999999</v>
      </c>
      <c r="S2071">
        <v>-2.510742</v>
      </c>
      <c r="T2071">
        <v>-0.27120889999999997</v>
      </c>
      <c r="U2071">
        <v>-1.8279110000000001</v>
      </c>
      <c r="V2071">
        <v>-0.14764440000000001</v>
      </c>
      <c r="W2071">
        <v>0.1648608</v>
      </c>
      <c r="X2071">
        <v>0.97520359999999995</v>
      </c>
      <c r="Y2071">
        <v>-0.26477879999999998</v>
      </c>
      <c r="Z2071">
        <v>1.9841950000000001E-2</v>
      </c>
      <c r="AA2071">
        <v>0.96410499999999999</v>
      </c>
      <c r="AB2071">
        <v>42</v>
      </c>
      <c r="AC2071">
        <v>-10.0197</v>
      </c>
      <c r="AD2071">
        <v>-1.1247401461490001</v>
      </c>
      <c r="AE2071">
        <v>-7.42959999999999</v>
      </c>
      <c r="AF2071">
        <v>-3.3769376707057202</v>
      </c>
      <c r="AG2071">
        <v>-1.1247401461490001</v>
      </c>
      <c r="AH2071">
        <v>11.903364240978201</v>
      </c>
      <c r="AI2071">
        <v>95.1940256441831</v>
      </c>
      <c r="AJ2071">
        <v>105.838431016413</v>
      </c>
      <c r="AK2071">
        <v>12.4241228536098</v>
      </c>
      <c r="AL2071">
        <v>80.510851909882504</v>
      </c>
      <c r="AM2071">
        <v>98.609116592818495</v>
      </c>
      <c r="AN2071">
        <v>1.00000000684047</v>
      </c>
    </row>
    <row r="2072" spans="1:40" x14ac:dyDescent="0.25">
      <c r="A2072" t="str">
        <f>"20190312172657799"</f>
        <v>20190312172657799</v>
      </c>
      <c r="B2072" t="str">
        <f>"1552382817791469"</f>
        <v>1552382817791469</v>
      </c>
      <c r="C2072" t="s">
        <v>40</v>
      </c>
      <c r="D2072">
        <v>3.4614289999999999</v>
      </c>
      <c r="E2072">
        <v>0.45018730000000001</v>
      </c>
      <c r="F2072" t="s">
        <v>47</v>
      </c>
      <c r="G2072">
        <v>-492.63959999999997</v>
      </c>
      <c r="H2072" s="1">
        <v>1.642585E-6</v>
      </c>
      <c r="I2072">
        <v>274.9359</v>
      </c>
      <c r="J2072">
        <v>-482.50369999999998</v>
      </c>
      <c r="K2072">
        <v>1.1249020000000001</v>
      </c>
      <c r="L2072">
        <v>282.68389999999999</v>
      </c>
      <c r="M2072">
        <v>-0.92997660000000004</v>
      </c>
      <c r="N2072">
        <v>0</v>
      </c>
      <c r="O2072">
        <v>-0.3670447</v>
      </c>
      <c r="P2072">
        <v>-0.85704849999999999</v>
      </c>
      <c r="Q2072">
        <v>0.1509385</v>
      </c>
      <c r="R2072">
        <v>-0.49263129999999999</v>
      </c>
      <c r="S2072">
        <v>-2.4822690000000001</v>
      </c>
      <c r="T2072">
        <v>-0.26538620000000002</v>
      </c>
      <c r="U2072">
        <v>-1.8644099999999999</v>
      </c>
      <c r="V2072">
        <v>-0.14973629999999999</v>
      </c>
      <c r="W2072">
        <v>0.1656386</v>
      </c>
      <c r="X2072">
        <v>0.97475270000000003</v>
      </c>
      <c r="Y2072">
        <v>-0.26537929999999998</v>
      </c>
      <c r="Z2072">
        <v>2.0597359999999999E-2</v>
      </c>
      <c r="AA2072">
        <v>0.96392409999999995</v>
      </c>
      <c r="AB2072">
        <v>42</v>
      </c>
      <c r="AC2072">
        <v>-10.1358999999999</v>
      </c>
      <c r="AD2072">
        <v>-1.1249003574150001</v>
      </c>
      <c r="AE2072">
        <v>-7.7479999999999896</v>
      </c>
      <c r="AF2072">
        <v>-3.45897444214742</v>
      </c>
      <c r="AG2072">
        <v>-1.1249003574150001</v>
      </c>
      <c r="AH2072">
        <v>12.177925795797099</v>
      </c>
      <c r="AI2072">
        <v>95.077808959616107</v>
      </c>
      <c r="AJ2072">
        <v>105.856477364969</v>
      </c>
      <c r="AK2072">
        <v>12.709515399632</v>
      </c>
      <c r="AL2072">
        <v>80.465665629907804</v>
      </c>
      <c r="AM2072">
        <v>98.733204601068294</v>
      </c>
      <c r="AN2072">
        <v>0.99999996575246897</v>
      </c>
    </row>
    <row r="2073" spans="1:40" x14ac:dyDescent="0.25">
      <c r="A2073" t="str">
        <f>"20190312172657820"</f>
        <v>20190312172657820</v>
      </c>
      <c r="B2073" t="str">
        <f>"1552382817810986"</f>
        <v>1552382817810986</v>
      </c>
      <c r="C2073" t="s">
        <v>40</v>
      </c>
      <c r="D2073">
        <v>3.412728</v>
      </c>
      <c r="E2073">
        <v>0.4512275</v>
      </c>
      <c r="F2073" t="s">
        <v>47</v>
      </c>
      <c r="G2073">
        <v>-492.96230000000003</v>
      </c>
      <c r="H2073" s="1">
        <v>1.4983450000000001E-6</v>
      </c>
      <c r="I2073">
        <v>274.60120000000001</v>
      </c>
      <c r="J2073">
        <v>-482.88060000000002</v>
      </c>
      <c r="K2073">
        <v>1.1250519999999999</v>
      </c>
      <c r="L2073">
        <v>282.52719999999999</v>
      </c>
      <c r="M2073">
        <v>-0.92463280000000003</v>
      </c>
      <c r="N2073">
        <v>0</v>
      </c>
      <c r="O2073">
        <v>-0.38030510000000001</v>
      </c>
      <c r="P2073">
        <v>-0.84902029999999995</v>
      </c>
      <c r="Q2073">
        <v>0.15186169999999999</v>
      </c>
      <c r="R2073">
        <v>-0.50606609999999996</v>
      </c>
      <c r="S2073">
        <v>-2.4559329999999999</v>
      </c>
      <c r="T2073">
        <v>-0.26415369999999999</v>
      </c>
      <c r="U2073">
        <v>-1.89801</v>
      </c>
      <c r="V2073">
        <v>-0.15131359999999999</v>
      </c>
      <c r="W2073">
        <v>0.16645019999999999</v>
      </c>
      <c r="X2073">
        <v>0.97437079999999998</v>
      </c>
      <c r="Y2073">
        <v>-0.26488779999999901</v>
      </c>
      <c r="Z2073">
        <v>2.1713659999999999E-2</v>
      </c>
      <c r="AA2073">
        <v>0.96403470000000002</v>
      </c>
      <c r="AB2073">
        <v>42</v>
      </c>
      <c r="AC2073">
        <v>-10.0817</v>
      </c>
      <c r="AD2073">
        <v>-1.1250505016550001</v>
      </c>
      <c r="AE2073">
        <v>-7.9259999999999797</v>
      </c>
      <c r="AF2073">
        <v>-3.4685607572964199</v>
      </c>
      <c r="AG2073">
        <v>-1.1250505016550001</v>
      </c>
      <c r="AH2073">
        <v>12.2445370316421</v>
      </c>
      <c r="AI2073">
        <v>95.052004810861007</v>
      </c>
      <c r="AJ2073">
        <v>105.81605466210701</v>
      </c>
      <c r="AK2073">
        <v>12.775967261917399</v>
      </c>
      <c r="AL2073">
        <v>80.418509762824101</v>
      </c>
      <c r="AM2073">
        <v>98.827162541754603</v>
      </c>
      <c r="AN2073">
        <v>0.99999996525881896</v>
      </c>
    </row>
    <row r="2074" spans="1:40" x14ac:dyDescent="0.25">
      <c r="A2074" t="str">
        <f>"20190312172657843"</f>
        <v>20190312172657843</v>
      </c>
      <c r="B2074" t="str">
        <f>"1552382817831482"</f>
        <v>1552382817831482</v>
      </c>
      <c r="C2074" t="s">
        <v>40</v>
      </c>
      <c r="D2074">
        <v>3.4170159999999998</v>
      </c>
      <c r="E2074">
        <v>0.45229920000000001</v>
      </c>
      <c r="F2074" t="s">
        <v>47</v>
      </c>
      <c r="G2074">
        <v>-493.36790000000002</v>
      </c>
      <c r="H2074" s="1">
        <v>1.3924110000000001E-6</v>
      </c>
      <c r="I2074">
        <v>274.20389999999998</v>
      </c>
      <c r="J2074">
        <v>-483.24990000000003</v>
      </c>
      <c r="K2074">
        <v>1.125186</v>
      </c>
      <c r="L2074">
        <v>282.36739999999998</v>
      </c>
      <c r="M2074">
        <v>-0.91910950000000002</v>
      </c>
      <c r="N2074">
        <v>0</v>
      </c>
      <c r="O2074">
        <v>-0.39346599999999998</v>
      </c>
      <c r="P2074">
        <v>-0.84078999999999904</v>
      </c>
      <c r="Q2074">
        <v>0.15171809999999999</v>
      </c>
      <c r="R2074">
        <v>-0.51966689999999904</v>
      </c>
      <c r="S2074">
        <v>-2.43045</v>
      </c>
      <c r="T2074">
        <v>-0.26073229999999997</v>
      </c>
      <c r="U2074">
        <v>-1.928925</v>
      </c>
      <c r="V2074">
        <v>-0.153137299999999</v>
      </c>
      <c r="W2074">
        <v>0.16618729999999901</v>
      </c>
      <c r="X2074">
        <v>0.97413070000000002</v>
      </c>
      <c r="Y2074">
        <v>-0.26359759999999999</v>
      </c>
      <c r="Z2074">
        <v>2.265882E-2</v>
      </c>
      <c r="AA2074">
        <v>0.96436659999999996</v>
      </c>
      <c r="AB2074">
        <v>42</v>
      </c>
      <c r="AC2074">
        <v>-10.117999999999901</v>
      </c>
      <c r="AD2074">
        <v>-1.125184607589</v>
      </c>
      <c r="AE2074">
        <v>-8.1634999999999902</v>
      </c>
      <c r="AF2074">
        <v>-3.49661339763693</v>
      </c>
      <c r="AG2074">
        <v>-1.125184607589</v>
      </c>
      <c r="AH2074">
        <v>12.4212092401054</v>
      </c>
      <c r="AI2074">
        <v>94.983398304521202</v>
      </c>
      <c r="AJ2074">
        <v>105.722094687593</v>
      </c>
      <c r="AK2074">
        <v>12.9529450180324</v>
      </c>
      <c r="AL2074">
        <v>80.433785302387903</v>
      </c>
      <c r="AM2074">
        <v>98.934012169318095</v>
      </c>
      <c r="AN2074">
        <v>0.99999993600753301</v>
      </c>
    </row>
    <row r="2075" spans="1:40" x14ac:dyDescent="0.25">
      <c r="A2075" t="str">
        <f>"20190312172657865"</f>
        <v>20190312172657865</v>
      </c>
      <c r="B2075" t="str">
        <f>"1552382817860761"</f>
        <v>1552382817860761</v>
      </c>
      <c r="C2075" t="s">
        <v>40</v>
      </c>
      <c r="D2075">
        <v>3.4124379999999999</v>
      </c>
      <c r="E2075">
        <v>0.4616402</v>
      </c>
      <c r="F2075" t="s">
        <v>47</v>
      </c>
      <c r="G2075">
        <v>-493.58800000000002</v>
      </c>
      <c r="H2075" s="1">
        <v>1.325197E-6</v>
      </c>
      <c r="I2075">
        <v>273.93310000000002</v>
      </c>
      <c r="J2075">
        <v>-483.62029999999999</v>
      </c>
      <c r="K2075">
        <v>1.1253120000000001</v>
      </c>
      <c r="L2075">
        <v>282.20089999999999</v>
      </c>
      <c r="M2075">
        <v>-0.91327820000000004</v>
      </c>
      <c r="N2075">
        <v>0</v>
      </c>
      <c r="O2075">
        <v>-0.40681699999999998</v>
      </c>
      <c r="P2075">
        <v>-0.83218689999999995</v>
      </c>
      <c r="Q2075">
        <v>0.15172249999999901</v>
      </c>
      <c r="R2075">
        <v>-0.53333390000000003</v>
      </c>
      <c r="S2075">
        <v>-2.4034119999999999</v>
      </c>
      <c r="T2075">
        <v>-0.26158569999999998</v>
      </c>
      <c r="U2075">
        <v>-1.960815</v>
      </c>
      <c r="V2075">
        <v>-0.15491869999999999</v>
      </c>
      <c r="W2075">
        <v>0.166075</v>
      </c>
      <c r="X2075">
        <v>0.97386830000000002</v>
      </c>
      <c r="Y2075">
        <v>-0.262578599999999</v>
      </c>
      <c r="Z2075">
        <v>2.3971019999999999E-2</v>
      </c>
      <c r="AA2075">
        <v>0.96461280000000005</v>
      </c>
      <c r="AB2075">
        <v>41</v>
      </c>
      <c r="AC2075">
        <v>-9.9677000000000309</v>
      </c>
      <c r="AD2075">
        <v>-1.125310674803</v>
      </c>
      <c r="AE2075">
        <v>-8.2677999999999603</v>
      </c>
      <c r="AF2075">
        <v>-3.4703080995598499</v>
      </c>
      <c r="AG2075">
        <v>-1.125310674803</v>
      </c>
      <c r="AH2075">
        <v>12.3759553999903</v>
      </c>
      <c r="AI2075">
        <v>95.003506610177496</v>
      </c>
      <c r="AJ2075">
        <v>105.663883566374</v>
      </c>
      <c r="AK2075">
        <v>12.9024662170937</v>
      </c>
      <c r="AL2075">
        <v>80.440311754002806</v>
      </c>
      <c r="AM2075">
        <v>99.038628217369094</v>
      </c>
      <c r="AN2075">
        <v>1.0000000874897801</v>
      </c>
    </row>
    <row r="2076" spans="1:40" x14ac:dyDescent="0.25">
      <c r="A2076" t="str">
        <f>"20190312172657889"</f>
        <v>20190312172657889</v>
      </c>
      <c r="B2076" t="str">
        <f>"1552382817881258"</f>
        <v>1552382817881258</v>
      </c>
      <c r="C2076" t="s">
        <v>40</v>
      </c>
      <c r="D2076">
        <v>3.4012699999999998</v>
      </c>
      <c r="E2076">
        <v>0.46281840000000002</v>
      </c>
      <c r="F2076" t="s">
        <v>47</v>
      </c>
      <c r="G2076">
        <v>-493.92959999999999</v>
      </c>
      <c r="H2076" s="1">
        <v>1.292528E-6</v>
      </c>
      <c r="I2076">
        <v>273.91969999999998</v>
      </c>
      <c r="J2076">
        <v>-483.99680000000001</v>
      </c>
      <c r="K2076">
        <v>1.125437</v>
      </c>
      <c r="L2076">
        <v>282.02480000000003</v>
      </c>
      <c r="M2076">
        <v>-0.90703780000000001</v>
      </c>
      <c r="N2076">
        <v>0</v>
      </c>
      <c r="O2076">
        <v>-0.4205468</v>
      </c>
      <c r="P2076">
        <v>-0.82314319999999896</v>
      </c>
      <c r="Q2076">
        <v>0.1516342</v>
      </c>
      <c r="R2076">
        <v>-0.54721370000000003</v>
      </c>
      <c r="S2076">
        <v>-2.4114689999999999</v>
      </c>
      <c r="T2076">
        <v>-0.26322410000000002</v>
      </c>
      <c r="U2076">
        <v>-1.937073</v>
      </c>
      <c r="V2076">
        <v>-0.15660760000000001</v>
      </c>
      <c r="W2076">
        <v>0.1658751</v>
      </c>
      <c r="X2076">
        <v>0.97363219999999995</v>
      </c>
      <c r="Y2076">
        <v>-0.24074609999999999</v>
      </c>
      <c r="Z2076">
        <v>2.630739E-2</v>
      </c>
      <c r="AA2076">
        <v>0.97023150000000002</v>
      </c>
      <c r="AB2076">
        <v>41</v>
      </c>
      <c r="AC2076">
        <v>-9.9327999999999808</v>
      </c>
      <c r="AD2076">
        <v>-1.1254357074720001</v>
      </c>
      <c r="AE2076">
        <v>-8.1051000000000499</v>
      </c>
      <c r="AF2076">
        <v>-3.1508140418320698</v>
      </c>
      <c r="AG2076">
        <v>-1.1254357074720001</v>
      </c>
      <c r="AH2076">
        <v>12.3256361835313</v>
      </c>
      <c r="AI2076">
        <v>95.055444109350304</v>
      </c>
      <c r="AJ2076">
        <v>104.33949010887</v>
      </c>
      <c r="AK2076">
        <v>12.771669506632</v>
      </c>
      <c r="AL2076">
        <v>80.451926153147994</v>
      </c>
      <c r="AM2076">
        <v>99.137691032576498</v>
      </c>
      <c r="AN2076">
        <v>1.0000000750272999</v>
      </c>
    </row>
    <row r="2077" spans="1:40" x14ac:dyDescent="0.25">
      <c r="A2077" t="str">
        <f>"20190312172657910"</f>
        <v>20190312172657910</v>
      </c>
      <c r="B2077" t="str">
        <f>"1552382817900777"</f>
        <v>1552382817900777</v>
      </c>
      <c r="C2077" t="s">
        <v>40</v>
      </c>
      <c r="D2077">
        <v>3.3729650000000002</v>
      </c>
      <c r="E2077">
        <v>0.46411010000000003</v>
      </c>
      <c r="F2077" t="s">
        <v>47</v>
      </c>
      <c r="G2077">
        <v>-494.28149999999999</v>
      </c>
      <c r="H2077" s="1">
        <v>1.1927879999999999E-6</v>
      </c>
      <c r="I2077">
        <v>273.53050000000002</v>
      </c>
      <c r="J2077">
        <v>-484.35669999999999</v>
      </c>
      <c r="K2077">
        <v>1.1255539999999999</v>
      </c>
      <c r="L2077">
        <v>281.84960000000001</v>
      </c>
      <c r="M2077">
        <v>-0.90075709999999998</v>
      </c>
      <c r="N2077">
        <v>0</v>
      </c>
      <c r="O2077">
        <v>-0.4338359</v>
      </c>
      <c r="P2077">
        <v>-0.81447130000000001</v>
      </c>
      <c r="Q2077">
        <v>0.15159410000000001</v>
      </c>
      <c r="R2077">
        <v>-0.5600501</v>
      </c>
      <c r="S2077">
        <v>-2.3837890000000002</v>
      </c>
      <c r="T2077">
        <v>-0.26085399999999997</v>
      </c>
      <c r="U2077">
        <v>-1.9688110000000001</v>
      </c>
      <c r="V2077">
        <v>-0.15760279999999999</v>
      </c>
      <c r="W2077">
        <v>0.16575619999999999</v>
      </c>
      <c r="X2077">
        <v>0.97349180000000002</v>
      </c>
      <c r="Y2077">
        <v>-0.2397146</v>
      </c>
      <c r="Z2077">
        <v>2.7307399999999999E-2</v>
      </c>
      <c r="AA2077">
        <v>0.97045930000000002</v>
      </c>
      <c r="AB2077">
        <v>41</v>
      </c>
      <c r="AC2077">
        <v>-9.9247999999999994</v>
      </c>
      <c r="AD2077">
        <v>-1.125552807212</v>
      </c>
      <c r="AE2077">
        <v>-8.3190999999999899</v>
      </c>
      <c r="AF2077">
        <v>-3.1645236554683698</v>
      </c>
      <c r="AG2077">
        <v>-1.125552807212</v>
      </c>
      <c r="AH2077">
        <v>12.4575099780131</v>
      </c>
      <c r="AI2077">
        <v>95.004631174988205</v>
      </c>
      <c r="AJ2077">
        <v>104.253107196446</v>
      </c>
      <c r="AK2077">
        <v>12.902349938679301</v>
      </c>
      <c r="AL2077">
        <v>80.458833745716007</v>
      </c>
      <c r="AM2077">
        <v>99.196073297969505</v>
      </c>
      <c r="AN2077">
        <v>1.00000002253675</v>
      </c>
    </row>
    <row r="2078" spans="1:40" x14ac:dyDescent="0.25">
      <c r="A2078" t="str">
        <f>"20190312172657932"</f>
        <v>20190312172657932</v>
      </c>
      <c r="B2078" t="str">
        <f>"1552382817921274"</f>
        <v>1552382817921274</v>
      </c>
      <c r="C2078" t="s">
        <v>40</v>
      </c>
      <c r="D2078">
        <v>3.394981</v>
      </c>
      <c r="E2078">
        <v>0.4647638</v>
      </c>
      <c r="F2078" t="s">
        <v>47</v>
      </c>
      <c r="G2078">
        <v>-494.53300000000002</v>
      </c>
      <c r="H2078" s="1">
        <v>1.1178820000000001E-6</v>
      </c>
      <c r="I2078">
        <v>273.2319</v>
      </c>
      <c r="J2078">
        <v>-484.7081</v>
      </c>
      <c r="K2078">
        <v>1.1256600000000001</v>
      </c>
      <c r="L2078">
        <v>281.67219999999998</v>
      </c>
      <c r="M2078">
        <v>-0.89433059999999998</v>
      </c>
      <c r="N2078">
        <v>0</v>
      </c>
      <c r="O2078">
        <v>-0.44693339999999998</v>
      </c>
      <c r="P2078">
        <v>-0.80571000000000004</v>
      </c>
      <c r="Q2078">
        <v>0.15121019999999999</v>
      </c>
      <c r="R2078">
        <v>-0.57268399999999997</v>
      </c>
      <c r="S2078">
        <v>-2.3585509999999998</v>
      </c>
      <c r="T2078">
        <v>-0.26086749999999997</v>
      </c>
      <c r="U2078">
        <v>-1.997314</v>
      </c>
      <c r="V2078">
        <v>-0.1585792</v>
      </c>
      <c r="W2078">
        <v>0.16530049999999999</v>
      </c>
      <c r="X2078">
        <v>0.97341069999999996</v>
      </c>
      <c r="Y2078">
        <v>-0.2375391</v>
      </c>
      <c r="Z2078">
        <v>2.8572440000000001E-2</v>
      </c>
      <c r="AA2078">
        <v>0.97095770000000003</v>
      </c>
      <c r="AB2078">
        <v>41</v>
      </c>
      <c r="AC2078">
        <v>-9.8249000000000102</v>
      </c>
      <c r="AD2078">
        <v>-1.125658882118</v>
      </c>
      <c r="AE2078">
        <v>-8.4402999999999793</v>
      </c>
      <c r="AF2078">
        <v>-3.1343381537866799</v>
      </c>
      <c r="AG2078">
        <v>-1.125658882118</v>
      </c>
      <c r="AH2078">
        <v>12.467455903337701</v>
      </c>
      <c r="AI2078">
        <v>95.004230022359295</v>
      </c>
      <c r="AJ2078">
        <v>104.111799502274</v>
      </c>
      <c r="AK2078">
        <v>12.9045976412612</v>
      </c>
      <c r="AL2078">
        <v>80.485308478635105</v>
      </c>
      <c r="AM2078">
        <v>99.252821144844702</v>
      </c>
      <c r="AN2078">
        <v>1.0000000044236801</v>
      </c>
    </row>
    <row r="2079" spans="1:40" x14ac:dyDescent="0.25">
      <c r="A2079" t="str">
        <f>"20190312172657955"</f>
        <v>20190312172657955</v>
      </c>
      <c r="B2079" t="str">
        <f>"1552382817950557"</f>
        <v>1552382817950557</v>
      </c>
      <c r="C2079" t="s">
        <v>40</v>
      </c>
      <c r="D2079">
        <v>3.3062339999999901</v>
      </c>
      <c r="E2079">
        <v>0.46167330000000001</v>
      </c>
      <c r="F2079" t="s">
        <v>47</v>
      </c>
      <c r="G2079">
        <v>-494.77359999999999</v>
      </c>
      <c r="H2079" s="1">
        <v>1.0389619999999999E-6</v>
      </c>
      <c r="I2079">
        <v>272.9049</v>
      </c>
      <c r="J2079">
        <v>-485.06380000000001</v>
      </c>
      <c r="K2079">
        <v>1.1257649999999999</v>
      </c>
      <c r="L2079">
        <v>281.48599999999999</v>
      </c>
      <c r="M2079">
        <v>-0.88751209999999903</v>
      </c>
      <c r="N2079">
        <v>0</v>
      </c>
      <c r="O2079">
        <v>-0.46032469999999998</v>
      </c>
      <c r="P2079">
        <v>-0.79661910000000002</v>
      </c>
      <c r="Q2079">
        <v>0.1513922</v>
      </c>
      <c r="R2079">
        <v>-0.58521690000000004</v>
      </c>
      <c r="S2079">
        <v>-2.329895</v>
      </c>
      <c r="T2079">
        <v>-0.26055899999999999</v>
      </c>
      <c r="U2079">
        <v>-2.029388</v>
      </c>
      <c r="V2079">
        <v>-0.15923999999999999</v>
      </c>
      <c r="W2079">
        <v>0.16542419999999999</v>
      </c>
      <c r="X2079">
        <v>0.97328179999999997</v>
      </c>
      <c r="Y2079">
        <v>-0.23649010000000001</v>
      </c>
      <c r="Z2079">
        <v>2.9782940000000001E-2</v>
      </c>
      <c r="AA2079">
        <v>0.97117730000000002</v>
      </c>
      <c r="AB2079">
        <v>41</v>
      </c>
      <c r="AC2079">
        <v>-9.7097999999999693</v>
      </c>
      <c r="AD2079">
        <v>-1.1257639610379999</v>
      </c>
      <c r="AE2079">
        <v>-8.5810999999999904</v>
      </c>
      <c r="AF2079">
        <v>-3.1232627637466401</v>
      </c>
      <c r="AG2079">
        <v>-1.1257639610379999</v>
      </c>
      <c r="AH2079">
        <v>12.476155008245099</v>
      </c>
      <c r="AI2079">
        <v>95.002471469848601</v>
      </c>
      <c r="AJ2079">
        <v>104.054499375666</v>
      </c>
      <c r="AK2079">
        <v>12.910327593718799</v>
      </c>
      <c r="AL2079">
        <v>80.478122039519306</v>
      </c>
      <c r="AM2079">
        <v>99.2919157041284</v>
      </c>
      <c r="AN2079">
        <v>1.0000000028784399</v>
      </c>
    </row>
    <row r="2080" spans="1:40" x14ac:dyDescent="0.25">
      <c r="A2080" t="str">
        <f>"20190312172657977"</f>
        <v>20190312172657977</v>
      </c>
      <c r="B2080" t="str">
        <f>"1552382817971053"</f>
        <v>1552382817971053</v>
      </c>
      <c r="C2080" t="s">
        <v>40</v>
      </c>
      <c r="D2080">
        <v>3.1646209999999999</v>
      </c>
      <c r="E2080">
        <v>0.43307800000000002</v>
      </c>
      <c r="F2080" t="s">
        <v>47</v>
      </c>
      <c r="G2080">
        <v>-495.07220000000001</v>
      </c>
      <c r="H2080" s="1">
        <v>9.1330120000000002E-7</v>
      </c>
      <c r="I2080">
        <v>272.34179999999998</v>
      </c>
      <c r="J2080">
        <v>-485.41359999999997</v>
      </c>
      <c r="K2080">
        <v>1.125858</v>
      </c>
      <c r="L2080">
        <v>281.29610000000002</v>
      </c>
      <c r="M2080">
        <v>-0.88049270000000002</v>
      </c>
      <c r="N2080">
        <v>0</v>
      </c>
      <c r="O2080">
        <v>-0.47361229999999999</v>
      </c>
      <c r="P2080">
        <v>-0.78725009999999995</v>
      </c>
      <c r="Q2080">
        <v>0.1526071</v>
      </c>
      <c r="R2080">
        <v>-0.59745170000000003</v>
      </c>
      <c r="S2080">
        <v>-2.2826230000000001</v>
      </c>
      <c r="T2080">
        <v>-0.25675609999999999</v>
      </c>
      <c r="U2080">
        <v>-2.0855410000000001</v>
      </c>
      <c r="V2080">
        <v>-0.15984000000000001</v>
      </c>
      <c r="W2080">
        <v>0.1665837</v>
      </c>
      <c r="X2080">
        <v>0.97298560000000001</v>
      </c>
      <c r="Y2080">
        <v>-0.244926</v>
      </c>
      <c r="Z2080">
        <v>3.0178739999999999E-2</v>
      </c>
      <c r="AA2080">
        <v>0.96907200000000004</v>
      </c>
      <c r="AB2080">
        <v>41</v>
      </c>
      <c r="AC2080">
        <v>-9.6586000000000301</v>
      </c>
      <c r="AD2080">
        <v>-1.1258570866988</v>
      </c>
      <c r="AE2080">
        <v>-8.9543000000000408</v>
      </c>
      <c r="AF2080">
        <v>-3.2864513674082301</v>
      </c>
      <c r="AG2080">
        <v>-1.1258570866988</v>
      </c>
      <c r="AH2080">
        <v>12.6554213598356</v>
      </c>
      <c r="AI2080">
        <v>94.921394395071502</v>
      </c>
      <c r="AJ2080">
        <v>104.55742944344</v>
      </c>
      <c r="AK2080">
        <v>13.123566838515799</v>
      </c>
      <c r="AL2080">
        <v>80.410752482954706</v>
      </c>
      <c r="AM2080">
        <v>99.329101899863701</v>
      </c>
      <c r="AN2080">
        <v>0.99999996625652399</v>
      </c>
    </row>
    <row r="2081" spans="1:40" x14ac:dyDescent="0.25">
      <c r="A2081" t="str">
        <f>"20190312172658000"</f>
        <v>20190312172658000</v>
      </c>
      <c r="B2081" t="str">
        <f>"1552382817991546"</f>
        <v>1552382817991546</v>
      </c>
      <c r="C2081" t="s">
        <v>40</v>
      </c>
      <c r="D2081">
        <v>3.2859780000000001</v>
      </c>
      <c r="E2081">
        <v>0.43566539999999998</v>
      </c>
      <c r="F2081" t="s">
        <v>47</v>
      </c>
      <c r="G2081">
        <v>-495.79239999999999</v>
      </c>
      <c r="H2081" s="1">
        <v>1.277285E-7</v>
      </c>
      <c r="I2081">
        <v>269.97770000000003</v>
      </c>
      <c r="J2081">
        <v>-485.76479999999998</v>
      </c>
      <c r="K2081">
        <v>1.1259330000000001</v>
      </c>
      <c r="L2081">
        <v>281.09859999999998</v>
      </c>
      <c r="M2081">
        <v>-0.87311939999999999</v>
      </c>
      <c r="N2081">
        <v>0</v>
      </c>
      <c r="O2081">
        <v>-0.48707099999999998</v>
      </c>
      <c r="P2081">
        <v>-0.77755010000000002</v>
      </c>
      <c r="Q2081">
        <v>0.15303900000000001</v>
      </c>
      <c r="R2081">
        <v>-0.60991379999999995</v>
      </c>
      <c r="S2081">
        <v>-2.1093440000000001</v>
      </c>
      <c r="T2081">
        <v>-0.22881560000000001</v>
      </c>
      <c r="U2081">
        <v>-2.3003230000000001</v>
      </c>
      <c r="V2081">
        <v>-0.16049669999999999</v>
      </c>
      <c r="W2081">
        <v>0.16696220000000001</v>
      </c>
      <c r="X2081">
        <v>0.97281269999999997</v>
      </c>
      <c r="Y2081">
        <v>-0.31473099999999998</v>
      </c>
      <c r="Z2081">
        <v>2.5336170000000002E-2</v>
      </c>
      <c r="AA2081">
        <v>0.94884270000000004</v>
      </c>
      <c r="AB2081">
        <v>41</v>
      </c>
      <c r="AC2081">
        <v>-10.0276</v>
      </c>
      <c r="AD2081">
        <v>-1.1259328722714901</v>
      </c>
      <c r="AE2081">
        <v>-11.120899999999899</v>
      </c>
      <c r="AF2081">
        <v>-4.7996088120975298</v>
      </c>
      <c r="AG2081">
        <v>-1.1259328722714901</v>
      </c>
      <c r="AH2081">
        <v>14.095276705586601</v>
      </c>
      <c r="AI2081">
        <v>94.324279747518304</v>
      </c>
      <c r="AJ2081">
        <v>108.804317313448</v>
      </c>
      <c r="AK2081">
        <v>14.9325414778958</v>
      </c>
      <c r="AL2081">
        <v>80.388758895213002</v>
      </c>
      <c r="AM2081">
        <v>99.368387704249898</v>
      </c>
      <c r="AN2081">
        <v>1.0000000581105</v>
      </c>
    </row>
    <row r="2082" spans="1:40" x14ac:dyDescent="0.25">
      <c r="A2082" t="str">
        <f>"20190312172658021"</f>
        <v>20190312172658021</v>
      </c>
      <c r="B2082" t="str">
        <f>"1552382818011066"</f>
        <v>1552382818011066</v>
      </c>
      <c r="C2082" t="s">
        <v>40</v>
      </c>
      <c r="D2082">
        <v>3.1199129999999999</v>
      </c>
      <c r="E2082">
        <v>0.43659130000000002</v>
      </c>
      <c r="F2082" t="s">
        <v>41</v>
      </c>
      <c r="G2082">
        <v>-496.15140000000002</v>
      </c>
      <c r="H2082" s="1">
        <v>-5.367596E-6</v>
      </c>
      <c r="I2082">
        <v>269.55329999999998</v>
      </c>
      <c r="J2082">
        <v>-486.10169999999999</v>
      </c>
      <c r="K2082">
        <v>1.1260030000000001</v>
      </c>
      <c r="L2082">
        <v>280.90230000000003</v>
      </c>
      <c r="M2082">
        <v>-0.86572389999999999</v>
      </c>
      <c r="N2082">
        <v>0</v>
      </c>
      <c r="O2082">
        <v>-0.50009729999999997</v>
      </c>
      <c r="P2082">
        <v>-0.76775899999999997</v>
      </c>
      <c r="Q2082">
        <v>0.15319279999999999</v>
      </c>
      <c r="R2082">
        <v>-0.62215609999999999</v>
      </c>
      <c r="S2082">
        <v>-2.0849299999999999</v>
      </c>
      <c r="T2082">
        <v>-0.22601209999999999</v>
      </c>
      <c r="U2082">
        <v>-2.3175050000000001</v>
      </c>
      <c r="V2082">
        <v>-0.1613888</v>
      </c>
      <c r="W2082">
        <v>0.16705619999999999</v>
      </c>
      <c r="X2082">
        <v>0.97264890000000004</v>
      </c>
      <c r="Y2082">
        <v>-0.30954549999999997</v>
      </c>
      <c r="Z2082">
        <v>2.6260789999999999E-2</v>
      </c>
      <c r="AA2082">
        <v>0.95052190000000003</v>
      </c>
      <c r="AB2082">
        <v>40</v>
      </c>
      <c r="AC2082">
        <v>-10.0497</v>
      </c>
      <c r="AD2082">
        <v>-1.126008367596</v>
      </c>
      <c r="AE2082">
        <v>-11.349</v>
      </c>
      <c r="AF2082">
        <v>-4.7739522871281599</v>
      </c>
      <c r="AG2082">
        <v>-1.126008367596</v>
      </c>
      <c r="AH2082">
        <v>14.300024278208401</v>
      </c>
      <c r="AI2082">
        <v>94.2714640431155</v>
      </c>
      <c r="AJ2082">
        <v>108.46118773984099</v>
      </c>
      <c r="AK2082">
        <v>15.117844080457401</v>
      </c>
      <c r="AL2082">
        <v>80.383295815608903</v>
      </c>
      <c r="AM2082">
        <v>99.421087818344503</v>
      </c>
      <c r="AN2082">
        <v>1.00000000069754</v>
      </c>
    </row>
    <row r="2083" spans="1:40" x14ac:dyDescent="0.25">
      <c r="A2083" t="str">
        <f>"20190312172658044"</f>
        <v>20190312172658044</v>
      </c>
      <c r="B2083" t="str">
        <f>"1552382818041322"</f>
        <v>1552382818041322</v>
      </c>
      <c r="C2083" t="s">
        <v>40</v>
      </c>
      <c r="D2083">
        <v>3.265822</v>
      </c>
      <c r="E2083">
        <v>0.43824370000000001</v>
      </c>
      <c r="F2083" t="s">
        <v>41</v>
      </c>
      <c r="G2083">
        <v>-496.24950000000001</v>
      </c>
      <c r="H2083" s="1">
        <v>-5.3009889999999996E-6</v>
      </c>
      <c r="I2083">
        <v>269.30650000000003</v>
      </c>
      <c r="J2083">
        <v>-486.43669999999997</v>
      </c>
      <c r="K2083">
        <v>1.126064</v>
      </c>
      <c r="L2083">
        <v>280.7004</v>
      </c>
      <c r="M2083">
        <v>-0.85804760000000002</v>
      </c>
      <c r="N2083">
        <v>0</v>
      </c>
      <c r="O2083">
        <v>-0.5131561</v>
      </c>
      <c r="P2083">
        <v>-0.75802250000000004</v>
      </c>
      <c r="Q2083">
        <v>0.15299679999999999</v>
      </c>
      <c r="R2083">
        <v>-0.63402990000000004</v>
      </c>
      <c r="S2083">
        <v>-2.0524290000000001</v>
      </c>
      <c r="T2083">
        <v>-0.22773869999999999</v>
      </c>
      <c r="U2083">
        <v>-2.3453059999999999</v>
      </c>
      <c r="V2083">
        <v>-0.1617932</v>
      </c>
      <c r="W2083">
        <v>0.1668249</v>
      </c>
      <c r="X2083">
        <v>0.97262139999999997</v>
      </c>
      <c r="Y2083">
        <v>-0.308212599999999</v>
      </c>
      <c r="Z2083">
        <v>2.7553419999999999E-2</v>
      </c>
      <c r="AA2083">
        <v>0.95091840000000005</v>
      </c>
      <c r="AB2083">
        <v>40</v>
      </c>
      <c r="AC2083">
        <v>-9.8128000000000295</v>
      </c>
      <c r="AD2083">
        <v>-1.1260693009889999</v>
      </c>
      <c r="AE2083">
        <v>-11.393899999999901</v>
      </c>
      <c r="AF2083">
        <v>-4.7155736205893497</v>
      </c>
      <c r="AG2083">
        <v>-1.1260693009889999</v>
      </c>
      <c r="AH2083">
        <v>14.1901542358173</v>
      </c>
      <c r="AI2083">
        <v>94.306611515982894</v>
      </c>
      <c r="AJ2083">
        <v>108.382321271187</v>
      </c>
      <c r="AK2083">
        <v>14.9955041221732</v>
      </c>
      <c r="AL2083">
        <v>80.396736819304493</v>
      </c>
      <c r="AM2083">
        <v>99.444532160019705</v>
      </c>
      <c r="AN2083">
        <v>0.99999998728210404</v>
      </c>
    </row>
    <row r="2084" spans="1:40" x14ac:dyDescent="0.25">
      <c r="A2084" t="str">
        <f>"20190312172658067"</f>
        <v>20190312172658067</v>
      </c>
      <c r="B2084" t="str">
        <f>"1552382818060842"</f>
        <v>1552382818060842</v>
      </c>
      <c r="C2084" t="s">
        <v>40</v>
      </c>
      <c r="D2084">
        <v>3.2243729999999999</v>
      </c>
      <c r="E2084">
        <v>0.4394594</v>
      </c>
      <c r="F2084" t="s">
        <v>41</v>
      </c>
      <c r="G2084">
        <v>-496.47669999999999</v>
      </c>
      <c r="H2084" s="1">
        <v>-5.2236350000000002E-6</v>
      </c>
      <c r="I2084">
        <v>268.96069999999997</v>
      </c>
      <c r="J2084">
        <v>-486.77910000000003</v>
      </c>
      <c r="K2084">
        <v>1.126123</v>
      </c>
      <c r="L2084">
        <v>280.48680000000002</v>
      </c>
      <c r="M2084">
        <v>-0.84985339999999998</v>
      </c>
      <c r="N2084">
        <v>0</v>
      </c>
      <c r="O2084">
        <v>-0.52661559999999996</v>
      </c>
      <c r="P2084">
        <v>-0.7478186</v>
      </c>
      <c r="Q2084">
        <v>0.15285599999999999</v>
      </c>
      <c r="R2084">
        <v>-0.6460669</v>
      </c>
      <c r="S2084">
        <v>-2.023987</v>
      </c>
      <c r="T2084">
        <v>-0.22700680000000001</v>
      </c>
      <c r="U2084">
        <v>-2.366638</v>
      </c>
      <c r="V2084">
        <v>-0.16202040000000001</v>
      </c>
      <c r="W2084">
        <v>0.16665849999999999</v>
      </c>
      <c r="X2084">
        <v>0.97261209999999998</v>
      </c>
      <c r="Y2084">
        <v>-0.3040737</v>
      </c>
      <c r="Z2084">
        <v>2.869799E-2</v>
      </c>
      <c r="AA2084">
        <v>0.95221610000000001</v>
      </c>
      <c r="AB2084">
        <v>40</v>
      </c>
      <c r="AC2084">
        <v>-9.6975999999999605</v>
      </c>
      <c r="AD2084">
        <v>-1.1261282236350001</v>
      </c>
      <c r="AE2084">
        <v>-11.5261</v>
      </c>
      <c r="AF2084">
        <v>-4.6635194869371599</v>
      </c>
      <c r="AG2084">
        <v>-1.1261282236350001</v>
      </c>
      <c r="AH2084">
        <v>14.2348442293248</v>
      </c>
      <c r="AI2084">
        <v>94.299351738449403</v>
      </c>
      <c r="AJ2084">
        <v>108.139466555788</v>
      </c>
      <c r="AK2084">
        <v>15.0215634677038</v>
      </c>
      <c r="AL2084">
        <v>80.406406145183098</v>
      </c>
      <c r="AM2084">
        <v>99.457644118772706</v>
      </c>
      <c r="AN2084">
        <v>0.99999998135240897</v>
      </c>
    </row>
    <row r="2085" spans="1:40" x14ac:dyDescent="0.25">
      <c r="A2085" t="str">
        <f>"20190312172658090"</f>
        <v>20190312172658090</v>
      </c>
      <c r="B2085" t="str">
        <f>"1552382818081338"</f>
        <v>1552382818081338</v>
      </c>
      <c r="C2085" t="s">
        <v>40</v>
      </c>
      <c r="D2085">
        <v>3.2504029999999999</v>
      </c>
      <c r="E2085">
        <v>0.4408031</v>
      </c>
      <c r="F2085" t="s">
        <v>41</v>
      </c>
      <c r="G2085">
        <v>-496.48820000000001</v>
      </c>
      <c r="H2085" s="1">
        <v>-5.1818449999999999E-6</v>
      </c>
      <c r="I2085">
        <v>268.83190000000002</v>
      </c>
      <c r="J2085">
        <v>-487.1139</v>
      </c>
      <c r="K2085">
        <v>1.126177</v>
      </c>
      <c r="L2085">
        <v>280.27010000000001</v>
      </c>
      <c r="M2085">
        <v>-0.84147850000000002</v>
      </c>
      <c r="N2085">
        <v>0</v>
      </c>
      <c r="O2085">
        <v>-0.53989639999999905</v>
      </c>
      <c r="P2085">
        <v>-0.73821049999999999</v>
      </c>
      <c r="Q2085">
        <v>0.1511149</v>
      </c>
      <c r="R2085">
        <v>-0.65742639999999997</v>
      </c>
      <c r="S2085">
        <v>-1.9924930000000001</v>
      </c>
      <c r="T2085">
        <v>-0.23110349999999999</v>
      </c>
      <c r="U2085">
        <v>-2.3918149999999998</v>
      </c>
      <c r="V2085">
        <v>-0.16138039999999901</v>
      </c>
      <c r="W2085">
        <v>0.1649369</v>
      </c>
      <c r="X2085">
        <v>0.97301190000000004</v>
      </c>
      <c r="Y2085">
        <v>-0.3014848</v>
      </c>
      <c r="Z2085">
        <v>3.0391250000000002E-2</v>
      </c>
      <c r="AA2085">
        <v>0.95298649999999996</v>
      </c>
      <c r="AB2085">
        <v>40</v>
      </c>
      <c r="AC2085">
        <v>-9.3742999999999999</v>
      </c>
      <c r="AD2085">
        <v>-1.126182181845</v>
      </c>
      <c r="AE2085">
        <v>-11.438199999999901</v>
      </c>
      <c r="AF2085">
        <v>-4.5385020222880197</v>
      </c>
      <c r="AG2085">
        <v>-1.126182181845</v>
      </c>
      <c r="AH2085">
        <v>13.9856083635663</v>
      </c>
      <c r="AI2085">
        <v>94.379869009725098</v>
      </c>
      <c r="AJ2085">
        <v>107.978884675042</v>
      </c>
      <c r="AK2085">
        <v>14.7466446424965</v>
      </c>
      <c r="AL2085">
        <v>80.506430983932603</v>
      </c>
      <c r="AM2085">
        <v>99.417154692374694</v>
      </c>
      <c r="AN2085">
        <v>0.99999998601369</v>
      </c>
    </row>
    <row r="2086" spans="1:40" x14ac:dyDescent="0.25">
      <c r="A2086" t="str">
        <f>"20190312172658112"</f>
        <v>20190312172658112</v>
      </c>
      <c r="B2086" t="str">
        <f>"1552382818100858"</f>
        <v>1552382818100858</v>
      </c>
      <c r="C2086" t="s">
        <v>40</v>
      </c>
      <c r="D2086">
        <v>3.174995</v>
      </c>
      <c r="E2086">
        <v>0.44164999999999999</v>
      </c>
      <c r="F2086" t="s">
        <v>41</v>
      </c>
      <c r="G2086">
        <v>-496.48559999999998</v>
      </c>
      <c r="H2086" s="1">
        <v>-5.1509600000000001E-6</v>
      </c>
      <c r="I2086">
        <v>268.74250000000001</v>
      </c>
      <c r="J2086">
        <v>-487.44130000000001</v>
      </c>
      <c r="K2086">
        <v>1.1262299999999901</v>
      </c>
      <c r="L2086">
        <v>280.0505</v>
      </c>
      <c r="M2086">
        <v>-0.83292379999999999</v>
      </c>
      <c r="N2086">
        <v>0</v>
      </c>
      <c r="O2086">
        <v>-0.55300269999999996</v>
      </c>
      <c r="P2086">
        <v>-0.72819780000000001</v>
      </c>
      <c r="Q2086">
        <v>0.15035090000000001</v>
      </c>
      <c r="R2086">
        <v>-0.66867279999999996</v>
      </c>
      <c r="S2086">
        <v>-1.9624330000000001</v>
      </c>
      <c r="T2086">
        <v>-0.235822</v>
      </c>
      <c r="U2086">
        <v>-2.4138790000000001</v>
      </c>
      <c r="V2086">
        <v>-0.16097739999999999</v>
      </c>
      <c r="W2086">
        <v>0.1641811</v>
      </c>
      <c r="X2086">
        <v>0.97320649999999997</v>
      </c>
      <c r="Y2086">
        <v>-0.2980102</v>
      </c>
      <c r="Z2086">
        <v>3.2238419999999997E-2</v>
      </c>
      <c r="AA2086">
        <v>0.95401809999999998</v>
      </c>
      <c r="AB2086">
        <v>40</v>
      </c>
      <c r="AC2086">
        <v>-9.0442999999999607</v>
      </c>
      <c r="AD2086">
        <v>-1.1262351509599999</v>
      </c>
      <c r="AE2086">
        <v>-11.3079999999999</v>
      </c>
      <c r="AF2086">
        <v>-4.3915542519026696</v>
      </c>
      <c r="AG2086">
        <v>-1.1262351509599999</v>
      </c>
      <c r="AH2086">
        <v>13.706586080728201</v>
      </c>
      <c r="AI2086">
        <v>94.474233505768794</v>
      </c>
      <c r="AJ2086">
        <v>107.765322476271</v>
      </c>
      <c r="AK2086">
        <v>14.436919905266301</v>
      </c>
      <c r="AL2086">
        <v>80.550334015169696</v>
      </c>
      <c r="AM2086">
        <v>99.392212881167396</v>
      </c>
      <c r="AN2086">
        <v>1.0000000242750999</v>
      </c>
    </row>
    <row r="2087" spans="1:40" x14ac:dyDescent="0.25">
      <c r="A2087" t="str">
        <f>"20190312172658135"</f>
        <v>20190312172658135</v>
      </c>
      <c r="B2087" t="str">
        <f>"1552382818131115"</f>
        <v>1552382818131115</v>
      </c>
      <c r="C2087" t="s">
        <v>40</v>
      </c>
      <c r="D2087">
        <v>3.1678519999999999</v>
      </c>
      <c r="E2087">
        <v>0.4428955</v>
      </c>
      <c r="F2087" t="s">
        <v>41</v>
      </c>
      <c r="G2087">
        <v>-496.53429999999997</v>
      </c>
      <c r="H2087" s="1">
        <v>-5.0958730000000001E-6</v>
      </c>
      <c r="I2087">
        <v>268.55529999999999</v>
      </c>
      <c r="J2087">
        <v>-487.75420000000003</v>
      </c>
      <c r="K2087">
        <v>1.1262639999999999</v>
      </c>
      <c r="L2087">
        <v>279.83370000000002</v>
      </c>
      <c r="M2087">
        <v>-0.82440879999999905</v>
      </c>
      <c r="N2087">
        <v>0</v>
      </c>
      <c r="O2087">
        <v>-0.56561790000000001</v>
      </c>
      <c r="P2087">
        <v>-0.71854110000000004</v>
      </c>
      <c r="Q2087">
        <v>0.14825179999999999</v>
      </c>
      <c r="R2087">
        <v>-0.67949999999999999</v>
      </c>
      <c r="S2087">
        <v>-1.9293819999999999</v>
      </c>
      <c r="T2087">
        <v>-0.2389693</v>
      </c>
      <c r="U2087">
        <v>-2.439117</v>
      </c>
      <c r="V2087">
        <v>-0.16042110000000001</v>
      </c>
      <c r="W2087">
        <v>0.16210450000000001</v>
      </c>
      <c r="X2087">
        <v>0.97364629999999996</v>
      </c>
      <c r="Y2087">
        <v>-0.29627170000000003</v>
      </c>
      <c r="Z2087">
        <v>3.3802699999999998E-2</v>
      </c>
      <c r="AA2087">
        <v>0.9545053</v>
      </c>
      <c r="AB2087">
        <v>40</v>
      </c>
      <c r="AC2087">
        <v>-8.7800999999999405</v>
      </c>
      <c r="AD2087">
        <v>-1.1262690958729999</v>
      </c>
      <c r="AE2087">
        <v>-11.2784</v>
      </c>
      <c r="AF2087">
        <v>-4.3060178904392101</v>
      </c>
      <c r="AG2087">
        <v>-1.1262690958729999</v>
      </c>
      <c r="AH2087">
        <v>13.536511471261401</v>
      </c>
      <c r="AI2087">
        <v>94.5333504753075</v>
      </c>
      <c r="AJ2087">
        <v>107.64607323868501</v>
      </c>
      <c r="AK2087">
        <v>14.249470690544699</v>
      </c>
      <c r="AL2087">
        <v>80.670929517375399</v>
      </c>
      <c r="AM2087">
        <v>99.356177685534206</v>
      </c>
      <c r="AN2087">
        <v>0.99999995787457396</v>
      </c>
    </row>
    <row r="2088" spans="1:40" x14ac:dyDescent="0.25">
      <c r="A2088" t="str">
        <f>"20190312172658157"</f>
        <v>20190312172658157</v>
      </c>
      <c r="B2088" t="str">
        <f>"1552382818150634"</f>
        <v>1552382818150634</v>
      </c>
      <c r="C2088" t="s">
        <v>40</v>
      </c>
      <c r="D2088">
        <v>3.084829</v>
      </c>
      <c r="E2088">
        <v>0.44386789999999998</v>
      </c>
      <c r="F2088" t="s">
        <v>41</v>
      </c>
      <c r="G2088">
        <v>-496.37799999999999</v>
      </c>
      <c r="H2088" s="1">
        <v>-5.1081460000000003E-6</v>
      </c>
      <c r="I2088">
        <v>268.6728</v>
      </c>
      <c r="J2088">
        <v>-488.07040000000001</v>
      </c>
      <c r="K2088">
        <v>1.1263049999999999</v>
      </c>
      <c r="L2088">
        <v>279.60719999999998</v>
      </c>
      <c r="M2088">
        <v>-0.81544939999999999</v>
      </c>
      <c r="N2088">
        <v>0</v>
      </c>
      <c r="O2088">
        <v>-0.57845959999999996</v>
      </c>
      <c r="P2088">
        <v>-0.70853940000000004</v>
      </c>
      <c r="Q2088">
        <v>0.14725940000000001</v>
      </c>
      <c r="R2088">
        <v>-0.69013549999999901</v>
      </c>
      <c r="S2088">
        <v>-1.900452</v>
      </c>
      <c r="T2088">
        <v>-0.2481997</v>
      </c>
      <c r="U2088">
        <v>-2.4595639999999999</v>
      </c>
      <c r="V2088">
        <v>-0.15954189999999999</v>
      </c>
      <c r="W2088">
        <v>0.1611474</v>
      </c>
      <c r="X2088">
        <v>0.97394959999999997</v>
      </c>
      <c r="Y2088">
        <v>-0.29225200000000001</v>
      </c>
      <c r="Z2088">
        <v>3.6392599999999997E-2</v>
      </c>
      <c r="AA2088">
        <v>0.95564870000000002</v>
      </c>
      <c r="AB2088">
        <v>40</v>
      </c>
      <c r="AC2088">
        <v>-8.3076000000000292</v>
      </c>
      <c r="AD2088">
        <v>-1.1263101081460001</v>
      </c>
      <c r="AE2088">
        <v>-10.934399999999901</v>
      </c>
      <c r="AF2088">
        <v>-4.0842414000104501</v>
      </c>
      <c r="AG2088">
        <v>-1.1263101081460001</v>
      </c>
      <c r="AH2088">
        <v>13.014780753918499</v>
      </c>
      <c r="AI2088">
        <v>94.720234193332104</v>
      </c>
      <c r="AJ2088">
        <v>107.422671639387</v>
      </c>
      <c r="AK2088">
        <v>13.687005528816</v>
      </c>
      <c r="AL2088">
        <v>80.726497967528104</v>
      </c>
      <c r="AM2088">
        <v>99.302952601319106</v>
      </c>
      <c r="AN2088">
        <v>0.99999996286126402</v>
      </c>
    </row>
    <row r="2089" spans="1:40" x14ac:dyDescent="0.25">
      <c r="A2089" t="str">
        <f>"20190312172658178"</f>
        <v>20190312172658178</v>
      </c>
      <c r="B2089" t="str">
        <f>"1552382818171138"</f>
        <v>1552382818171138</v>
      </c>
      <c r="C2089" t="s">
        <v>40</v>
      </c>
      <c r="D2089">
        <v>3.0928360000000001</v>
      </c>
      <c r="E2089">
        <v>0.44437890000000002</v>
      </c>
      <c r="F2089" t="s">
        <v>41</v>
      </c>
      <c r="G2089">
        <v>-496.48039999999997</v>
      </c>
      <c r="H2089" s="1">
        <v>-5.0478110000000003E-6</v>
      </c>
      <c r="I2089">
        <v>268.44209999999998</v>
      </c>
      <c r="J2089">
        <v>-488.37490000000003</v>
      </c>
      <c r="K2089">
        <v>1.1263449999999999</v>
      </c>
      <c r="L2089">
        <v>279.3818</v>
      </c>
      <c r="M2089">
        <v>-0.80646649999999998</v>
      </c>
      <c r="N2089">
        <v>0</v>
      </c>
      <c r="O2089">
        <v>-0.59091839999999995</v>
      </c>
      <c r="P2089">
        <v>-0.69775919999999902</v>
      </c>
      <c r="Q2089">
        <v>0.14890329999999999</v>
      </c>
      <c r="R2089">
        <v>-0.70068589999999997</v>
      </c>
      <c r="S2089">
        <v>-1.86911</v>
      </c>
      <c r="T2089">
        <v>-0.25032080000000001</v>
      </c>
      <c r="U2089">
        <v>-2.4814150000000001</v>
      </c>
      <c r="V2089">
        <v>-0.15947339999999999</v>
      </c>
      <c r="W2089">
        <v>0.16278629999999999</v>
      </c>
      <c r="X2089">
        <v>0.97368829999999995</v>
      </c>
      <c r="Y2089">
        <v>-0.28934140000000003</v>
      </c>
      <c r="Z2089">
        <v>3.7931140000000002E-2</v>
      </c>
      <c r="AA2089">
        <v>0.95647409999999999</v>
      </c>
      <c r="AB2089">
        <v>39</v>
      </c>
      <c r="AC2089">
        <v>-8.1054999999999495</v>
      </c>
      <c r="AD2089">
        <v>-1.126350047811</v>
      </c>
      <c r="AE2089">
        <v>-10.9397</v>
      </c>
      <c r="AF2089">
        <v>-4.0062564843639699</v>
      </c>
      <c r="AG2089">
        <v>-1.126350047811</v>
      </c>
      <c r="AH2089">
        <v>12.9156710235403</v>
      </c>
      <c r="AI2089">
        <v>94.761346678878994</v>
      </c>
      <c r="AJ2089">
        <v>107.23314277534401</v>
      </c>
      <c r="AK2089">
        <v>13.569573074973</v>
      </c>
      <c r="AL2089">
        <v>80.631340034070604</v>
      </c>
      <c r="AM2089">
        <v>99.301480013737603</v>
      </c>
      <c r="AN2089">
        <v>1.0000000251660599</v>
      </c>
    </row>
    <row r="2090" spans="1:40" x14ac:dyDescent="0.25">
      <c r="A2090" t="str">
        <f>"20190312172658200"</f>
        <v>20190312172658200</v>
      </c>
      <c r="B2090" t="str">
        <f>"1552382818190650"</f>
        <v>1552382818190650</v>
      </c>
      <c r="C2090" t="s">
        <v>40</v>
      </c>
      <c r="D2090">
        <v>3.0524300000000002</v>
      </c>
      <c r="E2090">
        <v>0.45832479999999998</v>
      </c>
      <c r="F2090" t="s">
        <v>41</v>
      </c>
      <c r="G2090">
        <v>-496.79770000000002</v>
      </c>
      <c r="H2090" s="1">
        <v>-4.9092990000000003E-6</v>
      </c>
      <c r="I2090">
        <v>267.86970000000002</v>
      </c>
      <c r="J2090">
        <v>-488.67669999999998</v>
      </c>
      <c r="K2090">
        <v>1.126382</v>
      </c>
      <c r="L2090">
        <v>279.15100000000001</v>
      </c>
      <c r="M2090">
        <v>-0.79719899999999999</v>
      </c>
      <c r="N2090">
        <v>0</v>
      </c>
      <c r="O2090">
        <v>-0.60336219999999996</v>
      </c>
      <c r="P2090">
        <v>-0.68681719999999902</v>
      </c>
      <c r="Q2090">
        <v>0.15026149999999999</v>
      </c>
      <c r="R2090">
        <v>-0.71112849999999905</v>
      </c>
      <c r="S2090">
        <v>-1.83432</v>
      </c>
      <c r="T2090">
        <v>-0.2452974</v>
      </c>
      <c r="U2090">
        <v>-2.5071110000000001</v>
      </c>
      <c r="V2090">
        <v>-0.15929219999999999</v>
      </c>
      <c r="W2090">
        <v>0.16414300000000001</v>
      </c>
      <c r="X2090">
        <v>0.97349010000000002</v>
      </c>
      <c r="Y2090">
        <v>-0.287805599999999</v>
      </c>
      <c r="Z2090">
        <v>3.8313689999999997E-2</v>
      </c>
      <c r="AA2090">
        <v>0.95692219999999995</v>
      </c>
      <c r="AB2090">
        <v>39</v>
      </c>
      <c r="AC2090">
        <v>-8.1210000000000306</v>
      </c>
      <c r="AD2090">
        <v>-1.126386909299</v>
      </c>
      <c r="AE2090">
        <v>-11.2812999999999</v>
      </c>
      <c r="AF2090">
        <v>-4.0677024347855397</v>
      </c>
      <c r="AG2090">
        <v>-1.126386909299</v>
      </c>
      <c r="AH2090">
        <v>13.196948468952</v>
      </c>
      <c r="AI2090">
        <v>94.6630288523979</v>
      </c>
      <c r="AJ2090">
        <v>107.130895568349</v>
      </c>
      <c r="AK2090">
        <v>13.855482649824101</v>
      </c>
      <c r="AL2090">
        <v>80.552546319140802</v>
      </c>
      <c r="AM2090">
        <v>99.292954354228996</v>
      </c>
      <c r="AN2090">
        <v>0.99999995211392301</v>
      </c>
    </row>
    <row r="2091" spans="1:40" x14ac:dyDescent="0.25">
      <c r="A2091" t="str">
        <f>"20190312172658222"</f>
        <v>20190312172658222</v>
      </c>
      <c r="B2091" t="str">
        <f>"1552382818211146"</f>
        <v>1552382818211146</v>
      </c>
      <c r="C2091" t="s">
        <v>40</v>
      </c>
      <c r="D2091">
        <v>3.066195</v>
      </c>
      <c r="E2091">
        <v>0.45916010000000002</v>
      </c>
      <c r="F2091" t="s">
        <v>41</v>
      </c>
      <c r="G2091">
        <v>-497.38630000000001</v>
      </c>
      <c r="H2091" s="1">
        <v>-4.9693830000000004E-6</v>
      </c>
      <c r="I2091">
        <v>267.73939999999999</v>
      </c>
      <c r="J2091">
        <v>-488.97449999999998</v>
      </c>
      <c r="K2091">
        <v>1.12642</v>
      </c>
      <c r="L2091">
        <v>278.91579999999999</v>
      </c>
      <c r="M2091">
        <v>-0.78768459999999996</v>
      </c>
      <c r="N2091">
        <v>0</v>
      </c>
      <c r="O2091">
        <v>-0.61573159999999905</v>
      </c>
      <c r="P2091">
        <v>-0.67521169999999997</v>
      </c>
      <c r="Q2091">
        <v>0.15130060000000001</v>
      </c>
      <c r="R2091">
        <v>-0.72194029999999998</v>
      </c>
      <c r="S2091">
        <v>-1.876007</v>
      </c>
      <c r="T2091">
        <v>-0.24261930000000001</v>
      </c>
      <c r="U2091">
        <v>-2.458008</v>
      </c>
      <c r="V2091">
        <v>-0.15974549999999901</v>
      </c>
      <c r="W2091">
        <v>0.16514709999999999</v>
      </c>
      <c r="X2091">
        <v>0.97324600000000006</v>
      </c>
      <c r="Y2091">
        <v>-0.2533745</v>
      </c>
      <c r="Z2091">
        <v>4.0274030000000002E-2</v>
      </c>
      <c r="AA2091">
        <v>0.96652950000000004</v>
      </c>
      <c r="AB2091">
        <v>39</v>
      </c>
      <c r="AC2091">
        <v>-8.4118000000000208</v>
      </c>
      <c r="AD2091">
        <v>-1.126424969383</v>
      </c>
      <c r="AE2091">
        <v>-11.176399999999999</v>
      </c>
      <c r="AF2091">
        <v>-3.60148808768826</v>
      </c>
      <c r="AG2091">
        <v>-1.126424969383</v>
      </c>
      <c r="AH2091">
        <v>13.4233522287988</v>
      </c>
      <c r="AI2091">
        <v>94.633629542700106</v>
      </c>
      <c r="AJ2091">
        <v>105.01876240683799</v>
      </c>
      <c r="AK2091">
        <v>13.943670059055799</v>
      </c>
      <c r="AL2091">
        <v>80.494219926150805</v>
      </c>
      <c r="AM2091">
        <v>99.321232428313294</v>
      </c>
      <c r="AN2091">
        <v>0.99999998296232995</v>
      </c>
    </row>
    <row r="2092" spans="1:40" x14ac:dyDescent="0.25">
      <c r="A2092" t="str">
        <f>"20190312172658246"</f>
        <v>20190312172658246</v>
      </c>
      <c r="B2092" t="str">
        <f>"1552382818241405"</f>
        <v>1552382818241405</v>
      </c>
      <c r="C2092" t="s">
        <v>40</v>
      </c>
      <c r="D2092">
        <v>3.2521719999999998</v>
      </c>
      <c r="E2092">
        <v>0.45991480000000001</v>
      </c>
      <c r="F2092" t="s">
        <v>41</v>
      </c>
      <c r="G2092">
        <v>-497.69299999999998</v>
      </c>
      <c r="H2092" s="1">
        <v>-4.8242630000000002E-6</v>
      </c>
      <c r="I2092">
        <v>267.15309999999999</v>
      </c>
      <c r="J2092">
        <v>-489.27589999999998</v>
      </c>
      <c r="K2092">
        <v>1.126455</v>
      </c>
      <c r="L2092">
        <v>278.66989999999998</v>
      </c>
      <c r="M2092">
        <v>-0.77766389999999996</v>
      </c>
      <c r="N2092">
        <v>0</v>
      </c>
      <c r="O2092">
        <v>-0.62834040000000002</v>
      </c>
      <c r="P2092">
        <v>-0.6625685</v>
      </c>
      <c r="Q2092">
        <v>0.153507</v>
      </c>
      <c r="R2092">
        <v>-0.73310209999999998</v>
      </c>
      <c r="S2092">
        <v>-1.840881</v>
      </c>
      <c r="T2092">
        <v>-0.2378402</v>
      </c>
      <c r="U2092">
        <v>-2.4836429999999998</v>
      </c>
      <c r="V2092">
        <v>-0.16072049999999999</v>
      </c>
      <c r="W2092">
        <v>0.16728850000000001</v>
      </c>
      <c r="X2092">
        <v>0.97271960000000002</v>
      </c>
      <c r="Y2092">
        <v>-0.2513823</v>
      </c>
      <c r="Z2092">
        <v>4.0620829999999997E-2</v>
      </c>
      <c r="AA2092">
        <v>0.96703510000000004</v>
      </c>
      <c r="AB2092">
        <v>39</v>
      </c>
      <c r="AC2092">
        <v>-8.41710000000006</v>
      </c>
      <c r="AD2092">
        <v>-1.126459824263</v>
      </c>
      <c r="AE2092">
        <v>-11.5167999999999</v>
      </c>
      <c r="AF2092">
        <v>-3.6454465136805601</v>
      </c>
      <c r="AG2092">
        <v>-1.126459824263</v>
      </c>
      <c r="AH2092">
        <v>13.699660344198801</v>
      </c>
      <c r="AI2092">
        <v>94.543193210573094</v>
      </c>
      <c r="AJ2092">
        <v>104.900971526874</v>
      </c>
      <c r="AK2092">
        <v>14.221071885276301</v>
      </c>
      <c r="AL2092">
        <v>80.369795742069996</v>
      </c>
      <c r="AM2092">
        <v>99.382101035528393</v>
      </c>
      <c r="AN2092">
        <v>0.99999997078832903</v>
      </c>
    </row>
    <row r="2093" spans="1:40" x14ac:dyDescent="0.25">
      <c r="A2093" t="str">
        <f>"20190312172658269"</f>
        <v>20190312172658269</v>
      </c>
      <c r="B2093" t="str">
        <f>"1552382818260923"</f>
        <v>1552382818260923</v>
      </c>
      <c r="C2093" t="s">
        <v>40</v>
      </c>
      <c r="D2093">
        <v>3.047482</v>
      </c>
      <c r="E2093">
        <v>0.46595930000000002</v>
      </c>
      <c r="F2093" t="s">
        <v>41</v>
      </c>
      <c r="G2093">
        <v>-498.03429999999997</v>
      </c>
      <c r="H2093" s="1">
        <v>-4.6577250000000004E-6</v>
      </c>
      <c r="I2093">
        <v>266.48590000000002</v>
      </c>
      <c r="J2093">
        <v>-489.57569999999998</v>
      </c>
      <c r="K2093">
        <v>1.126471</v>
      </c>
      <c r="L2093">
        <v>278.4169</v>
      </c>
      <c r="M2093">
        <v>-0.76728619999999903</v>
      </c>
      <c r="N2093">
        <v>0</v>
      </c>
      <c r="O2093">
        <v>-0.64097190000000004</v>
      </c>
      <c r="P2093">
        <v>-0.6499916</v>
      </c>
      <c r="Q2093">
        <v>0.153249</v>
      </c>
      <c r="R2093">
        <v>-0.74432889999999996</v>
      </c>
      <c r="S2093">
        <v>-1.8043210000000001</v>
      </c>
      <c r="T2093">
        <v>-0.2320634</v>
      </c>
      <c r="U2093">
        <v>-2.51004</v>
      </c>
      <c r="V2093">
        <v>-0.16141730000000001</v>
      </c>
      <c r="W2093">
        <v>0.16698199999999999</v>
      </c>
      <c r="X2093">
        <v>0.97265690000000005</v>
      </c>
      <c r="Y2093">
        <v>-0.24965270000000001</v>
      </c>
      <c r="Z2093">
        <v>4.073831E-2</v>
      </c>
      <c r="AA2093">
        <v>0.96747810000000001</v>
      </c>
      <c r="AB2093">
        <v>39</v>
      </c>
      <c r="AC2093">
        <v>-8.4585999999999899</v>
      </c>
      <c r="AD2093">
        <v>-1.1264756577249999</v>
      </c>
      <c r="AE2093">
        <v>-11.9309999999999</v>
      </c>
      <c r="AF2093">
        <v>-3.7115449393335802</v>
      </c>
      <c r="AG2093">
        <v>-1.1264756577249999</v>
      </c>
      <c r="AH2093">
        <v>14.0572266528432</v>
      </c>
      <c r="AI2093">
        <v>94.430415816907399</v>
      </c>
      <c r="AJ2093">
        <v>104.790343108081</v>
      </c>
      <c r="AK2093">
        <v>14.5825283957736</v>
      </c>
      <c r="AL2093">
        <v>80.3876076164171</v>
      </c>
      <c r="AM2093">
        <v>99.422645564395793</v>
      </c>
      <c r="AN2093">
        <v>0.99999998909044996</v>
      </c>
    </row>
    <row r="2094" spans="1:40" x14ac:dyDescent="0.25">
      <c r="A2094" t="str">
        <f>"20190312172658291"</f>
        <v>20190312172658291</v>
      </c>
      <c r="B2094" t="str">
        <f>"1552382818281418"</f>
        <v>1552382818281418</v>
      </c>
      <c r="C2094" t="s">
        <v>40</v>
      </c>
      <c r="D2094">
        <v>3.0936219999999999</v>
      </c>
      <c r="E2094">
        <v>0.46703899999999998</v>
      </c>
      <c r="F2094" t="s">
        <v>41</v>
      </c>
      <c r="G2094">
        <v>-498.80189999999999</v>
      </c>
      <c r="H2094" s="1">
        <v>-4.4711040000000004E-6</v>
      </c>
      <c r="I2094">
        <v>265.53739999999999</v>
      </c>
      <c r="J2094">
        <v>-489.85989999999998</v>
      </c>
      <c r="K2094">
        <v>1.12649</v>
      </c>
      <c r="L2094">
        <v>278.16829999999999</v>
      </c>
      <c r="M2094">
        <v>-0.75702429999999998</v>
      </c>
      <c r="N2094">
        <v>0</v>
      </c>
      <c r="O2094">
        <v>-0.65306039999999999</v>
      </c>
      <c r="P2094">
        <v>-0.637791199999999</v>
      </c>
      <c r="Q2094">
        <v>0.1537618</v>
      </c>
      <c r="R2094">
        <v>-0.75470519999999996</v>
      </c>
      <c r="S2094">
        <v>-1.7960509999999901</v>
      </c>
      <c r="T2094">
        <v>-0.21928790000000001</v>
      </c>
      <c r="U2094">
        <v>-2.5072329999999998</v>
      </c>
      <c r="V2094">
        <v>-0.16177149999999901</v>
      </c>
      <c r="W2094">
        <v>0.16745350000000001</v>
      </c>
      <c r="X2094">
        <v>0.97251699999999996</v>
      </c>
      <c r="Y2094">
        <v>-0.23582800000000001</v>
      </c>
      <c r="Z2094">
        <v>3.9930739999999999E-2</v>
      </c>
      <c r="AA2094">
        <v>0.97097409999999995</v>
      </c>
      <c r="AB2094">
        <v>39</v>
      </c>
      <c r="AC2094">
        <v>-8.9420000000000002</v>
      </c>
      <c r="AD2094">
        <v>-1.1264944711039999</v>
      </c>
      <c r="AE2094">
        <v>-12.630899999999899</v>
      </c>
      <c r="AF2094">
        <v>-3.7034032752496899</v>
      </c>
      <c r="AG2094">
        <v>-1.1264944711039999</v>
      </c>
      <c r="AH2094">
        <v>14.9420832929776</v>
      </c>
      <c r="AI2094">
        <v>94.185250839067706</v>
      </c>
      <c r="AJ2094">
        <v>103.92027390172601</v>
      </c>
      <c r="AK2094">
        <v>15.435350295566201</v>
      </c>
      <c r="AL2094">
        <v>80.360206998623198</v>
      </c>
      <c r="AM2094">
        <v>99.444283737121296</v>
      </c>
      <c r="AN2094">
        <v>1.0000000040817401</v>
      </c>
    </row>
    <row r="2095" spans="1:40" x14ac:dyDescent="0.25">
      <c r="A2095" t="str">
        <f>"20190312172658313"</f>
        <v>20190312172658313</v>
      </c>
      <c r="B2095" t="str">
        <f>"1552382818300937"</f>
        <v>1552382818300937</v>
      </c>
      <c r="C2095" t="s">
        <v>40</v>
      </c>
      <c r="D2095">
        <v>3.0580099999999999</v>
      </c>
      <c r="E2095">
        <v>0.4679044</v>
      </c>
      <c r="F2095" t="s">
        <v>41</v>
      </c>
      <c r="G2095">
        <v>-499.00709999999998</v>
      </c>
      <c r="H2095" s="1">
        <v>-4.333751E-6</v>
      </c>
      <c r="I2095">
        <v>265.02679999999998</v>
      </c>
      <c r="J2095">
        <v>-490.13499999999999</v>
      </c>
      <c r="K2095">
        <v>1.126501</v>
      </c>
      <c r="L2095">
        <v>277.92</v>
      </c>
      <c r="M2095">
        <v>-0.7467028</v>
      </c>
      <c r="N2095">
        <v>0</v>
      </c>
      <c r="O2095">
        <v>-0.66483829999999999</v>
      </c>
      <c r="P2095">
        <v>-0.62602639999999998</v>
      </c>
      <c r="Q2095">
        <v>0.15543199999999999</v>
      </c>
      <c r="R2095">
        <v>-0.76415480000000002</v>
      </c>
      <c r="S2095">
        <v>-1.7614749999999999</v>
      </c>
      <c r="T2095">
        <v>-0.21692980000000001</v>
      </c>
      <c r="U2095">
        <v>-2.5306700000000002</v>
      </c>
      <c r="V2095">
        <v>-0.16142100000000001</v>
      </c>
      <c r="W2095">
        <v>0.1691066</v>
      </c>
      <c r="X2095">
        <v>0.97228910000000002</v>
      </c>
      <c r="Y2095">
        <v>-0.2337622</v>
      </c>
      <c r="Z2095">
        <v>4.0482829999999997E-2</v>
      </c>
      <c r="AA2095">
        <v>0.9714507</v>
      </c>
      <c r="AB2095">
        <v>39</v>
      </c>
      <c r="AC2095">
        <v>-8.8720999999999801</v>
      </c>
      <c r="AD2095">
        <v>-1.126505333751</v>
      </c>
      <c r="AE2095">
        <v>-12.8932</v>
      </c>
      <c r="AF2095">
        <v>-3.7104463961749099</v>
      </c>
      <c r="AG2095">
        <v>-1.126505333751</v>
      </c>
      <c r="AH2095">
        <v>15.1216041333833</v>
      </c>
      <c r="AI2095">
        <v>94.138151134980603</v>
      </c>
      <c r="AJ2095">
        <v>103.78650664892101</v>
      </c>
      <c r="AK2095">
        <v>15.610872438547799</v>
      </c>
      <c r="AL2095">
        <v>80.264120421679294</v>
      </c>
      <c r="AM2095">
        <v>99.426358217437993</v>
      </c>
      <c r="AN2095">
        <v>0.99999993769168305</v>
      </c>
    </row>
    <row r="2096" spans="1:40" x14ac:dyDescent="0.25">
      <c r="A2096" t="str">
        <f>"20190312172658336"</f>
        <v>20190312172658336</v>
      </c>
      <c r="B2096" t="str">
        <f>"1552382818331194"</f>
        <v>1552382818331194</v>
      </c>
      <c r="C2096" t="s">
        <v>40</v>
      </c>
      <c r="D2096">
        <v>3.1830069999999999</v>
      </c>
      <c r="E2096">
        <v>0.46959089999999998</v>
      </c>
      <c r="F2096" t="s">
        <v>41</v>
      </c>
      <c r="G2096">
        <v>-499.54300000000001</v>
      </c>
      <c r="H2096" s="1">
        <v>-4.0852509999999998E-6</v>
      </c>
      <c r="I2096">
        <v>264.0172</v>
      </c>
      <c r="J2096">
        <v>-490.41090000000003</v>
      </c>
      <c r="K2096">
        <v>1.1265130000000001</v>
      </c>
      <c r="L2096">
        <v>277.66269999999997</v>
      </c>
      <c r="M2096">
        <v>-0.73594530000000002</v>
      </c>
      <c r="N2096">
        <v>0</v>
      </c>
      <c r="O2096">
        <v>-0.67672769999999904</v>
      </c>
      <c r="P2096">
        <v>-0.61379759999999906</v>
      </c>
      <c r="Q2096">
        <v>0.15492400000000001</v>
      </c>
      <c r="R2096">
        <v>-0.774113099999999</v>
      </c>
      <c r="S2096">
        <v>-1.7274480000000001</v>
      </c>
      <c r="T2096">
        <v>-0.20684469999999999</v>
      </c>
      <c r="U2096">
        <v>-2.552765</v>
      </c>
      <c r="V2096">
        <v>-0.16134470000000001</v>
      </c>
      <c r="W2096">
        <v>0.16857269999999999</v>
      </c>
      <c r="X2096">
        <v>0.97239450000000005</v>
      </c>
      <c r="Y2096">
        <v>-0.2309089</v>
      </c>
      <c r="Z2096">
        <v>3.957484E-2</v>
      </c>
      <c r="AA2096">
        <v>0.97217019999999998</v>
      </c>
      <c r="AB2096">
        <v>38</v>
      </c>
      <c r="AC2096">
        <v>-9.1320999999999799</v>
      </c>
      <c r="AD2096">
        <v>-1.12651708525099</v>
      </c>
      <c r="AE2096">
        <v>-13.645499999999901</v>
      </c>
      <c r="AF2096">
        <v>-3.8451161312579898</v>
      </c>
      <c r="AG2096">
        <v>-1.12651708525099</v>
      </c>
      <c r="AH2096">
        <v>15.883630889292199</v>
      </c>
      <c r="AI2096">
        <v>93.943280086037305</v>
      </c>
      <c r="AJ2096">
        <v>103.608387615292</v>
      </c>
      <c r="AK2096">
        <v>16.381199255045399</v>
      </c>
      <c r="AL2096">
        <v>80.295156477604195</v>
      </c>
      <c r="AM2096">
        <v>99.420979545087405</v>
      </c>
      <c r="AN2096">
        <v>0.99999996551681403</v>
      </c>
    </row>
    <row r="2097" spans="1:40" x14ac:dyDescent="0.25">
      <c r="A2097" t="str">
        <f>"20190312172658358"</f>
        <v>20190312172658358</v>
      </c>
      <c r="B2097" t="str">
        <f>"1552382818350719"</f>
        <v>1552382818350719</v>
      </c>
      <c r="C2097" t="s">
        <v>40</v>
      </c>
      <c r="D2097">
        <v>3.1669499999999999</v>
      </c>
      <c r="E2097">
        <v>0.47073429999999999</v>
      </c>
      <c r="F2097" t="s">
        <v>41</v>
      </c>
      <c r="G2097">
        <v>-499.23180000000002</v>
      </c>
      <c r="H2097" s="1">
        <v>-4.1266609999999998E-6</v>
      </c>
      <c r="I2097">
        <v>264.30110000000002</v>
      </c>
      <c r="J2097">
        <v>-490.68979999999999</v>
      </c>
      <c r="K2097">
        <v>1.126522</v>
      </c>
      <c r="L2097">
        <v>277.39389999999997</v>
      </c>
      <c r="M2097">
        <v>-0.72463109999999997</v>
      </c>
      <c r="N2097">
        <v>0</v>
      </c>
      <c r="O2097">
        <v>-0.68883000000000005</v>
      </c>
      <c r="P2097">
        <v>-0.60105710000000001</v>
      </c>
      <c r="Q2097">
        <v>0.15513440000000001</v>
      </c>
      <c r="R2097">
        <v>-0.7840049</v>
      </c>
      <c r="S2097">
        <v>-1.69815099999999</v>
      </c>
      <c r="T2097">
        <v>-0.21687020000000001</v>
      </c>
      <c r="U2097">
        <v>-2.5722960000000001</v>
      </c>
      <c r="V2097">
        <v>-0.16111310000000001</v>
      </c>
      <c r="W2097">
        <v>0.16876250000000001</v>
      </c>
      <c r="X2097">
        <v>0.97240000000000004</v>
      </c>
      <c r="Y2097">
        <v>-0.22597210000000001</v>
      </c>
      <c r="Z2097">
        <v>4.2559680000000003E-2</v>
      </c>
      <c r="AA2097">
        <v>0.97320359999999995</v>
      </c>
      <c r="AB2097">
        <v>38</v>
      </c>
      <c r="AC2097">
        <v>-8.54200000000003</v>
      </c>
      <c r="AD2097">
        <v>-1.126526126661</v>
      </c>
      <c r="AE2097">
        <v>-13.092799999999899</v>
      </c>
      <c r="AF2097">
        <v>-3.58560713155578</v>
      </c>
      <c r="AG2097">
        <v>-1.126526126661</v>
      </c>
      <c r="AH2097">
        <v>15.1331460432519</v>
      </c>
      <c r="AI2097">
        <v>94.143012383869006</v>
      </c>
      <c r="AJ2097">
        <v>103.329697024433</v>
      </c>
      <c r="AK2097">
        <v>15.592874936403</v>
      </c>
      <c r="AL2097">
        <v>80.284123873998595</v>
      </c>
      <c r="AM2097">
        <v>99.407645991339706</v>
      </c>
      <c r="AN2097">
        <v>0.99999998619892905</v>
      </c>
    </row>
    <row r="2098" spans="1:40" x14ac:dyDescent="0.25">
      <c r="A2098" t="str">
        <f>"20190312172658380"</f>
        <v>20190312172658380</v>
      </c>
      <c r="B2098" t="str">
        <f>"1552382818371210"</f>
        <v>1552382818371210</v>
      </c>
      <c r="C2098" t="s">
        <v>40</v>
      </c>
      <c r="D2098">
        <v>3.1585489999999998</v>
      </c>
      <c r="E2098">
        <v>0.47977110000000001</v>
      </c>
      <c r="F2098" t="s">
        <v>41</v>
      </c>
      <c r="G2098">
        <v>-499.27530000000002</v>
      </c>
      <c r="H2098" s="1">
        <v>-4.0346100000000002E-6</v>
      </c>
      <c r="I2098">
        <v>264.00799999999998</v>
      </c>
      <c r="J2098">
        <v>-490.95100000000002</v>
      </c>
      <c r="K2098">
        <v>1.126536</v>
      </c>
      <c r="L2098">
        <v>277.13380000000001</v>
      </c>
      <c r="M2098">
        <v>-0.71360979999999996</v>
      </c>
      <c r="N2098">
        <v>0</v>
      </c>
      <c r="O2098">
        <v>-0.70024229999999998</v>
      </c>
      <c r="P2098">
        <v>-0.588341</v>
      </c>
      <c r="Q2098">
        <v>0.15524170000000001</v>
      </c>
      <c r="R2098">
        <v>-0.79357119999999903</v>
      </c>
      <c r="S2098">
        <v>-1.663818</v>
      </c>
      <c r="T2098">
        <v>-0.2183138</v>
      </c>
      <c r="U2098">
        <v>-2.5941160000000001</v>
      </c>
      <c r="V2098">
        <v>-0.1613494</v>
      </c>
      <c r="W2098">
        <v>0.16883310000000001</v>
      </c>
      <c r="X2098">
        <v>0.97234860000000001</v>
      </c>
      <c r="Y2098">
        <v>-0.22338620000000001</v>
      </c>
      <c r="Z2098">
        <v>4.3811179999999998E-2</v>
      </c>
      <c r="AA2098">
        <v>0.97374490000000002</v>
      </c>
      <c r="AB2098">
        <v>38</v>
      </c>
      <c r="AC2098">
        <v>-8.3243000000000507</v>
      </c>
      <c r="AD2098">
        <v>-1.1265400346100001</v>
      </c>
      <c r="AE2098">
        <v>-13.1258</v>
      </c>
      <c r="AF2098">
        <v>-3.5199276276926499</v>
      </c>
      <c r="AG2098">
        <v>-1.1265400346100001</v>
      </c>
      <c r="AH2098">
        <v>15.055642871445899</v>
      </c>
      <c r="AI2098">
        <v>94.167225483044902</v>
      </c>
      <c r="AJ2098">
        <v>103.159082428673</v>
      </c>
      <c r="AK2098">
        <v>15.5026244625319</v>
      </c>
      <c r="AL2098">
        <v>80.280020256403205</v>
      </c>
      <c r="AM2098">
        <v>99.421685819010193</v>
      </c>
      <c r="AN2098">
        <v>1.00000002222896</v>
      </c>
    </row>
    <row r="2099" spans="1:40" x14ac:dyDescent="0.25">
      <c r="A2099" t="str">
        <f>"20190312172658392"</f>
        <v>20190312172658392</v>
      </c>
      <c r="B2099" t="str">
        <f>"1552382818380971"</f>
        <v>1552382818380971</v>
      </c>
      <c r="C2099" t="s">
        <v>40</v>
      </c>
      <c r="D2099">
        <v>3.2741630000000002</v>
      </c>
      <c r="E2099">
        <v>0.48031980000000002</v>
      </c>
      <c r="F2099" t="s">
        <v>41</v>
      </c>
      <c r="G2099">
        <v>-498.83769999999998</v>
      </c>
      <c r="H2099" s="1">
        <v>-4.305473E-6</v>
      </c>
      <c r="I2099">
        <v>265.03199999999998</v>
      </c>
      <c r="J2099">
        <v>-491.09070000000003</v>
      </c>
      <c r="K2099">
        <v>1.12653799999999</v>
      </c>
      <c r="L2099">
        <v>276.99119999999999</v>
      </c>
      <c r="M2099">
        <v>-0.70754039999999996</v>
      </c>
      <c r="N2099">
        <v>0</v>
      </c>
      <c r="O2099">
        <v>-0.70637450000000002</v>
      </c>
      <c r="P2099">
        <v>-0.58136889999999997</v>
      </c>
      <c r="Q2099">
        <v>0.1550628</v>
      </c>
      <c r="R2099">
        <v>-0.79872790000000005</v>
      </c>
      <c r="S2099">
        <v>-1.681732</v>
      </c>
      <c r="T2099">
        <v>-0.24021919999999999</v>
      </c>
      <c r="U2099">
        <v>-2.5805359999999999</v>
      </c>
      <c r="V2099">
        <v>-0.16149129999999901</v>
      </c>
      <c r="W2099">
        <v>0.1686357</v>
      </c>
      <c r="X2099">
        <v>0.97235930000000004</v>
      </c>
      <c r="Y2099">
        <v>-0.2080466</v>
      </c>
      <c r="Z2099">
        <v>4.9181700000000002E-2</v>
      </c>
      <c r="AA2099">
        <v>0.97688169999999996</v>
      </c>
      <c r="AB2099">
        <v>38</v>
      </c>
      <c r="AC2099">
        <v>-7.7469999999999501</v>
      </c>
      <c r="AD2099">
        <v>-1.1265423054729899</v>
      </c>
      <c r="AE2099">
        <v>-11.959199999999999</v>
      </c>
      <c r="AF2099">
        <v>-2.9713915583630701</v>
      </c>
      <c r="AG2099">
        <v>-1.1265423054729899</v>
      </c>
      <c r="AH2099">
        <v>13.8453859285571</v>
      </c>
      <c r="AI2099">
        <v>94.548554351630997</v>
      </c>
      <c r="AJ2099">
        <v>102.11265205694301</v>
      </c>
      <c r="AK2099">
        <v>14.205385488251199</v>
      </c>
      <c r="AL2099">
        <v>80.291494987955701</v>
      </c>
      <c r="AM2099">
        <v>99.429721134704494</v>
      </c>
      <c r="AN2099">
        <v>1.00000002379333</v>
      </c>
    </row>
    <row r="2100" spans="1:40" x14ac:dyDescent="0.25">
      <c r="A2100" t="str">
        <f>"20190312172658403"</f>
        <v>20190312172658403</v>
      </c>
      <c r="B2100" t="str">
        <f>"1552382818401466"</f>
        <v>1552382818401466</v>
      </c>
      <c r="C2100" t="s">
        <v>40</v>
      </c>
      <c r="D2100">
        <v>3.127545</v>
      </c>
      <c r="E2100">
        <v>0.46397729999999998</v>
      </c>
      <c r="F2100" t="s">
        <v>41</v>
      </c>
      <c r="G2100">
        <v>-498.65769999999998</v>
      </c>
      <c r="H2100" s="1">
        <v>-4.3282579999999998E-6</v>
      </c>
      <c r="I2100">
        <v>265.19279999999998</v>
      </c>
      <c r="J2100">
        <v>-491.2251</v>
      </c>
      <c r="K2100">
        <v>1.126539</v>
      </c>
      <c r="L2100">
        <v>276.85160000000002</v>
      </c>
      <c r="M2100">
        <v>-0.70157650000000005</v>
      </c>
      <c r="N2100">
        <v>0</v>
      </c>
      <c r="O2100">
        <v>-0.7122986</v>
      </c>
      <c r="P2100">
        <v>-0.57449280000000003</v>
      </c>
      <c r="Q2100">
        <v>0.1541392</v>
      </c>
      <c r="R2100">
        <v>-0.8038653</v>
      </c>
      <c r="S2100">
        <v>-1.6632690000000001</v>
      </c>
      <c r="T2100">
        <v>-0.24762210000000001</v>
      </c>
      <c r="U2100">
        <v>-2.5933839999999999</v>
      </c>
      <c r="V2100">
        <v>-0.16174859999999999</v>
      </c>
      <c r="W2100">
        <v>0.167690899999999</v>
      </c>
      <c r="X2100">
        <v>0.97247989999999995</v>
      </c>
      <c r="Y2100">
        <v>-0.20701919999999999</v>
      </c>
      <c r="Z2100">
        <v>5.1231930000000002E-2</v>
      </c>
      <c r="AA2100">
        <v>0.97699460000000005</v>
      </c>
      <c r="AB2100">
        <v>38</v>
      </c>
      <c r="AC2100">
        <v>-7.4325999999999697</v>
      </c>
      <c r="AD2100">
        <v>-1.126543328258</v>
      </c>
      <c r="AE2100">
        <v>-11.658799999999999</v>
      </c>
      <c r="AF2100">
        <v>-2.8668852755262502</v>
      </c>
      <c r="AG2100">
        <v>-1.126543328258</v>
      </c>
      <c r="AH2100">
        <v>13.4327578091424</v>
      </c>
      <c r="AI2100">
        <v>94.688802066189595</v>
      </c>
      <c r="AJ2100">
        <v>102.04759421361101</v>
      </c>
      <c r="AK2100">
        <v>13.7814046240776</v>
      </c>
      <c r="AL2100">
        <v>80.346409863779897</v>
      </c>
      <c r="AM2100">
        <v>99.443324665701596</v>
      </c>
      <c r="AN2100">
        <v>1.00000000172439</v>
      </c>
    </row>
    <row r="2101" spans="1:40" x14ac:dyDescent="0.25">
      <c r="A2101" t="str">
        <f>"20190312172658424"</f>
        <v>20190312172658424</v>
      </c>
      <c r="B2101" t="str">
        <f>"1552382818420987"</f>
        <v>1552382818420987</v>
      </c>
      <c r="C2101" t="s">
        <v>40</v>
      </c>
      <c r="D2101">
        <v>3.0325220000000002</v>
      </c>
      <c r="E2101">
        <v>0.45190370000000002</v>
      </c>
      <c r="F2101" t="s">
        <v>41</v>
      </c>
      <c r="G2101">
        <v>-498.06169999999997</v>
      </c>
      <c r="H2101" s="1">
        <v>-4.1223829999999999E-6</v>
      </c>
      <c r="I2101">
        <v>264.89839999999998</v>
      </c>
      <c r="J2101">
        <v>-491.45949999999999</v>
      </c>
      <c r="K2101">
        <v>1.1265430000000001</v>
      </c>
      <c r="L2101">
        <v>276.60219999999998</v>
      </c>
      <c r="M2101">
        <v>-0.69087140000000002</v>
      </c>
      <c r="N2101">
        <v>0</v>
      </c>
      <c r="O2101">
        <v>-0.72268699999999997</v>
      </c>
      <c r="P2101">
        <v>-0.56212759999999995</v>
      </c>
      <c r="Q2101">
        <v>0.152196</v>
      </c>
      <c r="R2101">
        <v>-0.81292640000000005</v>
      </c>
      <c r="S2101">
        <v>-1.5348820000000001</v>
      </c>
      <c r="T2101">
        <v>-0.2529188</v>
      </c>
      <c r="U2101">
        <v>-2.6835939999999998</v>
      </c>
      <c r="V2101">
        <v>-0.16229209999999999</v>
      </c>
      <c r="W2101">
        <v>0.1657101</v>
      </c>
      <c r="X2101">
        <v>0.97272879999999995</v>
      </c>
      <c r="Y2101">
        <v>-0.24184610000000001</v>
      </c>
      <c r="Z2101">
        <v>5.2060599999999999E-2</v>
      </c>
      <c r="AA2101">
        <v>0.96891700000000003</v>
      </c>
      <c r="AB2101">
        <v>38</v>
      </c>
      <c r="AC2101">
        <v>-6.6021999999999803</v>
      </c>
      <c r="AD2101">
        <v>-1.1265471223829999</v>
      </c>
      <c r="AE2101">
        <v>-11.703799999999999</v>
      </c>
      <c r="AF2101">
        <v>-3.2920552278157</v>
      </c>
      <c r="AG2101">
        <v>-1.1265471223829999</v>
      </c>
      <c r="AH2101">
        <v>12.9313048735482</v>
      </c>
      <c r="AI2101">
        <v>94.825748750695098</v>
      </c>
      <c r="AJ2101">
        <v>104.28296970481701</v>
      </c>
      <c r="AK2101">
        <v>13.3912427270433</v>
      </c>
      <c r="AL2101">
        <v>80.461511333016304</v>
      </c>
      <c r="AM2101">
        <v>99.472100953708804</v>
      </c>
      <c r="AN2101">
        <v>0.99999994065692799</v>
      </c>
    </row>
    <row r="2102" spans="1:40" x14ac:dyDescent="0.25">
      <c r="A2102" t="str">
        <f>"20190312172658436"</f>
        <v>20190312172658436</v>
      </c>
      <c r="B2102" t="str">
        <f>"1552382818430746"</f>
        <v>1552382818430746</v>
      </c>
      <c r="C2102" t="s">
        <v>40</v>
      </c>
      <c r="D2102">
        <v>3.1244480000000001</v>
      </c>
      <c r="E2102">
        <v>0.44929980000000003</v>
      </c>
      <c r="F2102" t="s">
        <v>41</v>
      </c>
      <c r="G2102">
        <v>-497.6404</v>
      </c>
      <c r="H2102" s="1">
        <v>-3.9228699999999998E-6</v>
      </c>
      <c r="I2102">
        <v>264.53179999999998</v>
      </c>
      <c r="J2102">
        <v>-491.59120000000001</v>
      </c>
      <c r="K2102">
        <v>1.1265400000000001</v>
      </c>
      <c r="L2102">
        <v>276.45819999999998</v>
      </c>
      <c r="M2102">
        <v>-0.68466649999999996</v>
      </c>
      <c r="N2102">
        <v>0</v>
      </c>
      <c r="O2102">
        <v>-0.7285684</v>
      </c>
      <c r="P2102">
        <v>-0.55481599999999998</v>
      </c>
      <c r="Q2102">
        <v>0.15191869999999999</v>
      </c>
      <c r="R2102">
        <v>-0.81798539999999997</v>
      </c>
      <c r="S2102">
        <v>-1.413818</v>
      </c>
      <c r="T2102">
        <v>-0.25768340000000001</v>
      </c>
      <c r="U2102">
        <v>-2.7609560000000002</v>
      </c>
      <c r="V2102">
        <v>-0.16272159999999999</v>
      </c>
      <c r="W2102">
        <v>0.16540529999999901</v>
      </c>
      <c r="X2102">
        <v>0.97270900000000005</v>
      </c>
      <c r="Y2102">
        <v>-0.2781903</v>
      </c>
      <c r="Z2102">
        <v>5.2322550000000002E-2</v>
      </c>
      <c r="AA2102">
        <v>0.95909979999999995</v>
      </c>
      <c r="AB2102">
        <v>38</v>
      </c>
      <c r="AC2102">
        <v>-6.0491999999999804</v>
      </c>
      <c r="AD2102">
        <v>-1.1265439228699901</v>
      </c>
      <c r="AE2102">
        <v>-11.926399999999999</v>
      </c>
      <c r="AF2102">
        <v>-3.7326506435892601</v>
      </c>
      <c r="AG2102">
        <v>-1.1265439228699901</v>
      </c>
      <c r="AH2102">
        <v>12.7431440360059</v>
      </c>
      <c r="AI2102">
        <v>94.849318858902294</v>
      </c>
      <c r="AJ2102">
        <v>106.32606869137599</v>
      </c>
      <c r="AK2102">
        <v>13.326271119845799</v>
      </c>
      <c r="AL2102">
        <v>80.479220177474204</v>
      </c>
      <c r="AM2102">
        <v>99.496902291018003</v>
      </c>
      <c r="AN2102">
        <v>1.0000000155278199</v>
      </c>
    </row>
    <row r="2103" spans="1:40" x14ac:dyDescent="0.25">
      <c r="A2103" t="str">
        <f>"20190312172658448"</f>
        <v>20190312172658448</v>
      </c>
      <c r="B2103" t="str">
        <f>"1552382818441482"</f>
        <v>1552382818441482</v>
      </c>
      <c r="C2103" t="s">
        <v>40</v>
      </c>
      <c r="D2103">
        <v>3.1991160000000001</v>
      </c>
      <c r="E2103">
        <v>0.44779020000000003</v>
      </c>
      <c r="F2103" t="s">
        <v>41</v>
      </c>
      <c r="G2103">
        <v>-497.47140000000002</v>
      </c>
      <c r="H2103" s="1">
        <v>-3.8878289999999996E-6</v>
      </c>
      <c r="I2103">
        <v>264.51690000000002</v>
      </c>
      <c r="J2103">
        <v>-491.72140000000002</v>
      </c>
      <c r="K2103">
        <v>1.1265419999999999</v>
      </c>
      <c r="L2103">
        <v>276.31439999999998</v>
      </c>
      <c r="M2103">
        <v>-0.67843819999999999</v>
      </c>
      <c r="N2103">
        <v>0</v>
      </c>
      <c r="O2103">
        <v>-0.73437169999999996</v>
      </c>
      <c r="P2103">
        <v>-0.5474272</v>
      </c>
      <c r="Q2103">
        <v>0.15167169999999999</v>
      </c>
      <c r="R2103">
        <v>-0.822994</v>
      </c>
      <c r="S2103">
        <v>-1.3718570000000001</v>
      </c>
      <c r="T2103">
        <v>-0.26282159999999999</v>
      </c>
      <c r="U2103">
        <v>-2.7858890000000001</v>
      </c>
      <c r="V2103">
        <v>-0.163220899999999</v>
      </c>
      <c r="W2103">
        <v>0.16512829999999901</v>
      </c>
      <c r="X2103">
        <v>0.97267239999999999</v>
      </c>
      <c r="Y2103">
        <v>-0.28507979999999999</v>
      </c>
      <c r="Z2103">
        <v>5.3654830000000001E-2</v>
      </c>
      <c r="AA2103">
        <v>0.95700090000000004</v>
      </c>
      <c r="AB2103">
        <v>38</v>
      </c>
      <c r="AC2103">
        <v>-5.75</v>
      </c>
      <c r="AD2103">
        <v>-1.126545887829</v>
      </c>
      <c r="AE2103">
        <v>-11.7974999999999</v>
      </c>
      <c r="AF2103">
        <v>-3.7543688226474501</v>
      </c>
      <c r="AG2103">
        <v>-1.126545887829</v>
      </c>
      <c r="AH2103">
        <v>12.4754875373822</v>
      </c>
      <c r="AI2103">
        <v>94.942075259768799</v>
      </c>
      <c r="AJ2103">
        <v>106.748623964511</v>
      </c>
      <c r="AK2103">
        <v>13.076780191975001</v>
      </c>
      <c r="AL2103">
        <v>80.495312318755495</v>
      </c>
      <c r="AM2103">
        <v>99.525861538454905</v>
      </c>
      <c r="AN2103">
        <v>1.00000000768973</v>
      </c>
    </row>
    <row r="2104" spans="1:40" x14ac:dyDescent="0.25">
      <c r="A2104" t="str">
        <f>"20190312172658468"</f>
        <v>20190312172658468</v>
      </c>
      <c r="B2104" t="str">
        <f>"1552382818461006"</f>
        <v>1552382818461006</v>
      </c>
      <c r="C2104" t="s">
        <v>40</v>
      </c>
      <c r="D2104">
        <v>2.9992749999999999</v>
      </c>
      <c r="E2104">
        <v>0.44516099999999997</v>
      </c>
      <c r="F2104" t="s">
        <v>41</v>
      </c>
      <c r="G2104">
        <v>-497.46870000000001</v>
      </c>
      <c r="H2104" s="1">
        <v>-3.7979379999999999E-6</v>
      </c>
      <c r="I2104">
        <v>264.25420000000003</v>
      </c>
      <c r="J2104">
        <v>-491.95089999999999</v>
      </c>
      <c r="K2104">
        <v>1.1265369999999999</v>
      </c>
      <c r="L2104">
        <v>276.0532</v>
      </c>
      <c r="M2104">
        <v>-0.66708149999999999</v>
      </c>
      <c r="N2104">
        <v>0</v>
      </c>
      <c r="O2104">
        <v>-0.74470349999999996</v>
      </c>
      <c r="P2104">
        <v>-0.53403140000000004</v>
      </c>
      <c r="Q2104">
        <v>0.15116489999999999</v>
      </c>
      <c r="R2104">
        <v>-0.83184139999999995</v>
      </c>
      <c r="S2104">
        <v>-1.336487</v>
      </c>
      <c r="T2104">
        <v>-0.26197169999999997</v>
      </c>
      <c r="U2104">
        <v>-2.804535</v>
      </c>
      <c r="V2104">
        <v>-0.16407439999999901</v>
      </c>
      <c r="W2104">
        <v>0.16457289999999999</v>
      </c>
      <c r="X2104">
        <v>0.97262289999999996</v>
      </c>
      <c r="Y2104">
        <v>-0.28268749999999998</v>
      </c>
      <c r="Z2104">
        <v>5.4536939999999999E-2</v>
      </c>
      <c r="AA2104">
        <v>0.95766039999999997</v>
      </c>
      <c r="AB2104">
        <v>38</v>
      </c>
      <c r="AC2104">
        <v>-5.5178000000000198</v>
      </c>
      <c r="AD2104">
        <v>-1.126540797938</v>
      </c>
      <c r="AE2104">
        <v>-11.7989999999999</v>
      </c>
      <c r="AF2104">
        <v>-3.7346225425458699</v>
      </c>
      <c r="AG2104">
        <v>-1.126540797938</v>
      </c>
      <c r="AH2104">
        <v>12.377605642995</v>
      </c>
      <c r="AI2104">
        <v>94.979864957713104</v>
      </c>
      <c r="AJ2104">
        <v>106.78983100871</v>
      </c>
      <c r="AK2104">
        <v>12.977735594402199</v>
      </c>
      <c r="AL2104">
        <v>80.527575511672097</v>
      </c>
      <c r="AM2104">
        <v>99.575231711644705</v>
      </c>
      <c r="AN2104">
        <v>0.99999997687708897</v>
      </c>
    </row>
    <row r="2105" spans="1:40" x14ac:dyDescent="0.25">
      <c r="A2105" t="str">
        <f>"20190312172658492"</f>
        <v>20190312172658492</v>
      </c>
      <c r="B2105" t="str">
        <f>"1552382818481499"</f>
        <v>1552382818481499</v>
      </c>
      <c r="C2105" t="s">
        <v>40</v>
      </c>
      <c r="D2105">
        <v>3.1693250000000002</v>
      </c>
      <c r="E2105">
        <v>0.44420219999999999</v>
      </c>
      <c r="F2105" t="s">
        <v>41</v>
      </c>
      <c r="G2105">
        <v>-497.47879999999998</v>
      </c>
      <c r="H2105" s="1">
        <v>-3.6223340000000001E-6</v>
      </c>
      <c r="I2105">
        <v>263.73289999999997</v>
      </c>
      <c r="J2105">
        <v>-492.19540000000001</v>
      </c>
      <c r="K2105">
        <v>1.1265419999999999</v>
      </c>
      <c r="L2105">
        <v>275.76519999999999</v>
      </c>
      <c r="M2105">
        <v>-0.65448430000000002</v>
      </c>
      <c r="N2105">
        <v>0</v>
      </c>
      <c r="O2105">
        <v>-0.75579879999999999</v>
      </c>
      <c r="P2105">
        <v>-0.51947670000000001</v>
      </c>
      <c r="Q2105">
        <v>0.1516834</v>
      </c>
      <c r="R2105">
        <v>-0.84091399999999905</v>
      </c>
      <c r="S2105">
        <v>-1.272705</v>
      </c>
      <c r="T2105">
        <v>-0.25936769999999998</v>
      </c>
      <c r="U2105">
        <v>-2.8365480000000001</v>
      </c>
      <c r="V2105">
        <v>-0.16462860000000001</v>
      </c>
      <c r="W2105">
        <v>0.16505500000000001</v>
      </c>
      <c r="X2105">
        <v>0.97244759999999997</v>
      </c>
      <c r="Y2105">
        <v>-0.28855019999999998</v>
      </c>
      <c r="Z2105">
        <v>5.4861119999999999E-2</v>
      </c>
      <c r="AA2105">
        <v>0.95589170000000001</v>
      </c>
      <c r="AB2105">
        <v>38</v>
      </c>
      <c r="AC2105">
        <v>-5.2833999999999701</v>
      </c>
      <c r="AD2105">
        <v>-1.126545622334</v>
      </c>
      <c r="AE2105">
        <v>-12.032299999999999</v>
      </c>
      <c r="AF2105">
        <v>-3.8542515862575399</v>
      </c>
      <c r="AG2105">
        <v>-1.126545622334</v>
      </c>
      <c r="AH2105">
        <v>12.4629371263905</v>
      </c>
      <c r="AI2105">
        <v>94.935611689323196</v>
      </c>
      <c r="AJ2105">
        <v>107.184594000705</v>
      </c>
      <c r="AK2105">
        <v>13.0938597115492</v>
      </c>
      <c r="AL2105">
        <v>80.499570761252301</v>
      </c>
      <c r="AM2105">
        <v>99.608672038442606</v>
      </c>
      <c r="AN2105">
        <v>1.00000003185435</v>
      </c>
    </row>
    <row r="2106" spans="1:40" x14ac:dyDescent="0.25">
      <c r="A2106" t="str">
        <f>"20190312172658505"</f>
        <v>20190312172658505</v>
      </c>
      <c r="B2106" t="str">
        <f>"1552382818501019"</f>
        <v>1552382818501019</v>
      </c>
      <c r="C2106" t="s">
        <v>40</v>
      </c>
      <c r="D2106">
        <v>2.9981279999999999</v>
      </c>
      <c r="E2106">
        <v>0.4435074</v>
      </c>
      <c r="F2106" t="s">
        <v>41</v>
      </c>
      <c r="G2106">
        <v>-497.61399999999998</v>
      </c>
      <c r="H2106" s="1">
        <v>-3.4022319999999998E-6</v>
      </c>
      <c r="I2106">
        <v>263.01560000000001</v>
      </c>
      <c r="J2106">
        <v>-492.3426</v>
      </c>
      <c r="K2106">
        <v>1.126539</v>
      </c>
      <c r="L2106">
        <v>275.58760000000001</v>
      </c>
      <c r="M2106">
        <v>-0.64666400000000002</v>
      </c>
      <c r="N2106">
        <v>0</v>
      </c>
      <c r="O2106">
        <v>-0.76250059999999997</v>
      </c>
      <c r="P2106">
        <v>-0.5105537</v>
      </c>
      <c r="Q2106">
        <v>0.15253320000000001</v>
      </c>
      <c r="R2106">
        <v>-0.84620830000000002</v>
      </c>
      <c r="S2106">
        <v>-1.216278</v>
      </c>
      <c r="T2106">
        <v>-0.25286839999999999</v>
      </c>
      <c r="U2106">
        <v>-2.8618160000000001</v>
      </c>
      <c r="V2106">
        <v>-0.16483200000000001</v>
      </c>
      <c r="W2106">
        <v>0.16588919999999999</v>
      </c>
      <c r="X2106">
        <v>0.97227110000000005</v>
      </c>
      <c r="Y2106">
        <v>-0.29764359999999901</v>
      </c>
      <c r="Z2106">
        <v>5.3865160000000002E-2</v>
      </c>
      <c r="AA2106">
        <v>0.95315620000000001</v>
      </c>
      <c r="AB2106">
        <v>37</v>
      </c>
      <c r="AC2106">
        <v>-5.2714000000000203</v>
      </c>
      <c r="AD2106">
        <v>-1.1265424022320001</v>
      </c>
      <c r="AE2106">
        <v>-12.571999999999999</v>
      </c>
      <c r="AF2106">
        <v>-4.08338956956531</v>
      </c>
      <c r="AG2106">
        <v>-1.1265424022320001</v>
      </c>
      <c r="AH2106">
        <v>12.9095445630249</v>
      </c>
      <c r="AI2106">
        <v>94.756130730628698</v>
      </c>
      <c r="AJ2106">
        <v>107.55256897064299</v>
      </c>
      <c r="AK2106">
        <v>13.586740189817</v>
      </c>
      <c r="AL2106">
        <v>80.451105760600996</v>
      </c>
      <c r="AM2106">
        <v>99.622035658118904</v>
      </c>
      <c r="AN2106">
        <v>0.99999995339792302</v>
      </c>
    </row>
    <row r="2107" spans="1:40" x14ac:dyDescent="0.25">
      <c r="A2107" t="str">
        <f>"20190312172658526"</f>
        <v>20190312172658526</v>
      </c>
      <c r="B2107" t="str">
        <f>"1552382818521514"</f>
        <v>1552382818521514</v>
      </c>
      <c r="C2107" t="s">
        <v>40</v>
      </c>
      <c r="D2107">
        <v>2.990726</v>
      </c>
      <c r="E2107">
        <v>0.4434516</v>
      </c>
      <c r="F2107" t="s">
        <v>41</v>
      </c>
      <c r="G2107">
        <v>-497.70030000000003</v>
      </c>
      <c r="H2107" s="1">
        <v>-3.2576730000000001E-6</v>
      </c>
      <c r="I2107">
        <v>262.54590000000002</v>
      </c>
      <c r="J2107">
        <v>-492.54360000000003</v>
      </c>
      <c r="K2107">
        <v>1.1265459999999901</v>
      </c>
      <c r="L2107">
        <v>275.33789999999999</v>
      </c>
      <c r="M2107">
        <v>-0.63562240000000003</v>
      </c>
      <c r="N2107">
        <v>0</v>
      </c>
      <c r="O2107">
        <v>-0.77172949999999996</v>
      </c>
      <c r="P2107">
        <v>-0.49826910000000002</v>
      </c>
      <c r="Q2107">
        <v>0.15300449999999999</v>
      </c>
      <c r="R2107">
        <v>-0.853415699999999</v>
      </c>
      <c r="S2107">
        <v>-1.1818850000000001</v>
      </c>
      <c r="T2107">
        <v>-0.2485107</v>
      </c>
      <c r="U2107">
        <v>-2.8769529999999999</v>
      </c>
      <c r="V2107">
        <v>-0.164856</v>
      </c>
      <c r="W2107">
        <v>0.166352799999999</v>
      </c>
      <c r="X2107">
        <v>0.97218789999999999</v>
      </c>
      <c r="Y2107">
        <v>-0.29540909999999998</v>
      </c>
      <c r="Z2107">
        <v>5.3858830000000003E-2</v>
      </c>
      <c r="AA2107">
        <v>0.95385149999999996</v>
      </c>
      <c r="AB2107">
        <v>37</v>
      </c>
      <c r="AC2107">
        <v>-5.1566999999999998</v>
      </c>
      <c r="AD2107">
        <v>-1.1265492576729901</v>
      </c>
      <c r="AE2107">
        <v>-12.7919999999999</v>
      </c>
      <c r="AF2107">
        <v>-4.1246536378265999</v>
      </c>
      <c r="AG2107">
        <v>-1.1265492576729901</v>
      </c>
      <c r="AH2107">
        <v>13.065259342308099</v>
      </c>
      <c r="AI2107">
        <v>94.700552077579502</v>
      </c>
      <c r="AJ2107">
        <v>107.52071230143</v>
      </c>
      <c r="AK2107">
        <v>13.747104514906701</v>
      </c>
      <c r="AL2107">
        <v>80.424169939477594</v>
      </c>
      <c r="AM2107">
        <v>99.624218624146494</v>
      </c>
      <c r="AN2107">
        <v>1.00000003385512</v>
      </c>
    </row>
    <row r="2108" spans="1:40" x14ac:dyDescent="0.25">
      <c r="A2108" t="str">
        <f>"20190312172658539"</f>
        <v>20190312172658539</v>
      </c>
      <c r="B2108" t="str">
        <f>"1552382818531275"</f>
        <v>1552382818531275</v>
      </c>
      <c r="C2108" t="s">
        <v>40</v>
      </c>
      <c r="D2108">
        <v>3.2402000000000002</v>
      </c>
      <c r="E2108">
        <v>0.44373449999999998</v>
      </c>
      <c r="F2108" t="s">
        <v>41</v>
      </c>
      <c r="G2108">
        <v>-497.74470000000002</v>
      </c>
      <c r="H2108" s="1">
        <v>-3.1250210000000001E-6</v>
      </c>
      <c r="I2108">
        <v>262.13290000000001</v>
      </c>
      <c r="J2108">
        <v>-492.67529999999999</v>
      </c>
      <c r="K2108">
        <v>1.126555</v>
      </c>
      <c r="L2108">
        <v>275.16969999999998</v>
      </c>
      <c r="M2108">
        <v>-0.62814879999999995</v>
      </c>
      <c r="N2108">
        <v>0</v>
      </c>
      <c r="O2108">
        <v>-0.77782489999999904</v>
      </c>
      <c r="P2108">
        <v>-0.49001790000000001</v>
      </c>
      <c r="Q2108">
        <v>0.15349989999999999</v>
      </c>
      <c r="R2108">
        <v>-0.85809139999999995</v>
      </c>
      <c r="S2108">
        <v>-1.1398619999999999</v>
      </c>
      <c r="T2108">
        <v>-0.24689459999999999</v>
      </c>
      <c r="U2108">
        <v>-2.894012</v>
      </c>
      <c r="V2108">
        <v>-0.1648152</v>
      </c>
      <c r="W2108">
        <v>0.1668461</v>
      </c>
      <c r="X2108">
        <v>0.97211029999999998</v>
      </c>
      <c r="Y2108">
        <v>-0.300093099999999</v>
      </c>
      <c r="Z2108">
        <v>5.3954299999999997E-2</v>
      </c>
      <c r="AA2108">
        <v>0.95238290000000003</v>
      </c>
      <c r="AB2108">
        <v>37</v>
      </c>
      <c r="AC2108">
        <v>-5.0694000000000301</v>
      </c>
      <c r="AD2108">
        <v>-1.1265581250209999</v>
      </c>
      <c r="AE2108">
        <v>-13.0367999999999</v>
      </c>
      <c r="AF2108">
        <v>-4.2194617369878999</v>
      </c>
      <c r="AG2108">
        <v>-1.1265581250209999</v>
      </c>
      <c r="AH2108">
        <v>13.2415758781306</v>
      </c>
      <c r="AI2108">
        <v>94.634341075942501</v>
      </c>
      <c r="AJ2108">
        <v>107.67461161164699</v>
      </c>
      <c r="AK2108">
        <v>13.9431819286433</v>
      </c>
      <c r="AL2108">
        <v>80.395505522945001</v>
      </c>
      <c r="AM2108">
        <v>99.622634992449605</v>
      </c>
      <c r="AN2108">
        <v>1.0000000533011599</v>
      </c>
    </row>
    <row r="2109" spans="1:40" x14ac:dyDescent="0.25">
      <c r="A2109" t="str">
        <f>"20190312172658550"</f>
        <v>20190312172658550</v>
      </c>
      <c r="B2109" t="str">
        <f>"1552382818541035"</f>
        <v>1552382818541035</v>
      </c>
      <c r="C2109" t="s">
        <v>40</v>
      </c>
      <c r="D2109">
        <v>3.1729989999999999</v>
      </c>
      <c r="E2109">
        <v>0.44391950000000002</v>
      </c>
      <c r="F2109" t="s">
        <v>41</v>
      </c>
      <c r="G2109">
        <v>-497.83069999999998</v>
      </c>
      <c r="H2109" s="1">
        <v>-3.005789E-6</v>
      </c>
      <c r="I2109">
        <v>261.73880000000003</v>
      </c>
      <c r="J2109">
        <v>-492.79329999999999</v>
      </c>
      <c r="K2109">
        <v>1.1265590000000001</v>
      </c>
      <c r="L2109">
        <v>275.01690000000002</v>
      </c>
      <c r="M2109">
        <v>-0.62132639999999995</v>
      </c>
      <c r="N2109">
        <v>0</v>
      </c>
      <c r="O2109">
        <v>-0.78328520000000001</v>
      </c>
      <c r="P2109">
        <v>-0.48262529999999998</v>
      </c>
      <c r="Q2109">
        <v>0.15421679999999999</v>
      </c>
      <c r="R2109">
        <v>-0.86214299999999999</v>
      </c>
      <c r="S2109">
        <v>-1.114441</v>
      </c>
      <c r="T2109">
        <v>-0.24352360000000001</v>
      </c>
      <c r="U2109">
        <v>-2.9032900000000001</v>
      </c>
      <c r="V2109">
        <v>-0.16462189999999999</v>
      </c>
      <c r="W2109">
        <v>0.1675672</v>
      </c>
      <c r="X2109">
        <v>0.97201899999999997</v>
      </c>
      <c r="Y2109">
        <v>-0.3000313</v>
      </c>
      <c r="Z2109">
        <v>5.3740370000000003E-2</v>
      </c>
      <c r="AA2109">
        <v>0.95241439999999999</v>
      </c>
      <c r="AB2109">
        <v>37</v>
      </c>
      <c r="AC2109">
        <v>-5.0373999999999901</v>
      </c>
      <c r="AD2109">
        <v>-1.126562005789</v>
      </c>
      <c r="AE2109">
        <v>-13.278099999999901</v>
      </c>
      <c r="AF2109">
        <v>-4.2782904647406799</v>
      </c>
      <c r="AG2109">
        <v>-1.126562005789</v>
      </c>
      <c r="AH2109">
        <v>13.4486075439158</v>
      </c>
      <c r="AI2109">
        <v>94.564015722132098</v>
      </c>
      <c r="AJ2109">
        <v>107.64698304138901</v>
      </c>
      <c r="AK2109">
        <v>14.157611243562499</v>
      </c>
      <c r="AL2109">
        <v>80.353599415931598</v>
      </c>
      <c r="AM2109">
        <v>99.612445902130304</v>
      </c>
      <c r="AN2109">
        <v>1.00000003641822</v>
      </c>
    </row>
    <row r="2110" spans="1:40" x14ac:dyDescent="0.25">
      <c r="A2110" t="str">
        <f>"20190312172658570"</f>
        <v>20190312172658570</v>
      </c>
      <c r="B2110" t="str">
        <f>"1552382818561530"</f>
        <v>1552382818561530</v>
      </c>
      <c r="C2110" t="s">
        <v>40</v>
      </c>
      <c r="D2110">
        <v>3.0628630000000001</v>
      </c>
      <c r="E2110">
        <v>0.44447170000000003</v>
      </c>
      <c r="F2110" t="s">
        <v>41</v>
      </c>
      <c r="G2110">
        <v>-497.89699999999999</v>
      </c>
      <c r="H2110" s="1">
        <v>-2.8795309999999999E-6</v>
      </c>
      <c r="I2110">
        <v>261.40339999999998</v>
      </c>
      <c r="J2110">
        <v>-492.98469999999998</v>
      </c>
      <c r="K2110">
        <v>1.126568</v>
      </c>
      <c r="L2110">
        <v>274.76220000000001</v>
      </c>
      <c r="M2110">
        <v>-0.60990040000000001</v>
      </c>
      <c r="N2110">
        <v>0</v>
      </c>
      <c r="O2110">
        <v>-0.79221469999999905</v>
      </c>
      <c r="P2110">
        <v>-0.47072789999999998</v>
      </c>
      <c r="Q2110">
        <v>0.15531819999999999</v>
      </c>
      <c r="R2110">
        <v>-0.8685001</v>
      </c>
      <c r="S2110">
        <v>-1.0916140000000001</v>
      </c>
      <c r="T2110">
        <v>-0.2409567</v>
      </c>
      <c r="U2110">
        <v>-2.911743</v>
      </c>
      <c r="V2110">
        <v>-0.1638087</v>
      </c>
      <c r="W2110">
        <v>0.16869960000000001</v>
      </c>
      <c r="X2110">
        <v>0.97196050000000001</v>
      </c>
      <c r="Y2110">
        <v>-0.29364820000000003</v>
      </c>
      <c r="Z2110">
        <v>5.4166100000000002E-2</v>
      </c>
      <c r="AA2110">
        <v>0.9543777</v>
      </c>
      <c r="AB2110">
        <v>37</v>
      </c>
      <c r="AC2110">
        <v>-4.9123000000000099</v>
      </c>
      <c r="AD2110">
        <v>-1.1265708795309901</v>
      </c>
      <c r="AE2110">
        <v>-13.3588</v>
      </c>
      <c r="AF2110">
        <v>-4.2303277342879699</v>
      </c>
      <c r="AG2110">
        <v>-1.1265708795309901</v>
      </c>
      <c r="AH2110">
        <v>13.4973288950079</v>
      </c>
      <c r="AI2110">
        <v>94.553763856556202</v>
      </c>
      <c r="AJ2110">
        <v>107.402014810739</v>
      </c>
      <c r="AK2110">
        <v>14.1895286033789</v>
      </c>
      <c r="AL2110">
        <v>80.287780626173102</v>
      </c>
      <c r="AM2110">
        <v>99.5664069870042</v>
      </c>
      <c r="AN2110">
        <v>1.00000002939804</v>
      </c>
    </row>
    <row r="2111" spans="1:40" x14ac:dyDescent="0.25">
      <c r="A2111" t="str">
        <f>"20190312172658592"</f>
        <v>20190312172658592</v>
      </c>
      <c r="B2111" t="str">
        <f>"1552382818581050"</f>
        <v>1552382818581050</v>
      </c>
      <c r="C2111" t="s">
        <v>40</v>
      </c>
      <c r="D2111">
        <v>3.05213</v>
      </c>
      <c r="E2111">
        <v>0.44529679999999999</v>
      </c>
      <c r="F2111" t="s">
        <v>41</v>
      </c>
      <c r="G2111">
        <v>-498.02710000000002</v>
      </c>
      <c r="H2111" s="1">
        <v>-2.6654989999999999E-6</v>
      </c>
      <c r="I2111">
        <v>260.82389999999998</v>
      </c>
      <c r="J2111">
        <v>-493.19389999999999</v>
      </c>
      <c r="K2111">
        <v>1.1265590000000001</v>
      </c>
      <c r="L2111">
        <v>274.4742</v>
      </c>
      <c r="M2111">
        <v>-0.59689709999999996</v>
      </c>
      <c r="N2111">
        <v>0</v>
      </c>
      <c r="O2111">
        <v>-0.80205749999999998</v>
      </c>
      <c r="P2111">
        <v>-0.45761230000000003</v>
      </c>
      <c r="Q2111">
        <v>0.1543388</v>
      </c>
      <c r="R2111">
        <v>-0.8756543</v>
      </c>
      <c r="S2111">
        <v>-1.057526</v>
      </c>
      <c r="T2111">
        <v>-0.23627529999999999</v>
      </c>
      <c r="U2111">
        <v>-2.923279</v>
      </c>
      <c r="V2111">
        <v>-0.162632</v>
      </c>
      <c r="W2111">
        <v>0.1677746</v>
      </c>
      <c r="X2111">
        <v>0.97231809999999996</v>
      </c>
      <c r="Y2111">
        <v>-0.28908790000000001</v>
      </c>
      <c r="Z2111">
        <v>5.4138730000000003E-2</v>
      </c>
      <c r="AA2111">
        <v>0.95577040000000002</v>
      </c>
      <c r="AB2111">
        <v>37</v>
      </c>
      <c r="AC2111">
        <v>-4.8332000000000299</v>
      </c>
      <c r="AD2111">
        <v>-1.1265616654990001</v>
      </c>
      <c r="AE2111">
        <v>-13.6503</v>
      </c>
      <c r="AF2111">
        <v>-4.24651055650589</v>
      </c>
      <c r="AG2111">
        <v>-1.1265616654990001</v>
      </c>
      <c r="AH2111">
        <v>13.752899247808999</v>
      </c>
      <c r="AI2111">
        <v>94.475322729456593</v>
      </c>
      <c r="AJ2111">
        <v>107.15922473841199</v>
      </c>
      <c r="AK2111">
        <v>14.4375978200347</v>
      </c>
      <c r="AL2111">
        <v>80.341545132011007</v>
      </c>
      <c r="AM2111">
        <v>99.495514643374705</v>
      </c>
      <c r="AN2111">
        <v>0.999999985708384</v>
      </c>
    </row>
    <row r="2112" spans="1:40" x14ac:dyDescent="0.25">
      <c r="A2112" t="str">
        <f>"20190312172658604"</f>
        <v>20190312172658604</v>
      </c>
      <c r="B2112" t="str">
        <f>"1552382818600571"</f>
        <v>1552382818600571</v>
      </c>
      <c r="C2112" t="s">
        <v>40</v>
      </c>
      <c r="D2112">
        <v>3.112311</v>
      </c>
      <c r="E2112">
        <v>0.44619520000000001</v>
      </c>
      <c r="F2112" t="s">
        <v>41</v>
      </c>
      <c r="G2112">
        <v>-498.00220000000002</v>
      </c>
      <c r="H2112" s="1">
        <v>-2.5765659999999999E-6</v>
      </c>
      <c r="I2112">
        <v>260.63200000000001</v>
      </c>
      <c r="J2112">
        <v>-493.30239999999998</v>
      </c>
      <c r="K2112">
        <v>1.1265609999999999</v>
      </c>
      <c r="L2112">
        <v>274.32100000000003</v>
      </c>
      <c r="M2112">
        <v>-0.58994159999999995</v>
      </c>
      <c r="N2112">
        <v>0</v>
      </c>
      <c r="O2112">
        <v>-0.8071874</v>
      </c>
      <c r="P2112">
        <v>-0.45080520000000002</v>
      </c>
      <c r="Q2112">
        <v>0.1537712</v>
      </c>
      <c r="R2112">
        <v>-0.87927759999999999</v>
      </c>
      <c r="S2112">
        <v>-1.0196229999999999</v>
      </c>
      <c r="T2112">
        <v>-0.2388923</v>
      </c>
      <c r="U2112">
        <v>-2.9353030000000002</v>
      </c>
      <c r="V2112">
        <v>-0.16180329999999901</v>
      </c>
      <c r="W2112">
        <v>0.1672457</v>
      </c>
      <c r="X2112">
        <v>0.97254750000000001</v>
      </c>
      <c r="Y2112">
        <v>-0.29304659999999999</v>
      </c>
      <c r="Z2112">
        <v>5.5134639999999999E-2</v>
      </c>
      <c r="AA2112">
        <v>0.9545072</v>
      </c>
      <c r="AB2112">
        <v>37</v>
      </c>
      <c r="AC2112">
        <v>-4.6998000000000397</v>
      </c>
      <c r="AD2112">
        <v>-1.126563576566</v>
      </c>
      <c r="AE2112">
        <v>-13.688999999999901</v>
      </c>
      <c r="AF2112">
        <v>-4.2571923825584701</v>
      </c>
      <c r="AG2112">
        <v>-1.126563576566</v>
      </c>
      <c r="AH2112">
        <v>13.741824697908401</v>
      </c>
      <c r="AI2112">
        <v>94.477630358757395</v>
      </c>
      <c r="AJ2112">
        <v>107.212886358196</v>
      </c>
      <c r="AK2112">
        <v>14.430196758956701</v>
      </c>
      <c r="AL2112">
        <v>80.372283676482397</v>
      </c>
      <c r="AM2112">
        <v>99.445815878524598</v>
      </c>
      <c r="AN2112">
        <v>1.0000000359078101</v>
      </c>
    </row>
    <row r="2113" spans="1:40" x14ac:dyDescent="0.25">
      <c r="A2113" t="str">
        <f>"20190312172658617"</f>
        <v>20190312172658617</v>
      </c>
      <c r="B2113" t="str">
        <f>"1552382818611307"</f>
        <v>1552382818611307</v>
      </c>
      <c r="C2113" t="s">
        <v>40</v>
      </c>
      <c r="D2113">
        <v>3.1221519999999998</v>
      </c>
      <c r="E2113">
        <v>0.44669039999999999</v>
      </c>
      <c r="F2113" t="s">
        <v>41</v>
      </c>
      <c r="G2113">
        <v>-498.01560000000001</v>
      </c>
      <c r="H2113" s="1">
        <v>-2.5266550000000001E-6</v>
      </c>
      <c r="I2113">
        <v>260.50740000000002</v>
      </c>
      <c r="J2113">
        <v>-493.4144</v>
      </c>
      <c r="K2113">
        <v>1.126565</v>
      </c>
      <c r="L2113">
        <v>274.15910000000002</v>
      </c>
      <c r="M2113">
        <v>-0.58256569999999996</v>
      </c>
      <c r="N2113">
        <v>0</v>
      </c>
      <c r="O2113">
        <v>-0.81252669999999905</v>
      </c>
      <c r="P2113">
        <v>-0.4435326</v>
      </c>
      <c r="Q2113">
        <v>0.1536005</v>
      </c>
      <c r="R2113">
        <v>-0.88299819999999996</v>
      </c>
      <c r="S2113">
        <v>-1.002991</v>
      </c>
      <c r="T2113">
        <v>-0.2397379</v>
      </c>
      <c r="U2113">
        <v>-2.9396059999999999</v>
      </c>
      <c r="V2113">
        <v>-0.1609805</v>
      </c>
      <c r="W2113">
        <v>0.16711309999999999</v>
      </c>
      <c r="X2113">
        <v>0.97270679999999998</v>
      </c>
      <c r="Y2113">
        <v>-0.2896127</v>
      </c>
      <c r="Z2113">
        <v>5.5930529999999999E-2</v>
      </c>
      <c r="AA2113">
        <v>0.95550840000000004</v>
      </c>
      <c r="AB2113">
        <v>37</v>
      </c>
      <c r="AC2113">
        <v>-4.6012000000000004</v>
      </c>
      <c r="AD2113">
        <v>-1.1265675266549999</v>
      </c>
      <c r="AE2113">
        <v>-13.6517</v>
      </c>
      <c r="AF2113">
        <v>-4.1896736755535997</v>
      </c>
      <c r="AG2113">
        <v>-1.1265675266549999</v>
      </c>
      <c r="AH2113">
        <v>13.692018665758299</v>
      </c>
      <c r="AI2113">
        <v>94.498658118218401</v>
      </c>
      <c r="AJ2113">
        <v>107.013789157462</v>
      </c>
      <c r="AK2113">
        <v>14.3629347642888</v>
      </c>
      <c r="AL2113">
        <v>80.379989334059104</v>
      </c>
      <c r="AM2113">
        <v>99.397129554301699</v>
      </c>
      <c r="AN2113">
        <v>1.0000000141690499</v>
      </c>
    </row>
    <row r="2114" spans="1:40" x14ac:dyDescent="0.25">
      <c r="A2114" t="str">
        <f>"20190312172658629"</f>
        <v>20190312172658629</v>
      </c>
      <c r="B2114" t="str">
        <f>"1552382818621066"</f>
        <v>1552382818621066</v>
      </c>
      <c r="C2114" t="s">
        <v>40</v>
      </c>
      <c r="D2114">
        <v>3.2032099999999999</v>
      </c>
      <c r="E2114">
        <v>0.44717440000000003</v>
      </c>
      <c r="F2114" t="s">
        <v>41</v>
      </c>
      <c r="G2114">
        <v>-498.0104</v>
      </c>
      <c r="H2114" s="1">
        <v>-2.468204E-6</v>
      </c>
      <c r="I2114">
        <v>260.37430000000001</v>
      </c>
      <c r="J2114">
        <v>-493.52949999999998</v>
      </c>
      <c r="K2114">
        <v>1.126565</v>
      </c>
      <c r="L2114">
        <v>273.99059999999997</v>
      </c>
      <c r="M2114">
        <v>-0.57485540000000002</v>
      </c>
      <c r="N2114">
        <v>0</v>
      </c>
      <c r="O2114">
        <v>-0.81799960000000005</v>
      </c>
      <c r="P2114">
        <v>-0.435782</v>
      </c>
      <c r="Q2114">
        <v>0.15416959999999999</v>
      </c>
      <c r="R2114">
        <v>-0.88675000000000004</v>
      </c>
      <c r="S2114">
        <v>-0.98223879999999997</v>
      </c>
      <c r="T2114">
        <v>-0.24076739999999999</v>
      </c>
      <c r="U2114">
        <v>-2.9460449999999998</v>
      </c>
      <c r="V2114">
        <v>-0.16026489999999999</v>
      </c>
      <c r="W2114">
        <v>0.1677139</v>
      </c>
      <c r="X2114">
        <v>0.97272159999999996</v>
      </c>
      <c r="Y2114">
        <v>-0.28725590000000001</v>
      </c>
      <c r="Z2114">
        <v>5.6745780000000003E-2</v>
      </c>
      <c r="AA2114">
        <v>0.95617149999999995</v>
      </c>
      <c r="AB2114">
        <v>37</v>
      </c>
      <c r="AC2114">
        <v>-4.4809000000000196</v>
      </c>
      <c r="AD2114">
        <v>-1.1265674682039899</v>
      </c>
      <c r="AE2114">
        <v>-13.616299999999899</v>
      </c>
      <c r="AF2114">
        <v>-4.1373449600352501</v>
      </c>
      <c r="AG2114">
        <v>-1.1265674682039899</v>
      </c>
      <c r="AH2114">
        <v>13.632662365190599</v>
      </c>
      <c r="AI2114">
        <v>94.521309493936499</v>
      </c>
      <c r="AJ2114">
        <v>106.882397035826</v>
      </c>
      <c r="AK2114">
        <v>14.2911252440817</v>
      </c>
      <c r="AL2114">
        <v>80.345073607603297</v>
      </c>
      <c r="AM2114">
        <v>99.355957279734696</v>
      </c>
      <c r="AN2114">
        <v>1.0000000507658799</v>
      </c>
    </row>
    <row r="2115" spans="1:40" x14ac:dyDescent="0.25">
      <c r="A2115" t="str">
        <f>"20190312172658641"</f>
        <v>20190312172658641</v>
      </c>
      <c r="B2115" t="str">
        <f>"1552382818630826"</f>
        <v>1552382818630826</v>
      </c>
      <c r="C2115" t="s">
        <v>40</v>
      </c>
      <c r="D2115">
        <v>3.2053029999999998</v>
      </c>
      <c r="E2115">
        <v>0.44765880000000002</v>
      </c>
      <c r="F2115" t="s">
        <v>41</v>
      </c>
      <c r="G2115">
        <v>-498.0625</v>
      </c>
      <c r="H2115" s="1">
        <v>-2.3377200000000002E-6</v>
      </c>
      <c r="I2115">
        <v>260.0378</v>
      </c>
      <c r="J2115">
        <v>-493.63979999999998</v>
      </c>
      <c r="K2115">
        <v>1.126568</v>
      </c>
      <c r="L2115">
        <v>273.82420000000002</v>
      </c>
      <c r="M2115">
        <v>-0.5672142</v>
      </c>
      <c r="N2115">
        <v>0</v>
      </c>
      <c r="O2115">
        <v>-0.82331679999999996</v>
      </c>
      <c r="P2115">
        <v>-0.4280081</v>
      </c>
      <c r="Q2115">
        <v>0.15388060000000001</v>
      </c>
      <c r="R2115">
        <v>-0.89057869999999995</v>
      </c>
      <c r="S2115">
        <v>-0.95941160000000003</v>
      </c>
      <c r="T2115">
        <v>-0.23843629999999999</v>
      </c>
      <c r="U2115">
        <v>-2.9530940000000001</v>
      </c>
      <c r="V2115">
        <v>-0.1597317</v>
      </c>
      <c r="W2115">
        <v>0.16745109999999999</v>
      </c>
      <c r="X2115">
        <v>0.97285449999999996</v>
      </c>
      <c r="Y2115">
        <v>-0.2856882</v>
      </c>
      <c r="Z2115">
        <v>5.6735929999999997E-2</v>
      </c>
      <c r="AA2115">
        <v>0.95664170000000004</v>
      </c>
      <c r="AB2115">
        <v>37</v>
      </c>
      <c r="AC2115">
        <v>-4.4227000000000096</v>
      </c>
      <c r="AD2115">
        <v>-1.12657033772</v>
      </c>
      <c r="AE2115">
        <v>-13.7864</v>
      </c>
      <c r="AF2115">
        <v>-4.1542793807346303</v>
      </c>
      <c r="AG2115">
        <v>-1.12657033772</v>
      </c>
      <c r="AH2115">
        <v>13.7786649959895</v>
      </c>
      <c r="AI2115">
        <v>94.476061182713806</v>
      </c>
      <c r="AJ2115">
        <v>106.778104350099</v>
      </c>
      <c r="AK2115">
        <v>14.435331896798701</v>
      </c>
      <c r="AL2115">
        <v>80.360346268115705</v>
      </c>
      <c r="AM2115">
        <v>99.324126232771903</v>
      </c>
      <c r="AN2115">
        <v>0.99999998252317401</v>
      </c>
    </row>
    <row r="2116" spans="1:40" x14ac:dyDescent="0.25">
      <c r="A2116" t="str">
        <f>"20190312172658654"</f>
        <v>20190312172658654</v>
      </c>
      <c r="B2116" t="str">
        <f>"1552382818651323"</f>
        <v>1552382818651323</v>
      </c>
      <c r="C2116" t="s">
        <v>40</v>
      </c>
      <c r="D2116">
        <v>3.117334</v>
      </c>
      <c r="E2116">
        <v>0.4486966</v>
      </c>
      <c r="F2116" t="s">
        <v>41</v>
      </c>
      <c r="G2116">
        <v>-498.05459999999999</v>
      </c>
      <c r="H2116" s="1">
        <v>-2.2712789999999998E-6</v>
      </c>
      <c r="I2116">
        <v>259.8879</v>
      </c>
      <c r="J2116">
        <v>-493.74669999999998</v>
      </c>
      <c r="K2116">
        <v>1.126571</v>
      </c>
      <c r="L2116">
        <v>273.66050000000001</v>
      </c>
      <c r="M2116">
        <v>-0.55965940000000003</v>
      </c>
      <c r="N2116">
        <v>0</v>
      </c>
      <c r="O2116">
        <v>-0.82847059999999995</v>
      </c>
      <c r="P2116">
        <v>-0.4202729</v>
      </c>
      <c r="Q2116">
        <v>0.15355869999999999</v>
      </c>
      <c r="R2116">
        <v>-0.89431019999999894</v>
      </c>
      <c r="S2116">
        <v>-0.93746949999999996</v>
      </c>
      <c r="T2116">
        <v>-0.23922679999999999</v>
      </c>
      <c r="U2116">
        <v>-2.959381</v>
      </c>
      <c r="V2116">
        <v>-0.1592816</v>
      </c>
      <c r="W2116">
        <v>0.1671503</v>
      </c>
      <c r="X2116">
        <v>0.97297999999999996</v>
      </c>
      <c r="Y2116">
        <v>-0.28396199999999999</v>
      </c>
      <c r="Z2116">
        <v>5.7455979999999997E-2</v>
      </c>
      <c r="AA2116">
        <v>0.95711250000000003</v>
      </c>
      <c r="AB2116">
        <v>37</v>
      </c>
      <c r="AC2116">
        <v>-4.3079000000000098</v>
      </c>
      <c r="AD2116">
        <v>-1.126573271279</v>
      </c>
      <c r="AE2116">
        <v>-13.772600000000001</v>
      </c>
      <c r="AF2116">
        <v>-4.1147832998582397</v>
      </c>
      <c r="AG2116">
        <v>-1.126573271279</v>
      </c>
      <c r="AH2116">
        <v>13.740296764572699</v>
      </c>
      <c r="AI2116">
        <v>94.491025489919494</v>
      </c>
      <c r="AJ2116">
        <v>106.67129131697</v>
      </c>
      <c r="AK2116">
        <v>14.3873682137797</v>
      </c>
      <c r="AL2116">
        <v>80.377827052976102</v>
      </c>
      <c r="AM2116">
        <v>99.297133362486306</v>
      </c>
      <c r="AN2116">
        <v>0.99999996564432403</v>
      </c>
    </row>
    <row r="2117" spans="1:40" x14ac:dyDescent="0.25">
      <c r="A2117" t="str">
        <f>"20190312172658671"</f>
        <v>20190312172658671</v>
      </c>
      <c r="B2117" t="str">
        <f>"1552382818661083"</f>
        <v>1552382818661083</v>
      </c>
      <c r="C2117" t="s">
        <v>40</v>
      </c>
      <c r="D2117">
        <v>3.2392650000000001</v>
      </c>
      <c r="E2117">
        <v>0.4486966</v>
      </c>
      <c r="F2117" t="s">
        <v>41</v>
      </c>
      <c r="G2117">
        <v>-498.05919999999998</v>
      </c>
      <c r="H2117" s="1">
        <v>-2.2172230000000001E-6</v>
      </c>
      <c r="I2117">
        <v>259.75900000000001</v>
      </c>
      <c r="J2117">
        <v>-493.89879999999999</v>
      </c>
      <c r="K2117">
        <v>1.1265700000000001</v>
      </c>
      <c r="L2117">
        <v>273.42160000000001</v>
      </c>
      <c r="M2117">
        <v>-0.54857650000000002</v>
      </c>
      <c r="N2117">
        <v>0</v>
      </c>
      <c r="O2117">
        <v>-0.835850599999999</v>
      </c>
      <c r="P2117">
        <v>-0.40905340000000001</v>
      </c>
      <c r="Q2117">
        <v>0.15260879999999999</v>
      </c>
      <c r="R2117">
        <v>-0.89965869999999903</v>
      </c>
      <c r="S2117">
        <v>-0.91940310000000003</v>
      </c>
      <c r="T2117">
        <v>-0.2401778</v>
      </c>
      <c r="U2117">
        <v>-2.9637150000000001</v>
      </c>
      <c r="V2117">
        <v>-0.1585415</v>
      </c>
      <c r="W2117">
        <v>0.16623199999999999</v>
      </c>
      <c r="X2117">
        <v>0.97325819999999996</v>
      </c>
      <c r="Y2117">
        <v>-0.27691850000000001</v>
      </c>
      <c r="Z2117">
        <v>5.8558180000000001E-2</v>
      </c>
      <c r="AA2117">
        <v>0.9591075</v>
      </c>
      <c r="AB2117">
        <v>36</v>
      </c>
      <c r="AC2117">
        <v>-4.1603999999999797</v>
      </c>
      <c r="AD2117">
        <v>-1.1265722172229999</v>
      </c>
      <c r="AE2117">
        <v>-13.6625999999999</v>
      </c>
      <c r="AF2117">
        <v>-3.99349944648276</v>
      </c>
      <c r="AG2117">
        <v>-1.1265722172229999</v>
      </c>
      <c r="AH2117">
        <v>13.620304509005599</v>
      </c>
      <c r="AI2117">
        <v>94.538130216188705</v>
      </c>
      <c r="AJ2117">
        <v>106.34123846094199</v>
      </c>
      <c r="AK2117">
        <v>14.238324961445301</v>
      </c>
      <c r="AL2117">
        <v>80.431188715427695</v>
      </c>
      <c r="AM2117">
        <v>99.252083871537195</v>
      </c>
      <c r="AN2117">
        <v>1.0000000044567401</v>
      </c>
    </row>
    <row r="2118" spans="1:40" x14ac:dyDescent="0.25">
      <c r="A2118" t="str">
        <f>"20190312172658694"</f>
        <v>20190312172658694</v>
      </c>
      <c r="B2118" t="str">
        <f>"1552382818691339"</f>
        <v>1552382818691339</v>
      </c>
      <c r="C2118" t="s">
        <v>40</v>
      </c>
      <c r="D2118">
        <v>3.1110920000000002</v>
      </c>
      <c r="E2118">
        <v>0.46375909999999898</v>
      </c>
      <c r="F2118" t="s">
        <v>41</v>
      </c>
      <c r="G2118">
        <v>-497.9837</v>
      </c>
      <c r="H2118" s="1">
        <v>-2.1433279999999998E-6</v>
      </c>
      <c r="I2118">
        <v>259.63350000000003</v>
      </c>
      <c r="J2118">
        <v>-494.08300000000003</v>
      </c>
      <c r="K2118">
        <v>1.1265780000000001</v>
      </c>
      <c r="L2118">
        <v>273.12139999999999</v>
      </c>
      <c r="M2118">
        <v>-0.53456569999999903</v>
      </c>
      <c r="N2118">
        <v>0</v>
      </c>
      <c r="O2118">
        <v>-0.84488009999999902</v>
      </c>
      <c r="P2118">
        <v>-0.3949435</v>
      </c>
      <c r="Q2118">
        <v>0.1528822</v>
      </c>
      <c r="R2118">
        <v>-0.90589580000000003</v>
      </c>
      <c r="S2118">
        <v>-0.88140869999999905</v>
      </c>
      <c r="T2118">
        <v>-0.24308279999999999</v>
      </c>
      <c r="U2118">
        <v>-2.9750670000000001</v>
      </c>
      <c r="V2118">
        <v>-0.15750980000000001</v>
      </c>
      <c r="W2118">
        <v>0.16654089999999999</v>
      </c>
      <c r="X2118">
        <v>0.97337289999999999</v>
      </c>
      <c r="Y2118">
        <v>-0.27317849999999999</v>
      </c>
      <c r="Z2118">
        <v>6.020752E-2</v>
      </c>
      <c r="AA2118">
        <v>0.96007730000000002</v>
      </c>
      <c r="AB2118">
        <v>36</v>
      </c>
      <c r="AC2118">
        <v>-3.9006999999999699</v>
      </c>
      <c r="AD2118">
        <v>-1.126580143328</v>
      </c>
      <c r="AE2118">
        <v>-13.4878999999999</v>
      </c>
      <c r="AF2118">
        <v>-3.8903156871291098</v>
      </c>
      <c r="AG2118">
        <v>-1.126580143328</v>
      </c>
      <c r="AH2118">
        <v>13.3973986065105</v>
      </c>
      <c r="AI2118">
        <v>94.616833412970806</v>
      </c>
      <c r="AJ2118">
        <v>106.192157846463</v>
      </c>
      <c r="AK2118">
        <v>13.9962147878129</v>
      </c>
      <c r="AL2118">
        <v>80.4132398628781</v>
      </c>
      <c r="AM2118">
        <v>99.191842922138406</v>
      </c>
      <c r="AN2118">
        <v>1.00000000546163</v>
      </c>
    </row>
    <row r="2119" spans="1:40" x14ac:dyDescent="0.25">
      <c r="A2119" t="str">
        <f>"20190312172658716"</f>
        <v>20190312172658716</v>
      </c>
      <c r="B2119" t="str">
        <f>"1552382818710858"</f>
        <v>1552382818710858</v>
      </c>
      <c r="C2119" t="s">
        <v>40</v>
      </c>
      <c r="D2119">
        <v>3.1393260000000001</v>
      </c>
      <c r="E2119">
        <v>0.46504719999999999</v>
      </c>
      <c r="F2119" t="s">
        <v>41</v>
      </c>
      <c r="G2119">
        <v>-498.73540000000003</v>
      </c>
      <c r="H2119" s="1">
        <v>-5.5193879999999997E-6</v>
      </c>
      <c r="I2119">
        <v>258.65249999999997</v>
      </c>
      <c r="J2119">
        <v>-494.26560000000001</v>
      </c>
      <c r="K2119">
        <v>1.1265810000000001</v>
      </c>
      <c r="L2119">
        <v>272.81229999999999</v>
      </c>
      <c r="M2119">
        <v>-0.52003159999999904</v>
      </c>
      <c r="N2119">
        <v>0</v>
      </c>
      <c r="O2119">
        <v>-0.85390319999999997</v>
      </c>
      <c r="P2119">
        <v>-0.38051990000000002</v>
      </c>
      <c r="Q2119">
        <v>0.15403240000000001</v>
      </c>
      <c r="R2119">
        <v>-0.91185499999999997</v>
      </c>
      <c r="S2119">
        <v>-0.94479369999999996</v>
      </c>
      <c r="T2119">
        <v>-0.22878680000000001</v>
      </c>
      <c r="U2119">
        <v>-2.9383539999999999</v>
      </c>
      <c r="V2119">
        <v>-0.1562412</v>
      </c>
      <c r="W2119">
        <v>0.16773270000000001</v>
      </c>
      <c r="X2119">
        <v>0.97337269999999998</v>
      </c>
      <c r="Y2119">
        <v>-0.2343276</v>
      </c>
      <c r="Z2119">
        <v>5.8584990000000003E-2</v>
      </c>
      <c r="AA2119">
        <v>0.97039089999999995</v>
      </c>
      <c r="AB2119">
        <v>36</v>
      </c>
      <c r="AC2119">
        <v>-4.4698000000000198</v>
      </c>
      <c r="AD2119">
        <v>-1.126586519388</v>
      </c>
      <c r="AE2119">
        <v>-14.159800000000001</v>
      </c>
      <c r="AF2119">
        <v>-3.5272012139186399</v>
      </c>
      <c r="AG2119">
        <v>-1.126586519388</v>
      </c>
      <c r="AH2119">
        <v>14.3360125850784</v>
      </c>
      <c r="AI2119">
        <v>94.363706567512907</v>
      </c>
      <c r="AJ2119">
        <v>103.82238252078299</v>
      </c>
      <c r="AK2119">
        <v>14.8064716400857</v>
      </c>
      <c r="AL2119">
        <v>80.343980397544797</v>
      </c>
      <c r="AM2119">
        <v>99.119061529666098</v>
      </c>
      <c r="AN2119">
        <v>0.99999999216600999</v>
      </c>
    </row>
    <row r="2120" spans="1:40" x14ac:dyDescent="0.25">
      <c r="A2120" t="str">
        <f>"20190312172658739"</f>
        <v>20190312172658739</v>
      </c>
      <c r="B2120" t="str">
        <f>"1552382818731354"</f>
        <v>1552382818731354</v>
      </c>
      <c r="C2120" t="s">
        <v>40</v>
      </c>
      <c r="D2120">
        <v>3.206337</v>
      </c>
      <c r="E2120">
        <v>0.46631620000000001</v>
      </c>
      <c r="F2120" t="s">
        <v>41</v>
      </c>
      <c r="G2120">
        <v>-498.90019999999998</v>
      </c>
      <c r="H2120" s="1">
        <v>-5.2422369999999999E-6</v>
      </c>
      <c r="I2120">
        <v>257.75209999999998</v>
      </c>
      <c r="J2120">
        <v>-494.43880000000001</v>
      </c>
      <c r="K2120">
        <v>1.1265860000000001</v>
      </c>
      <c r="L2120">
        <v>272.50709999999998</v>
      </c>
      <c r="M2120">
        <v>-0.50558309999999995</v>
      </c>
      <c r="N2120">
        <v>0</v>
      </c>
      <c r="O2120">
        <v>-0.86253670000000005</v>
      </c>
      <c r="P2120">
        <v>-0.3657956</v>
      </c>
      <c r="Q2120">
        <v>0.15564049999999999</v>
      </c>
      <c r="R2120">
        <v>-0.9175894</v>
      </c>
      <c r="S2120">
        <v>-0.90740969999999999</v>
      </c>
      <c r="T2120">
        <v>-0.2205751</v>
      </c>
      <c r="U2120">
        <v>-2.948639</v>
      </c>
      <c r="V2120">
        <v>-0.15544340000000001</v>
      </c>
      <c r="W2120">
        <v>0.16936129999999999</v>
      </c>
      <c r="X2120">
        <v>0.97321840000000004</v>
      </c>
      <c r="Y2120">
        <v>-0.23011390000000001</v>
      </c>
      <c r="Z2120">
        <v>5.733427E-2</v>
      </c>
      <c r="AA2120">
        <v>0.97147329999999998</v>
      </c>
      <c r="AB2120">
        <v>36</v>
      </c>
      <c r="AC2120">
        <v>-4.4613999999999603</v>
      </c>
      <c r="AD2120">
        <v>-1.1265912422369999</v>
      </c>
      <c r="AE2120">
        <v>-14.7549999999999</v>
      </c>
      <c r="AF2120">
        <v>-3.5933156197011402</v>
      </c>
      <c r="AG2120">
        <v>-1.1265912422369999</v>
      </c>
      <c r="AH2120">
        <v>14.9058369965841</v>
      </c>
      <c r="AI2120">
        <v>94.202297207110306</v>
      </c>
      <c r="AJ2120">
        <v>103.553561394383</v>
      </c>
      <c r="AK2120">
        <v>15.374169946329101</v>
      </c>
      <c r="AL2120">
        <v>80.249314001029902</v>
      </c>
      <c r="AM2120">
        <v>99.074688812541396</v>
      </c>
      <c r="AN2120">
        <v>0.99999997731990398</v>
      </c>
    </row>
    <row r="2121" spans="1:40" x14ac:dyDescent="0.25">
      <c r="A2121" t="str">
        <f>"20190312172658751"</f>
        <v>20190312172658751</v>
      </c>
      <c r="B2121" t="str">
        <f>"1552382818741115"</f>
        <v>1552382818741115</v>
      </c>
      <c r="C2121" t="s">
        <v>40</v>
      </c>
      <c r="D2121">
        <v>3.235471</v>
      </c>
      <c r="E2121">
        <v>0.46677360000000001</v>
      </c>
      <c r="F2121" t="s">
        <v>41</v>
      </c>
      <c r="G2121">
        <v>-498.99369999999999</v>
      </c>
      <c r="H2121" s="1">
        <v>-5.0064479999999997E-6</v>
      </c>
      <c r="I2121">
        <v>257.01049999999998</v>
      </c>
      <c r="J2121">
        <v>-494.53559999999999</v>
      </c>
      <c r="K2121">
        <v>1.1265889999999901</v>
      </c>
      <c r="L2121">
        <v>272.33159999999998</v>
      </c>
      <c r="M2121">
        <v>-0.49723000000000001</v>
      </c>
      <c r="N2121">
        <v>0</v>
      </c>
      <c r="O2121">
        <v>-0.86737929999999996</v>
      </c>
      <c r="P2121">
        <v>-0.35715849999999999</v>
      </c>
      <c r="Q2121">
        <v>0.1567925</v>
      </c>
      <c r="R2121">
        <v>-0.92079049999999996</v>
      </c>
      <c r="S2121">
        <v>-0.86978149999999999</v>
      </c>
      <c r="T2121">
        <v>-0.2151295</v>
      </c>
      <c r="U2121">
        <v>-2.9591669999999999</v>
      </c>
      <c r="V2121">
        <v>-0.15513540000000001</v>
      </c>
      <c r="W2121">
        <v>0.17051769999999999</v>
      </c>
      <c r="X2121">
        <v>0.97306559999999998</v>
      </c>
      <c r="Y2121">
        <v>-0.23299510000000001</v>
      </c>
      <c r="Z2121">
        <v>5.6291000000000001E-2</v>
      </c>
      <c r="AA2121">
        <v>0.97084740000000003</v>
      </c>
      <c r="AB2121">
        <v>36</v>
      </c>
      <c r="AC2121">
        <v>-4.4581</v>
      </c>
      <c r="AD2121">
        <v>-1.12659400644799</v>
      </c>
      <c r="AE2121">
        <v>-15.321099999999999</v>
      </c>
      <c r="AF2121">
        <v>-3.73341564194717</v>
      </c>
      <c r="AG2121">
        <v>-1.12659400644799</v>
      </c>
      <c r="AH2121">
        <v>15.432199965220599</v>
      </c>
      <c r="AI2121">
        <v>94.0586721178706</v>
      </c>
      <c r="AJ2121">
        <v>103.59990723364599</v>
      </c>
      <c r="AK2121">
        <v>15.9172988342072</v>
      </c>
      <c r="AL2121">
        <v>80.182079120477496</v>
      </c>
      <c r="AM2121">
        <v>99.058404928973601</v>
      </c>
      <c r="AN2121">
        <v>0.99999997012490405</v>
      </c>
    </row>
    <row r="2122" spans="1:40" x14ac:dyDescent="0.25">
      <c r="A2122" t="str">
        <f>"20190312172658763"</f>
        <v>20190312172658763</v>
      </c>
      <c r="B2122" t="str">
        <f>"1552382818750875"</f>
        <v>1552382818750875</v>
      </c>
      <c r="C2122" t="s">
        <v>40</v>
      </c>
      <c r="D2122">
        <v>3.159195</v>
      </c>
      <c r="E2122">
        <v>0.46641959999999999</v>
      </c>
      <c r="F2122" t="s">
        <v>41</v>
      </c>
      <c r="G2122">
        <v>-498.99669999999998</v>
      </c>
      <c r="H2122" s="1">
        <v>-4.8982510000000003E-6</v>
      </c>
      <c r="I2122">
        <v>256.69099999999997</v>
      </c>
      <c r="J2122">
        <v>-494.6293</v>
      </c>
      <c r="K2122">
        <v>1.1265909999999999</v>
      </c>
      <c r="L2122">
        <v>272.15699999999998</v>
      </c>
      <c r="M2122">
        <v>-0.4888921</v>
      </c>
      <c r="N2122">
        <v>0</v>
      </c>
      <c r="O2122">
        <v>-0.87210599999999905</v>
      </c>
      <c r="P2122">
        <v>-0.34867520000000002</v>
      </c>
      <c r="Q2122">
        <v>0.15811789999999901</v>
      </c>
      <c r="R2122">
        <v>-0.92380960000000001</v>
      </c>
      <c r="S2122">
        <v>-0.84603879999999998</v>
      </c>
      <c r="T2122">
        <v>-0.21365899999999999</v>
      </c>
      <c r="U2122">
        <v>-2.9662480000000002</v>
      </c>
      <c r="V2122">
        <v>-0.15469569999999999</v>
      </c>
      <c r="W2122">
        <v>0.17185429999999999</v>
      </c>
      <c r="X2122">
        <v>0.97290049999999995</v>
      </c>
      <c r="Y2122">
        <v>-0.2314678</v>
      </c>
      <c r="Z2122">
        <v>5.6325600000000003E-2</v>
      </c>
      <c r="AA2122">
        <v>0.97121069999999998</v>
      </c>
      <c r="AB2122">
        <v>36</v>
      </c>
      <c r="AC2122">
        <v>-4.3673999999999698</v>
      </c>
      <c r="AD2122">
        <v>-1.12659589825099</v>
      </c>
      <c r="AE2122">
        <v>-15.465999999999999</v>
      </c>
      <c r="AF2122">
        <v>-3.73479569244896</v>
      </c>
      <c r="AG2122">
        <v>-1.12659589825099</v>
      </c>
      <c r="AH2122">
        <v>15.5500094306467</v>
      </c>
      <c r="AI2122">
        <v>94.029626794633103</v>
      </c>
      <c r="AJ2122">
        <v>103.505465020344</v>
      </c>
      <c r="AK2122">
        <v>16.031865470851798</v>
      </c>
      <c r="AL2122">
        <v>80.104350708240204</v>
      </c>
      <c r="AM2122">
        <v>99.034662257597901</v>
      </c>
      <c r="AN2122">
        <v>1.00000002146361</v>
      </c>
    </row>
    <row r="2123" spans="1:40" x14ac:dyDescent="0.25">
      <c r="A2123" t="str">
        <f>"20190312172658783"</f>
        <v>20190312172658783</v>
      </c>
      <c r="B2123" t="str">
        <f>"1552382818771370"</f>
        <v>1552382818771370</v>
      </c>
      <c r="C2123" t="s">
        <v>40</v>
      </c>
      <c r="D2123">
        <v>3.07098</v>
      </c>
      <c r="E2123">
        <v>0.4593042</v>
      </c>
      <c r="F2123" t="s">
        <v>41</v>
      </c>
      <c r="G2123">
        <v>-499.0446</v>
      </c>
      <c r="H2123" s="1">
        <v>-4.6940110000000004E-6</v>
      </c>
      <c r="I2123">
        <v>256.0659</v>
      </c>
      <c r="J2123">
        <v>-494.76609999999999</v>
      </c>
      <c r="K2123">
        <v>1.12659</v>
      </c>
      <c r="L2123">
        <v>271.89449999999999</v>
      </c>
      <c r="M2123">
        <v>-0.47629199999999999</v>
      </c>
      <c r="N2123">
        <v>0</v>
      </c>
      <c r="O2123">
        <v>-0.87905109999999997</v>
      </c>
      <c r="P2123">
        <v>-0.33600629999999998</v>
      </c>
      <c r="Q2123">
        <v>0.1599256</v>
      </c>
      <c r="R2123">
        <v>-0.92818330000000004</v>
      </c>
      <c r="S2123">
        <v>-0.81631469999999995</v>
      </c>
      <c r="T2123">
        <v>-0.20828749999999999</v>
      </c>
      <c r="U2123">
        <v>-2.9749759999999998</v>
      </c>
      <c r="V2123">
        <v>-0.1539237</v>
      </c>
      <c r="W2123">
        <v>0.17368459999999999</v>
      </c>
      <c r="X2123">
        <v>0.9726979</v>
      </c>
      <c r="Y2123">
        <v>-0.22720219999999999</v>
      </c>
      <c r="Z2123">
        <v>5.554663E-2</v>
      </c>
      <c r="AA2123">
        <v>0.97226210000000002</v>
      </c>
      <c r="AB2123">
        <v>36</v>
      </c>
      <c r="AC2123">
        <v>-4.2785000000000002</v>
      </c>
      <c r="AD2123">
        <v>-1.1265946940110001</v>
      </c>
      <c r="AE2123">
        <v>-15.8285999999999</v>
      </c>
      <c r="AF2123">
        <v>-3.7610442529355401</v>
      </c>
      <c r="AG2123">
        <v>-1.1265946940110001</v>
      </c>
      <c r="AH2123">
        <v>15.8803059850324</v>
      </c>
      <c r="AI2123">
        <v>93.949045794938897</v>
      </c>
      <c r="AJ2123">
        <v>103.32425505462599</v>
      </c>
      <c r="AK2123">
        <v>16.3584469817696</v>
      </c>
      <c r="AL2123">
        <v>79.997881208622104</v>
      </c>
      <c r="AM2123">
        <v>98.992155480777001</v>
      </c>
      <c r="AN2123">
        <v>1.0000000251816199</v>
      </c>
    </row>
    <row r="2124" spans="1:40" x14ac:dyDescent="0.25">
      <c r="A2124" t="str">
        <f>"20190312172658805"</f>
        <v>20190312172658805</v>
      </c>
      <c r="B2124" t="str">
        <f>"1552382818800651"</f>
        <v>1552382818800651</v>
      </c>
      <c r="C2124" t="s">
        <v>40</v>
      </c>
      <c r="D2124">
        <v>3.100371</v>
      </c>
      <c r="E2124">
        <v>0.4597579</v>
      </c>
      <c r="F2124" t="s">
        <v>41</v>
      </c>
      <c r="G2124">
        <v>-499.59280000000001</v>
      </c>
      <c r="H2124" s="1">
        <v>-3.3517E-6</v>
      </c>
      <c r="I2124">
        <v>251.8356</v>
      </c>
      <c r="J2124">
        <v>-494.92540000000002</v>
      </c>
      <c r="K2124">
        <v>1.1265849999999999</v>
      </c>
      <c r="L2124">
        <v>271.57670000000002</v>
      </c>
      <c r="M2124">
        <v>-0.4609473</v>
      </c>
      <c r="N2124">
        <v>0</v>
      </c>
      <c r="O2124">
        <v>-0.88719389999999998</v>
      </c>
      <c r="P2124">
        <v>-0.32022709999999999</v>
      </c>
      <c r="Q2124">
        <v>0.1603002</v>
      </c>
      <c r="R2124">
        <v>-0.93368039999999997</v>
      </c>
      <c r="S2124">
        <v>-0.72186280000000003</v>
      </c>
      <c r="T2124">
        <v>-0.16848659999999999</v>
      </c>
      <c r="U2124">
        <v>-2.9998779999999998</v>
      </c>
      <c r="V2124">
        <v>-0.1534877</v>
      </c>
      <c r="W2124">
        <v>0.17407059999999999</v>
      </c>
      <c r="X2124">
        <v>0.97269779999999995</v>
      </c>
      <c r="Y2124">
        <v>-0.24090320000000001</v>
      </c>
      <c r="Z2124">
        <v>4.5316450000000001E-2</v>
      </c>
      <c r="AA2124">
        <v>0.96949059999999998</v>
      </c>
      <c r="AB2124">
        <v>36</v>
      </c>
      <c r="AC2124">
        <v>-4.6673999999999802</v>
      </c>
      <c r="AD2124">
        <v>-1.1265883516999999</v>
      </c>
      <c r="AE2124">
        <v>-19.741099999999999</v>
      </c>
      <c r="AF2124">
        <v>-4.9444955125663004</v>
      </c>
      <c r="AG2124">
        <v>-1.1265883516999999</v>
      </c>
      <c r="AH2124">
        <v>19.609204710619199</v>
      </c>
      <c r="AI2124">
        <v>93.188556086509493</v>
      </c>
      <c r="AJ2124">
        <v>104.152219284653</v>
      </c>
      <c r="AK2124">
        <v>20.254336488044899</v>
      </c>
      <c r="AL2124">
        <v>79.975422975888193</v>
      </c>
      <c r="AM2124">
        <v>98.967099919789504</v>
      </c>
      <c r="AN2124">
        <v>1.00000002898024</v>
      </c>
    </row>
    <row r="2125" spans="1:40" x14ac:dyDescent="0.25">
      <c r="A2125" t="str">
        <f>"20190312172658819"</f>
        <v>20190312172658819</v>
      </c>
      <c r="B2125" t="str">
        <f>"1552382818811386"</f>
        <v>1552382818811386</v>
      </c>
      <c r="C2125" t="s">
        <v>40</v>
      </c>
      <c r="D2125">
        <v>3.1296550000000001</v>
      </c>
      <c r="E2125">
        <v>0.46010990000000002</v>
      </c>
      <c r="F2125" t="s">
        <v>41</v>
      </c>
      <c r="G2125">
        <v>-499.40190000000001</v>
      </c>
      <c r="H2125" s="1">
        <v>-3.242626E-6</v>
      </c>
      <c r="I2125">
        <v>251.6147</v>
      </c>
      <c r="J2125">
        <v>-495.01179999999999</v>
      </c>
      <c r="K2125">
        <v>1.1265810000000001</v>
      </c>
      <c r="L2125">
        <v>271.3972</v>
      </c>
      <c r="M2125">
        <v>-0.45224360000000002</v>
      </c>
      <c r="N2125">
        <v>0</v>
      </c>
      <c r="O2125">
        <v>-0.89166199999999995</v>
      </c>
      <c r="P2125">
        <v>-0.31179259999999998</v>
      </c>
      <c r="Q2125">
        <v>0.16028220000000001</v>
      </c>
      <c r="R2125">
        <v>-0.93653370000000002</v>
      </c>
      <c r="S2125">
        <v>-0.67514039999999997</v>
      </c>
      <c r="T2125">
        <v>-0.16991289999999901</v>
      </c>
      <c r="U2125">
        <v>-3.0106809999999999</v>
      </c>
      <c r="V2125">
        <v>-0.15273829999999999</v>
      </c>
      <c r="W2125">
        <v>0.1740833</v>
      </c>
      <c r="X2125">
        <v>0.9728135</v>
      </c>
      <c r="Y2125">
        <v>-0.24647440000000001</v>
      </c>
      <c r="Z2125">
        <v>4.593129E-2</v>
      </c>
      <c r="AA2125">
        <v>0.96806029999999998</v>
      </c>
      <c r="AB2125">
        <v>36</v>
      </c>
      <c r="AC2125">
        <v>-4.3901000000000101</v>
      </c>
      <c r="AD2125">
        <v>-1.126584242626</v>
      </c>
      <c r="AE2125">
        <v>-19.782499999999999</v>
      </c>
      <c r="AF2125">
        <v>-5.0175583018295802</v>
      </c>
      <c r="AG2125">
        <v>-1.126584242626</v>
      </c>
      <c r="AH2125">
        <v>19.568283762556501</v>
      </c>
      <c r="AI2125">
        <v>93.191955157779006</v>
      </c>
      <c r="AJ2125">
        <v>104.381530983209</v>
      </c>
      <c r="AK2125">
        <v>20.232716396468501</v>
      </c>
      <c r="AL2125">
        <v>79.974684196701105</v>
      </c>
      <c r="AM2125">
        <v>98.922980313110997</v>
      </c>
      <c r="AN2125">
        <v>1.00000004470401</v>
      </c>
    </row>
    <row r="2126" spans="1:40" x14ac:dyDescent="0.25">
      <c r="A2126" t="str">
        <f>"20190312172658839"</f>
        <v>20190312172658839</v>
      </c>
      <c r="B2126" t="str">
        <f>"1552382818830907"</f>
        <v>1552382818830907</v>
      </c>
      <c r="C2126" t="s">
        <v>40</v>
      </c>
      <c r="D2126">
        <v>3.144075</v>
      </c>
      <c r="E2126">
        <v>0.46122780000000002</v>
      </c>
      <c r="F2126" t="s">
        <v>41</v>
      </c>
      <c r="G2126">
        <v>-499.4742</v>
      </c>
      <c r="H2126" s="1">
        <v>-2.952167E-6</v>
      </c>
      <c r="I2126">
        <v>250.7234</v>
      </c>
      <c r="J2126">
        <v>-495.1499</v>
      </c>
      <c r="K2126">
        <v>1.1265719999999999</v>
      </c>
      <c r="L2126">
        <v>271.10149999999999</v>
      </c>
      <c r="M2126">
        <v>-0.43782789999999999</v>
      </c>
      <c r="N2126">
        <v>0</v>
      </c>
      <c r="O2126">
        <v>-0.89882859999999998</v>
      </c>
      <c r="P2126">
        <v>-0.2979002</v>
      </c>
      <c r="Q2126">
        <v>0.16011239999999999</v>
      </c>
      <c r="R2126">
        <v>-0.94107399999999997</v>
      </c>
      <c r="S2126">
        <v>-0.65072629999999998</v>
      </c>
      <c r="T2126">
        <v>-0.1642835</v>
      </c>
      <c r="U2126">
        <v>-3.0147400000000002</v>
      </c>
      <c r="V2126">
        <v>-0.15146519999999999</v>
      </c>
      <c r="W2126">
        <v>0.17396539999999999</v>
      </c>
      <c r="X2126">
        <v>0.9730335</v>
      </c>
      <c r="Y2126">
        <v>-0.23860600000000001</v>
      </c>
      <c r="Z2126">
        <v>4.5004849999999999E-2</v>
      </c>
      <c r="AA2126">
        <v>0.97007299999999996</v>
      </c>
      <c r="AB2126">
        <v>36</v>
      </c>
      <c r="AC2126">
        <v>-4.3242999999999903</v>
      </c>
      <c r="AD2126">
        <v>-1.1265749521670001</v>
      </c>
      <c r="AE2126">
        <v>-20.3780999999999</v>
      </c>
      <c r="AF2126">
        <v>-5.0216522974524302</v>
      </c>
      <c r="AG2126">
        <v>-1.1265749521670001</v>
      </c>
      <c r="AH2126">
        <v>20.154956913446799</v>
      </c>
      <c r="AI2126">
        <v>93.104542198297096</v>
      </c>
      <c r="AJ2126">
        <v>103.990517550128</v>
      </c>
      <c r="AK2126">
        <v>20.801645394108998</v>
      </c>
      <c r="AL2126">
        <v>79.981542876358702</v>
      </c>
      <c r="AM2126">
        <v>98.847818594628507</v>
      </c>
      <c r="AN2126">
        <v>0.999999929665222</v>
      </c>
    </row>
    <row r="2127" spans="1:40" x14ac:dyDescent="0.25">
      <c r="A2127" t="str">
        <f>"20190312172658853"</f>
        <v>20190312172658853</v>
      </c>
      <c r="B2127" t="str">
        <f>"1552382818851403"</f>
        <v>1552382818851403</v>
      </c>
      <c r="C2127" t="s">
        <v>40</v>
      </c>
      <c r="D2127">
        <v>3.2258969999999998</v>
      </c>
      <c r="E2127">
        <v>0.46264</v>
      </c>
      <c r="F2127" t="s">
        <v>41</v>
      </c>
      <c r="G2127">
        <v>-499.38589999999999</v>
      </c>
      <c r="H2127" s="1">
        <v>-2.7863380000000001E-6</v>
      </c>
      <c r="I2127">
        <v>250.28219999999999</v>
      </c>
      <c r="J2127">
        <v>-495.23849999999999</v>
      </c>
      <c r="K2127">
        <v>1.1265609999999999</v>
      </c>
      <c r="L2127">
        <v>270.90499999999997</v>
      </c>
      <c r="M2127">
        <v>-0.428203</v>
      </c>
      <c r="N2127">
        <v>0</v>
      </c>
      <c r="O2127">
        <v>-0.90345339999999996</v>
      </c>
      <c r="P2127">
        <v>-0.28850930000000002</v>
      </c>
      <c r="Q2127">
        <v>0.15998229999999999</v>
      </c>
      <c r="R2127">
        <v>-0.94401710000000005</v>
      </c>
      <c r="S2127">
        <v>-0.61468509999999998</v>
      </c>
      <c r="T2127">
        <v>-0.16347690000000001</v>
      </c>
      <c r="U2127">
        <v>-3.0210880000000002</v>
      </c>
      <c r="V2127">
        <v>-0.15076489999999901</v>
      </c>
      <c r="W2127">
        <v>0.1738654</v>
      </c>
      <c r="X2127">
        <v>0.97316020000000003</v>
      </c>
      <c r="Y2127">
        <v>-0.23974000000000001</v>
      </c>
      <c r="Z2127">
        <v>4.5094589999999997E-2</v>
      </c>
      <c r="AA2127">
        <v>0.96978929999999997</v>
      </c>
      <c r="AB2127">
        <v>35</v>
      </c>
      <c r="AC2127">
        <v>-4.1474000000000002</v>
      </c>
      <c r="AD2127">
        <v>-1.126563786338</v>
      </c>
      <c r="AE2127">
        <v>-20.622799999999899</v>
      </c>
      <c r="AF2127">
        <v>-5.0702730732978498</v>
      </c>
      <c r="AG2127">
        <v>-1.126563786338</v>
      </c>
      <c r="AH2127">
        <v>20.353518718269498</v>
      </c>
      <c r="AI2127">
        <v>93.074313448724396</v>
      </c>
      <c r="AJ2127">
        <v>103.98826105711299</v>
      </c>
      <c r="AK2127">
        <v>21.005773949498799</v>
      </c>
      <c r="AL2127">
        <v>79.987361869487501</v>
      </c>
      <c r="AM2127">
        <v>98.806424801192705</v>
      </c>
      <c r="AN2127">
        <v>1.0000000036265999</v>
      </c>
    </row>
    <row r="2128" spans="1:40" x14ac:dyDescent="0.25">
      <c r="A2128" t="str">
        <f>"20190312172658866"</f>
        <v>20190312172658866</v>
      </c>
      <c r="B2128" t="str">
        <f>"1552382818861163"</f>
        <v>1552382818861163</v>
      </c>
      <c r="C2128" t="s">
        <v>40</v>
      </c>
      <c r="D2128">
        <v>3.1637599999999999</v>
      </c>
      <c r="E2128">
        <v>0.46331349999999999</v>
      </c>
      <c r="F2128" t="s">
        <v>41</v>
      </c>
      <c r="G2128">
        <v>-499.34059999999999</v>
      </c>
      <c r="H2128" s="1">
        <v>-2.6891779999999998E-6</v>
      </c>
      <c r="I2128">
        <v>250.0643</v>
      </c>
      <c r="J2128">
        <v>-495.31630000000001</v>
      </c>
      <c r="K2128">
        <v>1.1265559999999999</v>
      </c>
      <c r="L2128">
        <v>270.72820000000002</v>
      </c>
      <c r="M2128">
        <v>-0.4195101</v>
      </c>
      <c r="N2128">
        <v>0</v>
      </c>
      <c r="O2128">
        <v>-0.90752259999999996</v>
      </c>
      <c r="P2128">
        <v>-0.2801265</v>
      </c>
      <c r="Q2128">
        <v>0.15995000000000001</v>
      </c>
      <c r="R2128">
        <v>-0.94654400000000005</v>
      </c>
      <c r="S2128">
        <v>-0.59515379999999996</v>
      </c>
      <c r="T2128">
        <v>-0.16344810000000001</v>
      </c>
      <c r="U2128">
        <v>-3.023682</v>
      </c>
      <c r="V2128">
        <v>-0.15004709999999999</v>
      </c>
      <c r="W2128">
        <v>0.1738635</v>
      </c>
      <c r="X2128">
        <v>0.97327149999999996</v>
      </c>
      <c r="Y2128">
        <v>-0.23660629999999999</v>
      </c>
      <c r="Z2128">
        <v>4.5413250000000002E-2</v>
      </c>
      <c r="AA2128">
        <v>0.97054370000000001</v>
      </c>
      <c r="AB2128">
        <v>35</v>
      </c>
      <c r="AC2128">
        <v>-4.0242999999999798</v>
      </c>
      <c r="AD2128">
        <v>-1.126558689178</v>
      </c>
      <c r="AE2128">
        <v>-20.663900000000002</v>
      </c>
      <c r="AF2128">
        <v>-5.0032828053315601</v>
      </c>
      <c r="AG2128">
        <v>-1.126558689178</v>
      </c>
      <c r="AH2128">
        <v>20.3870426349689</v>
      </c>
      <c r="AI2128">
        <v>93.071893019426497</v>
      </c>
      <c r="AJ2128">
        <v>103.788721192922</v>
      </c>
      <c r="AK2128">
        <v>21.0222139821268</v>
      </c>
      <c r="AL2128">
        <v>79.9874726898136</v>
      </c>
      <c r="AM2128">
        <v>98.764162762940401</v>
      </c>
      <c r="AN2128">
        <v>1.0000000307814501</v>
      </c>
    </row>
    <row r="2129" spans="1:40" x14ac:dyDescent="0.25">
      <c r="A2129" t="str">
        <f>"20190312172658884"</f>
        <v>20190312172658884</v>
      </c>
      <c r="B2129" t="str">
        <f>"1552382818880683"</f>
        <v>1552382818880683</v>
      </c>
      <c r="C2129" t="s">
        <v>40</v>
      </c>
      <c r="D2129">
        <v>3.2079019999999998</v>
      </c>
      <c r="E2129">
        <v>0.46478249999999999</v>
      </c>
      <c r="F2129" t="s">
        <v>41</v>
      </c>
      <c r="G2129">
        <v>-499.28559999999999</v>
      </c>
      <c r="H2129" s="1">
        <v>-2.5546040000000002E-6</v>
      </c>
      <c r="I2129">
        <v>249.78479999999999</v>
      </c>
      <c r="J2129">
        <v>-495.42270000000002</v>
      </c>
      <c r="K2129">
        <v>1.1265430000000001</v>
      </c>
      <c r="L2129">
        <v>270.47669999999999</v>
      </c>
      <c r="M2129">
        <v>-0.4071012</v>
      </c>
      <c r="N2129">
        <v>0</v>
      </c>
      <c r="O2129">
        <v>-0.91315670000000004</v>
      </c>
      <c r="P2129">
        <v>-0.26872800000000002</v>
      </c>
      <c r="Q2129">
        <v>0.16041910000000001</v>
      </c>
      <c r="R2129">
        <v>-0.94976400000000005</v>
      </c>
      <c r="S2129">
        <v>-0.57373050000000003</v>
      </c>
      <c r="T2129">
        <v>-0.16283619999999999</v>
      </c>
      <c r="U2129">
        <v>-3.0272220000000001</v>
      </c>
      <c r="V2129">
        <v>-0.14845559999999999</v>
      </c>
      <c r="W2129">
        <v>0.17439969999999999</v>
      </c>
      <c r="X2129">
        <v>0.97341949999999999</v>
      </c>
      <c r="Y2129">
        <v>-0.23019529999999999</v>
      </c>
      <c r="Z2129">
        <v>4.569989E-2</v>
      </c>
      <c r="AA2129">
        <v>0.97207080000000001</v>
      </c>
      <c r="AB2129">
        <v>35</v>
      </c>
      <c r="AC2129">
        <v>-3.8628999999999598</v>
      </c>
      <c r="AD2129">
        <v>-1.126545554604</v>
      </c>
      <c r="AE2129">
        <v>-20.6919</v>
      </c>
      <c r="AF2129">
        <v>-4.8832895994049901</v>
      </c>
      <c r="AG2129">
        <v>-1.126545554604</v>
      </c>
      <c r="AH2129">
        <v>20.413301024799299</v>
      </c>
      <c r="AI2129">
        <v>93.072257310186998</v>
      </c>
      <c r="AJ2129">
        <v>103.453521462328</v>
      </c>
      <c r="AK2129">
        <v>21.019478607408999</v>
      </c>
      <c r="AL2129">
        <v>79.956272946418807</v>
      </c>
      <c r="AM2129">
        <v>98.671326418094793</v>
      </c>
      <c r="AN2129">
        <v>0.99999992175584695</v>
      </c>
    </row>
    <row r="2130" spans="1:40" x14ac:dyDescent="0.25">
      <c r="A2130" t="str">
        <f>"20190312172658908"</f>
        <v>20190312172658908</v>
      </c>
      <c r="B2130" t="str">
        <f>"1552382818901179"</f>
        <v>1552382818901179</v>
      </c>
      <c r="C2130" t="s">
        <v>40</v>
      </c>
      <c r="D2130">
        <v>3.1784910000000002</v>
      </c>
      <c r="E2130">
        <v>0.47503119999999999</v>
      </c>
      <c r="F2130" t="s">
        <v>41</v>
      </c>
      <c r="G2130">
        <v>-499.286</v>
      </c>
      <c r="H2130" s="1">
        <v>-5.7796060000000003E-6</v>
      </c>
      <c r="I2130">
        <v>249.1301</v>
      </c>
      <c r="J2130">
        <v>-495.56200000000001</v>
      </c>
      <c r="K2130">
        <v>1.1265229999999999</v>
      </c>
      <c r="L2130">
        <v>270.13350000000003</v>
      </c>
      <c r="M2130">
        <v>-0.39007989999999998</v>
      </c>
      <c r="N2130">
        <v>0</v>
      </c>
      <c r="O2130">
        <v>-0.92055659999999895</v>
      </c>
      <c r="P2130">
        <v>-0.25242920000000002</v>
      </c>
      <c r="Q2130">
        <v>0.160829799999999</v>
      </c>
      <c r="R2130">
        <v>-0.954156</v>
      </c>
      <c r="S2130">
        <v>-0.54846189999999995</v>
      </c>
      <c r="T2130">
        <v>-0.15993489999999999</v>
      </c>
      <c r="U2130">
        <v>-3.030548</v>
      </c>
      <c r="V2130">
        <v>-0.1470254</v>
      </c>
      <c r="W2130">
        <v>0.17487249999999999</v>
      </c>
      <c r="X2130">
        <v>0.97355179999999997</v>
      </c>
      <c r="Y2130">
        <v>-0.22014619999999999</v>
      </c>
      <c r="Z2130">
        <v>4.5499320000000003E-2</v>
      </c>
      <c r="AA2130">
        <v>0.97440519999999997</v>
      </c>
      <c r="AB2130">
        <v>35</v>
      </c>
      <c r="AC2130">
        <v>-3.7240000000000402</v>
      </c>
      <c r="AD2130">
        <v>-1.126528779606</v>
      </c>
      <c r="AE2130">
        <v>-21.003399999999999</v>
      </c>
      <c r="AF2130">
        <v>-4.7525807784931704</v>
      </c>
      <c r="AG2130">
        <v>-1.126528779606</v>
      </c>
      <c r="AH2130">
        <v>20.733943392448499</v>
      </c>
      <c r="AI2130">
        <v>93.031503383456396</v>
      </c>
      <c r="AJ2130">
        <v>102.910170884707</v>
      </c>
      <c r="AK2130">
        <v>21.3014670797258</v>
      </c>
      <c r="AL2130">
        <v>79.928761347471195</v>
      </c>
      <c r="AM2130">
        <v>98.587890128132997</v>
      </c>
      <c r="AN2130">
        <v>0.99999998339232399</v>
      </c>
    </row>
    <row r="2131" spans="1:40" x14ac:dyDescent="0.25">
      <c r="A2131" t="str">
        <f>"20190312172658930"</f>
        <v>20190312172658930</v>
      </c>
      <c r="B2131" t="str">
        <f>"1552382818920698"</f>
        <v>1552382818920698</v>
      </c>
      <c r="C2131" t="s">
        <v>40</v>
      </c>
      <c r="D2131">
        <v>3.270896</v>
      </c>
      <c r="E2131">
        <v>0.4766126</v>
      </c>
      <c r="F2131" t="s">
        <v>41</v>
      </c>
      <c r="G2131">
        <v>-499.72559999999999</v>
      </c>
      <c r="H2131" s="1">
        <v>-5.5736159999999999E-6</v>
      </c>
      <c r="I2131">
        <v>248.29560000000001</v>
      </c>
      <c r="J2131">
        <v>-495.68189999999998</v>
      </c>
      <c r="K2131">
        <v>1.1264970000000001</v>
      </c>
      <c r="L2131">
        <v>269.82029999999997</v>
      </c>
      <c r="M2131">
        <v>-0.37445800000000001</v>
      </c>
      <c r="N2131">
        <v>0</v>
      </c>
      <c r="O2131">
        <v>-0.92702110000000004</v>
      </c>
      <c r="P2131">
        <v>-0.2374337</v>
      </c>
      <c r="Q2131">
        <v>0.16095200000000001</v>
      </c>
      <c r="R2131">
        <v>-0.95797710000000003</v>
      </c>
      <c r="S2131">
        <v>-0.57543949999999999</v>
      </c>
      <c r="T2131">
        <v>-0.15569349999999901</v>
      </c>
      <c r="U2131">
        <v>-3.0181269999999998</v>
      </c>
      <c r="V2131">
        <v>-0.145815</v>
      </c>
      <c r="W2131">
        <v>0.17504810000000001</v>
      </c>
      <c r="X2131">
        <v>0.97370230000000002</v>
      </c>
      <c r="Y2131">
        <v>-0.19445319999999999</v>
      </c>
      <c r="Z2131">
        <v>4.5067240000000001E-2</v>
      </c>
      <c r="AA2131">
        <v>0.97987599999999997</v>
      </c>
      <c r="AB2131">
        <v>35</v>
      </c>
      <c r="AC2131">
        <v>-4.0437000000000003</v>
      </c>
      <c r="AD2131">
        <v>-1.1265025736159999</v>
      </c>
      <c r="AE2131">
        <v>-21.5246999999999</v>
      </c>
      <c r="AF2131">
        <v>-4.3010128428948198</v>
      </c>
      <c r="AG2131">
        <v>-1.1265025736159999</v>
      </c>
      <c r="AH2131">
        <v>21.4158242598008</v>
      </c>
      <c r="AI2131">
        <v>92.952222189278402</v>
      </c>
      <c r="AJ2131">
        <v>101.355838969931</v>
      </c>
      <c r="AK2131">
        <v>21.872476957349399</v>
      </c>
      <c r="AL2131">
        <v>79.918542862968707</v>
      </c>
      <c r="AM2131">
        <v>98.516933643412202</v>
      </c>
      <c r="AN2131">
        <v>1.00000001028195</v>
      </c>
    </row>
    <row r="2132" spans="1:40" x14ac:dyDescent="0.25">
      <c r="A2132" t="str">
        <f>"20190312172658943"</f>
        <v>20190312172658943</v>
      </c>
      <c r="B2132" t="str">
        <f>"1552382818931434"</f>
        <v>1552382818931434</v>
      </c>
      <c r="C2132" t="s">
        <v>40</v>
      </c>
      <c r="D2132">
        <v>3.1855549999999999</v>
      </c>
      <c r="E2132">
        <v>0.47767739999999997</v>
      </c>
      <c r="F2132" t="s">
        <v>41</v>
      </c>
      <c r="G2132">
        <v>-499.5061</v>
      </c>
      <c r="H2132" s="1">
        <v>-5.5840960000000003E-6</v>
      </c>
      <c r="I2132">
        <v>248.4409</v>
      </c>
      <c r="J2132">
        <v>-495.75130000000001</v>
      </c>
      <c r="K2132">
        <v>1.126485</v>
      </c>
      <c r="L2132">
        <v>269.63069999999999</v>
      </c>
      <c r="M2132">
        <v>-0.3649655</v>
      </c>
      <c r="N2132">
        <v>0</v>
      </c>
      <c r="O2132">
        <v>-0.93079940000000005</v>
      </c>
      <c r="P2132">
        <v>-0.22785449999999999</v>
      </c>
      <c r="Q2132">
        <v>0.16092870000000001</v>
      </c>
      <c r="R2132">
        <v>-0.96030420000000005</v>
      </c>
      <c r="S2132">
        <v>-0.54095459999999995</v>
      </c>
      <c r="T2132">
        <v>-0.1593533</v>
      </c>
      <c r="U2132">
        <v>-3.024292</v>
      </c>
      <c r="V2132">
        <v>-0.14558279999999901</v>
      </c>
      <c r="W2132">
        <v>0.17503589999999999</v>
      </c>
      <c r="X2132">
        <v>0.97373920000000003</v>
      </c>
      <c r="Y2132">
        <v>-0.19561139999999999</v>
      </c>
      <c r="Z2132">
        <v>4.6359549999999999E-2</v>
      </c>
      <c r="AA2132">
        <v>0.97958509999999999</v>
      </c>
      <c r="AB2132">
        <v>35</v>
      </c>
      <c r="AC2132">
        <v>-3.7547999999999799</v>
      </c>
      <c r="AD2132">
        <v>-1.126490584096</v>
      </c>
      <c r="AE2132">
        <v>-21.189799999999899</v>
      </c>
      <c r="AF2132">
        <v>-4.2278701783515498</v>
      </c>
      <c r="AG2132">
        <v>-1.126490584096</v>
      </c>
      <c r="AH2132">
        <v>21.040525002525801</v>
      </c>
      <c r="AI2132">
        <v>93.004691938031698</v>
      </c>
      <c r="AJ2132">
        <v>101.361675864291</v>
      </c>
      <c r="AK2132">
        <v>21.490638884476301</v>
      </c>
      <c r="AL2132">
        <v>79.919252460912702</v>
      </c>
      <c r="AM2132">
        <v>98.503251942377105</v>
      </c>
      <c r="AN2132">
        <v>0.99999997378064398</v>
      </c>
    </row>
    <row r="2133" spans="1:40" x14ac:dyDescent="0.25">
      <c r="A2133" t="str">
        <f>"20190312172658962"</f>
        <v>20190312172658962</v>
      </c>
      <c r="B2133" t="str">
        <f>"1552382818950955"</f>
        <v>1552382818950955</v>
      </c>
      <c r="C2133" t="s">
        <v>40</v>
      </c>
      <c r="D2133">
        <v>3.221168</v>
      </c>
      <c r="E2133">
        <v>0.47847909999999999</v>
      </c>
      <c r="F2133" t="s">
        <v>41</v>
      </c>
      <c r="G2133">
        <v>-499.3827</v>
      </c>
      <c r="H2133" s="1">
        <v>-5.5639469999999996E-6</v>
      </c>
      <c r="I2133">
        <v>248.446</v>
      </c>
      <c r="J2133">
        <v>-495.85210000000001</v>
      </c>
      <c r="K2133">
        <v>1.1264670000000001</v>
      </c>
      <c r="L2133">
        <v>269.34539999999998</v>
      </c>
      <c r="M2133">
        <v>-0.35062409999999999</v>
      </c>
      <c r="N2133">
        <v>0</v>
      </c>
      <c r="O2133">
        <v>-0.93629600000000002</v>
      </c>
      <c r="P2133">
        <v>-0.2141903</v>
      </c>
      <c r="Q2133">
        <v>0.16077810000000001</v>
      </c>
      <c r="R2133">
        <v>-0.96346949999999998</v>
      </c>
      <c r="S2133">
        <v>-0.51901249999999999</v>
      </c>
      <c r="T2133">
        <v>-0.16100390000000001</v>
      </c>
      <c r="U2133">
        <v>-3.0278320000000001</v>
      </c>
      <c r="V2133">
        <v>-0.14444580000000001</v>
      </c>
      <c r="W2133">
        <v>0.1749378</v>
      </c>
      <c r="X2133">
        <v>0.97392619999999996</v>
      </c>
      <c r="Y2133">
        <v>-0.18763270000000001</v>
      </c>
      <c r="Z2133">
        <v>4.7280019999999999E-2</v>
      </c>
      <c r="AA2133">
        <v>0.98110070000000005</v>
      </c>
      <c r="AB2133">
        <v>35</v>
      </c>
      <c r="AC2133">
        <v>-3.53059999999999</v>
      </c>
      <c r="AD2133">
        <v>-1.1264725639469999</v>
      </c>
      <c r="AE2133">
        <v>-20.899399999999901</v>
      </c>
      <c r="AF2133">
        <v>-4.0116453718395899</v>
      </c>
      <c r="AG2133">
        <v>-1.1264725639469999</v>
      </c>
      <c r="AH2133">
        <v>20.751616552809399</v>
      </c>
      <c r="AI2133">
        <v>93.050797921470703</v>
      </c>
      <c r="AJ2133">
        <v>100.941296907229</v>
      </c>
      <c r="AK2133">
        <v>21.165817456020001</v>
      </c>
      <c r="AL2133">
        <v>79.924961862532001</v>
      </c>
      <c r="AM2133">
        <v>98.436204557294701</v>
      </c>
      <c r="AN2133">
        <v>1.00000003302645</v>
      </c>
    </row>
    <row r="2134" spans="1:40" x14ac:dyDescent="0.25">
      <c r="A2134" t="str">
        <f>"20190312172658987"</f>
        <v>20190312172658987</v>
      </c>
      <c r="B2134" t="str">
        <f>"1552382818981211"</f>
        <v>1552382818981211</v>
      </c>
      <c r="C2134" t="s">
        <v>40</v>
      </c>
      <c r="D2134">
        <v>3.2065779999999999</v>
      </c>
      <c r="E2134">
        <v>0.48814410000000003</v>
      </c>
      <c r="F2134" t="s">
        <v>41</v>
      </c>
      <c r="G2134">
        <v>-499.26130000000001</v>
      </c>
      <c r="H2134" s="1">
        <v>-5.3614570000000001E-6</v>
      </c>
      <c r="I2134">
        <v>247.91419999999999</v>
      </c>
      <c r="J2134">
        <v>-495.96449999999999</v>
      </c>
      <c r="K2134">
        <v>1.1264449999999999</v>
      </c>
      <c r="L2134">
        <v>269.00920000000002</v>
      </c>
      <c r="M2134">
        <v>-0.33364199999999999</v>
      </c>
      <c r="N2134">
        <v>0</v>
      </c>
      <c r="O2134">
        <v>-0.94248120000000002</v>
      </c>
      <c r="P2134">
        <v>-0.1978713</v>
      </c>
      <c r="Q2134">
        <v>0.16105429999999901</v>
      </c>
      <c r="R2134">
        <v>-0.96690670000000001</v>
      </c>
      <c r="S2134">
        <v>-0.48251339999999998</v>
      </c>
      <c r="T2134">
        <v>-0.15942879999999901</v>
      </c>
      <c r="U2134">
        <v>-3.0331419999999998</v>
      </c>
      <c r="V2134">
        <v>-0.143285</v>
      </c>
      <c r="W2134">
        <v>0.17526739999999999</v>
      </c>
      <c r="X2134">
        <v>0.97403839999999997</v>
      </c>
      <c r="Y2134">
        <v>-0.18165029999999999</v>
      </c>
      <c r="Z2134">
        <v>4.7286349999999998E-2</v>
      </c>
      <c r="AA2134">
        <v>0.98222560000000003</v>
      </c>
      <c r="AB2134">
        <v>35</v>
      </c>
      <c r="AC2134">
        <v>-3.2968000000000099</v>
      </c>
      <c r="AD2134">
        <v>-1.1264503614569901</v>
      </c>
      <c r="AE2134">
        <v>-21.094999999999999</v>
      </c>
      <c r="AF2134">
        <v>-3.9209027290010701</v>
      </c>
      <c r="AG2134">
        <v>-1.1264503614569901</v>
      </c>
      <c r="AH2134">
        <v>20.927666203580198</v>
      </c>
      <c r="AI2134">
        <v>93.028430679386304</v>
      </c>
      <c r="AJ2134">
        <v>100.61162887562899</v>
      </c>
      <c r="AK2134">
        <v>21.321575489526701</v>
      </c>
      <c r="AL2134">
        <v>79.905780786766599</v>
      </c>
      <c r="AM2134">
        <v>98.368422914275101</v>
      </c>
      <c r="AN2134">
        <v>1.0000000287011499</v>
      </c>
    </row>
    <row r="2135" spans="1:40" x14ac:dyDescent="0.25">
      <c r="A2135" t="str">
        <f>"20190312172659007"</f>
        <v>20190312172659007</v>
      </c>
      <c r="B2135" t="str">
        <f>"1552382819000734"</f>
        <v>1552382819000734</v>
      </c>
      <c r="C2135" t="s">
        <v>40</v>
      </c>
      <c r="D2135">
        <v>3.251487</v>
      </c>
      <c r="E2135">
        <v>0.46056570000000002</v>
      </c>
      <c r="F2135" t="s">
        <v>41</v>
      </c>
      <c r="G2135">
        <v>-499.13049999999998</v>
      </c>
      <c r="H2135" s="1">
        <v>-2.6524589999999999E-6</v>
      </c>
      <c r="I2135">
        <v>250.10910000000001</v>
      </c>
      <c r="J2135">
        <v>-496.06240000000003</v>
      </c>
      <c r="K2135">
        <v>1.1264179999999999</v>
      </c>
      <c r="L2135">
        <v>268.6979</v>
      </c>
      <c r="M2135">
        <v>-0.31784020000000002</v>
      </c>
      <c r="N2135">
        <v>0</v>
      </c>
      <c r="O2135">
        <v>-0.94792690000000002</v>
      </c>
      <c r="P2135">
        <v>-0.183202</v>
      </c>
      <c r="Q2135">
        <v>0.1617806</v>
      </c>
      <c r="R2135">
        <v>-0.96967230000000004</v>
      </c>
      <c r="S2135">
        <v>-0.50738530000000004</v>
      </c>
      <c r="T2135">
        <v>-0.1805245</v>
      </c>
      <c r="U2135">
        <v>-3.028931</v>
      </c>
      <c r="V2135">
        <v>-0.14172979999999999</v>
      </c>
      <c r="W2135">
        <v>0.17606260000000001</v>
      </c>
      <c r="X2135">
        <v>0.9741225</v>
      </c>
      <c r="Y2135">
        <v>-0.15714910000000001</v>
      </c>
      <c r="Z2135">
        <v>5.4164329999999997E-2</v>
      </c>
      <c r="AA2135">
        <v>0.98608850000000003</v>
      </c>
      <c r="AB2135">
        <v>35</v>
      </c>
      <c r="AC2135">
        <v>-3.0680999999999501</v>
      </c>
      <c r="AD2135">
        <v>-1.1264206524589999</v>
      </c>
      <c r="AE2135">
        <v>-18.5887999999999</v>
      </c>
      <c r="AF2135">
        <v>-2.9898643361397199</v>
      </c>
      <c r="AG2135">
        <v>-1.1264206524589999</v>
      </c>
      <c r="AH2135">
        <v>18.533573031789398</v>
      </c>
      <c r="AI2135">
        <v>93.433719537950196</v>
      </c>
      <c r="AJ2135">
        <v>99.164089689121099</v>
      </c>
      <c r="AK2135">
        <v>18.8069519476037</v>
      </c>
      <c r="AL2135">
        <v>79.859499319209306</v>
      </c>
      <c r="AM2135">
        <v>98.278153844910705</v>
      </c>
      <c r="AN2135">
        <v>1.0000000101665201</v>
      </c>
    </row>
    <row r="2136" spans="1:40" x14ac:dyDescent="0.25">
      <c r="A2136" t="str">
        <f>"20190312172659030"</f>
        <v>20190312172659030</v>
      </c>
      <c r="B2136" t="str">
        <f>"1552382819021004"</f>
        <v>1552382819021004</v>
      </c>
      <c r="C2136" t="s">
        <v>40</v>
      </c>
      <c r="D2136">
        <v>3.159923</v>
      </c>
      <c r="E2136">
        <v>0.45427040000000002</v>
      </c>
      <c r="F2136" t="s">
        <v>41</v>
      </c>
      <c r="G2136">
        <v>-497.73149999999998</v>
      </c>
      <c r="H2136" s="1">
        <v>-5.046879E-6</v>
      </c>
      <c r="I2136">
        <v>247.78720000000001</v>
      </c>
      <c r="J2136">
        <v>-496.15719999999999</v>
      </c>
      <c r="K2136">
        <v>1.126382</v>
      </c>
      <c r="L2136">
        <v>268.37560000000002</v>
      </c>
      <c r="M2136">
        <v>-0.30140600000000001</v>
      </c>
      <c r="N2136">
        <v>0</v>
      </c>
      <c r="O2136">
        <v>-0.95327989999999996</v>
      </c>
      <c r="P2136">
        <v>-0.16804659999999999</v>
      </c>
      <c r="Q2136">
        <v>0.16249129999999901</v>
      </c>
      <c r="R2136">
        <v>-0.97229500000000002</v>
      </c>
      <c r="S2136">
        <v>-0.2454529</v>
      </c>
      <c r="T2136">
        <v>-0.1656455</v>
      </c>
      <c r="U2136">
        <v>-3.0750120000000001</v>
      </c>
      <c r="V2136">
        <v>-0.14006569999999999</v>
      </c>
      <c r="W2136">
        <v>0.17684830000000001</v>
      </c>
      <c r="X2136">
        <v>0.97422089999999995</v>
      </c>
      <c r="Y2136">
        <v>-0.2247411</v>
      </c>
      <c r="Z2136">
        <v>4.9287749999999998E-2</v>
      </c>
      <c r="AA2136">
        <v>0.97317120000000001</v>
      </c>
      <c r="AB2136">
        <v>35</v>
      </c>
      <c r="AC2136">
        <v>-1.57429999999999</v>
      </c>
      <c r="AD2136">
        <v>-1.126387046879</v>
      </c>
      <c r="AE2136">
        <v>-20.5884</v>
      </c>
      <c r="AF2136">
        <v>-4.6917264139405503</v>
      </c>
      <c r="AG2136">
        <v>-1.126387046879</v>
      </c>
      <c r="AH2136">
        <v>20.045501351899599</v>
      </c>
      <c r="AI2136">
        <v>93.131694398577807</v>
      </c>
      <c r="AJ2136">
        <v>103.173166112564</v>
      </c>
      <c r="AK2136">
        <v>20.618030191355601</v>
      </c>
      <c r="AL2136">
        <v>79.813764705731799</v>
      </c>
      <c r="AM2136">
        <v>98.181465601507099</v>
      </c>
      <c r="AN2136">
        <v>1.0000000417630901</v>
      </c>
    </row>
    <row r="2137" spans="1:40" x14ac:dyDescent="0.25">
      <c r="A2137" t="str">
        <f>"20190312172659054"</f>
        <v>20190312172659054</v>
      </c>
      <c r="B2137" t="str">
        <f>"1552382819051258"</f>
        <v>1552382819051258</v>
      </c>
      <c r="C2137" t="s">
        <v>40</v>
      </c>
      <c r="D2137">
        <v>2.9949050000000002</v>
      </c>
      <c r="E2137">
        <v>0.45072220000000002</v>
      </c>
      <c r="F2137" t="s">
        <v>41</v>
      </c>
      <c r="G2137">
        <v>-497.15359999999998</v>
      </c>
      <c r="H2137" s="1">
        <v>-4.8892009999999999E-6</v>
      </c>
      <c r="I2137">
        <v>247.6251</v>
      </c>
      <c r="J2137">
        <v>-496.24979999999999</v>
      </c>
      <c r="K2137">
        <v>1.1263479999999999</v>
      </c>
      <c r="L2137">
        <v>268.03820000000002</v>
      </c>
      <c r="M2137">
        <v>-0.28412510000000002</v>
      </c>
      <c r="N2137">
        <v>0</v>
      </c>
      <c r="O2137">
        <v>-0.9585726</v>
      </c>
      <c r="P2137">
        <v>-0.15400549999999999</v>
      </c>
      <c r="Q2137">
        <v>0.162801</v>
      </c>
      <c r="R2137">
        <v>-0.97456569999999998</v>
      </c>
      <c r="S2137">
        <v>-0.1482849</v>
      </c>
      <c r="T2137">
        <v>-0.1676164</v>
      </c>
      <c r="U2137">
        <v>-3.08786</v>
      </c>
      <c r="V2137">
        <v>-0.13647609999999999</v>
      </c>
      <c r="W2137">
        <v>0.17731620000000001</v>
      </c>
      <c r="X2137">
        <v>0.97464519999999999</v>
      </c>
      <c r="Y2137">
        <v>-0.237924</v>
      </c>
      <c r="Z2137">
        <v>5.0053E-2</v>
      </c>
      <c r="AA2137">
        <v>0.9699932</v>
      </c>
      <c r="AB2137">
        <v>34</v>
      </c>
      <c r="AC2137">
        <v>-0.90379999999998895</v>
      </c>
      <c r="AD2137">
        <v>-1.126352889201</v>
      </c>
      <c r="AE2137">
        <v>-20.4131</v>
      </c>
      <c r="AF2137">
        <v>-4.9195826586497997</v>
      </c>
      <c r="AG2137">
        <v>-1.126352889201</v>
      </c>
      <c r="AH2137">
        <v>19.768241937732999</v>
      </c>
      <c r="AI2137">
        <v>93.164743899009494</v>
      </c>
      <c r="AJ2137">
        <v>103.97491021626</v>
      </c>
      <c r="AK2137">
        <v>20.402312459009298</v>
      </c>
      <c r="AL2137">
        <v>79.786525230736402</v>
      </c>
      <c r="AM2137">
        <v>97.9710963053396</v>
      </c>
      <c r="AN2137">
        <v>1.00000001326834</v>
      </c>
    </row>
    <row r="2138" spans="1:40" x14ac:dyDescent="0.25">
      <c r="A2138" t="str">
        <f>"20190312172659085"</f>
        <v>20190312172659085</v>
      </c>
      <c r="B2138" t="str">
        <f>"1552382819081513"</f>
        <v>1552382819081513</v>
      </c>
      <c r="C2138" t="s">
        <v>40</v>
      </c>
      <c r="D2138">
        <v>3.1458339999999998</v>
      </c>
      <c r="E2138">
        <v>0.45016869999999998</v>
      </c>
      <c r="F2138" t="s">
        <v>41</v>
      </c>
      <c r="G2138">
        <v>-496.72840000000002</v>
      </c>
      <c r="H2138" s="1">
        <v>-5.1191739999999998E-6</v>
      </c>
      <c r="I2138">
        <v>248.52260000000001</v>
      </c>
      <c r="J2138">
        <v>-496.36689999999999</v>
      </c>
      <c r="K2138">
        <v>1.1263129999999999</v>
      </c>
      <c r="L2138">
        <v>267.57389999999998</v>
      </c>
      <c r="M2138">
        <v>-0.26021509999999998</v>
      </c>
      <c r="N2138">
        <v>0</v>
      </c>
      <c r="O2138">
        <v>-0.96533760000000002</v>
      </c>
      <c r="P2138">
        <v>-0.1346812</v>
      </c>
      <c r="Q2138">
        <v>0.16483800000000001</v>
      </c>
      <c r="R2138">
        <v>-0.97708229999999996</v>
      </c>
      <c r="S2138">
        <v>-7.5927729999999999E-2</v>
      </c>
      <c r="T2138">
        <v>-0.17869760000000001</v>
      </c>
      <c r="U2138">
        <v>-3.0961910000000001</v>
      </c>
      <c r="V2138">
        <v>-0.1315009</v>
      </c>
      <c r="W2138">
        <v>0.17956730000000001</v>
      </c>
      <c r="X2138">
        <v>0.97491700000000003</v>
      </c>
      <c r="Y2138">
        <v>-0.23655029999999999</v>
      </c>
      <c r="Z2138">
        <v>5.3820010000000001E-2</v>
      </c>
      <c r="AA2138">
        <v>0.97012750000000003</v>
      </c>
      <c r="AB2138">
        <v>34</v>
      </c>
      <c r="AC2138">
        <v>-0.36150000000003402</v>
      </c>
      <c r="AD2138">
        <v>-1.1263181191739999</v>
      </c>
      <c r="AE2138">
        <v>-19.051299999999902</v>
      </c>
      <c r="AF2138">
        <v>-4.5933657061440298</v>
      </c>
      <c r="AG2138">
        <v>-1.1263181191739999</v>
      </c>
      <c r="AH2138">
        <v>18.424433666583901</v>
      </c>
      <c r="AI2138">
        <v>93.394588284161699</v>
      </c>
      <c r="AJ2138">
        <v>103.998941479593</v>
      </c>
      <c r="AK2138">
        <v>19.021760090756899</v>
      </c>
      <c r="AL2138">
        <v>79.655443031717098</v>
      </c>
      <c r="AM2138">
        <v>97.681931596888006</v>
      </c>
      <c r="AN2138">
        <v>1.0000000294095399</v>
      </c>
    </row>
    <row r="2139" spans="1:40" x14ac:dyDescent="0.25">
      <c r="A2139" t="str">
        <f>"20190312172659111"</f>
        <v>20190312172659111</v>
      </c>
      <c r="B2139" t="str">
        <f>"1552382819101032"</f>
        <v>1552382819101032</v>
      </c>
      <c r="C2139" t="s">
        <v>40</v>
      </c>
      <c r="D2139">
        <v>3.1221779999999999</v>
      </c>
      <c r="E2139">
        <v>0.45051770000000002</v>
      </c>
      <c r="F2139" t="s">
        <v>41</v>
      </c>
      <c r="G2139">
        <v>-496.42840000000001</v>
      </c>
      <c r="H2139" s="1">
        <v>-4.9016459999999998E-6</v>
      </c>
      <c r="I2139">
        <v>248.03970000000001</v>
      </c>
      <c r="J2139">
        <v>-496.4486</v>
      </c>
      <c r="K2139">
        <v>1.126277</v>
      </c>
      <c r="L2139">
        <v>267.21469999999999</v>
      </c>
      <c r="M2139">
        <v>-0.24162069999999999</v>
      </c>
      <c r="N2139">
        <v>0</v>
      </c>
      <c r="O2139">
        <v>-0.97015910000000005</v>
      </c>
      <c r="P2139">
        <v>-0.11968570000000001</v>
      </c>
      <c r="Q2139">
        <v>0.1640017</v>
      </c>
      <c r="R2139">
        <v>-0.97917270000000001</v>
      </c>
      <c r="S2139">
        <v>-9.765625E-3</v>
      </c>
      <c r="T2139">
        <v>-0.17869649999999901</v>
      </c>
      <c r="U2139">
        <v>-3.0992130000000002</v>
      </c>
      <c r="V2139">
        <v>-0.12768370000000001</v>
      </c>
      <c r="W2139">
        <v>0.1789007</v>
      </c>
      <c r="X2139">
        <v>0.97554669999999999</v>
      </c>
      <c r="Y2139">
        <v>-0.2386105</v>
      </c>
      <c r="Z2139">
        <v>5.4173949999999998E-2</v>
      </c>
      <c r="AA2139">
        <v>0.96960310000000005</v>
      </c>
      <c r="AB2139">
        <v>34</v>
      </c>
      <c r="AC2139">
        <v>2.0199999999988401E-2</v>
      </c>
      <c r="AD2139">
        <v>-1.1262819016459999</v>
      </c>
      <c r="AE2139">
        <v>-19.174999999999901</v>
      </c>
      <c r="AF2139">
        <v>-4.6376300255555698</v>
      </c>
      <c r="AG2139">
        <v>-1.1262819016459999</v>
      </c>
      <c r="AH2139">
        <v>18.5377848733932</v>
      </c>
      <c r="AI2139">
        <v>93.373088493155393</v>
      </c>
      <c r="AJ2139">
        <v>104.045504621021</v>
      </c>
      <c r="AK2139">
        <v>19.142246241967399</v>
      </c>
      <c r="AL2139">
        <v>79.694264505077101</v>
      </c>
      <c r="AM2139">
        <v>97.456728394855404</v>
      </c>
      <c r="AN2139">
        <v>0.99999997579353395</v>
      </c>
    </row>
    <row r="2140" spans="1:40" x14ac:dyDescent="0.25">
      <c r="A2140" t="str">
        <f>"20190312172659135"</f>
        <v>20190312172659135</v>
      </c>
      <c r="B2140" t="str">
        <f>"1552382819131289"</f>
        <v>1552382819131289</v>
      </c>
      <c r="C2140" t="s">
        <v>40</v>
      </c>
      <c r="D2140">
        <v>3.1748859999999999</v>
      </c>
      <c r="E2140">
        <v>0.45147280000000001</v>
      </c>
      <c r="F2140" t="s">
        <v>41</v>
      </c>
      <c r="G2140">
        <v>-496.2217</v>
      </c>
      <c r="H2140" s="1">
        <v>-4.7566959999999996E-6</v>
      </c>
      <c r="I2140">
        <v>247.72149999999999</v>
      </c>
      <c r="J2140">
        <v>-496.52010000000001</v>
      </c>
      <c r="K2140">
        <v>1.1262259999999999</v>
      </c>
      <c r="L2140">
        <v>266.86900000000003</v>
      </c>
      <c r="M2140">
        <v>-0.2236477</v>
      </c>
      <c r="N2140">
        <v>0</v>
      </c>
      <c r="O2140">
        <v>-0.97445939999999998</v>
      </c>
      <c r="P2140">
        <v>-0.1050074</v>
      </c>
      <c r="Q2140">
        <v>0.16077469999999999</v>
      </c>
      <c r="R2140">
        <v>-0.98138930000000002</v>
      </c>
      <c r="S2140">
        <v>3.6071779999999998E-2</v>
      </c>
      <c r="T2140">
        <v>-0.17901029999999901</v>
      </c>
      <c r="U2140">
        <v>-3.098236</v>
      </c>
      <c r="V2140">
        <v>-0.1242224</v>
      </c>
      <c r="W2140">
        <v>0.17583209999999999</v>
      </c>
      <c r="X2140">
        <v>0.97655099999999995</v>
      </c>
      <c r="Y2140">
        <v>-0.23500219999999999</v>
      </c>
      <c r="Z2140">
        <v>5.4680029999999998E-2</v>
      </c>
      <c r="AA2140">
        <v>0.97045559999999997</v>
      </c>
      <c r="AB2140">
        <v>34</v>
      </c>
      <c r="AC2140">
        <v>0.29840000000001499</v>
      </c>
      <c r="AD2140">
        <v>-1.1262307566959999</v>
      </c>
      <c r="AE2140">
        <v>-19.147500000000001</v>
      </c>
      <c r="AF2140">
        <v>-4.5582460748048197</v>
      </c>
      <c r="AG2140">
        <v>-1.1262307566959999</v>
      </c>
      <c r="AH2140">
        <v>18.531446274741299</v>
      </c>
      <c r="AI2140">
        <v>93.377390891785097</v>
      </c>
      <c r="AJ2140">
        <v>103.81891182803901</v>
      </c>
      <c r="AK2140">
        <v>19.117021316863799</v>
      </c>
      <c r="AL2140">
        <v>79.872915123877803</v>
      </c>
      <c r="AM2140">
        <v>97.249389231150801</v>
      </c>
      <c r="AN2140">
        <v>0.999999993826584</v>
      </c>
    </row>
    <row r="2141" spans="1:40" x14ac:dyDescent="0.25">
      <c r="A2141" t="str">
        <f>"20190312172659154"</f>
        <v>20190312172659154</v>
      </c>
      <c r="B2141" t="str">
        <f>"1552382819150810"</f>
        <v>1552382819150810</v>
      </c>
      <c r="C2141" t="s">
        <v>40</v>
      </c>
      <c r="D2141">
        <v>3.1238959999999998</v>
      </c>
      <c r="E2141">
        <v>0.45210679999999998</v>
      </c>
      <c r="F2141" t="s">
        <v>41</v>
      </c>
      <c r="G2141">
        <v>-496.08089999999999</v>
      </c>
      <c r="H2141" s="1">
        <v>-5.063596E-6</v>
      </c>
      <c r="I2141">
        <v>248.69669999999999</v>
      </c>
      <c r="J2141">
        <v>-496.5754</v>
      </c>
      <c r="K2141">
        <v>1.126185</v>
      </c>
      <c r="L2141">
        <v>266.57639999999998</v>
      </c>
      <c r="M2141">
        <v>-0.2083709</v>
      </c>
      <c r="N2141">
        <v>0</v>
      </c>
      <c r="O2141">
        <v>-0.9778405</v>
      </c>
      <c r="P2141">
        <v>-9.3199039999999997E-2</v>
      </c>
      <c r="Q2141">
        <v>0.15983039999999901</v>
      </c>
      <c r="R2141">
        <v>-0.98273520000000003</v>
      </c>
      <c r="S2141">
        <v>7.4829099999999996E-2</v>
      </c>
      <c r="T2141">
        <v>-0.19189629999999999</v>
      </c>
      <c r="U2141">
        <v>-3.0963440000000002</v>
      </c>
      <c r="V2141">
        <v>-0.1206474</v>
      </c>
      <c r="W2141">
        <v>0.17503550000000001</v>
      </c>
      <c r="X2141">
        <v>0.97714219999999896</v>
      </c>
      <c r="Y2141">
        <v>-0.23193359999999999</v>
      </c>
      <c r="Z2141">
        <v>5.8966449999999997E-2</v>
      </c>
      <c r="AA2141">
        <v>0.97094270000000005</v>
      </c>
      <c r="AB2141">
        <v>34</v>
      </c>
      <c r="AC2141">
        <v>0.49450000000001598</v>
      </c>
      <c r="AD2141">
        <v>-1.1261900635959901</v>
      </c>
      <c r="AE2141">
        <v>-17.8796999999999</v>
      </c>
      <c r="AF2141">
        <v>-4.1933894282777198</v>
      </c>
      <c r="AG2141">
        <v>-1.1261900635959901</v>
      </c>
      <c r="AH2141">
        <v>17.315371320043099</v>
      </c>
      <c r="AI2141">
        <v>93.617003182399301</v>
      </c>
      <c r="AJ2141">
        <v>103.61362931059899</v>
      </c>
      <c r="AK2141">
        <v>17.851467808208501</v>
      </c>
      <c r="AL2141">
        <v>79.919276517034803</v>
      </c>
      <c r="AM2141">
        <v>97.038666203191198</v>
      </c>
      <c r="AN2141">
        <v>1.0000000502039199</v>
      </c>
    </row>
    <row r="2142" spans="1:40" x14ac:dyDescent="0.25">
      <c r="A2142" t="str">
        <f>"20190312172659176"</f>
        <v>20190312172659176</v>
      </c>
      <c r="B2142" t="str">
        <f>"1552382819171306"</f>
        <v>1552382819171306</v>
      </c>
      <c r="C2142" t="s">
        <v>40</v>
      </c>
      <c r="D2142">
        <v>3.1440640000000002</v>
      </c>
      <c r="E2142">
        <v>0.45284790000000003</v>
      </c>
      <c r="F2142" t="s">
        <v>41</v>
      </c>
      <c r="G2142">
        <v>-495.9513</v>
      </c>
      <c r="H2142" s="1">
        <v>-5.0626609999999998E-6</v>
      </c>
      <c r="I2142">
        <v>248.76150000000001</v>
      </c>
      <c r="J2142">
        <v>-496.62959999999998</v>
      </c>
      <c r="K2142">
        <v>1.126131</v>
      </c>
      <c r="L2142">
        <v>266.26139999999998</v>
      </c>
      <c r="M2142">
        <v>-0.19187870000000001</v>
      </c>
      <c r="N2142">
        <v>0</v>
      </c>
      <c r="O2142">
        <v>-0.98121060000000004</v>
      </c>
      <c r="P2142">
        <v>-8.0221730000000005E-2</v>
      </c>
      <c r="Q2142">
        <v>0.1600232</v>
      </c>
      <c r="R2142">
        <v>-0.98384819999999995</v>
      </c>
      <c r="S2142">
        <v>0.108429</v>
      </c>
      <c r="T2142">
        <v>-0.19564319999999999</v>
      </c>
      <c r="U2142">
        <v>-3.0948180000000001</v>
      </c>
      <c r="V2142">
        <v>-0.11706030000000001</v>
      </c>
      <c r="W2142">
        <v>0.17536360000000001</v>
      </c>
      <c r="X2142">
        <v>0.97751960000000004</v>
      </c>
      <c r="Y2142">
        <v>-0.22609309999999999</v>
      </c>
      <c r="Z2142">
        <v>6.0494899999999997E-2</v>
      </c>
      <c r="AA2142">
        <v>0.97222540000000002</v>
      </c>
      <c r="AB2142">
        <v>34</v>
      </c>
      <c r="AC2142">
        <v>0.67829999999997803</v>
      </c>
      <c r="AD2142">
        <v>-1.126136062661</v>
      </c>
      <c r="AE2142">
        <v>-17.499899999999901</v>
      </c>
      <c r="AF2142">
        <v>-4.0076638441746599</v>
      </c>
      <c r="AG2142">
        <v>-1.126136062661</v>
      </c>
      <c r="AH2142">
        <v>16.974230511519799</v>
      </c>
      <c r="AI2142">
        <v>93.694379688132997</v>
      </c>
      <c r="AJ2142">
        <v>103.28441701244201</v>
      </c>
      <c r="AK2142">
        <v>17.477243872468598</v>
      </c>
      <c r="AL2142">
        <v>79.9001823109637</v>
      </c>
      <c r="AM2142">
        <v>96.8287869043657</v>
      </c>
      <c r="AN2142">
        <v>1.0000000372125999</v>
      </c>
    </row>
    <row r="2143" spans="1:40" x14ac:dyDescent="0.25">
      <c r="A2143" t="str">
        <f>"20190312172659199"</f>
        <v>20190312172659199</v>
      </c>
      <c r="B2143" t="str">
        <f>"1552382819190825"</f>
        <v>1552382819190825</v>
      </c>
      <c r="C2143" t="s">
        <v>40</v>
      </c>
      <c r="D2143">
        <v>3.1198839999999999</v>
      </c>
      <c r="E2143">
        <v>0.45375090000000001</v>
      </c>
      <c r="F2143" t="s">
        <v>41</v>
      </c>
      <c r="G2143">
        <v>-495.79489999999998</v>
      </c>
      <c r="H2143" s="1">
        <v>-4.922037E-6</v>
      </c>
      <c r="I2143">
        <v>248.4298</v>
      </c>
      <c r="J2143">
        <v>-496.6807</v>
      </c>
      <c r="K2143">
        <v>1.126061</v>
      </c>
      <c r="L2143">
        <v>265.92880000000002</v>
      </c>
      <c r="M2143">
        <v>-0.17441570000000001</v>
      </c>
      <c r="N2143">
        <v>0</v>
      </c>
      <c r="O2143">
        <v>-0.98446540000000005</v>
      </c>
      <c r="P2143">
        <v>-6.5662899999999996E-2</v>
      </c>
      <c r="Q2143">
        <v>0.15885739999999901</v>
      </c>
      <c r="R2143">
        <v>-0.98511550000000003</v>
      </c>
      <c r="S2143">
        <v>0.1447754</v>
      </c>
      <c r="T2143">
        <v>-0.19532450000000001</v>
      </c>
      <c r="U2143">
        <v>-3.0928339999999999</v>
      </c>
      <c r="V2143">
        <v>-0.1141018</v>
      </c>
      <c r="W2143">
        <v>0.17429829999999999</v>
      </c>
      <c r="X2143">
        <v>0.97805980000000003</v>
      </c>
      <c r="Y2143">
        <v>-0.22021009999999999</v>
      </c>
      <c r="Z2143">
        <v>6.0770579999999998E-2</v>
      </c>
      <c r="AA2143">
        <v>0.97355769999999997</v>
      </c>
      <c r="AB2143">
        <v>34</v>
      </c>
      <c r="AC2143">
        <v>0.88580000000001702</v>
      </c>
      <c r="AD2143">
        <v>-1.126065922037</v>
      </c>
      <c r="AE2143">
        <v>-17.498999999999999</v>
      </c>
      <c r="AF2143">
        <v>-3.9087938752028299</v>
      </c>
      <c r="AG2143">
        <v>-1.126065922037</v>
      </c>
      <c r="AH2143">
        <v>17.005897516266099</v>
      </c>
      <c r="AI2143">
        <v>93.692375164798705</v>
      </c>
      <c r="AJ2143">
        <v>102.94456433707499</v>
      </c>
      <c r="AK2143">
        <v>17.485629652756099</v>
      </c>
      <c r="AL2143">
        <v>79.962174358806607</v>
      </c>
      <c r="AM2143">
        <v>96.6541258634104</v>
      </c>
      <c r="AN2143">
        <v>1.00000004526108</v>
      </c>
    </row>
    <row r="2144" spans="1:40" x14ac:dyDescent="0.25">
      <c r="A2144" t="str">
        <f>"20190312172659221"</f>
        <v>20190312172659221</v>
      </c>
      <c r="B2144" t="str">
        <f>"1552382819211321"</f>
        <v>1552382819211321</v>
      </c>
      <c r="C2144" t="s">
        <v>40</v>
      </c>
      <c r="D2144">
        <v>3.2118120000000001</v>
      </c>
      <c r="E2144">
        <v>0.46324789999999999</v>
      </c>
      <c r="F2144" t="s">
        <v>41</v>
      </c>
      <c r="G2144">
        <v>-495.62759999999997</v>
      </c>
      <c r="H2144" s="1">
        <v>-4.8470039999999996E-6</v>
      </c>
      <c r="I2144">
        <v>248.29650000000001</v>
      </c>
      <c r="J2144">
        <v>-496.72390000000001</v>
      </c>
      <c r="K2144">
        <v>1.1259779999999999</v>
      </c>
      <c r="L2144">
        <v>265.61040000000003</v>
      </c>
      <c r="M2144">
        <v>-0.1576745</v>
      </c>
      <c r="N2144">
        <v>0</v>
      </c>
      <c r="O2144">
        <v>-0.98728629999999995</v>
      </c>
      <c r="P2144">
        <v>-5.2482929999999997E-2</v>
      </c>
      <c r="Q2144">
        <v>0.1573889</v>
      </c>
      <c r="R2144">
        <v>-0.9861413</v>
      </c>
      <c r="S2144">
        <v>0.18450929999999999</v>
      </c>
      <c r="T2144">
        <v>-0.19730619999999999</v>
      </c>
      <c r="U2144">
        <v>-3.0894780000000002</v>
      </c>
      <c r="V2144">
        <v>-0.11051229999999999</v>
      </c>
      <c r="W2144">
        <v>0.17295199999999999</v>
      </c>
      <c r="X2144">
        <v>0.97871070000000004</v>
      </c>
      <c r="Y2144">
        <v>-0.2161766</v>
      </c>
      <c r="Z2144">
        <v>6.1728060000000001E-2</v>
      </c>
      <c r="AA2144">
        <v>0.97440099999999996</v>
      </c>
      <c r="AB2144">
        <v>33</v>
      </c>
      <c r="AC2144">
        <v>1.09630000000004</v>
      </c>
      <c r="AD2144">
        <v>-1.1259828470039901</v>
      </c>
      <c r="AE2144">
        <v>-17.3139</v>
      </c>
      <c r="AF2144">
        <v>-3.7970986648837202</v>
      </c>
      <c r="AG2144">
        <v>-1.1259828470039901</v>
      </c>
      <c r="AH2144">
        <v>16.8533470419769</v>
      </c>
      <c r="AI2144">
        <v>93.729086044089698</v>
      </c>
      <c r="AJ2144">
        <v>102.696870971289</v>
      </c>
      <c r="AK2144">
        <v>17.312455116473799</v>
      </c>
      <c r="AL2144">
        <v>80.040500843952103</v>
      </c>
      <c r="AM2144">
        <v>96.442334504628803</v>
      </c>
      <c r="AN2144">
        <v>0.99999999852488997</v>
      </c>
    </row>
    <row r="2145" spans="1:40" x14ac:dyDescent="0.25">
      <c r="A2145" t="str">
        <f>"20190312172659244"</f>
        <v>20190312172659244</v>
      </c>
      <c r="B2145" t="str">
        <f>"1552382819241109"</f>
        <v>1552382819241109</v>
      </c>
      <c r="C2145" t="s">
        <v>40</v>
      </c>
      <c r="D2145">
        <v>3.2598959999999999</v>
      </c>
      <c r="E2145">
        <v>0.46494540000000001</v>
      </c>
      <c r="F2145" t="s">
        <v>41</v>
      </c>
      <c r="G2145">
        <v>-495.79</v>
      </c>
      <c r="H2145" s="1">
        <v>-4.2582500000000003E-6</v>
      </c>
      <c r="I2145">
        <v>246.48179999999999</v>
      </c>
      <c r="J2145">
        <v>-496.76229999999998</v>
      </c>
      <c r="K2145">
        <v>1.1258859999999999</v>
      </c>
      <c r="L2145">
        <v>265.28530000000001</v>
      </c>
      <c r="M2145">
        <v>-0.1405978</v>
      </c>
      <c r="N2145">
        <v>0</v>
      </c>
      <c r="O2145">
        <v>-0.98986370000000001</v>
      </c>
      <c r="P2145">
        <v>-3.9135240000000002E-2</v>
      </c>
      <c r="Q2145">
        <v>0.15609919999999999</v>
      </c>
      <c r="R2145">
        <v>-0.98696629999999996</v>
      </c>
      <c r="S2145">
        <v>0.15032960000000001</v>
      </c>
      <c r="T2145">
        <v>-0.1812484</v>
      </c>
      <c r="U2145">
        <v>-3.0791019999999998</v>
      </c>
      <c r="V2145">
        <v>-0.10677780000000001</v>
      </c>
      <c r="W2145">
        <v>0.17178099999999999</v>
      </c>
      <c r="X2145">
        <v>0.97933130000000002</v>
      </c>
      <c r="Y2145">
        <v>-0.1886555</v>
      </c>
      <c r="Z2145">
        <v>5.7324159999999999E-2</v>
      </c>
      <c r="AA2145">
        <v>0.98036889999999999</v>
      </c>
      <c r="AB2145">
        <v>33</v>
      </c>
      <c r="AC2145">
        <v>0.97229999999996097</v>
      </c>
      <c r="AD2145">
        <v>-1.1258902582500001</v>
      </c>
      <c r="AE2145">
        <v>-18.8035</v>
      </c>
      <c r="AF2145">
        <v>-3.59404940826284</v>
      </c>
      <c r="AG2145">
        <v>-1.1258902582500001</v>
      </c>
      <c r="AH2145">
        <v>18.4140724419766</v>
      </c>
      <c r="AI2145">
        <v>93.434233056526693</v>
      </c>
      <c r="AJ2145">
        <v>101.044116383963</v>
      </c>
      <c r="AK2145">
        <v>18.795288875700098</v>
      </c>
      <c r="AL2145">
        <v>80.108613701504495</v>
      </c>
      <c r="AM2145">
        <v>96.222455897798099</v>
      </c>
      <c r="AN2145">
        <v>1.0000000028467599</v>
      </c>
    </row>
    <row r="2146" spans="1:40" x14ac:dyDescent="0.25">
      <c r="A2146" t="str">
        <f>"20190312172659265"</f>
        <v>20190312172659265</v>
      </c>
      <c r="B2146" t="str">
        <f>"1552382819260629"</f>
        <v>1552382819260629</v>
      </c>
      <c r="C2146" t="s">
        <v>40</v>
      </c>
      <c r="D2146">
        <v>3.2845040000000001</v>
      </c>
      <c r="E2146">
        <v>0.46637499999999998</v>
      </c>
      <c r="F2146" t="s">
        <v>41</v>
      </c>
      <c r="G2146">
        <v>-495.67</v>
      </c>
      <c r="H2146" s="1">
        <v>-4.2715109999999998E-6</v>
      </c>
      <c r="I2146">
        <v>246.58330000000001</v>
      </c>
      <c r="J2146">
        <v>-496.79390000000001</v>
      </c>
      <c r="K2146">
        <v>1.1257649999999999</v>
      </c>
      <c r="L2146">
        <v>264.97109999999998</v>
      </c>
      <c r="M2146">
        <v>-0.1241193</v>
      </c>
      <c r="N2146">
        <v>0</v>
      </c>
      <c r="O2146">
        <v>-0.992066</v>
      </c>
      <c r="P2146">
        <v>-2.7178730000000002E-2</v>
      </c>
      <c r="Q2146">
        <v>0.15534439999999999</v>
      </c>
      <c r="R2146">
        <v>-0.98748659999999999</v>
      </c>
      <c r="S2146">
        <v>0.17965699999999901</v>
      </c>
      <c r="T2146">
        <v>-0.1851814</v>
      </c>
      <c r="U2146">
        <v>-3.0760190000000001</v>
      </c>
      <c r="V2146">
        <v>-0.102281</v>
      </c>
      <c r="W2146">
        <v>0.1711656</v>
      </c>
      <c r="X2146">
        <v>0.97991879999999998</v>
      </c>
      <c r="Y2146">
        <v>-0.1816845</v>
      </c>
      <c r="Z2146">
        <v>5.8844889999999997E-2</v>
      </c>
      <c r="AA2146">
        <v>0.98159459999999998</v>
      </c>
      <c r="AB2146">
        <v>33</v>
      </c>
      <c r="AC2146">
        <v>1.1238999999999899</v>
      </c>
      <c r="AD2146">
        <v>-1.1257692715109999</v>
      </c>
      <c r="AE2146">
        <v>-18.387799999999899</v>
      </c>
      <c r="AF2146">
        <v>-3.3853005299755901</v>
      </c>
      <c r="AG2146">
        <v>-1.1257692715109999</v>
      </c>
      <c r="AH2146">
        <v>18.038666677768401</v>
      </c>
      <c r="AI2146">
        <v>93.510003570608404</v>
      </c>
      <c r="AJ2146">
        <v>100.629015235965</v>
      </c>
      <c r="AK2146">
        <v>18.388069818297001</v>
      </c>
      <c r="AL2146">
        <v>80.144403191899599</v>
      </c>
      <c r="AM2146">
        <v>95.958785538774805</v>
      </c>
      <c r="AN2146">
        <v>0.99999996008889902</v>
      </c>
    </row>
    <row r="2147" spans="1:40" x14ac:dyDescent="0.25">
      <c r="A2147" t="str">
        <f>"20190312172659287"</f>
        <v>20190312172659287</v>
      </c>
      <c r="B2147" t="str">
        <f>"1552382819281125"</f>
        <v>1552382819281125</v>
      </c>
      <c r="C2147" t="s">
        <v>40</v>
      </c>
      <c r="D2147">
        <v>3.2804060000000002</v>
      </c>
      <c r="E2147">
        <v>0.46767049999999999</v>
      </c>
      <c r="F2147" t="s">
        <v>41</v>
      </c>
      <c r="G2147">
        <v>-495.54610000000002</v>
      </c>
      <c r="H2147" s="1">
        <v>-4.1992959999999996E-6</v>
      </c>
      <c r="I2147">
        <v>246.4357</v>
      </c>
      <c r="J2147">
        <v>-496.82040000000001</v>
      </c>
      <c r="K2147">
        <v>1.125629</v>
      </c>
      <c r="L2147">
        <v>264.65440000000001</v>
      </c>
      <c r="M2147">
        <v>-0.1075754</v>
      </c>
      <c r="N2147">
        <v>0</v>
      </c>
      <c r="O2147">
        <v>-0.99399780000000004</v>
      </c>
      <c r="P2147">
        <v>-1.5635639999999999E-2</v>
      </c>
      <c r="Q2147">
        <v>0.15531500000000001</v>
      </c>
      <c r="R2147">
        <v>-0.9877416</v>
      </c>
      <c r="S2147">
        <v>0.2068787</v>
      </c>
      <c r="T2147">
        <v>-0.18664459999999999</v>
      </c>
      <c r="U2147">
        <v>-3.073029</v>
      </c>
      <c r="V2147">
        <v>-9.733696E-2</v>
      </c>
      <c r="W2147">
        <v>0.17127699999999901</v>
      </c>
      <c r="X2147">
        <v>0.98040280000000002</v>
      </c>
      <c r="Y2147">
        <v>-0.1740111</v>
      </c>
      <c r="Z2147">
        <v>5.9566580000000001E-2</v>
      </c>
      <c r="AA2147">
        <v>0.98294049999999999</v>
      </c>
      <c r="AB2147">
        <v>33</v>
      </c>
      <c r="AC2147">
        <v>1.27429999999998</v>
      </c>
      <c r="AD2147">
        <v>-1.125633199296</v>
      </c>
      <c r="AE2147">
        <v>-18.218699999999998</v>
      </c>
      <c r="AF2147">
        <v>-3.2149614288294499</v>
      </c>
      <c r="AG2147">
        <v>-1.125633199296</v>
      </c>
      <c r="AH2147">
        <v>17.907796061546399</v>
      </c>
      <c r="AI2147">
        <v>93.540265609258299</v>
      </c>
      <c r="AJ2147">
        <v>100.17780958416201</v>
      </c>
      <c r="AK2147">
        <v>18.228883313855299</v>
      </c>
      <c r="AL2147">
        <v>80.137924894772695</v>
      </c>
      <c r="AM2147">
        <v>95.669894444912899</v>
      </c>
      <c r="AN2147">
        <v>0.99999997237944005</v>
      </c>
    </row>
    <row r="2148" spans="1:40" x14ac:dyDescent="0.25">
      <c r="A2148" t="str">
        <f>"20190312172659311"</f>
        <v>20190312172659311</v>
      </c>
      <c r="B2148" t="str">
        <f>"1552382819300648"</f>
        <v>1552382819300648</v>
      </c>
      <c r="C2148" t="s">
        <v>40</v>
      </c>
      <c r="D2148">
        <v>3.2979569999999998</v>
      </c>
      <c r="E2148">
        <v>0.47531970000000001</v>
      </c>
      <c r="F2148" t="s">
        <v>41</v>
      </c>
      <c r="G2148">
        <v>-495.42720000000003</v>
      </c>
      <c r="H2148" s="1">
        <v>-4.1640780000000003E-6</v>
      </c>
      <c r="I2148">
        <v>246.39420000000001</v>
      </c>
      <c r="J2148">
        <v>-496.84269999999998</v>
      </c>
      <c r="K2148">
        <v>1.125461</v>
      </c>
      <c r="L2148">
        <v>264.31319999999999</v>
      </c>
      <c r="M2148">
        <v>-8.9894580000000002E-2</v>
      </c>
      <c r="N2148">
        <v>0</v>
      </c>
      <c r="O2148">
        <v>-0.99575469999999999</v>
      </c>
      <c r="P2148">
        <v>-3.521546E-3</v>
      </c>
      <c r="Q2148">
        <v>0.15486420000000001</v>
      </c>
      <c r="R2148">
        <v>-0.98792990000000003</v>
      </c>
      <c r="S2148">
        <v>0.2342834</v>
      </c>
      <c r="T2148">
        <v>-0.18929119999999999</v>
      </c>
      <c r="U2148">
        <v>-3.0707089999999999</v>
      </c>
      <c r="V2148">
        <v>-9.1836130000000002E-2</v>
      </c>
      <c r="W2148">
        <v>0.17097209999999999</v>
      </c>
      <c r="X2148">
        <v>0.98098660000000004</v>
      </c>
      <c r="Y2148">
        <v>-0.1652769</v>
      </c>
      <c r="Z2148">
        <v>6.0642290000000001E-2</v>
      </c>
      <c r="AA2148">
        <v>0.98438110000000001</v>
      </c>
      <c r="AB2148">
        <v>33</v>
      </c>
      <c r="AC2148">
        <v>1.41549999999995</v>
      </c>
      <c r="AD2148">
        <v>-1.125465164078</v>
      </c>
      <c r="AE2148">
        <v>-17.918999999999901</v>
      </c>
      <c r="AF2148">
        <v>-3.0091061958182599</v>
      </c>
      <c r="AG2148">
        <v>-1.125465164078</v>
      </c>
      <c r="AH2148">
        <v>17.6499563094163</v>
      </c>
      <c r="AI2148">
        <v>93.596817322329102</v>
      </c>
      <c r="AJ2148">
        <v>99.675219508820106</v>
      </c>
      <c r="AK2148">
        <v>17.9399651520723</v>
      </c>
      <c r="AL2148">
        <v>80.155656410759804</v>
      </c>
      <c r="AM2148">
        <v>95.348219326372998</v>
      </c>
      <c r="AN2148">
        <v>1.0000000215656699</v>
      </c>
    </row>
    <row r="2149" spans="1:40" x14ac:dyDescent="0.25">
      <c r="A2149" t="str">
        <f>"20190312172659334"</f>
        <v>20190312172659334</v>
      </c>
      <c r="B2149" t="str">
        <f>"1552382819331407"</f>
        <v>1552382819331407</v>
      </c>
      <c r="C2149" t="s">
        <v>40</v>
      </c>
      <c r="D2149">
        <v>3.282321</v>
      </c>
      <c r="E2149">
        <v>0.47761520000000002</v>
      </c>
      <c r="F2149" t="s">
        <v>41</v>
      </c>
      <c r="G2149">
        <v>-495.71870000000001</v>
      </c>
      <c r="H2149" s="1">
        <v>-4.7797649999999996E-6</v>
      </c>
      <c r="I2149">
        <v>248.0515</v>
      </c>
      <c r="J2149">
        <v>-496.85829999999999</v>
      </c>
      <c r="K2149">
        <v>1.125267</v>
      </c>
      <c r="L2149">
        <v>263.98430000000002</v>
      </c>
      <c r="M2149">
        <v>-7.3014220000000005E-2</v>
      </c>
      <c r="N2149">
        <v>0</v>
      </c>
      <c r="O2149">
        <v>-0.99713669999999999</v>
      </c>
      <c r="P2149">
        <v>7.4593799999999998E-3</v>
      </c>
      <c r="Q2149">
        <v>0.15408759999999999</v>
      </c>
      <c r="R2149">
        <v>-0.98802900000000005</v>
      </c>
      <c r="S2149">
        <v>0.21224979999999999</v>
      </c>
      <c r="T2149">
        <v>-0.21252699999999999</v>
      </c>
      <c r="U2149">
        <v>-3.07077</v>
      </c>
      <c r="V2149">
        <v>-8.6001949999999994E-2</v>
      </c>
      <c r="W2149">
        <v>0.17035</v>
      </c>
      <c r="X2149">
        <v>0.98162340000000003</v>
      </c>
      <c r="Y2149">
        <v>-0.1414628</v>
      </c>
      <c r="Z2149">
        <v>6.8339460000000005E-2</v>
      </c>
      <c r="AA2149">
        <v>0.98758190000000001</v>
      </c>
      <c r="AB2149">
        <v>33</v>
      </c>
      <c r="AC2149">
        <v>1.13959999999997</v>
      </c>
      <c r="AD2149">
        <v>-1.125271779765</v>
      </c>
      <c r="AE2149">
        <v>-15.9328</v>
      </c>
      <c r="AF2149">
        <v>-2.2887451710900799</v>
      </c>
      <c r="AG2149">
        <v>-1.125271779765</v>
      </c>
      <c r="AH2149">
        <v>15.7289765757094</v>
      </c>
      <c r="AI2149">
        <v>94.049541154487301</v>
      </c>
      <c r="AJ2149">
        <v>98.279082011068098</v>
      </c>
      <c r="AK2149">
        <v>15.9344060182907</v>
      </c>
      <c r="AL2149">
        <v>80.191830375815798</v>
      </c>
      <c r="AM2149">
        <v>95.007010627464297</v>
      </c>
      <c r="AN2149">
        <v>0.99999997866568102</v>
      </c>
    </row>
    <row r="2150" spans="1:40" x14ac:dyDescent="0.25">
      <c r="A2150" t="str">
        <f>"20190312172659356"</f>
        <v>20190312172659356</v>
      </c>
      <c r="B2150" t="str">
        <f>"1552382819350927"</f>
        <v>1552382819350927</v>
      </c>
      <c r="C2150" t="s">
        <v>40</v>
      </c>
      <c r="D2150">
        <v>3.3431540000000002</v>
      </c>
      <c r="E2150">
        <v>0.47843409999999897</v>
      </c>
      <c r="F2150" t="s">
        <v>41</v>
      </c>
      <c r="G2150">
        <v>-495.66039999999998</v>
      </c>
      <c r="H2150" s="1">
        <v>-4.6822919999999998E-6</v>
      </c>
      <c r="I2150">
        <v>247.7955</v>
      </c>
      <c r="J2150">
        <v>-496.8682</v>
      </c>
      <c r="K2150">
        <v>1.1250719999999901</v>
      </c>
      <c r="L2150">
        <v>263.66800000000001</v>
      </c>
      <c r="M2150">
        <v>-5.6933459999999998E-2</v>
      </c>
      <c r="N2150">
        <v>0</v>
      </c>
      <c r="O2150">
        <v>-0.99818640000000003</v>
      </c>
      <c r="P2150">
        <v>1.7497249999999999E-2</v>
      </c>
      <c r="Q2150">
        <v>0.15392429999999999</v>
      </c>
      <c r="R2150">
        <v>-0.98792780000000002</v>
      </c>
      <c r="S2150">
        <v>0.22702030000000001</v>
      </c>
      <c r="T2150">
        <v>-0.2132472</v>
      </c>
      <c r="U2150">
        <v>-3.0679020000000001</v>
      </c>
      <c r="V2150">
        <v>-8.0047090000000001E-2</v>
      </c>
      <c r="W2150">
        <v>0.17034150000000001</v>
      </c>
      <c r="X2150">
        <v>0.98212840000000001</v>
      </c>
      <c r="Y2150">
        <v>-0.1302905</v>
      </c>
      <c r="Z2150">
        <v>6.8783780000000003E-2</v>
      </c>
      <c r="AA2150">
        <v>0.98908700000000005</v>
      </c>
      <c r="AB2150">
        <v>33</v>
      </c>
      <c r="AC2150">
        <v>1.20780000000002</v>
      </c>
      <c r="AD2150">
        <v>-1.12507668229199</v>
      </c>
      <c r="AE2150">
        <v>-15.8725</v>
      </c>
      <c r="AF2150">
        <v>-2.0992031263415498</v>
      </c>
      <c r="AG2150">
        <v>-1.12507668229199</v>
      </c>
      <c r="AH2150">
        <v>15.6995424136124</v>
      </c>
      <c r="AI2150">
        <v>94.062945110170006</v>
      </c>
      <c r="AJ2150">
        <v>97.615908828110904</v>
      </c>
      <c r="AK2150">
        <v>15.879171367029601</v>
      </c>
      <c r="AL2150">
        <v>80.192324613530999</v>
      </c>
      <c r="AM2150">
        <v>94.659518247400001</v>
      </c>
      <c r="AN2150">
        <v>0.99999997866313795</v>
      </c>
    </row>
    <row r="2151" spans="1:40" x14ac:dyDescent="0.25">
      <c r="A2151" t="str">
        <f>"20190312172659378"</f>
        <v>20190312172659378</v>
      </c>
      <c r="B2151" t="str">
        <f>"1552382819370447"</f>
        <v>1552382819370447</v>
      </c>
      <c r="C2151" t="s">
        <v>40</v>
      </c>
      <c r="D2151">
        <v>3.3280259999999999</v>
      </c>
      <c r="E2151">
        <v>0.4851839</v>
      </c>
      <c r="F2151" t="s">
        <v>41</v>
      </c>
      <c r="G2151">
        <v>-495.53410000000002</v>
      </c>
      <c r="H2151" s="1">
        <v>-4.5323459999999998E-6</v>
      </c>
      <c r="I2151">
        <v>247.42070000000001</v>
      </c>
      <c r="J2151">
        <v>-496.87310000000002</v>
      </c>
      <c r="K2151">
        <v>1.12486</v>
      </c>
      <c r="L2151">
        <v>263.3494</v>
      </c>
      <c r="M2151">
        <v>-4.0921829999999999E-2</v>
      </c>
      <c r="N2151">
        <v>0</v>
      </c>
      <c r="O2151">
        <v>-0.99897329999999995</v>
      </c>
      <c r="P2151">
        <v>2.8085479999999999E-2</v>
      </c>
      <c r="Q2151">
        <v>0.15436079999999999</v>
      </c>
      <c r="R2151">
        <v>-0.98761549999999998</v>
      </c>
      <c r="S2151">
        <v>0.25170900000000002</v>
      </c>
      <c r="T2151">
        <v>-0.2122608</v>
      </c>
      <c r="U2151">
        <v>-3.065277</v>
      </c>
      <c r="V2151">
        <v>-7.4733069999999999E-2</v>
      </c>
      <c r="W2151">
        <v>0.1709002</v>
      </c>
      <c r="X2151">
        <v>0.98245009999999999</v>
      </c>
      <c r="Y2151">
        <v>-0.12237099999999999</v>
      </c>
      <c r="Z2151">
        <v>6.8619959999999994E-2</v>
      </c>
      <c r="AA2151">
        <v>0.99010940000000003</v>
      </c>
      <c r="AB2151">
        <v>33</v>
      </c>
      <c r="AC2151">
        <v>1.33899999999999</v>
      </c>
      <c r="AD2151">
        <v>-1.124864532346</v>
      </c>
      <c r="AE2151">
        <v>-15.9286999999999</v>
      </c>
      <c r="AF2151">
        <v>-1.9800275475742699</v>
      </c>
      <c r="AG2151">
        <v>-1.124864532346</v>
      </c>
      <c r="AH2151">
        <v>15.7823930206693</v>
      </c>
      <c r="AI2151">
        <v>94.045166065169695</v>
      </c>
      <c r="AJ2151">
        <v>97.150852943097206</v>
      </c>
      <c r="AK2151">
        <v>15.945838289790601</v>
      </c>
      <c r="AL2151">
        <v>80.159837842053904</v>
      </c>
      <c r="AM2151">
        <v>94.350001308086306</v>
      </c>
      <c r="AN2151">
        <v>1.0000000545508301</v>
      </c>
    </row>
    <row r="2152" spans="1:40" x14ac:dyDescent="0.25">
      <c r="A2152" t="str">
        <f>"20190312172659400"</f>
        <v>20190312172659400</v>
      </c>
      <c r="B2152" t="str">
        <f>"1552382819390946"</f>
        <v>1552382819390946</v>
      </c>
      <c r="C2152" t="s">
        <v>40</v>
      </c>
      <c r="D2152">
        <v>3.3361519999999998</v>
      </c>
      <c r="E2152">
        <v>0.48726720000000001</v>
      </c>
      <c r="F2152" t="s">
        <v>41</v>
      </c>
      <c r="G2152">
        <v>-495.53570000000002</v>
      </c>
      <c r="H2152" s="1">
        <v>-3.8780239999999998E-6</v>
      </c>
      <c r="I2152">
        <v>245.49709999999999</v>
      </c>
      <c r="J2152">
        <v>-496.87299999999999</v>
      </c>
      <c r="K2152">
        <v>1.1246259999999999</v>
      </c>
      <c r="L2152">
        <v>263.02800000000002</v>
      </c>
      <c r="M2152">
        <v>-2.498657E-2</v>
      </c>
      <c r="N2152">
        <v>0</v>
      </c>
      <c r="O2152">
        <v>-0.99950119999999998</v>
      </c>
      <c r="P2152">
        <v>3.8674149999999997E-2</v>
      </c>
      <c r="Q2152">
        <v>0.1547442</v>
      </c>
      <c r="R2152">
        <v>-0.98719760000000001</v>
      </c>
      <c r="S2152">
        <v>0.2293396</v>
      </c>
      <c r="T2152">
        <v>-0.1928887</v>
      </c>
      <c r="U2152">
        <v>-3.0612789999999999</v>
      </c>
      <c r="V2152">
        <v>-6.9497439999999994E-2</v>
      </c>
      <c r="W2152">
        <v>0.17139019999999999</v>
      </c>
      <c r="X2152">
        <v>0.98274899999999998</v>
      </c>
      <c r="Y2152">
        <v>-9.945822E-2</v>
      </c>
      <c r="Z2152">
        <v>6.2611689999999998E-2</v>
      </c>
      <c r="AA2152">
        <v>0.99306989999999995</v>
      </c>
      <c r="AB2152">
        <v>33</v>
      </c>
      <c r="AC2152">
        <v>1.3373000000000199</v>
      </c>
      <c r="AD2152">
        <v>-1.1246298780239901</v>
      </c>
      <c r="AE2152">
        <v>-17.530899999999999</v>
      </c>
      <c r="AF2152">
        <v>-1.7677681398754801</v>
      </c>
      <c r="AG2152">
        <v>-1.1246298780239901</v>
      </c>
      <c r="AH2152">
        <v>17.420725527616899</v>
      </c>
      <c r="AI2152">
        <v>93.674898368860795</v>
      </c>
      <c r="AJ2152">
        <v>95.794255444729799</v>
      </c>
      <c r="AK2152">
        <v>17.546266681760699</v>
      </c>
      <c r="AL2152">
        <v>80.1313423995515</v>
      </c>
      <c r="AM2152">
        <v>94.045073634687498</v>
      </c>
      <c r="AN2152">
        <v>1.0000000459117899</v>
      </c>
    </row>
    <row r="2153" spans="1:40" x14ac:dyDescent="0.25">
      <c r="A2153" t="str">
        <f>"20190312172659422"</f>
        <v>20190312172659422</v>
      </c>
      <c r="B2153" t="str">
        <f>"1552382819410462"</f>
        <v>1552382819410462</v>
      </c>
      <c r="C2153" t="s">
        <v>40</v>
      </c>
      <c r="D2153">
        <v>3.3561019999999901</v>
      </c>
      <c r="E2153">
        <v>0.48896689999999998</v>
      </c>
      <c r="F2153" t="s">
        <v>41</v>
      </c>
      <c r="G2153">
        <v>-495.47089999999997</v>
      </c>
      <c r="H2153" s="1">
        <v>-3.8512359999999998E-6</v>
      </c>
      <c r="I2153">
        <v>245.4521</v>
      </c>
      <c r="J2153">
        <v>-496.8682</v>
      </c>
      <c r="K2153">
        <v>1.124376</v>
      </c>
      <c r="L2153">
        <v>262.71960000000001</v>
      </c>
      <c r="M2153">
        <v>-9.9638639999999994E-3</v>
      </c>
      <c r="N2153">
        <v>0</v>
      </c>
      <c r="O2153">
        <v>-0.9997663</v>
      </c>
      <c r="P2153">
        <v>4.7394859999999997E-2</v>
      </c>
      <c r="Q2153">
        <v>0.15455769999999999</v>
      </c>
      <c r="R2153">
        <v>-0.98684629999999995</v>
      </c>
      <c r="S2153">
        <v>0.2441101</v>
      </c>
      <c r="T2153">
        <v>-0.19580449999999999</v>
      </c>
      <c r="U2153">
        <v>-3.0600589999999999</v>
      </c>
      <c r="V2153">
        <v>-6.3281909999999997E-2</v>
      </c>
      <c r="W2153">
        <v>0.171342299999999</v>
      </c>
      <c r="X2153">
        <v>0.98317710000000003</v>
      </c>
      <c r="Y2153">
        <v>-8.9289439999999998E-2</v>
      </c>
      <c r="Z2153">
        <v>6.3623620000000006E-2</v>
      </c>
      <c r="AA2153">
        <v>0.99397150000000001</v>
      </c>
      <c r="AB2153">
        <v>33</v>
      </c>
      <c r="AC2153">
        <v>1.39730000000002</v>
      </c>
      <c r="AD2153">
        <v>-1.1243798512359999</v>
      </c>
      <c r="AE2153">
        <v>-17.267499999999998</v>
      </c>
      <c r="AF2153">
        <v>-1.56273041404556</v>
      </c>
      <c r="AG2153">
        <v>-1.1243798512359999</v>
      </c>
      <c r="AH2153">
        <v>17.1803464537028</v>
      </c>
      <c r="AI2153">
        <v>93.729071413972306</v>
      </c>
      <c r="AJ2153">
        <v>95.197342040047104</v>
      </c>
      <c r="AK2153">
        <v>17.2878761178494</v>
      </c>
      <c r="AL2153">
        <v>80.134127586609196</v>
      </c>
      <c r="AM2153">
        <v>93.682746254981296</v>
      </c>
      <c r="AN2153">
        <v>0.99999999693347397</v>
      </c>
    </row>
    <row r="2154" spans="1:40" x14ac:dyDescent="0.25">
      <c r="A2154" t="str">
        <f>"20190312172659445"</f>
        <v>20190312172659445</v>
      </c>
      <c r="B2154" t="str">
        <f>"1552382819441226"</f>
        <v>1552382819441226</v>
      </c>
      <c r="C2154" t="s">
        <v>40</v>
      </c>
      <c r="D2154">
        <v>3.3686950000000002</v>
      </c>
      <c r="E2154">
        <v>0.4968109</v>
      </c>
      <c r="F2154" t="s">
        <v>41</v>
      </c>
      <c r="G2154">
        <v>-495.43329999999997</v>
      </c>
      <c r="H2154" s="1">
        <v>-3.9036339999999999E-6</v>
      </c>
      <c r="I2154">
        <v>245.62569999999999</v>
      </c>
      <c r="J2154">
        <v>-496.85849999999999</v>
      </c>
      <c r="K2154">
        <v>1.124091</v>
      </c>
      <c r="L2154">
        <v>262.40289999999999</v>
      </c>
      <c r="M2154">
        <v>5.1786080000000003E-3</v>
      </c>
      <c r="N2154">
        <v>0</v>
      </c>
      <c r="O2154">
        <v>-0.99980519999999995</v>
      </c>
      <c r="P2154">
        <v>5.4948520000000001E-2</v>
      </c>
      <c r="Q2154">
        <v>0.15405579999999999</v>
      </c>
      <c r="R2154">
        <v>-0.98653279999999999</v>
      </c>
      <c r="S2154">
        <v>0.25677489999999997</v>
      </c>
      <c r="T2154">
        <v>-0.20121939999999999</v>
      </c>
      <c r="U2154">
        <v>-3.0591430000000002</v>
      </c>
      <c r="V2154">
        <v>-5.5757519999999998E-2</v>
      </c>
      <c r="W2154">
        <v>0.17100870000000001</v>
      </c>
      <c r="X2154">
        <v>0.98369059999999997</v>
      </c>
      <c r="Y2154">
        <v>-7.8301060000000006E-2</v>
      </c>
      <c r="Z2154">
        <v>6.5417980000000001E-2</v>
      </c>
      <c r="AA2154">
        <v>0.99478109999999997</v>
      </c>
      <c r="AB2154">
        <v>33</v>
      </c>
      <c r="AC2154">
        <v>1.42520000000001</v>
      </c>
      <c r="AD2154">
        <v>-1.124094903634</v>
      </c>
      <c r="AE2154">
        <v>-16.777199999999901</v>
      </c>
      <c r="AF2154">
        <v>-1.33234429715687</v>
      </c>
      <c r="AG2154">
        <v>-1.124094903634</v>
      </c>
      <c r="AH2154">
        <v>16.709880625464201</v>
      </c>
      <c r="AI2154">
        <v>93.836422257998294</v>
      </c>
      <c r="AJ2154">
        <v>94.558772669447194</v>
      </c>
      <c r="AK2154">
        <v>16.800560740517199</v>
      </c>
      <c r="AL2154">
        <v>80.153528188829199</v>
      </c>
      <c r="AM2154">
        <v>93.244166229274498</v>
      </c>
      <c r="AN2154">
        <v>1.0000000365202899</v>
      </c>
    </row>
    <row r="2155" spans="1:40" x14ac:dyDescent="0.25">
      <c r="A2155" t="str">
        <f>"20190312172659466"</f>
        <v>20190312172659466</v>
      </c>
      <c r="B2155" t="str">
        <f>"1552382819460746"</f>
        <v>1552382819460746</v>
      </c>
      <c r="C2155" t="s">
        <v>40</v>
      </c>
      <c r="D2155">
        <v>3.3305630000000002</v>
      </c>
      <c r="E2155">
        <v>0.48508400000000002</v>
      </c>
      <c r="F2155" t="s">
        <v>41</v>
      </c>
      <c r="G2155">
        <v>-495.7749</v>
      </c>
      <c r="H2155" s="1">
        <v>-4.4710900000000004E-6</v>
      </c>
      <c r="I2155">
        <v>247.11510000000001</v>
      </c>
      <c r="J2155">
        <v>-496.84440000000001</v>
      </c>
      <c r="K2155">
        <v>1.1237710000000001</v>
      </c>
      <c r="L2155">
        <v>262.08909999999997</v>
      </c>
      <c r="M2155">
        <v>1.983532E-2</v>
      </c>
      <c r="N2155">
        <v>0</v>
      </c>
      <c r="O2155">
        <v>-0.99962459999999997</v>
      </c>
      <c r="P2155">
        <v>6.1578750000000002E-2</v>
      </c>
      <c r="Q2155">
        <v>0.15351689999999901</v>
      </c>
      <c r="R2155">
        <v>-0.98622540000000003</v>
      </c>
      <c r="S2155">
        <v>0.21719359999999999</v>
      </c>
      <c r="T2155">
        <v>-0.22529750000000001</v>
      </c>
      <c r="U2155">
        <v>-3.0640559999999999</v>
      </c>
      <c r="V2155">
        <v>-4.7772189999999999E-2</v>
      </c>
      <c r="W2155">
        <v>0.1706376</v>
      </c>
      <c r="X2155">
        <v>0.98417509999999997</v>
      </c>
      <c r="Y2155">
        <v>-5.0714250000000002E-2</v>
      </c>
      <c r="Z2155">
        <v>7.3171139999999996E-2</v>
      </c>
      <c r="AA2155">
        <v>0.9960291</v>
      </c>
      <c r="AB2155">
        <v>32</v>
      </c>
      <c r="AC2155">
        <v>1.0694999999999999</v>
      </c>
      <c r="AD2155">
        <v>-1.1237754710900001</v>
      </c>
      <c r="AE2155">
        <v>-14.973999999999901</v>
      </c>
      <c r="AF2155">
        <v>-0.76791919074188097</v>
      </c>
      <c r="AG2155">
        <v>-1.1237754710900001</v>
      </c>
      <c r="AH2155">
        <v>14.908726854453301</v>
      </c>
      <c r="AI2155">
        <v>94.304948410403298</v>
      </c>
      <c r="AJ2155">
        <v>92.948587118605204</v>
      </c>
      <c r="AK2155">
        <v>14.970728359489801</v>
      </c>
      <c r="AL2155">
        <v>80.175107474230003</v>
      </c>
      <c r="AM2155">
        <v>92.778975182486604</v>
      </c>
      <c r="AN2155">
        <v>1.00000000006558</v>
      </c>
    </row>
    <row r="2156" spans="1:40" x14ac:dyDescent="0.25">
      <c r="A2156" t="str">
        <f>"20190312172659491"</f>
        <v>20190312172659491</v>
      </c>
      <c r="B2156" t="str">
        <f>"1552382819481242"</f>
        <v>1552382819481242</v>
      </c>
      <c r="C2156" t="s">
        <v>40</v>
      </c>
      <c r="D2156">
        <v>3.3135840000000001</v>
      </c>
      <c r="E2156">
        <v>0.48451040000000001</v>
      </c>
      <c r="F2156" t="s">
        <v>41</v>
      </c>
      <c r="G2156">
        <v>-494.81299999999999</v>
      </c>
      <c r="H2156" s="1">
        <v>-2.858989E-6</v>
      </c>
      <c r="I2156">
        <v>243.26830000000001</v>
      </c>
      <c r="J2156">
        <v>-496.82400000000001</v>
      </c>
      <c r="K2156">
        <v>1.1233900000000001</v>
      </c>
      <c r="L2156">
        <v>261.75119999999998</v>
      </c>
      <c r="M2156">
        <v>3.514577E-2</v>
      </c>
      <c r="N2156">
        <v>0</v>
      </c>
      <c r="O2156">
        <v>-0.9992067</v>
      </c>
      <c r="P2156">
        <v>6.9051370000000001E-2</v>
      </c>
      <c r="Q2156">
        <v>0.15310270000000001</v>
      </c>
      <c r="R2156">
        <v>-0.98579479999999997</v>
      </c>
      <c r="S2156">
        <v>0.32916260000000003</v>
      </c>
      <c r="T2156">
        <v>-0.1820939</v>
      </c>
      <c r="U2156">
        <v>-3.0496829999999999</v>
      </c>
      <c r="V2156">
        <v>-3.9952910000000001E-2</v>
      </c>
      <c r="W2156">
        <v>0.17036080000000001</v>
      </c>
      <c r="X2156">
        <v>0.98457150000000004</v>
      </c>
      <c r="Y2156">
        <v>-7.2105999999999906E-2</v>
      </c>
      <c r="Z2156">
        <v>5.9298719999999999E-2</v>
      </c>
      <c r="AA2156">
        <v>0.99563259999999998</v>
      </c>
      <c r="AB2156">
        <v>32</v>
      </c>
      <c r="AC2156">
        <v>2.0109999999999602</v>
      </c>
      <c r="AD2156">
        <v>-1.1233928589890001</v>
      </c>
      <c r="AE2156">
        <v>-18.482899999999901</v>
      </c>
      <c r="AF2156">
        <v>-1.35509998516786</v>
      </c>
      <c r="AG2156">
        <v>-1.1233928589890001</v>
      </c>
      <c r="AH2156">
        <v>18.474716513221001</v>
      </c>
      <c r="AI2156">
        <v>93.470402264300006</v>
      </c>
      <c r="AJ2156">
        <v>94.195069461598905</v>
      </c>
      <c r="AK2156">
        <v>18.558379717241198</v>
      </c>
      <c r="AL2156">
        <v>80.191202988886701</v>
      </c>
      <c r="AM2156">
        <v>92.323729553654104</v>
      </c>
      <c r="AN2156">
        <v>1.0000000379031699</v>
      </c>
    </row>
    <row r="2157" spans="1:40" x14ac:dyDescent="0.25">
      <c r="A2157" t="str">
        <f>"20190312172659512"</f>
        <v>20190312172659512</v>
      </c>
      <c r="B2157" t="str">
        <f>"1552382819500762"</f>
        <v>1552382819500762</v>
      </c>
      <c r="C2157" t="s">
        <v>40</v>
      </c>
      <c r="D2157">
        <v>3.3393920000000001</v>
      </c>
      <c r="E2157">
        <v>0.48518050000000001</v>
      </c>
      <c r="F2157" t="s">
        <v>41</v>
      </c>
      <c r="G2157">
        <v>-494.62490000000003</v>
      </c>
      <c r="H2157" s="1">
        <v>-2.670091E-6</v>
      </c>
      <c r="I2157">
        <v>242.94460000000001</v>
      </c>
      <c r="J2157">
        <v>-496.80090000000001</v>
      </c>
      <c r="K2157">
        <v>1.123008</v>
      </c>
      <c r="L2157">
        <v>261.4409</v>
      </c>
      <c r="M2157">
        <v>4.8743149999999999E-2</v>
      </c>
      <c r="N2157">
        <v>0</v>
      </c>
      <c r="O2157">
        <v>-0.99863849999999998</v>
      </c>
      <c r="P2157">
        <v>7.5360769999999994E-2</v>
      </c>
      <c r="Q2157">
        <v>0.1519375</v>
      </c>
      <c r="R2157">
        <v>-0.98551290000000003</v>
      </c>
      <c r="S2157">
        <v>0.35623169999999998</v>
      </c>
      <c r="T2157">
        <v>-0.18198239999999999</v>
      </c>
      <c r="U2157">
        <v>-3.0465390000000001</v>
      </c>
      <c r="V2157">
        <v>-3.2621259999999999E-2</v>
      </c>
      <c r="W2157">
        <v>0.1693152</v>
      </c>
      <c r="X2157">
        <v>0.98502190000000001</v>
      </c>
      <c r="Y2157">
        <v>-6.7374729999999994E-2</v>
      </c>
      <c r="Z2157">
        <v>5.9252939999999997E-2</v>
      </c>
      <c r="AA2157">
        <v>0.99596669999999998</v>
      </c>
      <c r="AB2157">
        <v>32</v>
      </c>
      <c r="AC2157">
        <v>2.1759999999999802</v>
      </c>
      <c r="AD2157">
        <v>-1.1230106700910001</v>
      </c>
      <c r="AE2157">
        <v>-18.496299999999898</v>
      </c>
      <c r="AF2157">
        <v>-1.26708183777655</v>
      </c>
      <c r="AG2157">
        <v>-1.1230106700910001</v>
      </c>
      <c r="AH2157">
        <v>18.513075859672</v>
      </c>
      <c r="AI2157">
        <v>93.463249207131199</v>
      </c>
      <c r="AJ2157">
        <v>93.915362316068496</v>
      </c>
      <c r="AK2157">
        <v>18.590336929026599</v>
      </c>
      <c r="AL2157">
        <v>80.251993905833004</v>
      </c>
      <c r="AM2157">
        <v>91.8967879486719</v>
      </c>
      <c r="AN2157">
        <v>0.99999996351731801</v>
      </c>
    </row>
    <row r="2158" spans="1:40" x14ac:dyDescent="0.25">
      <c r="A2158" t="str">
        <f>"20190312172659535"</f>
        <v>20190312172659535</v>
      </c>
      <c r="B2158" t="str">
        <f>"1552382819530549"</f>
        <v>1552382819530549</v>
      </c>
      <c r="C2158" t="s">
        <v>40</v>
      </c>
      <c r="D2158">
        <v>3.3732549999999999</v>
      </c>
      <c r="E2158">
        <v>0.48604849999999999</v>
      </c>
      <c r="F2158" t="s">
        <v>41</v>
      </c>
      <c r="G2158">
        <v>-494.56130000000002</v>
      </c>
      <c r="H2158" s="1">
        <v>-2.6779689999999998E-6</v>
      </c>
      <c r="I2158">
        <v>243.0025</v>
      </c>
      <c r="J2158">
        <v>-496.77260000000001</v>
      </c>
      <c r="K2158">
        <v>1.1225969999999901</v>
      </c>
      <c r="L2158">
        <v>261.11770000000001</v>
      </c>
      <c r="M2158">
        <v>6.2462959999999998E-2</v>
      </c>
      <c r="N2158">
        <v>0</v>
      </c>
      <c r="O2158">
        <v>-0.99787740000000003</v>
      </c>
      <c r="P2158">
        <v>8.1036670000000005E-2</v>
      </c>
      <c r="Q2158">
        <v>0.15102960000000001</v>
      </c>
      <c r="R2158">
        <v>-0.98520220000000003</v>
      </c>
      <c r="S2158">
        <v>0.36978149999999999</v>
      </c>
      <c r="T2158">
        <v>-0.1854228</v>
      </c>
      <c r="U2158">
        <v>-3.044403</v>
      </c>
      <c r="V2158">
        <v>-2.452182E-2</v>
      </c>
      <c r="W2158">
        <v>0.16853319999999999</v>
      </c>
      <c r="X2158">
        <v>0.98539089999999996</v>
      </c>
      <c r="Y2158">
        <v>-5.8103200000000001E-2</v>
      </c>
      <c r="Z2158">
        <v>6.0343599999999997E-2</v>
      </c>
      <c r="AA2158">
        <v>0.99648519999999896</v>
      </c>
      <c r="AB2158">
        <v>32</v>
      </c>
      <c r="AC2158">
        <v>2.2112999999999898</v>
      </c>
      <c r="AD2158">
        <v>-1.122599677969</v>
      </c>
      <c r="AE2158">
        <v>-18.115200000000002</v>
      </c>
      <c r="AF2158">
        <v>-1.0712062525881001</v>
      </c>
      <c r="AG2158">
        <v>-1.122599677969</v>
      </c>
      <c r="AH2158">
        <v>18.149286755923601</v>
      </c>
      <c r="AI2158">
        <v>93.5333106799239</v>
      </c>
      <c r="AJ2158">
        <v>93.377789856673004</v>
      </c>
      <c r="AK2158">
        <v>18.215496771191901</v>
      </c>
      <c r="AL2158">
        <v>80.2974527753926</v>
      </c>
      <c r="AM2158">
        <v>91.425532618636595</v>
      </c>
      <c r="AN2158">
        <v>0.99999999248058102</v>
      </c>
    </row>
    <row r="2159" spans="1:40" x14ac:dyDescent="0.25">
      <c r="A2159" t="str">
        <f>"20190312172659556"</f>
        <v>20190312172659556</v>
      </c>
      <c r="B2159" t="str">
        <f>"1552382819551045"</f>
        <v>1552382819551045</v>
      </c>
      <c r="C2159" t="s">
        <v>40</v>
      </c>
      <c r="D2159">
        <v>3.3632689999999998</v>
      </c>
      <c r="E2159">
        <v>0.48671320000000001</v>
      </c>
      <c r="F2159" t="s">
        <v>41</v>
      </c>
      <c r="G2159">
        <v>-494.39780000000002</v>
      </c>
      <c r="H2159" s="1">
        <v>-2.2488610000000002E-6</v>
      </c>
      <c r="I2159">
        <v>242.1036</v>
      </c>
      <c r="J2159">
        <v>-496.74279999999999</v>
      </c>
      <c r="K2159">
        <v>1.122196</v>
      </c>
      <c r="L2159">
        <v>260.81959999999998</v>
      </c>
      <c r="M2159">
        <v>7.4661000000000005E-2</v>
      </c>
      <c r="N2159">
        <v>0</v>
      </c>
      <c r="O2159">
        <v>-0.99704159999999997</v>
      </c>
      <c r="P2159">
        <v>8.4262630000000005E-2</v>
      </c>
      <c r="Q2159">
        <v>0.1498042</v>
      </c>
      <c r="R2159">
        <v>-0.98511879999999996</v>
      </c>
      <c r="S2159">
        <v>0.37985229999999998</v>
      </c>
      <c r="T2159">
        <v>-0.17956240000000001</v>
      </c>
      <c r="U2159">
        <v>-3.0413510000000001</v>
      </c>
      <c r="V2159">
        <v>-1.545244E-2</v>
      </c>
      <c r="W2159">
        <v>0.16746240000000001</v>
      </c>
      <c r="X2159">
        <v>0.98575740000000001</v>
      </c>
      <c r="Y2159">
        <v>-4.9276970000000003E-2</v>
      </c>
      <c r="Z2159">
        <v>5.8429660000000001E-2</v>
      </c>
      <c r="AA2159">
        <v>0.99707460000000003</v>
      </c>
      <c r="AB2159">
        <v>32</v>
      </c>
      <c r="AC2159">
        <v>2.34499999999997</v>
      </c>
      <c r="AD2159">
        <v>-1.1221982488609901</v>
      </c>
      <c r="AE2159">
        <v>-18.715999999999902</v>
      </c>
      <c r="AF2159">
        <v>-0.93754581938903103</v>
      </c>
      <c r="AG2159">
        <v>-1.1221982488609901</v>
      </c>
      <c r="AH2159">
        <v>18.7724090240172</v>
      </c>
      <c r="AI2159">
        <v>93.416772149106905</v>
      </c>
      <c r="AJ2159">
        <v>92.859133483164001</v>
      </c>
      <c r="AK2159">
        <v>18.829276715747799</v>
      </c>
      <c r="AL2159">
        <v>80.359690136163707</v>
      </c>
      <c r="AM2159">
        <v>90.898078053237199</v>
      </c>
      <c r="AN2159">
        <v>1.00000004248523</v>
      </c>
    </row>
    <row r="2160" spans="1:40" x14ac:dyDescent="0.25">
      <c r="A2160" t="str">
        <f>"20190312172659579"</f>
        <v>20190312172659579</v>
      </c>
      <c r="B2160" t="str">
        <f>"1552382819571541"</f>
        <v>1552382819571541</v>
      </c>
      <c r="C2160" t="s">
        <v>40</v>
      </c>
      <c r="D2160">
        <v>3.3687260000000001</v>
      </c>
      <c r="E2160">
        <v>0.48703410000000003</v>
      </c>
      <c r="F2160" t="s">
        <v>41</v>
      </c>
      <c r="G2160">
        <v>-494.32190000000003</v>
      </c>
      <c r="H2160" s="1">
        <v>-2.0340299999999999E-6</v>
      </c>
      <c r="I2160">
        <v>241.6499</v>
      </c>
      <c r="J2160">
        <v>-496.7072</v>
      </c>
      <c r="K2160">
        <v>1.121731</v>
      </c>
      <c r="L2160">
        <v>260.50099999999998</v>
      </c>
      <c r="M2160">
        <v>8.7139069999999999E-2</v>
      </c>
      <c r="N2160">
        <v>0</v>
      </c>
      <c r="O2160">
        <v>-0.99603149999999996</v>
      </c>
      <c r="P2160">
        <v>9.189129E-2</v>
      </c>
      <c r="Q2160">
        <v>0.149454799999999</v>
      </c>
      <c r="R2160">
        <v>-0.98448959999999996</v>
      </c>
      <c r="S2160">
        <v>0.38385010000000003</v>
      </c>
      <c r="T2160">
        <v>-0.1779355</v>
      </c>
      <c r="U2160">
        <v>-3.0395509999999999</v>
      </c>
      <c r="V2160">
        <v>-1.0518349999999999E-2</v>
      </c>
      <c r="W2160">
        <v>0.16711400000000001</v>
      </c>
      <c r="X2160">
        <v>0.98588140000000002</v>
      </c>
      <c r="Y2160">
        <v>-3.8136070000000001E-2</v>
      </c>
      <c r="Z2160">
        <v>5.78573E-2</v>
      </c>
      <c r="AA2160">
        <v>0.99759620000000004</v>
      </c>
      <c r="AB2160">
        <v>32</v>
      </c>
      <c r="AC2160">
        <v>2.3852999999999702</v>
      </c>
      <c r="AD2160">
        <v>-1.12173303403</v>
      </c>
      <c r="AE2160">
        <v>-18.851099999999899</v>
      </c>
      <c r="AF2160">
        <v>-0.73074023940189703</v>
      </c>
      <c r="AG2160">
        <v>-1.12173303403</v>
      </c>
      <c r="AH2160">
        <v>18.921315246178501</v>
      </c>
      <c r="AI2160">
        <v>93.390235945613099</v>
      </c>
      <c r="AJ2160">
        <v>92.2116609842288</v>
      </c>
      <c r="AK2160">
        <v>18.9686171594659</v>
      </c>
      <c r="AL2160">
        <v>80.379936212775206</v>
      </c>
      <c r="AM2160">
        <v>90.611264395246906</v>
      </c>
      <c r="AN2160">
        <v>0.99999992977433805</v>
      </c>
    </row>
    <row r="2161" spans="1:40" x14ac:dyDescent="0.25">
      <c r="A2161" t="str">
        <f>"20190312172659601"</f>
        <v>20190312172659601</v>
      </c>
      <c r="B2161" t="str">
        <f>"1552382819591061"</f>
        <v>1552382819591061</v>
      </c>
      <c r="C2161" t="s">
        <v>40</v>
      </c>
      <c r="D2161">
        <v>3.3376190000000001</v>
      </c>
      <c r="E2161">
        <v>0.49400889999999997</v>
      </c>
      <c r="F2161" t="s">
        <v>41</v>
      </c>
      <c r="G2161">
        <v>-494.15199999999999</v>
      </c>
      <c r="H2161" s="1">
        <v>-1.829317E-6</v>
      </c>
      <c r="I2161">
        <v>241.27809999999999</v>
      </c>
      <c r="J2161">
        <v>-496.66890000000001</v>
      </c>
      <c r="K2161">
        <v>1.1212040000000001</v>
      </c>
      <c r="L2161">
        <v>260.1893</v>
      </c>
      <c r="M2161">
        <v>9.8720189999999999E-2</v>
      </c>
      <c r="N2161">
        <v>0</v>
      </c>
      <c r="O2161">
        <v>-0.99495319999999998</v>
      </c>
      <c r="P2161">
        <v>9.5330280000000003E-2</v>
      </c>
      <c r="Q2161">
        <v>0.14939140000000001</v>
      </c>
      <c r="R2161">
        <v>-0.98417220000000005</v>
      </c>
      <c r="S2161">
        <v>0.40362550000000003</v>
      </c>
      <c r="T2161">
        <v>-0.1771914</v>
      </c>
      <c r="U2161">
        <v>-3.0364990000000001</v>
      </c>
      <c r="V2161">
        <v>-2.2517539999999999E-3</v>
      </c>
      <c r="W2161">
        <v>0.16712070000000001</v>
      </c>
      <c r="X2161">
        <v>0.98593390000000003</v>
      </c>
      <c r="Y2161">
        <v>-3.302708E-2</v>
      </c>
      <c r="Z2161">
        <v>5.7561069999999999E-2</v>
      </c>
      <c r="AA2161">
        <v>0.99779549999999995</v>
      </c>
      <c r="AB2161">
        <v>32</v>
      </c>
      <c r="AC2161">
        <v>2.5169000000000201</v>
      </c>
      <c r="AD2161">
        <v>-1.121205829317</v>
      </c>
      <c r="AE2161">
        <v>-18.911200000000001</v>
      </c>
      <c r="AF2161">
        <v>-0.63518935616039396</v>
      </c>
      <c r="AG2161">
        <v>-1.121205829317</v>
      </c>
      <c r="AH2161">
        <v>19.001672726957501</v>
      </c>
      <c r="AI2161">
        <v>93.374977873760997</v>
      </c>
      <c r="AJ2161">
        <v>91.914574734306797</v>
      </c>
      <c r="AK2161">
        <v>19.045317914182299</v>
      </c>
      <c r="AL2161">
        <v>80.3795477994218</v>
      </c>
      <c r="AM2161">
        <v>90.130856415812502</v>
      </c>
      <c r="AN2161">
        <v>1.0000000269668801</v>
      </c>
    </row>
    <row r="2162" spans="1:40" x14ac:dyDescent="0.25">
      <c r="A2162" t="str">
        <f>"20190312172659625"</f>
        <v>20190312172659625</v>
      </c>
      <c r="B2162" t="str">
        <f>"1552382819620623"</f>
        <v>1552382819620623</v>
      </c>
      <c r="C2162" t="s">
        <v>40</v>
      </c>
      <c r="D2162">
        <v>3.4033549999999999</v>
      </c>
      <c r="E2162">
        <v>0.49547619999999998</v>
      </c>
      <c r="F2162" t="s">
        <v>41</v>
      </c>
      <c r="G2162">
        <v>-494.15989999999999</v>
      </c>
      <c r="H2162" s="1">
        <v>-4.781037E-6</v>
      </c>
      <c r="I2162">
        <v>238.86770000000001</v>
      </c>
      <c r="J2162">
        <v>-496.62479999999999</v>
      </c>
      <c r="K2162">
        <v>1.1205860000000001</v>
      </c>
      <c r="L2162">
        <v>259.85739999999998</v>
      </c>
      <c r="M2162">
        <v>0.110306</v>
      </c>
      <c r="N2162">
        <v>0</v>
      </c>
      <c r="O2162">
        <v>-0.99373869999999997</v>
      </c>
      <c r="P2162">
        <v>9.9565570000000006E-2</v>
      </c>
      <c r="Q2162">
        <v>0.14937909999999999</v>
      </c>
      <c r="R2162">
        <v>-0.98375429999999997</v>
      </c>
      <c r="S2162">
        <v>0.35748289999999999</v>
      </c>
      <c r="T2162">
        <v>-0.15974969999999999</v>
      </c>
      <c r="U2162">
        <v>-3.037903</v>
      </c>
      <c r="V2162">
        <v>5.271253E-3</v>
      </c>
      <c r="W2162">
        <v>0.16712109999999999</v>
      </c>
      <c r="X2162">
        <v>0.98592230000000003</v>
      </c>
      <c r="Y2162">
        <v>-6.4288499999999998E-3</v>
      </c>
      <c r="Z2162">
        <v>5.1854699999999997E-2</v>
      </c>
      <c r="AA2162">
        <v>0.99863389999999996</v>
      </c>
      <c r="AB2162">
        <v>32</v>
      </c>
      <c r="AC2162">
        <v>2.4649000000000001</v>
      </c>
      <c r="AD2162">
        <v>-1.1205907810369999</v>
      </c>
      <c r="AE2162">
        <v>-20.9896999999999</v>
      </c>
      <c r="AF2162">
        <v>-0.13382164177307301</v>
      </c>
      <c r="AG2162">
        <v>-1.1205907810369999</v>
      </c>
      <c r="AH2162">
        <v>21.0742599915828</v>
      </c>
      <c r="AI2162">
        <v>93.043685639708599</v>
      </c>
      <c r="AJ2162">
        <v>90.363823556797399</v>
      </c>
      <c r="AK2162">
        <v>21.104456072668199</v>
      </c>
      <c r="AL2162">
        <v>80.379524437058606</v>
      </c>
      <c r="AM2162">
        <v>89.693669904905207</v>
      </c>
      <c r="AN2162">
        <v>1.0000000149053401</v>
      </c>
    </row>
    <row r="2163" spans="1:40" x14ac:dyDescent="0.25">
      <c r="A2163" t="str">
        <f>"20190312172659645"</f>
        <v>20190312172659645</v>
      </c>
      <c r="B2163" t="str">
        <f>"1552382819641120"</f>
        <v>1552382819641120</v>
      </c>
      <c r="C2163" t="s">
        <v>40</v>
      </c>
      <c r="D2163">
        <v>3.3879640000000002</v>
      </c>
      <c r="E2163">
        <v>0.49595479999999997</v>
      </c>
      <c r="F2163" t="s">
        <v>41</v>
      </c>
      <c r="G2163">
        <v>-494.12139999999999</v>
      </c>
      <c r="H2163" s="1">
        <v>-4.6841660000000003E-6</v>
      </c>
      <c r="I2163">
        <v>238.60319999999999</v>
      </c>
      <c r="J2163">
        <v>-496.58539999999999</v>
      </c>
      <c r="K2163">
        <v>1.1200139999999901</v>
      </c>
      <c r="L2163">
        <v>259.58139999999997</v>
      </c>
      <c r="M2163">
        <v>0.11926829999999999</v>
      </c>
      <c r="N2163">
        <v>0</v>
      </c>
      <c r="O2163">
        <v>-0.99270590000000003</v>
      </c>
      <c r="P2163">
        <v>0.10113320000000001</v>
      </c>
      <c r="Q2163">
        <v>0.15013029999999999</v>
      </c>
      <c r="R2163">
        <v>-0.98348029999999997</v>
      </c>
      <c r="S2163">
        <v>0.3577881</v>
      </c>
      <c r="T2163">
        <v>-0.16015480000000001</v>
      </c>
      <c r="U2163">
        <v>-3.0376590000000001</v>
      </c>
      <c r="V2163">
        <v>1.2822099999999999E-2</v>
      </c>
      <c r="W2163">
        <v>0.1678827</v>
      </c>
      <c r="X2163">
        <v>0.98572360000000003</v>
      </c>
      <c r="Y2163">
        <v>2.486336E-3</v>
      </c>
      <c r="Z2163">
        <v>5.1908910000000003E-2</v>
      </c>
      <c r="AA2163">
        <v>0.99864869999999994</v>
      </c>
      <c r="AB2163">
        <v>32</v>
      </c>
      <c r="AC2163">
        <v>2.4639999999999902</v>
      </c>
      <c r="AD2163">
        <v>-1.12001868416599</v>
      </c>
      <c r="AE2163">
        <v>-20.978199999999902</v>
      </c>
      <c r="AF2163">
        <v>5.5858542945366602E-2</v>
      </c>
      <c r="AG2163">
        <v>-1.12001868416599</v>
      </c>
      <c r="AH2163">
        <v>21.063112520250002</v>
      </c>
      <c r="AI2163">
        <v>93.0437922254483</v>
      </c>
      <c r="AJ2163">
        <v>89.848054210665893</v>
      </c>
      <c r="AK2163">
        <v>21.092943632182099</v>
      </c>
      <c r="AL2163">
        <v>80.335262594938897</v>
      </c>
      <c r="AM2163">
        <v>89.254749725393694</v>
      </c>
      <c r="AN2163">
        <v>1.00000001140233</v>
      </c>
    </row>
    <row r="2164" spans="1:40" x14ac:dyDescent="0.25">
      <c r="A2164" t="str">
        <f>"20190312172659669"</f>
        <v>20190312172659669</v>
      </c>
      <c r="B2164" t="str">
        <f>"1552382819660640"</f>
        <v>1552382819660640</v>
      </c>
      <c r="C2164" t="s">
        <v>40</v>
      </c>
      <c r="D2164">
        <v>3.4026909999999999</v>
      </c>
      <c r="E2164">
        <v>0.4963825</v>
      </c>
      <c r="F2164" t="s">
        <v>41</v>
      </c>
      <c r="G2164">
        <v>-494.05180000000001</v>
      </c>
      <c r="H2164" s="1">
        <v>-4.5010690000000002E-6</v>
      </c>
      <c r="I2164">
        <v>238.10140000000001</v>
      </c>
      <c r="J2164">
        <v>-496.5376</v>
      </c>
      <c r="K2164">
        <v>1.1193059999999999</v>
      </c>
      <c r="L2164">
        <v>259.26280000000003</v>
      </c>
      <c r="M2164">
        <v>0.1288426</v>
      </c>
      <c r="N2164">
        <v>0</v>
      </c>
      <c r="O2164">
        <v>-0.9915119</v>
      </c>
      <c r="P2164">
        <v>0.1040908</v>
      </c>
      <c r="Q2164">
        <v>0.150972</v>
      </c>
      <c r="R2164">
        <v>-0.98304270000000005</v>
      </c>
      <c r="S2164">
        <v>0.35830689999999998</v>
      </c>
      <c r="T2164">
        <v>-0.15839400000000001</v>
      </c>
      <c r="U2164">
        <v>-3.0377200000000002</v>
      </c>
      <c r="V2164">
        <v>1.9648369999999998E-2</v>
      </c>
      <c r="W2164">
        <v>0.16866010000000001</v>
      </c>
      <c r="X2164">
        <v>0.98547839999999998</v>
      </c>
      <c r="Y2164">
        <v>1.1966350000000001E-2</v>
      </c>
      <c r="Z2164">
        <v>5.1243629999999998E-2</v>
      </c>
      <c r="AA2164">
        <v>0.99861449999999996</v>
      </c>
      <c r="AB2164">
        <v>32</v>
      </c>
      <c r="AC2164">
        <v>2.4857999999999798</v>
      </c>
      <c r="AD2164">
        <v>-1.1193105010690001</v>
      </c>
      <c r="AE2164">
        <v>-21.1614</v>
      </c>
      <c r="AF2164">
        <v>0.26110870170095901</v>
      </c>
      <c r="AG2164">
        <v>-1.1193105010690001</v>
      </c>
      <c r="AH2164">
        <v>21.2466584738339</v>
      </c>
      <c r="AI2164">
        <v>93.015425120065203</v>
      </c>
      <c r="AJ2164">
        <v>89.295904646198395</v>
      </c>
      <c r="AK2164">
        <v>21.277723798744201</v>
      </c>
      <c r="AL2164">
        <v>80.290076248690596</v>
      </c>
      <c r="AM2164">
        <v>88.857793799359996</v>
      </c>
      <c r="AN2164">
        <v>0.99999998232111298</v>
      </c>
    </row>
    <row r="2165" spans="1:40" x14ac:dyDescent="0.25">
      <c r="A2165" t="str">
        <f>"20190312172659690"</f>
        <v>20190312172659690</v>
      </c>
      <c r="B2165" t="str">
        <f>"1552382819681136"</f>
        <v>1552382819681136</v>
      </c>
      <c r="C2165" t="s">
        <v>40</v>
      </c>
      <c r="D2165">
        <v>3.4119869999999999</v>
      </c>
      <c r="E2165">
        <v>0.4996662</v>
      </c>
      <c r="F2165" t="s">
        <v>41</v>
      </c>
      <c r="G2165">
        <v>-493.92039999999997</v>
      </c>
      <c r="H2165" s="1">
        <v>-4.2443920000000002E-6</v>
      </c>
      <c r="I2165">
        <v>237.41560000000001</v>
      </c>
      <c r="J2165">
        <v>-496.48829999999998</v>
      </c>
      <c r="K2165">
        <v>1.1185909999999999</v>
      </c>
      <c r="L2165">
        <v>258.95139999999998</v>
      </c>
      <c r="M2165">
        <v>0.13730390000000001</v>
      </c>
      <c r="N2165">
        <v>0</v>
      </c>
      <c r="O2165">
        <v>-0.99037869999999995</v>
      </c>
      <c r="P2165">
        <v>0.1063791</v>
      </c>
      <c r="Q2165">
        <v>0.15144759999999999</v>
      </c>
      <c r="R2165">
        <v>-0.9827245</v>
      </c>
      <c r="S2165">
        <v>0.3638306</v>
      </c>
      <c r="T2165">
        <v>-0.15560379999999999</v>
      </c>
      <c r="U2165">
        <v>-3.03714</v>
      </c>
      <c r="V2165">
        <v>2.606729E-2</v>
      </c>
      <c r="W2165">
        <v>0.1690479</v>
      </c>
      <c r="X2165">
        <v>0.985263</v>
      </c>
      <c r="Y2165">
        <v>1.8684739999999998E-2</v>
      </c>
      <c r="Z2165">
        <v>5.0258339999999999E-2</v>
      </c>
      <c r="AA2165">
        <v>0.99856140000000004</v>
      </c>
      <c r="AB2165">
        <v>32</v>
      </c>
      <c r="AC2165">
        <v>2.5678999999999998</v>
      </c>
      <c r="AD2165">
        <v>-1.118595244392</v>
      </c>
      <c r="AE2165">
        <v>-21.535799999999899</v>
      </c>
      <c r="AF2165">
        <v>0.41271959890773402</v>
      </c>
      <c r="AG2165">
        <v>-1.118595244392</v>
      </c>
      <c r="AH2165">
        <v>21.6268789684087</v>
      </c>
      <c r="AI2165">
        <v>92.960301846498794</v>
      </c>
      <c r="AJ2165">
        <v>88.906720606338794</v>
      </c>
      <c r="AK2165">
        <v>21.6597203745178</v>
      </c>
      <c r="AL2165">
        <v>80.267532812476105</v>
      </c>
      <c r="AM2165">
        <v>88.484468247405701</v>
      </c>
      <c r="AN2165">
        <v>0.99999993763567496</v>
      </c>
    </row>
    <row r="2166" spans="1:40" x14ac:dyDescent="0.25">
      <c r="A2166" t="str">
        <f>"20190312172659714"</f>
        <v>20190312172659714</v>
      </c>
      <c r="B2166" t="str">
        <f>"1552382819710416"</f>
        <v>1552382819710416</v>
      </c>
      <c r="C2166" t="s">
        <v>40</v>
      </c>
      <c r="D2166">
        <v>3.2680039999999999</v>
      </c>
      <c r="E2166">
        <v>0.47499380000000002</v>
      </c>
      <c r="F2166" t="s">
        <v>41</v>
      </c>
      <c r="G2166">
        <v>-493.85829999999999</v>
      </c>
      <c r="H2166" s="1">
        <v>-3.6486839999999999E-6</v>
      </c>
      <c r="I2166">
        <v>235.7013</v>
      </c>
      <c r="J2166">
        <v>-496.435</v>
      </c>
      <c r="K2166">
        <v>1.1179129999999999</v>
      </c>
      <c r="L2166">
        <v>258.62860000000001</v>
      </c>
      <c r="M2166">
        <v>0.14535000000000001</v>
      </c>
      <c r="N2166">
        <v>0</v>
      </c>
      <c r="O2166">
        <v>-0.98923300000000003</v>
      </c>
      <c r="P2166">
        <v>0.10896699999999999</v>
      </c>
      <c r="Q2166">
        <v>0.15168219999999999</v>
      </c>
      <c r="R2166">
        <v>-0.98240459999999996</v>
      </c>
      <c r="S2166">
        <v>0.34365839999999998</v>
      </c>
      <c r="T2166">
        <v>-0.146165299999999</v>
      </c>
      <c r="U2166">
        <v>-3.038071</v>
      </c>
      <c r="V2166">
        <v>3.1776260000000001E-2</v>
      </c>
      <c r="W2166">
        <v>0.16916579999999901</v>
      </c>
      <c r="X2166">
        <v>0.98507520000000004</v>
      </c>
      <c r="Y2166">
        <v>3.3369660000000002E-2</v>
      </c>
      <c r="Z2166">
        <v>4.7129190000000001E-2</v>
      </c>
      <c r="AA2166">
        <v>0.99833119999999997</v>
      </c>
      <c r="AB2166">
        <v>32</v>
      </c>
      <c r="AC2166">
        <v>2.57670000000001</v>
      </c>
      <c r="AD2166">
        <v>-1.117916648684</v>
      </c>
      <c r="AE2166">
        <v>-22.927299999999999</v>
      </c>
      <c r="AF2166">
        <v>0.78180506220205803</v>
      </c>
      <c r="AG2166">
        <v>-1.117916648684</v>
      </c>
      <c r="AH2166">
        <v>23.004315871238401</v>
      </c>
      <c r="AI2166">
        <v>92.780551524375198</v>
      </c>
      <c r="AJ2166">
        <v>88.053543645304899</v>
      </c>
      <c r="AK2166">
        <v>23.044728366643799</v>
      </c>
      <c r="AL2166">
        <v>80.260679286913998</v>
      </c>
      <c r="AM2166">
        <v>88.152410613744294</v>
      </c>
      <c r="AN2166">
        <v>0.99999997412213304</v>
      </c>
    </row>
    <row r="2167" spans="1:40" x14ac:dyDescent="0.25">
      <c r="A2167" t="str">
        <f>"20190312172659738"</f>
        <v>20190312172659738</v>
      </c>
      <c r="B2167" t="str">
        <f>"1552382819730442"</f>
        <v>1552382819730442</v>
      </c>
      <c r="C2167" t="s">
        <v>40</v>
      </c>
      <c r="D2167">
        <v>3.2719960000000001</v>
      </c>
      <c r="E2167">
        <v>0.47387889999999999</v>
      </c>
      <c r="F2167" t="s">
        <v>41</v>
      </c>
      <c r="G2167">
        <v>-491.19409999999999</v>
      </c>
      <c r="H2167" s="1">
        <v>-3.688401E-7</v>
      </c>
      <c r="I2167">
        <v>229.70830000000001</v>
      </c>
      <c r="J2167">
        <v>-496.38060000000002</v>
      </c>
      <c r="K2167">
        <v>1.1172899999999999</v>
      </c>
      <c r="L2167">
        <v>258.31049999999999</v>
      </c>
      <c r="M2167">
        <v>0.15254110000000001</v>
      </c>
      <c r="N2167">
        <v>0</v>
      </c>
      <c r="O2167">
        <v>-0.98815249999999999</v>
      </c>
      <c r="P2167">
        <v>0.11117349999999999</v>
      </c>
      <c r="Q2167">
        <v>0.15106069999999999</v>
      </c>
      <c r="R2167">
        <v>-0.9822533</v>
      </c>
      <c r="S2167">
        <v>0.54568479999999997</v>
      </c>
      <c r="T2167">
        <v>-0.1163973</v>
      </c>
      <c r="U2167">
        <v>-3.0111849999999998</v>
      </c>
      <c r="V2167">
        <v>3.7033940000000001E-2</v>
      </c>
      <c r="W2167">
        <v>0.1684176</v>
      </c>
      <c r="X2167">
        <v>0.9850198</v>
      </c>
      <c r="Y2167">
        <v>-2.5981959999999998E-2</v>
      </c>
      <c r="Z2167">
        <v>3.7638749999999999E-2</v>
      </c>
      <c r="AA2167">
        <v>0.9989536</v>
      </c>
      <c r="AB2167">
        <v>32</v>
      </c>
      <c r="AC2167">
        <v>5.1865000000000201</v>
      </c>
      <c r="AD2167">
        <v>-1.1172903688400999</v>
      </c>
      <c r="AE2167">
        <v>-28.6021999999999</v>
      </c>
      <c r="AF2167">
        <v>-0.76102652788624703</v>
      </c>
      <c r="AG2167">
        <v>-1.1172903688400999</v>
      </c>
      <c r="AH2167">
        <v>29.015776949561801</v>
      </c>
      <c r="AI2167">
        <v>92.204401989985001</v>
      </c>
      <c r="AJ2167">
        <v>91.502410702404006</v>
      </c>
      <c r="AK2167">
        <v>29.047251352428699</v>
      </c>
      <c r="AL2167">
        <v>80.304172324529802</v>
      </c>
      <c r="AM2167">
        <v>87.846855959383802</v>
      </c>
      <c r="AN2167">
        <v>1.0000000035468599</v>
      </c>
    </row>
    <row r="2168" spans="1:40" x14ac:dyDescent="0.25">
      <c r="A2168" t="str">
        <f>"20190312172659757"</f>
        <v>20190312172659757</v>
      </c>
      <c r="B2168" t="str">
        <f>"1552382819750938"</f>
        <v>1552382819750938</v>
      </c>
      <c r="C2168" t="s">
        <v>40</v>
      </c>
      <c r="D2168">
        <v>3.2977569999999998</v>
      </c>
      <c r="E2168">
        <v>0.47357349999999998</v>
      </c>
      <c r="F2168" t="s">
        <v>47</v>
      </c>
      <c r="G2168">
        <v>-491.00380000000001</v>
      </c>
      <c r="H2168" s="1">
        <v>6.3191579999999997E-6</v>
      </c>
      <c r="I2168">
        <v>229.4564</v>
      </c>
      <c r="J2168">
        <v>-496.33179999999999</v>
      </c>
      <c r="K2168">
        <v>1.116746</v>
      </c>
      <c r="L2168">
        <v>258.03440000000001</v>
      </c>
      <c r="M2168">
        <v>0.15816129999999901</v>
      </c>
      <c r="N2168">
        <v>0</v>
      </c>
      <c r="O2168">
        <v>-0.98727120000000002</v>
      </c>
      <c r="P2168">
        <v>0.1129371</v>
      </c>
      <c r="Q2168">
        <v>0.15029429999999999</v>
      </c>
      <c r="R2168">
        <v>-0.98216970000000003</v>
      </c>
      <c r="S2168">
        <v>0.56063839999999998</v>
      </c>
      <c r="T2168">
        <v>-0.11650099999999999</v>
      </c>
      <c r="U2168">
        <v>-3.008667</v>
      </c>
      <c r="V2168">
        <v>4.1140570000000001E-2</v>
      </c>
      <c r="W2168">
        <v>0.16751830000000001</v>
      </c>
      <c r="X2168">
        <v>0.98501019999999995</v>
      </c>
      <c r="Y2168">
        <v>-2.5243330000000001E-2</v>
      </c>
      <c r="Z2168">
        <v>3.76364E-2</v>
      </c>
      <c r="AA2168">
        <v>0.99897259999999999</v>
      </c>
      <c r="AB2168">
        <v>32</v>
      </c>
      <c r="AC2168">
        <v>5.3279999999999701</v>
      </c>
      <c r="AD2168">
        <v>-1.116739680842</v>
      </c>
      <c r="AE2168">
        <v>-28.577999999999999</v>
      </c>
      <c r="AF2168">
        <v>-0.73926025969535403</v>
      </c>
      <c r="AG2168">
        <v>-1.116739680842</v>
      </c>
      <c r="AH2168">
        <v>29.018174606677999</v>
      </c>
      <c r="AI2168">
        <v>92.203177462198099</v>
      </c>
      <c r="AJ2168">
        <v>91.4593382820904</v>
      </c>
      <c r="AK2168">
        <v>29.049063164755999</v>
      </c>
      <c r="AL2168">
        <v>80.3564411005338</v>
      </c>
      <c r="AM2168">
        <v>87.608337662747005</v>
      </c>
      <c r="AN2168">
        <v>1.00000001071942</v>
      </c>
    </row>
    <row r="2169" spans="1:40" x14ac:dyDescent="0.25">
      <c r="A2169" t="str">
        <f>"20190312172659781"</f>
        <v>20190312172659781</v>
      </c>
      <c r="B2169" t="str">
        <f>"1552382819770458"</f>
        <v>1552382819770458</v>
      </c>
      <c r="C2169" t="s">
        <v>40</v>
      </c>
      <c r="D2169">
        <v>3.3208920000000002</v>
      </c>
      <c r="E2169">
        <v>0.47359400000000001</v>
      </c>
      <c r="F2169" t="s">
        <v>47</v>
      </c>
      <c r="G2169">
        <v>-490.95769999999999</v>
      </c>
      <c r="H2169" s="1">
        <v>6.3607150000000001E-6</v>
      </c>
      <c r="I2169">
        <v>229.58879999999999</v>
      </c>
      <c r="J2169">
        <v>-496.27229999999997</v>
      </c>
      <c r="K2169">
        <v>1.1160559999999999</v>
      </c>
      <c r="L2169">
        <v>257.70519999999999</v>
      </c>
      <c r="M2169">
        <v>0.16408739999999999</v>
      </c>
      <c r="N2169">
        <v>0</v>
      </c>
      <c r="O2169">
        <v>-0.98630640000000003</v>
      </c>
      <c r="P2169">
        <v>0.1160462</v>
      </c>
      <c r="Q2169">
        <v>0.14940239999999999</v>
      </c>
      <c r="R2169">
        <v>-0.98194329999999996</v>
      </c>
      <c r="S2169">
        <v>0.56814580000000003</v>
      </c>
      <c r="T2169">
        <v>-0.118059</v>
      </c>
      <c r="U2169">
        <v>-3.0072019999999999</v>
      </c>
      <c r="V2169">
        <v>4.4266069999999998E-2</v>
      </c>
      <c r="W2169">
        <v>0.1664281</v>
      </c>
      <c r="X2169">
        <v>0.98505949999999998</v>
      </c>
      <c r="Y2169">
        <v>-2.173344E-2</v>
      </c>
      <c r="Z2169">
        <v>3.8094200000000002E-2</v>
      </c>
      <c r="AA2169">
        <v>0.99903779999999998</v>
      </c>
      <c r="AB2169">
        <v>32</v>
      </c>
      <c r="AC2169">
        <v>5.31459999999998</v>
      </c>
      <c r="AD2169">
        <v>-1.1160496392849999</v>
      </c>
      <c r="AE2169">
        <v>-28.116399999999999</v>
      </c>
      <c r="AF2169">
        <v>-0.62740898152977298</v>
      </c>
      <c r="AG2169">
        <v>-1.1160496392849999</v>
      </c>
      <c r="AH2169">
        <v>28.563925140875</v>
      </c>
      <c r="AI2169">
        <v>92.236983436564699</v>
      </c>
      <c r="AJ2169">
        <v>91.258304206040904</v>
      </c>
      <c r="AK2169">
        <v>28.592604433331399</v>
      </c>
      <c r="AL2169">
        <v>80.419794324398794</v>
      </c>
      <c r="AM2169">
        <v>87.427004325410707</v>
      </c>
      <c r="AN2169">
        <v>1.0000000079815501</v>
      </c>
    </row>
    <row r="2170" spans="1:40" x14ac:dyDescent="0.25">
      <c r="A2170" t="str">
        <f>"20190312172659802"</f>
        <v>20190312172659802</v>
      </c>
      <c r="B2170" t="str">
        <f>"1552382819790957"</f>
        <v>1552382819790957</v>
      </c>
      <c r="C2170" t="s">
        <v>40</v>
      </c>
      <c r="D2170">
        <v>3.3626640000000001</v>
      </c>
      <c r="E2170">
        <v>0.47400599999999998</v>
      </c>
      <c r="F2170" t="s">
        <v>41</v>
      </c>
      <c r="G2170">
        <v>-490.90269999999998</v>
      </c>
      <c r="H2170" s="1">
        <v>-2.9692500000000002E-7</v>
      </c>
      <c r="I2170">
        <v>229.72139999999999</v>
      </c>
      <c r="J2170">
        <v>-496.2183</v>
      </c>
      <c r="K2170">
        <v>1.115407</v>
      </c>
      <c r="L2170">
        <v>257.41250000000002</v>
      </c>
      <c r="M2170">
        <v>0.16865949999999999</v>
      </c>
      <c r="N2170">
        <v>0</v>
      </c>
      <c r="O2170">
        <v>-0.98553729999999995</v>
      </c>
      <c r="P2170">
        <v>0.11757049999999999</v>
      </c>
      <c r="Q2170">
        <v>0.148677</v>
      </c>
      <c r="R2170">
        <v>-0.98187230000000003</v>
      </c>
      <c r="S2170">
        <v>0.57666019999999996</v>
      </c>
      <c r="T2170">
        <v>-0.1198558</v>
      </c>
      <c r="U2170">
        <v>-3.0052490000000001</v>
      </c>
      <c r="V2170">
        <v>4.7609159999999998E-2</v>
      </c>
      <c r="W2170">
        <v>0.1655276</v>
      </c>
      <c r="X2170">
        <v>0.98505529999999997</v>
      </c>
      <c r="Y2170">
        <v>-1.9943209999999999E-2</v>
      </c>
      <c r="Z2170">
        <v>3.8643049999999998E-2</v>
      </c>
      <c r="AA2170">
        <v>0.999054</v>
      </c>
      <c r="AB2170">
        <v>31</v>
      </c>
      <c r="AC2170">
        <v>5.3156000000000097</v>
      </c>
      <c r="AD2170">
        <v>-1.115407296925</v>
      </c>
      <c r="AE2170">
        <v>-27.691099999999999</v>
      </c>
      <c r="AF2170">
        <v>-0.56754367531596905</v>
      </c>
      <c r="AG2170">
        <v>-1.115407296925</v>
      </c>
      <c r="AH2170">
        <v>28.146901753707699</v>
      </c>
      <c r="AI2170">
        <v>92.268872853651004</v>
      </c>
      <c r="AJ2170">
        <v>91.155134291331393</v>
      </c>
      <c r="AK2170">
        <v>28.174710603558999</v>
      </c>
      <c r="AL2170">
        <v>80.4721146318563</v>
      </c>
      <c r="AM2170">
        <v>87.232964565748105</v>
      </c>
      <c r="AN2170">
        <v>0.99999998126787704</v>
      </c>
    </row>
    <row r="2171" spans="1:40" x14ac:dyDescent="0.25">
      <c r="A2171" t="str">
        <f>"20190312172659825"</f>
        <v>20190312172659825</v>
      </c>
      <c r="B2171" t="str">
        <f>"1552382819821210"</f>
        <v>1552382819821210</v>
      </c>
      <c r="C2171" t="s">
        <v>40</v>
      </c>
      <c r="D2171">
        <v>3.396585</v>
      </c>
      <c r="E2171">
        <v>0.47444940000000002</v>
      </c>
      <c r="F2171" t="s">
        <v>41</v>
      </c>
      <c r="G2171">
        <v>-490.89120000000003</v>
      </c>
      <c r="H2171" s="1">
        <v>-2.7570070000000001E-7</v>
      </c>
      <c r="I2171">
        <v>229.679</v>
      </c>
      <c r="J2171">
        <v>-496.1626</v>
      </c>
      <c r="K2171">
        <v>1.114722</v>
      </c>
      <c r="L2171">
        <v>257.11450000000002</v>
      </c>
      <c r="M2171">
        <v>0.1726461</v>
      </c>
      <c r="N2171">
        <v>0</v>
      </c>
      <c r="O2171">
        <v>-0.98484890000000003</v>
      </c>
      <c r="P2171">
        <v>0.118950399999999</v>
      </c>
      <c r="Q2171">
        <v>0.1485022</v>
      </c>
      <c r="R2171">
        <v>-0.98173200000000005</v>
      </c>
      <c r="S2171">
        <v>0.57711789999999996</v>
      </c>
      <c r="T2171">
        <v>-0.1208394</v>
      </c>
      <c r="U2171">
        <v>-3.0045470000000001</v>
      </c>
      <c r="V2171">
        <v>5.0504439999999998E-2</v>
      </c>
      <c r="W2171">
        <v>0.16516410000000001</v>
      </c>
      <c r="X2171">
        <v>0.98497210000000002</v>
      </c>
      <c r="Y2171">
        <v>-1.6085519999999999E-2</v>
      </c>
      <c r="Z2171">
        <v>3.8928530000000003E-2</v>
      </c>
      <c r="AA2171">
        <v>0.99911249999999996</v>
      </c>
      <c r="AB2171">
        <v>31</v>
      </c>
      <c r="AC2171">
        <v>5.2713999999999697</v>
      </c>
      <c r="AD2171">
        <v>-1.1147222757007</v>
      </c>
      <c r="AE2171">
        <v>-27.435500000000001</v>
      </c>
      <c r="AF2171">
        <v>-0.45423774082753698</v>
      </c>
      <c r="AG2171">
        <v>-1.1147222757007</v>
      </c>
      <c r="AH2171">
        <v>27.889221881818301</v>
      </c>
      <c r="AI2171">
        <v>92.2885703543825</v>
      </c>
      <c r="AJ2171">
        <v>90.933106151007806</v>
      </c>
      <c r="AK2171">
        <v>27.9151864555913</v>
      </c>
      <c r="AL2171">
        <v>80.493232097108603</v>
      </c>
      <c r="AM2171">
        <v>87.064729759602997</v>
      </c>
      <c r="AN2171">
        <v>0.99999995808346598</v>
      </c>
    </row>
    <row r="2172" spans="1:40" x14ac:dyDescent="0.25">
      <c r="A2172" t="str">
        <f>"20190312172659846"</f>
        <v>20190312172659846</v>
      </c>
      <c r="B2172" t="str">
        <f>"1552382819840730"</f>
        <v>1552382819840730</v>
      </c>
      <c r="C2172" t="s">
        <v>40</v>
      </c>
      <c r="D2172">
        <v>3.3684789999999998</v>
      </c>
      <c r="E2172">
        <v>0.47507129999999997</v>
      </c>
      <c r="F2172" t="s">
        <v>47</v>
      </c>
      <c r="G2172">
        <v>-490.85759999999999</v>
      </c>
      <c r="H2172" s="1">
        <v>6.3654530000000001E-6</v>
      </c>
      <c r="I2172">
        <v>229.4898</v>
      </c>
      <c r="J2172">
        <v>-496.1046</v>
      </c>
      <c r="K2172">
        <v>1.114025</v>
      </c>
      <c r="L2172">
        <v>256.80689999999998</v>
      </c>
      <c r="M2172">
        <v>0.17605599999999999</v>
      </c>
      <c r="N2172">
        <v>0</v>
      </c>
      <c r="O2172">
        <v>-0.98424730000000005</v>
      </c>
      <c r="P2172">
        <v>0.1214744</v>
      </c>
      <c r="Q2172">
        <v>0.1477098</v>
      </c>
      <c r="R2172">
        <v>-0.9815429</v>
      </c>
      <c r="S2172">
        <v>0.57693479999999997</v>
      </c>
      <c r="T2172">
        <v>-0.12122819999999999</v>
      </c>
      <c r="U2172">
        <v>-3.004257</v>
      </c>
      <c r="V2172">
        <v>5.1700830000000003E-2</v>
      </c>
      <c r="W2172">
        <v>0.16416510000000001</v>
      </c>
      <c r="X2172">
        <v>0.98507710000000004</v>
      </c>
      <c r="Y2172">
        <v>-1.2581159999999999E-2</v>
      </c>
      <c r="Z2172">
        <v>3.9022649999999999E-2</v>
      </c>
      <c r="AA2172">
        <v>0.99915909999999997</v>
      </c>
      <c r="AB2172">
        <v>31</v>
      </c>
      <c r="AC2172">
        <v>5.2470000000000097</v>
      </c>
      <c r="AD2172">
        <v>-1.114018634547</v>
      </c>
      <c r="AE2172">
        <v>-27.3170999999999</v>
      </c>
      <c r="AF2172">
        <v>-0.35448409578488499</v>
      </c>
      <c r="AG2172">
        <v>-1.114018634547</v>
      </c>
      <c r="AH2172">
        <v>27.769645050167799</v>
      </c>
      <c r="AI2172">
        <v>92.297082559079897</v>
      </c>
      <c r="AJ2172">
        <v>90.731350345762095</v>
      </c>
      <c r="AK2172">
        <v>27.794241898360699</v>
      </c>
      <c r="AL2172">
        <v>80.5512633586672</v>
      </c>
      <c r="AM2172">
        <v>86.995642331527705</v>
      </c>
      <c r="AN2172">
        <v>1.00000002441255</v>
      </c>
    </row>
    <row r="2173" spans="1:40" x14ac:dyDescent="0.25">
      <c r="A2173" t="str">
        <f>"20190312172659870"</f>
        <v>20190312172659870</v>
      </c>
      <c r="B2173" t="str">
        <f>"1552382819861226"</f>
        <v>1552382819861226</v>
      </c>
      <c r="C2173" t="s">
        <v>40</v>
      </c>
      <c r="D2173">
        <v>3.3798979999999998</v>
      </c>
      <c r="E2173">
        <v>0.47558859999999997</v>
      </c>
      <c r="F2173" t="s">
        <v>41</v>
      </c>
      <c r="G2173">
        <v>-490.8734</v>
      </c>
      <c r="H2173" s="1">
        <v>-2.6640429999999998E-7</v>
      </c>
      <c r="I2173">
        <v>229.66839999999999</v>
      </c>
      <c r="J2173">
        <v>-496.0437</v>
      </c>
      <c r="K2173">
        <v>1.1133249999999999</v>
      </c>
      <c r="L2173">
        <v>256.48680000000002</v>
      </c>
      <c r="M2173">
        <v>0.178789</v>
      </c>
      <c r="N2173">
        <v>0</v>
      </c>
      <c r="O2173">
        <v>-0.98375659999999998</v>
      </c>
      <c r="P2173">
        <v>0.124755</v>
      </c>
      <c r="Q2173">
        <v>0.14740029999999901</v>
      </c>
      <c r="R2173">
        <v>-0.98117770000000004</v>
      </c>
      <c r="S2173">
        <v>0.5789185</v>
      </c>
      <c r="T2173">
        <v>-0.1232853</v>
      </c>
      <c r="U2173">
        <v>-3.0033259999999999</v>
      </c>
      <c r="V2173">
        <v>5.1437839999999999E-2</v>
      </c>
      <c r="W2173">
        <v>0.16362750000000001</v>
      </c>
      <c r="X2173">
        <v>0.98518030000000001</v>
      </c>
      <c r="Y2173">
        <v>-1.049308E-2</v>
      </c>
      <c r="Z2173">
        <v>3.9664089999999999E-2</v>
      </c>
      <c r="AA2173">
        <v>0.99915799999999999</v>
      </c>
      <c r="AB2173">
        <v>31</v>
      </c>
      <c r="AC2173">
        <v>5.1702999999999903</v>
      </c>
      <c r="AD2173">
        <v>-1.1133252664043001</v>
      </c>
      <c r="AE2173">
        <v>-26.8184</v>
      </c>
      <c r="AF2173">
        <v>-0.29103577065707698</v>
      </c>
      <c r="AG2173">
        <v>-1.1133252664043001</v>
      </c>
      <c r="AH2173">
        <v>27.2653820354566</v>
      </c>
      <c r="AI2173">
        <v>92.338122179875398</v>
      </c>
      <c r="AJ2173">
        <v>90.611562605511295</v>
      </c>
      <c r="AK2173">
        <v>27.289654679163899</v>
      </c>
      <c r="AL2173">
        <v>80.582487727468504</v>
      </c>
      <c r="AM2173">
        <v>87.011209557703594</v>
      </c>
      <c r="AN2173">
        <v>1.0000000168240999</v>
      </c>
    </row>
    <row r="2174" spans="1:40" x14ac:dyDescent="0.25">
      <c r="A2174" t="str">
        <f>"20190312172659891"</f>
        <v>20190312172659891</v>
      </c>
      <c r="B2174" t="str">
        <f>"1552382819880746"</f>
        <v>1552382819880746</v>
      </c>
      <c r="C2174" t="s">
        <v>40</v>
      </c>
      <c r="D2174">
        <v>3.3665829999999999</v>
      </c>
      <c r="E2174">
        <v>0.4761785</v>
      </c>
      <c r="F2174" t="s">
        <v>47</v>
      </c>
      <c r="G2174">
        <v>-490.80029999999999</v>
      </c>
      <c r="H2174" s="1">
        <v>6.3889790000000002E-6</v>
      </c>
      <c r="I2174">
        <v>229.52719999999999</v>
      </c>
      <c r="J2174">
        <v>-495.98770000000002</v>
      </c>
      <c r="K2174">
        <v>1.1127199999999999</v>
      </c>
      <c r="L2174">
        <v>256.19240000000002</v>
      </c>
      <c r="M2174">
        <v>0.1806345</v>
      </c>
      <c r="N2174">
        <v>0</v>
      </c>
      <c r="O2174">
        <v>-0.98342169999999896</v>
      </c>
      <c r="P2174">
        <v>0.12750510000000001</v>
      </c>
      <c r="Q2174">
        <v>0.14706910000000001</v>
      </c>
      <c r="R2174">
        <v>-0.98087409999999997</v>
      </c>
      <c r="S2174">
        <v>0.58386229999999995</v>
      </c>
      <c r="T2174">
        <v>-0.123969</v>
      </c>
      <c r="U2174">
        <v>-3.0019680000000002</v>
      </c>
      <c r="V2174">
        <v>5.0778089999999998E-2</v>
      </c>
      <c r="W2174">
        <v>0.16309679999999999</v>
      </c>
      <c r="X2174">
        <v>0.98530249999999997</v>
      </c>
      <c r="Y2174">
        <v>-1.028563E-2</v>
      </c>
      <c r="Z2174">
        <v>3.987479E-2</v>
      </c>
      <c r="AA2174">
        <v>0.99915180000000003</v>
      </c>
      <c r="AB2174">
        <v>31</v>
      </c>
      <c r="AC2174">
        <v>5.1874000000000198</v>
      </c>
      <c r="AD2174">
        <v>-1.1127136110210001</v>
      </c>
      <c r="AE2174">
        <v>-26.665199999999999</v>
      </c>
      <c r="AF2174">
        <v>-0.28430566270197799</v>
      </c>
      <c r="AG2174">
        <v>-1.1127136110210001</v>
      </c>
      <c r="AH2174">
        <v>27.118096081613501</v>
      </c>
      <c r="AI2174">
        <v>92.349521613854293</v>
      </c>
      <c r="AJ2174">
        <v>90.600665981126298</v>
      </c>
      <c r="AK2174">
        <v>27.142404027307801</v>
      </c>
      <c r="AL2174">
        <v>80.613308467347906</v>
      </c>
      <c r="AM2174">
        <v>87.049841374532406</v>
      </c>
      <c r="AN2174">
        <v>0.999999998550268</v>
      </c>
    </row>
    <row r="2175" spans="1:40" x14ac:dyDescent="0.25">
      <c r="A2175" t="str">
        <f>"20190312172659915"</f>
        <v>20190312172659915</v>
      </c>
      <c r="B2175" t="str">
        <f>"1552382819911002"</f>
        <v>1552382819911002</v>
      </c>
      <c r="C2175" t="s">
        <v>40</v>
      </c>
      <c r="D2175">
        <v>3.4547270000000001</v>
      </c>
      <c r="E2175">
        <v>0.48452400000000001</v>
      </c>
      <c r="F2175" t="s">
        <v>47</v>
      </c>
      <c r="G2175">
        <v>-490.75349999999997</v>
      </c>
      <c r="H2175" s="1">
        <v>6.3792650000000002E-6</v>
      </c>
      <c r="I2175">
        <v>229.42699999999999</v>
      </c>
      <c r="J2175">
        <v>-495.92689999999999</v>
      </c>
      <c r="K2175">
        <v>1.1121379999999901</v>
      </c>
      <c r="L2175">
        <v>255.87270000000001</v>
      </c>
      <c r="M2175">
        <v>0.18205569999999999</v>
      </c>
      <c r="N2175">
        <v>0</v>
      </c>
      <c r="O2175">
        <v>-0.98316139999999996</v>
      </c>
      <c r="P2175">
        <v>0.13064589999999901</v>
      </c>
      <c r="Q2175">
        <v>0.147127799999999</v>
      </c>
      <c r="R2175">
        <v>-0.98045170000000004</v>
      </c>
      <c r="S2175">
        <v>0.58685299999999996</v>
      </c>
      <c r="T2175">
        <v>-0.1247566</v>
      </c>
      <c r="U2175">
        <v>-3.0009160000000001</v>
      </c>
      <c r="V2175">
        <v>4.9272740000000002E-2</v>
      </c>
      <c r="W2175">
        <v>0.16295799999999999</v>
      </c>
      <c r="X2175">
        <v>0.98540190000000005</v>
      </c>
      <c r="Y2175">
        <v>-9.863676E-3</v>
      </c>
      <c r="Z2175">
        <v>4.0121820000000002E-2</v>
      </c>
      <c r="AA2175">
        <v>0.99914610000000004</v>
      </c>
      <c r="AB2175">
        <v>31</v>
      </c>
      <c r="AC2175">
        <v>5.1734000000000098</v>
      </c>
      <c r="AD2175">
        <v>-1.1121316207349901</v>
      </c>
      <c r="AE2175">
        <v>-26.445699999999899</v>
      </c>
      <c r="AF2175">
        <v>-0.27126859268973702</v>
      </c>
      <c r="AG2175">
        <v>-1.1121316207349901</v>
      </c>
      <c r="AH2175">
        <v>26.899779956839499</v>
      </c>
      <c r="AI2175">
        <v>92.367340760820099</v>
      </c>
      <c r="AJ2175">
        <v>90.577774935849902</v>
      </c>
      <c r="AK2175">
        <v>26.924126450408799</v>
      </c>
      <c r="AL2175">
        <v>80.621369053585497</v>
      </c>
      <c r="AM2175">
        <v>87.137441365017096</v>
      </c>
      <c r="AN2175">
        <v>1.0000000085973499</v>
      </c>
    </row>
    <row r="2176" spans="1:40" x14ac:dyDescent="0.25">
      <c r="A2176" t="str">
        <f>"20190312172659938"</f>
        <v>20190312172659938</v>
      </c>
      <c r="B2176" t="str">
        <f>"1552382819930827"</f>
        <v>1552382819930827</v>
      </c>
      <c r="C2176" t="s">
        <v>40</v>
      </c>
      <c r="D2176">
        <v>3.4454470000000001</v>
      </c>
      <c r="E2176">
        <v>0.48519430000000002</v>
      </c>
      <c r="F2176" t="s">
        <v>41</v>
      </c>
      <c r="G2176">
        <v>-491.35379999999998</v>
      </c>
      <c r="H2176" s="1">
        <v>-5.0537019999999996E-7</v>
      </c>
      <c r="I2176">
        <v>229.92750000000001</v>
      </c>
      <c r="J2176">
        <v>-495.86829999999998</v>
      </c>
      <c r="K2176">
        <v>1.1116410000000001</v>
      </c>
      <c r="L2176">
        <v>255.56440000000001</v>
      </c>
      <c r="M2176">
        <v>0.18288969999999999</v>
      </c>
      <c r="N2176">
        <v>0</v>
      </c>
      <c r="O2176">
        <v>-0.98300849999999995</v>
      </c>
      <c r="P2176">
        <v>0.1330826</v>
      </c>
      <c r="Q2176">
        <v>0.14700279999999999</v>
      </c>
      <c r="R2176">
        <v>-0.98014270000000003</v>
      </c>
      <c r="S2176">
        <v>0.53027340000000001</v>
      </c>
      <c r="T2176">
        <v>-0.1289593</v>
      </c>
      <c r="U2176">
        <v>-3.0085139999999999</v>
      </c>
      <c r="V2176">
        <v>4.7860880000000001E-2</v>
      </c>
      <c r="W2176">
        <v>0.16266159999999999</v>
      </c>
      <c r="X2176">
        <v>0.98552039999999996</v>
      </c>
      <c r="Y2176">
        <v>9.6335940000000005E-3</v>
      </c>
      <c r="Z2176">
        <v>4.1428390000000002E-2</v>
      </c>
      <c r="AA2176">
        <v>0.99909499999999996</v>
      </c>
      <c r="AB2176">
        <v>31</v>
      </c>
      <c r="AC2176">
        <v>4.5144999999999902</v>
      </c>
      <c r="AD2176">
        <v>-1.11164150537019</v>
      </c>
      <c r="AE2176">
        <v>-25.636900000000001</v>
      </c>
      <c r="AF2176">
        <v>0.25050707132150701</v>
      </c>
      <c r="AG2176">
        <v>-1.11164150537019</v>
      </c>
      <c r="AH2176">
        <v>25.9827606042379</v>
      </c>
      <c r="AI2176">
        <v>92.449724013847302</v>
      </c>
      <c r="AJ2176">
        <v>89.447612459502594</v>
      </c>
      <c r="AK2176">
        <v>26.007736334529</v>
      </c>
      <c r="AL2176">
        <v>80.638580710892597</v>
      </c>
      <c r="AM2176">
        <v>87.219668253558893</v>
      </c>
      <c r="AN2176">
        <v>0.99999995938254604</v>
      </c>
    </row>
    <row r="2177" spans="1:40" x14ac:dyDescent="0.25">
      <c r="A2177" t="str">
        <f>"20190312172659959"</f>
        <v>20190312172659959</v>
      </c>
      <c r="B2177" t="str">
        <f>"1552382819951323"</f>
        <v>1552382819951323</v>
      </c>
      <c r="C2177" t="s">
        <v>40</v>
      </c>
      <c r="D2177">
        <v>3.415937</v>
      </c>
      <c r="E2177">
        <v>0.48585440000000002</v>
      </c>
      <c r="F2177" t="s">
        <v>41</v>
      </c>
      <c r="G2177">
        <v>-491.32650000000001</v>
      </c>
      <c r="H2177" s="1">
        <v>-4.790087E-7</v>
      </c>
      <c r="I2177">
        <v>229.88290000000001</v>
      </c>
      <c r="J2177">
        <v>-495.8141</v>
      </c>
      <c r="K2177">
        <v>1.1111949999999999</v>
      </c>
      <c r="L2177">
        <v>255.2773</v>
      </c>
      <c r="M2177">
        <v>0.18320139999999999</v>
      </c>
      <c r="N2177">
        <v>0</v>
      </c>
      <c r="O2177">
        <v>-0.98295169999999998</v>
      </c>
      <c r="P2177">
        <v>0.1354754</v>
      </c>
      <c r="Q2177">
        <v>0.1467262</v>
      </c>
      <c r="R2177">
        <v>-0.97985630000000001</v>
      </c>
      <c r="S2177">
        <v>0.53198239999999997</v>
      </c>
      <c r="T2177">
        <v>-0.13020670000000001</v>
      </c>
      <c r="U2177">
        <v>-3.0080719999999999</v>
      </c>
      <c r="V2177">
        <v>4.5949030000000002E-2</v>
      </c>
      <c r="W2177">
        <v>0.16223959999999901</v>
      </c>
      <c r="X2177">
        <v>0.98568100000000003</v>
      </c>
      <c r="Y2177">
        <v>9.3778230000000004E-3</v>
      </c>
      <c r="Z2177">
        <v>4.1828780000000003E-2</v>
      </c>
      <c r="AA2177">
        <v>0.99908079999999999</v>
      </c>
      <c r="AB2177">
        <v>31</v>
      </c>
      <c r="AC2177">
        <v>4.48759999999998</v>
      </c>
      <c r="AD2177">
        <v>-1.1111954790087</v>
      </c>
      <c r="AE2177">
        <v>-25.394399999999901</v>
      </c>
      <c r="AF2177">
        <v>0.24077785744577701</v>
      </c>
      <c r="AG2177">
        <v>-1.1111954790087</v>
      </c>
      <c r="AH2177">
        <v>25.738948720054299</v>
      </c>
      <c r="AI2177">
        <v>92.471916068565207</v>
      </c>
      <c r="AJ2177">
        <v>89.464035893912296</v>
      </c>
      <c r="AK2177">
        <v>25.764048800271802</v>
      </c>
      <c r="AL2177">
        <v>80.663085576964093</v>
      </c>
      <c r="AM2177">
        <v>87.331001669081104</v>
      </c>
      <c r="AN2177">
        <v>1.0000000174635499</v>
      </c>
    </row>
    <row r="2178" spans="1:40" x14ac:dyDescent="0.25">
      <c r="A2178" t="str">
        <f>"20190312172659983"</f>
        <v>20190312172659983</v>
      </c>
      <c r="B2178" t="str">
        <f>"1552382819970843"</f>
        <v>1552382819970843</v>
      </c>
      <c r="C2178" t="s">
        <v>40</v>
      </c>
      <c r="D2178">
        <v>3.4668559999999999</v>
      </c>
      <c r="E2178">
        <v>0.48682589999999998</v>
      </c>
      <c r="F2178" t="s">
        <v>41</v>
      </c>
      <c r="G2178">
        <v>-491.30610000000001</v>
      </c>
      <c r="H2178" s="1">
        <v>-4.7931760000000001E-7</v>
      </c>
      <c r="I2178">
        <v>229.8963</v>
      </c>
      <c r="J2178">
        <v>-495.75360000000001</v>
      </c>
      <c r="K2178">
        <v>1.1106879999999999</v>
      </c>
      <c r="L2178">
        <v>254.95500000000001</v>
      </c>
      <c r="M2178">
        <v>0.1830311</v>
      </c>
      <c r="N2178">
        <v>0</v>
      </c>
      <c r="O2178">
        <v>-0.98298490000000005</v>
      </c>
      <c r="P2178">
        <v>0.13768150000000001</v>
      </c>
      <c r="Q2178">
        <v>0.14657210000000001</v>
      </c>
      <c r="R2178">
        <v>-0.97957169999999905</v>
      </c>
      <c r="S2178">
        <v>0.53417969999999904</v>
      </c>
      <c r="T2178">
        <v>-0.13167179999999901</v>
      </c>
      <c r="U2178">
        <v>-3.0075379999999998</v>
      </c>
      <c r="V2178">
        <v>4.3758819999999997E-2</v>
      </c>
      <c r="W2178">
        <v>0.161938</v>
      </c>
      <c r="X2178">
        <v>0.98583019999999999</v>
      </c>
      <c r="Y2178">
        <v>8.4698159999999998E-3</v>
      </c>
      <c r="Z2178">
        <v>4.2305530000000001E-2</v>
      </c>
      <c r="AA2178">
        <v>0.99906879999999998</v>
      </c>
      <c r="AB2178">
        <v>31</v>
      </c>
      <c r="AC2178">
        <v>4.44749999999999</v>
      </c>
      <c r="AD2178">
        <v>-1.1106884793176</v>
      </c>
      <c r="AE2178">
        <v>-25.058700000000002</v>
      </c>
      <c r="AF2178">
        <v>0.21431370696010399</v>
      </c>
      <c r="AG2178">
        <v>-1.1106884793176</v>
      </c>
      <c r="AH2178">
        <v>25.401034320248101</v>
      </c>
      <c r="AI2178">
        <v>92.503637818827499</v>
      </c>
      <c r="AJ2178">
        <v>89.516595293488905</v>
      </c>
      <c r="AK2178">
        <v>25.426208993900399</v>
      </c>
      <c r="AL2178">
        <v>80.6805970819198</v>
      </c>
      <c r="AM2178">
        <v>87.458435515379804</v>
      </c>
      <c r="AN2178">
        <v>0.99999996670191504</v>
      </c>
    </row>
    <row r="2179" spans="1:40" x14ac:dyDescent="0.25">
      <c r="A2179" t="str">
        <f>"20190312172700005"</f>
        <v>20190312172700005</v>
      </c>
      <c r="B2179" t="str">
        <f>"1552382820001100"</f>
        <v>1552382820001100</v>
      </c>
      <c r="C2179" t="s">
        <v>40</v>
      </c>
      <c r="D2179">
        <v>3.474758</v>
      </c>
      <c r="E2179">
        <v>0.48815609999999998</v>
      </c>
      <c r="F2179" t="s">
        <v>41</v>
      </c>
      <c r="G2179">
        <v>-491.37189999999998</v>
      </c>
      <c r="H2179" s="1">
        <v>-6.3527760000000004E-7</v>
      </c>
      <c r="I2179">
        <v>230.21899999999999</v>
      </c>
      <c r="J2179">
        <v>-495.69749999999999</v>
      </c>
      <c r="K2179">
        <v>1.1102129999999999</v>
      </c>
      <c r="L2179">
        <v>254.65260000000001</v>
      </c>
      <c r="M2179">
        <v>0.1823833</v>
      </c>
      <c r="N2179">
        <v>0</v>
      </c>
      <c r="O2179">
        <v>-0.98310640000000005</v>
      </c>
      <c r="P2179">
        <v>0.1389995</v>
      </c>
      <c r="Q2179">
        <v>0.14603529999999901</v>
      </c>
      <c r="R2179">
        <v>-0.97946569999999999</v>
      </c>
      <c r="S2179">
        <v>0.53280640000000001</v>
      </c>
      <c r="T2179">
        <v>-0.13505909999999999</v>
      </c>
      <c r="U2179">
        <v>-3.0078740000000002</v>
      </c>
      <c r="V2179">
        <v>4.1982539999999999E-2</v>
      </c>
      <c r="W2179">
        <v>0.16127920000000001</v>
      </c>
      <c r="X2179">
        <v>0.98601539999999999</v>
      </c>
      <c r="Y2179">
        <v>8.2803649999999996E-3</v>
      </c>
      <c r="Z2179">
        <v>4.339672E-2</v>
      </c>
      <c r="AA2179">
        <v>0.99902360000000001</v>
      </c>
      <c r="AB2179">
        <v>31</v>
      </c>
      <c r="AC2179">
        <v>4.3255999999999997</v>
      </c>
      <c r="AD2179">
        <v>-1.1102136352776</v>
      </c>
      <c r="AE2179">
        <v>-24.433599999999899</v>
      </c>
      <c r="AF2179">
        <v>0.203372694767497</v>
      </c>
      <c r="AG2179">
        <v>-1.1102136352776</v>
      </c>
      <c r="AH2179">
        <v>24.763127788813598</v>
      </c>
      <c r="AI2179">
        <v>92.566955476877695</v>
      </c>
      <c r="AJ2179">
        <v>89.529456246066701</v>
      </c>
      <c r="AK2179">
        <v>24.788836855609901</v>
      </c>
      <c r="AL2179">
        <v>80.718846096725798</v>
      </c>
      <c r="AM2179">
        <v>87.561934275699898</v>
      </c>
      <c r="AN2179">
        <v>0.99999994152732397</v>
      </c>
    </row>
    <row r="2180" spans="1:40" x14ac:dyDescent="0.25">
      <c r="A2180" t="str">
        <f>"20190312172700026"</f>
        <v>20190312172700026</v>
      </c>
      <c r="B2180" t="str">
        <f>"1552382820021596"</f>
        <v>1552382820021596</v>
      </c>
      <c r="C2180" t="s">
        <v>40</v>
      </c>
      <c r="D2180">
        <v>3.4846080000000001</v>
      </c>
      <c r="E2180">
        <v>0.4892029</v>
      </c>
      <c r="F2180" t="s">
        <v>41</v>
      </c>
      <c r="G2180">
        <v>-491.68490000000003</v>
      </c>
      <c r="H2180" s="1">
        <v>-1.3244589999999999E-6</v>
      </c>
      <c r="I2180">
        <v>231.63140000000001</v>
      </c>
      <c r="J2180">
        <v>-495.64330000000001</v>
      </c>
      <c r="K2180">
        <v>1.10975</v>
      </c>
      <c r="L2180">
        <v>254.35659999999999</v>
      </c>
      <c r="M2180">
        <v>0.18129100000000001</v>
      </c>
      <c r="N2180">
        <v>0</v>
      </c>
      <c r="O2180">
        <v>-0.98330930000000005</v>
      </c>
      <c r="P2180">
        <v>0.13900709999999999</v>
      </c>
      <c r="Q2180">
        <v>0.1449309</v>
      </c>
      <c r="R2180">
        <v>-0.97962890000000002</v>
      </c>
      <c r="S2180">
        <v>0.52465819999999996</v>
      </c>
      <c r="T2180">
        <v>-0.14516409999999999</v>
      </c>
      <c r="U2180">
        <v>-3.0101010000000001</v>
      </c>
      <c r="V2180">
        <v>4.1087680000000001E-2</v>
      </c>
      <c r="W2180">
        <v>0.16007009999999999</v>
      </c>
      <c r="X2180">
        <v>0.98625019999999997</v>
      </c>
      <c r="Y2180">
        <v>9.9449770000000007E-3</v>
      </c>
      <c r="Z2180">
        <v>4.6627370000000001E-2</v>
      </c>
      <c r="AA2180">
        <v>0.9988629</v>
      </c>
      <c r="AB2180">
        <v>31</v>
      </c>
      <c r="AC2180">
        <v>3.9583999999999802</v>
      </c>
      <c r="AD2180">
        <v>-1.1097513244589901</v>
      </c>
      <c r="AE2180">
        <v>-22.725199999999901</v>
      </c>
      <c r="AF2180">
        <v>0.22704410861896099</v>
      </c>
      <c r="AG2180">
        <v>-1.1097513244589901</v>
      </c>
      <c r="AH2180">
        <v>23.012986018080401</v>
      </c>
      <c r="AI2180">
        <v>92.760691797478501</v>
      </c>
      <c r="AJ2180">
        <v>89.434743186738402</v>
      </c>
      <c r="AK2180">
        <v>23.040846826837001</v>
      </c>
      <c r="AL2180">
        <v>80.7890353265404</v>
      </c>
      <c r="AM2180">
        <v>87.614408475862106</v>
      </c>
      <c r="AN2180">
        <v>1.0000000456809099</v>
      </c>
    </row>
    <row r="2181" spans="1:40" x14ac:dyDescent="0.25">
      <c r="A2181" t="str">
        <f>"20190312172700049"</f>
        <v>20190312172700049</v>
      </c>
      <c r="B2181" t="str">
        <f>"1552382820041115"</f>
        <v>1552382820041115</v>
      </c>
      <c r="C2181" t="s">
        <v>40</v>
      </c>
      <c r="D2181">
        <v>3.4879869999999999</v>
      </c>
      <c r="E2181">
        <v>0.49019980000000002</v>
      </c>
      <c r="F2181" t="s">
        <v>41</v>
      </c>
      <c r="G2181">
        <v>-491.80779999999999</v>
      </c>
      <c r="H2181" s="1">
        <v>-1.4951859999999999E-6</v>
      </c>
      <c r="I2181">
        <v>231.95320000000001</v>
      </c>
      <c r="J2181">
        <v>-495.58780000000002</v>
      </c>
      <c r="K2181">
        <v>1.1092900000000001</v>
      </c>
      <c r="L2181">
        <v>254.04810000000001</v>
      </c>
      <c r="M2181">
        <v>0.17966360000000001</v>
      </c>
      <c r="N2181">
        <v>0</v>
      </c>
      <c r="O2181">
        <v>-0.98360899999999996</v>
      </c>
      <c r="P2181">
        <v>0.13850489999999999</v>
      </c>
      <c r="Q2181">
        <v>0.14417839999999901</v>
      </c>
      <c r="R2181">
        <v>-0.97981079999999998</v>
      </c>
      <c r="S2181">
        <v>0.51553340000000003</v>
      </c>
      <c r="T2181">
        <v>-0.149162299999999</v>
      </c>
      <c r="U2181">
        <v>-3.0112610000000002</v>
      </c>
      <c r="V2181">
        <v>4.0155030000000001E-2</v>
      </c>
      <c r="W2181">
        <v>0.1592219</v>
      </c>
      <c r="X2181">
        <v>0.98642589999999997</v>
      </c>
      <c r="Y2181">
        <v>1.1304720000000001E-2</v>
      </c>
      <c r="Z2181">
        <v>4.7924040000000001E-2</v>
      </c>
      <c r="AA2181">
        <v>0.99878699999999998</v>
      </c>
      <c r="AB2181">
        <v>31</v>
      </c>
      <c r="AC2181">
        <v>3.7800000000000198</v>
      </c>
      <c r="AD2181">
        <v>-1.10929149518599</v>
      </c>
      <c r="AE2181">
        <v>-22.094899999999999</v>
      </c>
      <c r="AF2181">
        <v>0.25102200136845398</v>
      </c>
      <c r="AG2181">
        <v>-1.10929149518599</v>
      </c>
      <c r="AH2181">
        <v>22.359739483454</v>
      </c>
      <c r="AI2181">
        <v>92.839999935557699</v>
      </c>
      <c r="AJ2181">
        <v>89.356794963183305</v>
      </c>
      <c r="AK2181">
        <v>22.388646440425799</v>
      </c>
      <c r="AL2181">
        <v>80.838265031536196</v>
      </c>
      <c r="AM2181">
        <v>87.6689134347627</v>
      </c>
      <c r="AN2181">
        <v>1.0000000480323501</v>
      </c>
    </row>
    <row r="2182" spans="1:40" x14ac:dyDescent="0.25">
      <c r="A2182" t="str">
        <f>"20190312172700071"</f>
        <v>20190312172700071</v>
      </c>
      <c r="B2182" t="str">
        <f>"1552382820061611"</f>
        <v>1552382820061611</v>
      </c>
      <c r="C2182" t="s">
        <v>40</v>
      </c>
      <c r="D2182">
        <v>3.5237039999999999</v>
      </c>
      <c r="E2182">
        <v>0.49093609999999999</v>
      </c>
      <c r="F2182" t="s">
        <v>41</v>
      </c>
      <c r="G2182">
        <v>-491.90010000000001</v>
      </c>
      <c r="H2182" s="1">
        <v>-1.5741629999999999E-6</v>
      </c>
      <c r="I2182">
        <v>232.08</v>
      </c>
      <c r="J2182">
        <v>-495.53480000000002</v>
      </c>
      <c r="K2182">
        <v>1.108894</v>
      </c>
      <c r="L2182">
        <v>253.74719999999999</v>
      </c>
      <c r="M2182">
        <v>0.1776335</v>
      </c>
      <c r="N2182">
        <v>0</v>
      </c>
      <c r="O2182">
        <v>-0.98397829999999997</v>
      </c>
      <c r="P2182">
        <v>0.137481399999999</v>
      </c>
      <c r="Q2182">
        <v>0.14373259999999999</v>
      </c>
      <c r="R2182">
        <v>-0.98002020000000001</v>
      </c>
      <c r="S2182">
        <v>0.50573729999999995</v>
      </c>
      <c r="T2182">
        <v>-0.1521295</v>
      </c>
      <c r="U2182">
        <v>-3.0127259999999998</v>
      </c>
      <c r="V2182">
        <v>3.9312310000000003E-2</v>
      </c>
      <c r="W2182">
        <v>0.15869739999999999</v>
      </c>
      <c r="X2182">
        <v>0.98654430000000004</v>
      </c>
      <c r="Y2182">
        <v>1.248676E-2</v>
      </c>
      <c r="Z2182">
        <v>4.8891810000000001E-2</v>
      </c>
      <c r="AA2182">
        <v>0.998726</v>
      </c>
      <c r="AB2182">
        <v>31</v>
      </c>
      <c r="AC2182">
        <v>3.6347000000000098</v>
      </c>
      <c r="AD2182">
        <v>-1.108895574163</v>
      </c>
      <c r="AE2182">
        <v>-21.667199999999902</v>
      </c>
      <c r="AF2182">
        <v>0.27169422966123402</v>
      </c>
      <c r="AG2182">
        <v>-1.108895574163</v>
      </c>
      <c r="AH2182">
        <v>21.9124359521687</v>
      </c>
      <c r="AI2182">
        <v>92.896803088494707</v>
      </c>
      <c r="AJ2182">
        <v>89.289620969328794</v>
      </c>
      <c r="AK2182">
        <v>21.9421584286215</v>
      </c>
      <c r="AL2182">
        <v>80.8687031498593</v>
      </c>
      <c r="AM2182">
        <v>87.718056485243693</v>
      </c>
      <c r="AN2182">
        <v>0.99999998917339294</v>
      </c>
    </row>
    <row r="2183" spans="1:40" x14ac:dyDescent="0.25">
      <c r="A2183" t="str">
        <f>"20190312172700092"</f>
        <v>20190312172700092</v>
      </c>
      <c r="B2183" t="str">
        <f>"1552382820081131"</f>
        <v>1552382820081131</v>
      </c>
      <c r="C2183" t="s">
        <v>40</v>
      </c>
      <c r="D2183">
        <v>3.5291290000000002</v>
      </c>
      <c r="E2183">
        <v>0.49163879999999999</v>
      </c>
      <c r="F2183" t="s">
        <v>41</v>
      </c>
      <c r="G2183">
        <v>-491.96159999999998</v>
      </c>
      <c r="H2183" s="1">
        <v>-1.5770840000000001E-6</v>
      </c>
      <c r="I2183">
        <v>232.0487</v>
      </c>
      <c r="J2183">
        <v>-495.48390000000001</v>
      </c>
      <c r="K2183">
        <v>1.1085640000000001</v>
      </c>
      <c r="L2183">
        <v>253.45320000000001</v>
      </c>
      <c r="M2183">
        <v>0.17533950000000001</v>
      </c>
      <c r="N2183">
        <v>0</v>
      </c>
      <c r="O2183">
        <v>-0.98439019999999999</v>
      </c>
      <c r="P2183">
        <v>0.13610729999999999</v>
      </c>
      <c r="Q2183">
        <v>0.14327519999999999</v>
      </c>
      <c r="R2183">
        <v>-0.98027920000000002</v>
      </c>
      <c r="S2183">
        <v>0.4963379</v>
      </c>
      <c r="T2183">
        <v>-0.15403320000000001</v>
      </c>
      <c r="U2183">
        <v>-3.0140690000000001</v>
      </c>
      <c r="V2183">
        <v>3.8528300000000001E-2</v>
      </c>
      <c r="W2183">
        <v>0.15817619999999999</v>
      </c>
      <c r="X2183">
        <v>0.98665890000000001</v>
      </c>
      <c r="Y2183">
        <v>1.3264400000000001E-2</v>
      </c>
      <c r="Z2183">
        <v>4.9523600000000001E-2</v>
      </c>
      <c r="AA2183">
        <v>0.99868489999999999</v>
      </c>
      <c r="AB2183">
        <v>31</v>
      </c>
      <c r="AC2183">
        <v>3.52230000000002</v>
      </c>
      <c r="AD2183">
        <v>-1.1085655770839999</v>
      </c>
      <c r="AE2183">
        <v>-21.404499999999999</v>
      </c>
      <c r="AF2183">
        <v>0.285025500905009</v>
      </c>
      <c r="AG2183">
        <v>-1.1085655770839999</v>
      </c>
      <c r="AH2183">
        <v>21.6339949540696</v>
      </c>
      <c r="AI2183">
        <v>92.933121095616201</v>
      </c>
      <c r="AJ2183">
        <v>89.245178086467803</v>
      </c>
      <c r="AK2183">
        <v>21.664253849315202</v>
      </c>
      <c r="AL2183">
        <v>80.898947482069204</v>
      </c>
      <c r="AM2183">
        <v>87.763778372523305</v>
      </c>
      <c r="AN2183">
        <v>0.99999996254826895</v>
      </c>
    </row>
    <row r="2184" spans="1:40" x14ac:dyDescent="0.25">
      <c r="A2184" t="str">
        <f>"20190312172700129"</f>
        <v>20190312172700129</v>
      </c>
      <c r="B2184" t="str">
        <f>"1552382820121147"</f>
        <v>1552382820121147</v>
      </c>
      <c r="C2184" t="s">
        <v>40</v>
      </c>
      <c r="D2184">
        <v>3.533042</v>
      </c>
      <c r="E2184">
        <v>0.49281360000000002</v>
      </c>
      <c r="F2184" t="s">
        <v>41</v>
      </c>
      <c r="G2184">
        <v>-491.99650000000003</v>
      </c>
      <c r="H2184" s="1">
        <v>-1.517864E-6</v>
      </c>
      <c r="I2184">
        <v>231.88900000000001</v>
      </c>
      <c r="J2184">
        <v>-495.40230000000003</v>
      </c>
      <c r="K2184">
        <v>1.1081639999999999</v>
      </c>
      <c r="L2184">
        <v>252.9693</v>
      </c>
      <c r="M2184">
        <v>0.17104510000000001</v>
      </c>
      <c r="N2184">
        <v>0</v>
      </c>
      <c r="O2184">
        <v>-0.98514619999999997</v>
      </c>
      <c r="P2184">
        <v>0.13340389999999999</v>
      </c>
      <c r="Q2184">
        <v>0.14288039999999999</v>
      </c>
      <c r="R2184">
        <v>-0.98070820000000003</v>
      </c>
      <c r="S2184">
        <v>0.48764039999999997</v>
      </c>
      <c r="T2184">
        <v>-0.15501110000000001</v>
      </c>
      <c r="U2184">
        <v>-3.0153349999999999</v>
      </c>
      <c r="V2184">
        <v>3.7106199999999999E-2</v>
      </c>
      <c r="W2184">
        <v>0.1576969</v>
      </c>
      <c r="X2184">
        <v>0.98679019999999995</v>
      </c>
      <c r="Y2184">
        <v>1.177985E-2</v>
      </c>
      <c r="Z2184">
        <v>4.9885770000000003E-2</v>
      </c>
      <c r="AA2184">
        <v>0.9986855</v>
      </c>
      <c r="AB2184">
        <v>31</v>
      </c>
      <c r="AC2184">
        <v>3.4058000000000002</v>
      </c>
      <c r="AD2184">
        <v>-1.108165517864</v>
      </c>
      <c r="AE2184">
        <v>-21.080299999999902</v>
      </c>
      <c r="AF2184">
        <v>0.24982714148169199</v>
      </c>
      <c r="AG2184">
        <v>-1.108165517864</v>
      </c>
      <c r="AH2184">
        <v>21.2948334791086</v>
      </c>
      <c r="AI2184">
        <v>92.978733229988293</v>
      </c>
      <c r="AJ2184">
        <v>89.327847096064403</v>
      </c>
      <c r="AK2184">
        <v>21.325111425701099</v>
      </c>
      <c r="AL2184">
        <v>80.926759112036194</v>
      </c>
      <c r="AM2184">
        <v>87.846525584718293</v>
      </c>
      <c r="AN2184">
        <v>1.00000004058204</v>
      </c>
    </row>
    <row r="2185" spans="1:40" x14ac:dyDescent="0.25">
      <c r="A2185" t="str">
        <f>"20190312172700151"</f>
        <v>20190312172700151</v>
      </c>
      <c r="B2185" t="str">
        <f>"1552382820140668"</f>
        <v>1552382820140668</v>
      </c>
      <c r="C2185" t="s">
        <v>40</v>
      </c>
      <c r="D2185">
        <v>3.5176430000000001</v>
      </c>
      <c r="E2185">
        <v>0.49340659999999997</v>
      </c>
      <c r="F2185" t="s">
        <v>41</v>
      </c>
      <c r="G2185">
        <v>-492.06650000000002</v>
      </c>
      <c r="H2185" s="1">
        <v>-1.390083E-6</v>
      </c>
      <c r="I2185">
        <v>231.54769999999999</v>
      </c>
      <c r="J2185">
        <v>-495.35379999999998</v>
      </c>
      <c r="K2185">
        <v>1.107993</v>
      </c>
      <c r="L2185">
        <v>252.673</v>
      </c>
      <c r="M2185">
        <v>0.16817509999999999</v>
      </c>
      <c r="N2185">
        <v>0</v>
      </c>
      <c r="O2185">
        <v>-0.98564079999999998</v>
      </c>
      <c r="P2185">
        <v>0.1327295</v>
      </c>
      <c r="Q2185">
        <v>0.14190820000000001</v>
      </c>
      <c r="R2185">
        <v>-0.9809407</v>
      </c>
      <c r="S2185">
        <v>0.46994019999999997</v>
      </c>
      <c r="T2185">
        <v>-0.156116</v>
      </c>
      <c r="U2185">
        <v>-3.0178219999999998</v>
      </c>
      <c r="V2185">
        <v>3.4991139999999997E-2</v>
      </c>
      <c r="W2185">
        <v>0.15669530000000001</v>
      </c>
      <c r="X2185">
        <v>0.98702690000000004</v>
      </c>
      <c r="Y2185">
        <v>1.4713469999999999E-2</v>
      </c>
      <c r="Z2185">
        <v>5.0259140000000001E-2</v>
      </c>
      <c r="AA2185">
        <v>0.99862779999999995</v>
      </c>
      <c r="AB2185">
        <v>31</v>
      </c>
      <c r="AC2185">
        <v>3.2872999999999601</v>
      </c>
      <c r="AD2185">
        <v>-1.107994390083</v>
      </c>
      <c r="AE2185">
        <v>-21.125299999999999</v>
      </c>
      <c r="AF2185">
        <v>0.31185071967047301</v>
      </c>
      <c r="AG2185">
        <v>-1.107994390083</v>
      </c>
      <c r="AH2185">
        <v>21.3199893024448</v>
      </c>
      <c r="AI2185">
        <v>92.974652979525402</v>
      </c>
      <c r="AJ2185">
        <v>89.161985698157196</v>
      </c>
      <c r="AK2185">
        <v>21.351038529686999</v>
      </c>
      <c r="AL2185">
        <v>80.984868190435407</v>
      </c>
      <c r="AM2185">
        <v>87.969654733557903</v>
      </c>
      <c r="AN2185">
        <v>0.999999949122098</v>
      </c>
    </row>
    <row r="2186" spans="1:40" x14ac:dyDescent="0.25">
      <c r="A2186" t="str">
        <f>"20190312172700172"</f>
        <v>20190312172700172</v>
      </c>
      <c r="B2186" t="str">
        <f>"1552382820161163"</f>
        <v>1552382820161163</v>
      </c>
      <c r="C2186" t="s">
        <v>40</v>
      </c>
      <c r="D2186">
        <v>3.5179330000000002</v>
      </c>
      <c r="E2186">
        <v>0.49391170000000001</v>
      </c>
      <c r="F2186" t="s">
        <v>41</v>
      </c>
      <c r="G2186">
        <v>-492.13260000000002</v>
      </c>
      <c r="H2186" s="1">
        <v>-1.4489969999999999E-6</v>
      </c>
      <c r="I2186">
        <v>231.64410000000001</v>
      </c>
      <c r="J2186">
        <v>-495.30520000000001</v>
      </c>
      <c r="K2186">
        <v>1.1078619999999999</v>
      </c>
      <c r="L2186">
        <v>252.36969999999999</v>
      </c>
      <c r="M2186">
        <v>0.1651446</v>
      </c>
      <c r="N2186">
        <v>0</v>
      </c>
      <c r="O2186">
        <v>-0.98615339999999996</v>
      </c>
      <c r="P2186">
        <v>0.1315026</v>
      </c>
      <c r="Q2186">
        <v>0.14287810000000001</v>
      </c>
      <c r="R2186">
        <v>-0.98096539999999999</v>
      </c>
      <c r="S2186">
        <v>0.46240229999999999</v>
      </c>
      <c r="T2186">
        <v>-0.15905269999999999</v>
      </c>
      <c r="U2186">
        <v>-3.018707</v>
      </c>
      <c r="V2186">
        <v>3.321967E-2</v>
      </c>
      <c r="W2186">
        <v>0.15763759999999999</v>
      </c>
      <c r="X2186">
        <v>0.98693810000000004</v>
      </c>
      <c r="Y2186">
        <v>1.412746E-2</v>
      </c>
      <c r="Z2186">
        <v>5.1236980000000001E-2</v>
      </c>
      <c r="AA2186">
        <v>0.99858659999999999</v>
      </c>
      <c r="AB2186">
        <v>31</v>
      </c>
      <c r="AC2186">
        <v>3.1725999999999801</v>
      </c>
      <c r="AD2186">
        <v>-1.1078634489970001</v>
      </c>
      <c r="AE2186">
        <v>-20.725599999999901</v>
      </c>
      <c r="AF2186">
        <v>0.29326551365849601</v>
      </c>
      <c r="AG2186">
        <v>-1.1078634489970001</v>
      </c>
      <c r="AH2186">
        <v>20.90658748992</v>
      </c>
      <c r="AI2186">
        <v>93.033032460707602</v>
      </c>
      <c r="AJ2186">
        <v>89.196340662720601</v>
      </c>
      <c r="AK2186">
        <v>20.9379742706119</v>
      </c>
      <c r="AL2186">
        <v>80.930199290255501</v>
      </c>
      <c r="AM2186">
        <v>88.072190568994699</v>
      </c>
      <c r="AN2186">
        <v>0.99999998632013898</v>
      </c>
    </row>
    <row r="2187" spans="1:40" x14ac:dyDescent="0.25">
      <c r="A2187" t="str">
        <f>"20190312172700193"</f>
        <v>20190312172700193</v>
      </c>
      <c r="B2187" t="str">
        <f>"1552382820191420"</f>
        <v>1552382820191420</v>
      </c>
      <c r="C2187" t="s">
        <v>40</v>
      </c>
      <c r="D2187">
        <v>3.5031560000000002</v>
      </c>
      <c r="E2187">
        <v>0.49452699999999999</v>
      </c>
      <c r="F2187" t="s">
        <v>41</v>
      </c>
      <c r="G2187">
        <v>-492.07619999999997</v>
      </c>
      <c r="H2187" s="1">
        <v>-1.1266449999999999E-6</v>
      </c>
      <c r="I2187">
        <v>230.92760000000001</v>
      </c>
      <c r="J2187">
        <v>-495.26150000000001</v>
      </c>
      <c r="K2187">
        <v>1.1077870000000001</v>
      </c>
      <c r="L2187">
        <v>252.09119999999999</v>
      </c>
      <c r="M2187">
        <v>0.16231870000000001</v>
      </c>
      <c r="N2187">
        <v>0</v>
      </c>
      <c r="O2187">
        <v>-0.98662289999999997</v>
      </c>
      <c r="P2187">
        <v>0.12970409999999999</v>
      </c>
      <c r="Q2187">
        <v>0.14516229999999999</v>
      </c>
      <c r="R2187">
        <v>-0.98086960000000001</v>
      </c>
      <c r="S2187">
        <v>0.45477289999999998</v>
      </c>
      <c r="T2187">
        <v>-0.15603420000000001</v>
      </c>
      <c r="U2187">
        <v>-3.0199579999999999</v>
      </c>
      <c r="V2187">
        <v>3.21899E-2</v>
      </c>
      <c r="W2187">
        <v>0.15989500000000001</v>
      </c>
      <c r="X2187">
        <v>0.98660899999999996</v>
      </c>
      <c r="Y2187">
        <v>1.37833E-2</v>
      </c>
      <c r="Z2187">
        <v>5.0291990000000002E-2</v>
      </c>
      <c r="AA2187">
        <v>0.99863950000000001</v>
      </c>
      <c r="AB2187">
        <v>31</v>
      </c>
      <c r="AC2187">
        <v>3.1853000000000402</v>
      </c>
      <c r="AD2187">
        <v>-1.107788126645</v>
      </c>
      <c r="AE2187">
        <v>-21.163599999999899</v>
      </c>
      <c r="AF2187">
        <v>0.29180963944090399</v>
      </c>
      <c r="AG2187">
        <v>-1.107788126645</v>
      </c>
      <c r="AH2187">
        <v>21.342783035960199</v>
      </c>
      <c r="AI2187">
        <v>92.970969670119302</v>
      </c>
      <c r="AJ2187">
        <v>89.216671086582394</v>
      </c>
      <c r="AK2187">
        <v>21.3735054476162</v>
      </c>
      <c r="AL2187">
        <v>80.799197926041202</v>
      </c>
      <c r="AM2187">
        <v>88.131284642441699</v>
      </c>
      <c r="AN2187">
        <v>0.99999995978400402</v>
      </c>
    </row>
    <row r="2188" spans="1:40" x14ac:dyDescent="0.25">
      <c r="A2188" t="str">
        <f>"20190312172700216"</f>
        <v>20190312172700216</v>
      </c>
      <c r="B2188" t="str">
        <f>"1552382820210940"</f>
        <v>1552382820210940</v>
      </c>
      <c r="C2188" t="s">
        <v>40</v>
      </c>
      <c r="D2188">
        <v>3.5347369999999998</v>
      </c>
      <c r="E2188">
        <v>0.49494250000000001</v>
      </c>
      <c r="F2188" t="s">
        <v>41</v>
      </c>
      <c r="G2188">
        <v>-491.9513</v>
      </c>
      <c r="H2188" s="1">
        <v>-5.3122030000000004E-7</v>
      </c>
      <c r="I2188">
        <v>229.61709999999999</v>
      </c>
      <c r="J2188">
        <v>-495.21409999999997</v>
      </c>
      <c r="K2188">
        <v>1.107739</v>
      </c>
      <c r="L2188">
        <v>251.7826</v>
      </c>
      <c r="M2188">
        <v>0.15916469999999999</v>
      </c>
      <c r="N2188">
        <v>0</v>
      </c>
      <c r="O2188">
        <v>-0.98713700000000004</v>
      </c>
      <c r="P2188">
        <v>0.12760850000000001</v>
      </c>
      <c r="Q2188">
        <v>0.14703260000000001</v>
      </c>
      <c r="R2188">
        <v>-0.9808656</v>
      </c>
      <c r="S2188">
        <v>0.44506839999999998</v>
      </c>
      <c r="T2188">
        <v>-0.14894560000000001</v>
      </c>
      <c r="U2188">
        <v>-3.0217130000000001</v>
      </c>
      <c r="V2188">
        <v>3.1130930000000001E-2</v>
      </c>
      <c r="W2188">
        <v>0.16173750000000001</v>
      </c>
      <c r="X2188">
        <v>0.98634270000000002</v>
      </c>
      <c r="Y2188">
        <v>1.379418E-2</v>
      </c>
      <c r="Z2188">
        <v>4.8033899999999997E-2</v>
      </c>
      <c r="AA2188">
        <v>0.99875040000000004</v>
      </c>
      <c r="AB2188">
        <v>31</v>
      </c>
      <c r="AC2188">
        <v>3.2627999999999702</v>
      </c>
      <c r="AD2188">
        <v>-1.1077395312203</v>
      </c>
      <c r="AE2188">
        <v>-22.165500000000002</v>
      </c>
      <c r="AF2188">
        <v>0.306420362171823</v>
      </c>
      <c r="AG2188">
        <v>-1.1077395312203</v>
      </c>
      <c r="AH2188">
        <v>22.3476208338028</v>
      </c>
      <c r="AI2188">
        <v>92.837480743347797</v>
      </c>
      <c r="AJ2188">
        <v>89.214435688108793</v>
      </c>
      <c r="AK2188">
        <v>22.377156594143099</v>
      </c>
      <c r="AL2188">
        <v>80.692239015936195</v>
      </c>
      <c r="AM2188">
        <v>88.192231785174698</v>
      </c>
      <c r="AN2188">
        <v>1.0000000377761</v>
      </c>
    </row>
    <row r="2189" spans="1:40" x14ac:dyDescent="0.25">
      <c r="A2189" t="str">
        <f>"20190312172700238"</f>
        <v>20190312172700238</v>
      </c>
      <c r="B2189" t="str">
        <f>"1552382820231435"</f>
        <v>1552382820231435</v>
      </c>
      <c r="C2189" t="s">
        <v>40</v>
      </c>
      <c r="D2189">
        <v>3.529271</v>
      </c>
      <c r="E2189">
        <v>0.49530669999999999</v>
      </c>
      <c r="F2189" t="s">
        <v>47</v>
      </c>
      <c r="G2189">
        <v>-491.85820000000001</v>
      </c>
      <c r="H2189" s="1">
        <v>5.8580539999999999E-6</v>
      </c>
      <c r="I2189">
        <v>228.47550000000001</v>
      </c>
      <c r="J2189">
        <v>-495.1705</v>
      </c>
      <c r="K2189">
        <v>1.107712</v>
      </c>
      <c r="L2189">
        <v>251.49250000000001</v>
      </c>
      <c r="M2189">
        <v>0.1561951</v>
      </c>
      <c r="N2189">
        <v>0</v>
      </c>
      <c r="O2189">
        <v>-0.98761169999999998</v>
      </c>
      <c r="P2189">
        <v>0.1252327</v>
      </c>
      <c r="Q2189">
        <v>0.14839189999999999</v>
      </c>
      <c r="R2189">
        <v>-0.98096729999999999</v>
      </c>
      <c r="S2189">
        <v>0.43533329999999998</v>
      </c>
      <c r="T2189">
        <v>-0.14369689999999999</v>
      </c>
      <c r="U2189">
        <v>-3.0234380000000001</v>
      </c>
      <c r="V2189">
        <v>3.0539779999999999E-2</v>
      </c>
      <c r="W2189">
        <v>0.16306389999999901</v>
      </c>
      <c r="X2189">
        <v>0.98614279999999999</v>
      </c>
      <c r="Y2189">
        <v>1.400655E-2</v>
      </c>
      <c r="Z2189">
        <v>4.6362859999999999E-2</v>
      </c>
      <c r="AA2189">
        <v>0.9988264</v>
      </c>
      <c r="AB2189">
        <v>30</v>
      </c>
      <c r="AC2189">
        <v>3.3122999999999898</v>
      </c>
      <c r="AD2189">
        <v>-1.1077061419459999</v>
      </c>
      <c r="AE2189">
        <v>-23.016999999999999</v>
      </c>
      <c r="AF2189">
        <v>0.32317970238409099</v>
      </c>
      <c r="AG2189">
        <v>-1.1077061419459999</v>
      </c>
      <c r="AH2189">
        <v>23.199212847561999</v>
      </c>
      <c r="AI2189">
        <v>92.733393522104294</v>
      </c>
      <c r="AJ2189">
        <v>89.201885192213496</v>
      </c>
      <c r="AK2189">
        <v>23.227891311167799</v>
      </c>
      <c r="AL2189">
        <v>80.615219732162998</v>
      </c>
      <c r="AM2189">
        <v>88.2261783721504</v>
      </c>
      <c r="AN2189">
        <v>1.00000006781874</v>
      </c>
    </row>
    <row r="2190" spans="1:40" x14ac:dyDescent="0.25">
      <c r="A2190" t="str">
        <f>"20190312172700260"</f>
        <v>20190312172700260</v>
      </c>
      <c r="B2190" t="str">
        <f>"1552382820250955"</f>
        <v>1552382820250955</v>
      </c>
      <c r="C2190" t="s">
        <v>40</v>
      </c>
      <c r="D2190">
        <v>3.5232100000000002</v>
      </c>
      <c r="E2190">
        <v>0.4955852</v>
      </c>
      <c r="F2190" t="s">
        <v>47</v>
      </c>
      <c r="G2190">
        <v>-491.81540000000001</v>
      </c>
      <c r="H2190" s="1">
        <v>5.5820229999999997E-6</v>
      </c>
      <c r="I2190">
        <v>227.5538</v>
      </c>
      <c r="J2190">
        <v>-495.12450000000001</v>
      </c>
      <c r="K2190">
        <v>1.107704</v>
      </c>
      <c r="L2190">
        <v>251.17949999999999</v>
      </c>
      <c r="M2190">
        <v>0.15300239999999901</v>
      </c>
      <c r="N2190">
        <v>0</v>
      </c>
      <c r="O2190">
        <v>-0.98811190000000004</v>
      </c>
      <c r="P2190">
        <v>0.1222034</v>
      </c>
      <c r="Q2190">
        <v>0.14868499999999901</v>
      </c>
      <c r="R2190">
        <v>-0.98130490000000004</v>
      </c>
      <c r="S2190">
        <v>0.42401119999999998</v>
      </c>
      <c r="T2190">
        <v>-0.1399889</v>
      </c>
      <c r="U2190">
        <v>-3.025299</v>
      </c>
      <c r="V2190">
        <v>3.0398049999999999E-2</v>
      </c>
      <c r="W2190">
        <v>0.1633203</v>
      </c>
      <c r="X2190">
        <v>0.98610469999999895</v>
      </c>
      <c r="Y2190">
        <v>1.4518049999999999E-2</v>
      </c>
      <c r="Z2190">
        <v>4.5187390000000001E-2</v>
      </c>
      <c r="AA2190">
        <v>0.99887309999999996</v>
      </c>
      <c r="AB2190">
        <v>30</v>
      </c>
      <c r="AC2190">
        <v>3.3090999999999999</v>
      </c>
      <c r="AD2190">
        <v>-1.107698417977</v>
      </c>
      <c r="AE2190">
        <v>-23.625699999999899</v>
      </c>
      <c r="AF2190">
        <v>0.34432421778555</v>
      </c>
      <c r="AG2190">
        <v>-1.107698417977</v>
      </c>
      <c r="AH2190">
        <v>23.802504191623999</v>
      </c>
      <c r="AI2190">
        <v>92.6641760767763</v>
      </c>
      <c r="AJ2190">
        <v>89.171223819588704</v>
      </c>
      <c r="AK2190">
        <v>23.8307524166657</v>
      </c>
      <c r="AL2190">
        <v>80.600329033356303</v>
      </c>
      <c r="AM2190">
        <v>88.234336984614302</v>
      </c>
      <c r="AN2190">
        <v>1.0000000205989901</v>
      </c>
    </row>
    <row r="2191" spans="1:40" x14ac:dyDescent="0.25">
      <c r="A2191" t="str">
        <f>"20190312172700282"</f>
        <v>20190312172700282</v>
      </c>
      <c r="B2191" t="str">
        <f>"1552382820271451"</f>
        <v>1552382820271451</v>
      </c>
      <c r="C2191" t="s">
        <v>40</v>
      </c>
      <c r="D2191">
        <v>3.5374940000000001</v>
      </c>
      <c r="E2191">
        <v>0.49585129999999999</v>
      </c>
      <c r="F2191" t="s">
        <v>47</v>
      </c>
      <c r="G2191">
        <v>-491.86790000000002</v>
      </c>
      <c r="H2191" s="1">
        <v>5.4647130000000001E-6</v>
      </c>
      <c r="I2191">
        <v>227.21279999999999</v>
      </c>
      <c r="J2191">
        <v>-495.08319999999998</v>
      </c>
      <c r="K2191">
        <v>1.1077109999999999</v>
      </c>
      <c r="L2191">
        <v>250.89240000000001</v>
      </c>
      <c r="M2191">
        <v>0.1500852</v>
      </c>
      <c r="N2191">
        <v>0</v>
      </c>
      <c r="O2191">
        <v>-0.98855959999999998</v>
      </c>
      <c r="P2191">
        <v>0.1203626</v>
      </c>
      <c r="Q2191">
        <v>0.14988399999999999</v>
      </c>
      <c r="R2191">
        <v>-0.98134999999999994</v>
      </c>
      <c r="S2191">
        <v>0.41131590000000001</v>
      </c>
      <c r="T2191">
        <v>-0.13990820000000001</v>
      </c>
      <c r="U2191">
        <v>-3.0271300000000001</v>
      </c>
      <c r="V2191">
        <v>2.9316160000000001E-2</v>
      </c>
      <c r="W2191">
        <v>0.16449250000000001</v>
      </c>
      <c r="X2191">
        <v>0.9859426</v>
      </c>
      <c r="Y2191">
        <v>1.5760409999999999E-2</v>
      </c>
      <c r="Z2191">
        <v>4.51774E-2</v>
      </c>
      <c r="AA2191">
        <v>0.99885460000000004</v>
      </c>
      <c r="AB2191">
        <v>30</v>
      </c>
      <c r="AC2191">
        <v>3.2152999999999499</v>
      </c>
      <c r="AD2191">
        <v>-1.107705535287</v>
      </c>
      <c r="AE2191">
        <v>-23.679600000000001</v>
      </c>
      <c r="AF2191">
        <v>0.37467888850228398</v>
      </c>
      <c r="AG2191">
        <v>-1.107705535287</v>
      </c>
      <c r="AH2191">
        <v>23.842715649265099</v>
      </c>
      <c r="AI2191">
        <v>92.659656351407094</v>
      </c>
      <c r="AJ2191">
        <v>89.099693489826507</v>
      </c>
      <c r="AK2191">
        <v>23.871373763445298</v>
      </c>
      <c r="AL2191">
        <v>80.532246105697098</v>
      </c>
      <c r="AM2191">
        <v>88.2968608052729</v>
      </c>
      <c r="AN2191">
        <v>1.00000001514407</v>
      </c>
    </row>
    <row r="2192" spans="1:40" x14ac:dyDescent="0.25">
      <c r="A2192" t="str">
        <f>"20190312172700304"</f>
        <v>20190312172700304</v>
      </c>
      <c r="B2192" t="str">
        <f>"1552382820300733"</f>
        <v>1552382820300733</v>
      </c>
      <c r="C2192" t="s">
        <v>40</v>
      </c>
      <c r="D2192">
        <v>3.6070609999999999</v>
      </c>
      <c r="E2192">
        <v>0.52800930000000001</v>
      </c>
      <c r="F2192" t="s">
        <v>47</v>
      </c>
      <c r="G2192">
        <v>-491.81830000000002</v>
      </c>
      <c r="H2192" s="1">
        <v>5.2134709999999898E-6</v>
      </c>
      <c r="I2192">
        <v>226.36619999999999</v>
      </c>
      <c r="J2192">
        <v>-495.04129999999998</v>
      </c>
      <c r="K2192">
        <v>1.107726</v>
      </c>
      <c r="L2192">
        <v>250.59520000000001</v>
      </c>
      <c r="M2192">
        <v>0.14707690000000001</v>
      </c>
      <c r="N2192">
        <v>0</v>
      </c>
      <c r="O2192">
        <v>-0.98901220000000001</v>
      </c>
      <c r="P2192">
        <v>0.1176143</v>
      </c>
      <c r="Q2192">
        <v>0.15123499999999901</v>
      </c>
      <c r="R2192">
        <v>-0.98147589999999996</v>
      </c>
      <c r="S2192">
        <v>0.40313719999999997</v>
      </c>
      <c r="T2192">
        <v>-0.13677810000000001</v>
      </c>
      <c r="U2192">
        <v>-3.0284580000000001</v>
      </c>
      <c r="V2192">
        <v>2.905398E-2</v>
      </c>
      <c r="W2192">
        <v>0.1658116</v>
      </c>
      <c r="X2192">
        <v>0.98572930000000003</v>
      </c>
      <c r="Y2192">
        <v>1.5420390000000001E-2</v>
      </c>
      <c r="Z2192">
        <v>4.4187810000000001E-2</v>
      </c>
      <c r="AA2192">
        <v>0.99890420000000002</v>
      </c>
      <c r="AB2192">
        <v>30</v>
      </c>
      <c r="AC2192">
        <v>3.2229999999999501</v>
      </c>
      <c r="AD2192">
        <v>-1.107720786529</v>
      </c>
      <c r="AE2192">
        <v>-24.228999999999999</v>
      </c>
      <c r="AF2192">
        <v>0.37521122811253499</v>
      </c>
      <c r="AG2192">
        <v>-1.107720786529</v>
      </c>
      <c r="AH2192">
        <v>24.389441071074199</v>
      </c>
      <c r="AI2192">
        <v>92.600168062966006</v>
      </c>
      <c r="AJ2192">
        <v>89.118621702825905</v>
      </c>
      <c r="AK2192">
        <v>24.417466383021999</v>
      </c>
      <c r="AL2192">
        <v>80.455614191932199</v>
      </c>
      <c r="AM2192">
        <v>88.311718418916399</v>
      </c>
      <c r="AN2192">
        <v>0.999999936663443</v>
      </c>
    </row>
    <row r="2193" spans="1:40" x14ac:dyDescent="0.25">
      <c r="A2193" t="str">
        <f>"20190312172700328"</f>
        <v>20190312172700328</v>
      </c>
      <c r="B2193" t="str">
        <f>"1552382820321228"</f>
        <v>1552382820321228</v>
      </c>
      <c r="C2193" t="s">
        <v>40</v>
      </c>
      <c r="D2193">
        <v>3.6339549999999998</v>
      </c>
      <c r="E2193">
        <v>0.54214700000000005</v>
      </c>
      <c r="F2193" t="s">
        <v>41</v>
      </c>
      <c r="G2193">
        <v>-494.08659999999998</v>
      </c>
      <c r="H2193" s="1">
        <v>-1.129718E-6</v>
      </c>
      <c r="I2193">
        <v>229.68790000000001</v>
      </c>
      <c r="J2193">
        <v>-494.99869999999999</v>
      </c>
      <c r="K2193">
        <v>1.107734</v>
      </c>
      <c r="L2193">
        <v>250.28620000000001</v>
      </c>
      <c r="M2193">
        <v>0.1439619</v>
      </c>
      <c r="N2193">
        <v>0</v>
      </c>
      <c r="O2193">
        <v>-0.98947099999999999</v>
      </c>
      <c r="P2193">
        <v>0.1150789</v>
      </c>
      <c r="Q2193">
        <v>0.1523504</v>
      </c>
      <c r="R2193">
        <v>-0.98160420000000004</v>
      </c>
      <c r="S2193">
        <v>0.13995360000000001</v>
      </c>
      <c r="T2193">
        <v>-0.162385</v>
      </c>
      <c r="U2193">
        <v>-3.0648650000000002</v>
      </c>
      <c r="V2193">
        <v>2.847423E-2</v>
      </c>
      <c r="W2193">
        <v>0.16689870000000001</v>
      </c>
      <c r="X2193">
        <v>0.98556279999999996</v>
      </c>
      <c r="Y2193">
        <v>9.8748649999999993E-2</v>
      </c>
      <c r="Z2193">
        <v>5.192679E-2</v>
      </c>
      <c r="AA2193">
        <v>0.99375670000000005</v>
      </c>
      <c r="AB2193">
        <v>30</v>
      </c>
      <c r="AC2193">
        <v>0.91210000000000901</v>
      </c>
      <c r="AD2193">
        <v>-1.107735129718</v>
      </c>
      <c r="AE2193">
        <v>-20.598299999999899</v>
      </c>
      <c r="AF2193">
        <v>2.0571652105639902</v>
      </c>
      <c r="AG2193">
        <v>-1.107735129718</v>
      </c>
      <c r="AH2193">
        <v>20.455962240073799</v>
      </c>
      <c r="AI2193">
        <v>93.084138239191404</v>
      </c>
      <c r="AJ2193">
        <v>84.257325537389704</v>
      </c>
      <c r="AK2193">
        <v>20.588962989633298</v>
      </c>
      <c r="AL2193">
        <v>80.392448344132802</v>
      </c>
      <c r="AM2193">
        <v>88.345108499180995</v>
      </c>
      <c r="AN2193">
        <v>0.99999999528981098</v>
      </c>
    </row>
    <row r="2194" spans="1:40" x14ac:dyDescent="0.25">
      <c r="A2194" t="str">
        <f>"20190312172700351"</f>
        <v>20190312172700351</v>
      </c>
      <c r="B2194" t="str">
        <f>"1552382820340748"</f>
        <v>1552382820340748</v>
      </c>
      <c r="C2194" t="s">
        <v>40</v>
      </c>
      <c r="D2194">
        <v>3.5726390000000001</v>
      </c>
      <c r="E2194">
        <v>0.54652650000000003</v>
      </c>
      <c r="F2194" t="s">
        <v>47</v>
      </c>
      <c r="G2194">
        <v>-494.8623</v>
      </c>
      <c r="H2194" s="1">
        <v>5.3089720000000004E-6</v>
      </c>
      <c r="I2194">
        <v>229.5309</v>
      </c>
      <c r="J2194">
        <v>-494.95679999999999</v>
      </c>
      <c r="K2194">
        <v>1.10775</v>
      </c>
      <c r="L2194">
        <v>249.9736</v>
      </c>
      <c r="M2194">
        <v>0.14084059999999901</v>
      </c>
      <c r="N2194">
        <v>0</v>
      </c>
      <c r="O2194">
        <v>-0.98992040000000003</v>
      </c>
      <c r="P2194">
        <v>0.1129595</v>
      </c>
      <c r="Q2194">
        <v>0.1517174</v>
      </c>
      <c r="R2194">
        <v>-0.98194820000000005</v>
      </c>
      <c r="S2194">
        <v>2.0233149999999998E-2</v>
      </c>
      <c r="T2194">
        <v>-0.16434749999999901</v>
      </c>
      <c r="U2194">
        <v>-3.0793460000000001</v>
      </c>
      <c r="V2194">
        <v>2.749453E-2</v>
      </c>
      <c r="W2194">
        <v>0.16624800000000001</v>
      </c>
      <c r="X2194">
        <v>0.98570060000000004</v>
      </c>
      <c r="Y2194">
        <v>0.13435629999999901</v>
      </c>
      <c r="Z2194">
        <v>5.225639E-2</v>
      </c>
      <c r="AA2194">
        <v>0.9895543</v>
      </c>
      <c r="AB2194">
        <v>30</v>
      </c>
      <c r="AC2194">
        <v>9.4499999999982195E-2</v>
      </c>
      <c r="AD2194">
        <v>-1.107744691028</v>
      </c>
      <c r="AE2194">
        <v>-20.442699999999999</v>
      </c>
      <c r="AF2194">
        <v>2.7777670231530598</v>
      </c>
      <c r="AG2194">
        <v>-1.107744691028</v>
      </c>
      <c r="AH2194">
        <v>20.192907030840399</v>
      </c>
      <c r="AI2194">
        <v>93.110754403282499</v>
      </c>
      <c r="AJ2194">
        <v>82.167463979216194</v>
      </c>
      <c r="AK2194">
        <v>20.413147290204499</v>
      </c>
      <c r="AL2194">
        <v>80.430259098170495</v>
      </c>
      <c r="AM2194">
        <v>88.402240838050005</v>
      </c>
      <c r="AN2194">
        <v>1.00000000976214</v>
      </c>
    </row>
    <row r="2195" spans="1:40" x14ac:dyDescent="0.25">
      <c r="A2195" t="str">
        <f>"20190312172700371"</f>
        <v>20190312172700371</v>
      </c>
      <c r="B2195" t="str">
        <f>"1552382820361244"</f>
        <v>1552382820361244</v>
      </c>
      <c r="C2195" t="s">
        <v>40</v>
      </c>
      <c r="D2195">
        <v>3.5733730000000001</v>
      </c>
      <c r="E2195">
        <v>0.54893910000000001</v>
      </c>
      <c r="F2195" t="s">
        <v>47</v>
      </c>
      <c r="G2195">
        <v>-495.10750000000002</v>
      </c>
      <c r="H2195" s="1">
        <v>5.2480850000000004E-6</v>
      </c>
      <c r="I2195">
        <v>229.5506</v>
      </c>
      <c r="J2195">
        <v>-494.91919999999999</v>
      </c>
      <c r="K2195">
        <v>1.1077729999999999</v>
      </c>
      <c r="L2195">
        <v>249.6875</v>
      </c>
      <c r="M2195">
        <v>0.13802310000000001</v>
      </c>
      <c r="N2195">
        <v>0</v>
      </c>
      <c r="O2195">
        <v>-0.99031749999999996</v>
      </c>
      <c r="P2195">
        <v>0.11187329999999999</v>
      </c>
      <c r="Q2195">
        <v>0.15139920000000001</v>
      </c>
      <c r="R2195">
        <v>-0.98212149999999998</v>
      </c>
      <c r="S2195">
        <v>-2.2766109999999999E-2</v>
      </c>
      <c r="T2195">
        <v>-0.1672554</v>
      </c>
      <c r="U2195">
        <v>-3.083618</v>
      </c>
      <c r="V2195">
        <v>2.5768650000000001E-2</v>
      </c>
      <c r="W2195">
        <v>0.16592029999999999</v>
      </c>
      <c r="X2195">
        <v>0.98580239999999997</v>
      </c>
      <c r="Y2195">
        <v>0.14533509999999999</v>
      </c>
      <c r="Z2195">
        <v>5.3094639999999999E-2</v>
      </c>
      <c r="AA2195">
        <v>0.98795679999999997</v>
      </c>
      <c r="AB2195">
        <v>30</v>
      </c>
      <c r="AC2195">
        <v>-0.188300000000026</v>
      </c>
      <c r="AD2195">
        <v>-1.107767751915</v>
      </c>
      <c r="AE2195">
        <v>-20.136900000000001</v>
      </c>
      <c r="AF2195">
        <v>2.9572131020260599</v>
      </c>
      <c r="AG2195">
        <v>-1.107767751915</v>
      </c>
      <c r="AH2195">
        <v>19.858043352887499</v>
      </c>
      <c r="AI2195">
        <v>93.158143202915099</v>
      </c>
      <c r="AJ2195">
        <v>81.529893607230406</v>
      </c>
      <c r="AK2195">
        <v>20.107564360910001</v>
      </c>
      <c r="AL2195">
        <v>80.449298986255101</v>
      </c>
      <c r="AM2195">
        <v>88.502642365289404</v>
      </c>
      <c r="AN2195">
        <v>0.99999997056033496</v>
      </c>
    </row>
    <row r="2196" spans="1:40" x14ac:dyDescent="0.25">
      <c r="A2196" t="str">
        <f>"20190312172700394"</f>
        <v>20190312172700394</v>
      </c>
      <c r="B2196" t="str">
        <f>"1552382820391500"</f>
        <v>1552382820391500</v>
      </c>
      <c r="C2196" t="s">
        <v>40</v>
      </c>
      <c r="D2196">
        <v>3.6138979999999998</v>
      </c>
      <c r="E2196">
        <v>0.55056870000000002</v>
      </c>
      <c r="F2196" t="s">
        <v>41</v>
      </c>
      <c r="G2196">
        <v>-495.21</v>
      </c>
      <c r="H2196" s="1">
        <v>-1.4486739999999999E-6</v>
      </c>
      <c r="I2196">
        <v>229.7346</v>
      </c>
      <c r="J2196">
        <v>-494.88150000000002</v>
      </c>
      <c r="K2196">
        <v>1.107807</v>
      </c>
      <c r="L2196">
        <v>249.39500000000001</v>
      </c>
      <c r="M2196">
        <v>0.13518269999999999</v>
      </c>
      <c r="N2196">
        <v>0</v>
      </c>
      <c r="O2196">
        <v>-0.99070950000000002</v>
      </c>
      <c r="P2196">
        <v>0.110544</v>
      </c>
      <c r="Q2196">
        <v>0.1514721</v>
      </c>
      <c r="R2196">
        <v>-0.98226100000000005</v>
      </c>
      <c r="S2196">
        <v>-4.4982910000000001E-2</v>
      </c>
      <c r="T2196">
        <v>-0.171341299999999</v>
      </c>
      <c r="U2196">
        <v>-3.0861510000000001</v>
      </c>
      <c r="V2196">
        <v>2.425513E-2</v>
      </c>
      <c r="W2196">
        <v>0.16598280000000001</v>
      </c>
      <c r="X2196">
        <v>0.98583030000000005</v>
      </c>
      <c r="Y2196">
        <v>0.1496007</v>
      </c>
      <c r="Z2196">
        <v>5.435591E-2</v>
      </c>
      <c r="AA2196">
        <v>0.98725130000000005</v>
      </c>
      <c r="AB2196">
        <v>30</v>
      </c>
      <c r="AC2196">
        <v>-0.32849999999996199</v>
      </c>
      <c r="AD2196">
        <v>-1.1078084486740001</v>
      </c>
      <c r="AE2196">
        <v>-19.660399999999999</v>
      </c>
      <c r="AF2196">
        <v>2.9740826183482598</v>
      </c>
      <c r="AG2196">
        <v>-1.1078084486740001</v>
      </c>
      <c r="AH2196">
        <v>19.373983349527698</v>
      </c>
      <c r="AI2196">
        <v>93.234810744563305</v>
      </c>
      <c r="AJ2196">
        <v>81.2727043134133</v>
      </c>
      <c r="AK2196">
        <v>19.632209193249</v>
      </c>
      <c r="AL2196">
        <v>80.445667842756606</v>
      </c>
      <c r="AM2196">
        <v>88.5905928605914</v>
      </c>
      <c r="AN2196">
        <v>0.99999999081262303</v>
      </c>
    </row>
    <row r="2197" spans="1:40" x14ac:dyDescent="0.25">
      <c r="A2197" t="str">
        <f>"20190312172700416"</f>
        <v>20190312172700416</v>
      </c>
      <c r="B2197" t="str">
        <f>"1552382820411020"</f>
        <v>1552382820411020</v>
      </c>
      <c r="C2197" t="s">
        <v>40</v>
      </c>
      <c r="D2197">
        <v>3.6091190000000002</v>
      </c>
      <c r="E2197">
        <v>0.55128599999999905</v>
      </c>
      <c r="F2197" t="s">
        <v>41</v>
      </c>
      <c r="G2197">
        <v>-495.26170000000002</v>
      </c>
      <c r="H2197" s="1">
        <v>-1.589339E-6</v>
      </c>
      <c r="I2197">
        <v>230.03039999999999</v>
      </c>
      <c r="J2197">
        <v>-494.84370000000001</v>
      </c>
      <c r="K2197">
        <v>1.1078650000000001</v>
      </c>
      <c r="L2197">
        <v>249.09370000000001</v>
      </c>
      <c r="M2197">
        <v>0.132327799999999</v>
      </c>
      <c r="N2197">
        <v>0</v>
      </c>
      <c r="O2197">
        <v>-0.99109530000000001</v>
      </c>
      <c r="P2197">
        <v>0.10955380000000001</v>
      </c>
      <c r="Q2197">
        <v>0.15204679999999901</v>
      </c>
      <c r="R2197">
        <v>-0.98228320000000002</v>
      </c>
      <c r="S2197">
        <v>-6.063843E-2</v>
      </c>
      <c r="T2197">
        <v>-0.1766723</v>
      </c>
      <c r="U2197">
        <v>-3.0882420000000002</v>
      </c>
      <c r="V2197">
        <v>2.2372900000000001E-2</v>
      </c>
      <c r="W2197">
        <v>0.1665499</v>
      </c>
      <c r="X2197">
        <v>0.98577919999999997</v>
      </c>
      <c r="Y2197">
        <v>0.1517433</v>
      </c>
      <c r="Z2197">
        <v>5.6025070000000003E-2</v>
      </c>
      <c r="AA2197">
        <v>0.98683089999999996</v>
      </c>
      <c r="AB2197">
        <v>30</v>
      </c>
      <c r="AC2197">
        <v>-0.41800000000000598</v>
      </c>
      <c r="AD2197">
        <v>-1.1078665893389901</v>
      </c>
      <c r="AE2197">
        <v>-19.063300000000002</v>
      </c>
      <c r="AF2197">
        <v>2.92732279790896</v>
      </c>
      <c r="AG2197">
        <v>-1.1078665893389901</v>
      </c>
      <c r="AH2197">
        <v>18.776915335445398</v>
      </c>
      <c r="AI2197">
        <v>93.336414240064101</v>
      </c>
      <c r="AJ2197">
        <v>81.138912440955394</v>
      </c>
      <c r="AK2197">
        <v>19.0359958147037</v>
      </c>
      <c r="AL2197">
        <v>80.41271707157</v>
      </c>
      <c r="AM2197">
        <v>88.699858224741703</v>
      </c>
      <c r="AN2197">
        <v>1.00000002349852</v>
      </c>
    </row>
    <row r="2198" spans="1:40" x14ac:dyDescent="0.25">
      <c r="A2198" t="str">
        <f>"20190312172700439"</f>
        <v>20190312172700439</v>
      </c>
      <c r="B2198" t="str">
        <f>"1552382820431516"</f>
        <v>1552382820431516</v>
      </c>
      <c r="C2198" t="s">
        <v>40</v>
      </c>
      <c r="D2198">
        <v>3.5996670000000002</v>
      </c>
      <c r="E2198">
        <v>0.55189129999999997</v>
      </c>
      <c r="F2198" t="s">
        <v>41</v>
      </c>
      <c r="G2198">
        <v>-495.27199999999999</v>
      </c>
      <c r="H2198" s="1">
        <v>-1.437247E-6</v>
      </c>
      <c r="I2198">
        <v>229.6695</v>
      </c>
      <c r="J2198">
        <v>-494.80610000000001</v>
      </c>
      <c r="K2198">
        <v>1.107953</v>
      </c>
      <c r="L2198">
        <v>248.78899999999999</v>
      </c>
      <c r="M2198">
        <v>0.12955069999999999</v>
      </c>
      <c r="N2198">
        <v>0</v>
      </c>
      <c r="O2198">
        <v>-0.99146230000000002</v>
      </c>
      <c r="P2198">
        <v>0.1101362</v>
      </c>
      <c r="Q2198">
        <v>0.1518833</v>
      </c>
      <c r="R2198">
        <v>-0.98224299999999998</v>
      </c>
      <c r="S2198">
        <v>-6.8115229999999999E-2</v>
      </c>
      <c r="T2198">
        <v>-0.1761808</v>
      </c>
      <c r="U2198">
        <v>-3.0889739999999999</v>
      </c>
      <c r="V2198">
        <v>1.8988120000000001E-2</v>
      </c>
      <c r="W2198">
        <v>0.16639139999999999</v>
      </c>
      <c r="X2198">
        <v>0.98587689999999994</v>
      </c>
      <c r="Y2198">
        <v>0.1513573</v>
      </c>
      <c r="Z2198">
        <v>5.5888090000000001E-2</v>
      </c>
      <c r="AA2198">
        <v>0.98689789999999999</v>
      </c>
      <c r="AB2198">
        <v>30</v>
      </c>
      <c r="AC2198">
        <v>-0.465899999999976</v>
      </c>
      <c r="AD2198">
        <v>-1.107954437247</v>
      </c>
      <c r="AE2198">
        <v>-19.119499999999999</v>
      </c>
      <c r="AF2198">
        <v>2.92935776166722</v>
      </c>
      <c r="AG2198">
        <v>-1.107954437247</v>
      </c>
      <c r="AH2198">
        <v>18.834765314089001</v>
      </c>
      <c r="AI2198">
        <v>93.326639923368305</v>
      </c>
      <c r="AJ2198">
        <v>81.159654543873302</v>
      </c>
      <c r="AK2198">
        <v>19.093378024007901</v>
      </c>
      <c r="AL2198">
        <v>80.421926294672403</v>
      </c>
      <c r="AM2198">
        <v>88.8966121001895</v>
      </c>
      <c r="AN2198">
        <v>0.99999995432435096</v>
      </c>
    </row>
    <row r="2199" spans="1:40" x14ac:dyDescent="0.25">
      <c r="A2199" t="str">
        <f>"20190312172700461"</f>
        <v>20190312172700461</v>
      </c>
      <c r="B2199" t="str">
        <f>"1552382820451035"</f>
        <v>1552382820451035</v>
      </c>
      <c r="C2199" t="s">
        <v>40</v>
      </c>
      <c r="D2199">
        <v>3.561156</v>
      </c>
      <c r="E2199">
        <v>0.55241980000000002</v>
      </c>
      <c r="F2199" t="s">
        <v>47</v>
      </c>
      <c r="G2199">
        <v>-495.23939999999999</v>
      </c>
      <c r="H2199" s="1">
        <v>5.2246870000000004E-6</v>
      </c>
      <c r="I2199">
        <v>229.6035</v>
      </c>
      <c r="J2199">
        <v>-494.7704</v>
      </c>
      <c r="K2199">
        <v>1.1080650000000001</v>
      </c>
      <c r="L2199">
        <v>248.49350000000001</v>
      </c>
      <c r="M2199">
        <v>0.12700910000000001</v>
      </c>
      <c r="N2199">
        <v>0</v>
      </c>
      <c r="O2199">
        <v>-0.99179170000000005</v>
      </c>
      <c r="P2199">
        <v>0.1138922</v>
      </c>
      <c r="Q2199">
        <v>0.15149470000000001</v>
      </c>
      <c r="R2199">
        <v>-0.98187539999999995</v>
      </c>
      <c r="S2199">
        <v>-6.97937E-2</v>
      </c>
      <c r="T2199">
        <v>-0.1784239</v>
      </c>
      <c r="U2199">
        <v>-3.0896300000000001</v>
      </c>
      <c r="V2199">
        <v>1.2636150000000001E-2</v>
      </c>
      <c r="W2199">
        <v>0.16602510000000001</v>
      </c>
      <c r="X2199">
        <v>0.98604049999999999</v>
      </c>
      <c r="Y2199">
        <v>0.14935379999999901</v>
      </c>
      <c r="Z2199">
        <v>5.6622169999999999E-2</v>
      </c>
      <c r="AA2199">
        <v>0.98716130000000002</v>
      </c>
      <c r="AB2199">
        <v>30</v>
      </c>
      <c r="AC2199">
        <v>-0.46899999999999398</v>
      </c>
      <c r="AD2199">
        <v>-1.1080597753129999</v>
      </c>
      <c r="AE2199">
        <v>-18.89</v>
      </c>
      <c r="AF2199">
        <v>2.8548473701514299</v>
      </c>
      <c r="AG2199">
        <v>-1.1080597753129999</v>
      </c>
      <c r="AH2199">
        <v>18.6134070718986</v>
      </c>
      <c r="AI2199">
        <v>93.367521798946996</v>
      </c>
      <c r="AJ2199">
        <v>81.280162263943794</v>
      </c>
      <c r="AK2199">
        <v>18.863638906550701</v>
      </c>
      <c r="AL2199">
        <v>80.443209610450594</v>
      </c>
      <c r="AM2199">
        <v>89.265792393650898</v>
      </c>
      <c r="AN2199">
        <v>0.99999993687853905</v>
      </c>
    </row>
    <row r="2200" spans="1:40" x14ac:dyDescent="0.25">
      <c r="A2200" t="str">
        <f>"20190312172700484"</f>
        <v>20190312172700484</v>
      </c>
      <c r="B2200" t="str">
        <f>"1552382820481293"</f>
        <v>1552382820481293</v>
      </c>
      <c r="C2200" t="s">
        <v>40</v>
      </c>
      <c r="D2200">
        <v>3.561852</v>
      </c>
      <c r="E2200">
        <v>0.55284940000000005</v>
      </c>
      <c r="F2200" t="s">
        <v>47</v>
      </c>
      <c r="G2200">
        <v>-495.15879999999999</v>
      </c>
      <c r="H2200" s="1">
        <v>5.1847410000000002E-6</v>
      </c>
      <c r="I2200">
        <v>229.32579999999999</v>
      </c>
      <c r="J2200">
        <v>-494.73500000000001</v>
      </c>
      <c r="K2200">
        <v>1.108214</v>
      </c>
      <c r="L2200">
        <v>248.19659999999999</v>
      </c>
      <c r="M2200">
        <v>0.12465610000000001</v>
      </c>
      <c r="N2200">
        <v>0</v>
      </c>
      <c r="O2200">
        <v>-0.99209029999999998</v>
      </c>
      <c r="P2200">
        <v>0.1190489</v>
      </c>
      <c r="Q2200">
        <v>0.1526565</v>
      </c>
      <c r="R2200">
        <v>-0.98108300000000004</v>
      </c>
      <c r="S2200">
        <v>-6.2622070000000002E-2</v>
      </c>
      <c r="T2200">
        <v>-0.1786394</v>
      </c>
      <c r="U2200">
        <v>-3.090195</v>
      </c>
      <c r="V2200">
        <v>5.0211700000000001E-3</v>
      </c>
      <c r="W2200">
        <v>0.16720009999999999</v>
      </c>
      <c r="X2200">
        <v>0.98591019999999896</v>
      </c>
      <c r="Y2200">
        <v>0.1447127</v>
      </c>
      <c r="Z2200">
        <v>5.6727220000000002E-2</v>
      </c>
      <c r="AA2200">
        <v>0.98784629999999995</v>
      </c>
      <c r="AB2200">
        <v>30</v>
      </c>
      <c r="AC2200">
        <v>-0.42379999999997098</v>
      </c>
      <c r="AD2200">
        <v>-1.1082088152589999</v>
      </c>
      <c r="AE2200">
        <v>-18.870799999999999</v>
      </c>
      <c r="AF2200">
        <v>2.7635839368446198</v>
      </c>
      <c r="AG2200">
        <v>-1.1082088152589999</v>
      </c>
      <c r="AH2200">
        <v>18.606603434116</v>
      </c>
      <c r="AI2200">
        <v>93.371608778196205</v>
      </c>
      <c r="AJ2200">
        <v>81.551788858116296</v>
      </c>
      <c r="AK2200">
        <v>18.843333418179</v>
      </c>
      <c r="AL2200">
        <v>80.374933368519194</v>
      </c>
      <c r="AM2200">
        <v>89.708199223539296</v>
      </c>
      <c r="AN2200">
        <v>1.0000000040260999</v>
      </c>
    </row>
    <row r="2201" spans="1:40" x14ac:dyDescent="0.25">
      <c r="A2201" t="str">
        <f>"20190312172700505"</f>
        <v>20190312172700505</v>
      </c>
      <c r="B2201" t="str">
        <f>"1552382820500811"</f>
        <v>1552382820500811</v>
      </c>
      <c r="C2201" t="s">
        <v>40</v>
      </c>
      <c r="D2201">
        <v>3.5658180000000002</v>
      </c>
      <c r="E2201">
        <v>0.553234</v>
      </c>
      <c r="F2201" t="s">
        <v>47</v>
      </c>
      <c r="G2201">
        <v>-495.03750000000002</v>
      </c>
      <c r="H2201" s="1">
        <v>5.0985850000000004E-6</v>
      </c>
      <c r="I2201">
        <v>228.7901</v>
      </c>
      <c r="J2201">
        <v>-494.70119999999997</v>
      </c>
      <c r="K2201">
        <v>1.1084080000000001</v>
      </c>
      <c r="L2201">
        <v>247.90899999999999</v>
      </c>
      <c r="M2201">
        <v>0.1226246</v>
      </c>
      <c r="N2201">
        <v>0</v>
      </c>
      <c r="O2201">
        <v>-0.992344</v>
      </c>
      <c r="P2201">
        <v>0.1248933</v>
      </c>
      <c r="Q2201">
        <v>0.15522830000000001</v>
      </c>
      <c r="R2201">
        <v>-0.97995200000000005</v>
      </c>
      <c r="S2201">
        <v>-4.8187260000000003E-2</v>
      </c>
      <c r="T2201">
        <v>-0.17652079999999901</v>
      </c>
      <c r="U2201">
        <v>-3.0911559999999998</v>
      </c>
      <c r="V2201">
        <v>-3.0068109999999999E-3</v>
      </c>
      <c r="W2201">
        <v>0.16977059999999999</v>
      </c>
      <c r="X2201">
        <v>0.98547899999999999</v>
      </c>
      <c r="Y2201">
        <v>0.13806650000000001</v>
      </c>
      <c r="Z2201">
        <v>5.6090399999999999E-2</v>
      </c>
      <c r="AA2201">
        <v>0.98883339999999997</v>
      </c>
      <c r="AB2201">
        <v>30</v>
      </c>
      <c r="AC2201">
        <v>-0.336300000000051</v>
      </c>
      <c r="AD2201">
        <v>-1.1084029014149901</v>
      </c>
      <c r="AE2201">
        <v>-19.1189</v>
      </c>
      <c r="AF2201">
        <v>2.66949342347765</v>
      </c>
      <c r="AG2201">
        <v>-1.1084029014149901</v>
      </c>
      <c r="AH2201">
        <v>18.869935195134801</v>
      </c>
      <c r="AI2201">
        <v>93.328572456612093</v>
      </c>
      <c r="AJ2201">
        <v>81.947908691814803</v>
      </c>
      <c r="AK2201">
        <v>19.090028978460001</v>
      </c>
      <c r="AL2201">
        <v>80.225518259226405</v>
      </c>
      <c r="AM2201">
        <v>90.174815541986504</v>
      </c>
      <c r="AN2201">
        <v>0.99999997848887401</v>
      </c>
    </row>
    <row r="2202" spans="1:40" x14ac:dyDescent="0.25">
      <c r="A2202" t="str">
        <f>"20190312172700529"</f>
        <v>20190312172700529</v>
      </c>
      <c r="B2202" t="str">
        <f>"1552382820521308"</f>
        <v>1552382820521308</v>
      </c>
      <c r="C2202" t="s">
        <v>40</v>
      </c>
      <c r="D2202">
        <v>3.5658050000000001</v>
      </c>
      <c r="E2202">
        <v>0.55366959999999998</v>
      </c>
      <c r="F2202" t="s">
        <v>47</v>
      </c>
      <c r="G2202">
        <v>-494.89150000000001</v>
      </c>
      <c r="H2202" s="1">
        <v>4.9460510000000001E-6</v>
      </c>
      <c r="I2202">
        <v>227.92449999999999</v>
      </c>
      <c r="J2202">
        <v>-494.66520000000003</v>
      </c>
      <c r="K2202">
        <v>1.108654</v>
      </c>
      <c r="L2202">
        <v>247.60059999999999</v>
      </c>
      <c r="M2202">
        <v>0.1207743</v>
      </c>
      <c r="N2202">
        <v>0</v>
      </c>
      <c r="O2202">
        <v>-0.9925716</v>
      </c>
      <c r="P2202">
        <v>0.13239039999999999</v>
      </c>
      <c r="Q2202">
        <v>0.15626180000000001</v>
      </c>
      <c r="R2202">
        <v>-0.97880299999999998</v>
      </c>
      <c r="S2202">
        <v>-2.944946E-2</v>
      </c>
      <c r="T2202">
        <v>-0.17150889999999999</v>
      </c>
      <c r="U2202">
        <v>-3.0922999999999998</v>
      </c>
      <c r="V2202">
        <v>-1.2528020000000001E-2</v>
      </c>
      <c r="W2202">
        <v>0.17078699999999999</v>
      </c>
      <c r="X2202">
        <v>0.98522829999999995</v>
      </c>
      <c r="Y2202">
        <v>0.13022010000000001</v>
      </c>
      <c r="Z2202">
        <v>5.4533079999999998E-2</v>
      </c>
      <c r="AA2202">
        <v>0.98998430000000004</v>
      </c>
      <c r="AB2202">
        <v>30</v>
      </c>
      <c r="AC2202">
        <v>-0.22629999999997999</v>
      </c>
      <c r="AD2202">
        <v>-1.1086490539489999</v>
      </c>
      <c r="AE2202">
        <v>-19.676099999999899</v>
      </c>
      <c r="AF2202">
        <v>2.59303489189409</v>
      </c>
      <c r="AG2202">
        <v>-1.1086490539489999</v>
      </c>
      <c r="AH2202">
        <v>19.442986985172301</v>
      </c>
      <c r="AI2202">
        <v>93.234920240880001</v>
      </c>
      <c r="AJ2202">
        <v>82.403513356918694</v>
      </c>
      <c r="AK2202">
        <v>19.646441804586001</v>
      </c>
      <c r="AL2202">
        <v>80.166419729837301</v>
      </c>
      <c r="AM2202">
        <v>90.728525548370897</v>
      </c>
      <c r="AN2202">
        <v>0.99999997688750497</v>
      </c>
    </row>
    <row r="2203" spans="1:40" x14ac:dyDescent="0.25">
      <c r="A2203" t="str">
        <f>"20190312172700552"</f>
        <v>20190312172700552</v>
      </c>
      <c r="B2203" t="str">
        <f>"1552382820540828"</f>
        <v>1552382820540828</v>
      </c>
      <c r="C2203" t="s">
        <v>40</v>
      </c>
      <c r="D2203">
        <v>3.5885729999999998</v>
      </c>
      <c r="E2203">
        <v>0.55367109999999997</v>
      </c>
      <c r="F2203" t="s">
        <v>47</v>
      </c>
      <c r="G2203">
        <v>-494.71460000000002</v>
      </c>
      <c r="H2203" s="1">
        <v>4.8799130000000002E-6</v>
      </c>
      <c r="I2203">
        <v>227.41249999999999</v>
      </c>
      <c r="J2203">
        <v>-494.62889999999999</v>
      </c>
      <c r="K2203">
        <v>1.1089420000000001</v>
      </c>
      <c r="L2203">
        <v>247.28739999999999</v>
      </c>
      <c r="M2203">
        <v>0.1193299</v>
      </c>
      <c r="N2203">
        <v>0</v>
      </c>
      <c r="O2203">
        <v>-0.9927473</v>
      </c>
      <c r="P2203">
        <v>0.1412572</v>
      </c>
      <c r="Q2203">
        <v>0.15553889999999901</v>
      </c>
      <c r="R2203">
        <v>-0.97767780000000004</v>
      </c>
      <c r="S2203">
        <v>-7.5683590000000002E-3</v>
      </c>
      <c r="T2203">
        <v>-0.16986189999999901</v>
      </c>
      <c r="U2203">
        <v>-3.093124</v>
      </c>
      <c r="V2203">
        <v>-2.3027280000000001E-2</v>
      </c>
      <c r="W2203">
        <v>0.17001869999999999</v>
      </c>
      <c r="X2203">
        <v>0.98517169999999998</v>
      </c>
      <c r="Y2203">
        <v>0.12176729999999999</v>
      </c>
      <c r="Z2203">
        <v>5.4041680000000002E-2</v>
      </c>
      <c r="AA2203">
        <v>0.99108640000000003</v>
      </c>
      <c r="AB2203">
        <v>30</v>
      </c>
      <c r="AC2203">
        <v>-8.5700000000031196E-2</v>
      </c>
      <c r="AD2203">
        <v>-1.108937120087</v>
      </c>
      <c r="AE2203">
        <v>-19.8749</v>
      </c>
      <c r="AF2203">
        <v>2.4493849422948202</v>
      </c>
      <c r="AG2203">
        <v>-1.108937120087</v>
      </c>
      <c r="AH2203">
        <v>19.661420659336301</v>
      </c>
      <c r="AI2203">
        <v>93.203447481425101</v>
      </c>
      <c r="AJ2203">
        <v>82.898778869390895</v>
      </c>
      <c r="AK2203">
        <v>19.844412071795599</v>
      </c>
      <c r="AL2203">
        <v>80.211093152825399</v>
      </c>
      <c r="AM2203">
        <v>91.338980568700705</v>
      </c>
      <c r="AN2203">
        <v>0.99999994622738697</v>
      </c>
    </row>
    <row r="2204" spans="1:40" x14ac:dyDescent="0.25">
      <c r="A2204" t="str">
        <f>"20190312172700573"</f>
        <v>20190312172700573</v>
      </c>
      <c r="B2204" t="str">
        <f>"1552382820561323"</f>
        <v>1552382820561323</v>
      </c>
      <c r="C2204" t="s">
        <v>40</v>
      </c>
      <c r="D2204">
        <v>3.4686629999999998</v>
      </c>
      <c r="E2204">
        <v>0.50504570000000004</v>
      </c>
      <c r="F2204" t="s">
        <v>47</v>
      </c>
      <c r="G2204">
        <v>-494.50290000000001</v>
      </c>
      <c r="H2204" s="1">
        <v>4.959618E-6</v>
      </c>
      <c r="I2204">
        <v>227.51820000000001</v>
      </c>
      <c r="J2204">
        <v>-494.59750000000003</v>
      </c>
      <c r="K2204">
        <v>1.1091789999999999</v>
      </c>
      <c r="L2204">
        <v>247.01609999999999</v>
      </c>
      <c r="M2204">
        <v>0.11836199999999999</v>
      </c>
      <c r="N2204">
        <v>0</v>
      </c>
      <c r="O2204">
        <v>-0.99286430000000003</v>
      </c>
      <c r="P2204">
        <v>0.15151999999999999</v>
      </c>
      <c r="Q2204">
        <v>0.15660109999999999</v>
      </c>
      <c r="R2204">
        <v>-0.97597040000000002</v>
      </c>
      <c r="S2204">
        <v>1.971436E-2</v>
      </c>
      <c r="T2204">
        <v>-0.17351369999999999</v>
      </c>
      <c r="U2204">
        <v>-3.0932460000000002</v>
      </c>
      <c r="V2204">
        <v>-3.4484010000000002E-2</v>
      </c>
      <c r="W2204">
        <v>0.1710266</v>
      </c>
      <c r="X2204">
        <v>0.98466279999999995</v>
      </c>
      <c r="Y2204">
        <v>0.1120529</v>
      </c>
      <c r="Z2204">
        <v>5.5239129999999997E-2</v>
      </c>
      <c r="AA2204">
        <v>0.99216570000000004</v>
      </c>
      <c r="AB2204">
        <v>30</v>
      </c>
      <c r="AC2204">
        <v>9.4600000000014006E-2</v>
      </c>
      <c r="AD2204">
        <v>-1.1091740403820001</v>
      </c>
      <c r="AE2204">
        <v>-19.497899999999898</v>
      </c>
      <c r="AF2204">
        <v>2.2069771290492901</v>
      </c>
      <c r="AG2204">
        <v>-1.1091740403820001</v>
      </c>
      <c r="AH2204">
        <v>19.309522616112499</v>
      </c>
      <c r="AI2204">
        <v>93.266342078369803</v>
      </c>
      <c r="AJ2204">
        <v>83.479687013133301</v>
      </c>
      <c r="AK2204">
        <v>19.4668610402952</v>
      </c>
      <c r="AL2204">
        <v>80.152487266947205</v>
      </c>
      <c r="AM2204">
        <v>92.005743562852402</v>
      </c>
      <c r="AN2204">
        <v>1.00000003727853</v>
      </c>
    </row>
    <row r="2205" spans="1:40" x14ac:dyDescent="0.25">
      <c r="A2205" t="str">
        <f>"20190312172700594"</f>
        <v>20190312172700594</v>
      </c>
      <c r="B2205" t="str">
        <f>"1552382820591580"</f>
        <v>1552382820591580</v>
      </c>
      <c r="C2205" t="s">
        <v>40</v>
      </c>
      <c r="D2205">
        <v>3.3943439999999998</v>
      </c>
      <c r="E2205">
        <v>0.48291400000000001</v>
      </c>
      <c r="F2205" t="s">
        <v>41</v>
      </c>
      <c r="G2205">
        <v>-492.15039999999999</v>
      </c>
      <c r="H2205" s="1">
        <v>-7.4961650000000002E-7</v>
      </c>
      <c r="I2205">
        <v>230.0027</v>
      </c>
      <c r="J2205">
        <v>-494.5641</v>
      </c>
      <c r="K2205">
        <v>1.1094409999999999</v>
      </c>
      <c r="L2205">
        <v>246.72790000000001</v>
      </c>
      <c r="M2205">
        <v>0.1176777</v>
      </c>
      <c r="N2205">
        <v>0</v>
      </c>
      <c r="O2205">
        <v>-0.99294669999999896</v>
      </c>
      <c r="P2205">
        <v>0.16151460000000001</v>
      </c>
      <c r="Q2205">
        <v>0.15862399999999999</v>
      </c>
      <c r="R2205">
        <v>-0.9740394</v>
      </c>
      <c r="S2205">
        <v>0.43695070000000003</v>
      </c>
      <c r="T2205">
        <v>-0.19805</v>
      </c>
      <c r="U2205">
        <v>-3.0378270000000001</v>
      </c>
      <c r="V2205">
        <v>-4.5424230000000003E-2</v>
      </c>
      <c r="W2205">
        <v>0.17296839999999999</v>
      </c>
      <c r="X2205">
        <v>0.98387930000000001</v>
      </c>
      <c r="Y2205">
        <v>-2.459656E-2</v>
      </c>
      <c r="Z2205">
        <v>6.4043279999999994E-2</v>
      </c>
      <c r="AA2205">
        <v>0.99764390000000003</v>
      </c>
      <c r="AB2205">
        <v>30</v>
      </c>
      <c r="AC2205">
        <v>2.4137</v>
      </c>
      <c r="AD2205">
        <v>-1.1094417496165001</v>
      </c>
      <c r="AE2205">
        <v>-16.725200000000001</v>
      </c>
      <c r="AF2205">
        <v>-0.42669790080369502</v>
      </c>
      <c r="AG2205">
        <v>-1.1094417496165001</v>
      </c>
      <c r="AH2205">
        <v>16.820531948934999</v>
      </c>
      <c r="AI2205">
        <v>93.772415492289497</v>
      </c>
      <c r="AJ2205">
        <v>91.453149442038594</v>
      </c>
      <c r="AK2205">
        <v>16.862479863278899</v>
      </c>
      <c r="AL2205">
        <v>80.039546351904804</v>
      </c>
      <c r="AM2205">
        <v>92.643383027373901</v>
      </c>
      <c r="AN2205">
        <v>0.99999995251907003</v>
      </c>
    </row>
    <row r="2206" spans="1:40" x14ac:dyDescent="0.25">
      <c r="A2206" t="str">
        <f>"20190312172700617"</f>
        <v>20190312172700617</v>
      </c>
      <c r="B2206" t="str">
        <f>"1552382820611100"</f>
        <v>1552382820611100</v>
      </c>
      <c r="C2206" t="s">
        <v>40</v>
      </c>
      <c r="D2206">
        <v>3.282359</v>
      </c>
      <c r="E2206">
        <v>0.42841879999999999</v>
      </c>
      <c r="F2206" t="s">
        <v>47</v>
      </c>
      <c r="G2206">
        <v>-490.85410000000002</v>
      </c>
      <c r="H2206" s="1">
        <v>6.3571919999999997E-6</v>
      </c>
      <c r="I2206">
        <v>229.44829999999999</v>
      </c>
      <c r="J2206">
        <v>-494.52839999999998</v>
      </c>
      <c r="K2206">
        <v>1.1097379999999999</v>
      </c>
      <c r="L2206">
        <v>246.42140000000001</v>
      </c>
      <c r="M2206">
        <v>0.117381399999999</v>
      </c>
      <c r="N2206">
        <v>0</v>
      </c>
      <c r="O2206">
        <v>-0.99298299999999995</v>
      </c>
      <c r="P2206">
        <v>0.16709549999999901</v>
      </c>
      <c r="Q2206">
        <v>0.1590915</v>
      </c>
      <c r="R2206">
        <v>-0.97302089999999997</v>
      </c>
      <c r="S2206">
        <v>0.64505000000000001</v>
      </c>
      <c r="T2206">
        <v>-0.19289700000000001</v>
      </c>
      <c r="U2206">
        <v>-3.00441</v>
      </c>
      <c r="V2206">
        <v>-5.1507780000000003E-2</v>
      </c>
      <c r="W2206">
        <v>0.17332020000000001</v>
      </c>
      <c r="X2206">
        <v>0.98351770000000005</v>
      </c>
      <c r="Y2206">
        <v>-9.3274399999999993E-2</v>
      </c>
      <c r="Z2206">
        <v>6.2562499999999993E-2</v>
      </c>
      <c r="AA2206">
        <v>0.99367289999999997</v>
      </c>
      <c r="AB2206">
        <v>30</v>
      </c>
      <c r="AC2206">
        <v>3.6742999999999602</v>
      </c>
      <c r="AD2206">
        <v>-1.109731642808</v>
      </c>
      <c r="AE2206">
        <v>-16.973099999999999</v>
      </c>
      <c r="AF2206">
        <v>-1.64962600264121</v>
      </c>
      <c r="AG2206">
        <v>-1.109731642808</v>
      </c>
      <c r="AH2206">
        <v>17.216774786096298</v>
      </c>
      <c r="AI2206">
        <v>93.671211974708001</v>
      </c>
      <c r="AJ2206">
        <v>95.473089731256394</v>
      </c>
      <c r="AK2206">
        <v>17.331188773503101</v>
      </c>
      <c r="AL2206">
        <v>80.019081116122507</v>
      </c>
      <c r="AM2206">
        <v>92.997896990738695</v>
      </c>
      <c r="AN2206">
        <v>1.0000000046709201</v>
      </c>
    </row>
    <row r="2207" spans="1:40" x14ac:dyDescent="0.25">
      <c r="A2207" t="str">
        <f>"20190312172700641"</f>
        <v>20190312172700641</v>
      </c>
      <c r="B2207" t="str">
        <f>"1552382820631596"</f>
        <v>1552382820631596</v>
      </c>
      <c r="C2207" t="s">
        <v>40</v>
      </c>
      <c r="D2207">
        <v>3.291954</v>
      </c>
      <c r="E2207">
        <v>0.42767860000000002</v>
      </c>
      <c r="F2207" t="s">
        <v>41</v>
      </c>
      <c r="G2207">
        <v>-488.35160000000002</v>
      </c>
      <c r="H2207" s="1">
        <v>-5.1163410000000003E-7</v>
      </c>
      <c r="I2207">
        <v>229.86269999999999</v>
      </c>
      <c r="J2207">
        <v>-494.49209999999999</v>
      </c>
      <c r="K2207">
        <v>1.1100730000000001</v>
      </c>
      <c r="L2207">
        <v>246.114</v>
      </c>
      <c r="M2207">
        <v>0.1175619</v>
      </c>
      <c r="N2207">
        <v>0</v>
      </c>
      <c r="O2207">
        <v>-0.99296280000000003</v>
      </c>
      <c r="P2207">
        <v>0.17815320000000001</v>
      </c>
      <c r="Q2207">
        <v>0.15790279999999901</v>
      </c>
      <c r="R2207">
        <v>-0.97125110000000003</v>
      </c>
      <c r="S2207">
        <v>1.0921019999999999</v>
      </c>
      <c r="T2207">
        <v>-0.1962093</v>
      </c>
      <c r="U2207">
        <v>-2.9277039999999999</v>
      </c>
      <c r="V2207">
        <v>-6.266468E-2</v>
      </c>
      <c r="W2207">
        <v>0.17199990000000001</v>
      </c>
      <c r="X2207">
        <v>0.98310180000000003</v>
      </c>
      <c r="Y2207">
        <v>-0.23621739999999999</v>
      </c>
      <c r="Z2207">
        <v>6.3118229999999997E-2</v>
      </c>
      <c r="AA2207">
        <v>0.96964810000000001</v>
      </c>
      <c r="AB2207">
        <v>30</v>
      </c>
      <c r="AC2207">
        <v>6.1404999999999701</v>
      </c>
      <c r="AD2207">
        <v>-1.1100735116340901</v>
      </c>
      <c r="AE2207">
        <v>-16.251300000000001</v>
      </c>
      <c r="AF2207">
        <v>-4.1701553015957398</v>
      </c>
      <c r="AG2207">
        <v>-1.1100735116340901</v>
      </c>
      <c r="AH2207">
        <v>16.791985653396701</v>
      </c>
      <c r="AI2207">
        <v>93.670979346522401</v>
      </c>
      <c r="AJ2207">
        <v>103.946800269902</v>
      </c>
      <c r="AK2207">
        <v>17.3376249995361</v>
      </c>
      <c r="AL2207">
        <v>80.095882015906298</v>
      </c>
      <c r="AM2207">
        <v>93.647202008985303</v>
      </c>
      <c r="AN2207">
        <v>0.99999998844137605</v>
      </c>
    </row>
    <row r="2208" spans="1:40" x14ac:dyDescent="0.25">
      <c r="A2208" t="str">
        <f>"20190312172700664"</f>
        <v>20190312172700664</v>
      </c>
      <c r="B2208" t="str">
        <f>"1552382820660876"</f>
        <v>1552382820660876</v>
      </c>
      <c r="C2208" t="s">
        <v>40</v>
      </c>
      <c r="D2208">
        <v>3.282823</v>
      </c>
      <c r="E2208">
        <v>0.42846220000000002</v>
      </c>
      <c r="F2208" t="s">
        <v>41</v>
      </c>
      <c r="G2208">
        <v>-488.16969999999998</v>
      </c>
      <c r="H2208" s="1">
        <v>-5.4458579999999999E-7</v>
      </c>
      <c r="I2208">
        <v>229.81729999999999</v>
      </c>
      <c r="J2208">
        <v>-494.45499999999998</v>
      </c>
      <c r="K2208">
        <v>1.110465</v>
      </c>
      <c r="L2208">
        <v>245.8038</v>
      </c>
      <c r="M2208">
        <v>0.1182729</v>
      </c>
      <c r="N2208">
        <v>0</v>
      </c>
      <c r="O2208">
        <v>-0.99287950000000003</v>
      </c>
      <c r="P2208">
        <v>0.18949489999999999</v>
      </c>
      <c r="Q2208">
        <v>0.15657950000000001</v>
      </c>
      <c r="R2208">
        <v>-0.96931670000000003</v>
      </c>
      <c r="S2208">
        <v>1.1304019999999999</v>
      </c>
      <c r="T2208">
        <v>-0.19847190000000001</v>
      </c>
      <c r="U2208">
        <v>-2.9137119999999999</v>
      </c>
      <c r="V2208">
        <v>-7.361782E-2</v>
      </c>
      <c r="W2208">
        <v>0.17052059999999999</v>
      </c>
      <c r="X2208">
        <v>0.98260020000000003</v>
      </c>
      <c r="Y2208">
        <v>-0.24813740000000001</v>
      </c>
      <c r="Z2208">
        <v>6.3879069999999996E-2</v>
      </c>
      <c r="AA2208">
        <v>0.96661649999999999</v>
      </c>
      <c r="AB2208">
        <v>30</v>
      </c>
      <c r="AC2208">
        <v>6.2853000000000003</v>
      </c>
      <c r="AD2208">
        <v>-1.1104655445858</v>
      </c>
      <c r="AE2208">
        <v>-15.986499999999999</v>
      </c>
      <c r="AF2208">
        <v>-4.3321105804499096</v>
      </c>
      <c r="AG2208">
        <v>-1.1104655445858</v>
      </c>
      <c r="AH2208">
        <v>16.548568010395599</v>
      </c>
      <c r="AI2208">
        <v>93.714198258232003</v>
      </c>
      <c r="AJ2208">
        <v>104.669789154041</v>
      </c>
      <c r="AK2208">
        <v>17.142211613489302</v>
      </c>
      <c r="AL2208">
        <v>80.181910846220603</v>
      </c>
      <c r="AM2208">
        <v>94.284677211735101</v>
      </c>
      <c r="AN2208">
        <v>1.0000000057429701</v>
      </c>
    </row>
    <row r="2209" spans="1:40" x14ac:dyDescent="0.25">
      <c r="A2209" t="str">
        <f>"20190312172700685"</f>
        <v>20190312172700685</v>
      </c>
      <c r="B2209" t="str">
        <f>"1552382820681372"</f>
        <v>1552382820681372</v>
      </c>
      <c r="C2209" t="s">
        <v>40</v>
      </c>
      <c r="D2209">
        <v>3.2611349999999999</v>
      </c>
      <c r="E2209">
        <v>0.42941049999999997</v>
      </c>
      <c r="F2209" t="s">
        <v>41</v>
      </c>
      <c r="G2209">
        <v>-488.28230000000002</v>
      </c>
      <c r="H2209" s="1">
        <v>-6.8176119999999899E-7</v>
      </c>
      <c r="I2209">
        <v>230.30840000000001</v>
      </c>
      <c r="J2209">
        <v>-494.42219999999998</v>
      </c>
      <c r="K2209">
        <v>1.1108389999999999</v>
      </c>
      <c r="L2209">
        <v>245.536</v>
      </c>
      <c r="M2209">
        <v>0.1193801</v>
      </c>
      <c r="N2209">
        <v>0</v>
      </c>
      <c r="O2209">
        <v>-0.99274770000000001</v>
      </c>
      <c r="P2209">
        <v>0.20039380000000001</v>
      </c>
      <c r="Q2209">
        <v>0.15777070000000001</v>
      </c>
      <c r="R2209">
        <v>-0.96692860000000003</v>
      </c>
      <c r="S2209">
        <v>1.15625</v>
      </c>
      <c r="T2209">
        <v>-0.20800759999999999</v>
      </c>
      <c r="U2209">
        <v>-2.9025270000000001</v>
      </c>
      <c r="V2209">
        <v>-8.3788280000000007E-2</v>
      </c>
      <c r="W2209">
        <v>0.17155090000000001</v>
      </c>
      <c r="X2209">
        <v>0.98160579999999997</v>
      </c>
      <c r="Y2209">
        <v>-0.2556814</v>
      </c>
      <c r="Z2209">
        <v>6.6987379999999999E-2</v>
      </c>
      <c r="AA2209">
        <v>0.96443749999999995</v>
      </c>
      <c r="AB2209">
        <v>30</v>
      </c>
      <c r="AC2209">
        <v>6.1398999999999502</v>
      </c>
      <c r="AD2209">
        <v>-1.1108396817611901</v>
      </c>
      <c r="AE2209">
        <v>-15.227599999999899</v>
      </c>
      <c r="AF2209">
        <v>-4.2584353284781802</v>
      </c>
      <c r="AG2209">
        <v>-1.1108396817611901</v>
      </c>
      <c r="AH2209">
        <v>15.779506168293899</v>
      </c>
      <c r="AI2209">
        <v>93.888191651892896</v>
      </c>
      <c r="AJ2209">
        <v>105.102700228157</v>
      </c>
      <c r="AK2209">
        <v>16.381729187135001</v>
      </c>
      <c r="AL2209">
        <v>80.121996758266604</v>
      </c>
      <c r="AM2209">
        <v>94.878848620194404</v>
      </c>
      <c r="AN2209">
        <v>1.0000000668749001</v>
      </c>
    </row>
    <row r="2210" spans="1:40" x14ac:dyDescent="0.25">
      <c r="A2210" t="str">
        <f>"20190312172700707"</f>
        <v>20190312172700707</v>
      </c>
      <c r="B2210" t="str">
        <f>"1552382820700893"</f>
        <v>1552382820700893</v>
      </c>
      <c r="C2210" t="s">
        <v>40</v>
      </c>
      <c r="D2210">
        <v>3.265673</v>
      </c>
      <c r="E2210">
        <v>0.43049809999999999</v>
      </c>
      <c r="F2210" t="s">
        <v>41</v>
      </c>
      <c r="G2210">
        <v>-487.96350000000001</v>
      </c>
      <c r="H2210" s="1">
        <v>-5.7349890000000003E-7</v>
      </c>
      <c r="I2210">
        <v>229.74100000000001</v>
      </c>
      <c r="J2210">
        <v>-494.38560000000001</v>
      </c>
      <c r="K2210">
        <v>1.1112799999999901</v>
      </c>
      <c r="L2210">
        <v>245.245</v>
      </c>
      <c r="M2210">
        <v>0.1210874</v>
      </c>
      <c r="N2210">
        <v>0</v>
      </c>
      <c r="O2210">
        <v>-0.99254200000000004</v>
      </c>
      <c r="P2210">
        <v>0.2108631</v>
      </c>
      <c r="Q2210">
        <v>0.1602141</v>
      </c>
      <c r="R2210">
        <v>-0.96429710000000002</v>
      </c>
      <c r="S2210">
        <v>1.1820679999999999</v>
      </c>
      <c r="T2210">
        <v>-0.2033054</v>
      </c>
      <c r="U2210">
        <v>-2.8907929999999999</v>
      </c>
      <c r="V2210">
        <v>-9.2996570000000001E-2</v>
      </c>
      <c r="W2210">
        <v>0.17380390000000001</v>
      </c>
      <c r="X2210">
        <v>0.98037949999999996</v>
      </c>
      <c r="Y2210">
        <v>-0.26279659999999999</v>
      </c>
      <c r="Z2210">
        <v>6.5535399999999994E-2</v>
      </c>
      <c r="AA2210">
        <v>0.96262300000000001</v>
      </c>
      <c r="AB2210">
        <v>30</v>
      </c>
      <c r="AC2210">
        <v>6.4221000000000004</v>
      </c>
      <c r="AD2210">
        <v>-1.11128057349889</v>
      </c>
      <c r="AE2210">
        <v>-15.504</v>
      </c>
      <c r="AF2210">
        <v>-4.4776752414792602</v>
      </c>
      <c r="AG2210">
        <v>-1.11128057349889</v>
      </c>
      <c r="AH2210">
        <v>16.097020585356901</v>
      </c>
      <c r="AI2210">
        <v>93.805202266763203</v>
      </c>
      <c r="AJ2210">
        <v>105.544862832329</v>
      </c>
      <c r="AK2210">
        <v>16.745106503292099</v>
      </c>
      <c r="AL2210">
        <v>79.9909406167383</v>
      </c>
      <c r="AM2210">
        <v>95.418733602493603</v>
      </c>
      <c r="AN2210">
        <v>1.0000000608536099</v>
      </c>
    </row>
    <row r="2211" spans="1:40" x14ac:dyDescent="0.25">
      <c r="A2211" t="str">
        <f>"20190312172700731"</f>
        <v>20190312172700731</v>
      </c>
      <c r="B2211" t="str">
        <f>"1552382820721388"</f>
        <v>1552382820721388</v>
      </c>
      <c r="C2211" t="s">
        <v>40</v>
      </c>
      <c r="D2211">
        <v>3.2905859999999998</v>
      </c>
      <c r="E2211">
        <v>0.43187140000000002</v>
      </c>
      <c r="F2211" t="s">
        <v>47</v>
      </c>
      <c r="G2211">
        <v>-487.55759999999998</v>
      </c>
      <c r="H2211" s="1">
        <v>5.7872679999999996E-6</v>
      </c>
      <c r="I2211">
        <v>228.94829999999999</v>
      </c>
      <c r="J2211">
        <v>-494.34629999999999</v>
      </c>
      <c r="K2211">
        <v>1.11174</v>
      </c>
      <c r="L2211">
        <v>244.9418</v>
      </c>
      <c r="M2211">
        <v>0.12347760000000001</v>
      </c>
      <c r="N2211">
        <v>0</v>
      </c>
      <c r="O2211">
        <v>-0.99224820000000002</v>
      </c>
      <c r="P2211">
        <v>0.22149430000000001</v>
      </c>
      <c r="Q2211">
        <v>0.16164510000000001</v>
      </c>
      <c r="R2211">
        <v>-0.96167119999999995</v>
      </c>
      <c r="S2211">
        <v>1.206604</v>
      </c>
      <c r="T2211">
        <v>-0.1963763</v>
      </c>
      <c r="U2211">
        <v>-2.8798370000000002</v>
      </c>
      <c r="V2211">
        <v>-0.1016977</v>
      </c>
      <c r="W2211">
        <v>0.175035</v>
      </c>
      <c r="X2211">
        <v>0.97929580000000005</v>
      </c>
      <c r="Y2211">
        <v>-0.26880310000000002</v>
      </c>
      <c r="Z2211">
        <v>6.3351820000000003E-2</v>
      </c>
      <c r="AA2211">
        <v>0.96110949999999995</v>
      </c>
      <c r="AB2211">
        <v>30</v>
      </c>
      <c r="AC2211">
        <v>6.7887000000000004</v>
      </c>
      <c r="AD2211">
        <v>-1.111734212732</v>
      </c>
      <c r="AE2211">
        <v>-15.993499999999999</v>
      </c>
      <c r="AF2211">
        <v>-4.7422890034769098</v>
      </c>
      <c r="AG2211">
        <v>-1.111734212732</v>
      </c>
      <c r="AH2211">
        <v>16.641285326566202</v>
      </c>
      <c r="AI2211">
        <v>93.676084503550101</v>
      </c>
      <c r="AJ2211">
        <v>105.906031986188</v>
      </c>
      <c r="AK2211">
        <v>17.339481978203501</v>
      </c>
      <c r="AL2211">
        <v>79.919304783449803</v>
      </c>
      <c r="AM2211">
        <v>95.928788025282898</v>
      </c>
      <c r="AN2211">
        <v>0.99999996865396401</v>
      </c>
    </row>
    <row r="2212" spans="1:40" x14ac:dyDescent="0.25">
      <c r="A2212" t="str">
        <f>"20190312172700755"</f>
        <v>20190312172700755</v>
      </c>
      <c r="B2212" t="str">
        <f>"1552382820750668"</f>
        <v>1552382820750668</v>
      </c>
      <c r="C2212" t="s">
        <v>40</v>
      </c>
      <c r="D2212">
        <v>3.256567</v>
      </c>
      <c r="E2212">
        <v>0.4332993</v>
      </c>
      <c r="F2212" t="s">
        <v>47</v>
      </c>
      <c r="G2212">
        <v>-487.29539999999997</v>
      </c>
      <c r="H2212" s="1">
        <v>5.570442E-6</v>
      </c>
      <c r="I2212">
        <v>228.4736</v>
      </c>
      <c r="J2212">
        <v>-494.30369999999999</v>
      </c>
      <c r="K2212">
        <v>1.112166</v>
      </c>
      <c r="L2212">
        <v>244.62450000000001</v>
      </c>
      <c r="M2212">
        <v>0.12654989999999999</v>
      </c>
      <c r="N2212">
        <v>0</v>
      </c>
      <c r="O2212">
        <v>-0.99186169999999996</v>
      </c>
      <c r="P2212">
        <v>0.23308619999999999</v>
      </c>
      <c r="Q2212">
        <v>0.161415</v>
      </c>
      <c r="R2212">
        <v>-0.95896610000000004</v>
      </c>
      <c r="S2212">
        <v>1.2284550000000001</v>
      </c>
      <c r="T2212">
        <v>-0.1936927</v>
      </c>
      <c r="U2212">
        <v>-2.869186</v>
      </c>
      <c r="V2212">
        <v>-0.1106775</v>
      </c>
      <c r="W2212">
        <v>0.17459930000000001</v>
      </c>
      <c r="X2212">
        <v>0.97839949999999998</v>
      </c>
      <c r="Y2212">
        <v>-0.27331159999999999</v>
      </c>
      <c r="Z2212">
        <v>6.2535859999999999E-2</v>
      </c>
      <c r="AA2212">
        <v>0.95989069999999999</v>
      </c>
      <c r="AB2212">
        <v>30</v>
      </c>
      <c r="AC2212">
        <v>7.00830000000001</v>
      </c>
      <c r="AD2212">
        <v>-1.1121604295579901</v>
      </c>
      <c r="AE2212">
        <v>-16.1509</v>
      </c>
      <c r="AF2212">
        <v>-4.8883427911981796</v>
      </c>
      <c r="AG2212">
        <v>-1.1121604295579901</v>
      </c>
      <c r="AH2212">
        <v>16.8408097094736</v>
      </c>
      <c r="AI2212">
        <v>93.628942119423499</v>
      </c>
      <c r="AJ2212">
        <v>106.186305247123</v>
      </c>
      <c r="AK2212">
        <v>17.5711601135507</v>
      </c>
      <c r="AL2212">
        <v>79.944659336921603</v>
      </c>
      <c r="AM2212">
        <v>96.453918565862907</v>
      </c>
      <c r="AN2212">
        <v>1.0000000030834899</v>
      </c>
    </row>
    <row r="2213" spans="1:40" x14ac:dyDescent="0.25">
      <c r="A2213" t="str">
        <f>"20190312172700776"</f>
        <v>20190312172700776</v>
      </c>
      <c r="B2213" t="str">
        <f>"1552382820771163"</f>
        <v>1552382820771163</v>
      </c>
      <c r="C2213" t="s">
        <v>40</v>
      </c>
      <c r="D2213">
        <v>3.391305</v>
      </c>
      <c r="E2213">
        <v>0.44525199999999998</v>
      </c>
      <c r="F2213" t="s">
        <v>47</v>
      </c>
      <c r="G2213">
        <v>-487.2756</v>
      </c>
      <c r="H2213" s="1">
        <v>5.5962659999999996E-6</v>
      </c>
      <c r="I2213">
        <v>228.57390000000001</v>
      </c>
      <c r="J2213">
        <v>-494.26710000000003</v>
      </c>
      <c r="K2213">
        <v>1.112471</v>
      </c>
      <c r="L2213">
        <v>244.3596</v>
      </c>
      <c r="M2213">
        <v>0.1294575</v>
      </c>
      <c r="N2213">
        <v>0</v>
      </c>
      <c r="O2213">
        <v>-0.9914868</v>
      </c>
      <c r="P2213">
        <v>0.24403839999999999</v>
      </c>
      <c r="Q2213">
        <v>0.16169600000000001</v>
      </c>
      <c r="R2213">
        <v>-0.95619050000000005</v>
      </c>
      <c r="S2213">
        <v>1.2512509999999999</v>
      </c>
      <c r="T2213">
        <v>-0.19800509999999999</v>
      </c>
      <c r="U2213">
        <v>-2.8575900000000001</v>
      </c>
      <c r="V2213">
        <v>-0.1191498</v>
      </c>
      <c r="W2213">
        <v>0.1747049</v>
      </c>
      <c r="X2213">
        <v>0.97738499999999995</v>
      </c>
      <c r="Y2213">
        <v>-0.27830440000000001</v>
      </c>
      <c r="Z2213">
        <v>6.3978779999999999E-2</v>
      </c>
      <c r="AA2213">
        <v>0.95835970000000004</v>
      </c>
      <c r="AB2213">
        <v>30</v>
      </c>
      <c r="AC2213">
        <v>6.9915000000000296</v>
      </c>
      <c r="AD2213">
        <v>-1.112465403734</v>
      </c>
      <c r="AE2213">
        <v>-15.785699999999901</v>
      </c>
      <c r="AF2213">
        <v>-4.8686640002611696</v>
      </c>
      <c r="AG2213">
        <v>-1.112465403734</v>
      </c>
      <c r="AH2213">
        <v>16.489562740497199</v>
      </c>
      <c r="AI2213">
        <v>93.702072643763202</v>
      </c>
      <c r="AJ2213">
        <v>106.449620977327</v>
      </c>
      <c r="AK2213">
        <v>17.229252676617701</v>
      </c>
      <c r="AL2213">
        <v>79.938513994434899</v>
      </c>
      <c r="AM2213">
        <v>96.950445210565505</v>
      </c>
      <c r="AN2213">
        <v>0.99999995757452398</v>
      </c>
    </row>
    <row r="2214" spans="1:40" x14ac:dyDescent="0.25">
      <c r="A2214" t="str">
        <f>"20190312172700797"</f>
        <v>20190312172700797</v>
      </c>
      <c r="B2214" t="str">
        <f>"1552382820791660"</f>
        <v>1552382820791660</v>
      </c>
      <c r="C2214" t="s">
        <v>40</v>
      </c>
      <c r="D2214">
        <v>3.2583709999999999</v>
      </c>
      <c r="E2214">
        <v>0.44722079999999997</v>
      </c>
      <c r="F2214" t="s">
        <v>41</v>
      </c>
      <c r="G2214">
        <v>-488.36090000000002</v>
      </c>
      <c r="H2214" s="1">
        <v>-6.0193519999999895E-7</v>
      </c>
      <c r="I2214">
        <v>230.1353</v>
      </c>
      <c r="J2214">
        <v>-494.22680000000003</v>
      </c>
      <c r="K2214">
        <v>1.1127479999999901</v>
      </c>
      <c r="L2214">
        <v>244.0779</v>
      </c>
      <c r="M2214">
        <v>0.13286529999999999</v>
      </c>
      <c r="N2214">
        <v>0</v>
      </c>
      <c r="O2214">
        <v>-0.99103640000000004</v>
      </c>
      <c r="P2214">
        <v>0.25518099999999999</v>
      </c>
      <c r="Q2214">
        <v>0.1624292</v>
      </c>
      <c r="R2214">
        <v>-0.95315240000000001</v>
      </c>
      <c r="S2214">
        <v>1.192169</v>
      </c>
      <c r="T2214">
        <v>-0.22455330000000001</v>
      </c>
      <c r="U2214">
        <v>-2.8711850000000001</v>
      </c>
      <c r="V2214">
        <v>-0.1273474</v>
      </c>
      <c r="W2214">
        <v>0.17526079999999999</v>
      </c>
      <c r="X2214">
        <v>0.97625110000000004</v>
      </c>
      <c r="Y2214">
        <v>-0.25633840000000002</v>
      </c>
      <c r="Z2214">
        <v>7.2654990000000003E-2</v>
      </c>
      <c r="AA2214">
        <v>0.96385259999999995</v>
      </c>
      <c r="AB2214">
        <v>29</v>
      </c>
      <c r="AC2214">
        <v>5.8659000000000097</v>
      </c>
      <c r="AD2214">
        <v>-1.11274860193519</v>
      </c>
      <c r="AE2214">
        <v>-13.942600000000001</v>
      </c>
      <c r="AF2214">
        <v>-3.9398949915804402</v>
      </c>
      <c r="AG2214">
        <v>-1.11274860193519</v>
      </c>
      <c r="AH2214">
        <v>14.5198362345606</v>
      </c>
      <c r="AI2214">
        <v>94.230005314320294</v>
      </c>
      <c r="AJ2214">
        <v>105.181414300372</v>
      </c>
      <c r="AK2214">
        <v>15.0859744887179</v>
      </c>
      <c r="AL2214">
        <v>79.906164176075507</v>
      </c>
      <c r="AM2214">
        <v>97.432002360673394</v>
      </c>
      <c r="AN2214">
        <v>0.99999995927730401</v>
      </c>
    </row>
    <row r="2215" spans="1:40" x14ac:dyDescent="0.25">
      <c r="A2215" t="str">
        <f>"20190312172700822"</f>
        <v>20190312172700822</v>
      </c>
      <c r="B2215" t="str">
        <f>"1552382820811180"</f>
        <v>1552382820811180</v>
      </c>
      <c r="C2215" t="s">
        <v>40</v>
      </c>
      <c r="D2215">
        <v>3.3319459999999999</v>
      </c>
      <c r="E2215">
        <v>0.44817370000000001</v>
      </c>
      <c r="F2215" t="s">
        <v>47</v>
      </c>
      <c r="G2215">
        <v>-488.07479999999998</v>
      </c>
      <c r="H2215" s="1">
        <v>6.1045849999999998E-6</v>
      </c>
      <c r="I2215">
        <v>229.5284</v>
      </c>
      <c r="J2215">
        <v>-494.17770000000002</v>
      </c>
      <c r="K2215">
        <v>1.1130329999999999</v>
      </c>
      <c r="L2215">
        <v>243.7458</v>
      </c>
      <c r="M2215">
        <v>0.1372352</v>
      </c>
      <c r="N2215">
        <v>0</v>
      </c>
      <c r="O2215">
        <v>-0.99044109999999996</v>
      </c>
      <c r="P2215">
        <v>0.26573669999999999</v>
      </c>
      <c r="Q2215">
        <v>0.16355339999999999</v>
      </c>
      <c r="R2215">
        <v>-0.95007070000000005</v>
      </c>
      <c r="S2215">
        <v>1.209686</v>
      </c>
      <c r="T2215">
        <v>-0.2188003</v>
      </c>
      <c r="U2215">
        <v>-2.8608859999999998</v>
      </c>
      <c r="V2215">
        <v>-0.13403399999999999</v>
      </c>
      <c r="W2215">
        <v>0.17620620000000001</v>
      </c>
      <c r="X2215">
        <v>0.97518519999999997</v>
      </c>
      <c r="Y2215">
        <v>-0.25837130000000003</v>
      </c>
      <c r="Z2215">
        <v>7.0873279999999997E-2</v>
      </c>
      <c r="AA2215">
        <v>0.96344240000000003</v>
      </c>
      <c r="AB2215">
        <v>29</v>
      </c>
      <c r="AC2215">
        <v>6.1029000000000302</v>
      </c>
      <c r="AD2215">
        <v>-1.113026895415</v>
      </c>
      <c r="AE2215">
        <v>-14.2173999999999</v>
      </c>
      <c r="AF2215">
        <v>-4.07275303571791</v>
      </c>
      <c r="AG2215">
        <v>-1.113026895415</v>
      </c>
      <c r="AH2215">
        <v>14.8436510902531</v>
      </c>
      <c r="AI2215">
        <v>94.135909209476694</v>
      </c>
      <c r="AJ2215">
        <v>105.343048082039</v>
      </c>
      <c r="AK2215">
        <v>15.4324373917096</v>
      </c>
      <c r="AL2215">
        <v>79.851140418380396</v>
      </c>
      <c r="AM2215">
        <v>97.825964673857996</v>
      </c>
      <c r="AN2215">
        <v>0.99999995618673898</v>
      </c>
    </row>
    <row r="2216" spans="1:40" x14ac:dyDescent="0.25">
      <c r="A2216" t="str">
        <f>"20190312172700842"</f>
        <v>20190312172700842</v>
      </c>
      <c r="B2216" t="str">
        <f>"1552382820830703"</f>
        <v>1552382820830703</v>
      </c>
      <c r="C2216" t="s">
        <v>40</v>
      </c>
      <c r="D2216">
        <v>3.3720769999999902</v>
      </c>
      <c r="E2216">
        <v>0.44935389999999997</v>
      </c>
      <c r="F2216" t="s">
        <v>47</v>
      </c>
      <c r="G2216">
        <v>-487.58710000000002</v>
      </c>
      <c r="H2216" s="1">
        <v>5.6667359999999996E-6</v>
      </c>
      <c r="I2216">
        <v>228.53389999999999</v>
      </c>
      <c r="J2216">
        <v>-494.1395</v>
      </c>
      <c r="K2216">
        <v>1.1132329999999999</v>
      </c>
      <c r="L2216">
        <v>243.4958</v>
      </c>
      <c r="M2216">
        <v>0.14074690000000001</v>
      </c>
      <c r="N2216">
        <v>0</v>
      </c>
      <c r="O2216">
        <v>-0.98994839999999995</v>
      </c>
      <c r="P2216">
        <v>0.27499200000000001</v>
      </c>
      <c r="Q2216">
        <v>0.16464989999999999</v>
      </c>
      <c r="R2216">
        <v>-0.94724319999999895</v>
      </c>
      <c r="S2216">
        <v>1.23407</v>
      </c>
      <c r="T2216">
        <v>-0.2084085</v>
      </c>
      <c r="U2216">
        <v>-2.8483580000000002</v>
      </c>
      <c r="V2216">
        <v>-0.14021510000000001</v>
      </c>
      <c r="W2216">
        <v>0.17716319999999999</v>
      </c>
      <c r="X2216">
        <v>0.97414210000000001</v>
      </c>
      <c r="Y2216">
        <v>-0.26351819999999998</v>
      </c>
      <c r="Z2216">
        <v>6.7587590000000003E-2</v>
      </c>
      <c r="AA2216">
        <v>0.96228380000000002</v>
      </c>
      <c r="AB2216">
        <v>29</v>
      </c>
      <c r="AC2216">
        <v>6.5523999999999702</v>
      </c>
      <c r="AD2216">
        <v>-1.1132273332639999</v>
      </c>
      <c r="AE2216">
        <v>-14.9619</v>
      </c>
      <c r="AF2216">
        <v>-4.3608618997643402</v>
      </c>
      <c r="AG2216">
        <v>-1.1132273332639999</v>
      </c>
      <c r="AH2216">
        <v>15.662499607904399</v>
      </c>
      <c r="AI2216">
        <v>93.9170138109601</v>
      </c>
      <c r="AJ2216">
        <v>105.558635331356</v>
      </c>
      <c r="AK2216">
        <v>16.296327364530601</v>
      </c>
      <c r="AL2216">
        <v>79.795431879115796</v>
      </c>
      <c r="AM2216">
        <v>98.1907274907295</v>
      </c>
      <c r="AN2216">
        <v>0.99999995234732897</v>
      </c>
    </row>
    <row r="2217" spans="1:40" x14ac:dyDescent="0.25">
      <c r="A2217" t="str">
        <f>"20190312172700866"</f>
        <v>20190312172700866</v>
      </c>
      <c r="B2217" t="str">
        <f>"1552382820860956"</f>
        <v>1552382820860956</v>
      </c>
      <c r="C2217" t="s">
        <v>40</v>
      </c>
      <c r="D2217">
        <v>3.3323779999999998</v>
      </c>
      <c r="E2217">
        <v>0.4511077</v>
      </c>
      <c r="F2217" t="s">
        <v>47</v>
      </c>
      <c r="G2217">
        <v>-487.25670000000002</v>
      </c>
      <c r="H2217" s="1">
        <v>5.3799279999999999E-6</v>
      </c>
      <c r="I2217">
        <v>227.89179999999999</v>
      </c>
      <c r="J2217">
        <v>-494.08920000000001</v>
      </c>
      <c r="K2217">
        <v>1.1134470000000001</v>
      </c>
      <c r="L2217">
        <v>243.17619999999999</v>
      </c>
      <c r="M2217">
        <v>0.145452</v>
      </c>
      <c r="N2217">
        <v>0</v>
      </c>
      <c r="O2217">
        <v>-0.9892685</v>
      </c>
      <c r="P2217">
        <v>0.28372589999999998</v>
      </c>
      <c r="Q2217">
        <v>0.1648377</v>
      </c>
      <c r="R2217">
        <v>-0.94463129999999995</v>
      </c>
      <c r="S2217">
        <v>1.252167</v>
      </c>
      <c r="T2217">
        <v>-0.2025267</v>
      </c>
      <c r="U2217">
        <v>-2.8388059999999999</v>
      </c>
      <c r="V2217">
        <v>-0.14468739999999999</v>
      </c>
      <c r="W2217">
        <v>0.17721149999999999</v>
      </c>
      <c r="X2217">
        <v>0.97347919999999999</v>
      </c>
      <c r="Y2217">
        <v>-0.2653105</v>
      </c>
      <c r="Z2217">
        <v>6.5725749999999999E-2</v>
      </c>
      <c r="AA2217">
        <v>0.9619202</v>
      </c>
      <c r="AB2217">
        <v>29</v>
      </c>
      <c r="AC2217">
        <v>6.83249999999998</v>
      </c>
      <c r="AD2217">
        <v>-1.1134416200720001</v>
      </c>
      <c r="AE2217">
        <v>-15.2844</v>
      </c>
      <c r="AF2217">
        <v>-4.5164884977550503</v>
      </c>
      <c r="AG2217">
        <v>-1.1134416200720001</v>
      </c>
      <c r="AH2217">
        <v>16.044753678806799</v>
      </c>
      <c r="AI2217">
        <v>93.821673727467399</v>
      </c>
      <c r="AJ2217">
        <v>105.721548065156</v>
      </c>
      <c r="AK2217">
        <v>16.7054644115405</v>
      </c>
      <c r="AL2217">
        <v>79.792621071695805</v>
      </c>
      <c r="AM2217">
        <v>98.453935439990104</v>
      </c>
      <c r="AN2217">
        <v>1.0000000561418201</v>
      </c>
    </row>
    <row r="2218" spans="1:40" x14ac:dyDescent="0.25">
      <c r="A2218" t="str">
        <f>"20190312172700887"</f>
        <v>20190312172700887</v>
      </c>
      <c r="B2218" t="str">
        <f>"1552382820881451"</f>
        <v>1552382820881451</v>
      </c>
      <c r="C2218" t="s">
        <v>40</v>
      </c>
      <c r="D2218">
        <v>3.3232409999999999</v>
      </c>
      <c r="E2218">
        <v>0.46010719999999999</v>
      </c>
      <c r="F2218" t="s">
        <v>47</v>
      </c>
      <c r="G2218">
        <v>-486.92110000000002</v>
      </c>
      <c r="H2218" s="1">
        <v>5.0526480000000002E-6</v>
      </c>
      <c r="I2218">
        <v>227.12360000000001</v>
      </c>
      <c r="J2218">
        <v>-494.04809999999998</v>
      </c>
      <c r="K2218">
        <v>1.1135980000000001</v>
      </c>
      <c r="L2218">
        <v>242.92359999999999</v>
      </c>
      <c r="M2218">
        <v>0.1493448</v>
      </c>
      <c r="N2218">
        <v>0</v>
      </c>
      <c r="O2218">
        <v>-0.98868829999999996</v>
      </c>
      <c r="P2218">
        <v>0.29033829999999999</v>
      </c>
      <c r="Q2218">
        <v>0.16371079999999999</v>
      </c>
      <c r="R2218">
        <v>-0.94281630000000005</v>
      </c>
      <c r="S2218">
        <v>1.263916</v>
      </c>
      <c r="T2218">
        <v>-0.19632649999999999</v>
      </c>
      <c r="U2218">
        <v>-2.83046</v>
      </c>
      <c r="V2218">
        <v>-0.1477118</v>
      </c>
      <c r="W2218">
        <v>0.175988899999999</v>
      </c>
      <c r="X2218">
        <v>0.97324670000000002</v>
      </c>
      <c r="Y2218">
        <v>-0.26594889999999999</v>
      </c>
      <c r="Z2218">
        <v>6.3780069999999994E-2</v>
      </c>
      <c r="AA2218">
        <v>0.96187489999999998</v>
      </c>
      <c r="AB2218">
        <v>29</v>
      </c>
      <c r="AC2218">
        <v>7.12699999999995</v>
      </c>
      <c r="AD2218">
        <v>-1.1135929473520001</v>
      </c>
      <c r="AE2218">
        <v>-15.799999999999899</v>
      </c>
      <c r="AF2218">
        <v>-4.6679151159528001</v>
      </c>
      <c r="AG2218">
        <v>-1.1135929473520001</v>
      </c>
      <c r="AH2218">
        <v>16.6186579144928</v>
      </c>
      <c r="AI2218">
        <v>93.691152610587196</v>
      </c>
      <c r="AJ2218">
        <v>105.689202926788</v>
      </c>
      <c r="AK2218">
        <v>17.297667809883102</v>
      </c>
      <c r="AL2218">
        <v>79.863788935086902</v>
      </c>
      <c r="AM2218">
        <v>98.630045327268206</v>
      </c>
      <c r="AN2218">
        <v>1.0000000039216601</v>
      </c>
    </row>
    <row r="2219" spans="1:40" x14ac:dyDescent="0.25">
      <c r="A2219" t="str">
        <f>"20190312172700909"</f>
        <v>20190312172700909</v>
      </c>
      <c r="B2219" t="str">
        <f>"1552382820900972"</f>
        <v>1552382820900972</v>
      </c>
      <c r="C2219" t="s">
        <v>40</v>
      </c>
      <c r="D2219">
        <v>3.3210929999999999</v>
      </c>
      <c r="E2219">
        <v>0.46050140000000001</v>
      </c>
      <c r="F2219" t="s">
        <v>47</v>
      </c>
      <c r="G2219">
        <v>-486.65010000000001</v>
      </c>
      <c r="H2219" s="1">
        <v>4.5707129999999999E-6</v>
      </c>
      <c r="I2219">
        <v>225.61240000000001</v>
      </c>
      <c r="J2219">
        <v>-493.9984</v>
      </c>
      <c r="K2219">
        <v>1.1137600000000001</v>
      </c>
      <c r="L2219">
        <v>242.6277</v>
      </c>
      <c r="M2219">
        <v>0.15408269999999999</v>
      </c>
      <c r="N2219">
        <v>0</v>
      </c>
      <c r="O2219">
        <v>-0.98796150000000005</v>
      </c>
      <c r="P2219">
        <v>0.29772769999999998</v>
      </c>
      <c r="Q2219">
        <v>0.16226930000000001</v>
      </c>
      <c r="R2219">
        <v>-0.94075880000000001</v>
      </c>
      <c r="S2219">
        <v>1.213654</v>
      </c>
      <c r="T2219">
        <v>-0.1826856</v>
      </c>
      <c r="U2219">
        <v>-2.8399200000000002</v>
      </c>
      <c r="V2219">
        <v>-0.15070929999999999</v>
      </c>
      <c r="W2219">
        <v>0.17444760000000001</v>
      </c>
      <c r="X2219">
        <v>0.97306459999999995</v>
      </c>
      <c r="Y2219">
        <v>-0.24587980000000001</v>
      </c>
      <c r="Z2219">
        <v>5.9482470000000003E-2</v>
      </c>
      <c r="AA2219">
        <v>0.96747349999999999</v>
      </c>
      <c r="AB2219">
        <v>29</v>
      </c>
      <c r="AC2219">
        <v>7.3482999999999903</v>
      </c>
      <c r="AD2219">
        <v>-1.113755429287</v>
      </c>
      <c r="AE2219">
        <v>-17.0152999999999</v>
      </c>
      <c r="AF2219">
        <v>-4.6218266659982801</v>
      </c>
      <c r="AG2219">
        <v>-1.113755429287</v>
      </c>
      <c r="AH2219">
        <v>17.879852807580399</v>
      </c>
      <c r="AI2219">
        <v>93.451258348172004</v>
      </c>
      <c r="AJ2219">
        <v>104.493338792282</v>
      </c>
      <c r="AK2219">
        <v>18.501104542906099</v>
      </c>
      <c r="AL2219">
        <v>79.953486415039393</v>
      </c>
      <c r="AM2219">
        <v>98.804079329607603</v>
      </c>
      <c r="AN2219">
        <v>0.99999998701270398</v>
      </c>
    </row>
    <row r="2220" spans="1:40" x14ac:dyDescent="0.25">
      <c r="A2220" t="str">
        <f>"20190312172700933"</f>
        <v>20190312172700933</v>
      </c>
      <c r="B2220" t="str">
        <f>"1552382820921471"</f>
        <v>1552382820921471</v>
      </c>
      <c r="C2220" t="s">
        <v>40</v>
      </c>
      <c r="D2220">
        <v>3.3048519999999999</v>
      </c>
      <c r="E2220">
        <v>0.4614297</v>
      </c>
      <c r="F2220" t="s">
        <v>47</v>
      </c>
      <c r="G2220">
        <v>-486.4991</v>
      </c>
      <c r="H2220" s="1">
        <v>4.4911239999999999E-6</v>
      </c>
      <c r="I2220">
        <v>225.40379999999999</v>
      </c>
      <c r="J2220">
        <v>-493.94670000000002</v>
      </c>
      <c r="K2220">
        <v>1.113901</v>
      </c>
      <c r="L2220">
        <v>242.33109999999999</v>
      </c>
      <c r="M2220">
        <v>0.15901399999999999</v>
      </c>
      <c r="N2220">
        <v>0</v>
      </c>
      <c r="O2220">
        <v>-0.98717960000000005</v>
      </c>
      <c r="P2220">
        <v>0.3041469</v>
      </c>
      <c r="Q2220">
        <v>0.16063239999999901</v>
      </c>
      <c r="R2220">
        <v>-0.9389845</v>
      </c>
      <c r="S2220">
        <v>1.232391</v>
      </c>
      <c r="T2220">
        <v>-0.18302879999999999</v>
      </c>
      <c r="U2220">
        <v>-2.8304900000000002</v>
      </c>
      <c r="V2220">
        <v>-0.15250420000000001</v>
      </c>
      <c r="W2220">
        <v>0.1727322</v>
      </c>
      <c r="X2220">
        <v>0.97309100000000004</v>
      </c>
      <c r="Y2220">
        <v>-0.24759780000000001</v>
      </c>
      <c r="Z2220">
        <v>5.9616389999999998E-2</v>
      </c>
      <c r="AA2220">
        <v>0.96702699999999997</v>
      </c>
      <c r="AB2220">
        <v>29</v>
      </c>
      <c r="AC2220">
        <v>7.44760000000002</v>
      </c>
      <c r="AD2220">
        <v>-1.113896508876</v>
      </c>
      <c r="AE2220">
        <v>-16.927299999999999</v>
      </c>
      <c r="AF2220">
        <v>-4.6440377937972404</v>
      </c>
      <c r="AG2220">
        <v>-1.113896508876</v>
      </c>
      <c r="AH2220">
        <v>17.8315745937389</v>
      </c>
      <c r="AI2220">
        <v>93.459384588392297</v>
      </c>
      <c r="AJ2220">
        <v>104.597774874797</v>
      </c>
      <c r="AK2220">
        <v>18.4600353454368</v>
      </c>
      <c r="AL2220">
        <v>80.053287098978799</v>
      </c>
      <c r="AM2220">
        <v>98.907023721867901</v>
      </c>
      <c r="AN2220">
        <v>1.0000000191077301</v>
      </c>
    </row>
    <row r="2221" spans="1:40" x14ac:dyDescent="0.25">
      <c r="A2221" t="str">
        <f>"20190312172700956"</f>
        <v>20190312172700956</v>
      </c>
      <c r="B2221" t="str">
        <f>"1552382820950748"</f>
        <v>1552382820950748</v>
      </c>
      <c r="C2221" t="s">
        <v>40</v>
      </c>
      <c r="D2221">
        <v>3.3439320000000001</v>
      </c>
      <c r="E2221">
        <v>0.46210869999999998</v>
      </c>
      <c r="F2221" t="s">
        <v>47</v>
      </c>
      <c r="G2221">
        <v>-486.79700000000003</v>
      </c>
      <c r="H2221" s="1">
        <v>4.7113379999999999E-6</v>
      </c>
      <c r="I2221">
        <v>226.101</v>
      </c>
      <c r="J2221">
        <v>-493.89370000000002</v>
      </c>
      <c r="K2221">
        <v>1.1140139999999901</v>
      </c>
      <c r="L2221">
        <v>242.03620000000001</v>
      </c>
      <c r="M2221">
        <v>0.1640576</v>
      </c>
      <c r="N2221">
        <v>0</v>
      </c>
      <c r="O2221">
        <v>-0.98635430000000002</v>
      </c>
      <c r="P2221">
        <v>0.30946780000000002</v>
      </c>
      <c r="Q2221">
        <v>0.15944990000000001</v>
      </c>
      <c r="R2221">
        <v>-0.93744649999999996</v>
      </c>
      <c r="S2221">
        <v>1.2444759999999999</v>
      </c>
      <c r="T2221">
        <v>-0.1938841</v>
      </c>
      <c r="U2221">
        <v>-2.8249970000000002</v>
      </c>
      <c r="V2221">
        <v>-0.15305739999999901</v>
      </c>
      <c r="W2221">
        <v>0.17149500000000001</v>
      </c>
      <c r="X2221">
        <v>0.97322299999999995</v>
      </c>
      <c r="Y2221">
        <v>-0.24671650000000001</v>
      </c>
      <c r="Z2221">
        <v>6.3126150000000006E-2</v>
      </c>
      <c r="AA2221">
        <v>0.96702949999999999</v>
      </c>
      <c r="AB2221">
        <v>29</v>
      </c>
      <c r="AC2221">
        <v>7.09670000000005</v>
      </c>
      <c r="AD2221">
        <v>-1.1140092886620001</v>
      </c>
      <c r="AE2221">
        <v>-15.9352</v>
      </c>
      <c r="AF2221">
        <v>-4.3681722975864501</v>
      </c>
      <c r="AG2221">
        <v>-1.1140092886620001</v>
      </c>
      <c r="AH2221">
        <v>16.815049481779901</v>
      </c>
      <c r="AI2221">
        <v>93.668921013773598</v>
      </c>
      <c r="AJ2221">
        <v>104.562276950494</v>
      </c>
      <c r="AK2221">
        <v>17.408843585699</v>
      </c>
      <c r="AL2221">
        <v>80.125247655537393</v>
      </c>
      <c r="AM2221">
        <v>98.937619805071606</v>
      </c>
      <c r="AN2221">
        <v>1.00000005522437</v>
      </c>
    </row>
    <row r="2222" spans="1:40" x14ac:dyDescent="0.25">
      <c r="A2222" t="str">
        <f>"20190312172700979"</f>
        <v>20190312172700979</v>
      </c>
      <c r="B2222" t="str">
        <f>"1552382820971243"</f>
        <v>1552382820971243</v>
      </c>
      <c r="C2222" t="s">
        <v>40</v>
      </c>
      <c r="D2222">
        <v>3.3374100000000002</v>
      </c>
      <c r="E2222">
        <v>0.4620493</v>
      </c>
      <c r="F2222" t="s">
        <v>47</v>
      </c>
      <c r="G2222">
        <v>-487.0609</v>
      </c>
      <c r="H2222" s="1">
        <v>4.9553400000000001E-6</v>
      </c>
      <c r="I2222">
        <v>226.68940000000001</v>
      </c>
      <c r="J2222">
        <v>-493.84</v>
      </c>
      <c r="K2222">
        <v>1.1141160000000001</v>
      </c>
      <c r="L2222">
        <v>241.7458</v>
      </c>
      <c r="M2222">
        <v>0.16916389999999901</v>
      </c>
      <c r="N2222">
        <v>0</v>
      </c>
      <c r="O2222">
        <v>-0.98549129999999996</v>
      </c>
      <c r="P2222">
        <v>0.31378060000000002</v>
      </c>
      <c r="Q2222">
        <v>0.1588232</v>
      </c>
      <c r="R2222">
        <v>-0.93611800000000001</v>
      </c>
      <c r="S2222">
        <v>1.2557370000000001</v>
      </c>
      <c r="T2222">
        <v>-0.20473359999999999</v>
      </c>
      <c r="U2222">
        <v>-2.8204500000000001</v>
      </c>
      <c r="V2222">
        <v>-0.1525174</v>
      </c>
      <c r="W2222">
        <v>0.17083110000000001</v>
      </c>
      <c r="X2222">
        <v>0.97342439999999997</v>
      </c>
      <c r="Y2222">
        <v>-0.24540680000000001</v>
      </c>
      <c r="Z2222">
        <v>6.6612969999999994E-2</v>
      </c>
      <c r="AA2222">
        <v>0.96712889999999996</v>
      </c>
      <c r="AB2222">
        <v>29</v>
      </c>
      <c r="AC2222">
        <v>6.7790999999999704</v>
      </c>
      <c r="AD2222">
        <v>-1.11411104466</v>
      </c>
      <c r="AE2222">
        <v>-15.056399999999901</v>
      </c>
      <c r="AF2222">
        <v>-4.1154031237179503</v>
      </c>
      <c r="AG2222">
        <v>-1.11411104466</v>
      </c>
      <c r="AH2222">
        <v>15.9138052645174</v>
      </c>
      <c r="AI2222">
        <v>93.877538910382299</v>
      </c>
      <c r="AJ2222">
        <v>104.499369772167</v>
      </c>
      <c r="AK2222">
        <v>16.4750412529839</v>
      </c>
      <c r="AL2222">
        <v>80.163854955554797</v>
      </c>
      <c r="AM2222">
        <v>98.9047802725308</v>
      </c>
      <c r="AN2222">
        <v>0.99999994227266298</v>
      </c>
    </row>
    <row r="2223" spans="1:40" x14ac:dyDescent="0.25">
      <c r="A2223" t="str">
        <f>"20190312172701000"</f>
        <v>20190312172701000</v>
      </c>
      <c r="B2223" t="str">
        <f>"1552382820990764"</f>
        <v>1552382820990764</v>
      </c>
      <c r="C2223" t="s">
        <v>40</v>
      </c>
      <c r="D2223">
        <v>3.2923490000000002</v>
      </c>
      <c r="E2223">
        <v>0.44549499999999997</v>
      </c>
      <c r="F2223" t="s">
        <v>47</v>
      </c>
      <c r="G2223">
        <v>-486.93090000000001</v>
      </c>
      <c r="H2223" s="1">
        <v>4.8381560000000002E-6</v>
      </c>
      <c r="I2223">
        <v>226.4228</v>
      </c>
      <c r="J2223">
        <v>-493.78680000000003</v>
      </c>
      <c r="K2223">
        <v>1.1142179999999999</v>
      </c>
      <c r="L2223">
        <v>241.46770000000001</v>
      </c>
      <c r="M2223">
        <v>0.1741945</v>
      </c>
      <c r="N2223">
        <v>0</v>
      </c>
      <c r="O2223">
        <v>-0.98461469999999995</v>
      </c>
      <c r="P2223">
        <v>0.31811679999999998</v>
      </c>
      <c r="Q2223">
        <v>0.15858820000000001</v>
      </c>
      <c r="R2223">
        <v>-0.93469349999999995</v>
      </c>
      <c r="S2223">
        <v>1.2688900000000001</v>
      </c>
      <c r="T2223">
        <v>-0.2046132</v>
      </c>
      <c r="U2223">
        <v>-2.8141630000000002</v>
      </c>
      <c r="V2223">
        <v>-0.152092</v>
      </c>
      <c r="W2223">
        <v>0.1705614</v>
      </c>
      <c r="X2223">
        <v>0.97353829999999997</v>
      </c>
      <c r="Y2223">
        <v>-0.24502350000000001</v>
      </c>
      <c r="Z2223">
        <v>6.6563010000000006E-2</v>
      </c>
      <c r="AA2223">
        <v>0.96722949999999996</v>
      </c>
      <c r="AB2223">
        <v>29</v>
      </c>
      <c r="AC2223">
        <v>6.8559000000000099</v>
      </c>
      <c r="AD2223">
        <v>-1.1142131618440001</v>
      </c>
      <c r="AE2223">
        <v>-15.0449</v>
      </c>
      <c r="AF2223">
        <v>-4.1114012652572498</v>
      </c>
      <c r="AG2223">
        <v>-1.1142131618440001</v>
      </c>
      <c r="AH2223">
        <v>15.936832547490299</v>
      </c>
      <c r="AI2223">
        <v>93.872891155659303</v>
      </c>
      <c r="AJ2223">
        <v>104.46581193965901</v>
      </c>
      <c r="AK2223">
        <v>16.496294219633999</v>
      </c>
      <c r="AL2223">
        <v>80.1795383133108</v>
      </c>
      <c r="AM2223">
        <v>98.879317137074494</v>
      </c>
      <c r="AN2223">
        <v>0.99999999460042399</v>
      </c>
    </row>
    <row r="2224" spans="1:40" x14ac:dyDescent="0.25">
      <c r="A2224" t="str">
        <f>"20190312172701021"</f>
        <v>20190312172701021</v>
      </c>
      <c r="B2224" t="str">
        <f>"1552382821011260"</f>
        <v>1552382821011260</v>
      </c>
      <c r="C2224" t="s">
        <v>40</v>
      </c>
      <c r="D2224">
        <v>3.250346</v>
      </c>
      <c r="E2224">
        <v>0.44303029999999999</v>
      </c>
      <c r="F2224" t="s">
        <v>47</v>
      </c>
      <c r="G2224">
        <v>-486.67419999999998</v>
      </c>
      <c r="H2224" s="1">
        <v>5.1001039999999998E-6</v>
      </c>
      <c r="I2224">
        <v>227.4889</v>
      </c>
      <c r="J2224">
        <v>-493.73500000000001</v>
      </c>
      <c r="K2224">
        <v>1.114323</v>
      </c>
      <c r="L2224">
        <v>241.2045</v>
      </c>
      <c r="M2224">
        <v>0.17909449999999999</v>
      </c>
      <c r="N2224">
        <v>0</v>
      </c>
      <c r="O2224">
        <v>-0.98373520000000003</v>
      </c>
      <c r="P2224">
        <v>0.32179839999999998</v>
      </c>
      <c r="Q2224">
        <v>0.15854270000000001</v>
      </c>
      <c r="R2224">
        <v>-0.93343989999999999</v>
      </c>
      <c r="S2224">
        <v>1.408264</v>
      </c>
      <c r="T2224">
        <v>-0.22060879999999999</v>
      </c>
      <c r="U2224">
        <v>-2.7677459999999998</v>
      </c>
      <c r="V2224">
        <v>-0.151121799999999</v>
      </c>
      <c r="W2224">
        <v>0.17048949999999999</v>
      </c>
      <c r="X2224">
        <v>0.97370199999999996</v>
      </c>
      <c r="Y2224">
        <v>-0.2853444</v>
      </c>
      <c r="Z2224">
        <v>7.1570250000000002E-2</v>
      </c>
      <c r="AA2224">
        <v>0.95574910000000002</v>
      </c>
      <c r="AB2224">
        <v>29</v>
      </c>
      <c r="AC2224">
        <v>7.0608000000000199</v>
      </c>
      <c r="AD2224">
        <v>-1.1143178998959999</v>
      </c>
      <c r="AE2224">
        <v>-13.715599999999901</v>
      </c>
      <c r="AF2224">
        <v>-4.46668953147885</v>
      </c>
      <c r="AG2224">
        <v>-1.1143178998959999</v>
      </c>
      <c r="AH2224">
        <v>14.6818649559258</v>
      </c>
      <c r="AI2224">
        <v>94.153047940981594</v>
      </c>
      <c r="AJ2224">
        <v>106.921426232453</v>
      </c>
      <c r="AK2224">
        <v>15.3866883485919</v>
      </c>
      <c r="AL2224">
        <v>80.183719430434905</v>
      </c>
      <c r="AM2224">
        <v>98.822109675202995</v>
      </c>
      <c r="AN2224">
        <v>1.00000002642474</v>
      </c>
    </row>
    <row r="2225" spans="1:40" x14ac:dyDescent="0.25">
      <c r="A2225" t="str">
        <f>"20190312172701043"</f>
        <v>20190312172701043</v>
      </c>
      <c r="B2225" t="str">
        <f>"1552382821041516"</f>
        <v>1552382821041516</v>
      </c>
      <c r="C2225" t="s">
        <v>40</v>
      </c>
      <c r="D2225">
        <v>3.3537129999999999</v>
      </c>
      <c r="E2225">
        <v>0.44219720000000001</v>
      </c>
      <c r="F2225" t="s">
        <v>47</v>
      </c>
      <c r="G2225">
        <v>-486.6463</v>
      </c>
      <c r="H2225" s="1">
        <v>5.1357599999999998E-6</v>
      </c>
      <c r="I2225">
        <v>227.62790000000001</v>
      </c>
      <c r="J2225">
        <v>-493.67759999999998</v>
      </c>
      <c r="K2225">
        <v>1.1144480000000001</v>
      </c>
      <c r="L2225">
        <v>240.9212</v>
      </c>
      <c r="M2225">
        <v>0.18452779999999999</v>
      </c>
      <c r="N2225">
        <v>0</v>
      </c>
      <c r="O2225">
        <v>-0.98273049999999995</v>
      </c>
      <c r="P2225">
        <v>0.32596540000000002</v>
      </c>
      <c r="Q2225">
        <v>0.15831319999999999</v>
      </c>
      <c r="R2225">
        <v>-0.93203190000000002</v>
      </c>
      <c r="S2225">
        <v>1.439117</v>
      </c>
      <c r="T2225">
        <v>-0.22622220000000001</v>
      </c>
      <c r="U2225">
        <v>-2.7562259999999998</v>
      </c>
      <c r="V2225">
        <v>-0.15013219999999999</v>
      </c>
      <c r="W2225">
        <v>0.1702292</v>
      </c>
      <c r="X2225">
        <v>0.97390060000000001</v>
      </c>
      <c r="Y2225">
        <v>-0.29004570000000002</v>
      </c>
      <c r="Z2225">
        <v>7.330913E-2</v>
      </c>
      <c r="AA2225">
        <v>0.95420090000000002</v>
      </c>
      <c r="AB2225">
        <v>29</v>
      </c>
      <c r="AC2225">
        <v>7.0312999999999803</v>
      </c>
      <c r="AD2225">
        <v>-1.1144428642399999</v>
      </c>
      <c r="AE2225">
        <v>-13.293299999999901</v>
      </c>
      <c r="AF2225">
        <v>-4.4329684852339302</v>
      </c>
      <c r="AG2225">
        <v>-1.1144428642399999</v>
      </c>
      <c r="AH2225">
        <v>14.284122047185599</v>
      </c>
      <c r="AI2225">
        <v>94.261454668893293</v>
      </c>
      <c r="AJ2225">
        <v>107.241331676154</v>
      </c>
      <c r="AK2225">
        <v>14.9976443199466</v>
      </c>
      <c r="AL2225">
        <v>80.198854689856006</v>
      </c>
      <c r="AM2225">
        <v>98.7634796733455</v>
      </c>
      <c r="AN2225">
        <v>1.00000001834491</v>
      </c>
    </row>
    <row r="2226" spans="1:40" x14ac:dyDescent="0.25">
      <c r="A2226" t="str">
        <f>"20190312172701066"</f>
        <v>20190312172701066</v>
      </c>
      <c r="B2226" t="str">
        <f>"1552382821061036"</f>
        <v>1552382821061036</v>
      </c>
      <c r="C2226" t="s">
        <v>40</v>
      </c>
      <c r="D2226">
        <v>3.2922280000000002</v>
      </c>
      <c r="E2226">
        <v>0.44236930000000002</v>
      </c>
      <c r="F2226" t="s">
        <v>47</v>
      </c>
      <c r="G2226">
        <v>-486.81900000000002</v>
      </c>
      <c r="H2226" s="1">
        <v>5.2983499999999998E-6</v>
      </c>
      <c r="I2226">
        <v>228.00450000000001</v>
      </c>
      <c r="J2226">
        <v>-493.61720000000003</v>
      </c>
      <c r="K2226">
        <v>1.1145780000000001</v>
      </c>
      <c r="L2226">
        <v>240.63249999999999</v>
      </c>
      <c r="M2226">
        <v>0.19025590000000001</v>
      </c>
      <c r="N2226">
        <v>0</v>
      </c>
      <c r="O2226">
        <v>-0.98163739999999999</v>
      </c>
      <c r="P2226">
        <v>0.33073609999999998</v>
      </c>
      <c r="Q2226">
        <v>0.15809679999999901</v>
      </c>
      <c r="R2226">
        <v>-0.93038650000000001</v>
      </c>
      <c r="S2226">
        <v>1.459473</v>
      </c>
      <c r="T2226">
        <v>-0.23714550000000001</v>
      </c>
      <c r="U2226">
        <v>-2.748596</v>
      </c>
      <c r="V2226">
        <v>-0.14949100000000001</v>
      </c>
      <c r="W2226">
        <v>0.16997499999999999</v>
      </c>
      <c r="X2226">
        <v>0.97404360000000001</v>
      </c>
      <c r="Y2226">
        <v>-0.29095789999999999</v>
      </c>
      <c r="Z2226">
        <v>7.6751369999999999E-2</v>
      </c>
      <c r="AA2226">
        <v>0.95365230000000001</v>
      </c>
      <c r="AB2226">
        <v>29</v>
      </c>
      <c r="AC2226">
        <v>6.7981999999999996</v>
      </c>
      <c r="AD2226">
        <v>-1.11457270165</v>
      </c>
      <c r="AE2226">
        <v>-12.627999999999901</v>
      </c>
      <c r="AF2226">
        <v>-4.2455808138165096</v>
      </c>
      <c r="AG2226">
        <v>-1.11457270165</v>
      </c>
      <c r="AH2226">
        <v>13.608627241715199</v>
      </c>
      <c r="AI2226">
        <v>94.470597131211505</v>
      </c>
      <c r="AJ2226">
        <v>107.32672897362799</v>
      </c>
      <c r="AK2226">
        <v>14.2990196921979</v>
      </c>
      <c r="AL2226">
        <v>80.213634464772895</v>
      </c>
      <c r="AM2226">
        <v>98.725367618465199</v>
      </c>
      <c r="AN2226">
        <v>0.99999999720347998</v>
      </c>
    </row>
    <row r="2227" spans="1:40" x14ac:dyDescent="0.25">
      <c r="A2227" t="str">
        <f>"20190312172701090"</f>
        <v>20190312172701090</v>
      </c>
      <c r="B2227" t="str">
        <f>"1552382821081532"</f>
        <v>1552382821081532</v>
      </c>
      <c r="C2227" t="s">
        <v>40</v>
      </c>
      <c r="D2227">
        <v>3.2530410000000001</v>
      </c>
      <c r="E2227">
        <v>0.44256390000000001</v>
      </c>
      <c r="F2227" t="s">
        <v>47</v>
      </c>
      <c r="G2227">
        <v>-486.77760000000001</v>
      </c>
      <c r="H2227" s="1">
        <v>5.2557920000000003E-6</v>
      </c>
      <c r="I2227">
        <v>227.90260000000001</v>
      </c>
      <c r="J2227">
        <v>-493.5532</v>
      </c>
      <c r="K2227">
        <v>1.114735</v>
      </c>
      <c r="L2227">
        <v>240.33690000000001</v>
      </c>
      <c r="M2227">
        <v>0.19635440000000001</v>
      </c>
      <c r="N2227">
        <v>0</v>
      </c>
      <c r="O2227">
        <v>-0.98043570000000002</v>
      </c>
      <c r="P2227">
        <v>0.33567999999999998</v>
      </c>
      <c r="Q2227">
        <v>0.1575857</v>
      </c>
      <c r="R2227">
        <v>-0.9287012</v>
      </c>
      <c r="S2227">
        <v>1.4730529999999999</v>
      </c>
      <c r="T2227">
        <v>-0.2400447</v>
      </c>
      <c r="U2227">
        <v>-2.7416230000000001</v>
      </c>
      <c r="V2227">
        <v>-0.14865789999999901</v>
      </c>
      <c r="W2227">
        <v>0.16942760000000001</v>
      </c>
      <c r="X2227">
        <v>0.97426650000000004</v>
      </c>
      <c r="Y2227">
        <v>-0.28965570000000002</v>
      </c>
      <c r="Z2227">
        <v>7.7645389999999995E-2</v>
      </c>
      <c r="AA2227">
        <v>0.9539763</v>
      </c>
      <c r="AB2227">
        <v>29</v>
      </c>
      <c r="AC2227">
        <v>6.7755999999999901</v>
      </c>
      <c r="AD2227">
        <v>-1.114729744208</v>
      </c>
      <c r="AE2227">
        <v>-12.4343</v>
      </c>
      <c r="AF2227">
        <v>-4.1760326689031597</v>
      </c>
      <c r="AG2227">
        <v>-1.114729744208</v>
      </c>
      <c r="AH2227">
        <v>13.439456473665</v>
      </c>
      <c r="AI2227">
        <v>94.528871170378807</v>
      </c>
      <c r="AJ2227">
        <v>107.26154967858</v>
      </c>
      <c r="AK2227">
        <v>14.117395707491699</v>
      </c>
      <c r="AL2227">
        <v>80.245460283754298</v>
      </c>
      <c r="AM2227">
        <v>98.675529014106004</v>
      </c>
      <c r="AN2227">
        <v>1.0000000479482001</v>
      </c>
    </row>
    <row r="2228" spans="1:40" x14ac:dyDescent="0.25">
      <c r="A2228" t="str">
        <f>"20190312172701112"</f>
        <v>20190312172701112</v>
      </c>
      <c r="B2228" t="str">
        <f>"1552382821101052"</f>
        <v>1552382821101052</v>
      </c>
      <c r="C2228" t="s">
        <v>40</v>
      </c>
      <c r="D2228">
        <v>3.2488579999999998</v>
      </c>
      <c r="E2228">
        <v>0.44258029999999998</v>
      </c>
      <c r="F2228" t="s">
        <v>47</v>
      </c>
      <c r="G2228">
        <v>-486.7158</v>
      </c>
      <c r="H2228" s="1">
        <v>5.1964839999999997E-6</v>
      </c>
      <c r="I2228">
        <v>227.76429999999999</v>
      </c>
      <c r="J2228">
        <v>-493.4898</v>
      </c>
      <c r="K2228">
        <v>1.1148910000000001</v>
      </c>
      <c r="L2228">
        <v>240.05359999999999</v>
      </c>
      <c r="M2228">
        <v>0.2024309</v>
      </c>
      <c r="N2228">
        <v>0</v>
      </c>
      <c r="O2228">
        <v>-0.97919909999999999</v>
      </c>
      <c r="P2228">
        <v>0.34127629999999998</v>
      </c>
      <c r="Q2228">
        <v>0.15723229999999999</v>
      </c>
      <c r="R2228">
        <v>-0.92671910000000002</v>
      </c>
      <c r="S2228">
        <v>1.486847</v>
      </c>
      <c r="T2228">
        <v>-0.24240510000000001</v>
      </c>
      <c r="U2228">
        <v>-2.7340089999999999</v>
      </c>
      <c r="V2228">
        <v>-0.14854229999999999</v>
      </c>
      <c r="W2228">
        <v>0.16903089999999901</v>
      </c>
      <c r="X2228">
        <v>0.97435300000000002</v>
      </c>
      <c r="Y2228">
        <v>-0.28852280000000002</v>
      </c>
      <c r="Z2228">
        <v>7.8372629999999999E-2</v>
      </c>
      <c r="AA2228">
        <v>0.95426009999999994</v>
      </c>
      <c r="AB2228">
        <v>29</v>
      </c>
      <c r="AC2228">
        <v>6.774</v>
      </c>
      <c r="AD2228">
        <v>-1.1148858035160001</v>
      </c>
      <c r="AE2228">
        <v>-12.2892999999999</v>
      </c>
      <c r="AF2228">
        <v>-4.1197513748664996</v>
      </c>
      <c r="AG2228">
        <v>-1.1148858035160001</v>
      </c>
      <c r="AH2228">
        <v>13.322125193087199</v>
      </c>
      <c r="AI2228">
        <v>94.571141885193001</v>
      </c>
      <c r="AJ2228">
        <v>107.183768855567</v>
      </c>
      <c r="AK2228">
        <v>13.9890793623413</v>
      </c>
      <c r="AL2228">
        <v>80.268521815980094</v>
      </c>
      <c r="AM2228">
        <v>98.668127330608201</v>
      </c>
      <c r="AN2228">
        <v>1.0000000143265499</v>
      </c>
    </row>
    <row r="2229" spans="1:40" x14ac:dyDescent="0.25">
      <c r="A2229" t="str">
        <f>"20190312172701138"</f>
        <v>20190312172701138</v>
      </c>
      <c r="B2229" t="str">
        <f>"1552382821131308"</f>
        <v>1552382821131308</v>
      </c>
      <c r="C2229" t="s">
        <v>40</v>
      </c>
      <c r="D2229">
        <v>3.241263</v>
      </c>
      <c r="E2229">
        <v>0.44279499999999999</v>
      </c>
      <c r="F2229" t="s">
        <v>47</v>
      </c>
      <c r="G2229">
        <v>-486.6035</v>
      </c>
      <c r="H2229" s="1">
        <v>5.1080120000000004E-6</v>
      </c>
      <c r="I2229">
        <v>227.57509999999999</v>
      </c>
      <c r="J2229">
        <v>-493.41649999999998</v>
      </c>
      <c r="K2229">
        <v>1.1150500000000001</v>
      </c>
      <c r="L2229">
        <v>239.7372</v>
      </c>
      <c r="M2229">
        <v>0.2094434</v>
      </c>
      <c r="N2229">
        <v>0</v>
      </c>
      <c r="O2229">
        <v>-0.97772289999999995</v>
      </c>
      <c r="P2229">
        <v>0.34791280000000002</v>
      </c>
      <c r="Q2229">
        <v>0.156668899999999</v>
      </c>
      <c r="R2229">
        <v>-0.92434419999999995</v>
      </c>
      <c r="S2229">
        <v>1.5036929999999999</v>
      </c>
      <c r="T2229">
        <v>-0.2434471</v>
      </c>
      <c r="U2229">
        <v>-2.7248079999999999</v>
      </c>
      <c r="V2229">
        <v>-0.14858629999999901</v>
      </c>
      <c r="W2229">
        <v>0.16842270000000001</v>
      </c>
      <c r="X2229">
        <v>0.97445159999999997</v>
      </c>
      <c r="Y2229">
        <v>-0.28753620000000002</v>
      </c>
      <c r="Z2229">
        <v>7.8664330000000005E-2</v>
      </c>
      <c r="AA2229">
        <v>0.95453390000000005</v>
      </c>
      <c r="AB2229">
        <v>29</v>
      </c>
      <c r="AC2229">
        <v>6.8129999999999802</v>
      </c>
      <c r="AD2229">
        <v>-1.1150448919880001</v>
      </c>
      <c r="AE2229">
        <v>-12.162100000000001</v>
      </c>
      <c r="AF2229">
        <v>-4.0881924880114404</v>
      </c>
      <c r="AG2229">
        <v>-1.1150448919880001</v>
      </c>
      <c r="AH2229">
        <v>13.2347020888567</v>
      </c>
      <c r="AI2229">
        <v>94.602303432669302</v>
      </c>
      <c r="AJ2229">
        <v>107.165891060422</v>
      </c>
      <c r="AK2229">
        <v>13.8965456970777</v>
      </c>
      <c r="AL2229">
        <v>80.303875920965595</v>
      </c>
      <c r="AM2229">
        <v>98.669791907472899</v>
      </c>
      <c r="AN2229">
        <v>1.00000000758276</v>
      </c>
    </row>
    <row r="2230" spans="1:40" x14ac:dyDescent="0.25">
      <c r="A2230" t="str">
        <f>"20190312172701171"</f>
        <v>20190312172701171</v>
      </c>
      <c r="B2230" t="str">
        <f>"1552382821161565"</f>
        <v>1552382821161565</v>
      </c>
      <c r="C2230" t="s">
        <v>40</v>
      </c>
      <c r="D2230">
        <v>3.2390669999999999</v>
      </c>
      <c r="E2230">
        <v>0.44304490000000002</v>
      </c>
      <c r="F2230" t="s">
        <v>47</v>
      </c>
      <c r="G2230">
        <v>-486.47309999999999</v>
      </c>
      <c r="H2230" s="1">
        <v>5.0068640000000001E-6</v>
      </c>
      <c r="I2230">
        <v>227.36060000000001</v>
      </c>
      <c r="J2230">
        <v>-493.31790000000001</v>
      </c>
      <c r="K2230">
        <v>1.115251</v>
      </c>
      <c r="L2230">
        <v>239.32769999999999</v>
      </c>
      <c r="M2230">
        <v>0.2188821</v>
      </c>
      <c r="N2230">
        <v>0</v>
      </c>
      <c r="O2230">
        <v>-0.97565299999999999</v>
      </c>
      <c r="P2230">
        <v>0.35712850000000002</v>
      </c>
      <c r="Q2230">
        <v>0.15708420000000001</v>
      </c>
      <c r="R2230">
        <v>-0.92075200000000001</v>
      </c>
      <c r="S2230">
        <v>1.5225519999999999</v>
      </c>
      <c r="T2230">
        <v>-0.24450720000000001</v>
      </c>
      <c r="U2230">
        <v>-2.713943</v>
      </c>
      <c r="V2230">
        <v>-0.149007</v>
      </c>
      <c r="W2230">
        <v>0.16877619999999999</v>
      </c>
      <c r="X2230">
        <v>0.97432620000000003</v>
      </c>
      <c r="Y2230">
        <v>-0.28494550000000002</v>
      </c>
      <c r="Z2230">
        <v>7.8936439999999997E-2</v>
      </c>
      <c r="AA2230">
        <v>0.95528800000000003</v>
      </c>
      <c r="AB2230">
        <v>29</v>
      </c>
      <c r="AC2230">
        <v>6.8448000000000198</v>
      </c>
      <c r="AD2230">
        <v>-1.1152459931359999</v>
      </c>
      <c r="AE2230">
        <v>-11.967099999999901</v>
      </c>
      <c r="AF2230">
        <v>-4.0327645961532896</v>
      </c>
      <c r="AG2230">
        <v>-1.1152459931359999</v>
      </c>
      <c r="AH2230">
        <v>13.089546913728199</v>
      </c>
      <c r="AI2230">
        <v>94.655008859749202</v>
      </c>
      <c r="AJ2230">
        <v>107.123566379739</v>
      </c>
      <c r="AK2230">
        <v>13.742023225125299</v>
      </c>
      <c r="AL2230">
        <v>80.283327808984694</v>
      </c>
      <c r="AM2230">
        <v>98.695066440227095</v>
      </c>
      <c r="AN2230">
        <v>1.0000000178709301</v>
      </c>
    </row>
    <row r="2231" spans="1:40" x14ac:dyDescent="0.25">
      <c r="A2231" t="str">
        <f>"20190312172701191"</f>
        <v>20190312172701191</v>
      </c>
      <c r="B2231" t="str">
        <f>"1552382821181084"</f>
        <v>1552382821181084</v>
      </c>
      <c r="C2231" t="s">
        <v>40</v>
      </c>
      <c r="D2231">
        <v>3.2542909999999998</v>
      </c>
      <c r="E2231">
        <v>0.4432738</v>
      </c>
      <c r="F2231" t="s">
        <v>47</v>
      </c>
      <c r="G2231">
        <v>-486.21730000000002</v>
      </c>
      <c r="H2231" s="1">
        <v>4.8122329999999997E-6</v>
      </c>
      <c r="I2231">
        <v>226.952</v>
      </c>
      <c r="J2231">
        <v>-493.25229999999999</v>
      </c>
      <c r="K2231">
        <v>1.115389</v>
      </c>
      <c r="L2231">
        <v>239.06569999999999</v>
      </c>
      <c r="M2231">
        <v>0.22516949999999999</v>
      </c>
      <c r="N2231">
        <v>0</v>
      </c>
      <c r="O2231">
        <v>-0.97422089999999995</v>
      </c>
      <c r="P2231">
        <v>0.36379739999999999</v>
      </c>
      <c r="Q2231">
        <v>0.15783249999999999</v>
      </c>
      <c r="R2231">
        <v>-0.91800919999999997</v>
      </c>
      <c r="S2231">
        <v>1.548584</v>
      </c>
      <c r="T2231">
        <v>-0.24322589999999999</v>
      </c>
      <c r="U2231">
        <v>-2.699036</v>
      </c>
      <c r="V2231">
        <v>-0.14988679999999999</v>
      </c>
      <c r="W2231">
        <v>0.16947499999999999</v>
      </c>
      <c r="X2231">
        <v>0.97406990000000004</v>
      </c>
      <c r="Y2231">
        <v>-0.28798960000000001</v>
      </c>
      <c r="Z2231">
        <v>7.8516929999999999E-2</v>
      </c>
      <c r="AA2231">
        <v>0.95440930000000002</v>
      </c>
      <c r="AB2231">
        <v>29</v>
      </c>
      <c r="AC2231">
        <v>7.0349999999999602</v>
      </c>
      <c r="AD2231">
        <v>-1.1153841877670001</v>
      </c>
      <c r="AE2231">
        <v>-12.1136999999999</v>
      </c>
      <c r="AF2231">
        <v>-4.1004092404622803</v>
      </c>
      <c r="AG2231">
        <v>-1.1153841877670001</v>
      </c>
      <c r="AH2231">
        <v>13.3024394870694</v>
      </c>
      <c r="AI2231">
        <v>94.581196533432404</v>
      </c>
      <c r="AJ2231">
        <v>107.13164785202601</v>
      </c>
      <c r="AK2231">
        <v>13.964681669580999</v>
      </c>
      <c r="AL2231">
        <v>80.2427041332909</v>
      </c>
      <c r="AM2231">
        <v>98.747879896251405</v>
      </c>
      <c r="AN2231">
        <v>0.99999999926262495</v>
      </c>
    </row>
    <row r="2232" spans="1:40" x14ac:dyDescent="0.25">
      <c r="A2232" t="str">
        <f>"20190312172701216"</f>
        <v>20190312172701216</v>
      </c>
      <c r="B2232" t="str">
        <f>"1552382821211340"</f>
        <v>1552382821211340</v>
      </c>
      <c r="C2232" t="s">
        <v>40</v>
      </c>
      <c r="D2232">
        <v>3.2646220000000001</v>
      </c>
      <c r="E2232">
        <v>0.44373000000000001</v>
      </c>
      <c r="F2232" t="s">
        <v>47</v>
      </c>
      <c r="G2232">
        <v>-486.03280000000001</v>
      </c>
      <c r="H2232" s="1">
        <v>4.6776090000000004E-6</v>
      </c>
      <c r="I2232">
        <v>226.67590000000001</v>
      </c>
      <c r="J2232">
        <v>-493.17469999999997</v>
      </c>
      <c r="K2232">
        <v>1.1155389999999901</v>
      </c>
      <c r="L2232">
        <v>238.7663</v>
      </c>
      <c r="M2232">
        <v>0.2325536</v>
      </c>
      <c r="N2232">
        <v>0</v>
      </c>
      <c r="O2232">
        <v>-0.97248449999999997</v>
      </c>
      <c r="P2232">
        <v>0.37196309999999999</v>
      </c>
      <c r="Q2232">
        <v>0.158555</v>
      </c>
      <c r="R2232">
        <v>-0.91460600000000003</v>
      </c>
      <c r="S2232">
        <v>1.566681</v>
      </c>
      <c r="T2232">
        <v>-0.2420465</v>
      </c>
      <c r="U2232">
        <v>-2.6886749999999999</v>
      </c>
      <c r="V2232">
        <v>-0.15128059999999999</v>
      </c>
      <c r="W2232">
        <v>0.1701376</v>
      </c>
      <c r="X2232">
        <v>0.97373880000000002</v>
      </c>
      <c r="Y2232">
        <v>-0.28713919999999998</v>
      </c>
      <c r="Z2232">
        <v>7.8078090000000003E-2</v>
      </c>
      <c r="AA2232">
        <v>0.95470149999999998</v>
      </c>
      <c r="AB2232">
        <v>29</v>
      </c>
      <c r="AC2232">
        <v>7.1418999999999597</v>
      </c>
      <c r="AD2232">
        <v>-1.1155343223909999</v>
      </c>
      <c r="AE2232">
        <v>-12.090399999999899</v>
      </c>
      <c r="AF2232">
        <v>-4.1081928877996496</v>
      </c>
      <c r="AG2232">
        <v>-1.1155343223909999</v>
      </c>
      <c r="AH2232">
        <v>13.335733533919401</v>
      </c>
      <c r="AI2232">
        <v>94.570658211681305</v>
      </c>
      <c r="AJ2232">
        <v>107.121920430453</v>
      </c>
      <c r="AK2232">
        <v>13.998694743278801</v>
      </c>
      <c r="AL2232">
        <v>80.204179869300603</v>
      </c>
      <c r="AM2232">
        <v>98.830905470488204</v>
      </c>
      <c r="AN2232">
        <v>0.99999993674777798</v>
      </c>
    </row>
    <row r="2233" spans="1:40" x14ac:dyDescent="0.25">
      <c r="A2233" t="str">
        <f>"20190312172701235"</f>
        <v>20190312172701235</v>
      </c>
      <c r="B2233" t="str">
        <f>"1552382821231115"</f>
        <v>1552382821231115</v>
      </c>
      <c r="C2233" t="s">
        <v>40</v>
      </c>
      <c r="D2233">
        <v>3.323156</v>
      </c>
      <c r="E2233">
        <v>0.44411079999999997</v>
      </c>
      <c r="F2233" t="s">
        <v>47</v>
      </c>
      <c r="G2233">
        <v>-485.8177</v>
      </c>
      <c r="H2233" s="1">
        <v>4.5524620000000003E-6</v>
      </c>
      <c r="I2233">
        <v>226.3646</v>
      </c>
      <c r="J2233">
        <v>-493.11410000000001</v>
      </c>
      <c r="K2233">
        <v>1.1156619999999999</v>
      </c>
      <c r="L2233">
        <v>238.53909999999999</v>
      </c>
      <c r="M2233">
        <v>0.2383064</v>
      </c>
      <c r="N2233">
        <v>0</v>
      </c>
      <c r="O2233">
        <v>-0.97109060000000003</v>
      </c>
      <c r="P2233">
        <v>0.37817129999999999</v>
      </c>
      <c r="Q2233">
        <v>0.159254799999999</v>
      </c>
      <c r="R2233">
        <v>-0.91193480000000005</v>
      </c>
      <c r="S2233">
        <v>1.587585</v>
      </c>
      <c r="T2233">
        <v>-0.2407224</v>
      </c>
      <c r="U2233">
        <v>-2.676193</v>
      </c>
      <c r="V2233">
        <v>-0.15222469999999999</v>
      </c>
      <c r="W2233">
        <v>0.17079069999999999</v>
      </c>
      <c r="X2233">
        <v>0.97347740000000005</v>
      </c>
      <c r="Y2233">
        <v>-0.28895720000000003</v>
      </c>
      <c r="Z2233">
        <v>7.7633369999999993E-2</v>
      </c>
      <c r="AA2233">
        <v>0.95418910000000001</v>
      </c>
      <c r="AB2233">
        <v>29</v>
      </c>
      <c r="AC2233">
        <v>7.2964000000000002</v>
      </c>
      <c r="AD2233">
        <v>-1.1156574475379999</v>
      </c>
      <c r="AE2233">
        <v>-12.174499999999901</v>
      </c>
      <c r="AF2233">
        <v>-4.1589124804922397</v>
      </c>
      <c r="AG2233">
        <v>-1.1156574475379999</v>
      </c>
      <c r="AH2233">
        <v>13.479348998336199</v>
      </c>
      <c r="AI2233">
        <v>94.522051031996</v>
      </c>
      <c r="AJ2233">
        <v>107.147064262334</v>
      </c>
      <c r="AK2233">
        <v>14.150409675326999</v>
      </c>
      <c r="AL2233">
        <v>80.166205155461796</v>
      </c>
      <c r="AM2233">
        <v>98.887487805360294</v>
      </c>
      <c r="AN2233">
        <v>1.00000003540366</v>
      </c>
    </row>
    <row r="2234" spans="1:40" x14ac:dyDescent="0.25">
      <c r="A2234" t="str">
        <f>"20190312172701257"</f>
        <v>20190312172701257</v>
      </c>
      <c r="B2234" t="str">
        <f>"1552382821250635"</f>
        <v>1552382821250635</v>
      </c>
      <c r="C2234" t="s">
        <v>40</v>
      </c>
      <c r="D2234">
        <v>3.287391</v>
      </c>
      <c r="E2234">
        <v>0.44442609999999999</v>
      </c>
      <c r="F2234" t="s">
        <v>47</v>
      </c>
      <c r="G2234">
        <v>-485.62150000000003</v>
      </c>
      <c r="H2234" s="1">
        <v>4.4457189999999999E-6</v>
      </c>
      <c r="I2234">
        <v>226.07859999999999</v>
      </c>
      <c r="J2234">
        <v>-493.03629999999998</v>
      </c>
      <c r="K2234">
        <v>1.1158239999999999</v>
      </c>
      <c r="L2234">
        <v>238.25530000000001</v>
      </c>
      <c r="M2234">
        <v>0.2457027</v>
      </c>
      <c r="N2234">
        <v>0</v>
      </c>
      <c r="O2234">
        <v>-0.96924529999999998</v>
      </c>
      <c r="P2234">
        <v>0.38538679999999997</v>
      </c>
      <c r="Q2234">
        <v>0.160524</v>
      </c>
      <c r="R2234">
        <v>-0.90868550000000003</v>
      </c>
      <c r="S2234">
        <v>1.603394</v>
      </c>
      <c r="T2234">
        <v>-0.23874509999999999</v>
      </c>
      <c r="U2234">
        <v>-2.6664889999999999</v>
      </c>
      <c r="V2234">
        <v>-0.15265689999999901</v>
      </c>
      <c r="W2234">
        <v>0.17201029999999901</v>
      </c>
      <c r="X2234">
        <v>0.97319489999999997</v>
      </c>
      <c r="Y2234">
        <v>-0.28737570000000001</v>
      </c>
      <c r="Z2234">
        <v>7.6931810000000003E-2</v>
      </c>
      <c r="AA2234">
        <v>0.9547234</v>
      </c>
      <c r="AB2234">
        <v>29</v>
      </c>
      <c r="AC2234">
        <v>7.4147999999999499</v>
      </c>
      <c r="AD2234">
        <v>-1.1158195542810001</v>
      </c>
      <c r="AE2234">
        <v>-12.1767</v>
      </c>
      <c r="AF2234">
        <v>-4.1697756548598202</v>
      </c>
      <c r="AG2234">
        <v>-1.1158195542810001</v>
      </c>
      <c r="AH2234">
        <v>13.5424089923927</v>
      </c>
      <c r="AI2234">
        <v>94.502533070890493</v>
      </c>
      <c r="AJ2234">
        <v>107.113861545737</v>
      </c>
      <c r="AK2234">
        <v>14.213687896067499</v>
      </c>
      <c r="AL2234">
        <v>80.095277169182097</v>
      </c>
      <c r="AM2234">
        <v>98.914862399088094</v>
      </c>
      <c r="AN2234">
        <v>0.99999999290485497</v>
      </c>
    </row>
    <row r="2235" spans="1:40" x14ac:dyDescent="0.25">
      <c r="A2235" t="str">
        <f>"20190312172701280"</f>
        <v>20190312172701280</v>
      </c>
      <c r="B2235" t="str">
        <f>"1552382821271131"</f>
        <v>1552382821271131</v>
      </c>
      <c r="C2235" t="s">
        <v>40</v>
      </c>
      <c r="D2235">
        <v>3.328281</v>
      </c>
      <c r="E2235">
        <v>0.44465719999999997</v>
      </c>
      <c r="F2235" t="s">
        <v>47</v>
      </c>
      <c r="G2235">
        <v>-485.2946</v>
      </c>
      <c r="H2235" s="1">
        <v>4.2663570000000002E-6</v>
      </c>
      <c r="I2235">
        <v>225.5951</v>
      </c>
      <c r="J2235">
        <v>-492.95460000000003</v>
      </c>
      <c r="K2235">
        <v>1.1159950000000001</v>
      </c>
      <c r="L2235">
        <v>237.96719999999999</v>
      </c>
      <c r="M2235">
        <v>0.25345050000000002</v>
      </c>
      <c r="N2235">
        <v>0</v>
      </c>
      <c r="O2235">
        <v>-0.96724810000000006</v>
      </c>
      <c r="P2235">
        <v>0.39311040000000003</v>
      </c>
      <c r="Q2235">
        <v>0.16104779999999999</v>
      </c>
      <c r="R2235">
        <v>-0.90527809999999997</v>
      </c>
      <c r="S2235">
        <v>1.6231690000000001</v>
      </c>
      <c r="T2235">
        <v>-0.2339503</v>
      </c>
      <c r="U2235">
        <v>-2.6544189999999999</v>
      </c>
      <c r="V2235">
        <v>-0.1532598</v>
      </c>
      <c r="W2235">
        <v>0.17248189999999999</v>
      </c>
      <c r="X2235">
        <v>0.97301669999999996</v>
      </c>
      <c r="Y2235">
        <v>-0.28688659999999999</v>
      </c>
      <c r="Z2235">
        <v>7.53278E-2</v>
      </c>
      <c r="AA2235">
        <v>0.95499829999999997</v>
      </c>
      <c r="AB2235">
        <v>29</v>
      </c>
      <c r="AC2235">
        <v>7.6600000000000197</v>
      </c>
      <c r="AD2235">
        <v>-1.1159907336429999</v>
      </c>
      <c r="AE2235">
        <v>-12.3720999999999</v>
      </c>
      <c r="AF2235">
        <v>-4.2488293046748602</v>
      </c>
      <c r="AG2235">
        <v>-1.1159907336429999</v>
      </c>
      <c r="AH2235">
        <v>13.8283347650666</v>
      </c>
      <c r="AI2235">
        <v>94.411282086450399</v>
      </c>
      <c r="AJ2235">
        <v>107.07985357072501</v>
      </c>
      <c r="AK2235">
        <v>14.5093358963321</v>
      </c>
      <c r="AL2235">
        <v>80.067846924224199</v>
      </c>
      <c r="AM2235">
        <v>98.951114272758701</v>
      </c>
      <c r="AN2235">
        <v>1.0000000353012599</v>
      </c>
    </row>
    <row r="2236" spans="1:40" x14ac:dyDescent="0.25">
      <c r="A2236" t="str">
        <f>"20190312172701303"</f>
        <v>20190312172701303</v>
      </c>
      <c r="B2236" t="str">
        <f>"1552382821290654"</f>
        <v>1552382821290654</v>
      </c>
      <c r="C2236" t="s">
        <v>40</v>
      </c>
      <c r="D2236">
        <v>3.4372790000000002</v>
      </c>
      <c r="E2236">
        <v>0.44503549999999997</v>
      </c>
      <c r="F2236" t="s">
        <v>47</v>
      </c>
      <c r="G2236">
        <v>-485.02589999999998</v>
      </c>
      <c r="H2236" s="1">
        <v>4.1283400000000002E-6</v>
      </c>
      <c r="I2236">
        <v>225.24029999999999</v>
      </c>
      <c r="J2236">
        <v>-492.87639999999999</v>
      </c>
      <c r="K2236">
        <v>1.116155</v>
      </c>
      <c r="L2236">
        <v>237.70009999999999</v>
      </c>
      <c r="M2236">
        <v>0.26085979999999998</v>
      </c>
      <c r="N2236">
        <v>0</v>
      </c>
      <c r="O2236">
        <v>-0.96527580000000002</v>
      </c>
      <c r="P2236">
        <v>0.40090019999999998</v>
      </c>
      <c r="Q2236">
        <v>0.16104470000000001</v>
      </c>
      <c r="R2236">
        <v>-0.90185559999999998</v>
      </c>
      <c r="S2236">
        <v>1.6451420000000001</v>
      </c>
      <c r="T2236">
        <v>-0.23156009999999999</v>
      </c>
      <c r="U2236">
        <v>-2.6407319999999999</v>
      </c>
      <c r="V2236">
        <v>-0.15425849999999999</v>
      </c>
      <c r="W2236">
        <v>0.1724222</v>
      </c>
      <c r="X2236">
        <v>0.9728694</v>
      </c>
      <c r="Y2236">
        <v>-0.28752109999999997</v>
      </c>
      <c r="Z2236">
        <v>7.4506069999999994E-2</v>
      </c>
      <c r="AA2236">
        <v>0.95487200000000005</v>
      </c>
      <c r="AB2236">
        <v>29</v>
      </c>
      <c r="AC2236">
        <v>7.85050000000001</v>
      </c>
      <c r="AD2236">
        <v>-1.1161508716599999</v>
      </c>
      <c r="AE2236">
        <v>-12.4598</v>
      </c>
      <c r="AF2236">
        <v>-4.3033388937845896</v>
      </c>
      <c r="AG2236">
        <v>-1.1161508716599999</v>
      </c>
      <c r="AH2236">
        <v>13.995998008472499</v>
      </c>
      <c r="AI2236">
        <v>94.359004719235799</v>
      </c>
      <c r="AJ2236">
        <v>107.091052855828</v>
      </c>
      <c r="AK2236">
        <v>14.6851107812039</v>
      </c>
      <c r="AL2236">
        <v>80.071319000859702</v>
      </c>
      <c r="AM2236">
        <v>99.009831244818002</v>
      </c>
      <c r="AN2236">
        <v>0.99999998466572404</v>
      </c>
    </row>
    <row r="2237" spans="1:40" x14ac:dyDescent="0.25">
      <c r="A2237" t="str">
        <f>"20190312172701323"</f>
        <v>20190312172701323</v>
      </c>
      <c r="B2237" t="str">
        <f>"1552382821311147"</f>
        <v>1552382821311147</v>
      </c>
      <c r="C2237" t="s">
        <v>40</v>
      </c>
      <c r="D2237">
        <v>3.4600759999999999</v>
      </c>
      <c r="E2237">
        <v>0.44543379999999999</v>
      </c>
      <c r="F2237" t="s">
        <v>47</v>
      </c>
      <c r="G2237">
        <v>-484.84190000000001</v>
      </c>
      <c r="H2237" s="1">
        <v>4.0398540000000001E-6</v>
      </c>
      <c r="I2237">
        <v>225.0247</v>
      </c>
      <c r="J2237">
        <v>-492.7998</v>
      </c>
      <c r="K2237">
        <v>1.1163130000000001</v>
      </c>
      <c r="L2237">
        <v>237.44640000000001</v>
      </c>
      <c r="M2237">
        <v>0.26811390000000002</v>
      </c>
      <c r="N2237">
        <v>0</v>
      </c>
      <c r="O2237">
        <v>-0.96328579999999997</v>
      </c>
      <c r="P2237">
        <v>0.4083521</v>
      </c>
      <c r="Q2237">
        <v>0.1610954</v>
      </c>
      <c r="R2237">
        <v>-0.89849729999999906</v>
      </c>
      <c r="S2237">
        <v>1.6654659999999999</v>
      </c>
      <c r="T2237">
        <v>-0.23136590000000001</v>
      </c>
      <c r="U2237">
        <v>-2.627472</v>
      </c>
      <c r="V2237">
        <v>-0.15506700000000001</v>
      </c>
      <c r="W2237">
        <v>0.1724203</v>
      </c>
      <c r="X2237">
        <v>0.97274119999999997</v>
      </c>
      <c r="Y2237">
        <v>-0.287769</v>
      </c>
      <c r="Z2237">
        <v>7.4388330000000003E-2</v>
      </c>
      <c r="AA2237">
        <v>0.95480640000000006</v>
      </c>
      <c r="AB2237">
        <v>29</v>
      </c>
      <c r="AC2237">
        <v>7.9578999999999898</v>
      </c>
      <c r="AD2237">
        <v>-1.1163089601459999</v>
      </c>
      <c r="AE2237">
        <v>-12.4217</v>
      </c>
      <c r="AF2237">
        <v>-4.3110399618203301</v>
      </c>
      <c r="AG2237">
        <v>-1.1163089601459999</v>
      </c>
      <c r="AH2237">
        <v>14.0203669933609</v>
      </c>
      <c r="AI2237">
        <v>94.352053262889498</v>
      </c>
      <c r="AJ2237">
        <v>107.091830774556</v>
      </c>
      <c r="AK2237">
        <v>14.710605081893799</v>
      </c>
      <c r="AL2237">
        <v>80.071429554064494</v>
      </c>
      <c r="AM2237">
        <v>99.057446744304499</v>
      </c>
      <c r="AN2237">
        <v>0.99999998825926495</v>
      </c>
    </row>
    <row r="2238" spans="1:40" x14ac:dyDescent="0.25">
      <c r="A2238" t="str">
        <f>"20190312172701350"</f>
        <v>20190312172701350</v>
      </c>
      <c r="B2238" t="str">
        <f>"1552382821341403"</f>
        <v>1552382821341403</v>
      </c>
      <c r="C2238" t="s">
        <v>40</v>
      </c>
      <c r="D2238">
        <v>3.3129919999999999</v>
      </c>
      <c r="E2238">
        <v>0.45349970000000001</v>
      </c>
      <c r="F2238" t="s">
        <v>47</v>
      </c>
      <c r="G2238">
        <v>-484.64670000000001</v>
      </c>
      <c r="H2238" s="1">
        <v>3.945324E-6</v>
      </c>
      <c r="I2238">
        <v>224.7928</v>
      </c>
      <c r="J2238">
        <v>-492.70209999999997</v>
      </c>
      <c r="K2238">
        <v>1.116511</v>
      </c>
      <c r="L2238">
        <v>237.13319999999999</v>
      </c>
      <c r="M2238">
        <v>0.27736060000000001</v>
      </c>
      <c r="N2238">
        <v>0</v>
      </c>
      <c r="O2238">
        <v>-0.96066370000000001</v>
      </c>
      <c r="P2238">
        <v>0.41743540000000001</v>
      </c>
      <c r="Q2238">
        <v>0.16134960000000001</v>
      </c>
      <c r="R2238">
        <v>-0.89426779999999995</v>
      </c>
      <c r="S2238">
        <v>1.684631</v>
      </c>
      <c r="T2238">
        <v>-0.2306588</v>
      </c>
      <c r="U2238">
        <v>-2.614563</v>
      </c>
      <c r="V2238">
        <v>-0.1556776</v>
      </c>
      <c r="W2238">
        <v>0.1726152</v>
      </c>
      <c r="X2238">
        <v>0.9726091</v>
      </c>
      <c r="Y2238">
        <v>-0.28566770000000002</v>
      </c>
      <c r="Z2238">
        <v>7.4059609999999998E-2</v>
      </c>
      <c r="AA2238">
        <v>0.95546279999999995</v>
      </c>
      <c r="AB2238">
        <v>29</v>
      </c>
      <c r="AC2238">
        <v>8.0553999999999597</v>
      </c>
      <c r="AD2238">
        <v>-1.1165070546760001</v>
      </c>
      <c r="AE2238">
        <v>-12.340399999999899</v>
      </c>
      <c r="AF2238">
        <v>-4.29157964934973</v>
      </c>
      <c r="AG2238">
        <v>-1.1165070546760001</v>
      </c>
      <c r="AH2238">
        <v>14.0101895997132</v>
      </c>
      <c r="AI2238">
        <v>94.3573913412514</v>
      </c>
      <c r="AJ2238">
        <v>107.03079319697299</v>
      </c>
      <c r="AK2238">
        <v>14.695225636572101</v>
      </c>
      <c r="AL2238">
        <v>80.060092661843299</v>
      </c>
      <c r="AM2238">
        <v>99.093731494104006</v>
      </c>
      <c r="AN2238">
        <v>0.99999999190780497</v>
      </c>
    </row>
    <row r="2239" spans="1:40" x14ac:dyDescent="0.25">
      <c r="A2239" t="str">
        <f>"20190312172701371"</f>
        <v>20190312172701371</v>
      </c>
      <c r="B2239" t="str">
        <f>"1552382821360922"</f>
        <v>1552382821360922</v>
      </c>
      <c r="C2239" t="s">
        <v>40</v>
      </c>
      <c r="D2239">
        <v>3.3555419999999998</v>
      </c>
      <c r="E2239">
        <v>0.45394869999999998</v>
      </c>
      <c r="F2239" t="s">
        <v>47</v>
      </c>
      <c r="G2239">
        <v>-484.07580000000002</v>
      </c>
      <c r="H2239" s="1">
        <v>3.4166769999999998E-6</v>
      </c>
      <c r="I2239">
        <v>223.4444</v>
      </c>
      <c r="J2239">
        <v>-492.61709999999999</v>
      </c>
      <c r="K2239">
        <v>1.1166830000000001</v>
      </c>
      <c r="L2239">
        <v>236.8707</v>
      </c>
      <c r="M2239">
        <v>0.28538570000000002</v>
      </c>
      <c r="N2239">
        <v>0</v>
      </c>
      <c r="O2239">
        <v>-0.95830990000000005</v>
      </c>
      <c r="P2239">
        <v>0.42505359999999998</v>
      </c>
      <c r="Q2239">
        <v>0.16141620000000001</v>
      </c>
      <c r="R2239">
        <v>-0.89065939999999999</v>
      </c>
      <c r="S2239">
        <v>1.6523129999999999</v>
      </c>
      <c r="T2239">
        <v>-0.213861</v>
      </c>
      <c r="U2239">
        <v>-2.6220089999999998</v>
      </c>
      <c r="V2239">
        <v>-0.1559227</v>
      </c>
      <c r="W2239">
        <v>0.17263970000000001</v>
      </c>
      <c r="X2239">
        <v>0.97256549999999997</v>
      </c>
      <c r="Y2239">
        <v>-0.2681965</v>
      </c>
      <c r="Z2239">
        <v>6.8672120000000003E-2</v>
      </c>
      <c r="AA2239">
        <v>0.96091349999999998</v>
      </c>
      <c r="AB2239">
        <v>29</v>
      </c>
      <c r="AC2239">
        <v>8.5412999999999695</v>
      </c>
      <c r="AD2239">
        <v>-1.1166795833230001</v>
      </c>
      <c r="AE2239">
        <v>-13.4262999999999</v>
      </c>
      <c r="AF2239">
        <v>-4.33263155906835</v>
      </c>
      <c r="AG2239">
        <v>-1.1166795833230001</v>
      </c>
      <c r="AH2239">
        <v>15.230626921836899</v>
      </c>
      <c r="AI2239">
        <v>94.033832088983502</v>
      </c>
      <c r="AJ2239">
        <v>105.879375898185</v>
      </c>
      <c r="AK2239">
        <v>15.8742138687441</v>
      </c>
      <c r="AL2239">
        <v>80.058667632150005</v>
      </c>
      <c r="AM2239">
        <v>99.108210406729896</v>
      </c>
      <c r="AN2239">
        <v>1.0000000030908101</v>
      </c>
    </row>
    <row r="2240" spans="1:40" x14ac:dyDescent="0.25">
      <c r="A2240" t="str">
        <f>"20190312172701394"</f>
        <v>20190312172701394</v>
      </c>
      <c r="B2240" t="str">
        <f>"1552382821391179"</f>
        <v>1552382821391179</v>
      </c>
      <c r="C2240" t="s">
        <v>40</v>
      </c>
      <c r="D2240">
        <v>3.3559540000000001</v>
      </c>
      <c r="E2240">
        <v>0.45506279999999999</v>
      </c>
      <c r="F2240" t="s">
        <v>47</v>
      </c>
      <c r="G2240">
        <v>-483.8965</v>
      </c>
      <c r="H2240" s="1">
        <v>3.3208699999999999E-6</v>
      </c>
      <c r="I2240">
        <v>223.26349999999999</v>
      </c>
      <c r="J2240">
        <v>-492.52589999999998</v>
      </c>
      <c r="K2240">
        <v>1.1168480000000001</v>
      </c>
      <c r="L2240">
        <v>236.5975</v>
      </c>
      <c r="M2240">
        <v>0.29395130000000003</v>
      </c>
      <c r="N2240">
        <v>0</v>
      </c>
      <c r="O2240">
        <v>-0.95571689999999998</v>
      </c>
      <c r="P2240">
        <v>0.43290640000000002</v>
      </c>
      <c r="Q2240">
        <v>0.1617335</v>
      </c>
      <c r="R2240">
        <v>-0.88681160000000003</v>
      </c>
      <c r="S2240">
        <v>1.67215</v>
      </c>
      <c r="T2240">
        <v>-0.21412039999999999</v>
      </c>
      <c r="U2240">
        <v>-2.609146</v>
      </c>
      <c r="V2240">
        <v>-0.1559024</v>
      </c>
      <c r="W2240">
        <v>0.17292149999999901</v>
      </c>
      <c r="X2240">
        <v>0.97251869999999996</v>
      </c>
      <c r="Y2240">
        <v>-0.266905</v>
      </c>
      <c r="Z2240">
        <v>6.8648420000000002E-2</v>
      </c>
      <c r="AA2240">
        <v>0.96127470000000004</v>
      </c>
      <c r="AB2240">
        <v>29</v>
      </c>
      <c r="AC2240">
        <v>8.6293999999999702</v>
      </c>
      <c r="AD2240">
        <v>-1.11684467913</v>
      </c>
      <c r="AE2240">
        <v>-13.334</v>
      </c>
      <c r="AF2240">
        <v>-4.30684918103755</v>
      </c>
      <c r="AG2240">
        <v>-1.11684467913</v>
      </c>
      <c r="AH2240">
        <v>15.2064738879196</v>
      </c>
      <c r="AI2240">
        <v>94.042129246905503</v>
      </c>
      <c r="AJ2240">
        <v>105.813432702095</v>
      </c>
      <c r="AK2240">
        <v>15.8440253726598</v>
      </c>
      <c r="AL2240">
        <v>80.042275240313998</v>
      </c>
      <c r="AM2240">
        <v>99.107475366070403</v>
      </c>
      <c r="AN2240">
        <v>1.00000001266885</v>
      </c>
    </row>
    <row r="2241" spans="1:40" x14ac:dyDescent="0.25">
      <c r="A2241" t="str">
        <f>"20190312172701414"</f>
        <v>20190312172701414</v>
      </c>
      <c r="B2241" t="str">
        <f>"1552382821410699"</f>
        <v>1552382821410699</v>
      </c>
      <c r="C2241" t="s">
        <v>40</v>
      </c>
      <c r="D2241">
        <v>3.3488799999999999</v>
      </c>
      <c r="E2241">
        <v>0.45545940000000001</v>
      </c>
      <c r="F2241" t="s">
        <v>47</v>
      </c>
      <c r="G2241">
        <v>-483.81560000000002</v>
      </c>
      <c r="H2241" s="1">
        <v>3.281313E-6</v>
      </c>
      <c r="I2241">
        <v>223.19370000000001</v>
      </c>
      <c r="J2241">
        <v>-492.44290000000001</v>
      </c>
      <c r="K2241">
        <v>1.1169819999999999</v>
      </c>
      <c r="L2241">
        <v>236.3562</v>
      </c>
      <c r="M2241">
        <v>0.30169980000000002</v>
      </c>
      <c r="N2241">
        <v>0</v>
      </c>
      <c r="O2241">
        <v>-0.95329889999999995</v>
      </c>
      <c r="P2241">
        <v>0.43944860000000002</v>
      </c>
      <c r="Q2241">
        <v>0.1625991</v>
      </c>
      <c r="R2241">
        <v>-0.88342900000000002</v>
      </c>
      <c r="S2241">
        <v>1.68838499999999</v>
      </c>
      <c r="T2241">
        <v>-0.2164874</v>
      </c>
      <c r="U2241">
        <v>-2.5981749999999999</v>
      </c>
      <c r="V2241">
        <v>-0.15531400000000001</v>
      </c>
      <c r="W2241">
        <v>0.1737677</v>
      </c>
      <c r="X2241">
        <v>0.97246200000000005</v>
      </c>
      <c r="Y2241">
        <v>-0.265132599999999</v>
      </c>
      <c r="Z2241">
        <v>6.9298750000000006E-2</v>
      </c>
      <c r="AA2241">
        <v>0.96171839999999997</v>
      </c>
      <c r="AB2241">
        <v>29</v>
      </c>
      <c r="AC2241">
        <v>8.6272999999999893</v>
      </c>
      <c r="AD2241">
        <v>-1.1169787186869999</v>
      </c>
      <c r="AE2241">
        <v>-13.1624999999999</v>
      </c>
      <c r="AF2241">
        <v>-4.2323744071115703</v>
      </c>
      <c r="AG2241">
        <v>-1.1169787186869999</v>
      </c>
      <c r="AH2241">
        <v>15.076211852155</v>
      </c>
      <c r="AI2241">
        <v>94.080071414664999</v>
      </c>
      <c r="AJ2241">
        <v>105.68112802310399</v>
      </c>
      <c r="AK2241">
        <v>15.698815190677101</v>
      </c>
      <c r="AL2241">
        <v>79.993046124627597</v>
      </c>
      <c r="AM2241">
        <v>99.074195463544498</v>
      </c>
      <c r="AN2241">
        <v>0.99999999680164497</v>
      </c>
    </row>
    <row r="2242" spans="1:40" x14ac:dyDescent="0.25">
      <c r="A2242" t="str">
        <f>"20190312172701437"</f>
        <v>20190312172701437</v>
      </c>
      <c r="B2242" t="str">
        <f>"1552382821431195"</f>
        <v>1552382821431195</v>
      </c>
      <c r="C2242" t="s">
        <v>40</v>
      </c>
      <c r="D2242">
        <v>3.3248850000000001</v>
      </c>
      <c r="E2242">
        <v>0.456154</v>
      </c>
      <c r="F2242" t="s">
        <v>47</v>
      </c>
      <c r="G2242">
        <v>-483.589</v>
      </c>
      <c r="H2242" s="1">
        <v>3.1495340000000002E-6</v>
      </c>
      <c r="I2242">
        <v>222.93049999999999</v>
      </c>
      <c r="J2242">
        <v>-492.34980000000002</v>
      </c>
      <c r="K2242">
        <v>1.1171260000000001</v>
      </c>
      <c r="L2242">
        <v>236.0933</v>
      </c>
      <c r="M2242">
        <v>0.31035049999999997</v>
      </c>
      <c r="N2242">
        <v>0</v>
      </c>
      <c r="O2242">
        <v>-0.95051750000000002</v>
      </c>
      <c r="P2242">
        <v>0.4465153</v>
      </c>
      <c r="Q2242">
        <v>0.16409779999999999</v>
      </c>
      <c r="R2242">
        <v>-0.8796003</v>
      </c>
      <c r="S2242">
        <v>1.7059629999999999</v>
      </c>
      <c r="T2242">
        <v>-0.21521999999999999</v>
      </c>
      <c r="U2242">
        <v>-2.5868679999999999</v>
      </c>
      <c r="V2242">
        <v>-0.1544432</v>
      </c>
      <c r="W2242">
        <v>0.1752505</v>
      </c>
      <c r="X2242">
        <v>0.97233460000000005</v>
      </c>
      <c r="Y2242">
        <v>-0.26287729999999998</v>
      </c>
      <c r="Z2242">
        <v>6.8754239999999994E-2</v>
      </c>
      <c r="AA2242">
        <v>0.96237640000000002</v>
      </c>
      <c r="AB2242">
        <v>29</v>
      </c>
      <c r="AC2242">
        <v>8.7608000000000104</v>
      </c>
      <c r="AD2242">
        <v>-1.117122850466</v>
      </c>
      <c r="AE2242">
        <v>-13.162800000000001</v>
      </c>
      <c r="AF2242">
        <v>-4.2215619207632002</v>
      </c>
      <c r="AG2242">
        <v>-1.117122850466</v>
      </c>
      <c r="AH2242">
        <v>15.1562519454086</v>
      </c>
      <c r="AI2242">
        <v>94.061423427997497</v>
      </c>
      <c r="AJ2242">
        <v>105.56443453320701</v>
      </c>
      <c r="AK2242">
        <v>15.772809564138299</v>
      </c>
      <c r="AL2242">
        <v>79.906764087339994</v>
      </c>
      <c r="AM2242">
        <v>99.025321556491704</v>
      </c>
      <c r="AN2242">
        <v>1.00000000706682</v>
      </c>
    </row>
    <row r="2243" spans="1:40" x14ac:dyDescent="0.25">
      <c r="A2243" t="str">
        <f>"20190312172701459"</f>
        <v>20190312172701459</v>
      </c>
      <c r="B2243" t="str">
        <f>"1552382821450715"</f>
        <v>1552382821450715</v>
      </c>
      <c r="C2243" t="s">
        <v>40</v>
      </c>
      <c r="D2243">
        <v>3.2560180000000001</v>
      </c>
      <c r="E2243">
        <v>0.45417400000000002</v>
      </c>
      <c r="F2243" t="s">
        <v>47</v>
      </c>
      <c r="G2243">
        <v>-483.36270000000002</v>
      </c>
      <c r="H2243" s="1">
        <v>3.0371600000000001E-6</v>
      </c>
      <c r="I2243">
        <v>222.6559</v>
      </c>
      <c r="J2243">
        <v>-492.25110000000001</v>
      </c>
      <c r="K2243">
        <v>1.117283</v>
      </c>
      <c r="L2243">
        <v>235.82339999999999</v>
      </c>
      <c r="M2243">
        <v>0.31944790000000001</v>
      </c>
      <c r="N2243">
        <v>0</v>
      </c>
      <c r="O2243">
        <v>-0.94749830000000002</v>
      </c>
      <c r="P2243">
        <v>0.4542602</v>
      </c>
      <c r="Q2243">
        <v>0.16483110000000001</v>
      </c>
      <c r="R2243">
        <v>-0.87548769999999998</v>
      </c>
      <c r="S2243">
        <v>1.7228699999999999</v>
      </c>
      <c r="T2243">
        <v>-0.2141594</v>
      </c>
      <c r="U2243">
        <v>-2.5760350000000001</v>
      </c>
      <c r="V2243">
        <v>-0.15382419999999999</v>
      </c>
      <c r="W2243">
        <v>0.17596489999999901</v>
      </c>
      <c r="X2243">
        <v>0.97230369999999999</v>
      </c>
      <c r="Y2243">
        <v>-0.25988139999999998</v>
      </c>
      <c r="Z2243">
        <v>6.8251190000000003E-2</v>
      </c>
      <c r="AA2243">
        <v>0.96322549999999996</v>
      </c>
      <c r="AB2243">
        <v>29</v>
      </c>
      <c r="AC2243">
        <v>8.8883999999999901</v>
      </c>
      <c r="AD2243">
        <v>-1.1172799628399901</v>
      </c>
      <c r="AE2243">
        <v>-13.167499999999899</v>
      </c>
      <c r="AF2243">
        <v>-4.1950862334717902</v>
      </c>
      <c r="AG2243">
        <v>-1.1172799628399901</v>
      </c>
      <c r="AH2243">
        <v>15.241710353796201</v>
      </c>
      <c r="AI2243">
        <v>94.0427100219419</v>
      </c>
      <c r="AJ2243">
        <v>105.388887447458</v>
      </c>
      <c r="AK2243">
        <v>15.847927231365199</v>
      </c>
      <c r="AL2243">
        <v>79.865185872944807</v>
      </c>
      <c r="AM2243">
        <v>98.990021492760206</v>
      </c>
      <c r="AN2243">
        <v>1.0000000077856599</v>
      </c>
    </row>
    <row r="2244" spans="1:40" x14ac:dyDescent="0.25">
      <c r="A2244" t="str">
        <f>"20190312172701481"</f>
        <v>20190312172701481</v>
      </c>
      <c r="B2244" t="str">
        <f>"1552382821471211"</f>
        <v>1552382821471211</v>
      </c>
      <c r="C2244" t="s">
        <v>40</v>
      </c>
      <c r="D2244">
        <v>3.3858700000000002</v>
      </c>
      <c r="E2244">
        <v>0.4519841</v>
      </c>
      <c r="F2244" t="s">
        <v>47</v>
      </c>
      <c r="G2244">
        <v>-483.15690000000001</v>
      </c>
      <c r="H2244" s="1">
        <v>2.9967809999999902E-6</v>
      </c>
      <c r="I2244">
        <v>222.63839999999999</v>
      </c>
      <c r="J2244">
        <v>-492.1515</v>
      </c>
      <c r="K2244">
        <v>1.1174379999999999</v>
      </c>
      <c r="L2244">
        <v>235.55930000000001</v>
      </c>
      <c r="M2244">
        <v>0.32856410000000003</v>
      </c>
      <c r="N2244">
        <v>0</v>
      </c>
      <c r="O2244">
        <v>-0.94437530000000003</v>
      </c>
      <c r="P2244">
        <v>0.46202890000000002</v>
      </c>
      <c r="Q2244">
        <v>0.16572729999999999</v>
      </c>
      <c r="R2244">
        <v>-0.87124269999999904</v>
      </c>
      <c r="S2244">
        <v>1.761261</v>
      </c>
      <c r="T2244">
        <v>-0.21637999999999999</v>
      </c>
      <c r="U2244">
        <v>-2.5534970000000001</v>
      </c>
      <c r="V2244">
        <v>-0.1532377</v>
      </c>
      <c r="W2244">
        <v>0.1768431</v>
      </c>
      <c r="X2244">
        <v>0.97223700000000002</v>
      </c>
      <c r="Y2244">
        <v>-0.26434960000000002</v>
      </c>
      <c r="Z2244">
        <v>6.8812079999999998E-2</v>
      </c>
      <c r="AA2244">
        <v>0.96196890000000002</v>
      </c>
      <c r="AB2244">
        <v>29</v>
      </c>
      <c r="AC2244">
        <v>8.9945999999999895</v>
      </c>
      <c r="AD2244">
        <v>-1.1174350032189999</v>
      </c>
      <c r="AE2244">
        <v>-12.9209</v>
      </c>
      <c r="AF2244">
        <v>-4.2280604861330904</v>
      </c>
      <c r="AG2244">
        <v>-1.1174350032189999</v>
      </c>
      <c r="AH2244">
        <v>15.083017420640401</v>
      </c>
      <c r="AI2244">
        <v>94.080333405931</v>
      </c>
      <c r="AJ2244">
        <v>105.65920816849599</v>
      </c>
      <c r="AK2244">
        <v>15.7042214379498</v>
      </c>
      <c r="AL2244">
        <v>79.814067288075407</v>
      </c>
      <c r="AM2244">
        <v>98.956905561597793</v>
      </c>
      <c r="AN2244">
        <v>1.00000002944394</v>
      </c>
    </row>
    <row r="2245" spans="1:40" x14ac:dyDescent="0.25">
      <c r="A2245" t="str">
        <f>"20190312172701505"</f>
        <v>20190312172701505</v>
      </c>
      <c r="B2245" t="str">
        <f>"1552382821501467"</f>
        <v>1552382821501467</v>
      </c>
      <c r="C2245" t="s">
        <v>40</v>
      </c>
      <c r="D2245">
        <v>3.312675</v>
      </c>
      <c r="E2245">
        <v>0.4495963</v>
      </c>
      <c r="F2245" t="s">
        <v>47</v>
      </c>
      <c r="G2245">
        <v>-482.78980000000001</v>
      </c>
      <c r="H2245" s="1">
        <v>2.8801659999999999E-6</v>
      </c>
      <c r="I2245">
        <v>222.40549999999999</v>
      </c>
      <c r="J2245">
        <v>-492.04410000000001</v>
      </c>
      <c r="K2245">
        <v>1.117602</v>
      </c>
      <c r="L2245">
        <v>235.2833</v>
      </c>
      <c r="M2245">
        <v>0.33830729999999998</v>
      </c>
      <c r="N2245">
        <v>0</v>
      </c>
      <c r="O2245">
        <v>-0.9409286</v>
      </c>
      <c r="P2245">
        <v>0.47087329999999999</v>
      </c>
      <c r="Q2245">
        <v>0.16576659999999999</v>
      </c>
      <c r="R2245">
        <v>-0.86648729999999996</v>
      </c>
      <c r="S2245">
        <v>1.8002929999999999</v>
      </c>
      <c r="T2245">
        <v>-0.21488599999999999</v>
      </c>
      <c r="U2245">
        <v>-2.5295100000000001</v>
      </c>
      <c r="V2245">
        <v>-0.15315770000000001</v>
      </c>
      <c r="W2245">
        <v>0.17685580000000001</v>
      </c>
      <c r="X2245">
        <v>0.97224719999999998</v>
      </c>
      <c r="Y2245">
        <v>-0.2685805</v>
      </c>
      <c r="Z2245">
        <v>6.81842E-2</v>
      </c>
      <c r="AA2245">
        <v>0.96084099999999995</v>
      </c>
      <c r="AB2245">
        <v>29</v>
      </c>
      <c r="AC2245">
        <v>9.2543000000000006</v>
      </c>
      <c r="AD2245">
        <v>-1.1175991198340001</v>
      </c>
      <c r="AE2245">
        <v>-12.877800000000001</v>
      </c>
      <c r="AF2245">
        <v>-4.3299148698516303</v>
      </c>
      <c r="AG2245">
        <v>-1.1175991198340001</v>
      </c>
      <c r="AH2245">
        <v>15.1740591525336</v>
      </c>
      <c r="AI2245">
        <v>94.051204947494</v>
      </c>
      <c r="AJ2245">
        <v>105.92608710029501</v>
      </c>
      <c r="AK2245">
        <v>15.819268685290201</v>
      </c>
      <c r="AL2245">
        <v>79.813327021595299</v>
      </c>
      <c r="AM2245">
        <v>98.952212832047493</v>
      </c>
      <c r="AN2245">
        <v>0.99999993648538299</v>
      </c>
    </row>
    <row r="2246" spans="1:40" x14ac:dyDescent="0.25">
      <c r="A2246" t="str">
        <f>"20190312172701525"</f>
        <v>20190312172701525</v>
      </c>
      <c r="B2246" t="str">
        <f>"1552382821520987"</f>
        <v>1552382821520987</v>
      </c>
      <c r="C2246" t="s">
        <v>40</v>
      </c>
      <c r="D2246">
        <v>3.2839059999999902</v>
      </c>
      <c r="E2246">
        <v>0.4482334</v>
      </c>
      <c r="F2246" t="s">
        <v>47</v>
      </c>
      <c r="G2246">
        <v>-482.5102</v>
      </c>
      <c r="H2246" s="1">
        <v>2.818402E-6</v>
      </c>
      <c r="I2246">
        <v>222.35040000000001</v>
      </c>
      <c r="J2246">
        <v>-491.94990000000001</v>
      </c>
      <c r="K2246">
        <v>1.1177299999999999</v>
      </c>
      <c r="L2246">
        <v>235.0487</v>
      </c>
      <c r="M2246">
        <v>0.34677049999999998</v>
      </c>
      <c r="N2246">
        <v>0</v>
      </c>
      <c r="O2246">
        <v>-0.93784219999999896</v>
      </c>
      <c r="P2246">
        <v>0.47848030000000003</v>
      </c>
      <c r="Q2246">
        <v>0.16699330000000001</v>
      </c>
      <c r="R2246">
        <v>-0.86207319999999998</v>
      </c>
      <c r="S2246">
        <v>1.8440859999999999</v>
      </c>
      <c r="T2246">
        <v>-0.21617</v>
      </c>
      <c r="U2246">
        <v>-2.5015109999999998</v>
      </c>
      <c r="V2246">
        <v>-0.15311649999999999</v>
      </c>
      <c r="W2246">
        <v>0.17805850000000001</v>
      </c>
      <c r="X2246">
        <v>0.97203419999999896</v>
      </c>
      <c r="Y2246">
        <v>-0.27593309999999999</v>
      </c>
      <c r="Z2246">
        <v>6.8484199999999995E-2</v>
      </c>
      <c r="AA2246">
        <v>0.95873399999999998</v>
      </c>
      <c r="AB2246">
        <v>29</v>
      </c>
      <c r="AC2246">
        <v>9.4397000000000109</v>
      </c>
      <c r="AD2246">
        <v>-1.1177271815980001</v>
      </c>
      <c r="AE2246">
        <v>-12.6982999999999</v>
      </c>
      <c r="AF2246">
        <v>-4.4279071247552597</v>
      </c>
      <c r="AG2246">
        <v>-1.1177271815980001</v>
      </c>
      <c r="AH2246">
        <v>15.108552167147799</v>
      </c>
      <c r="AI2246">
        <v>94.060825188700306</v>
      </c>
      <c r="AJ2246">
        <v>106.33443080244299</v>
      </c>
      <c r="AK2246">
        <v>15.7836632042555</v>
      </c>
      <c r="AL2246">
        <v>79.743306586616796</v>
      </c>
      <c r="AM2246">
        <v>98.951773046013699</v>
      </c>
      <c r="AN2246">
        <v>0.99999998898206899</v>
      </c>
    </row>
    <row r="2247" spans="1:40" x14ac:dyDescent="0.25">
      <c r="A2247" t="str">
        <f>"20190312172701549"</f>
        <v>20190312172701549</v>
      </c>
      <c r="B2247" t="str">
        <f>"1552382821541482"</f>
        <v>1552382821541482</v>
      </c>
      <c r="C2247" t="s">
        <v>40</v>
      </c>
      <c r="D2247">
        <v>3.3405330000000002</v>
      </c>
      <c r="E2247">
        <v>0.44724239999999998</v>
      </c>
      <c r="F2247" t="s">
        <v>47</v>
      </c>
      <c r="G2247">
        <v>-482.10750000000002</v>
      </c>
      <c r="H2247" s="1">
        <v>2.6804039999999999E-6</v>
      </c>
      <c r="I2247">
        <v>222.04939999999999</v>
      </c>
      <c r="J2247">
        <v>-491.84019999999998</v>
      </c>
      <c r="K2247">
        <v>1.117875</v>
      </c>
      <c r="L2247">
        <v>234.78309999999999</v>
      </c>
      <c r="M2247">
        <v>0.35653559999999901</v>
      </c>
      <c r="N2247">
        <v>0</v>
      </c>
      <c r="O2247">
        <v>-0.93417300000000003</v>
      </c>
      <c r="P2247">
        <v>0.48756840000000001</v>
      </c>
      <c r="Q2247">
        <v>0.16728380000000001</v>
      </c>
      <c r="R2247">
        <v>-0.85690929999999998</v>
      </c>
      <c r="S2247">
        <v>1.8772580000000001</v>
      </c>
      <c r="T2247">
        <v>-0.21318590000000001</v>
      </c>
      <c r="U2247">
        <v>-2.4793850000000002</v>
      </c>
      <c r="V2247">
        <v>-0.1533418</v>
      </c>
      <c r="W2247">
        <v>0.17832029999999999</v>
      </c>
      <c r="X2247">
        <v>0.97195069999999995</v>
      </c>
      <c r="Y2247">
        <v>-0.27823170000000003</v>
      </c>
      <c r="Z2247">
        <v>6.7370330000000006E-2</v>
      </c>
      <c r="AA2247">
        <v>0.95814840000000001</v>
      </c>
      <c r="AB2247">
        <v>28</v>
      </c>
      <c r="AC2247">
        <v>9.7326999999999604</v>
      </c>
      <c r="AD2247">
        <v>-1.1178723195960001</v>
      </c>
      <c r="AE2247">
        <v>-12.733700000000001</v>
      </c>
      <c r="AF2247">
        <v>-4.5304309518021997</v>
      </c>
      <c r="AG2247">
        <v>-1.1178723195960001</v>
      </c>
      <c r="AH2247">
        <v>15.2926977194257</v>
      </c>
      <c r="AI2247">
        <v>94.009165651501206</v>
      </c>
      <c r="AJ2247">
        <v>106.501816943775</v>
      </c>
      <c r="AK2247">
        <v>15.988778773555399</v>
      </c>
      <c r="AL2247">
        <v>79.728062705266595</v>
      </c>
      <c r="AM2247">
        <v>98.965488817850201</v>
      </c>
      <c r="AN2247">
        <v>1.0000000001249001</v>
      </c>
    </row>
    <row r="2248" spans="1:40" x14ac:dyDescent="0.25">
      <c r="A2248" t="str">
        <f>"20190312172701572"</f>
        <v>20190312172701572</v>
      </c>
      <c r="B2248" t="str">
        <f>"1552382821561003"</f>
        <v>1552382821561003</v>
      </c>
      <c r="C2248" t="s">
        <v>40</v>
      </c>
      <c r="D2248">
        <v>3.160031</v>
      </c>
      <c r="E2248">
        <v>0.44620140000000003</v>
      </c>
      <c r="F2248" t="s">
        <v>47</v>
      </c>
      <c r="G2248">
        <v>-481.6807</v>
      </c>
      <c r="H2248" s="1">
        <v>2.5355839999999999E-6</v>
      </c>
      <c r="I2248">
        <v>221.73670000000001</v>
      </c>
      <c r="J2248">
        <v>-491.72140000000002</v>
      </c>
      <c r="K2248">
        <v>1.118012</v>
      </c>
      <c r="L2248">
        <v>234.50559999999999</v>
      </c>
      <c r="M2248">
        <v>0.36695480000000003</v>
      </c>
      <c r="N2248">
        <v>0</v>
      </c>
      <c r="O2248">
        <v>-0.93012910000000004</v>
      </c>
      <c r="P2248">
        <v>0.4970928</v>
      </c>
      <c r="Q2248">
        <v>0.16824800000000001</v>
      </c>
      <c r="R2248">
        <v>-0.85122949999999997</v>
      </c>
      <c r="S2248">
        <v>1.911346</v>
      </c>
      <c r="T2248">
        <v>-0.21031050000000001</v>
      </c>
      <c r="U2248">
        <v>-2.4544679999999999</v>
      </c>
      <c r="V2248">
        <v>-0.1534616</v>
      </c>
      <c r="W2248">
        <v>0.17926149999999999</v>
      </c>
      <c r="X2248">
        <v>0.97175869999999998</v>
      </c>
      <c r="Y2248">
        <v>-0.28054430000000002</v>
      </c>
      <c r="Z2248">
        <v>6.6302310000000003E-2</v>
      </c>
      <c r="AA2248">
        <v>0.95754839999999997</v>
      </c>
      <c r="AB2248">
        <v>28</v>
      </c>
      <c r="AC2248">
        <v>10.040699999999999</v>
      </c>
      <c r="AD2248">
        <v>-1.1180094644159999</v>
      </c>
      <c r="AE2248">
        <v>-12.768899999999901</v>
      </c>
      <c r="AF2248">
        <v>-4.6320701309986703</v>
      </c>
      <c r="AG2248">
        <v>-1.1180094644159999</v>
      </c>
      <c r="AH2248">
        <v>15.489420636425301</v>
      </c>
      <c r="AI2248">
        <v>93.955874961905593</v>
      </c>
      <c r="AJ2248">
        <v>106.649154912749</v>
      </c>
      <c r="AK2248">
        <v>16.2058066912182</v>
      </c>
      <c r="AL2248">
        <v>79.673253388286895</v>
      </c>
      <c r="AM2248">
        <v>98.974123211967594</v>
      </c>
      <c r="AN2248">
        <v>1.0000000595412399</v>
      </c>
    </row>
    <row r="2249" spans="1:40" x14ac:dyDescent="0.25">
      <c r="A2249" t="str">
        <f>"20190312172701596"</f>
        <v>20190312172701596</v>
      </c>
      <c r="B2249" t="str">
        <f>"1552382821591259"</f>
        <v>1552382821591259</v>
      </c>
      <c r="C2249" t="s">
        <v>40</v>
      </c>
      <c r="D2249">
        <v>3.0113639999999999</v>
      </c>
      <c r="E2249">
        <v>0.44486429999999999</v>
      </c>
      <c r="F2249" t="s">
        <v>47</v>
      </c>
      <c r="G2249">
        <v>-481.17959999999999</v>
      </c>
      <c r="H2249" s="1">
        <v>2.363635E-6</v>
      </c>
      <c r="I2249">
        <v>221.36109999999999</v>
      </c>
      <c r="J2249">
        <v>-491.60489999999999</v>
      </c>
      <c r="K2249">
        <v>1.118115</v>
      </c>
      <c r="L2249">
        <v>234.2415</v>
      </c>
      <c r="M2249">
        <v>0.37701230000000002</v>
      </c>
      <c r="N2249">
        <v>0</v>
      </c>
      <c r="O2249">
        <v>-0.92609759999999997</v>
      </c>
      <c r="P2249">
        <v>0.50644179999999905</v>
      </c>
      <c r="Q2249">
        <v>0.16865379999999899</v>
      </c>
      <c r="R2249">
        <v>-0.84561969999999997</v>
      </c>
      <c r="S2249">
        <v>1.9472659999999999</v>
      </c>
      <c r="T2249">
        <v>-0.20651559999999999</v>
      </c>
      <c r="U2249">
        <v>-2.4280089999999999</v>
      </c>
      <c r="V2249">
        <v>-0.153723</v>
      </c>
      <c r="W2249">
        <v>0.17964939999999999</v>
      </c>
      <c r="X2249">
        <v>0.97164569999999995</v>
      </c>
      <c r="Y2249">
        <v>-0.28392060000000002</v>
      </c>
      <c r="Z2249">
        <v>6.4953150000000001E-2</v>
      </c>
      <c r="AA2249">
        <v>0.95664530000000003</v>
      </c>
      <c r="AB2249">
        <v>28</v>
      </c>
      <c r="AC2249">
        <v>10.425299999999901</v>
      </c>
      <c r="AD2249">
        <v>-1.118112636365</v>
      </c>
      <c r="AE2249">
        <v>-12.8804</v>
      </c>
      <c r="AF2249">
        <v>-4.7775165929644103</v>
      </c>
      <c r="AG2249">
        <v>-1.118112636365</v>
      </c>
      <c r="AH2249">
        <v>15.7887155987905</v>
      </c>
      <c r="AI2249">
        <v>93.877694415746902</v>
      </c>
      <c r="AJ2249">
        <v>106.835320566897</v>
      </c>
      <c r="AK2249">
        <v>16.533553185057901</v>
      </c>
      <c r="AL2249">
        <v>79.650661158635003</v>
      </c>
      <c r="AM2249">
        <v>98.990188294500499</v>
      </c>
      <c r="AN2249">
        <v>1.00000001698892</v>
      </c>
    </row>
    <row r="2250" spans="1:40" x14ac:dyDescent="0.25">
      <c r="A2250" t="str">
        <f>"20190312172701616"</f>
        <v>20190312172701616</v>
      </c>
      <c r="B2250" t="str">
        <f>"1552382821610779"</f>
        <v>1552382821610779</v>
      </c>
      <c r="C2250" t="s">
        <v>40</v>
      </c>
      <c r="D2250">
        <v>2.9944769999999998</v>
      </c>
      <c r="E2250">
        <v>0.44422909999999999</v>
      </c>
      <c r="F2250" t="s">
        <v>47</v>
      </c>
      <c r="G2250">
        <v>-480.82130000000001</v>
      </c>
      <c r="H2250" s="1">
        <v>2.2631209999999999E-6</v>
      </c>
      <c r="I2250">
        <v>221.19390000000001</v>
      </c>
      <c r="J2250">
        <v>-491.49979999999999</v>
      </c>
      <c r="K2250">
        <v>1.1181779999999999</v>
      </c>
      <c r="L2250">
        <v>234.00970000000001</v>
      </c>
      <c r="M2250">
        <v>0.38593899999999998</v>
      </c>
      <c r="N2250">
        <v>0</v>
      </c>
      <c r="O2250">
        <v>-0.92241300000000004</v>
      </c>
      <c r="P2250">
        <v>0.51497280000000001</v>
      </c>
      <c r="Q2250">
        <v>0.169509299999999</v>
      </c>
      <c r="R2250">
        <v>-0.84027969999999896</v>
      </c>
      <c r="S2250">
        <v>1.983978</v>
      </c>
      <c r="T2250">
        <v>-0.20571120000000001</v>
      </c>
      <c r="U2250">
        <v>-2.4005130000000001</v>
      </c>
      <c r="V2250">
        <v>-0.1542869</v>
      </c>
      <c r="W2250">
        <v>0.18048520000000001</v>
      </c>
      <c r="X2250">
        <v>0.97140139999999997</v>
      </c>
      <c r="Y2250">
        <v>-0.28875519999999999</v>
      </c>
      <c r="Z2250">
        <v>6.4571390000000006E-2</v>
      </c>
      <c r="AA2250">
        <v>0.95522300000000004</v>
      </c>
      <c r="AB2250">
        <v>28</v>
      </c>
      <c r="AC2250">
        <v>10.6784999999999</v>
      </c>
      <c r="AD2250">
        <v>-1.118175736879</v>
      </c>
      <c r="AE2250">
        <v>-12.8157999999999</v>
      </c>
      <c r="AF2250">
        <v>-4.8824364954730397</v>
      </c>
      <c r="AG2250">
        <v>-1.118175736879</v>
      </c>
      <c r="AH2250">
        <v>15.873028217254801</v>
      </c>
      <c r="AI2250">
        <v>93.852010578385304</v>
      </c>
      <c r="AJ2250">
        <v>107.097544622261</v>
      </c>
      <c r="AK2250">
        <v>16.644564515079399</v>
      </c>
      <c r="AL2250">
        <v>79.6019775824075</v>
      </c>
      <c r="AM2250">
        <v>99.024857116193203</v>
      </c>
      <c r="AN2250">
        <v>1.0000000174263</v>
      </c>
    </row>
    <row r="2251" spans="1:40" x14ac:dyDescent="0.25">
      <c r="A2251" t="str">
        <f>"20190312172701637"</f>
        <v>20190312172701637</v>
      </c>
      <c r="B2251" t="str">
        <f>"1552382821631276"</f>
        <v>1552382821631276</v>
      </c>
      <c r="C2251" t="s">
        <v>40</v>
      </c>
      <c r="D2251">
        <v>2.967905</v>
      </c>
      <c r="E2251">
        <v>0.44381739999999997</v>
      </c>
      <c r="F2251" t="s">
        <v>47</v>
      </c>
      <c r="G2251">
        <v>-480.43939999999998</v>
      </c>
      <c r="H2251" s="1">
        <v>2.141917E-6</v>
      </c>
      <c r="I2251">
        <v>220.9521</v>
      </c>
      <c r="J2251">
        <v>-491.38729999999998</v>
      </c>
      <c r="K2251">
        <v>1.118236</v>
      </c>
      <c r="L2251">
        <v>233.76840000000001</v>
      </c>
      <c r="M2251">
        <v>0.39530949999999998</v>
      </c>
      <c r="N2251">
        <v>0</v>
      </c>
      <c r="O2251">
        <v>-0.91843569999999997</v>
      </c>
      <c r="P2251">
        <v>0.52389279999999905</v>
      </c>
      <c r="Q2251">
        <v>0.1703142</v>
      </c>
      <c r="R2251">
        <v>-0.83458339999999998</v>
      </c>
      <c r="S2251">
        <v>2.013611</v>
      </c>
      <c r="T2251">
        <v>-0.20357069999999999</v>
      </c>
      <c r="U2251">
        <v>-2.3772129999999998</v>
      </c>
      <c r="V2251">
        <v>-0.1548495</v>
      </c>
      <c r="W2251">
        <v>0.18127399999999999</v>
      </c>
      <c r="X2251">
        <v>0.9711649</v>
      </c>
      <c r="Y2251">
        <v>-0.29059889999999999</v>
      </c>
      <c r="Z2251">
        <v>6.3735440000000004E-2</v>
      </c>
      <c r="AA2251">
        <v>0.95471989999999995</v>
      </c>
      <c r="AB2251">
        <v>28</v>
      </c>
      <c r="AC2251">
        <v>10.947900000000001</v>
      </c>
      <c r="AD2251">
        <v>-1.118233858083</v>
      </c>
      <c r="AE2251">
        <v>-12.8163</v>
      </c>
      <c r="AF2251">
        <v>-4.9671899439115501</v>
      </c>
      <c r="AG2251">
        <v>-1.118233858083</v>
      </c>
      <c r="AH2251">
        <v>16.029866011197701</v>
      </c>
      <c r="AI2251">
        <v>93.812190613926404</v>
      </c>
      <c r="AJ2251">
        <v>107.21669063061999</v>
      </c>
      <c r="AK2251">
        <v>16.8190376430166</v>
      </c>
      <c r="AL2251">
        <v>79.556023944099394</v>
      </c>
      <c r="AM2251">
        <v>99.059390362413794</v>
      </c>
      <c r="AN2251">
        <v>0.99999994685912796</v>
      </c>
    </row>
    <row r="2252" spans="1:40" x14ac:dyDescent="0.25">
      <c r="A2252" t="str">
        <f>"20190312172701659"</f>
        <v>20190312172701659</v>
      </c>
      <c r="B2252" t="str">
        <f>"1552382821650795"</f>
        <v>1552382821650795</v>
      </c>
      <c r="C2252" t="s">
        <v>40</v>
      </c>
      <c r="D2252">
        <v>2.9411109999999998</v>
      </c>
      <c r="E2252">
        <v>0.44355820000000001</v>
      </c>
      <c r="F2252" t="s">
        <v>47</v>
      </c>
      <c r="G2252">
        <v>-480.04309999999998</v>
      </c>
      <c r="H2252" s="1">
        <v>2.015638E-6</v>
      </c>
      <c r="I2252">
        <v>220.69890000000001</v>
      </c>
      <c r="J2252">
        <v>-491.26729999999998</v>
      </c>
      <c r="K2252">
        <v>1.1182780000000001</v>
      </c>
      <c r="L2252">
        <v>233.5179</v>
      </c>
      <c r="M2252">
        <v>0.40510099999999999</v>
      </c>
      <c r="N2252">
        <v>0</v>
      </c>
      <c r="O2252">
        <v>-0.9141589</v>
      </c>
      <c r="P2252">
        <v>0.53319030000000001</v>
      </c>
      <c r="Q2252">
        <v>0.17125609999999999</v>
      </c>
      <c r="R2252">
        <v>-0.82848029999999995</v>
      </c>
      <c r="S2252">
        <v>2.0427249999999999</v>
      </c>
      <c r="T2252">
        <v>-0.2013566</v>
      </c>
      <c r="U2252">
        <v>-2.3533780000000002</v>
      </c>
      <c r="V2252">
        <v>-0.15544469999999999</v>
      </c>
      <c r="W2252">
        <v>0.1822029</v>
      </c>
      <c r="X2252">
        <v>0.97089599999999998</v>
      </c>
      <c r="Y2252">
        <v>-0.29193760000000002</v>
      </c>
      <c r="Z2252">
        <v>6.2864809999999993E-2</v>
      </c>
      <c r="AA2252">
        <v>0.95436909999999997</v>
      </c>
      <c r="AB2252">
        <v>28</v>
      </c>
      <c r="AC2252">
        <v>11.2241999999999</v>
      </c>
      <c r="AD2252">
        <v>-1.11827598436199</v>
      </c>
      <c r="AE2252">
        <v>-12.8189999999999</v>
      </c>
      <c r="AF2252">
        <v>-5.0464980290516301</v>
      </c>
      <c r="AG2252">
        <v>-1.11827598436199</v>
      </c>
      <c r="AH2252">
        <v>16.1974464085135</v>
      </c>
      <c r="AI2252">
        <v>93.771203977492902</v>
      </c>
      <c r="AJ2252">
        <v>107.30501485076501</v>
      </c>
      <c r="AK2252">
        <v>17.002204377406201</v>
      </c>
      <c r="AL2252">
        <v>79.501901101852894</v>
      </c>
      <c r="AM2252">
        <v>99.096107956987893</v>
      </c>
      <c r="AN2252">
        <v>0.99999999717124999</v>
      </c>
    </row>
    <row r="2253" spans="1:40" x14ac:dyDescent="0.25">
      <c r="A2253" t="str">
        <f>"20190312172701683"</f>
        <v>20190312172701683</v>
      </c>
      <c r="B2253" t="str">
        <f>"1552382821671291"</f>
        <v>1552382821671291</v>
      </c>
      <c r="C2253" t="s">
        <v>40</v>
      </c>
      <c r="D2253">
        <v>3.0838990000000002</v>
      </c>
      <c r="E2253">
        <v>0.44365900000000003</v>
      </c>
      <c r="F2253" t="s">
        <v>47</v>
      </c>
      <c r="G2253">
        <v>-479.61619999999999</v>
      </c>
      <c r="H2253" s="1">
        <v>2.0587260000000002E-6</v>
      </c>
      <c r="I2253">
        <v>220.41419999999999</v>
      </c>
      <c r="J2253">
        <v>-491.13990000000001</v>
      </c>
      <c r="K2253">
        <v>1.1183069999999999</v>
      </c>
      <c r="L2253">
        <v>233.2593</v>
      </c>
      <c r="M2253">
        <v>0.41524299999999997</v>
      </c>
      <c r="N2253">
        <v>0</v>
      </c>
      <c r="O2253">
        <v>-0.90959679999999998</v>
      </c>
      <c r="P2253">
        <v>0.54270229999999997</v>
      </c>
      <c r="Q2253">
        <v>0.1714552</v>
      </c>
      <c r="R2253">
        <v>-0.82223979999999997</v>
      </c>
      <c r="S2253">
        <v>2.071075</v>
      </c>
      <c r="T2253">
        <v>-0.19878290000000001</v>
      </c>
      <c r="U2253">
        <v>-2.329285</v>
      </c>
      <c r="V2253">
        <v>-0.1558677</v>
      </c>
      <c r="W2253">
        <v>0.18239849999999999</v>
      </c>
      <c r="X2253">
        <v>0.97079150000000003</v>
      </c>
      <c r="Y2253">
        <v>-0.29273510000000003</v>
      </c>
      <c r="Z2253">
        <v>6.186987E-2</v>
      </c>
      <c r="AA2253">
        <v>0.95418979999999998</v>
      </c>
      <c r="AB2253">
        <v>28</v>
      </c>
      <c r="AC2253">
        <v>11.5237</v>
      </c>
      <c r="AD2253">
        <v>-1.118304941274</v>
      </c>
      <c r="AE2253">
        <v>-12.8451</v>
      </c>
      <c r="AF2253">
        <v>-5.1270838089792798</v>
      </c>
      <c r="AG2253">
        <v>-1.118304941274</v>
      </c>
      <c r="AH2253">
        <v>16.401820745614302</v>
      </c>
      <c r="AI2253">
        <v>93.723353485943207</v>
      </c>
      <c r="AJ2253">
        <v>107.35884539658301</v>
      </c>
      <c r="AK2253">
        <v>17.2208396455352</v>
      </c>
      <c r="AL2253">
        <v>79.490503552157904</v>
      </c>
      <c r="AM2253">
        <v>99.1214103014335</v>
      </c>
      <c r="AN2253">
        <v>1.0000000445888899</v>
      </c>
    </row>
    <row r="2254" spans="1:40" x14ac:dyDescent="0.25">
      <c r="A2254" t="str">
        <f>"20190312172701704"</f>
        <v>20190312172701704</v>
      </c>
      <c r="B2254" t="str">
        <f>"1552382821701547"</f>
        <v>1552382821701547</v>
      </c>
      <c r="C2254" t="s">
        <v>40</v>
      </c>
      <c r="D2254">
        <v>2.9364400000000002</v>
      </c>
      <c r="E2254">
        <v>0.44371050000000001</v>
      </c>
      <c r="F2254" t="s">
        <v>47</v>
      </c>
      <c r="G2254">
        <v>-479.3304</v>
      </c>
      <c r="H2254" s="1">
        <v>2.129579E-6</v>
      </c>
      <c r="I2254">
        <v>220.27619999999999</v>
      </c>
      <c r="J2254">
        <v>-491.01900000000001</v>
      </c>
      <c r="K2254">
        <v>1.1183110000000001</v>
      </c>
      <c r="L2254">
        <v>233.02029999999999</v>
      </c>
      <c r="M2254">
        <v>0.42463889999999999</v>
      </c>
      <c r="N2254">
        <v>0</v>
      </c>
      <c r="O2254">
        <v>-0.90524830000000001</v>
      </c>
      <c r="P2254">
        <v>0.55140089999999997</v>
      </c>
      <c r="Q2254">
        <v>0.17172419999999999</v>
      </c>
      <c r="R2254">
        <v>-0.81637499999999996</v>
      </c>
      <c r="S2254">
        <v>2.0972900000000001</v>
      </c>
      <c r="T2254">
        <v>-0.19860420000000001</v>
      </c>
      <c r="U2254">
        <v>-2.3057249999999998</v>
      </c>
      <c r="V2254">
        <v>-0.156156399999999</v>
      </c>
      <c r="W2254">
        <v>0.182668</v>
      </c>
      <c r="X2254">
        <v>0.97069439999999996</v>
      </c>
      <c r="Y2254">
        <v>-0.29363299999999998</v>
      </c>
      <c r="Z2254">
        <v>6.1640639999999997E-2</v>
      </c>
      <c r="AA2254">
        <v>0.95392880000000002</v>
      </c>
      <c r="AB2254">
        <v>28</v>
      </c>
      <c r="AC2254">
        <v>11.688599999999999</v>
      </c>
      <c r="AD2254">
        <v>-1.118308870421</v>
      </c>
      <c r="AE2254">
        <v>-12.7441</v>
      </c>
      <c r="AF2254">
        <v>-5.1484489738421004</v>
      </c>
      <c r="AG2254">
        <v>-1.118308870421</v>
      </c>
      <c r="AH2254">
        <v>16.432994317972099</v>
      </c>
      <c r="AI2254">
        <v>93.715576191262002</v>
      </c>
      <c r="AJ2254">
        <v>107.395747889006</v>
      </c>
      <c r="AK2254">
        <v>17.256895544112801</v>
      </c>
      <c r="AL2254">
        <v>79.474798216064301</v>
      </c>
      <c r="AM2254">
        <v>99.138918964070598</v>
      </c>
      <c r="AN2254">
        <v>1.0000000188381499</v>
      </c>
    </row>
    <row r="2255" spans="1:40" x14ac:dyDescent="0.25">
      <c r="A2255" t="str">
        <f>"20190312172701726"</f>
        <v>20190312172701726</v>
      </c>
      <c r="B2255" t="str">
        <f>"1552382821721067"</f>
        <v>1552382821721067</v>
      </c>
      <c r="C2255" t="s">
        <v>40</v>
      </c>
      <c r="D2255">
        <v>2.9771459999999998</v>
      </c>
      <c r="E2255">
        <v>0.44381880000000001</v>
      </c>
      <c r="F2255" t="s">
        <v>47</v>
      </c>
      <c r="G2255">
        <v>-479.08019999999999</v>
      </c>
      <c r="H2255" s="1">
        <v>2.2241649999999999E-6</v>
      </c>
      <c r="I2255">
        <v>220.17420000000001</v>
      </c>
      <c r="J2255">
        <v>-490.8904</v>
      </c>
      <c r="K2255">
        <v>1.118306</v>
      </c>
      <c r="L2255">
        <v>232.77269999999999</v>
      </c>
      <c r="M2255">
        <v>0.4343823</v>
      </c>
      <c r="N2255">
        <v>0</v>
      </c>
      <c r="O2255">
        <v>-0.90061340000000001</v>
      </c>
      <c r="P2255">
        <v>0.56040299999999998</v>
      </c>
      <c r="Q2255">
        <v>0.1718432</v>
      </c>
      <c r="R2255">
        <v>-0.81019699999999994</v>
      </c>
      <c r="S2255">
        <v>2.1220699999999999</v>
      </c>
      <c r="T2255">
        <v>-0.19877600000000001</v>
      </c>
      <c r="U2255">
        <v>-2.2833399999999999</v>
      </c>
      <c r="V2255">
        <v>-0.1564402</v>
      </c>
      <c r="W2255">
        <v>0.18278939999999999</v>
      </c>
      <c r="X2255">
        <v>0.97062579999999998</v>
      </c>
      <c r="Y2255">
        <v>-0.29354249999999998</v>
      </c>
      <c r="Z2255">
        <v>6.1485310000000001E-2</v>
      </c>
      <c r="AA2255">
        <v>0.9539666</v>
      </c>
      <c r="AB2255">
        <v>28</v>
      </c>
      <c r="AC2255">
        <v>11.8102</v>
      </c>
      <c r="AD2255">
        <v>-1.1183037758350001</v>
      </c>
      <c r="AE2255">
        <v>-12.5984999999999</v>
      </c>
      <c r="AF2255">
        <v>-5.1428268801489798</v>
      </c>
      <c r="AG2255">
        <v>-1.1183037758350001</v>
      </c>
      <c r="AH2255">
        <v>16.409411875864699</v>
      </c>
      <c r="AI2255">
        <v>93.720770103568796</v>
      </c>
      <c r="AJ2255">
        <v>107.401363668158</v>
      </c>
      <c r="AK2255">
        <v>17.232761524665701</v>
      </c>
      <c r="AL2255">
        <v>79.467722896416106</v>
      </c>
      <c r="AM2255">
        <v>99.155883184604306</v>
      </c>
      <c r="AN2255">
        <v>0.99999997227701898</v>
      </c>
    </row>
    <row r="2256" spans="1:40" x14ac:dyDescent="0.25">
      <c r="A2256" t="str">
        <f>"20190312172701749"</f>
        <v>20190312172701749</v>
      </c>
      <c r="B2256" t="str">
        <f>"1552382821741563"</f>
        <v>1552382821741563</v>
      </c>
      <c r="C2256" t="s">
        <v>40</v>
      </c>
      <c r="D2256">
        <v>3.0888049999999998</v>
      </c>
      <c r="E2256">
        <v>0.44398500000000002</v>
      </c>
      <c r="F2256" t="s">
        <v>47</v>
      </c>
      <c r="G2256">
        <v>-478.86329999999998</v>
      </c>
      <c r="H2256" s="1">
        <v>2.3127849999999999E-6</v>
      </c>
      <c r="I2256">
        <v>220.11709999999999</v>
      </c>
      <c r="J2256">
        <v>-490.76179999999999</v>
      </c>
      <c r="K2256">
        <v>1.1182939999999999</v>
      </c>
      <c r="L2256">
        <v>232.5316</v>
      </c>
      <c r="M2256">
        <v>0.4438764</v>
      </c>
      <c r="N2256">
        <v>0</v>
      </c>
      <c r="O2256">
        <v>-0.89597209999999905</v>
      </c>
      <c r="P2256">
        <v>0.56897519999999902</v>
      </c>
      <c r="Q2256">
        <v>0.171287299999999</v>
      </c>
      <c r="R2256">
        <v>-0.80431850000000005</v>
      </c>
      <c r="S2256">
        <v>2.147491</v>
      </c>
      <c r="T2256">
        <v>-0.1996782</v>
      </c>
      <c r="U2256">
        <v>-2.2597200000000002</v>
      </c>
      <c r="V2256">
        <v>-0.1564239</v>
      </c>
      <c r="W2256">
        <v>0.1822452</v>
      </c>
      <c r="X2256">
        <v>0.9707308</v>
      </c>
      <c r="Y2256">
        <v>-0.2940528</v>
      </c>
      <c r="Z2256">
        <v>6.1562209999999999E-2</v>
      </c>
      <c r="AA2256">
        <v>0.95380450000000006</v>
      </c>
      <c r="AB2256">
        <v>28</v>
      </c>
      <c r="AC2256">
        <v>11.8985</v>
      </c>
      <c r="AD2256">
        <v>-1.1182916872149999</v>
      </c>
      <c r="AE2256">
        <v>-12.4145</v>
      </c>
      <c r="AF2256">
        <v>-5.1290631962932904</v>
      </c>
      <c r="AG2256">
        <v>-1.1182916872149999</v>
      </c>
      <c r="AH2256">
        <v>16.337118741665499</v>
      </c>
      <c r="AI2256">
        <v>93.736568691668495</v>
      </c>
      <c r="AJ2256">
        <v>107.429759949371</v>
      </c>
      <c r="AK2256">
        <v>17.159816850670101</v>
      </c>
      <c r="AL2256">
        <v>79.499436439405898</v>
      </c>
      <c r="AM2256">
        <v>99.153971872573294</v>
      </c>
      <c r="AN2256">
        <v>1.0000000177414401</v>
      </c>
    </row>
    <row r="2257" spans="1:40" x14ac:dyDescent="0.25">
      <c r="A2257" t="str">
        <f>"20190312172701772"</f>
        <v>20190312172701772</v>
      </c>
      <c r="B2257" t="str">
        <f>"1552382821761083"</f>
        <v>1552382821761083</v>
      </c>
      <c r="C2257" t="s">
        <v>40</v>
      </c>
      <c r="D2257">
        <v>2.9726569999999999</v>
      </c>
      <c r="E2257">
        <v>0.44421949999999999</v>
      </c>
      <c r="F2257" t="s">
        <v>47</v>
      </c>
      <c r="G2257">
        <v>-478.7013</v>
      </c>
      <c r="H2257" s="1">
        <v>2.382514E-6</v>
      </c>
      <c r="I2257">
        <v>220.101</v>
      </c>
      <c r="J2257">
        <v>-490.61939999999998</v>
      </c>
      <c r="K2257">
        <v>1.118279</v>
      </c>
      <c r="L2257">
        <v>232.27199999999999</v>
      </c>
      <c r="M2257">
        <v>0.4541057</v>
      </c>
      <c r="N2257">
        <v>0</v>
      </c>
      <c r="O2257">
        <v>-0.89083120000000005</v>
      </c>
      <c r="P2257">
        <v>0.57865979999999995</v>
      </c>
      <c r="Q2257">
        <v>0.1705364</v>
      </c>
      <c r="R2257">
        <v>-0.79754040000000004</v>
      </c>
      <c r="S2257">
        <v>2.1705930000000002</v>
      </c>
      <c r="T2257">
        <v>-0.201265</v>
      </c>
      <c r="U2257">
        <v>-2.2372130000000001</v>
      </c>
      <c r="V2257">
        <v>-0.15695709999999999</v>
      </c>
      <c r="W2257">
        <v>0.18149399999999999</v>
      </c>
      <c r="X2257">
        <v>0.97078540000000002</v>
      </c>
      <c r="Y2257">
        <v>-0.29296319999999998</v>
      </c>
      <c r="Z2257">
        <v>6.1805699999999998E-2</v>
      </c>
      <c r="AA2257">
        <v>0.95412399999999997</v>
      </c>
      <c r="AB2257">
        <v>28</v>
      </c>
      <c r="AC2257">
        <v>11.9180999999999</v>
      </c>
      <c r="AD2257">
        <v>-1.1182766174859999</v>
      </c>
      <c r="AE2257">
        <v>-12.170999999999999</v>
      </c>
      <c r="AF2257">
        <v>-5.0687792214609404</v>
      </c>
      <c r="AG2257">
        <v>-1.1182766174859999</v>
      </c>
      <c r="AH2257">
        <v>16.1863157120249</v>
      </c>
      <c r="AI2257">
        <v>93.772088759122198</v>
      </c>
      <c r="AJ2257">
        <v>107.38805831812201</v>
      </c>
      <c r="AK2257">
        <v>16.998231723284501</v>
      </c>
      <c r="AL2257">
        <v>79.543206269282507</v>
      </c>
      <c r="AM2257">
        <v>99.184136194987701</v>
      </c>
      <c r="AN2257">
        <v>0.99999994806478298</v>
      </c>
    </row>
    <row r="2258" spans="1:40" x14ac:dyDescent="0.25">
      <c r="A2258" t="str">
        <f>"20190312172701816"</f>
        <v>20190312172701816</v>
      </c>
      <c r="B2258" t="str">
        <f>"1552382821810860"</f>
        <v>1552382821810860</v>
      </c>
      <c r="C2258" t="s">
        <v>40</v>
      </c>
      <c r="D2258">
        <v>3.0189720000000002</v>
      </c>
      <c r="E2258">
        <v>0.44487070000000001</v>
      </c>
      <c r="F2258" t="s">
        <v>47</v>
      </c>
      <c r="G2258">
        <v>-478.58929999999998</v>
      </c>
      <c r="H2258" s="1">
        <v>2.4393230000000001E-6</v>
      </c>
      <c r="I2258">
        <v>220.1549</v>
      </c>
      <c r="J2258">
        <v>-490.35539999999997</v>
      </c>
      <c r="K2258">
        <v>1.118247</v>
      </c>
      <c r="L2258">
        <v>231.8081</v>
      </c>
      <c r="M2258">
        <v>0.47238160000000001</v>
      </c>
      <c r="N2258">
        <v>0</v>
      </c>
      <c r="O2258">
        <v>-0.88127610000000001</v>
      </c>
      <c r="P2258">
        <v>0.59492080000000003</v>
      </c>
      <c r="Q2258">
        <v>0.16989799999999999</v>
      </c>
      <c r="R2258">
        <v>-0.78562379999999998</v>
      </c>
      <c r="S2258">
        <v>2.1959840000000002</v>
      </c>
      <c r="T2258">
        <v>-0.2041309</v>
      </c>
      <c r="U2258">
        <v>-2.2118679999999999</v>
      </c>
      <c r="V2258">
        <v>-0.1567887</v>
      </c>
      <c r="W2258">
        <v>0.18087780000000001</v>
      </c>
      <c r="X2258">
        <v>0.97092769999999995</v>
      </c>
      <c r="Y2258">
        <v>-0.28419070000000002</v>
      </c>
      <c r="Z2258">
        <v>6.2099460000000002E-2</v>
      </c>
      <c r="AA2258">
        <v>0.95675460000000001</v>
      </c>
      <c r="AB2258">
        <v>28</v>
      </c>
      <c r="AC2258">
        <v>11.7660999999999</v>
      </c>
      <c r="AD2258">
        <v>-1.118244560677</v>
      </c>
      <c r="AE2258">
        <v>-11.653199999999901</v>
      </c>
      <c r="AF2258">
        <v>-4.8428491657665997</v>
      </c>
      <c r="AG2258">
        <v>-1.118244560677</v>
      </c>
      <c r="AH2258">
        <v>15.757571256097201</v>
      </c>
      <c r="AI2258">
        <v>93.880667691402607</v>
      </c>
      <c r="AJ2258">
        <v>107.084012162574</v>
      </c>
      <c r="AK2258">
        <v>16.5228541974693</v>
      </c>
      <c r="AL2258">
        <v>79.5791070494151</v>
      </c>
      <c r="AM2258">
        <v>99.173128396000607</v>
      </c>
      <c r="AN2258">
        <v>1.0000000368038999</v>
      </c>
    </row>
    <row r="2259" spans="1:40" x14ac:dyDescent="0.25">
      <c r="A2259" t="str">
        <f>"20190312172701839"</f>
        <v>20190312172701839</v>
      </c>
      <c r="B2259" t="str">
        <f>"1552382821831355"</f>
        <v>1552382821831355</v>
      </c>
      <c r="C2259" t="s">
        <v>40</v>
      </c>
      <c r="D2259">
        <v>3.0553710000000001</v>
      </c>
      <c r="E2259">
        <v>0.4452718</v>
      </c>
      <c r="F2259" t="s">
        <v>47</v>
      </c>
      <c r="G2259">
        <v>-479.20350000000002</v>
      </c>
      <c r="H2259">
        <v>8.0000199999999994E-2</v>
      </c>
      <c r="I2259">
        <v>220.99019999999999</v>
      </c>
      <c r="J2259">
        <v>-490.21039999999999</v>
      </c>
      <c r="K2259">
        <v>1.118239</v>
      </c>
      <c r="L2259">
        <v>231.5626</v>
      </c>
      <c r="M2259">
        <v>0.48205900000000002</v>
      </c>
      <c r="N2259">
        <v>0</v>
      </c>
      <c r="O2259">
        <v>-0.87602000000000002</v>
      </c>
      <c r="P2259">
        <v>0.60342130000000005</v>
      </c>
      <c r="Q2259">
        <v>0.17068989999999901</v>
      </c>
      <c r="R2259">
        <v>-0.77894069999999904</v>
      </c>
      <c r="S2259">
        <v>2.2367859999999999</v>
      </c>
      <c r="T2259">
        <v>-0.20824619999999999</v>
      </c>
      <c r="U2259">
        <v>-2.1698</v>
      </c>
      <c r="V2259">
        <v>-0.1567364</v>
      </c>
      <c r="W2259">
        <v>0.1816778</v>
      </c>
      <c r="X2259">
        <v>0.97078679999999995</v>
      </c>
      <c r="Y2259">
        <v>-0.29155379999999997</v>
      </c>
      <c r="Z2259">
        <v>6.3228290000000006E-2</v>
      </c>
      <c r="AA2259">
        <v>0.95446249999999999</v>
      </c>
      <c r="AB2259">
        <v>28</v>
      </c>
      <c r="AC2259">
        <v>11.0068999999999</v>
      </c>
      <c r="AD2259">
        <v>-1.0382388</v>
      </c>
      <c r="AE2259">
        <v>-10.5724</v>
      </c>
      <c r="AF2259">
        <v>-4.5252749516994104</v>
      </c>
      <c r="AG2259">
        <v>-1.0382388</v>
      </c>
      <c r="AH2259">
        <v>14.502012618937901</v>
      </c>
      <c r="AI2259">
        <v>93.909668278532195</v>
      </c>
      <c r="AJ2259">
        <v>107.330251263352</v>
      </c>
      <c r="AK2259">
        <v>15.227095034645901</v>
      </c>
      <c r="AL2259">
        <v>79.532498522714704</v>
      </c>
      <c r="AM2259">
        <v>99.171428845052802</v>
      </c>
      <c r="AN2259">
        <v>1.00000006657601</v>
      </c>
    </row>
    <row r="2260" spans="1:40" x14ac:dyDescent="0.25">
      <c r="A2260" t="str">
        <f>"20190312172701860"</f>
        <v>20190312172701860</v>
      </c>
      <c r="B2260" t="str">
        <f>"1552382821850875"</f>
        <v>1552382821850875</v>
      </c>
      <c r="C2260" t="s">
        <v>40</v>
      </c>
      <c r="D2260">
        <v>3.2180249999999999</v>
      </c>
      <c r="E2260">
        <v>0.44550469999999998</v>
      </c>
      <c r="F2260" t="s">
        <v>47</v>
      </c>
      <c r="G2260">
        <v>-478.87119999999999</v>
      </c>
      <c r="H2260">
        <v>8.0000210000000002E-2</v>
      </c>
      <c r="I2260">
        <v>220.7792</v>
      </c>
      <c r="J2260">
        <v>-490.07560000000001</v>
      </c>
      <c r="K2260">
        <v>1.1182289999999999</v>
      </c>
      <c r="L2260">
        <v>231.33959999999999</v>
      </c>
      <c r="M2260">
        <v>0.49085289999999998</v>
      </c>
      <c r="N2260">
        <v>0</v>
      </c>
      <c r="O2260">
        <v>-0.87112269999999903</v>
      </c>
      <c r="P2260">
        <v>0.61125189999999996</v>
      </c>
      <c r="Q2260">
        <v>0.1718431</v>
      </c>
      <c r="R2260">
        <v>-0.77255509999999905</v>
      </c>
      <c r="S2260">
        <v>2.2581180000000001</v>
      </c>
      <c r="T2260">
        <v>-0.20675789999999999</v>
      </c>
      <c r="U2260">
        <v>-2.1474299999999999</v>
      </c>
      <c r="V2260">
        <v>-0.15690319999999999</v>
      </c>
      <c r="W2260">
        <v>0.1828321</v>
      </c>
      <c r="X2260">
        <v>0.97054300000000004</v>
      </c>
      <c r="Y2260">
        <v>-0.29142380000000001</v>
      </c>
      <c r="Z2260">
        <v>6.2541159999999998E-2</v>
      </c>
      <c r="AA2260">
        <v>0.95454740000000005</v>
      </c>
      <c r="AB2260">
        <v>28</v>
      </c>
      <c r="AC2260">
        <v>11.2044</v>
      </c>
      <c r="AD2260">
        <v>-1.03822879</v>
      </c>
      <c r="AE2260">
        <v>-10.5603999999999</v>
      </c>
      <c r="AF2260">
        <v>-4.5565630394600598</v>
      </c>
      <c r="AG2260">
        <v>-1.03822879</v>
      </c>
      <c r="AH2260">
        <v>14.634108720988801</v>
      </c>
      <c r="AI2260">
        <v>93.875192876593303</v>
      </c>
      <c r="AJ2260">
        <v>107.294809622583</v>
      </c>
      <c r="AK2260">
        <v>15.362204392947</v>
      </c>
      <c r="AL2260">
        <v>79.465234224836095</v>
      </c>
      <c r="AM2260">
        <v>99.183289992088802</v>
      </c>
      <c r="AN2260">
        <v>0.99999995290482402</v>
      </c>
    </row>
    <row r="2261" spans="1:40" x14ac:dyDescent="0.25">
      <c r="A2261" t="str">
        <f>"20190312172701894"</f>
        <v>20190312172701894</v>
      </c>
      <c r="B2261" t="str">
        <f>"1552382821890891"</f>
        <v>1552382821890891</v>
      </c>
      <c r="C2261" t="s">
        <v>40</v>
      </c>
      <c r="D2261">
        <v>3.062046</v>
      </c>
      <c r="E2261">
        <v>0.45803700000000003</v>
      </c>
      <c r="F2261" t="s">
        <v>47</v>
      </c>
      <c r="G2261">
        <v>-478.45299999999997</v>
      </c>
      <c r="H2261">
        <v>8.0000180000000004E-2</v>
      </c>
      <c r="I2261">
        <v>220.4984</v>
      </c>
      <c r="J2261">
        <v>-489.85169999999999</v>
      </c>
      <c r="K2261">
        <v>1.118209</v>
      </c>
      <c r="L2261">
        <v>230.98009999999999</v>
      </c>
      <c r="M2261">
        <v>0.50503690000000001</v>
      </c>
      <c r="N2261">
        <v>0</v>
      </c>
      <c r="O2261">
        <v>-0.86297710000000005</v>
      </c>
      <c r="P2261">
        <v>0.62432469999999995</v>
      </c>
      <c r="Q2261">
        <v>0.17371010000000001</v>
      </c>
      <c r="R2261">
        <v>-0.76160640000000002</v>
      </c>
      <c r="S2261">
        <v>2.2787480000000002</v>
      </c>
      <c r="T2261">
        <v>-0.2035573</v>
      </c>
      <c r="U2261">
        <v>-2.1255489999999999</v>
      </c>
      <c r="V2261">
        <v>-0.15780259999999999</v>
      </c>
      <c r="W2261">
        <v>0.1846863</v>
      </c>
      <c r="X2261">
        <v>0.97004599999999996</v>
      </c>
      <c r="Y2261">
        <v>-0.28504950000000001</v>
      </c>
      <c r="Z2261">
        <v>6.1071630000000002E-2</v>
      </c>
      <c r="AA2261">
        <v>0.9565652</v>
      </c>
      <c r="AB2261">
        <v>28</v>
      </c>
      <c r="AC2261">
        <v>11.3986999999999</v>
      </c>
      <c r="AD2261">
        <v>-1.0382088199999999</v>
      </c>
      <c r="AE2261">
        <v>-10.481699999999901</v>
      </c>
      <c r="AF2261">
        <v>-4.5233127827336297</v>
      </c>
      <c r="AG2261">
        <v>-1.0382088199999999</v>
      </c>
      <c r="AH2261">
        <v>14.7375279947693</v>
      </c>
      <c r="AI2261">
        <v>93.852818021906501</v>
      </c>
      <c r="AJ2261">
        <v>107.06254841891401</v>
      </c>
      <c r="AK2261">
        <v>15.4509859711597</v>
      </c>
      <c r="AL2261">
        <v>79.357156075462598</v>
      </c>
      <c r="AM2261">
        <v>99.239675892055104</v>
      </c>
      <c r="AN2261">
        <v>0.99999996604522401</v>
      </c>
    </row>
    <row r="2262" spans="1:40" x14ac:dyDescent="0.25">
      <c r="A2262" t="str">
        <f>"20190312172701918"</f>
        <v>20190312172701918</v>
      </c>
      <c r="B2262" t="str">
        <f>"1552382821911387"</f>
        <v>1552382821911387</v>
      </c>
      <c r="C2262" t="s">
        <v>40</v>
      </c>
      <c r="D2262">
        <v>3.0056289999999999</v>
      </c>
      <c r="E2262">
        <v>0.44587680000000002</v>
      </c>
      <c r="F2262" t="s">
        <v>47</v>
      </c>
      <c r="G2262">
        <v>-478.5976</v>
      </c>
      <c r="H2262" s="1">
        <v>2.4374280000000001E-6</v>
      </c>
      <c r="I2262">
        <v>220.16839999999999</v>
      </c>
      <c r="J2262">
        <v>-489.69900000000001</v>
      </c>
      <c r="K2262">
        <v>1.1181890000000001</v>
      </c>
      <c r="L2262">
        <v>230.74209999999999</v>
      </c>
      <c r="M2262">
        <v>0.51443629999999996</v>
      </c>
      <c r="N2262">
        <v>0</v>
      </c>
      <c r="O2262">
        <v>-0.85740699999999903</v>
      </c>
      <c r="P2262">
        <v>0.63298859999999901</v>
      </c>
      <c r="Q2262">
        <v>0.17427579999999901</v>
      </c>
      <c r="R2262">
        <v>-0.75428989999999996</v>
      </c>
      <c r="S2262">
        <v>2.240936</v>
      </c>
      <c r="T2262">
        <v>-0.22265789999999999</v>
      </c>
      <c r="U2262">
        <v>-2.1528320000000001</v>
      </c>
      <c r="V2262">
        <v>-0.158362</v>
      </c>
      <c r="W2262">
        <v>0.18524589999999999</v>
      </c>
      <c r="X2262">
        <v>0.96984820000000005</v>
      </c>
      <c r="Y2262">
        <v>-0.260125</v>
      </c>
      <c r="Z2262">
        <v>6.6179290000000002E-2</v>
      </c>
      <c r="AA2262">
        <v>0.96330439999999995</v>
      </c>
      <c r="AB2262">
        <v>28</v>
      </c>
      <c r="AC2262">
        <v>11.1014</v>
      </c>
      <c r="AD2262">
        <v>-1.11818656257199</v>
      </c>
      <c r="AE2262">
        <v>-10.573700000000001</v>
      </c>
      <c r="AF2262">
        <v>-4.0577626450983901</v>
      </c>
      <c r="AG2262">
        <v>-1.11818656257199</v>
      </c>
      <c r="AH2262">
        <v>14.70026894105</v>
      </c>
      <c r="AI2262">
        <v>94.193626717098198</v>
      </c>
      <c r="AJ2262">
        <v>105.43127394098001</v>
      </c>
      <c r="AK2262">
        <v>15.2909674583354</v>
      </c>
      <c r="AL2262">
        <v>79.324531289905906</v>
      </c>
      <c r="AM2262">
        <v>99.273720225792701</v>
      </c>
      <c r="AN2262">
        <v>1.00000004877702</v>
      </c>
    </row>
    <row r="2263" spans="1:40" x14ac:dyDescent="0.25">
      <c r="A2263" t="str">
        <f>"20190312172701939"</f>
        <v>20190312172701939</v>
      </c>
      <c r="B2263" t="str">
        <f>"1552382821930908"</f>
        <v>1552382821930908</v>
      </c>
      <c r="C2263" t="s">
        <v>40</v>
      </c>
      <c r="D2263">
        <v>3.1333929999999999</v>
      </c>
      <c r="E2263">
        <v>0.4448918</v>
      </c>
      <c r="F2263" t="s">
        <v>47</v>
      </c>
      <c r="G2263">
        <v>-479.35750000000002</v>
      </c>
      <c r="H2263">
        <v>8.0000390000000005E-2</v>
      </c>
      <c r="I2263">
        <v>221.6206</v>
      </c>
      <c r="J2263">
        <v>-489.55180000000001</v>
      </c>
      <c r="K2263">
        <v>1.1181760000000001</v>
      </c>
      <c r="L2263">
        <v>230.51820000000001</v>
      </c>
      <c r="M2263">
        <v>0.5232888</v>
      </c>
      <c r="N2263">
        <v>0</v>
      </c>
      <c r="O2263">
        <v>-0.85203300000000004</v>
      </c>
      <c r="P2263">
        <v>0.64088639999999997</v>
      </c>
      <c r="Q2263">
        <v>0.17491909999999999</v>
      </c>
      <c r="R2263">
        <v>-0.74744100000000002</v>
      </c>
      <c r="S2263">
        <v>2.3423159999999998</v>
      </c>
      <c r="T2263">
        <v>-0.23514679999999999</v>
      </c>
      <c r="U2263">
        <v>-2.0659939999999999</v>
      </c>
      <c r="V2263">
        <v>-0.15860089999999999</v>
      </c>
      <c r="W2263">
        <v>0.18588869999999999</v>
      </c>
      <c r="X2263">
        <v>0.9696861</v>
      </c>
      <c r="Y2263">
        <v>-0.29075800000000002</v>
      </c>
      <c r="Z2263">
        <v>6.9848199999999999E-2</v>
      </c>
      <c r="AA2263">
        <v>0.95424370000000003</v>
      </c>
      <c r="AB2263">
        <v>28</v>
      </c>
      <c r="AC2263">
        <v>10.194299999999901</v>
      </c>
      <c r="AD2263">
        <v>-1.0381756099999999</v>
      </c>
      <c r="AE2263">
        <v>-8.8976000000000095</v>
      </c>
      <c r="AF2263">
        <v>-4.0066995806940797</v>
      </c>
      <c r="AG2263">
        <v>-1.0381756099999999</v>
      </c>
      <c r="AH2263">
        <v>12.841365407973701</v>
      </c>
      <c r="AI2263">
        <v>94.413152693413394</v>
      </c>
      <c r="AJ2263">
        <v>107.328708845622</v>
      </c>
      <c r="AK2263">
        <v>13.491927796583999</v>
      </c>
      <c r="AL2263">
        <v>79.287049982190695</v>
      </c>
      <c r="AM2263">
        <v>99.288992175209401</v>
      </c>
      <c r="AN2263">
        <v>0.99999999340085499</v>
      </c>
    </row>
    <row r="2264" spans="1:40" x14ac:dyDescent="0.25">
      <c r="A2264" t="str">
        <f>"20190312172701962"</f>
        <v>20190312172701962</v>
      </c>
      <c r="B2264" t="str">
        <f>"1552382821951403"</f>
        <v>1552382821951403</v>
      </c>
      <c r="C2264" t="s">
        <v>40</v>
      </c>
      <c r="D2264">
        <v>3.1235740000000001</v>
      </c>
      <c r="E2264">
        <v>0.4448916</v>
      </c>
      <c r="F2264" t="s">
        <v>47</v>
      </c>
      <c r="G2264">
        <v>-478.68849999999998</v>
      </c>
      <c r="H2264">
        <v>8.0000420000000003E-2</v>
      </c>
      <c r="I2264">
        <v>221.18809999999999</v>
      </c>
      <c r="J2264">
        <v>-489.39800000000002</v>
      </c>
      <c r="K2264">
        <v>1.1181559999999999</v>
      </c>
      <c r="L2264">
        <v>230.2894</v>
      </c>
      <c r="M2264">
        <v>0.53233520000000001</v>
      </c>
      <c r="N2264">
        <v>0</v>
      </c>
      <c r="O2264">
        <v>-0.84641049999999995</v>
      </c>
      <c r="P2264">
        <v>0.64867849999999905</v>
      </c>
      <c r="Q2264">
        <v>0.17507500000000001</v>
      </c>
      <c r="R2264">
        <v>-0.74065179999999997</v>
      </c>
      <c r="S2264">
        <v>2.3694459999999999</v>
      </c>
      <c r="T2264">
        <v>-0.226442</v>
      </c>
      <c r="U2264">
        <v>-2.035034</v>
      </c>
      <c r="V2264">
        <v>-0.158441</v>
      </c>
      <c r="W2264">
        <v>0.18605360000000001</v>
      </c>
      <c r="X2264">
        <v>0.9696806</v>
      </c>
      <c r="Y2264">
        <v>-0.2933074</v>
      </c>
      <c r="Z2264">
        <v>6.7014820000000003E-2</v>
      </c>
      <c r="AA2264">
        <v>0.95366649999999997</v>
      </c>
      <c r="AB2264">
        <v>28</v>
      </c>
      <c r="AC2264">
        <v>10.7095</v>
      </c>
      <c r="AD2264">
        <v>-1.03815558</v>
      </c>
      <c r="AE2264">
        <v>-9.1013000000000002</v>
      </c>
      <c r="AF2264">
        <v>-4.1972295195489204</v>
      </c>
      <c r="AG2264">
        <v>-1.03815558</v>
      </c>
      <c r="AH2264">
        <v>13.333127790225999</v>
      </c>
      <c r="AI2264">
        <v>94.247548658091404</v>
      </c>
      <c r="AJ2264">
        <v>107.473849059156</v>
      </c>
      <c r="AK2264">
        <v>14.0166614897612</v>
      </c>
      <c r="AL2264">
        <v>79.277434008915094</v>
      </c>
      <c r="AM2264">
        <v>99.279841815120506</v>
      </c>
      <c r="AN2264">
        <v>0.99999997928515905</v>
      </c>
    </row>
    <row r="2265" spans="1:40" x14ac:dyDescent="0.25">
      <c r="A2265" t="str">
        <f>"20190312172701987"</f>
        <v>20190312172701987</v>
      </c>
      <c r="B2265" t="str">
        <f>"1552382821980683"</f>
        <v>1552382821980683</v>
      </c>
      <c r="C2265" t="s">
        <v>40</v>
      </c>
      <c r="D2265">
        <v>3.168018</v>
      </c>
      <c r="E2265">
        <v>0.44567430000000002</v>
      </c>
      <c r="F2265" t="s">
        <v>47</v>
      </c>
      <c r="G2265">
        <v>-478.37509999999997</v>
      </c>
      <c r="H2265">
        <v>8.0000409999999994E-2</v>
      </c>
      <c r="I2265">
        <v>221.02629999999999</v>
      </c>
      <c r="J2265">
        <v>-489.22579999999999</v>
      </c>
      <c r="K2265">
        <v>1.1181299999999901</v>
      </c>
      <c r="L2265">
        <v>230.03909999999999</v>
      </c>
      <c r="M2265">
        <v>0.54224340000000004</v>
      </c>
      <c r="N2265">
        <v>0</v>
      </c>
      <c r="O2265">
        <v>-0.84009750000000005</v>
      </c>
      <c r="P2265">
        <v>0.65743739999999995</v>
      </c>
      <c r="Q2265">
        <v>0.1743905</v>
      </c>
      <c r="R2265">
        <v>-0.73305140000000002</v>
      </c>
      <c r="S2265">
        <v>2.3912049999999998</v>
      </c>
      <c r="T2265">
        <v>-0.2252072</v>
      </c>
      <c r="U2265">
        <v>-2.0094599999999998</v>
      </c>
      <c r="V2265">
        <v>-0.158465299999999</v>
      </c>
      <c r="W2265">
        <v>0.18537709999999999</v>
      </c>
      <c r="X2265">
        <v>0.96980619999999995</v>
      </c>
      <c r="Y2265">
        <v>-0.2923634</v>
      </c>
      <c r="Z2265">
        <v>6.6284369999999995E-2</v>
      </c>
      <c r="AA2265">
        <v>0.9540073</v>
      </c>
      <c r="AB2265">
        <v>28</v>
      </c>
      <c r="AC2265">
        <v>10.8507</v>
      </c>
      <c r="AD2265">
        <v>-1.0381295899999901</v>
      </c>
      <c r="AE2265">
        <v>-9.0128000000000004</v>
      </c>
      <c r="AF2265">
        <v>-4.2061723020924502</v>
      </c>
      <c r="AG2265">
        <v>-1.0381295899999901</v>
      </c>
      <c r="AH2265">
        <v>13.384256778129201</v>
      </c>
      <c r="AI2265">
        <v>94.231921042825405</v>
      </c>
      <c r="AJ2265">
        <v>107.445986889247</v>
      </c>
      <c r="AK2265">
        <v>14.067975262397299</v>
      </c>
      <c r="AL2265">
        <v>79.316880987388004</v>
      </c>
      <c r="AM2265">
        <v>99.280059189690306</v>
      </c>
      <c r="AN2265">
        <v>0.99999999303346998</v>
      </c>
    </row>
    <row r="2266" spans="1:40" x14ac:dyDescent="0.25">
      <c r="A2266" t="str">
        <f>"20190312172702029"</f>
        <v>20190312172702029</v>
      </c>
      <c r="B2266" t="str">
        <f>"1552382822020699"</f>
        <v>1552382822020699</v>
      </c>
      <c r="C2266" t="s">
        <v>40</v>
      </c>
      <c r="D2266">
        <v>3.0601970000000001</v>
      </c>
      <c r="E2266">
        <v>0.44649840000000002</v>
      </c>
      <c r="F2266" t="s">
        <v>47</v>
      </c>
      <c r="G2266">
        <v>-478.57429999999999</v>
      </c>
      <c r="H2266">
        <v>8.0000459999999995E-2</v>
      </c>
      <c r="I2266">
        <v>221.26929999999999</v>
      </c>
      <c r="J2266">
        <v>-488.93110000000001</v>
      </c>
      <c r="K2266">
        <v>1.1180920000000001</v>
      </c>
      <c r="L2266">
        <v>229.62530000000001</v>
      </c>
      <c r="M2266">
        <v>0.55864239999999998</v>
      </c>
      <c r="N2266">
        <v>0</v>
      </c>
      <c r="O2266">
        <v>-0.82928289999999905</v>
      </c>
      <c r="P2266">
        <v>0.67165769999999902</v>
      </c>
      <c r="Q2266">
        <v>0.17338290000000001</v>
      </c>
      <c r="R2266">
        <v>-0.72028789999999998</v>
      </c>
      <c r="S2266">
        <v>2.4116209999999998</v>
      </c>
      <c r="T2266">
        <v>-0.23504610000000001</v>
      </c>
      <c r="U2266">
        <v>-1.9855959999999999</v>
      </c>
      <c r="V2266">
        <v>-0.15822429999999901</v>
      </c>
      <c r="W2266">
        <v>0.18438589999999999</v>
      </c>
      <c r="X2266">
        <v>0.97003450000000002</v>
      </c>
      <c r="Y2266">
        <v>-0.28301320000000002</v>
      </c>
      <c r="Z2266">
        <v>6.8322259999999996E-2</v>
      </c>
      <c r="AA2266">
        <v>0.95667950000000002</v>
      </c>
      <c r="AB2266">
        <v>28</v>
      </c>
      <c r="AC2266">
        <v>10.3568</v>
      </c>
      <c r="AD2266">
        <v>-1.0380915399999999</v>
      </c>
      <c r="AE2266">
        <v>-8.3560000000000194</v>
      </c>
      <c r="AF2266">
        <v>-3.8973930433944699</v>
      </c>
      <c r="AG2266">
        <v>-1.0380915399999999</v>
      </c>
      <c r="AH2266">
        <v>12.63964463892</v>
      </c>
      <c r="AI2266">
        <v>94.487573979170406</v>
      </c>
      <c r="AJ2266">
        <v>107.136975231493</v>
      </c>
      <c r="AK2266">
        <v>13.267551514062299</v>
      </c>
      <c r="AL2266">
        <v>79.374668965871194</v>
      </c>
      <c r="AM2266">
        <v>99.264047710525702</v>
      </c>
      <c r="AN2266">
        <v>1.0000000102097699</v>
      </c>
    </row>
    <row r="2267" spans="1:40" x14ac:dyDescent="0.25">
      <c r="A2267" t="str">
        <f>"20190312172702050"</f>
        <v>20190312172702050</v>
      </c>
      <c r="B2267" t="str">
        <f>"1552382822041196"</f>
        <v>1552382822041196</v>
      </c>
      <c r="C2267" t="s">
        <v>40</v>
      </c>
      <c r="D2267">
        <v>3.181181</v>
      </c>
      <c r="E2267">
        <v>0.44689790000000001</v>
      </c>
      <c r="F2267" t="s">
        <v>47</v>
      </c>
      <c r="G2267">
        <v>-478.33229999999998</v>
      </c>
      <c r="H2267">
        <v>8.0000360000000006E-2</v>
      </c>
      <c r="I2267">
        <v>221.20490000000001</v>
      </c>
      <c r="J2267">
        <v>-488.76620000000003</v>
      </c>
      <c r="K2267">
        <v>1.1180779999999999</v>
      </c>
      <c r="L2267">
        <v>229.40119999999999</v>
      </c>
      <c r="M2267">
        <v>0.5675365</v>
      </c>
      <c r="N2267">
        <v>0</v>
      </c>
      <c r="O2267">
        <v>-0.8232218</v>
      </c>
      <c r="P2267">
        <v>0.67860159999999903</v>
      </c>
      <c r="Q2267">
        <v>0.17382259999999999</v>
      </c>
      <c r="R2267">
        <v>-0.71364280000000002</v>
      </c>
      <c r="S2267">
        <v>2.44516</v>
      </c>
      <c r="T2267">
        <v>-0.23948810000000001</v>
      </c>
      <c r="U2267">
        <v>-1.942596</v>
      </c>
      <c r="V2267">
        <v>-0.15723570000000001</v>
      </c>
      <c r="W2267">
        <v>0.1848504</v>
      </c>
      <c r="X2267">
        <v>0.97010680000000005</v>
      </c>
      <c r="Y2267">
        <v>-0.28930719999999999</v>
      </c>
      <c r="Z2267">
        <v>6.9410470000000002E-2</v>
      </c>
      <c r="AA2267">
        <v>0.95471640000000002</v>
      </c>
      <c r="AB2267">
        <v>28</v>
      </c>
      <c r="AC2267">
        <v>10.4339</v>
      </c>
      <c r="AD2267">
        <v>-1.03807764</v>
      </c>
      <c r="AE2267">
        <v>-8.1962999999999795</v>
      </c>
      <c r="AF2267">
        <v>-3.91416520944466</v>
      </c>
      <c r="AG2267">
        <v>-1.03807764</v>
      </c>
      <c r="AH2267">
        <v>12.5932256223923</v>
      </c>
      <c r="AI2267">
        <v>94.500860504684596</v>
      </c>
      <c r="AJ2267">
        <v>107.266035789914</v>
      </c>
      <c r="AK2267">
        <v>13.228288855705101</v>
      </c>
      <c r="AL2267">
        <v>79.347589152723202</v>
      </c>
      <c r="AM2267">
        <v>99.206485012327406</v>
      </c>
      <c r="AN2267">
        <v>0.99999996957044401</v>
      </c>
    </row>
    <row r="2268" spans="1:40" x14ac:dyDescent="0.25">
      <c r="A2268" t="str">
        <f>"20190312172702073"</f>
        <v>20190312172702073</v>
      </c>
      <c r="B2268" t="str">
        <f>"1552382822061691"</f>
        <v>1552382822061691</v>
      </c>
      <c r="C2268" t="s">
        <v>40</v>
      </c>
      <c r="D2268">
        <v>3.1706840000000001</v>
      </c>
      <c r="E2268">
        <v>0.4473395</v>
      </c>
      <c r="F2268" t="s">
        <v>47</v>
      </c>
      <c r="G2268">
        <v>-478.00920000000002</v>
      </c>
      <c r="H2268">
        <v>8.0000310000000005E-2</v>
      </c>
      <c r="I2268">
        <v>221.01070000000001</v>
      </c>
      <c r="J2268">
        <v>-488.6028</v>
      </c>
      <c r="K2268">
        <v>1.118058</v>
      </c>
      <c r="L2268">
        <v>229.1842</v>
      </c>
      <c r="M2268">
        <v>0.57615830000000001</v>
      </c>
      <c r="N2268">
        <v>0</v>
      </c>
      <c r="O2268">
        <v>-0.81721069999999996</v>
      </c>
      <c r="P2268">
        <v>0.68527689999999997</v>
      </c>
      <c r="Q2268">
        <v>0.17389460000000001</v>
      </c>
      <c r="R2268">
        <v>-0.70721750000000005</v>
      </c>
      <c r="S2268">
        <v>2.462097</v>
      </c>
      <c r="T2268">
        <v>-0.2375997</v>
      </c>
      <c r="U2268">
        <v>-1.9204559999999999</v>
      </c>
      <c r="V2268">
        <v>-0.15615479999999901</v>
      </c>
      <c r="W2268">
        <v>0.18494969999999999</v>
      </c>
      <c r="X2268">
        <v>0.97026250000000003</v>
      </c>
      <c r="Y2268">
        <v>-0.28781879999999999</v>
      </c>
      <c r="Z2268">
        <v>6.8480799999999994E-2</v>
      </c>
      <c r="AA2268">
        <v>0.95523329999999995</v>
      </c>
      <c r="AB2268">
        <v>28</v>
      </c>
      <c r="AC2268">
        <v>10.593599999999901</v>
      </c>
      <c r="AD2268">
        <v>-1.03805769</v>
      </c>
      <c r="AE2268">
        <v>-8.17349999999999</v>
      </c>
      <c r="AF2268">
        <v>-3.9247619321360299</v>
      </c>
      <c r="AG2268">
        <v>-1.03805769</v>
      </c>
      <c r="AH2268">
        <v>12.7079062660431</v>
      </c>
      <c r="AI2268">
        <v>94.462798352940297</v>
      </c>
      <c r="AJ2268">
        <v>107.16299502619999</v>
      </c>
      <c r="AK2268">
        <v>13.340622236546899</v>
      </c>
      <c r="AL2268">
        <v>79.341800359395904</v>
      </c>
      <c r="AM2268">
        <v>99.142826246559395</v>
      </c>
      <c r="AN2268">
        <v>1.00000001599969</v>
      </c>
    </row>
    <row r="2269" spans="1:40" x14ac:dyDescent="0.25">
      <c r="A2269" t="str">
        <f>"20190312172702096"</f>
        <v>20190312172702096</v>
      </c>
      <c r="B2269" t="str">
        <f>"1552382822090972"</f>
        <v>1552382822090972</v>
      </c>
      <c r="C2269" t="s">
        <v>40</v>
      </c>
      <c r="D2269">
        <v>3.2108569999999999</v>
      </c>
      <c r="E2269">
        <v>0.44783479999999998</v>
      </c>
      <c r="F2269" t="s">
        <v>47</v>
      </c>
      <c r="G2269">
        <v>-477.78820000000002</v>
      </c>
      <c r="H2269">
        <v>8.0000329999999995E-2</v>
      </c>
      <c r="I2269">
        <v>220.89529999999999</v>
      </c>
      <c r="J2269">
        <v>-488.43290000000002</v>
      </c>
      <c r="K2269">
        <v>1.118036</v>
      </c>
      <c r="L2269">
        <v>228.9632</v>
      </c>
      <c r="M2269">
        <v>0.58492580000000005</v>
      </c>
      <c r="N2269">
        <v>0</v>
      </c>
      <c r="O2269">
        <v>-0.81095839999999997</v>
      </c>
      <c r="P2269">
        <v>0.69213729999999996</v>
      </c>
      <c r="Q2269">
        <v>0.1735082</v>
      </c>
      <c r="R2269">
        <v>-0.70060059999999902</v>
      </c>
      <c r="S2269">
        <v>2.4780579999999999</v>
      </c>
      <c r="T2269">
        <v>-0.23786160000000001</v>
      </c>
      <c r="U2269">
        <v>-1.8993070000000001</v>
      </c>
      <c r="V2269">
        <v>-0.1550859</v>
      </c>
      <c r="W2269">
        <v>0.1845926</v>
      </c>
      <c r="X2269">
        <v>0.97050190000000003</v>
      </c>
      <c r="Y2269">
        <v>-0.28562300000000002</v>
      </c>
      <c r="Z2269">
        <v>6.8134379999999994E-2</v>
      </c>
      <c r="AA2269">
        <v>0.95591689999999996</v>
      </c>
      <c r="AB2269">
        <v>28</v>
      </c>
      <c r="AC2269">
        <v>10.6447</v>
      </c>
      <c r="AD2269">
        <v>-1.03803567</v>
      </c>
      <c r="AE2269">
        <v>-8.0678999999999998</v>
      </c>
      <c r="AF2269">
        <v>-3.89019730086545</v>
      </c>
      <c r="AG2269">
        <v>-1.03803567</v>
      </c>
      <c r="AH2269">
        <v>12.693752224360701</v>
      </c>
      <c r="AI2269">
        <v>94.470635586567695</v>
      </c>
      <c r="AJ2269">
        <v>107.038495892974</v>
      </c>
      <c r="AK2269">
        <v>13.317000361391999</v>
      </c>
      <c r="AL2269">
        <v>79.362618988799099</v>
      </c>
      <c r="AM2269">
        <v>99.079085969845096</v>
      </c>
      <c r="AN2269">
        <v>1.0000000011285799</v>
      </c>
    </row>
    <row r="2270" spans="1:40" x14ac:dyDescent="0.25">
      <c r="A2270" t="str">
        <f>"20190312172702120"</f>
        <v>20190312172702120</v>
      </c>
      <c r="B2270" t="str">
        <f>"1552382822111468"</f>
        <v>1552382822111468</v>
      </c>
      <c r="C2270" t="s">
        <v>40</v>
      </c>
      <c r="D2270">
        <v>3.1700590000000002</v>
      </c>
      <c r="E2270">
        <v>0.4565612</v>
      </c>
      <c r="F2270" t="s">
        <v>47</v>
      </c>
      <c r="G2270">
        <v>-477.77940000000001</v>
      </c>
      <c r="H2270">
        <v>8.0000329999999995E-2</v>
      </c>
      <c r="I2270">
        <v>220.93690000000001</v>
      </c>
      <c r="J2270">
        <v>-488.25720000000001</v>
      </c>
      <c r="K2270">
        <v>1.117996</v>
      </c>
      <c r="L2270">
        <v>228.7398</v>
      </c>
      <c r="M2270">
        <v>0.5937597</v>
      </c>
      <c r="N2270">
        <v>0</v>
      </c>
      <c r="O2270">
        <v>-0.80451309999999998</v>
      </c>
      <c r="P2270">
        <v>0.69901539999999995</v>
      </c>
      <c r="Q2270">
        <v>0.17345769999999999</v>
      </c>
      <c r="R2270">
        <v>-0.69375100000000001</v>
      </c>
      <c r="S2270">
        <v>2.4936829999999999</v>
      </c>
      <c r="T2270">
        <v>-0.242975</v>
      </c>
      <c r="U2270">
        <v>-1.8787229999999999</v>
      </c>
      <c r="V2270">
        <v>-0.15401779999999901</v>
      </c>
      <c r="W2270">
        <v>0.1845743</v>
      </c>
      <c r="X2270">
        <v>0.97067550000000002</v>
      </c>
      <c r="Y2270">
        <v>-0.28297670000000003</v>
      </c>
      <c r="Z2270">
        <v>6.9128270000000006E-2</v>
      </c>
      <c r="AA2270">
        <v>0.95663240000000005</v>
      </c>
      <c r="AB2270">
        <v>28</v>
      </c>
      <c r="AC2270">
        <v>10.4778</v>
      </c>
      <c r="AD2270">
        <v>-1.0379956699999999</v>
      </c>
      <c r="AE2270">
        <v>-7.8028999999999904</v>
      </c>
      <c r="AF2270">
        <v>-3.77305560339274</v>
      </c>
      <c r="AG2270">
        <v>-1.0379956699999999</v>
      </c>
      <c r="AH2270">
        <v>12.4217131561989</v>
      </c>
      <c r="AI2270">
        <v>94.571411557862405</v>
      </c>
      <c r="AJ2270">
        <v>106.895990791312</v>
      </c>
      <c r="AK2270">
        <v>13.023530294513799</v>
      </c>
      <c r="AL2270">
        <v>79.363686258240705</v>
      </c>
      <c r="AM2270">
        <v>99.016001632793603</v>
      </c>
      <c r="AN2270">
        <v>1.0000000406187799</v>
      </c>
    </row>
    <row r="2271" spans="1:40" x14ac:dyDescent="0.25">
      <c r="A2271" t="str">
        <f>"20190312172702141"</f>
        <v>20190312172702141</v>
      </c>
      <c r="B2271" t="str">
        <f>"1552382822130987"</f>
        <v>1552382822130987</v>
      </c>
      <c r="C2271" t="s">
        <v>40</v>
      </c>
      <c r="D2271">
        <v>3.1750240000000001</v>
      </c>
      <c r="E2271">
        <v>0.45615929999999999</v>
      </c>
      <c r="F2271" t="s">
        <v>47</v>
      </c>
      <c r="G2271">
        <v>-479.40410000000003</v>
      </c>
      <c r="H2271">
        <v>8.0000470000000004E-2</v>
      </c>
      <c r="I2271">
        <v>221.89949999999999</v>
      </c>
      <c r="J2271">
        <v>-488.0872</v>
      </c>
      <c r="K2271">
        <v>1.1179429999999999</v>
      </c>
      <c r="L2271">
        <v>228.52809999999999</v>
      </c>
      <c r="M2271">
        <v>0.60208070000000002</v>
      </c>
      <c r="N2271">
        <v>0</v>
      </c>
      <c r="O2271">
        <v>-0.79830489999999998</v>
      </c>
      <c r="P2271">
        <v>0.70565269999999902</v>
      </c>
      <c r="Q2271">
        <v>0.17361270000000001</v>
      </c>
      <c r="R2271">
        <v>-0.68695909999999905</v>
      </c>
      <c r="S2271">
        <v>2.4697269999999998</v>
      </c>
      <c r="T2271">
        <v>-0.2895684</v>
      </c>
      <c r="U2271">
        <v>-1.9082490000000001</v>
      </c>
      <c r="V2271">
        <v>-0.1532695</v>
      </c>
      <c r="W2271">
        <v>0.18475900000000001</v>
      </c>
      <c r="X2271">
        <v>0.97075880000000003</v>
      </c>
      <c r="Y2271">
        <v>-0.26039639999999997</v>
      </c>
      <c r="Z2271">
        <v>8.1204869999999998E-2</v>
      </c>
      <c r="AA2271">
        <v>0.96208079999999996</v>
      </c>
      <c r="AB2271">
        <v>28</v>
      </c>
      <c r="AC2271">
        <v>8.6830999999999605</v>
      </c>
      <c r="AD2271">
        <v>-1.03794253</v>
      </c>
      <c r="AE2271">
        <v>-6.6285999999999996</v>
      </c>
      <c r="AF2271">
        <v>-2.91480106724108</v>
      </c>
      <c r="AG2271">
        <v>-1.03794253</v>
      </c>
      <c r="AH2271">
        <v>10.426537255404201</v>
      </c>
      <c r="AI2271">
        <v>95.476342436935099</v>
      </c>
      <c r="AJ2271">
        <v>105.61865395231101</v>
      </c>
      <c r="AK2271">
        <v>10.875939917795799</v>
      </c>
      <c r="AL2271">
        <v>79.3529185054999</v>
      </c>
      <c r="AM2271">
        <v>98.972154106147897</v>
      </c>
      <c r="AN2271">
        <v>1.0000000377443401</v>
      </c>
    </row>
    <row r="2272" spans="1:40" x14ac:dyDescent="0.25">
      <c r="A2272" t="str">
        <f>"20190312172702166"</f>
        <v>20190312172702166</v>
      </c>
      <c r="B2272" t="str">
        <f>"1552382822161243"</f>
        <v>1552382822161243</v>
      </c>
      <c r="C2272" t="s">
        <v>40</v>
      </c>
      <c r="D2272">
        <v>3.10066</v>
      </c>
      <c r="E2272">
        <v>0.45631949999999999</v>
      </c>
      <c r="F2272" t="s">
        <v>47</v>
      </c>
      <c r="G2272">
        <v>-478.83789999999999</v>
      </c>
      <c r="H2272">
        <v>8.0000479999999999E-2</v>
      </c>
      <c r="I2272">
        <v>221.53569999999999</v>
      </c>
      <c r="J2272">
        <v>-487.90820000000002</v>
      </c>
      <c r="K2272">
        <v>1.1178509999999999</v>
      </c>
      <c r="L2272">
        <v>228.3098</v>
      </c>
      <c r="M2272">
        <v>0.61056669999999902</v>
      </c>
      <c r="N2272">
        <v>0</v>
      </c>
      <c r="O2272">
        <v>-0.79183389999999998</v>
      </c>
      <c r="P2272">
        <v>0.71301569999999903</v>
      </c>
      <c r="Q2272">
        <v>0.17371589999999901</v>
      </c>
      <c r="R2272">
        <v>-0.67928809999999995</v>
      </c>
      <c r="S2272">
        <v>2.4885250000000001</v>
      </c>
      <c r="T2272">
        <v>-0.27926089999999998</v>
      </c>
      <c r="U2272">
        <v>-1.881332</v>
      </c>
      <c r="V2272">
        <v>-0.15334739999999999</v>
      </c>
      <c r="W2272">
        <v>0.18488180000000001</v>
      </c>
      <c r="X2272">
        <v>0.97072309999999995</v>
      </c>
      <c r="Y2272">
        <v>-0.26045160000000001</v>
      </c>
      <c r="Z2272">
        <v>7.7893660000000003E-2</v>
      </c>
      <c r="AA2272">
        <v>0.96233959999999996</v>
      </c>
      <c r="AB2272">
        <v>28</v>
      </c>
      <c r="AC2272">
        <v>9.0703000000000298</v>
      </c>
      <c r="AD2272">
        <v>-1.0378505200000001</v>
      </c>
      <c r="AE2272">
        <v>-6.7740999999999998</v>
      </c>
      <c r="AF2272">
        <v>-3.0210560281410501</v>
      </c>
      <c r="AG2272">
        <v>-1.0378505200000001</v>
      </c>
      <c r="AH2272">
        <v>10.8122423060796</v>
      </c>
      <c r="AI2272">
        <v>95.281842427189005</v>
      </c>
      <c r="AJ2272">
        <v>105.61093114614199</v>
      </c>
      <c r="AK2272">
        <v>11.2742404139884</v>
      </c>
      <c r="AL2272">
        <v>79.345759065723797</v>
      </c>
      <c r="AM2272">
        <v>98.976964765482506</v>
      </c>
      <c r="AN2272">
        <v>1.0000000209658</v>
      </c>
    </row>
    <row r="2273" spans="1:40" x14ac:dyDescent="0.25">
      <c r="A2273" t="str">
        <f>"20190312172702188"</f>
        <v>20190312172702188</v>
      </c>
      <c r="B2273" t="str">
        <f>"1552382822180764"</f>
        <v>1552382822180764</v>
      </c>
      <c r="C2273" t="s">
        <v>40</v>
      </c>
      <c r="D2273">
        <v>3.072244</v>
      </c>
      <c r="E2273">
        <v>0.45705570000000001</v>
      </c>
      <c r="F2273" t="s">
        <v>47</v>
      </c>
      <c r="G2273">
        <v>-478.39409999999998</v>
      </c>
      <c r="H2273">
        <v>8.0000390000000005E-2</v>
      </c>
      <c r="I2273">
        <v>221.2689</v>
      </c>
      <c r="J2273">
        <v>-487.72930000000002</v>
      </c>
      <c r="K2273">
        <v>1.117729</v>
      </c>
      <c r="L2273">
        <v>228.09610000000001</v>
      </c>
      <c r="M2273">
        <v>0.61874629999999997</v>
      </c>
      <c r="N2273">
        <v>0</v>
      </c>
      <c r="O2273">
        <v>-0.78545909999999997</v>
      </c>
      <c r="P2273">
        <v>0.72062510000000002</v>
      </c>
      <c r="Q2273">
        <v>0.17418979999999901</v>
      </c>
      <c r="R2273">
        <v>-0.67108699999999999</v>
      </c>
      <c r="S2273">
        <v>2.5067750000000002</v>
      </c>
      <c r="T2273">
        <v>-0.273453</v>
      </c>
      <c r="U2273">
        <v>-1.855148</v>
      </c>
      <c r="V2273">
        <v>-0.1542472</v>
      </c>
      <c r="W2273">
        <v>0.18536540000000001</v>
      </c>
      <c r="X2273">
        <v>0.97048829999999997</v>
      </c>
      <c r="Y2273">
        <v>-0.26042389999999999</v>
      </c>
      <c r="Z2273">
        <v>7.584747E-2</v>
      </c>
      <c r="AA2273">
        <v>0.96251059999999999</v>
      </c>
      <c r="AB2273">
        <v>28</v>
      </c>
      <c r="AC2273">
        <v>9.3352000000000395</v>
      </c>
      <c r="AD2273">
        <v>-1.0377286100000001</v>
      </c>
      <c r="AE2273">
        <v>-6.8272000000000004</v>
      </c>
      <c r="AF2273">
        <v>-3.08360854560665</v>
      </c>
      <c r="AG2273">
        <v>-1.0377286100000001</v>
      </c>
      <c r="AH2273">
        <v>11.050789541951801</v>
      </c>
      <c r="AI2273">
        <v>95.168340679053003</v>
      </c>
      <c r="AJ2273">
        <v>105.591210483303</v>
      </c>
      <c r="AK2273">
        <v>11.519786101793001</v>
      </c>
      <c r="AL2273">
        <v>79.317563628390801</v>
      </c>
      <c r="AM2273">
        <v>99.030922308297903</v>
      </c>
      <c r="AN2273">
        <v>1.00000003533094</v>
      </c>
    </row>
    <row r="2274" spans="1:40" x14ac:dyDescent="0.25">
      <c r="A2274" t="str">
        <f>"20190312172702211"</f>
        <v>20190312172702211</v>
      </c>
      <c r="B2274" t="str">
        <f>"1552382822201259"</f>
        <v>1552382822201259</v>
      </c>
      <c r="C2274" t="s">
        <v>40</v>
      </c>
      <c r="D2274">
        <v>3.2350089999999998</v>
      </c>
      <c r="E2274">
        <v>0.45770090000000002</v>
      </c>
      <c r="F2274" t="s">
        <v>47</v>
      </c>
      <c r="G2274">
        <v>-478.01929999999999</v>
      </c>
      <c r="H2274">
        <v>8.0000310000000005E-2</v>
      </c>
      <c r="I2274">
        <v>221.05260000000001</v>
      </c>
      <c r="J2274">
        <v>-487.54700000000003</v>
      </c>
      <c r="K2274">
        <v>1.117567</v>
      </c>
      <c r="L2274">
        <v>227.8827</v>
      </c>
      <c r="M2274">
        <v>0.62672700000000003</v>
      </c>
      <c r="N2274">
        <v>0</v>
      </c>
      <c r="O2274">
        <v>-0.77910659999999998</v>
      </c>
      <c r="P2274">
        <v>0.72800830000000005</v>
      </c>
      <c r="Q2274">
        <v>0.17402699999999999</v>
      </c>
      <c r="R2274">
        <v>-0.66311309999999901</v>
      </c>
      <c r="S2274">
        <v>2.52359</v>
      </c>
      <c r="T2274">
        <v>-0.269700299999999</v>
      </c>
      <c r="U2274">
        <v>-1.830551</v>
      </c>
      <c r="V2274">
        <v>-0.15498519999999999</v>
      </c>
      <c r="W2274">
        <v>0.18522620000000001</v>
      </c>
      <c r="X2274">
        <v>0.97039719999999996</v>
      </c>
      <c r="Y2274">
        <v>-0.25986670000000001</v>
      </c>
      <c r="Z2274">
        <v>7.43645E-2</v>
      </c>
      <c r="AA2274">
        <v>0.96277679999999999</v>
      </c>
      <c r="AB2274">
        <v>28</v>
      </c>
      <c r="AC2274">
        <v>9.5276999999999799</v>
      </c>
      <c r="AD2274">
        <v>-1.03756669</v>
      </c>
      <c r="AE2274">
        <v>-6.8300999999999803</v>
      </c>
      <c r="AF2274">
        <v>-3.11838185141597</v>
      </c>
      <c r="AG2274">
        <v>-1.03756669</v>
      </c>
      <c r="AH2274">
        <v>11.206024116036099</v>
      </c>
      <c r="AI2274">
        <v>95.097332925947498</v>
      </c>
      <c r="AJ2274">
        <v>105.55067656300101</v>
      </c>
      <c r="AK2274">
        <v>11.678006101069601</v>
      </c>
      <c r="AL2274">
        <v>79.325678736675002</v>
      </c>
      <c r="AM2274">
        <v>99.074251521684005</v>
      </c>
      <c r="AN2274">
        <v>0.99999994157665795</v>
      </c>
    </row>
    <row r="2275" spans="1:40" x14ac:dyDescent="0.25">
      <c r="A2275" t="str">
        <f>"20190312172702254"</f>
        <v>20190312172702254</v>
      </c>
      <c r="B2275" t="str">
        <f>"1552382822251036"</f>
        <v>1552382822251036</v>
      </c>
      <c r="C2275" t="s">
        <v>40</v>
      </c>
      <c r="D2275">
        <v>3.148841</v>
      </c>
      <c r="E2275">
        <v>0.4590032</v>
      </c>
      <c r="F2275" t="s">
        <v>47</v>
      </c>
      <c r="G2275">
        <v>-477.68220000000002</v>
      </c>
      <c r="H2275">
        <v>8.0000329999999995E-2</v>
      </c>
      <c r="I2275">
        <v>220.8691</v>
      </c>
      <c r="J2275">
        <v>-487.20479999999998</v>
      </c>
      <c r="K2275">
        <v>1.117245</v>
      </c>
      <c r="L2275">
        <v>227.49270000000001</v>
      </c>
      <c r="M2275">
        <v>0.64087759999999905</v>
      </c>
      <c r="N2275">
        <v>0</v>
      </c>
      <c r="O2275">
        <v>-0.76750949999999996</v>
      </c>
      <c r="P2275">
        <v>0.74123680000000003</v>
      </c>
      <c r="Q2275">
        <v>0.17249159999999999</v>
      </c>
      <c r="R2275">
        <v>-0.64870229999999995</v>
      </c>
      <c r="S2275">
        <v>2.539917</v>
      </c>
      <c r="T2275">
        <v>-0.26714549999999998</v>
      </c>
      <c r="U2275">
        <v>-1.805817</v>
      </c>
      <c r="V2275">
        <v>-0.1563765</v>
      </c>
      <c r="W2275">
        <v>0.18373919999999999</v>
      </c>
      <c r="X2275">
        <v>0.97045680000000001</v>
      </c>
      <c r="Y2275">
        <v>-0.25143939999999998</v>
      </c>
      <c r="Z2275">
        <v>7.2619039999999996E-2</v>
      </c>
      <c r="AA2275">
        <v>0.96514489999999997</v>
      </c>
      <c r="AB2275">
        <v>28</v>
      </c>
      <c r="AC2275">
        <v>9.5225999999999509</v>
      </c>
      <c r="AD2275">
        <v>-1.03724467</v>
      </c>
      <c r="AE2275">
        <v>-6.6235999999999997</v>
      </c>
      <c r="AF2275">
        <v>-3.0397772519857602</v>
      </c>
      <c r="AG2275">
        <v>-1.03724467</v>
      </c>
      <c r="AH2275">
        <v>11.098897451552</v>
      </c>
      <c r="AI2275">
        <v>95.150454877046201</v>
      </c>
      <c r="AJ2275">
        <v>105.316628530174</v>
      </c>
      <c r="AK2275">
        <v>11.5542912758507</v>
      </c>
      <c r="AL2275">
        <v>79.412366669838704</v>
      </c>
      <c r="AM2275">
        <v>99.153784990052003</v>
      </c>
      <c r="AN2275">
        <v>1.00000005201756</v>
      </c>
    </row>
    <row r="2276" spans="1:40" x14ac:dyDescent="0.25">
      <c r="A2276" t="str">
        <f>"20190312172702275"</f>
        <v>20190312172702275</v>
      </c>
      <c r="B2276" t="str">
        <f>"1552382822271532"</f>
        <v>1552382822271532</v>
      </c>
      <c r="C2276" t="s">
        <v>40</v>
      </c>
      <c r="D2276">
        <v>3.1535570000000002</v>
      </c>
      <c r="E2276">
        <v>0.45971129999999999</v>
      </c>
      <c r="F2276" t="s">
        <v>47</v>
      </c>
      <c r="G2276">
        <v>-477.53379999999999</v>
      </c>
      <c r="H2276">
        <v>8.0000349999999998E-2</v>
      </c>
      <c r="I2276">
        <v>220.85830000000001</v>
      </c>
      <c r="J2276">
        <v>-487.03050000000002</v>
      </c>
      <c r="K2276">
        <v>1.1170850000000001</v>
      </c>
      <c r="L2276">
        <v>227.29900000000001</v>
      </c>
      <c r="M2276">
        <v>0.64765640000000002</v>
      </c>
      <c r="N2276">
        <v>0</v>
      </c>
      <c r="O2276">
        <v>-0.76179859999999999</v>
      </c>
      <c r="P2276">
        <v>0.74658389999999997</v>
      </c>
      <c r="Q2276">
        <v>0.17251</v>
      </c>
      <c r="R2276">
        <v>-0.64253649999999995</v>
      </c>
      <c r="S2276">
        <v>2.5690309999999998</v>
      </c>
      <c r="T2276">
        <v>-0.275537799999999</v>
      </c>
      <c r="U2276">
        <v>-1.762375</v>
      </c>
      <c r="V2276">
        <v>-0.15573999999999999</v>
      </c>
      <c r="W2276">
        <v>0.18380479999999999</v>
      </c>
      <c r="X2276">
        <v>0.97054669999999998</v>
      </c>
      <c r="Y2276">
        <v>-0.25887250000000001</v>
      </c>
      <c r="Z2276">
        <v>7.4709120000000004E-2</v>
      </c>
      <c r="AA2276">
        <v>0.96301789999999998</v>
      </c>
      <c r="AB2276">
        <v>27</v>
      </c>
      <c r="AC2276">
        <v>9.4967000000000308</v>
      </c>
      <c r="AD2276">
        <v>-1.0370846499999999</v>
      </c>
      <c r="AE2276">
        <v>-6.4406999999999899</v>
      </c>
      <c r="AF2276">
        <v>-3.0387031894416898</v>
      </c>
      <c r="AG2276">
        <v>-1.0370846499999999</v>
      </c>
      <c r="AH2276">
        <v>10.9686459389617</v>
      </c>
      <c r="AI2276">
        <v>95.206298387381395</v>
      </c>
      <c r="AJ2276">
        <v>105.484615131449</v>
      </c>
      <c r="AK2276">
        <v>11.428930631476</v>
      </c>
      <c r="AL2276">
        <v>79.408542649742699</v>
      </c>
      <c r="AM2276">
        <v>99.116322979820694</v>
      </c>
      <c r="AN2276">
        <v>1.00000002449196</v>
      </c>
    </row>
    <row r="2277" spans="1:40" x14ac:dyDescent="0.25">
      <c r="A2277" t="str">
        <f>"20190312172702298"</f>
        <v>20190312172702298</v>
      </c>
      <c r="B2277" t="str">
        <f>"1552382822291051"</f>
        <v>1552382822291051</v>
      </c>
      <c r="C2277" t="s">
        <v>40</v>
      </c>
      <c r="D2277">
        <v>3.2330670000000001</v>
      </c>
      <c r="E2277">
        <v>0.46033249999999998</v>
      </c>
      <c r="F2277" t="s">
        <v>47</v>
      </c>
      <c r="G2277">
        <v>-477.31529999999998</v>
      </c>
      <c r="H2277">
        <v>8.0000360000000006E-2</v>
      </c>
      <c r="I2277">
        <v>220.72559999999999</v>
      </c>
      <c r="J2277">
        <v>-486.8426</v>
      </c>
      <c r="K2277">
        <v>1.1169199999999999</v>
      </c>
      <c r="L2277">
        <v>227.09350000000001</v>
      </c>
      <c r="M2277">
        <v>0.6546672</v>
      </c>
      <c r="N2277">
        <v>0</v>
      </c>
      <c r="O2277">
        <v>-0.75578259999999997</v>
      </c>
      <c r="P2277">
        <v>0.75197829999999999</v>
      </c>
      <c r="Q2277">
        <v>0.17268789999999901</v>
      </c>
      <c r="R2277">
        <v>-0.63616640000000002</v>
      </c>
      <c r="S2277">
        <v>2.5796809999999999</v>
      </c>
      <c r="T2277">
        <v>-0.27537810000000001</v>
      </c>
      <c r="U2277">
        <v>-1.745438</v>
      </c>
      <c r="V2277">
        <v>-0.1549159</v>
      </c>
      <c r="W2277">
        <v>0.18403439999999999</v>
      </c>
      <c r="X2277">
        <v>0.97063509999999997</v>
      </c>
      <c r="Y2277">
        <v>-0.25615710000000003</v>
      </c>
      <c r="Z2277">
        <v>7.4153280000000002E-2</v>
      </c>
      <c r="AA2277">
        <v>0.9637867</v>
      </c>
      <c r="AB2277">
        <v>27</v>
      </c>
      <c r="AC2277">
        <v>9.5273000000000199</v>
      </c>
      <c r="AD2277">
        <v>-1.03691964</v>
      </c>
      <c r="AE2277">
        <v>-6.3679000000000103</v>
      </c>
      <c r="AF2277">
        <v>-3.00739725916812</v>
      </c>
      <c r="AG2277">
        <v>-1.03691964</v>
      </c>
      <c r="AH2277">
        <v>10.961335574476101</v>
      </c>
      <c r="AI2277">
        <v>95.2124739205141</v>
      </c>
      <c r="AJ2277">
        <v>105.342374393322</v>
      </c>
      <c r="AK2277">
        <v>11.413611093363199</v>
      </c>
      <c r="AL2277">
        <v>79.395159475717605</v>
      </c>
      <c r="AM2277">
        <v>99.068075376463895</v>
      </c>
      <c r="AN2277">
        <v>1.00000004690408</v>
      </c>
    </row>
    <row r="2278" spans="1:40" x14ac:dyDescent="0.25">
      <c r="A2278" t="str">
        <f>"20190312172702321"</f>
        <v>20190312172702321</v>
      </c>
      <c r="B2278" t="str">
        <f>"1552382822311548"</f>
        <v>1552382822311548</v>
      </c>
      <c r="C2278" t="s">
        <v>40</v>
      </c>
      <c r="D2278">
        <v>3.263458</v>
      </c>
      <c r="E2278">
        <v>0.46967350000000002</v>
      </c>
      <c r="F2278" t="s">
        <v>47</v>
      </c>
      <c r="G2278">
        <v>-477.09190000000001</v>
      </c>
      <c r="H2278">
        <v>8.0000390000000005E-2</v>
      </c>
      <c r="I2278">
        <v>220.5926</v>
      </c>
      <c r="J2278">
        <v>-486.65280000000001</v>
      </c>
      <c r="K2278">
        <v>1.1167290000000001</v>
      </c>
      <c r="L2278">
        <v>226.8896</v>
      </c>
      <c r="M2278">
        <v>0.66141249999999996</v>
      </c>
      <c r="N2278">
        <v>0</v>
      </c>
      <c r="O2278">
        <v>-0.74988730000000003</v>
      </c>
      <c r="P2278">
        <v>0.75738640000000002</v>
      </c>
      <c r="Q2278">
        <v>0.173216799999999</v>
      </c>
      <c r="R2278">
        <v>-0.62957280000000004</v>
      </c>
      <c r="S2278">
        <v>2.5912169999999999</v>
      </c>
      <c r="T2278">
        <v>-0.27555990000000002</v>
      </c>
      <c r="U2278">
        <v>-1.7276</v>
      </c>
      <c r="V2278">
        <v>-0.1545301</v>
      </c>
      <c r="W2278">
        <v>0.18460950000000001</v>
      </c>
      <c r="X2278">
        <v>0.97058739999999999</v>
      </c>
      <c r="Y2278">
        <v>-0.25408890000000001</v>
      </c>
      <c r="Z2278">
        <v>7.370575E-2</v>
      </c>
      <c r="AA2278">
        <v>0.96436829999999996</v>
      </c>
      <c r="AB2278">
        <v>27</v>
      </c>
      <c r="AC2278">
        <v>9.5609000000000002</v>
      </c>
      <c r="AD2278">
        <v>-1.0367286099999999</v>
      </c>
      <c r="AE2278">
        <v>-6.2969999999999899</v>
      </c>
      <c r="AF2278">
        <v>-2.9805448058112298</v>
      </c>
      <c r="AG2278">
        <v>-1.0367286099999999</v>
      </c>
      <c r="AH2278">
        <v>10.9570029793588</v>
      </c>
      <c r="AI2278">
        <v>95.216656450731605</v>
      </c>
      <c r="AJ2278">
        <v>105.217495225151</v>
      </c>
      <c r="AK2278">
        <v>11.402384305044199</v>
      </c>
      <c r="AL2278">
        <v>79.361634392883005</v>
      </c>
      <c r="AM2278">
        <v>99.046303462101903</v>
      </c>
      <c r="AN2278">
        <v>1.0000000601675001</v>
      </c>
    </row>
    <row r="2279" spans="1:40" x14ac:dyDescent="0.25">
      <c r="A2279" t="str">
        <f>"20190312172702342"</f>
        <v>20190312172702342</v>
      </c>
      <c r="B2279" t="str">
        <f>"1552382822331068"</f>
        <v>1552382822331068</v>
      </c>
      <c r="C2279" t="s">
        <v>40</v>
      </c>
      <c r="D2279">
        <v>3.1449799999999999</v>
      </c>
      <c r="E2279">
        <v>0.46970849999999997</v>
      </c>
      <c r="F2279" t="s">
        <v>47</v>
      </c>
      <c r="G2279">
        <v>-476.95979999999997</v>
      </c>
      <c r="H2279">
        <v>8.0000310000000005E-2</v>
      </c>
      <c r="I2279">
        <v>220.21010000000001</v>
      </c>
      <c r="J2279">
        <v>-486.47710000000001</v>
      </c>
      <c r="K2279">
        <v>1.116538</v>
      </c>
      <c r="L2279">
        <v>226.70349999999999</v>
      </c>
      <c r="M2279">
        <v>0.66737270000000004</v>
      </c>
      <c r="N2279">
        <v>0</v>
      </c>
      <c r="O2279">
        <v>-0.74458880000000005</v>
      </c>
      <c r="P2279">
        <v>0.76225500000000002</v>
      </c>
      <c r="Q2279">
        <v>0.1737185</v>
      </c>
      <c r="R2279">
        <v>-0.62353000000000003</v>
      </c>
      <c r="S2279">
        <v>2.5582280000000002</v>
      </c>
      <c r="T2279">
        <v>-0.27361729999999901</v>
      </c>
      <c r="U2279">
        <v>-1.7628779999999999</v>
      </c>
      <c r="V2279">
        <v>-0.15434220000000001</v>
      </c>
      <c r="W2279">
        <v>0.1851545</v>
      </c>
      <c r="X2279">
        <v>0.97051339999999997</v>
      </c>
      <c r="Y2279">
        <v>-0.23160649999999999</v>
      </c>
      <c r="Z2279">
        <v>7.2277369999999994E-2</v>
      </c>
      <c r="AA2279">
        <v>0.97012080000000001</v>
      </c>
      <c r="AB2279">
        <v>27</v>
      </c>
      <c r="AC2279">
        <v>9.5173000000000307</v>
      </c>
      <c r="AD2279">
        <v>-1.0365376900000001</v>
      </c>
      <c r="AE2279">
        <v>-6.4933999999999799</v>
      </c>
      <c r="AF2279">
        <v>-2.7311286041641298</v>
      </c>
      <c r="AG2279">
        <v>-1.0365376900000001</v>
      </c>
      <c r="AH2279">
        <v>11.097800161126401</v>
      </c>
      <c r="AI2279">
        <v>95.182221508084297</v>
      </c>
      <c r="AJ2279">
        <v>103.825547239363</v>
      </c>
      <c r="AK2279">
        <v>11.475828608495799</v>
      </c>
      <c r="AL2279">
        <v>79.329859586182195</v>
      </c>
      <c r="AM2279">
        <v>99.036162806044203</v>
      </c>
      <c r="AN2279">
        <v>0.99999998157532399</v>
      </c>
    </row>
    <row r="2280" spans="1:40" x14ac:dyDescent="0.25">
      <c r="A2280" t="str">
        <f>"20190312172702366"</f>
        <v>20190312172702366</v>
      </c>
      <c r="B2280" t="str">
        <f>"1552382822361324"</f>
        <v>1552382822361324</v>
      </c>
      <c r="C2280" t="s">
        <v>40</v>
      </c>
      <c r="D2280">
        <v>3.1355179999999998</v>
      </c>
      <c r="E2280">
        <v>0.47019670000000002</v>
      </c>
      <c r="F2280" t="s">
        <v>47</v>
      </c>
      <c r="G2280">
        <v>-476.7296</v>
      </c>
      <c r="H2280">
        <v>8.0000180000000004E-2</v>
      </c>
      <c r="I2280">
        <v>220.0967</v>
      </c>
      <c r="J2280">
        <v>-486.28269999999998</v>
      </c>
      <c r="K2280">
        <v>1.11632</v>
      </c>
      <c r="L2280">
        <v>226.50059999999999</v>
      </c>
      <c r="M2280">
        <v>0.6736721</v>
      </c>
      <c r="N2280">
        <v>0</v>
      </c>
      <c r="O2280">
        <v>-0.73889459999999996</v>
      </c>
      <c r="P2280">
        <v>0.76744809999999997</v>
      </c>
      <c r="Q2280">
        <v>0.17462469999999999</v>
      </c>
      <c r="R2280">
        <v>-0.61687099999999995</v>
      </c>
      <c r="S2280">
        <v>2.5720209999999999</v>
      </c>
      <c r="T2280">
        <v>-0.27350469999999999</v>
      </c>
      <c r="U2280">
        <v>-1.74330099999999</v>
      </c>
      <c r="V2280">
        <v>-0.15430940000000001</v>
      </c>
      <c r="W2280">
        <v>0.18610699999999999</v>
      </c>
      <c r="X2280">
        <v>0.97033639999999999</v>
      </c>
      <c r="Y2280">
        <v>-0.23084589999999999</v>
      </c>
      <c r="Z2280">
        <v>7.1782700000000005E-2</v>
      </c>
      <c r="AA2280">
        <v>0.97033879999999995</v>
      </c>
      <c r="AB2280">
        <v>27</v>
      </c>
      <c r="AC2280">
        <v>9.5530999999999704</v>
      </c>
      <c r="AD2280">
        <v>-1.0363198199999999</v>
      </c>
      <c r="AE2280">
        <v>-6.4038999999999904</v>
      </c>
      <c r="AF2280">
        <v>-2.7227735370669199</v>
      </c>
      <c r="AG2280">
        <v>-1.0363198199999999</v>
      </c>
      <c r="AH2280">
        <v>11.078633521834201</v>
      </c>
      <c r="AI2280">
        <v>95.190446045223297</v>
      </c>
      <c r="AJ2280">
        <v>103.807804422321</v>
      </c>
      <c r="AK2280">
        <v>11.4552859071516</v>
      </c>
      <c r="AL2280">
        <v>79.274319902139098</v>
      </c>
      <c r="AM2280">
        <v>99.035894926540394</v>
      </c>
      <c r="AN2280">
        <v>0.99999996777115896</v>
      </c>
    </row>
    <row r="2281" spans="1:40" x14ac:dyDescent="0.25">
      <c r="A2281" t="str">
        <f>"20190312172702390"</f>
        <v>20190312172702390</v>
      </c>
      <c r="B2281" t="str">
        <f>"1552382822381820"</f>
        <v>1552382822381820</v>
      </c>
      <c r="C2281" t="s">
        <v>40</v>
      </c>
      <c r="D2281">
        <v>3.2722829999999998</v>
      </c>
      <c r="E2281">
        <v>0.47084579999999998</v>
      </c>
      <c r="F2281" t="s">
        <v>47</v>
      </c>
      <c r="G2281">
        <v>-476.62110000000001</v>
      </c>
      <c r="H2281">
        <v>8.0000199999999994E-2</v>
      </c>
      <c r="I2281">
        <v>220.0573</v>
      </c>
      <c r="J2281">
        <v>-486.08530000000002</v>
      </c>
      <c r="K2281">
        <v>1.1161000000000001</v>
      </c>
      <c r="L2281">
        <v>226.29769999999999</v>
      </c>
      <c r="M2281">
        <v>0.67975410000000003</v>
      </c>
      <c r="N2281">
        <v>0</v>
      </c>
      <c r="O2281">
        <v>-0.73330390000000001</v>
      </c>
      <c r="P2281">
        <v>0.77234969999999903</v>
      </c>
      <c r="Q2281">
        <v>0.1757802</v>
      </c>
      <c r="R2281">
        <v>-0.61039109999999996</v>
      </c>
      <c r="S2281">
        <v>2.5859380000000001</v>
      </c>
      <c r="T2281">
        <v>-0.27737319999999999</v>
      </c>
      <c r="U2281">
        <v>-1.724548</v>
      </c>
      <c r="V2281">
        <v>-0.15418189999999901</v>
      </c>
      <c r="W2281">
        <v>0.18730910000000001</v>
      </c>
      <c r="X2281">
        <v>0.97012540000000003</v>
      </c>
      <c r="Y2281">
        <v>-0.23003270000000001</v>
      </c>
      <c r="Z2281">
        <v>7.2308230000000001E-2</v>
      </c>
      <c r="AA2281">
        <v>0.97049289999999999</v>
      </c>
      <c r="AB2281">
        <v>27</v>
      </c>
      <c r="AC2281">
        <v>9.4641999999999999</v>
      </c>
      <c r="AD2281">
        <v>-1.0360997999999999</v>
      </c>
      <c r="AE2281">
        <v>-6.2403999999999904</v>
      </c>
      <c r="AF2281">
        <v>-2.6761126589402</v>
      </c>
      <c r="AG2281">
        <v>-1.0360997999999999</v>
      </c>
      <c r="AH2281">
        <v>10.919326642843901</v>
      </c>
      <c r="AI2281">
        <v>95.265470750317903</v>
      </c>
      <c r="AJ2281">
        <v>103.770644935096</v>
      </c>
      <c r="AK2281">
        <v>11.2901185154108</v>
      </c>
      <c r="AL2281">
        <v>79.204212438532494</v>
      </c>
      <c r="AM2281">
        <v>99.0304832711697</v>
      </c>
      <c r="AN2281">
        <v>1.00000002447778</v>
      </c>
    </row>
    <row r="2282" spans="1:40" x14ac:dyDescent="0.25">
      <c r="A2282" t="str">
        <f>"20190312172702432"</f>
        <v>20190312172702432</v>
      </c>
      <c r="B2282" t="str">
        <f>"1552382822420860"</f>
        <v>1552382822420860</v>
      </c>
      <c r="C2282" t="s">
        <v>40</v>
      </c>
      <c r="D2282">
        <v>3.1591010000000002</v>
      </c>
      <c r="E2282">
        <v>0.47185050000000001</v>
      </c>
      <c r="F2282" t="s">
        <v>47</v>
      </c>
      <c r="G2282">
        <v>-476.38229999999999</v>
      </c>
      <c r="H2282">
        <v>8.0000310000000005E-2</v>
      </c>
      <c r="I2282">
        <v>219.91739999999999</v>
      </c>
      <c r="J2282">
        <v>-485.72160000000002</v>
      </c>
      <c r="K2282">
        <v>1.115774</v>
      </c>
      <c r="L2282">
        <v>225.9314</v>
      </c>
      <c r="M2282">
        <v>0.69025619999999999</v>
      </c>
      <c r="N2282">
        <v>0</v>
      </c>
      <c r="O2282">
        <v>-0.72342830000000002</v>
      </c>
      <c r="P2282">
        <v>0.78062880000000001</v>
      </c>
      <c r="Q2282">
        <v>0.17659069999999999</v>
      </c>
      <c r="R2282">
        <v>-0.59952899999999998</v>
      </c>
      <c r="S2282">
        <v>2.5975649999999999</v>
      </c>
      <c r="T2282">
        <v>-0.27737240000000002</v>
      </c>
      <c r="U2282">
        <v>-1.708054</v>
      </c>
      <c r="V2282">
        <v>-0.1534865</v>
      </c>
      <c r="W2282">
        <v>0.1881948</v>
      </c>
      <c r="X2282">
        <v>0.97006420000000004</v>
      </c>
      <c r="Y2282">
        <v>-0.2223454</v>
      </c>
      <c r="Z2282">
        <v>7.1280769999999993E-2</v>
      </c>
      <c r="AA2282">
        <v>0.97235879999999997</v>
      </c>
      <c r="AB2282">
        <v>27</v>
      </c>
      <c r="AC2282">
        <v>9.3393000000000299</v>
      </c>
      <c r="AD2282">
        <v>-1.0357736900000001</v>
      </c>
      <c r="AE2282">
        <v>-6.0140000000000002</v>
      </c>
      <c r="AF2282">
        <v>-2.5829136355434401</v>
      </c>
      <c r="AG2282">
        <v>-1.0357736900000001</v>
      </c>
      <c r="AH2282">
        <v>10.705199003796</v>
      </c>
      <c r="AI2282">
        <v>95.3731648897962</v>
      </c>
      <c r="AJ2282">
        <v>103.5648714499</v>
      </c>
      <c r="AK2282">
        <v>11.0609925276373</v>
      </c>
      <c r="AL2282">
        <v>79.152546173214702</v>
      </c>
      <c r="AM2282">
        <v>98.990978134361299</v>
      </c>
      <c r="AN2282">
        <v>0.99999997027546395</v>
      </c>
    </row>
    <row r="2283" spans="1:40" x14ac:dyDescent="0.25">
      <c r="A2283" t="str">
        <f>"20190312172702454"</f>
        <v>20190312172702454</v>
      </c>
      <c r="B2283" t="str">
        <f>"1552382822451695"</f>
        <v>1552382822451695</v>
      </c>
      <c r="C2283" t="s">
        <v>40</v>
      </c>
      <c r="D2283">
        <v>3.159535</v>
      </c>
      <c r="E2283">
        <v>0.47955239999999999</v>
      </c>
      <c r="F2283" t="s">
        <v>47</v>
      </c>
      <c r="G2283">
        <v>-476.14229999999998</v>
      </c>
      <c r="H2283">
        <v>8.0000409999999994E-2</v>
      </c>
      <c r="I2283">
        <v>219.78700000000001</v>
      </c>
      <c r="J2283">
        <v>-485.53500000000003</v>
      </c>
      <c r="K2283">
        <v>1.115648</v>
      </c>
      <c r="L2283">
        <v>225.7473</v>
      </c>
      <c r="M2283">
        <v>0.6953608</v>
      </c>
      <c r="N2283">
        <v>0</v>
      </c>
      <c r="O2283">
        <v>-0.71852360000000004</v>
      </c>
      <c r="P2283">
        <v>0.78449469999999899</v>
      </c>
      <c r="Q2283">
        <v>0.176294799999999</v>
      </c>
      <c r="R2283">
        <v>-0.59454890000000005</v>
      </c>
      <c r="S2283">
        <v>2.6176149999999998</v>
      </c>
      <c r="T2283">
        <v>-0.28303529999999999</v>
      </c>
      <c r="U2283">
        <v>-1.6790309999999999</v>
      </c>
      <c r="V2283">
        <v>-0.15277550000000001</v>
      </c>
      <c r="W2283">
        <v>0.1879316</v>
      </c>
      <c r="X2283">
        <v>0.97022750000000002</v>
      </c>
      <c r="Y2283">
        <v>-0.22635839999999999</v>
      </c>
      <c r="Z2283">
        <v>7.2444090000000003E-2</v>
      </c>
      <c r="AA2283">
        <v>0.97134640000000005</v>
      </c>
      <c r="AB2283">
        <v>27</v>
      </c>
      <c r="AC2283">
        <v>9.3927000000000405</v>
      </c>
      <c r="AD2283">
        <v>-1.03564759</v>
      </c>
      <c r="AE2283">
        <v>-5.9602999999999797</v>
      </c>
      <c r="AF2283">
        <v>-2.58219370598386</v>
      </c>
      <c r="AG2283">
        <v>-1.03564759</v>
      </c>
      <c r="AH2283">
        <v>10.7220661826137</v>
      </c>
      <c r="AI2283">
        <v>95.364654976863207</v>
      </c>
      <c r="AJ2283">
        <v>103.54068274924199</v>
      </c>
      <c r="AK2283">
        <v>11.0771383258604</v>
      </c>
      <c r="AL2283">
        <v>79.167900942265106</v>
      </c>
      <c r="AM2283">
        <v>98.948522698674495</v>
      </c>
      <c r="AN2283">
        <v>1.0000000207175199</v>
      </c>
    </row>
    <row r="2284" spans="1:40" x14ac:dyDescent="0.25">
      <c r="A2284" t="str">
        <f>"20190312172702477"</f>
        <v>20190312172702477</v>
      </c>
      <c r="B2284" t="str">
        <f>"1552382822471215"</f>
        <v>1552382822471215</v>
      </c>
      <c r="C2284" t="s">
        <v>40</v>
      </c>
      <c r="D2284">
        <v>3.2132459999999998</v>
      </c>
      <c r="E2284">
        <v>0.48007759999999999</v>
      </c>
      <c r="F2284" t="s">
        <v>47</v>
      </c>
      <c r="G2284">
        <v>-477.1506</v>
      </c>
      <c r="H2284">
        <v>8.0000269999999998E-2</v>
      </c>
      <c r="I2284">
        <v>220.2182</v>
      </c>
      <c r="J2284">
        <v>-485.34089999999998</v>
      </c>
      <c r="K2284">
        <v>1.115545</v>
      </c>
      <c r="L2284">
        <v>225.5582</v>
      </c>
      <c r="M2284">
        <v>0.700515</v>
      </c>
      <c r="N2284">
        <v>0</v>
      </c>
      <c r="O2284">
        <v>-0.71350000000000002</v>
      </c>
      <c r="P2284">
        <v>0.78819169999999905</v>
      </c>
      <c r="Q2284">
        <v>0.17630989999999999</v>
      </c>
      <c r="R2284">
        <v>-0.58963449999999995</v>
      </c>
      <c r="S2284">
        <v>2.5979000000000001</v>
      </c>
      <c r="T2284">
        <v>-0.32089289999999998</v>
      </c>
      <c r="U2284">
        <v>-1.7131959999999999</v>
      </c>
      <c r="V2284">
        <v>-0.15180260000000001</v>
      </c>
      <c r="W2284">
        <v>0.18797459999999999</v>
      </c>
      <c r="X2284">
        <v>0.97037180000000001</v>
      </c>
      <c r="Y2284">
        <v>-0.2062389</v>
      </c>
      <c r="Z2284">
        <v>8.0803630000000001E-2</v>
      </c>
      <c r="AA2284">
        <v>0.97515960000000002</v>
      </c>
      <c r="AB2284">
        <v>27</v>
      </c>
      <c r="AC2284">
        <v>8.1902999999999793</v>
      </c>
      <c r="AD2284">
        <v>-1.03554473</v>
      </c>
      <c r="AE2284">
        <v>-5.34</v>
      </c>
      <c r="AF2284">
        <v>-2.0799043068327401</v>
      </c>
      <c r="AG2284">
        <v>-1.03554473</v>
      </c>
      <c r="AH2284">
        <v>9.4425346912712893</v>
      </c>
      <c r="AI2284">
        <v>96.113113664721496</v>
      </c>
      <c r="AJ2284">
        <v>102.42215711700101</v>
      </c>
      <c r="AK2284">
        <v>9.7241871747346504</v>
      </c>
      <c r="AL2284">
        <v>79.165391797212706</v>
      </c>
      <c r="AM2284">
        <v>98.891149327287195</v>
      </c>
      <c r="AN2284">
        <v>0.99999995492357896</v>
      </c>
    </row>
    <row r="2285" spans="1:40" x14ac:dyDescent="0.25">
      <c r="A2285" t="str">
        <f>"20190312172702500"</f>
        <v>20190312172702500</v>
      </c>
      <c r="B2285" t="str">
        <f>"1552382822491711"</f>
        <v>1552382822491711</v>
      </c>
      <c r="C2285" t="s">
        <v>40</v>
      </c>
      <c r="D2285">
        <v>3.2998099999999999</v>
      </c>
      <c r="E2285">
        <v>0.48381279999999999</v>
      </c>
      <c r="F2285" t="s">
        <v>47</v>
      </c>
      <c r="G2285">
        <v>-476.90260000000001</v>
      </c>
      <c r="H2285">
        <v>8.0000219999999997E-2</v>
      </c>
      <c r="I2285">
        <v>220.0564</v>
      </c>
      <c r="J2285">
        <v>-485.13740000000001</v>
      </c>
      <c r="K2285">
        <v>1.115445</v>
      </c>
      <c r="L2285">
        <v>225.36269999999999</v>
      </c>
      <c r="M2285">
        <v>0.70575980000000005</v>
      </c>
      <c r="N2285">
        <v>0</v>
      </c>
      <c r="O2285">
        <v>-0.70831279999999996</v>
      </c>
      <c r="P2285">
        <v>0.79200569999999904</v>
      </c>
      <c r="Q2285">
        <v>0.176485999999999</v>
      </c>
      <c r="R2285">
        <v>-0.58444799999999997</v>
      </c>
      <c r="S2285">
        <v>2.6063839999999998</v>
      </c>
      <c r="T2285">
        <v>-0.31985659999999999</v>
      </c>
      <c r="U2285">
        <v>-1.6994020000000001</v>
      </c>
      <c r="V2285">
        <v>-0.15094060000000001</v>
      </c>
      <c r="W2285">
        <v>0.18817410000000001</v>
      </c>
      <c r="X2285">
        <v>0.97046759999999999</v>
      </c>
      <c r="Y2285">
        <v>-0.20414599999999999</v>
      </c>
      <c r="Z2285">
        <v>8.0004679999999995E-2</v>
      </c>
      <c r="AA2285">
        <v>0.97566569999999997</v>
      </c>
      <c r="AB2285">
        <v>27</v>
      </c>
      <c r="AC2285">
        <v>8.2347999999999999</v>
      </c>
      <c r="AD2285">
        <v>-1.03544478</v>
      </c>
      <c r="AE2285">
        <v>-5.3062999999999896</v>
      </c>
      <c r="AF2285">
        <v>-2.06497619443974</v>
      </c>
      <c r="AG2285">
        <v>-1.03544478</v>
      </c>
      <c r="AH2285">
        <v>9.4655025145587093</v>
      </c>
      <c r="AI2285">
        <v>96.100481541003504</v>
      </c>
      <c r="AJ2285">
        <v>102.306719478902</v>
      </c>
      <c r="AK2285">
        <v>9.7433059291571702</v>
      </c>
      <c r="AL2285">
        <v>79.153753654486096</v>
      </c>
      <c r="AM2285">
        <v>98.840602484542401</v>
      </c>
      <c r="AN2285">
        <v>0.99999995964446398</v>
      </c>
    </row>
    <row r="2286" spans="1:40" x14ac:dyDescent="0.25">
      <c r="A2286" t="str">
        <f>"20190312172702520"</f>
        <v>20190312172702520</v>
      </c>
      <c r="B2286" t="str">
        <f>"1552382822511231"</f>
        <v>1552382822511231</v>
      </c>
      <c r="C2286" t="s">
        <v>40</v>
      </c>
      <c r="D2286">
        <v>3.263868</v>
      </c>
      <c r="E2286">
        <v>0.48431940000000001</v>
      </c>
      <c r="F2286" t="s">
        <v>47</v>
      </c>
      <c r="G2286">
        <v>-477.29969999999997</v>
      </c>
      <c r="H2286">
        <v>8.0000249999999995E-2</v>
      </c>
      <c r="I2286">
        <v>220.22569999999999</v>
      </c>
      <c r="J2286">
        <v>-484.9529</v>
      </c>
      <c r="K2286">
        <v>1.1153709999999999</v>
      </c>
      <c r="L2286">
        <v>225.18780000000001</v>
      </c>
      <c r="M2286">
        <v>0.71039339999999995</v>
      </c>
      <c r="N2286">
        <v>0</v>
      </c>
      <c r="O2286">
        <v>-0.70366629999999997</v>
      </c>
      <c r="P2286">
        <v>0.79557900000000004</v>
      </c>
      <c r="Q2286">
        <v>0.1758921</v>
      </c>
      <c r="R2286">
        <v>-0.57975569999999998</v>
      </c>
      <c r="S2286">
        <v>2.6046749999999999</v>
      </c>
      <c r="T2286">
        <v>-0.34410659999999998</v>
      </c>
      <c r="U2286">
        <v>-1.707184</v>
      </c>
      <c r="V2286">
        <v>-0.15035499999999999</v>
      </c>
      <c r="W2286">
        <v>0.18759899999999999</v>
      </c>
      <c r="X2286">
        <v>0.97066989999999997</v>
      </c>
      <c r="Y2286">
        <v>-0.19485849999999999</v>
      </c>
      <c r="Z2286">
        <v>8.5109959999999998E-2</v>
      </c>
      <c r="AA2286">
        <v>0.97713179999999999</v>
      </c>
      <c r="AB2286">
        <v>27</v>
      </c>
      <c r="AC2286">
        <v>7.6532000000000204</v>
      </c>
      <c r="AD2286">
        <v>-1.03537074999999</v>
      </c>
      <c r="AE2286">
        <v>-4.9621000000000199</v>
      </c>
      <c r="AF2286">
        <v>-1.83676955800118</v>
      </c>
      <c r="AG2286">
        <v>-1.03537074999999</v>
      </c>
      <c r="AH2286">
        <v>8.8157210586582302</v>
      </c>
      <c r="AI2286">
        <v>96.558888321292599</v>
      </c>
      <c r="AJ2286">
        <v>101.76929181022599</v>
      </c>
      <c r="AK2286">
        <v>9.0643616864744292</v>
      </c>
      <c r="AL2286">
        <v>79.187302729715796</v>
      </c>
      <c r="AM2286">
        <v>98.805035860676</v>
      </c>
      <c r="AN2286">
        <v>1.0000000327959999</v>
      </c>
    </row>
    <row r="2287" spans="1:40" x14ac:dyDescent="0.25">
      <c r="A2287" t="str">
        <f>"20190312172702543"</f>
        <v>20190312172702543</v>
      </c>
      <c r="B2287" t="str">
        <f>"1552382822531727"</f>
        <v>1552382822531727</v>
      </c>
      <c r="C2287" t="s">
        <v>40</v>
      </c>
      <c r="D2287">
        <v>3.3780600000000001</v>
      </c>
      <c r="E2287">
        <v>0.48501280000000002</v>
      </c>
      <c r="F2287" t="s">
        <v>47</v>
      </c>
      <c r="G2287">
        <v>-477.11869999999999</v>
      </c>
      <c r="H2287">
        <v>8.0000189999999999E-2</v>
      </c>
      <c r="I2287">
        <v>220.1071</v>
      </c>
      <c r="J2287">
        <v>-484.75979999999998</v>
      </c>
      <c r="K2287">
        <v>1.115289</v>
      </c>
      <c r="L2287">
        <v>225.00710000000001</v>
      </c>
      <c r="M2287">
        <v>0.71514089999999997</v>
      </c>
      <c r="N2287">
        <v>0</v>
      </c>
      <c r="O2287">
        <v>-0.69884119999999905</v>
      </c>
      <c r="P2287">
        <v>0.79941809999999902</v>
      </c>
      <c r="Q2287">
        <v>0.17540449999999999</v>
      </c>
      <c r="R2287">
        <v>-0.57459930000000004</v>
      </c>
      <c r="S2287">
        <v>2.612457</v>
      </c>
      <c r="T2287">
        <v>-0.34526069999999998</v>
      </c>
      <c r="U2287">
        <v>-1.6942600000000001</v>
      </c>
      <c r="V2287">
        <v>-0.150092</v>
      </c>
      <c r="W2287">
        <v>0.18712409999999999</v>
      </c>
      <c r="X2287">
        <v>0.97080219999999995</v>
      </c>
      <c r="Y2287">
        <v>-0.19295129999999999</v>
      </c>
      <c r="Z2287">
        <v>8.4850529999999993E-2</v>
      </c>
      <c r="AA2287">
        <v>0.97753270000000003</v>
      </c>
      <c r="AB2287">
        <v>27</v>
      </c>
      <c r="AC2287">
        <v>7.64109999999999</v>
      </c>
      <c r="AD2287">
        <v>-1.0352888099999999</v>
      </c>
      <c r="AE2287">
        <v>-4.9000000000000004</v>
      </c>
      <c r="AF2287">
        <v>-1.81232860648576</v>
      </c>
      <c r="AG2287">
        <v>-1.0352888099999999</v>
      </c>
      <c r="AH2287">
        <v>8.7754966681527904</v>
      </c>
      <c r="AI2287">
        <v>96.590549051866503</v>
      </c>
      <c r="AJ2287">
        <v>101.668760053965</v>
      </c>
      <c r="AK2287">
        <v>9.0202937685398403</v>
      </c>
      <c r="AL2287">
        <v>79.215002401573102</v>
      </c>
      <c r="AM2287">
        <v>98.788695702326194</v>
      </c>
      <c r="AN2287">
        <v>0.99999997439482402</v>
      </c>
    </row>
    <row r="2288" spans="1:40" x14ac:dyDescent="0.25">
      <c r="A2288" t="str">
        <f>"20190312172702566"</f>
        <v>20190312172702566</v>
      </c>
      <c r="B2288" t="str">
        <f>"1552382822561013"</f>
        <v>1552382822561013</v>
      </c>
      <c r="C2288" t="s">
        <v>40</v>
      </c>
      <c r="D2288">
        <v>3.1614559999999998</v>
      </c>
      <c r="E2288">
        <v>0.48600120000000002</v>
      </c>
      <c r="F2288" t="s">
        <v>47</v>
      </c>
      <c r="G2288">
        <v>-476.95359999999999</v>
      </c>
      <c r="H2288">
        <v>8.0000249999999995E-2</v>
      </c>
      <c r="I2288">
        <v>219.9975</v>
      </c>
      <c r="J2288">
        <v>-484.55329999999998</v>
      </c>
      <c r="K2288">
        <v>1.115219</v>
      </c>
      <c r="L2288">
        <v>224.81630000000001</v>
      </c>
      <c r="M2288">
        <v>0.72011689999999995</v>
      </c>
      <c r="N2288">
        <v>0</v>
      </c>
      <c r="O2288">
        <v>-0.69371319999999903</v>
      </c>
      <c r="P2288">
        <v>0.80307340000000005</v>
      </c>
      <c r="Q2288">
        <v>0.1754482</v>
      </c>
      <c r="R2288">
        <v>-0.56946609999999998</v>
      </c>
      <c r="S2288">
        <v>2.6202999999999999</v>
      </c>
      <c r="T2288">
        <v>-0.34751270000000001</v>
      </c>
      <c r="U2288">
        <v>-1.6815340000000001</v>
      </c>
      <c r="V2288">
        <v>-0.149334299999999</v>
      </c>
      <c r="W2288">
        <v>0.1871845</v>
      </c>
      <c r="X2288">
        <v>0.97090739999999998</v>
      </c>
      <c r="Y2288">
        <v>-0.1906108</v>
      </c>
      <c r="Z2288">
        <v>8.4796750000000004E-2</v>
      </c>
      <c r="AA2288">
        <v>0.97799639999999999</v>
      </c>
      <c r="AB2288">
        <v>27</v>
      </c>
      <c r="AC2288">
        <v>7.5996999999999799</v>
      </c>
      <c r="AD2288">
        <v>-1.0352187500000001</v>
      </c>
      <c r="AE2288">
        <v>-4.8188000000000004</v>
      </c>
      <c r="AF2288">
        <v>-1.7785492287409701</v>
      </c>
      <c r="AG2288">
        <v>-1.0352187500000001</v>
      </c>
      <c r="AH2288">
        <v>8.70123503371717</v>
      </c>
      <c r="AI2288">
        <v>96.648602614493896</v>
      </c>
      <c r="AJ2288">
        <v>101.552237424829</v>
      </c>
      <c r="AK2288">
        <v>8.9412754309099398</v>
      </c>
      <c r="AL2288">
        <v>79.211479492653297</v>
      </c>
      <c r="AM2288">
        <v>98.744082926291497</v>
      </c>
      <c r="AN2288">
        <v>0.99999997478574898</v>
      </c>
    </row>
    <row r="2289" spans="1:40" x14ac:dyDescent="0.25">
      <c r="A2289" t="str">
        <f>"20190312172702589"</f>
        <v>20190312172702589</v>
      </c>
      <c r="B2289" t="str">
        <f>"1552382822581508"</f>
        <v>1552382822581508</v>
      </c>
      <c r="C2289" t="s">
        <v>40</v>
      </c>
      <c r="D2289">
        <v>3.268157</v>
      </c>
      <c r="E2289">
        <v>0.48659530000000001</v>
      </c>
      <c r="F2289" t="s">
        <v>47</v>
      </c>
      <c r="G2289">
        <v>-476.73790000000002</v>
      </c>
      <c r="H2289">
        <v>8.0000360000000006E-2</v>
      </c>
      <c r="I2289">
        <v>219.8433</v>
      </c>
      <c r="J2289">
        <v>-484.3596</v>
      </c>
      <c r="K2289">
        <v>1.115178</v>
      </c>
      <c r="L2289">
        <v>224.63980000000001</v>
      </c>
      <c r="M2289">
        <v>0.72469719999999904</v>
      </c>
      <c r="N2289">
        <v>0</v>
      </c>
      <c r="O2289">
        <v>-0.68892699999999996</v>
      </c>
      <c r="P2289">
        <v>0.80656919999999899</v>
      </c>
      <c r="Q2289">
        <v>0.175614299999999</v>
      </c>
      <c r="R2289">
        <v>-0.56445219999999996</v>
      </c>
      <c r="S2289">
        <v>2.6265559999999999</v>
      </c>
      <c r="T2289">
        <v>-0.34790860000000001</v>
      </c>
      <c r="U2289">
        <v>-1.6712800000000001</v>
      </c>
      <c r="V2289">
        <v>-0.14890419999999999</v>
      </c>
      <c r="W2289">
        <v>0.18735830000000001</v>
      </c>
      <c r="X2289">
        <v>0.97093989999999997</v>
      </c>
      <c r="Y2289">
        <v>-0.18790409999999999</v>
      </c>
      <c r="Z2289">
        <v>8.4305019999999994E-2</v>
      </c>
      <c r="AA2289">
        <v>0.97856259999999995</v>
      </c>
      <c r="AB2289">
        <v>27</v>
      </c>
      <c r="AC2289">
        <v>7.6216999999999704</v>
      </c>
      <c r="AD2289">
        <v>-1.0351776399999999</v>
      </c>
      <c r="AE2289">
        <v>-4.7965</v>
      </c>
      <c r="AF2289">
        <v>-1.75180860123483</v>
      </c>
      <c r="AG2289">
        <v>-1.0351776399999999</v>
      </c>
      <c r="AH2289">
        <v>8.7135783314176898</v>
      </c>
      <c r="AI2289">
        <v>96.643311481240403</v>
      </c>
      <c r="AJ2289">
        <v>101.367411519374</v>
      </c>
      <c r="AK2289">
        <v>8.9480094691203895</v>
      </c>
      <c r="AL2289">
        <v>79.201341772942598</v>
      </c>
      <c r="AM2289">
        <v>98.718999155259397</v>
      </c>
      <c r="AN2289">
        <v>0.99999994138426795</v>
      </c>
    </row>
    <row r="2290" spans="1:40" x14ac:dyDescent="0.25">
      <c r="A2290" t="str">
        <f>"20190312172702613"</f>
        <v>20190312172702613</v>
      </c>
      <c r="B2290" t="str">
        <f>"1552382822611764"</f>
        <v>1552382822611764</v>
      </c>
      <c r="C2290" t="s">
        <v>40</v>
      </c>
      <c r="D2290">
        <v>3.2648280000000001</v>
      </c>
      <c r="E2290">
        <v>0.48708580000000001</v>
      </c>
      <c r="F2290" t="s">
        <v>47</v>
      </c>
      <c r="G2290">
        <v>-476.54079999999999</v>
      </c>
      <c r="H2290">
        <v>8.0000440000000006E-2</v>
      </c>
      <c r="I2290">
        <v>219.7159</v>
      </c>
      <c r="J2290">
        <v>-484.13589999999999</v>
      </c>
      <c r="K2290">
        <v>1.115151</v>
      </c>
      <c r="L2290">
        <v>224.43889999999999</v>
      </c>
      <c r="M2290">
        <v>0.72989300000000001</v>
      </c>
      <c r="N2290">
        <v>0</v>
      </c>
      <c r="O2290">
        <v>-0.68342029999999998</v>
      </c>
      <c r="P2290">
        <v>0.81058379999999997</v>
      </c>
      <c r="Q2290">
        <v>0.17531739999999901</v>
      </c>
      <c r="R2290">
        <v>-0.55876490000000001</v>
      </c>
      <c r="S2290">
        <v>2.6343990000000002</v>
      </c>
      <c r="T2290">
        <v>-0.34878409999999999</v>
      </c>
      <c r="U2290">
        <v>-1.6590119999999999</v>
      </c>
      <c r="V2290">
        <v>-0.14840519999999999</v>
      </c>
      <c r="W2290">
        <v>0.18706510000000001</v>
      </c>
      <c r="X2290">
        <v>0.97107290000000002</v>
      </c>
      <c r="Y2290">
        <v>-0.18506259999999999</v>
      </c>
      <c r="Z2290">
        <v>8.3837099999999998E-2</v>
      </c>
      <c r="AA2290">
        <v>0.97914409999999996</v>
      </c>
      <c r="AB2290">
        <v>27</v>
      </c>
      <c r="AC2290">
        <v>7.5951000000000004</v>
      </c>
      <c r="AD2290">
        <v>-1.0351505599999999</v>
      </c>
      <c r="AE2290">
        <v>-4.7229999999999803</v>
      </c>
      <c r="AF2290">
        <v>-1.72048232973978</v>
      </c>
      <c r="AG2290">
        <v>-1.0351505599999999</v>
      </c>
      <c r="AH2290">
        <v>8.6562951131621801</v>
      </c>
      <c r="AI2290">
        <v>96.689618967879099</v>
      </c>
      <c r="AJ2290">
        <v>101.241328933901</v>
      </c>
      <c r="AK2290">
        <v>8.8861150799981505</v>
      </c>
      <c r="AL2290">
        <v>79.218444072694396</v>
      </c>
      <c r="AM2290">
        <v>98.689055221491699</v>
      </c>
      <c r="AN2290">
        <v>1.00000001606973</v>
      </c>
    </row>
    <row r="2291" spans="1:40" x14ac:dyDescent="0.25">
      <c r="A2291" t="str">
        <f>"20190312172702657"</f>
        <v>20190312172702657</v>
      </c>
      <c r="B2291" t="str">
        <f>"1552382822651280"</f>
        <v>1552382822651280</v>
      </c>
      <c r="C2291" t="s">
        <v>40</v>
      </c>
      <c r="D2291">
        <v>3.2135539999999998</v>
      </c>
      <c r="E2291">
        <v>0.46170319999999998</v>
      </c>
      <c r="F2291" t="s">
        <v>47</v>
      </c>
      <c r="G2291">
        <v>-475.74689999999998</v>
      </c>
      <c r="H2291" s="1">
        <v>3.611213E-6</v>
      </c>
      <c r="I2291">
        <v>219.22059999999999</v>
      </c>
      <c r="J2291">
        <v>-483.75130000000001</v>
      </c>
      <c r="K2291">
        <v>1.1151260000000001</v>
      </c>
      <c r="L2291">
        <v>224.10040000000001</v>
      </c>
      <c r="M2291">
        <v>0.73863859999999903</v>
      </c>
      <c r="N2291">
        <v>0</v>
      </c>
      <c r="O2291">
        <v>-0.67395839999999996</v>
      </c>
      <c r="P2291">
        <v>0.81847829999999999</v>
      </c>
      <c r="Q2291">
        <v>0.1751279</v>
      </c>
      <c r="R2291">
        <v>-0.54719600000000002</v>
      </c>
      <c r="S2291">
        <v>2.6434630000000001</v>
      </c>
      <c r="T2291">
        <v>-0.35139389999999998</v>
      </c>
      <c r="U2291">
        <v>-1.644363</v>
      </c>
      <c r="V2291">
        <v>-0.14969869999999999</v>
      </c>
      <c r="W2291">
        <v>0.18684629999999999</v>
      </c>
      <c r="X2291">
        <v>0.97091649999999996</v>
      </c>
      <c r="Y2291">
        <v>-0.1778276</v>
      </c>
      <c r="Z2291">
        <v>8.3184350000000004E-2</v>
      </c>
      <c r="AA2291">
        <v>0.98053950000000001</v>
      </c>
      <c r="AB2291">
        <v>27</v>
      </c>
      <c r="AC2291">
        <v>8.0044000000000306</v>
      </c>
      <c r="AD2291">
        <v>-1.1151223887870001</v>
      </c>
      <c r="AE2291">
        <v>-4.8798000000000101</v>
      </c>
      <c r="AF2291">
        <v>-1.7654170869593699</v>
      </c>
      <c r="AG2291">
        <v>-1.1151223887870001</v>
      </c>
      <c r="AH2291">
        <v>9.0736420528695803</v>
      </c>
      <c r="AI2291">
        <v>96.878622550797004</v>
      </c>
      <c r="AJ2291">
        <v>101.010220239443</v>
      </c>
      <c r="AK2291">
        <v>9.3108096069302899</v>
      </c>
      <c r="AL2291">
        <v>79.231205710661797</v>
      </c>
      <c r="AM2291">
        <v>98.765008087623997</v>
      </c>
      <c r="AN2291">
        <v>1.00000004528881</v>
      </c>
    </row>
    <row r="2292" spans="1:40" x14ac:dyDescent="0.25">
      <c r="A2292" t="str">
        <f>"20190312172702677"</f>
        <v>20190312172702677</v>
      </c>
      <c r="B2292" t="str">
        <f>"1552382822670800"</f>
        <v>1552382822670800</v>
      </c>
      <c r="C2292" t="s">
        <v>40</v>
      </c>
      <c r="D2292">
        <v>3.0337749999999999</v>
      </c>
      <c r="E2292">
        <v>0.46023229999999998</v>
      </c>
      <c r="F2292" t="s">
        <v>47</v>
      </c>
      <c r="G2292">
        <v>-473.142</v>
      </c>
      <c r="H2292" s="1">
        <v>4.7389770000000003E-6</v>
      </c>
      <c r="I2292">
        <v>218.59399999999999</v>
      </c>
      <c r="J2292">
        <v>-483.5598</v>
      </c>
      <c r="K2292">
        <v>1.115119</v>
      </c>
      <c r="L2292">
        <v>223.93520000000001</v>
      </c>
      <c r="M2292">
        <v>0.74291490000000004</v>
      </c>
      <c r="N2292">
        <v>0</v>
      </c>
      <c r="O2292">
        <v>-0.66924209999999995</v>
      </c>
      <c r="P2292">
        <v>0.8224321</v>
      </c>
      <c r="Q2292">
        <v>0.1756876</v>
      </c>
      <c r="R2292">
        <v>-0.54105369999999997</v>
      </c>
      <c r="S2292">
        <v>2.767334</v>
      </c>
      <c r="T2292">
        <v>-0.29086849999999997</v>
      </c>
      <c r="U2292">
        <v>-1.43631</v>
      </c>
      <c r="V2292">
        <v>-0.1507107</v>
      </c>
      <c r="W2292">
        <v>0.18738450000000001</v>
      </c>
      <c r="X2292">
        <v>0.97065619999999997</v>
      </c>
      <c r="Y2292">
        <v>-0.24851239999999999</v>
      </c>
      <c r="Z2292">
        <v>7.0981349999999999E-2</v>
      </c>
      <c r="AA2292">
        <v>0.96602449999999995</v>
      </c>
      <c r="AB2292">
        <v>27</v>
      </c>
      <c r="AC2292">
        <v>10.4178</v>
      </c>
      <c r="AD2292">
        <v>-1.115114261023</v>
      </c>
      <c r="AE2292">
        <v>-5.3411999999999802</v>
      </c>
      <c r="AF2292">
        <v>-2.9772510275052899</v>
      </c>
      <c r="AG2292">
        <v>-1.115114261023</v>
      </c>
      <c r="AH2292">
        <v>11.213448661993899</v>
      </c>
      <c r="AI2292">
        <v>95.490079894220997</v>
      </c>
      <c r="AJ2292">
        <v>104.86937563596</v>
      </c>
      <c r="AK2292">
        <v>11.6554251055503</v>
      </c>
      <c r="AL2292">
        <v>79.199814878657307</v>
      </c>
      <c r="AM2292">
        <v>98.825661287896295</v>
      </c>
      <c r="AN2292">
        <v>1.0000000622665799</v>
      </c>
    </row>
    <row r="2293" spans="1:40" x14ac:dyDescent="0.25">
      <c r="A2293" t="str">
        <f>"20190312172702700"</f>
        <v>20190312172702700</v>
      </c>
      <c r="B2293" t="str">
        <f>"1552382822691295"</f>
        <v>1552382822691295</v>
      </c>
      <c r="C2293" t="s">
        <v>40</v>
      </c>
      <c r="D2293">
        <v>3.2161680000000001</v>
      </c>
      <c r="E2293">
        <v>0.45980690000000002</v>
      </c>
      <c r="F2293" t="s">
        <v>47</v>
      </c>
      <c r="G2293">
        <v>-472.67970000000003</v>
      </c>
      <c r="H2293" s="1">
        <v>4.9372449999999997E-6</v>
      </c>
      <c r="I2293">
        <v>218.43969999999999</v>
      </c>
      <c r="J2293">
        <v>-483.35939999999999</v>
      </c>
      <c r="K2293">
        <v>1.115113</v>
      </c>
      <c r="L2293">
        <v>223.7645</v>
      </c>
      <c r="M2293">
        <v>0.74733660000000002</v>
      </c>
      <c r="N2293">
        <v>0</v>
      </c>
      <c r="O2293">
        <v>-0.66430129999999998</v>
      </c>
      <c r="P2293">
        <v>0.82671709999999998</v>
      </c>
      <c r="Q2293">
        <v>0.17623039999999901</v>
      </c>
      <c r="R2293">
        <v>-0.53430549999999999</v>
      </c>
      <c r="S2293">
        <v>2.7836609999999999</v>
      </c>
      <c r="T2293">
        <v>-0.28530119999999998</v>
      </c>
      <c r="U2293">
        <v>-1.4060060000000001</v>
      </c>
      <c r="V2293">
        <v>-0.1521477</v>
      </c>
      <c r="W2293">
        <v>0.1878997</v>
      </c>
      <c r="X2293">
        <v>0.97033230000000004</v>
      </c>
      <c r="Y2293">
        <v>-0.25288240000000001</v>
      </c>
      <c r="Z2293">
        <v>6.937227E-2</v>
      </c>
      <c r="AA2293">
        <v>0.9650067</v>
      </c>
      <c r="AB2293">
        <v>27</v>
      </c>
      <c r="AC2293">
        <v>10.679699999999899</v>
      </c>
      <c r="AD2293">
        <v>-1.1151080627550001</v>
      </c>
      <c r="AE2293">
        <v>-5.3247999999999998</v>
      </c>
      <c r="AF2293">
        <v>-3.0884522306653799</v>
      </c>
      <c r="AG2293">
        <v>-1.1151080627550001</v>
      </c>
      <c r="AH2293">
        <v>11.419991912337</v>
      </c>
      <c r="AI2293">
        <v>95.384736869586106</v>
      </c>
      <c r="AJ2293">
        <v>105.13320818666701</v>
      </c>
      <c r="AK2293">
        <v>11.882685658156801</v>
      </c>
      <c r="AL2293">
        <v>79.169761559678093</v>
      </c>
      <c r="AM2293">
        <v>98.911394909133506</v>
      </c>
      <c r="AN2293">
        <v>0.99999999614933499</v>
      </c>
    </row>
    <row r="2294" spans="1:40" x14ac:dyDescent="0.25">
      <c r="A2294" t="str">
        <f>"20190312172702724"</f>
        <v>20190312172702724</v>
      </c>
      <c r="B2294" t="str">
        <f>"1552382822710816"</f>
        <v>1552382822710816</v>
      </c>
      <c r="C2294" t="s">
        <v>40</v>
      </c>
      <c r="D2294">
        <v>3.2466699999999999</v>
      </c>
      <c r="E2294">
        <v>0.45956000000000002</v>
      </c>
      <c r="F2294" t="s">
        <v>47</v>
      </c>
      <c r="G2294">
        <v>-472.28910000000002</v>
      </c>
      <c r="H2294" s="1">
        <v>5.1043859999999998E-6</v>
      </c>
      <c r="I2294">
        <v>218.30119999999999</v>
      </c>
      <c r="J2294">
        <v>-483.14179999999999</v>
      </c>
      <c r="K2294">
        <v>1.1151089999999999</v>
      </c>
      <c r="L2294">
        <v>223.58160000000001</v>
      </c>
      <c r="M2294">
        <v>0.75208030000000003</v>
      </c>
      <c r="N2294">
        <v>0</v>
      </c>
      <c r="O2294">
        <v>-0.65892609999999996</v>
      </c>
      <c r="P2294">
        <v>0.83129489999999995</v>
      </c>
      <c r="Q2294">
        <v>0.1761453</v>
      </c>
      <c r="R2294">
        <v>-0.527182699999999</v>
      </c>
      <c r="S2294">
        <v>2.7968139999999999</v>
      </c>
      <c r="T2294">
        <v>-0.28172170000000002</v>
      </c>
      <c r="U2294">
        <v>-1.3802639999999999</v>
      </c>
      <c r="V2294">
        <v>-0.1535366</v>
      </c>
      <c r="W2294">
        <v>0.1877896</v>
      </c>
      <c r="X2294">
        <v>0.97013479999999996</v>
      </c>
      <c r="Y2294">
        <v>-0.2549845</v>
      </c>
      <c r="Z2294">
        <v>6.81475E-2</v>
      </c>
      <c r="AA2294">
        <v>0.96454070000000003</v>
      </c>
      <c r="AB2294">
        <v>27</v>
      </c>
      <c r="AC2294">
        <v>10.852699999999899</v>
      </c>
      <c r="AD2294">
        <v>-1.11510389561399</v>
      </c>
      <c r="AE2294">
        <v>-5.28040000000001</v>
      </c>
      <c r="AF2294">
        <v>-3.15322966016506</v>
      </c>
      <c r="AG2294">
        <v>-1.11510389561399</v>
      </c>
      <c r="AH2294">
        <v>11.5440649861069</v>
      </c>
      <c r="AI2294">
        <v>95.323553376914603</v>
      </c>
      <c r="AJ2294">
        <v>105.27751360064801</v>
      </c>
      <c r="AK2294">
        <v>12.018808193461499</v>
      </c>
      <c r="AL2294">
        <v>79.176183932219203</v>
      </c>
      <c r="AM2294">
        <v>98.993221126104501</v>
      </c>
      <c r="AN2294">
        <v>0.99999997578937905</v>
      </c>
    </row>
    <row r="2295" spans="1:40" x14ac:dyDescent="0.25">
      <c r="A2295" t="str">
        <f>"20190312172702745"</f>
        <v>20190312172702745</v>
      </c>
      <c r="B2295" t="str">
        <f>"1552382822741580"</f>
        <v>1552382822741580</v>
      </c>
      <c r="C2295" t="s">
        <v>40</v>
      </c>
      <c r="D2295">
        <v>3.220364</v>
      </c>
      <c r="E2295">
        <v>0.45921000000000001</v>
      </c>
      <c r="F2295" t="s">
        <v>47</v>
      </c>
      <c r="G2295">
        <v>-471.93189999999998</v>
      </c>
      <c r="H2295" s="1">
        <v>5.257266E-6</v>
      </c>
      <c r="I2295">
        <v>218.17519999999999</v>
      </c>
      <c r="J2295">
        <v>-482.94420000000002</v>
      </c>
      <c r="K2295">
        <v>1.1151009999999999</v>
      </c>
      <c r="L2295">
        <v>223.4179</v>
      </c>
      <c r="M2295">
        <v>0.75633189999999995</v>
      </c>
      <c r="N2295">
        <v>0</v>
      </c>
      <c r="O2295">
        <v>-0.65404149999999905</v>
      </c>
      <c r="P2295">
        <v>0.83546509999999996</v>
      </c>
      <c r="Q2295">
        <v>0.17558309999999999</v>
      </c>
      <c r="R2295">
        <v>-0.52073829999999999</v>
      </c>
      <c r="S2295">
        <v>2.808929</v>
      </c>
      <c r="T2295">
        <v>-0.27941880000000002</v>
      </c>
      <c r="U2295">
        <v>-1.3547359999999999</v>
      </c>
      <c r="V2295">
        <v>-0.15482560000000001</v>
      </c>
      <c r="W2295">
        <v>0.1872074</v>
      </c>
      <c r="X2295">
        <v>0.97004250000000003</v>
      </c>
      <c r="Y2295">
        <v>-0.25752209999999998</v>
      </c>
      <c r="Z2295">
        <v>6.7304039999999996E-2</v>
      </c>
      <c r="AA2295">
        <v>0.96392560000000005</v>
      </c>
      <c r="AB2295">
        <v>27</v>
      </c>
      <c r="AC2295">
        <v>11.0123</v>
      </c>
      <c r="AD2295">
        <v>-1.115095742734</v>
      </c>
      <c r="AE2295">
        <v>-5.2427000000000099</v>
      </c>
      <c r="AF2295">
        <v>-3.2107521341319099</v>
      </c>
      <c r="AG2295">
        <v>-1.115095742734</v>
      </c>
      <c r="AH2295">
        <v>11.661547307465099</v>
      </c>
      <c r="AI2295">
        <v>95.267273106176305</v>
      </c>
      <c r="AJ2295">
        <v>105.393728976828</v>
      </c>
      <c r="AK2295">
        <v>12.1467713153143</v>
      </c>
      <c r="AL2295">
        <v>79.210144240579694</v>
      </c>
      <c r="AM2295">
        <v>99.068321925218896</v>
      </c>
      <c r="AN2295">
        <v>1.00000001441818</v>
      </c>
    </row>
    <row r="2296" spans="1:40" x14ac:dyDescent="0.25">
      <c r="A2296" t="str">
        <f>"20190312172702790"</f>
        <v>20190312172702790</v>
      </c>
      <c r="B2296" t="str">
        <f>"1552382822781596"</f>
        <v>1552382822781596</v>
      </c>
      <c r="C2296" t="s">
        <v>40</v>
      </c>
      <c r="D2296">
        <v>3.2116389999999999</v>
      </c>
      <c r="E2296">
        <v>0.45930300000000002</v>
      </c>
      <c r="F2296" t="s">
        <v>47</v>
      </c>
      <c r="G2296">
        <v>-471.78269999999998</v>
      </c>
      <c r="H2296" s="1">
        <v>5.3223629999999997E-6</v>
      </c>
      <c r="I2296">
        <v>218.15</v>
      </c>
      <c r="J2296">
        <v>-482.53699999999998</v>
      </c>
      <c r="K2296">
        <v>1.115084</v>
      </c>
      <c r="L2296">
        <v>223.0872</v>
      </c>
      <c r="M2296">
        <v>0.76491830000000005</v>
      </c>
      <c r="N2296">
        <v>0</v>
      </c>
      <c r="O2296">
        <v>-0.64397890000000002</v>
      </c>
      <c r="P2296">
        <v>0.84280569999999899</v>
      </c>
      <c r="Q2296">
        <v>0.17563319999999999</v>
      </c>
      <c r="R2296">
        <v>-0.50875479999999995</v>
      </c>
      <c r="S2296">
        <v>2.8203130000000001</v>
      </c>
      <c r="T2296">
        <v>-0.28176390000000001</v>
      </c>
      <c r="U2296">
        <v>-1.3310850000000001</v>
      </c>
      <c r="V2296">
        <v>-0.1558311</v>
      </c>
      <c r="W2296">
        <v>0.18723880000000001</v>
      </c>
      <c r="X2296">
        <v>0.96987540000000005</v>
      </c>
      <c r="Y2296">
        <v>-0.25285039999999998</v>
      </c>
      <c r="Z2296">
        <v>6.6890649999999996E-2</v>
      </c>
      <c r="AA2296">
        <v>0.96519029999999995</v>
      </c>
      <c r="AB2296">
        <v>27</v>
      </c>
      <c r="AC2296">
        <v>10.754300000000001</v>
      </c>
      <c r="AD2296">
        <v>-1.1150786776370001</v>
      </c>
      <c r="AE2296">
        <v>-4.93719999999999</v>
      </c>
      <c r="AF2296">
        <v>-3.1215707956566998</v>
      </c>
      <c r="AG2296">
        <v>-1.1150786776370001</v>
      </c>
      <c r="AH2296">
        <v>11.306309811860601</v>
      </c>
      <c r="AI2296">
        <v>95.430654842770295</v>
      </c>
      <c r="AJ2296">
        <v>105.43435173620099</v>
      </c>
      <c r="AK2296">
        <v>11.7822003993903</v>
      </c>
      <c r="AL2296">
        <v>79.208312563967098</v>
      </c>
      <c r="AM2296">
        <v>99.127773197176396</v>
      </c>
      <c r="AN2296">
        <v>0.99999999573890497</v>
      </c>
    </row>
    <row r="2297" spans="1:40" x14ac:dyDescent="0.25">
      <c r="A2297" t="str">
        <f>"20190312172702812"</f>
        <v>20190312172702812</v>
      </c>
      <c r="B2297" t="str">
        <f>"1552382822801116"</f>
        <v>1552382822801116</v>
      </c>
      <c r="C2297" t="s">
        <v>40</v>
      </c>
      <c r="D2297">
        <v>3.0787960000000001</v>
      </c>
      <c r="E2297">
        <v>0.45938079999999998</v>
      </c>
      <c r="F2297" t="s">
        <v>47</v>
      </c>
      <c r="G2297">
        <v>-471.38099999999997</v>
      </c>
      <c r="H2297" s="1">
        <v>5.4941639999999997E-6</v>
      </c>
      <c r="I2297">
        <v>218.0051</v>
      </c>
      <c r="J2297">
        <v>-482.31900000000002</v>
      </c>
      <c r="K2297">
        <v>1.1150739999999999</v>
      </c>
      <c r="L2297">
        <v>222.91390000000001</v>
      </c>
      <c r="M2297">
        <v>0.76941819999999905</v>
      </c>
      <c r="N2297">
        <v>0</v>
      </c>
      <c r="O2297">
        <v>-0.63859580000000005</v>
      </c>
      <c r="P2297">
        <v>0.84628440000000005</v>
      </c>
      <c r="Q2297">
        <v>0.1758625</v>
      </c>
      <c r="R2297">
        <v>-0.50286750000000002</v>
      </c>
      <c r="S2297">
        <v>2.8381959999999999</v>
      </c>
      <c r="T2297">
        <v>-0.28368680000000002</v>
      </c>
      <c r="U2297">
        <v>-1.2929379999999999</v>
      </c>
      <c r="V2297">
        <v>-0.155753</v>
      </c>
      <c r="W2297">
        <v>0.18746689999999999</v>
      </c>
      <c r="X2297">
        <v>0.96984389999999998</v>
      </c>
      <c r="Y2297">
        <v>-0.25905699999999998</v>
      </c>
      <c r="Z2297">
        <v>6.7134340000000001E-2</v>
      </c>
      <c r="AA2297">
        <v>0.96352610000000005</v>
      </c>
      <c r="AB2297">
        <v>27</v>
      </c>
      <c r="AC2297">
        <v>10.938000000000001</v>
      </c>
      <c r="AD2297">
        <v>-1.1150685058359999</v>
      </c>
      <c r="AE2297">
        <v>-4.90880000000001</v>
      </c>
      <c r="AF2297">
        <v>-3.18083175067235</v>
      </c>
      <c r="AG2297">
        <v>-1.1150685058359999</v>
      </c>
      <c r="AH2297">
        <v>11.452668435548601</v>
      </c>
      <c r="AI2297">
        <v>95.359356300251505</v>
      </c>
      <c r="AJ2297">
        <v>105.52195112698899</v>
      </c>
      <c r="AK2297">
        <v>11.9383701858086</v>
      </c>
      <c r="AL2297">
        <v>79.195007993542006</v>
      </c>
      <c r="AM2297">
        <v>99.123566795690394</v>
      </c>
      <c r="AN2297">
        <v>1.0000000129859099</v>
      </c>
    </row>
    <row r="2298" spans="1:40" x14ac:dyDescent="0.25">
      <c r="A2298" t="str">
        <f>"20190312172702857"</f>
        <v>20190312172702857</v>
      </c>
      <c r="B2298" t="str">
        <f>"1552382822850892"</f>
        <v>1552382822850892</v>
      </c>
      <c r="C2298" t="s">
        <v>40</v>
      </c>
      <c r="D2298">
        <v>3.1723880000000002</v>
      </c>
      <c r="E2298">
        <v>0.4468066</v>
      </c>
      <c r="F2298" t="s">
        <v>47</v>
      </c>
      <c r="G2298">
        <v>-471.1354</v>
      </c>
      <c r="H2298" s="1">
        <v>5.5988059999999901E-6</v>
      </c>
      <c r="I2298">
        <v>217.9075</v>
      </c>
      <c r="J2298">
        <v>-481.90710000000001</v>
      </c>
      <c r="K2298">
        <v>1.1150629999999999</v>
      </c>
      <c r="L2298">
        <v>222.59309999999999</v>
      </c>
      <c r="M2298">
        <v>0.77774639999999995</v>
      </c>
      <c r="N2298">
        <v>0</v>
      </c>
      <c r="O2298">
        <v>-0.62842659999999995</v>
      </c>
      <c r="P2298">
        <v>0.85265740000000001</v>
      </c>
      <c r="Q2298">
        <v>0.17681240000000001</v>
      </c>
      <c r="R2298">
        <v>-0.49164340000000001</v>
      </c>
      <c r="S2298">
        <v>2.8466490000000002</v>
      </c>
      <c r="T2298">
        <v>-0.28382780000000002</v>
      </c>
      <c r="U2298">
        <v>-1.2743230000000001</v>
      </c>
      <c r="V2298">
        <v>-0.15569469999999999</v>
      </c>
      <c r="W2298">
        <v>0.18841350000000001</v>
      </c>
      <c r="X2298">
        <v>0.96966980000000003</v>
      </c>
      <c r="Y2298">
        <v>-0.25272749999999999</v>
      </c>
      <c r="Z2298">
        <v>6.6109490000000007E-2</v>
      </c>
      <c r="AA2298">
        <v>0.96527629999999998</v>
      </c>
      <c r="AB2298">
        <v>27</v>
      </c>
      <c r="AC2298">
        <v>10.771699999999999</v>
      </c>
      <c r="AD2298">
        <v>-1.115057401194</v>
      </c>
      <c r="AE2298">
        <v>-4.6855999999999902</v>
      </c>
      <c r="AF2298">
        <v>-3.0974019001832298</v>
      </c>
      <c r="AG2298">
        <v>-1.115057401194</v>
      </c>
      <c r="AH2298">
        <v>11.2221644657333</v>
      </c>
      <c r="AI2298">
        <v>95.471141198406201</v>
      </c>
      <c r="AJ2298">
        <v>105.42990596855699</v>
      </c>
      <c r="AK2298">
        <v>11.695051382323401</v>
      </c>
      <c r="AL2298">
        <v>79.139787708635495</v>
      </c>
      <c r="AM2298">
        <v>99.121819119087903</v>
      </c>
      <c r="AN2298">
        <v>1.00000000381118</v>
      </c>
    </row>
    <row r="2299" spans="1:40" x14ac:dyDescent="0.25">
      <c r="A2299" t="str">
        <f>"20190312172702878"</f>
        <v>20190312172702878</v>
      </c>
      <c r="B2299" t="str">
        <f>"1552382822871389"</f>
        <v>1552382822871389</v>
      </c>
      <c r="C2299" t="s">
        <v>40</v>
      </c>
      <c r="D2299">
        <v>3.170893</v>
      </c>
      <c r="E2299">
        <v>0.44645839999999998</v>
      </c>
      <c r="F2299" t="s">
        <v>48</v>
      </c>
      <c r="G2299">
        <v>-463.83170000000001</v>
      </c>
      <c r="H2299" s="1">
        <v>4.6626320000000001E-7</v>
      </c>
      <c r="I2299">
        <v>215.4391</v>
      </c>
      <c r="J2299">
        <v>-481.7081</v>
      </c>
      <c r="K2299">
        <v>1.115057</v>
      </c>
      <c r="L2299">
        <v>222.44120000000001</v>
      </c>
      <c r="M2299">
        <v>0.78168959999999998</v>
      </c>
      <c r="N2299">
        <v>0</v>
      </c>
      <c r="O2299">
        <v>-0.62351480000000004</v>
      </c>
      <c r="P2299">
        <v>0.85583770000000003</v>
      </c>
      <c r="Q2299">
        <v>0.17723069999999999</v>
      </c>
      <c r="R2299">
        <v>-0.48593350000000002</v>
      </c>
      <c r="S2299">
        <v>2.8948360000000002</v>
      </c>
      <c r="T2299">
        <v>-0.1785803</v>
      </c>
      <c r="U2299">
        <v>-1.145737</v>
      </c>
      <c r="V2299">
        <v>-0.1560155</v>
      </c>
      <c r="W2299">
        <v>0.1888251</v>
      </c>
      <c r="X2299">
        <v>0.96953820000000002</v>
      </c>
      <c r="Y2299">
        <v>-0.29081800000000002</v>
      </c>
      <c r="Z2299">
        <v>4.2388450000000001E-2</v>
      </c>
      <c r="AA2299">
        <v>0.95583890000000005</v>
      </c>
      <c r="AB2299">
        <v>27</v>
      </c>
      <c r="AC2299">
        <v>17.876399999999901</v>
      </c>
      <c r="AD2299">
        <v>-1.1150565337367999</v>
      </c>
      <c r="AE2299">
        <v>-7.0021000000000102</v>
      </c>
      <c r="AF2299">
        <v>-5.6541992519288797</v>
      </c>
      <c r="AG2299">
        <v>-1.1150565337367999</v>
      </c>
      <c r="AH2299">
        <v>18.279795840426001</v>
      </c>
      <c r="AI2299">
        <v>93.335157549574006</v>
      </c>
      <c r="AJ2299">
        <v>107.187577468062</v>
      </c>
      <c r="AK2299">
        <v>19.1667487128516</v>
      </c>
      <c r="AL2299">
        <v>79.115774097483097</v>
      </c>
      <c r="AM2299">
        <v>99.141516870868799</v>
      </c>
      <c r="AN2299">
        <v>1.00000003794474</v>
      </c>
    </row>
    <row r="2300" spans="1:40" x14ac:dyDescent="0.25">
      <c r="A2300" t="str">
        <f>"20190312172702901"</f>
        <v>20190312172702901</v>
      </c>
      <c r="B2300" t="str">
        <f>"1552382822890909"</f>
        <v>1552382822890909</v>
      </c>
      <c r="C2300" t="s">
        <v>40</v>
      </c>
      <c r="D2300">
        <v>3.0758709999999998</v>
      </c>
      <c r="E2300">
        <v>0.446465</v>
      </c>
      <c r="F2300" t="s">
        <v>48</v>
      </c>
      <c r="G2300">
        <v>-462.57760000000002</v>
      </c>
      <c r="H2300" s="1">
        <v>-1.833795E-7</v>
      </c>
      <c r="I2300">
        <v>215.03399999999999</v>
      </c>
      <c r="J2300">
        <v>-481.49020000000002</v>
      </c>
      <c r="K2300">
        <v>1.115056</v>
      </c>
      <c r="L2300">
        <v>222.27709999999999</v>
      </c>
      <c r="M2300">
        <v>0.78595269999999995</v>
      </c>
      <c r="N2300">
        <v>0</v>
      </c>
      <c r="O2300">
        <v>-0.61813249999999997</v>
      </c>
      <c r="P2300">
        <v>0.85943780000000003</v>
      </c>
      <c r="Q2300">
        <v>0.17858070000000001</v>
      </c>
      <c r="R2300">
        <v>-0.47903649999999998</v>
      </c>
      <c r="S2300">
        <v>2.9022830000000002</v>
      </c>
      <c r="T2300">
        <v>-0.1691647</v>
      </c>
      <c r="U2300">
        <v>-1.1237490000000001</v>
      </c>
      <c r="V2300">
        <v>-0.15699460000000001</v>
      </c>
      <c r="W2300">
        <v>0.19015760000000001</v>
      </c>
      <c r="X2300">
        <v>0.96911959999999997</v>
      </c>
      <c r="Y2300">
        <v>-0.29150910000000002</v>
      </c>
      <c r="Z2300">
        <v>3.9929819999999998E-2</v>
      </c>
      <c r="AA2300">
        <v>0.95573430000000004</v>
      </c>
      <c r="AB2300">
        <v>27</v>
      </c>
      <c r="AC2300">
        <v>18.912600000000001</v>
      </c>
      <c r="AD2300">
        <v>-1.1150561833795001</v>
      </c>
      <c r="AE2300">
        <v>-7.2430999999999699</v>
      </c>
      <c r="AF2300">
        <v>-5.9802015390490704</v>
      </c>
      <c r="AG2300">
        <v>-1.1150561833795001</v>
      </c>
      <c r="AH2300">
        <v>19.284986059321501</v>
      </c>
      <c r="AI2300">
        <v>93.1609833759358</v>
      </c>
      <c r="AJ2300">
        <v>107.228466407545</v>
      </c>
      <c r="AK2300">
        <v>20.2216925119527</v>
      </c>
      <c r="AL2300">
        <v>79.038018396042801</v>
      </c>
      <c r="AM2300">
        <v>99.201813289809706</v>
      </c>
      <c r="AN2300">
        <v>1.00000000818554</v>
      </c>
    </row>
    <row r="2301" spans="1:40" x14ac:dyDescent="0.25">
      <c r="A2301" t="str">
        <f>"20190312172702924"</f>
        <v>20190312172702924</v>
      </c>
      <c r="B2301" t="str">
        <f>"1552382822911404"</f>
        <v>1552382822911404</v>
      </c>
      <c r="C2301" t="s">
        <v>40</v>
      </c>
      <c r="D2301">
        <v>3.166166</v>
      </c>
      <c r="E2301">
        <v>0.4466445</v>
      </c>
      <c r="F2301" t="s">
        <v>48</v>
      </c>
      <c r="G2301">
        <v>-461.2149</v>
      </c>
      <c r="H2301" s="1">
        <v>-8.9013549999999998E-7</v>
      </c>
      <c r="I2301">
        <v>214.6131</v>
      </c>
      <c r="J2301">
        <v>-481.27800000000002</v>
      </c>
      <c r="K2301">
        <v>1.115054</v>
      </c>
      <c r="L2301">
        <v>222.11940000000001</v>
      </c>
      <c r="M2301">
        <v>0.79004969999999997</v>
      </c>
      <c r="N2301">
        <v>0</v>
      </c>
      <c r="O2301">
        <v>-0.61288769999999904</v>
      </c>
      <c r="P2301">
        <v>0.86281589999999997</v>
      </c>
      <c r="Q2301">
        <v>0.17961389999999999</v>
      </c>
      <c r="R2301">
        <v>-0.47253319999999999</v>
      </c>
      <c r="S2301">
        <v>2.9107059999999998</v>
      </c>
      <c r="T2301">
        <v>-0.16007639999999901</v>
      </c>
      <c r="U2301">
        <v>-1.1002350000000001</v>
      </c>
      <c r="V2301">
        <v>-0.1577404</v>
      </c>
      <c r="W2301">
        <v>0.19117709999999999</v>
      </c>
      <c r="X2301">
        <v>0.96879789999999999</v>
      </c>
      <c r="Y2301">
        <v>-0.29293859999999999</v>
      </c>
      <c r="Z2301">
        <v>3.7587759999999998E-2</v>
      </c>
      <c r="AA2301">
        <v>0.95539209999999997</v>
      </c>
      <c r="AB2301">
        <v>27</v>
      </c>
      <c r="AC2301">
        <v>20.063099999999999</v>
      </c>
      <c r="AD2301">
        <v>-1.1150548901355</v>
      </c>
      <c r="AE2301">
        <v>-7.5063000000000004</v>
      </c>
      <c r="AF2301">
        <v>-6.34947809795087</v>
      </c>
      <c r="AG2301">
        <v>-1.1150548901355</v>
      </c>
      <c r="AH2301">
        <v>20.398039729087799</v>
      </c>
      <c r="AI2301">
        <v>92.987817723605403</v>
      </c>
      <c r="AJ2301">
        <v>107.29025990914501</v>
      </c>
      <c r="AK2301">
        <v>21.3925043955545</v>
      </c>
      <c r="AL2301">
        <v>78.978514117447602</v>
      </c>
      <c r="AM2301">
        <v>99.247790117066998</v>
      </c>
      <c r="AN2301">
        <v>1.0000000442004799</v>
      </c>
    </row>
    <row r="2302" spans="1:40" x14ac:dyDescent="0.25">
      <c r="A2302" t="str">
        <f>"20190312172702946"</f>
        <v>20190312172702946</v>
      </c>
      <c r="B2302" t="str">
        <f>"1552382822941191"</f>
        <v>1552382822941191</v>
      </c>
      <c r="C2302" t="s">
        <v>40</v>
      </c>
      <c r="D2302">
        <v>3.0571130000000002</v>
      </c>
      <c r="E2302">
        <v>0.44696629999999998</v>
      </c>
      <c r="F2302" t="s">
        <v>48</v>
      </c>
      <c r="G2302">
        <v>-460.16289999999998</v>
      </c>
      <c r="H2302" s="1">
        <v>-1.436742E-6</v>
      </c>
      <c r="I2302">
        <v>214.31110000000001</v>
      </c>
      <c r="J2302">
        <v>-481.06259999999997</v>
      </c>
      <c r="K2302">
        <v>1.1150500000000001</v>
      </c>
      <c r="L2302">
        <v>221.96170000000001</v>
      </c>
      <c r="M2302">
        <v>0.79414989999999996</v>
      </c>
      <c r="N2302">
        <v>0</v>
      </c>
      <c r="O2302">
        <v>-0.60756519999999903</v>
      </c>
      <c r="P2302">
        <v>0.86612869999999997</v>
      </c>
      <c r="Q2302">
        <v>0.1802607</v>
      </c>
      <c r="R2302">
        <v>-0.46618399999999999</v>
      </c>
      <c r="S2302">
        <v>2.9180600000000001</v>
      </c>
      <c r="T2302">
        <v>-0.15409870000000001</v>
      </c>
      <c r="U2302">
        <v>-1.079102</v>
      </c>
      <c r="V2302">
        <v>-0.1582692</v>
      </c>
      <c r="W2302">
        <v>0.19181500000000001</v>
      </c>
      <c r="X2302">
        <v>0.96858549999999999</v>
      </c>
      <c r="Y2302">
        <v>-0.2934657</v>
      </c>
      <c r="Z2302">
        <v>3.5970469999999997E-2</v>
      </c>
      <c r="AA2302">
        <v>0.95529260000000005</v>
      </c>
      <c r="AB2302">
        <v>27</v>
      </c>
      <c r="AC2302">
        <v>20.899699999999999</v>
      </c>
      <c r="AD2302">
        <v>-1.1150514367419999</v>
      </c>
      <c r="AE2302">
        <v>-7.6505999999999901</v>
      </c>
      <c r="AF2302">
        <v>-6.6062553731501499</v>
      </c>
      <c r="AG2302">
        <v>-1.1150514367419999</v>
      </c>
      <c r="AH2302">
        <v>21.194555493578498</v>
      </c>
      <c r="AI2302">
        <v>92.875375431122507</v>
      </c>
      <c r="AJ2302">
        <v>107.31204072089101</v>
      </c>
      <c r="AK2302">
        <v>22.228250770859901</v>
      </c>
      <c r="AL2302">
        <v>78.941275520285799</v>
      </c>
      <c r="AM2302">
        <v>99.280252840807094</v>
      </c>
      <c r="AN2302">
        <v>1.00000000235194</v>
      </c>
    </row>
    <row r="2303" spans="1:40" x14ac:dyDescent="0.25">
      <c r="A2303" t="str">
        <f>"20190312172702967"</f>
        <v>20190312172702967</v>
      </c>
      <c r="B2303" t="str">
        <f>"1552382822961687"</f>
        <v>1552382822961687</v>
      </c>
      <c r="C2303" t="s">
        <v>40</v>
      </c>
      <c r="D2303">
        <v>3.134617</v>
      </c>
      <c r="E2303">
        <v>0.44711339999999999</v>
      </c>
      <c r="F2303" t="s">
        <v>48</v>
      </c>
      <c r="G2303">
        <v>-459.2509</v>
      </c>
      <c r="H2303" s="1">
        <v>3.410384E-6</v>
      </c>
      <c r="I2303">
        <v>214.05969999999999</v>
      </c>
      <c r="J2303">
        <v>-480.8578</v>
      </c>
      <c r="K2303">
        <v>1.1150450000000001</v>
      </c>
      <c r="L2303">
        <v>221.81370000000001</v>
      </c>
      <c r="M2303">
        <v>0.7980003</v>
      </c>
      <c r="N2303">
        <v>0</v>
      </c>
      <c r="O2303">
        <v>-0.60249949999999997</v>
      </c>
      <c r="P2303">
        <v>0.86909029999999998</v>
      </c>
      <c r="Q2303">
        <v>0.18065970000000001</v>
      </c>
      <c r="R2303">
        <v>-0.46048289999999997</v>
      </c>
      <c r="S2303">
        <v>2.9245610000000002</v>
      </c>
      <c r="T2303">
        <v>-0.14950739999999901</v>
      </c>
      <c r="U2303">
        <v>-1.059509</v>
      </c>
      <c r="V2303">
        <v>-0.15842059999999999</v>
      </c>
      <c r="W2303">
        <v>0.1922104</v>
      </c>
      <c r="X2303">
        <v>0.96848239999999997</v>
      </c>
      <c r="Y2303">
        <v>-0.293780599999999</v>
      </c>
      <c r="Z2303">
        <v>3.4698359999999998E-2</v>
      </c>
      <c r="AA2303">
        <v>0.95524290000000001</v>
      </c>
      <c r="AB2303">
        <v>27</v>
      </c>
      <c r="AC2303">
        <v>21.6069</v>
      </c>
      <c r="AD2303">
        <v>-1.115041589616</v>
      </c>
      <c r="AE2303">
        <v>-7.7540000000000102</v>
      </c>
      <c r="AF2303">
        <v>-6.8150218949332002</v>
      </c>
      <c r="AG2303">
        <v>-1.115041589616</v>
      </c>
      <c r="AH2303">
        <v>21.864589116176901</v>
      </c>
      <c r="AI2303">
        <v>92.787379912577705</v>
      </c>
      <c r="AJ2303">
        <v>107.311849192358</v>
      </c>
      <c r="AK2303">
        <v>22.929197508727501</v>
      </c>
      <c r="AL2303">
        <v>78.918191668620693</v>
      </c>
      <c r="AM2303">
        <v>99.2899472637164</v>
      </c>
      <c r="AN2303">
        <v>1.0000000417411301</v>
      </c>
    </row>
    <row r="2304" spans="1:40" x14ac:dyDescent="0.25">
      <c r="A2304" t="str">
        <f>"20190312172702992"</f>
        <v>20190312172702992</v>
      </c>
      <c r="B2304" t="str">
        <f>"1552382822981207"</f>
        <v>1552382822981207</v>
      </c>
      <c r="C2304" t="s">
        <v>40</v>
      </c>
      <c r="D2304">
        <v>3.0495070000000002</v>
      </c>
      <c r="E2304">
        <v>0.44729259999999899</v>
      </c>
      <c r="F2304" t="s">
        <v>48</v>
      </c>
      <c r="G2304">
        <v>-458.6884</v>
      </c>
      <c r="H2304" s="1">
        <v>3.1164010000000002E-6</v>
      </c>
      <c r="I2304">
        <v>213.93729999999999</v>
      </c>
      <c r="J2304">
        <v>-480.62849999999997</v>
      </c>
      <c r="K2304">
        <v>1.1150180000000001</v>
      </c>
      <c r="L2304">
        <v>221.65</v>
      </c>
      <c r="M2304">
        <v>0.80295169999999905</v>
      </c>
      <c r="N2304">
        <v>0</v>
      </c>
      <c r="O2304">
        <v>-0.59587290000000004</v>
      </c>
      <c r="P2304">
        <v>0.87281390000000003</v>
      </c>
      <c r="Q2304">
        <v>0.18050820000000001</v>
      </c>
      <c r="R2304">
        <v>-0.45344590000000001</v>
      </c>
      <c r="S2304">
        <v>2.930847</v>
      </c>
      <c r="T2304">
        <v>-0.14741109999999999</v>
      </c>
      <c r="U2304">
        <v>-1.041275</v>
      </c>
      <c r="V2304">
        <v>-0.15816160000000001</v>
      </c>
      <c r="W2304">
        <v>0.1926184</v>
      </c>
      <c r="X2304">
        <v>0.96844359999999996</v>
      </c>
      <c r="Y2304">
        <v>-0.29182960000000002</v>
      </c>
      <c r="Z2304">
        <v>3.3897219999999999E-2</v>
      </c>
      <c r="AA2304">
        <v>0.95586950000000004</v>
      </c>
      <c r="AB2304">
        <v>27</v>
      </c>
      <c r="AC2304">
        <v>21.940099999999902</v>
      </c>
      <c r="AD2304">
        <v>-1.1150148835989999</v>
      </c>
      <c r="AE2304">
        <v>-7.7127000000000097</v>
      </c>
      <c r="AF2304">
        <v>-6.8655058420316797</v>
      </c>
      <c r="AG2304">
        <v>-1.1150148835989999</v>
      </c>
      <c r="AH2304">
        <v>22.163947975634201</v>
      </c>
      <c r="AI2304">
        <v>92.7512279825268</v>
      </c>
      <c r="AJ2304">
        <v>107.210893070045</v>
      </c>
      <c r="AK2304">
        <v>23.2297012147001</v>
      </c>
      <c r="AL2304">
        <v>78.894369078767298</v>
      </c>
      <c r="AM2304">
        <v>99.275388533858901</v>
      </c>
      <c r="AN2304">
        <v>0.99999997305703903</v>
      </c>
    </row>
    <row r="2305" spans="1:40" x14ac:dyDescent="0.25">
      <c r="A2305" t="str">
        <f>"20190312172703038"</f>
        <v>20190312172703038</v>
      </c>
      <c r="B2305" t="str">
        <f>"1552382823030983"</f>
        <v>1552382823030983</v>
      </c>
      <c r="C2305" t="s">
        <v>40</v>
      </c>
      <c r="D2305">
        <v>3.066046</v>
      </c>
      <c r="E2305">
        <v>0.45098139999999998</v>
      </c>
      <c r="F2305" t="s">
        <v>48</v>
      </c>
      <c r="G2305">
        <v>-458.63299999999998</v>
      </c>
      <c r="H2305" s="1">
        <v>3.0833709999999998E-6</v>
      </c>
      <c r="I2305">
        <v>214.01920000000001</v>
      </c>
      <c r="J2305">
        <v>-480.19099999999997</v>
      </c>
      <c r="K2305">
        <v>1.117896</v>
      </c>
      <c r="L2305">
        <v>221.3415</v>
      </c>
      <c r="M2305">
        <v>0.81369559999999996</v>
      </c>
      <c r="N2305">
        <v>0</v>
      </c>
      <c r="O2305">
        <v>-0.58112589999999997</v>
      </c>
      <c r="P2305">
        <v>0.87997510000000001</v>
      </c>
      <c r="Q2305">
        <v>0.1811815</v>
      </c>
      <c r="R2305">
        <v>-0.43910949999999999</v>
      </c>
      <c r="S2305">
        <v>2.9383240000000002</v>
      </c>
      <c r="T2305">
        <v>-0.1489519</v>
      </c>
      <c r="U2305">
        <v>-1.019379</v>
      </c>
      <c r="V2305">
        <v>-0.1571128</v>
      </c>
      <c r="W2305">
        <v>0.1922053</v>
      </c>
      <c r="X2305">
        <v>0.96869640000000001</v>
      </c>
      <c r="Y2305">
        <v>-0.28147810000000001</v>
      </c>
      <c r="Z2305">
        <v>3.3409170000000002E-2</v>
      </c>
      <c r="AA2305">
        <v>0.95898589999999995</v>
      </c>
      <c r="AB2305">
        <v>26</v>
      </c>
      <c r="AC2305">
        <v>21.5579999999999</v>
      </c>
      <c r="AD2305">
        <v>-1.1178929166289999</v>
      </c>
      <c r="AE2305">
        <v>-7.3222999999999798</v>
      </c>
      <c r="AF2305">
        <v>-6.5546181227164899</v>
      </c>
      <c r="AG2305">
        <v>-1.1178929166289999</v>
      </c>
      <c r="AH2305">
        <v>21.746495413361</v>
      </c>
      <c r="AI2305">
        <v>92.817741077013096</v>
      </c>
      <c r="AJ2305">
        <v>106.773348762542</v>
      </c>
      <c r="AK2305">
        <v>22.7403334643761</v>
      </c>
      <c r="AL2305">
        <v>78.918489098923104</v>
      </c>
      <c r="AM2305">
        <v>99.212576673268799</v>
      </c>
      <c r="AN2305">
        <v>1.00000001232244</v>
      </c>
    </row>
    <row r="2306" spans="1:40" x14ac:dyDescent="0.25">
      <c r="A2306" t="str">
        <f>"20190312172703081"</f>
        <v>20190312172703081</v>
      </c>
      <c r="B2306" t="str">
        <f>"1552382823071507"</f>
        <v>1552382823071507</v>
      </c>
      <c r="C2306" t="s">
        <v>40</v>
      </c>
      <c r="D2306">
        <v>3.1364339999999999</v>
      </c>
      <c r="E2306">
        <v>0.45210869999999997</v>
      </c>
      <c r="F2306" t="s">
        <v>48</v>
      </c>
      <c r="G2306">
        <v>-454.38139999999999</v>
      </c>
      <c r="H2306" s="1">
        <v>8.8180459999999897E-7</v>
      </c>
      <c r="I2306">
        <v>212.62530000000001</v>
      </c>
      <c r="J2306">
        <v>-479.78140000000002</v>
      </c>
      <c r="K2306">
        <v>1.1229929999999999</v>
      </c>
      <c r="L2306">
        <v>221.0634</v>
      </c>
      <c r="M2306">
        <v>0.81931989999999999</v>
      </c>
      <c r="N2306">
        <v>0</v>
      </c>
      <c r="O2306">
        <v>-0.57322879999999998</v>
      </c>
      <c r="P2306">
        <v>0.88240339999999995</v>
      </c>
      <c r="Q2306">
        <v>0.18638950000000001</v>
      </c>
      <c r="R2306">
        <v>-0.43199959999999998</v>
      </c>
      <c r="S2306">
        <v>2.9400019999999998</v>
      </c>
      <c r="T2306">
        <v>-0.12734089999999901</v>
      </c>
      <c r="U2306">
        <v>-0.99287409999999998</v>
      </c>
      <c r="V2306">
        <v>-0.15661810000000001</v>
      </c>
      <c r="W2306">
        <v>0.1934573</v>
      </c>
      <c r="X2306">
        <v>0.96852729999999998</v>
      </c>
      <c r="Y2306">
        <v>-0.28032420000000002</v>
      </c>
      <c r="Z2306">
        <v>2.831937E-2</v>
      </c>
      <c r="AA2306">
        <v>0.9594876</v>
      </c>
      <c r="AB2306">
        <v>26</v>
      </c>
      <c r="AC2306">
        <v>25.4</v>
      </c>
      <c r="AD2306">
        <v>-1.1229921181953999</v>
      </c>
      <c r="AE2306">
        <v>-8.4380999999999897</v>
      </c>
      <c r="AF2306">
        <v>-7.6335426475713497</v>
      </c>
      <c r="AG2306">
        <v>-1.1229921181953999</v>
      </c>
      <c r="AH2306">
        <v>25.6041984915516</v>
      </c>
      <c r="AI2306">
        <v>92.4068085033541</v>
      </c>
      <c r="AJ2306">
        <v>106.60123216331699</v>
      </c>
      <c r="AK2306">
        <v>26.7414858421254</v>
      </c>
      <c r="AL2306">
        <v>78.845383064606494</v>
      </c>
      <c r="AM2306">
        <v>99.185640339649794</v>
      </c>
      <c r="AN2306">
        <v>1.00000004350809</v>
      </c>
    </row>
    <row r="2307" spans="1:40" x14ac:dyDescent="0.25">
      <c r="A2307" t="str">
        <f>"20190312172703101"</f>
        <v>20190312172703101</v>
      </c>
      <c r="B2307" t="str">
        <f>"1552382823091027"</f>
        <v>1552382823091027</v>
      </c>
      <c r="C2307" t="s">
        <v>40</v>
      </c>
      <c r="D2307">
        <v>3.1494249999999999</v>
      </c>
      <c r="E2307">
        <v>0.45263009999999898</v>
      </c>
      <c r="F2307" t="s">
        <v>48</v>
      </c>
      <c r="G2307">
        <v>-447.6576</v>
      </c>
      <c r="H2307" s="1">
        <v>2.7206080000000001E-6</v>
      </c>
      <c r="I2307">
        <v>210.4435</v>
      </c>
      <c r="J2307">
        <v>-479.57440000000003</v>
      </c>
      <c r="K2307">
        <v>1.1251850000000001</v>
      </c>
      <c r="L2307">
        <v>220.9265</v>
      </c>
      <c r="M2307">
        <v>0.82178469999999904</v>
      </c>
      <c r="N2307">
        <v>0</v>
      </c>
      <c r="O2307">
        <v>-0.56971210000000005</v>
      </c>
      <c r="P2307">
        <v>0.88355300000000003</v>
      </c>
      <c r="Q2307">
        <v>0.18826860000000001</v>
      </c>
      <c r="R2307">
        <v>-0.4288228</v>
      </c>
      <c r="S2307">
        <v>2.9448850000000002</v>
      </c>
      <c r="T2307">
        <v>-0.10294780000000001</v>
      </c>
      <c r="U2307">
        <v>-0.97355650000000005</v>
      </c>
      <c r="V2307">
        <v>-0.15622929999999999</v>
      </c>
      <c r="W2307">
        <v>0.1937478</v>
      </c>
      <c r="X2307">
        <v>0.96853199999999995</v>
      </c>
      <c r="Y2307">
        <v>-0.28256900000000001</v>
      </c>
      <c r="Z2307">
        <v>2.283694E-2</v>
      </c>
      <c r="AA2307">
        <v>0.95897509999999997</v>
      </c>
      <c r="AB2307">
        <v>26</v>
      </c>
      <c r="AC2307">
        <v>31.916799999999999</v>
      </c>
      <c r="AD2307">
        <v>-1.1251822793919899</v>
      </c>
      <c r="AE2307">
        <v>-10.483000000000001</v>
      </c>
      <c r="AF2307">
        <v>-9.5583646160840097</v>
      </c>
      <c r="AG2307">
        <v>-1.1251822793919899</v>
      </c>
      <c r="AH2307">
        <v>32.166523920538502</v>
      </c>
      <c r="AI2307">
        <v>91.920456436350804</v>
      </c>
      <c r="AJ2307">
        <v>106.549451170628</v>
      </c>
      <c r="AK2307">
        <v>33.5754915142942</v>
      </c>
      <c r="AL2307">
        <v>78.828417386081199</v>
      </c>
      <c r="AM2307">
        <v>99.163180844311896</v>
      </c>
      <c r="AN2307">
        <v>1.00000001960366</v>
      </c>
    </row>
    <row r="2308" spans="1:40" x14ac:dyDescent="0.25">
      <c r="A2308" t="str">
        <f>"20190312172703127"</f>
        <v>20190312172703127</v>
      </c>
      <c r="B2308" t="str">
        <f>"1552382823121284"</f>
        <v>1552382823121284</v>
      </c>
      <c r="C2308" t="s">
        <v>40</v>
      </c>
      <c r="D2308">
        <v>3.0590660000000001</v>
      </c>
      <c r="E2308">
        <v>0.4536732</v>
      </c>
      <c r="F2308" t="s">
        <v>48</v>
      </c>
      <c r="G2308">
        <v>-446.56560000000002</v>
      </c>
      <c r="H2308" s="1">
        <v>2.1537030000000001E-6</v>
      </c>
      <c r="I2308">
        <v>210.11920000000001</v>
      </c>
      <c r="J2308">
        <v>-479.33120000000002</v>
      </c>
      <c r="K2308">
        <v>1.1271549999999999</v>
      </c>
      <c r="L2308">
        <v>220.76769999999999</v>
      </c>
      <c r="M2308">
        <v>0.82550859999999904</v>
      </c>
      <c r="N2308">
        <v>0</v>
      </c>
      <c r="O2308">
        <v>-0.56432740000000003</v>
      </c>
      <c r="P2308">
        <v>0.88604919999999998</v>
      </c>
      <c r="Q2308">
        <v>0.1901178</v>
      </c>
      <c r="R2308">
        <v>-0.42281449999999998</v>
      </c>
      <c r="S2308">
        <v>2.9483030000000001</v>
      </c>
      <c r="T2308">
        <v>-0.10050009999999999</v>
      </c>
      <c r="U2308">
        <v>-0.96530150000000003</v>
      </c>
      <c r="V2308">
        <v>-0.15651570000000001</v>
      </c>
      <c r="W2308">
        <v>0.19392180000000001</v>
      </c>
      <c r="X2308">
        <v>0.9684509</v>
      </c>
      <c r="Y2308">
        <v>-0.27906540000000002</v>
      </c>
      <c r="Z2308">
        <v>2.2082439999999998E-2</v>
      </c>
      <c r="AA2308">
        <v>0.96001820000000004</v>
      </c>
      <c r="AB2308">
        <v>26</v>
      </c>
      <c r="AC2308">
        <v>32.765599999999999</v>
      </c>
      <c r="AD2308">
        <v>-1.127152846297</v>
      </c>
      <c r="AE2308">
        <v>-10.648499999999901</v>
      </c>
      <c r="AF2308">
        <v>-9.6900659965490998</v>
      </c>
      <c r="AG2308">
        <v>-1.127152846297</v>
      </c>
      <c r="AH2308">
        <v>33.023337857303801</v>
      </c>
      <c r="AI2308">
        <v>91.875832385173297</v>
      </c>
      <c r="AJ2308">
        <v>106.353315877754</v>
      </c>
      <c r="AK2308">
        <v>34.434121098033401</v>
      </c>
      <c r="AL2308">
        <v>78.818254820198803</v>
      </c>
      <c r="AM2308">
        <v>99.180448717421896</v>
      </c>
      <c r="AN2308">
        <v>0.99999998728626904</v>
      </c>
    </row>
    <row r="2309" spans="1:40" x14ac:dyDescent="0.25">
      <c r="A2309" t="str">
        <f>"20190312172703150"</f>
        <v>20190312172703150</v>
      </c>
      <c r="B2309" t="str">
        <f>"1552382823141311"</f>
        <v>1552382823141311</v>
      </c>
      <c r="C2309" t="s">
        <v>40</v>
      </c>
      <c r="D2309">
        <v>3.1866050000000001</v>
      </c>
      <c r="E2309">
        <v>0.4605474</v>
      </c>
      <c r="F2309" t="s">
        <v>48</v>
      </c>
      <c r="G2309">
        <v>-445.77339999999998</v>
      </c>
      <c r="H2309" s="1">
        <v>1.7398780000000001E-6</v>
      </c>
      <c r="I2309">
        <v>209.94130000000001</v>
      </c>
      <c r="J2309">
        <v>-479.11070000000001</v>
      </c>
      <c r="K2309">
        <v>1.128692</v>
      </c>
      <c r="L2309">
        <v>220.6251</v>
      </c>
      <c r="M2309">
        <v>0.82947530000000003</v>
      </c>
      <c r="N2309">
        <v>0</v>
      </c>
      <c r="O2309">
        <v>-0.55849819999999994</v>
      </c>
      <c r="P2309">
        <v>0.8890323</v>
      </c>
      <c r="Q2309">
        <v>0.19183739999999999</v>
      </c>
      <c r="R2309">
        <v>-0.41571629999999998</v>
      </c>
      <c r="S2309">
        <v>2.9525450000000002</v>
      </c>
      <c r="T2309">
        <v>-9.9171159999999994E-2</v>
      </c>
      <c r="U2309">
        <v>-0.95254519999999998</v>
      </c>
      <c r="V2309">
        <v>-0.15734300000000001</v>
      </c>
      <c r="W2309">
        <v>0.1942769</v>
      </c>
      <c r="X2309">
        <v>0.96824569999999999</v>
      </c>
      <c r="Y2309">
        <v>-0.27646789999999999</v>
      </c>
      <c r="Z2309">
        <v>2.1585E-2</v>
      </c>
      <c r="AA2309">
        <v>0.96078070000000004</v>
      </c>
      <c r="AB2309">
        <v>26</v>
      </c>
      <c r="AC2309">
        <v>33.337299999999999</v>
      </c>
      <c r="AD2309">
        <v>-1.1286902601219999</v>
      </c>
      <c r="AE2309">
        <v>-10.6837999999999</v>
      </c>
      <c r="AF2309">
        <v>-9.7469880313655697</v>
      </c>
      <c r="AG2309">
        <v>-1.1286902601219999</v>
      </c>
      <c r="AH2309">
        <v>33.585286391113598</v>
      </c>
      <c r="AI2309">
        <v>91.848578289478795</v>
      </c>
      <c r="AJ2309">
        <v>106.1835750491</v>
      </c>
      <c r="AK2309">
        <v>34.989272346820798</v>
      </c>
      <c r="AL2309">
        <v>78.797515185646304</v>
      </c>
      <c r="AM2309">
        <v>99.230063452856697</v>
      </c>
      <c r="AN2309">
        <v>1.00000003454554</v>
      </c>
    </row>
    <row r="2310" spans="1:40" x14ac:dyDescent="0.25">
      <c r="A2310" t="str">
        <f>"20190312172703192"</f>
        <v>20190312172703192</v>
      </c>
      <c r="B2310" t="str">
        <f>"1552382823181326"</f>
        <v>1552382823181326</v>
      </c>
      <c r="C2310" t="s">
        <v>40</v>
      </c>
      <c r="D2310">
        <v>3.146007</v>
      </c>
      <c r="E2310">
        <v>0.45617370000000002</v>
      </c>
      <c r="F2310" t="s">
        <v>48</v>
      </c>
      <c r="G2310">
        <v>-446.08249999999998</v>
      </c>
      <c r="H2310">
        <v>4.8719039999999998E-2</v>
      </c>
      <c r="I2310">
        <v>209.6163</v>
      </c>
      <c r="J2310">
        <v>-478.6927</v>
      </c>
      <c r="K2310">
        <v>1.132209</v>
      </c>
      <c r="L2310">
        <v>220.3595</v>
      </c>
      <c r="M2310">
        <v>0.83711819999999904</v>
      </c>
      <c r="N2310">
        <v>0</v>
      </c>
      <c r="O2310">
        <v>-0.54699589999999998</v>
      </c>
      <c r="P2310">
        <v>0.8948024</v>
      </c>
      <c r="Q2310">
        <v>0.1947536</v>
      </c>
      <c r="R2310">
        <v>-0.40174609999999999</v>
      </c>
      <c r="S2310">
        <v>2.9373469999999999</v>
      </c>
      <c r="T2310">
        <v>-9.6046919999999994E-2</v>
      </c>
      <c r="U2310">
        <v>-0.97906490000000002</v>
      </c>
      <c r="V2310">
        <v>-0.15921869999999999</v>
      </c>
      <c r="W2310">
        <v>0.19511780000000001</v>
      </c>
      <c r="X2310">
        <v>0.96776980000000001</v>
      </c>
      <c r="Y2310">
        <v>-0.25387850000000001</v>
      </c>
      <c r="Z2310">
        <v>2.0313879999999999E-2</v>
      </c>
      <c r="AA2310">
        <v>0.96702279999999996</v>
      </c>
      <c r="AB2310">
        <v>26</v>
      </c>
      <c r="AC2310">
        <v>32.610199999999999</v>
      </c>
      <c r="AD2310">
        <v>-1.0834899600000001</v>
      </c>
      <c r="AE2310">
        <v>-10.7432</v>
      </c>
      <c r="AF2310">
        <v>-8.8356449627927596</v>
      </c>
      <c r="AG2310">
        <v>-1.0834899600000001</v>
      </c>
      <c r="AH2310">
        <v>33.142547729057803</v>
      </c>
      <c r="AI2310">
        <v>91.809288012230098</v>
      </c>
      <c r="AJ2310">
        <v>104.92759554908299</v>
      </c>
      <c r="AK2310">
        <v>34.317212042571597</v>
      </c>
      <c r="AL2310">
        <v>78.748394415050299</v>
      </c>
      <c r="AM2310">
        <v>99.342679850112205</v>
      </c>
      <c r="AN2310">
        <v>0.99999996804928404</v>
      </c>
    </row>
    <row r="2311" spans="1:40" x14ac:dyDescent="0.25">
      <c r="A2311" t="str">
        <f>"20190312172703214"</f>
        <v>20190312172703214</v>
      </c>
      <c r="B2311" t="str">
        <f>"1552382823211583"</f>
        <v>1552382823211583</v>
      </c>
      <c r="C2311" t="s">
        <v>40</v>
      </c>
      <c r="D2311">
        <v>3.2617799999999999</v>
      </c>
      <c r="E2311">
        <v>0.43530370000000002</v>
      </c>
      <c r="F2311" t="s">
        <v>48</v>
      </c>
      <c r="G2311">
        <v>-445.46440000000001</v>
      </c>
      <c r="H2311" s="1">
        <v>1.561285E-6</v>
      </c>
      <c r="I2311">
        <v>210.26499999999999</v>
      </c>
      <c r="J2311">
        <v>-478.47359999999998</v>
      </c>
      <c r="K2311">
        <v>1.134968</v>
      </c>
      <c r="L2311">
        <v>220.22280000000001</v>
      </c>
      <c r="M2311">
        <v>0.84122790000000003</v>
      </c>
      <c r="N2311">
        <v>0</v>
      </c>
      <c r="O2311">
        <v>-0.54065569999999996</v>
      </c>
      <c r="P2311">
        <v>0.89793769999999995</v>
      </c>
      <c r="Q2311">
        <v>0.19576750000000001</v>
      </c>
      <c r="R2311">
        <v>-0.3941866</v>
      </c>
      <c r="S2311">
        <v>2.9697269999999998</v>
      </c>
      <c r="T2311">
        <v>-0.1011893</v>
      </c>
      <c r="U2311">
        <v>-0.90217590000000003</v>
      </c>
      <c r="V2311">
        <v>-0.16045499999999999</v>
      </c>
      <c r="W2311">
        <v>0.1955663</v>
      </c>
      <c r="X2311">
        <v>0.96747510000000003</v>
      </c>
      <c r="Y2311">
        <v>-0.2724009</v>
      </c>
      <c r="Z2311">
        <v>2.1427640000000001E-2</v>
      </c>
      <c r="AA2311">
        <v>0.96194519999999994</v>
      </c>
      <c r="AB2311">
        <v>26</v>
      </c>
      <c r="AC2311">
        <v>33.0091999999999</v>
      </c>
      <c r="AD2311">
        <v>-1.134966438715</v>
      </c>
      <c r="AE2311">
        <v>-9.9578000000000095</v>
      </c>
      <c r="AF2311">
        <v>-9.4597103916683292</v>
      </c>
      <c r="AG2311">
        <v>-1.134966438715</v>
      </c>
      <c r="AH2311">
        <v>33.116564263728698</v>
      </c>
      <c r="AI2311">
        <v>91.887429979607901</v>
      </c>
      <c r="AJ2311">
        <v>105.941932637813</v>
      </c>
      <c r="AK2311">
        <v>34.459847622195298</v>
      </c>
      <c r="AL2311">
        <v>78.722193153809798</v>
      </c>
      <c r="AM2311">
        <v>99.416746312295203</v>
      </c>
      <c r="AN2311">
        <v>1.00000002692034</v>
      </c>
    </row>
    <row r="2312" spans="1:40" x14ac:dyDescent="0.25">
      <c r="A2312" t="str">
        <f>"20190312172703240"</f>
        <v>20190312172703240</v>
      </c>
      <c r="B2312" t="str">
        <f>"1552382823231103"</f>
        <v>1552382823231103</v>
      </c>
      <c r="C2312" t="s">
        <v>40</v>
      </c>
      <c r="D2312">
        <v>3.1253920000000002</v>
      </c>
      <c r="E2312">
        <v>0.43407590000000001</v>
      </c>
      <c r="F2312" t="s">
        <v>48</v>
      </c>
      <c r="G2312">
        <v>-443.24790000000002</v>
      </c>
      <c r="H2312" s="1">
        <v>3.122974E-7</v>
      </c>
      <c r="I2312">
        <v>211.85400000000001</v>
      </c>
      <c r="J2312">
        <v>-478.22129999999999</v>
      </c>
      <c r="K2312">
        <v>1.1391209999999901</v>
      </c>
      <c r="L2312">
        <v>220.0676</v>
      </c>
      <c r="M2312">
        <v>0.84598980000000001</v>
      </c>
      <c r="N2312">
        <v>0</v>
      </c>
      <c r="O2312">
        <v>-0.53317060000000005</v>
      </c>
      <c r="P2312">
        <v>0.9013871</v>
      </c>
      <c r="Q2312">
        <v>0.1969139</v>
      </c>
      <c r="R2312">
        <v>-0.38565070000000001</v>
      </c>
      <c r="S2312">
        <v>3.0448300000000001</v>
      </c>
      <c r="T2312">
        <v>-9.8103880000000004E-2</v>
      </c>
      <c r="U2312">
        <v>-0.72337340000000006</v>
      </c>
      <c r="V2312">
        <v>-0.161829799999999</v>
      </c>
      <c r="W2312">
        <v>0.19631209999999999</v>
      </c>
      <c r="X2312">
        <v>0.96709500000000004</v>
      </c>
      <c r="Y2312">
        <v>-0.3228084</v>
      </c>
      <c r="Z2312">
        <v>2.110596E-2</v>
      </c>
      <c r="AA2312">
        <v>0.94622899999999999</v>
      </c>
      <c r="AB2312">
        <v>26</v>
      </c>
      <c r="AC2312">
        <v>34.973399999999899</v>
      </c>
      <c r="AD2312">
        <v>-1.1391206877026001</v>
      </c>
      <c r="AE2312">
        <v>-8.21359999999998</v>
      </c>
      <c r="AF2312">
        <v>-11.6865945527283</v>
      </c>
      <c r="AG2312">
        <v>-1.1391206877026001</v>
      </c>
      <c r="AH2312">
        <v>33.932788819093297</v>
      </c>
      <c r="AI2312">
        <v>91.817970644392105</v>
      </c>
      <c r="AJ2312">
        <v>109.003922232742</v>
      </c>
      <c r="AK2312">
        <v>35.9069386779518</v>
      </c>
      <c r="AL2312">
        <v>78.678617346055603</v>
      </c>
      <c r="AM2312">
        <v>99.499631128366801</v>
      </c>
      <c r="AN2312">
        <v>1.00000003189972</v>
      </c>
    </row>
    <row r="2313" spans="1:40" x14ac:dyDescent="0.25">
      <c r="A2313" t="str">
        <f>"20190312172703284"</f>
        <v>20190312172703284</v>
      </c>
      <c r="B2313" t="str">
        <f>"1552382823271626"</f>
        <v>1552382823271626</v>
      </c>
      <c r="C2313" t="s">
        <v>40</v>
      </c>
      <c r="D2313">
        <v>3.0453510000000001</v>
      </c>
      <c r="E2313">
        <v>0.43482789999999999</v>
      </c>
      <c r="F2313" t="s">
        <v>48</v>
      </c>
      <c r="G2313">
        <v>-441.17509999999999</v>
      </c>
      <c r="H2313" s="1">
        <v>-7.8787990000000005E-7</v>
      </c>
      <c r="I2313">
        <v>211.7894</v>
      </c>
      <c r="J2313">
        <v>-477.7928</v>
      </c>
      <c r="K2313">
        <v>1.143894</v>
      </c>
      <c r="L2313">
        <v>219.81209999999999</v>
      </c>
      <c r="M2313">
        <v>0.85084139999999997</v>
      </c>
      <c r="N2313">
        <v>0</v>
      </c>
      <c r="O2313">
        <v>-0.52537699999999998</v>
      </c>
      <c r="P2313">
        <v>0.90536139999999998</v>
      </c>
      <c r="Q2313">
        <v>0.19668469999999999</v>
      </c>
      <c r="R2313">
        <v>-0.3763456</v>
      </c>
      <c r="S2313">
        <v>3.056549</v>
      </c>
      <c r="T2313">
        <v>-9.3984960000000006E-2</v>
      </c>
      <c r="U2313">
        <v>-0.68299869999999996</v>
      </c>
      <c r="V2313">
        <v>-0.16383310000000001</v>
      </c>
      <c r="W2313">
        <v>0.196688</v>
      </c>
      <c r="X2313">
        <v>0.96668120000000002</v>
      </c>
      <c r="Y2313">
        <v>-0.32683780000000001</v>
      </c>
      <c r="Z2313">
        <v>2.005156E-2</v>
      </c>
      <c r="AA2313">
        <v>0.94486769999999998</v>
      </c>
      <c r="AB2313">
        <v>26</v>
      </c>
      <c r="AC2313">
        <v>36.617699999999999</v>
      </c>
      <c r="AD2313">
        <v>-1.1438947878799</v>
      </c>
      <c r="AE2313">
        <v>-8.0226999999999808</v>
      </c>
      <c r="AF2313">
        <v>-12.400802248503799</v>
      </c>
      <c r="AG2313">
        <v>-1.1438947878799</v>
      </c>
      <c r="AH2313">
        <v>35.338738409216297</v>
      </c>
      <c r="AI2313">
        <v>91.749467260580005</v>
      </c>
      <c r="AJ2313">
        <v>109.33660567526</v>
      </c>
      <c r="AK2313">
        <v>37.468851384146497</v>
      </c>
      <c r="AL2313">
        <v>78.656651227988306</v>
      </c>
      <c r="AM2313">
        <v>99.619084165385601</v>
      </c>
      <c r="AN2313">
        <v>0.99999999821652497</v>
      </c>
    </row>
    <row r="2314" spans="1:40" x14ac:dyDescent="0.25">
      <c r="A2314" t="str">
        <f>"20190312172703303"</f>
        <v>20190312172703303</v>
      </c>
      <c r="B2314" t="str">
        <f>"1552382823300905"</f>
        <v>1552382823300905</v>
      </c>
      <c r="C2314" t="s">
        <v>40</v>
      </c>
      <c r="D2314">
        <v>3.2136779999999998</v>
      </c>
      <c r="E2314">
        <v>0.43601610000000002</v>
      </c>
      <c r="F2314" t="s">
        <v>48</v>
      </c>
      <c r="G2314">
        <v>-441.67469999999997</v>
      </c>
      <c r="H2314" s="1">
        <v>-5.3492699999999996E-7</v>
      </c>
      <c r="I2314">
        <v>212.08510000000001</v>
      </c>
      <c r="J2314">
        <v>-477.57819999999998</v>
      </c>
      <c r="K2314">
        <v>1.1463270000000001</v>
      </c>
      <c r="L2314">
        <v>219.68629999999999</v>
      </c>
      <c r="M2314">
        <v>0.85240680000000002</v>
      </c>
      <c r="N2314">
        <v>0</v>
      </c>
      <c r="O2314">
        <v>-0.52282059999999997</v>
      </c>
      <c r="P2314">
        <v>0.90662900000000002</v>
      </c>
      <c r="Q2314">
        <v>0.1965076</v>
      </c>
      <c r="R2314">
        <v>-0.37337480000000001</v>
      </c>
      <c r="S2314">
        <v>3.0623170000000002</v>
      </c>
      <c r="T2314">
        <v>-9.6986649999999994E-2</v>
      </c>
      <c r="U2314">
        <v>-0.65515140000000005</v>
      </c>
      <c r="V2314">
        <v>-0.1645385</v>
      </c>
      <c r="W2314">
        <v>0.1970634</v>
      </c>
      <c r="X2314">
        <v>0.96648489999999998</v>
      </c>
      <c r="Y2314">
        <v>-0.33255390000000001</v>
      </c>
      <c r="Z2314">
        <v>2.0705060000000001E-2</v>
      </c>
      <c r="AA2314">
        <v>0.94285699999999995</v>
      </c>
      <c r="AB2314">
        <v>26</v>
      </c>
      <c r="AC2314">
        <v>35.903500000000001</v>
      </c>
      <c r="AD2314">
        <v>-1.1463275349269999</v>
      </c>
      <c r="AE2314">
        <v>-7.6011999999999702</v>
      </c>
      <c r="AF2314">
        <v>-12.280170048726699</v>
      </c>
      <c r="AG2314">
        <v>-1.1463275349269999</v>
      </c>
      <c r="AH2314">
        <v>34.545805605121302</v>
      </c>
      <c r="AI2314">
        <v>91.790834645961894</v>
      </c>
      <c r="AJ2314">
        <v>109.569027943853</v>
      </c>
      <c r="AK2314">
        <v>36.681457552144899</v>
      </c>
      <c r="AL2314">
        <v>78.634712838267305</v>
      </c>
      <c r="AM2314">
        <v>99.661646356743205</v>
      </c>
      <c r="AN2314">
        <v>0.99999998176490901</v>
      </c>
    </row>
    <row r="2315" spans="1:40" x14ac:dyDescent="0.25">
      <c r="A2315" t="str">
        <f>"20190312172703326"</f>
        <v>20190312172703326</v>
      </c>
      <c r="B2315" t="str">
        <f>"1552382823321400"</f>
        <v>1552382823321400</v>
      </c>
      <c r="C2315" t="s">
        <v>40</v>
      </c>
      <c r="D2315">
        <v>3.2503709999999999</v>
      </c>
      <c r="E2315">
        <v>0.43699250000000001</v>
      </c>
      <c r="F2315" t="s">
        <v>48</v>
      </c>
      <c r="G2315">
        <v>-441.31909999999999</v>
      </c>
      <c r="H2315" s="1">
        <v>-7.1885400000000001E-7</v>
      </c>
      <c r="I2315">
        <v>211.96279999999999</v>
      </c>
      <c r="J2315">
        <v>-477.3612</v>
      </c>
      <c r="K2315">
        <v>1.148576</v>
      </c>
      <c r="L2315">
        <v>219.56</v>
      </c>
      <c r="M2315">
        <v>0.85475699999999999</v>
      </c>
      <c r="N2315">
        <v>0</v>
      </c>
      <c r="O2315">
        <v>-0.51895049999999998</v>
      </c>
      <c r="P2315">
        <v>0.90836130000000004</v>
      </c>
      <c r="Q2315">
        <v>0.1959311</v>
      </c>
      <c r="R2315">
        <v>-0.36944680000000002</v>
      </c>
      <c r="S2315">
        <v>3.061401</v>
      </c>
      <c r="T2315">
        <v>-9.6785659999999996E-2</v>
      </c>
      <c r="U2315">
        <v>-0.6520996</v>
      </c>
      <c r="V2315">
        <v>-0.16468269999999999</v>
      </c>
      <c r="W2315">
        <v>0.19740840000000001</v>
      </c>
      <c r="X2315">
        <v>0.96638999999999997</v>
      </c>
      <c r="Y2315">
        <v>-0.32912740000000001</v>
      </c>
      <c r="Z2315">
        <v>2.051592E-2</v>
      </c>
      <c r="AA2315">
        <v>0.94406270000000003</v>
      </c>
      <c r="AB2315">
        <v>26</v>
      </c>
      <c r="AC2315">
        <v>36.042099999999998</v>
      </c>
      <c r="AD2315">
        <v>-1.1485767188539999</v>
      </c>
      <c r="AE2315">
        <v>-7.5972000000000097</v>
      </c>
      <c r="AF2315">
        <v>-12.198937996851001</v>
      </c>
      <c r="AG2315">
        <v>-1.1485767188539999</v>
      </c>
      <c r="AH2315">
        <v>34.7174555273061</v>
      </c>
      <c r="AI2315">
        <v>91.787778713877401</v>
      </c>
      <c r="AJ2315">
        <v>109.360335482091</v>
      </c>
      <c r="AK2315">
        <v>36.816233308427798</v>
      </c>
      <c r="AL2315">
        <v>78.614550498783501</v>
      </c>
      <c r="AM2315">
        <v>99.670885585820699</v>
      </c>
      <c r="AN2315">
        <v>1.00000005008492</v>
      </c>
    </row>
    <row r="2316" spans="1:40" x14ac:dyDescent="0.25">
      <c r="A2316" t="str">
        <f>"20190312172703350"</f>
        <v>20190312172703350</v>
      </c>
      <c r="B2316" t="str">
        <f>"1552382823341427"</f>
        <v>1552382823341427</v>
      </c>
      <c r="C2316" t="s">
        <v>40</v>
      </c>
      <c r="D2316">
        <v>3.2306330000000001</v>
      </c>
      <c r="E2316">
        <v>0.4378937</v>
      </c>
      <c r="F2316" t="s">
        <v>48</v>
      </c>
      <c r="G2316">
        <v>-441.54739999999998</v>
      </c>
      <c r="H2316" s="1">
        <v>-5.993443E-7</v>
      </c>
      <c r="I2316">
        <v>212.00800000000001</v>
      </c>
      <c r="J2316">
        <v>-477.12779999999998</v>
      </c>
      <c r="K2316">
        <v>1.1506379999999901</v>
      </c>
      <c r="L2316">
        <v>219.42570000000001</v>
      </c>
      <c r="M2316">
        <v>0.85818909999999904</v>
      </c>
      <c r="N2316">
        <v>0</v>
      </c>
      <c r="O2316">
        <v>-0.51323589999999997</v>
      </c>
      <c r="P2316">
        <v>0.910995</v>
      </c>
      <c r="Q2316">
        <v>0.1952189</v>
      </c>
      <c r="R2316">
        <v>-0.363288</v>
      </c>
      <c r="S2316">
        <v>3.06134</v>
      </c>
      <c r="T2316">
        <v>-9.8179580000000002E-2</v>
      </c>
      <c r="U2316">
        <v>-0.64553830000000001</v>
      </c>
      <c r="V2316">
        <v>-0.1650645</v>
      </c>
      <c r="W2316">
        <v>0.19753560000000001</v>
      </c>
      <c r="X2316">
        <v>0.96629880000000001</v>
      </c>
      <c r="Y2316">
        <v>-0.32475530000000002</v>
      </c>
      <c r="Z2316">
        <v>2.0595789999999999E-2</v>
      </c>
      <c r="AA2316">
        <v>0.94557380000000002</v>
      </c>
      <c r="AB2316">
        <v>26</v>
      </c>
      <c r="AC2316">
        <v>35.580399999999997</v>
      </c>
      <c r="AD2316">
        <v>-1.15063859934429</v>
      </c>
      <c r="AE2316">
        <v>-7.4177000000000204</v>
      </c>
      <c r="AF2316">
        <v>-11.8840355363686</v>
      </c>
      <c r="AG2316">
        <v>-1.15063859934429</v>
      </c>
      <c r="AH2316">
        <v>34.309078594571197</v>
      </c>
      <c r="AI2316">
        <v>91.815106091450602</v>
      </c>
      <c r="AJ2316">
        <v>109.105147197718</v>
      </c>
      <c r="AK2316">
        <v>36.327223178003003</v>
      </c>
      <c r="AL2316">
        <v>78.6071153490456</v>
      </c>
      <c r="AM2316">
        <v>99.693779145367202</v>
      </c>
      <c r="AN2316">
        <v>0.99999998665452405</v>
      </c>
    </row>
    <row r="2317" spans="1:40" x14ac:dyDescent="0.25">
      <c r="A2317" t="str">
        <f>"20190312172703371"</f>
        <v>20190312172703371</v>
      </c>
      <c r="B2317" t="str">
        <f>"1552382823360948"</f>
        <v>1552382823360948</v>
      </c>
      <c r="C2317" t="s">
        <v>40</v>
      </c>
      <c r="D2317">
        <v>3.2074590000000001</v>
      </c>
      <c r="E2317">
        <v>0.43847649999999999</v>
      </c>
      <c r="F2317" t="s">
        <v>48</v>
      </c>
      <c r="G2317">
        <v>-441.38740000000001</v>
      </c>
      <c r="H2317" s="1">
        <v>-6.8709950000000004E-7</v>
      </c>
      <c r="I2317">
        <v>212.0677</v>
      </c>
      <c r="J2317">
        <v>-476.89920000000001</v>
      </c>
      <c r="K2317">
        <v>1.152401</v>
      </c>
      <c r="L2317">
        <v>219.29660000000001</v>
      </c>
      <c r="M2317">
        <v>0.86176209999999898</v>
      </c>
      <c r="N2317">
        <v>0</v>
      </c>
      <c r="O2317">
        <v>-0.50719139999999996</v>
      </c>
      <c r="P2317">
        <v>0.91332610000000003</v>
      </c>
      <c r="Q2317">
        <v>0.1946763</v>
      </c>
      <c r="R2317">
        <v>-0.35768240000000001</v>
      </c>
      <c r="S2317">
        <v>3.062805</v>
      </c>
      <c r="T2317">
        <v>-9.8604919999999999E-2</v>
      </c>
      <c r="U2317">
        <v>-0.63055419999999995</v>
      </c>
      <c r="V2317">
        <v>-0.16446749999999999</v>
      </c>
      <c r="W2317">
        <v>0.19791039999999999</v>
      </c>
      <c r="X2317">
        <v>0.96632390000000001</v>
      </c>
      <c r="Y2317">
        <v>-0.32263849999999999</v>
      </c>
      <c r="Z2317">
        <v>2.0492960000000001E-2</v>
      </c>
      <c r="AA2317">
        <v>0.94630040000000004</v>
      </c>
      <c r="AB2317">
        <v>26</v>
      </c>
      <c r="AC2317">
        <v>35.511799999999901</v>
      </c>
      <c r="AD2317">
        <v>-1.1524016870995</v>
      </c>
      <c r="AE2317">
        <v>-7.2289000000000003</v>
      </c>
      <c r="AF2317">
        <v>-11.7705098409276</v>
      </c>
      <c r="AG2317">
        <v>-1.1524016870995</v>
      </c>
      <c r="AH2317">
        <v>34.236646980227299</v>
      </c>
      <c r="AI2317">
        <v>91.823179501717604</v>
      </c>
      <c r="AJ2317">
        <v>108.972895896617</v>
      </c>
      <c r="AK2317">
        <v>36.221829440442598</v>
      </c>
      <c r="AL2317">
        <v>78.585208352202798</v>
      </c>
      <c r="AM2317">
        <v>99.659134536798902</v>
      </c>
      <c r="AN2317">
        <v>0.99999998234780896</v>
      </c>
    </row>
    <row r="2318" spans="1:40" x14ac:dyDescent="0.25">
      <c r="A2318" t="str">
        <f>"20190312172703395"</f>
        <v>20190312172703395</v>
      </c>
      <c r="B2318" t="str">
        <f>"1552382823391204"</f>
        <v>1552382823391204</v>
      </c>
      <c r="C2318" t="s">
        <v>40</v>
      </c>
      <c r="D2318">
        <v>3.2433890000000001</v>
      </c>
      <c r="E2318">
        <v>0.44764910000000002</v>
      </c>
      <c r="F2318" t="s">
        <v>48</v>
      </c>
      <c r="G2318">
        <v>-442.22309999999999</v>
      </c>
      <c r="H2318" s="1">
        <v>-2.5393510000000002E-7</v>
      </c>
      <c r="I2318">
        <v>212.3329</v>
      </c>
      <c r="J2318">
        <v>-476.66469999999998</v>
      </c>
      <c r="K2318">
        <v>1.1538930000000001</v>
      </c>
      <c r="L2318">
        <v>219.1669</v>
      </c>
      <c r="M2318">
        <v>0.86531729999999996</v>
      </c>
      <c r="N2318">
        <v>0</v>
      </c>
      <c r="O2318">
        <v>-0.50107290000000004</v>
      </c>
      <c r="P2318">
        <v>0.91594529999999996</v>
      </c>
      <c r="Q2318">
        <v>0.19317699999999999</v>
      </c>
      <c r="R2318">
        <v>-0.35174889999999998</v>
      </c>
      <c r="S2318">
        <v>3.0653380000000001</v>
      </c>
      <c r="T2318">
        <v>-0.1018714</v>
      </c>
      <c r="U2318">
        <v>-0.6155853</v>
      </c>
      <c r="V2318">
        <v>-0.16417519999999999</v>
      </c>
      <c r="W2318">
        <v>0.19752059999999999</v>
      </c>
      <c r="X2318">
        <v>0.96645340000000002</v>
      </c>
      <c r="Y2318">
        <v>-0.32050990000000001</v>
      </c>
      <c r="Z2318">
        <v>2.096249E-2</v>
      </c>
      <c r="AA2318">
        <v>0.9470132</v>
      </c>
      <c r="AB2318">
        <v>26</v>
      </c>
      <c r="AC2318">
        <v>34.441599999999902</v>
      </c>
      <c r="AD2318">
        <v>-1.1538932539350999</v>
      </c>
      <c r="AE2318">
        <v>-6.8339999999999996</v>
      </c>
      <c r="AF2318">
        <v>-11.332797185482899</v>
      </c>
      <c r="AG2318">
        <v>-1.1538932539350999</v>
      </c>
      <c r="AH2318">
        <v>33.193921773281502</v>
      </c>
      <c r="AI2318">
        <v>91.884220278414503</v>
      </c>
      <c r="AJ2318">
        <v>108.850511162449</v>
      </c>
      <c r="AK2318">
        <v>35.094161970041398</v>
      </c>
      <c r="AL2318">
        <v>78.607992548760507</v>
      </c>
      <c r="AM2318">
        <v>99.641022635559594</v>
      </c>
      <c r="AN2318">
        <v>1.00000002904547</v>
      </c>
    </row>
    <row r="2319" spans="1:40" x14ac:dyDescent="0.25">
      <c r="A2319" t="str">
        <f>"20190312172703417"</f>
        <v>20190312172703417</v>
      </c>
      <c r="B2319" t="str">
        <f>"1552382823410724"</f>
        <v>1552382823410724</v>
      </c>
      <c r="C2319" t="s">
        <v>40</v>
      </c>
      <c r="D2319">
        <v>3.2757350000000001</v>
      </c>
      <c r="E2319">
        <v>0.4482622</v>
      </c>
      <c r="F2319" t="s">
        <v>48</v>
      </c>
      <c r="G2319">
        <v>-446.27449999999999</v>
      </c>
      <c r="H2319" s="1">
        <v>1.892656E-6</v>
      </c>
      <c r="I2319">
        <v>212.54640000000001</v>
      </c>
      <c r="J2319">
        <v>-476.43979999999999</v>
      </c>
      <c r="K2319">
        <v>1.1549100000000001</v>
      </c>
      <c r="L2319">
        <v>219.0453</v>
      </c>
      <c r="M2319">
        <v>0.86869819999999998</v>
      </c>
      <c r="N2319">
        <v>0</v>
      </c>
      <c r="O2319">
        <v>-0.49515680000000001</v>
      </c>
      <c r="P2319">
        <v>0.91826569999999996</v>
      </c>
      <c r="Q2319">
        <v>0.1920605</v>
      </c>
      <c r="R2319">
        <v>-0.34626699999999999</v>
      </c>
      <c r="S2319">
        <v>3.0449519999999999</v>
      </c>
      <c r="T2319">
        <v>-0.11561440000000001</v>
      </c>
      <c r="U2319">
        <v>-0.66334530000000003</v>
      </c>
      <c r="V2319">
        <v>-0.1635392</v>
      </c>
      <c r="W2319">
        <v>0.1975613</v>
      </c>
      <c r="X2319">
        <v>0.96655290000000005</v>
      </c>
      <c r="Y2319">
        <v>-0.29841889999999999</v>
      </c>
      <c r="Z2319">
        <v>2.3283829999999998E-2</v>
      </c>
      <c r="AA2319">
        <v>0.95415099999999997</v>
      </c>
      <c r="AB2319">
        <v>26</v>
      </c>
      <c r="AC2319">
        <v>30.165299999999998</v>
      </c>
      <c r="AD2319">
        <v>-1.154908107344</v>
      </c>
      <c r="AE2319">
        <v>-6.4988999999999901</v>
      </c>
      <c r="AF2319">
        <v>-9.2788240145219092</v>
      </c>
      <c r="AG2319">
        <v>-1.154908107344</v>
      </c>
      <c r="AH2319">
        <v>29.3840504268621</v>
      </c>
      <c r="AI2319">
        <v>92.146421465762202</v>
      </c>
      <c r="AJ2319">
        <v>107.524948141211</v>
      </c>
      <c r="AK2319">
        <v>30.8359012729846</v>
      </c>
      <c r="AL2319">
        <v>78.605613663636305</v>
      </c>
      <c r="AM2319">
        <v>99.603400919099997</v>
      </c>
      <c r="AN2319">
        <v>1.0000000228463599</v>
      </c>
    </row>
    <row r="2320" spans="1:40" x14ac:dyDescent="0.25">
      <c r="A2320" t="str">
        <f>"20190312172703462"</f>
        <v>20190312172703462</v>
      </c>
      <c r="B2320" t="str">
        <f>"1552382823450739"</f>
        <v>1552382823450739</v>
      </c>
      <c r="C2320" t="s">
        <v>40</v>
      </c>
      <c r="D2320">
        <v>3.1590959999999999</v>
      </c>
      <c r="E2320">
        <v>0.44851259999999998</v>
      </c>
      <c r="F2320" t="s">
        <v>48</v>
      </c>
      <c r="G2320">
        <v>-445.81139999999999</v>
      </c>
      <c r="H2320" s="1">
        <v>1.6476300000000001E-6</v>
      </c>
      <c r="I2320">
        <v>212.51480000000001</v>
      </c>
      <c r="J2320">
        <v>-475.98219999999998</v>
      </c>
      <c r="K2320">
        <v>1.155672</v>
      </c>
      <c r="L2320">
        <v>218.80590000000001</v>
      </c>
      <c r="M2320">
        <v>0.87570179999999997</v>
      </c>
      <c r="N2320">
        <v>0</v>
      </c>
      <c r="O2320">
        <v>-0.48258780000000001</v>
      </c>
      <c r="P2320">
        <v>0.92331350000000001</v>
      </c>
      <c r="Q2320">
        <v>0.1898716</v>
      </c>
      <c r="R2320">
        <v>-0.33382800000000001</v>
      </c>
      <c r="S2320">
        <v>3.0461429999999998</v>
      </c>
      <c r="T2320">
        <v>-0.1148612</v>
      </c>
      <c r="U2320">
        <v>-0.64949040000000002</v>
      </c>
      <c r="V2320">
        <v>-0.16276099999999999</v>
      </c>
      <c r="W2320">
        <v>0.19791039999999999</v>
      </c>
      <c r="X2320">
        <v>0.96661280000000005</v>
      </c>
      <c r="Y2320">
        <v>-0.28891549999999999</v>
      </c>
      <c r="Z2320">
        <v>2.2558080000000001E-2</v>
      </c>
      <c r="AA2320">
        <v>0.95708879999999996</v>
      </c>
      <c r="AB2320">
        <v>26</v>
      </c>
      <c r="AC2320">
        <v>30.1707999999999</v>
      </c>
      <c r="AD2320">
        <v>-1.15567035237</v>
      </c>
      <c r="AE2320">
        <v>-6.2911000000000001</v>
      </c>
      <c r="AF2320">
        <v>-9.0393781995243607</v>
      </c>
      <c r="AG2320">
        <v>-1.15567035237</v>
      </c>
      <c r="AH2320">
        <v>29.419028347727</v>
      </c>
      <c r="AI2320">
        <v>92.150473759164797</v>
      </c>
      <c r="AJ2320">
        <v>107.08025483313</v>
      </c>
      <c r="AK2320">
        <v>30.7981356760721</v>
      </c>
      <c r="AL2320">
        <v>78.585208409913207</v>
      </c>
      <c r="AM2320">
        <v>99.557966949667303</v>
      </c>
      <c r="AN2320">
        <v>0.99999998733649997</v>
      </c>
    </row>
    <row r="2321" spans="1:40" x14ac:dyDescent="0.25">
      <c r="A2321" t="str">
        <f>"20190312172703505"</f>
        <v>20190312172703505</v>
      </c>
      <c r="B2321" t="str">
        <f>"1552382823501492"</f>
        <v>1552382823501492</v>
      </c>
      <c r="C2321" t="s">
        <v>40</v>
      </c>
      <c r="D2321">
        <v>3.1749420000000002</v>
      </c>
      <c r="E2321">
        <v>0.45031700000000002</v>
      </c>
      <c r="F2321" t="s">
        <v>48</v>
      </c>
      <c r="G2321">
        <v>-448.87240000000003</v>
      </c>
      <c r="H2321" s="1">
        <v>3.2381470000000002E-6</v>
      </c>
      <c r="I2321">
        <v>213.39330000000001</v>
      </c>
      <c r="J2321">
        <v>-475.53820000000002</v>
      </c>
      <c r="K2321">
        <v>1.1530819999999999</v>
      </c>
      <c r="L2321">
        <v>218.58369999999999</v>
      </c>
      <c r="M2321">
        <v>0.88283389999999995</v>
      </c>
      <c r="N2321">
        <v>0</v>
      </c>
      <c r="O2321">
        <v>-0.46935729999999998</v>
      </c>
      <c r="P2321">
        <v>0.92795430000000001</v>
      </c>
      <c r="Q2321">
        <v>0.18981290000000001</v>
      </c>
      <c r="R2321">
        <v>-0.3207372</v>
      </c>
      <c r="S2321">
        <v>3.0553590000000002</v>
      </c>
      <c r="T2321">
        <v>-0.1302478</v>
      </c>
      <c r="U2321">
        <v>-0.61001590000000006</v>
      </c>
      <c r="V2321">
        <v>-0.1610306</v>
      </c>
      <c r="W2321">
        <v>0.2001703</v>
      </c>
      <c r="X2321">
        <v>0.96643730000000005</v>
      </c>
      <c r="Y2321">
        <v>-0.28684690000000002</v>
      </c>
      <c r="Z2321">
        <v>2.501975E-2</v>
      </c>
      <c r="AA2321">
        <v>0.95764959999999999</v>
      </c>
      <c r="AB2321">
        <v>26</v>
      </c>
      <c r="AC2321">
        <v>26.665799999999901</v>
      </c>
      <c r="AD2321">
        <v>-1.1530787618529901</v>
      </c>
      <c r="AE2321">
        <v>-5.1903999999999799</v>
      </c>
      <c r="AF2321">
        <v>-7.9204794382117303</v>
      </c>
      <c r="AG2321">
        <v>-1.1530787618529901</v>
      </c>
      <c r="AH2321">
        <v>25.934901869063101</v>
      </c>
      <c r="AI2321">
        <v>92.434849312454602</v>
      </c>
      <c r="AJ2321">
        <v>106.98259132275</v>
      </c>
      <c r="AK2321">
        <v>27.141899714649799</v>
      </c>
      <c r="AL2321">
        <v>78.453082452363304</v>
      </c>
      <c r="AM2321">
        <v>99.459883150610807</v>
      </c>
      <c r="AN2321">
        <v>1.0000000289848601</v>
      </c>
    </row>
    <row r="2322" spans="1:40" x14ac:dyDescent="0.25">
      <c r="A2322" t="str">
        <f>"20190312172703527"</f>
        <v>20190312172703527</v>
      </c>
      <c r="B2322" t="str">
        <f>"1552382823521012"</f>
        <v>1552382823521012</v>
      </c>
      <c r="C2322" t="s">
        <v>40</v>
      </c>
      <c r="D2322">
        <v>3.1944159999999999</v>
      </c>
      <c r="E2322">
        <v>0.45105279999999998</v>
      </c>
      <c r="F2322" t="s">
        <v>48</v>
      </c>
      <c r="G2322">
        <v>-449.03699999999998</v>
      </c>
      <c r="H2322" s="1">
        <v>3.3196200000000001E-6</v>
      </c>
      <c r="I2322">
        <v>213.53319999999999</v>
      </c>
      <c r="J2322">
        <v>-475.30630000000002</v>
      </c>
      <c r="K2322">
        <v>1.150739</v>
      </c>
      <c r="L2322">
        <v>218.47020000000001</v>
      </c>
      <c r="M2322">
        <v>0.88662439999999998</v>
      </c>
      <c r="N2322">
        <v>0</v>
      </c>
      <c r="O2322">
        <v>-0.46215070000000003</v>
      </c>
      <c r="P2322">
        <v>0.93056240000000001</v>
      </c>
      <c r="Q2322">
        <v>0.18978809999999999</v>
      </c>
      <c r="R2322">
        <v>-0.31310510000000003</v>
      </c>
      <c r="S2322">
        <v>3.0586549999999999</v>
      </c>
      <c r="T2322">
        <v>-0.1330836</v>
      </c>
      <c r="U2322">
        <v>-0.58291630000000005</v>
      </c>
      <c r="V2322">
        <v>-0.1605046</v>
      </c>
      <c r="W2322">
        <v>0.20079250000000001</v>
      </c>
      <c r="X2322">
        <v>0.96639569999999997</v>
      </c>
      <c r="Y2322">
        <v>-0.28739550000000003</v>
      </c>
      <c r="Z2322">
        <v>2.530702E-2</v>
      </c>
      <c r="AA2322">
        <v>0.95747760000000004</v>
      </c>
      <c r="AB2322">
        <v>26</v>
      </c>
      <c r="AC2322">
        <v>26.269300000000001</v>
      </c>
      <c r="AD2322">
        <v>-1.15073568038</v>
      </c>
      <c r="AE2322">
        <v>-4.93700000000001</v>
      </c>
      <c r="AF2322">
        <v>-7.7499653227693699</v>
      </c>
      <c r="AG2322">
        <v>-1.15073568038</v>
      </c>
      <c r="AH2322">
        <v>25.5293378011851</v>
      </c>
      <c r="AI2322">
        <v>92.469717997915296</v>
      </c>
      <c r="AJ2322">
        <v>106.886766004349</v>
      </c>
      <c r="AK2322">
        <v>26.704554736547198</v>
      </c>
      <c r="AL2322">
        <v>78.416693928611195</v>
      </c>
      <c r="AM2322">
        <v>99.429937274398895</v>
      </c>
      <c r="AN2322">
        <v>1.00000000182795</v>
      </c>
    </row>
    <row r="2323" spans="1:40" x14ac:dyDescent="0.25">
      <c r="A2323" t="str">
        <f>"20190312172703552"</f>
        <v>20190312172703552</v>
      </c>
      <c r="B2323" t="str">
        <f>"1552382823541508"</f>
        <v>1552382823541508</v>
      </c>
      <c r="C2323" t="s">
        <v>40</v>
      </c>
      <c r="D2323">
        <v>3.1908859999999999</v>
      </c>
      <c r="E2323">
        <v>0.45164339999999997</v>
      </c>
      <c r="F2323" t="s">
        <v>48</v>
      </c>
      <c r="G2323">
        <v>-449.16430000000003</v>
      </c>
      <c r="H2323" s="1">
        <v>3.3825569999999999E-6</v>
      </c>
      <c r="I2323">
        <v>213.6429</v>
      </c>
      <c r="J2323">
        <v>-475.05619999999999</v>
      </c>
      <c r="K2323">
        <v>1.1487369999999999</v>
      </c>
      <c r="L2323">
        <v>218.34909999999999</v>
      </c>
      <c r="M2323">
        <v>0.89099039999999996</v>
      </c>
      <c r="N2323">
        <v>0</v>
      </c>
      <c r="O2323">
        <v>-0.45364959999999999</v>
      </c>
      <c r="P2323">
        <v>0.93373910000000004</v>
      </c>
      <c r="Q2323">
        <v>0.18878349999999999</v>
      </c>
      <c r="R2323">
        <v>-0.3041258</v>
      </c>
      <c r="S2323">
        <v>3.061188</v>
      </c>
      <c r="T2323">
        <v>-0.1347497</v>
      </c>
      <c r="U2323">
        <v>-0.56526180000000004</v>
      </c>
      <c r="V2323">
        <v>-0.1601629</v>
      </c>
      <c r="W2323">
        <v>0.20082900000000001</v>
      </c>
      <c r="X2323">
        <v>0.96644479999999999</v>
      </c>
      <c r="Y2323">
        <v>-0.28371350000000001</v>
      </c>
      <c r="Z2323">
        <v>2.521441E-2</v>
      </c>
      <c r="AA2323">
        <v>0.95857749999999997</v>
      </c>
      <c r="AB2323">
        <v>26</v>
      </c>
      <c r="AC2323">
        <v>25.8918999999999</v>
      </c>
      <c r="AD2323">
        <v>-1.1487336174429901</v>
      </c>
      <c r="AE2323">
        <v>-4.7061999999999902</v>
      </c>
      <c r="AF2323">
        <v>-7.5395821429397101</v>
      </c>
      <c r="AG2323">
        <v>-1.1487336174429901</v>
      </c>
      <c r="AH2323">
        <v>25.160720406489599</v>
      </c>
      <c r="AI2323">
        <v>92.504205568788507</v>
      </c>
      <c r="AJ2323">
        <v>106.681204710736</v>
      </c>
      <c r="AK2323">
        <v>26.291191285058201</v>
      </c>
      <c r="AL2323">
        <v>78.414559086018699</v>
      </c>
      <c r="AM2323">
        <v>99.409751692062997</v>
      </c>
      <c r="AN2323">
        <v>0.99999999661222505</v>
      </c>
    </row>
    <row r="2324" spans="1:40" x14ac:dyDescent="0.25">
      <c r="A2324" t="str">
        <f>"20190312172703572"</f>
        <v>20190312172703572</v>
      </c>
      <c r="B2324" t="str">
        <f>"1552382823561028"</f>
        <v>1552382823561028</v>
      </c>
      <c r="C2324" t="s">
        <v>40</v>
      </c>
      <c r="D2324">
        <v>3.2201279999999999</v>
      </c>
      <c r="E2324">
        <v>0.45228669999999999</v>
      </c>
      <c r="F2324" t="s">
        <v>48</v>
      </c>
      <c r="G2324">
        <v>-449.9042</v>
      </c>
      <c r="H2324" s="1">
        <v>3.7647900000000001E-6</v>
      </c>
      <c r="I2324">
        <v>213.90549999999999</v>
      </c>
      <c r="J2324">
        <v>-474.84100000000001</v>
      </c>
      <c r="K2324">
        <v>1.1473880000000001</v>
      </c>
      <c r="L2324">
        <v>218.2466</v>
      </c>
      <c r="M2324">
        <v>0.8949279</v>
      </c>
      <c r="N2324">
        <v>0</v>
      </c>
      <c r="O2324">
        <v>-0.44579659999999899</v>
      </c>
      <c r="P2324">
        <v>0.93646099999999999</v>
      </c>
      <c r="Q2324">
        <v>0.1880878</v>
      </c>
      <c r="R2324">
        <v>-0.29608089999999998</v>
      </c>
      <c r="S2324">
        <v>3.064819</v>
      </c>
      <c r="T2324">
        <v>-0.13997509999999999</v>
      </c>
      <c r="U2324">
        <v>-0.54145810000000005</v>
      </c>
      <c r="V2324">
        <v>-0.15979119999999999</v>
      </c>
      <c r="W2324">
        <v>0.2011396</v>
      </c>
      <c r="X2324">
        <v>0.96644180000000002</v>
      </c>
      <c r="Y2324">
        <v>-0.28265829999999997</v>
      </c>
      <c r="Z2324">
        <v>2.5847149999999999E-2</v>
      </c>
      <c r="AA2324">
        <v>0.95887239999999996</v>
      </c>
      <c r="AB2324">
        <v>26</v>
      </c>
      <c r="AC2324">
        <v>24.936800000000002</v>
      </c>
      <c r="AD2324">
        <v>-1.1473842352100001</v>
      </c>
      <c r="AE2324">
        <v>-4.3411000000000097</v>
      </c>
      <c r="AF2324">
        <v>-7.2182732533615699</v>
      </c>
      <c r="AG2324">
        <v>-1.1473842352100001</v>
      </c>
      <c r="AH2324">
        <v>24.206626917777299</v>
      </c>
      <c r="AI2324">
        <v>92.600763626016203</v>
      </c>
      <c r="AJ2324">
        <v>106.604269936821</v>
      </c>
      <c r="AK2324">
        <v>25.2859792390934</v>
      </c>
      <c r="AL2324">
        <v>78.396393054305904</v>
      </c>
      <c r="AM2324">
        <v>99.388331748779805</v>
      </c>
      <c r="AN2324">
        <v>1.00000005953641</v>
      </c>
    </row>
    <row r="2325" spans="1:40" x14ac:dyDescent="0.25">
      <c r="A2325" t="str">
        <f>"20190312172703616"</f>
        <v>20190312172703616</v>
      </c>
      <c r="B2325" t="str">
        <f>"1552382823610803"</f>
        <v>1552382823610803</v>
      </c>
      <c r="C2325" t="s">
        <v>40</v>
      </c>
      <c r="D2325">
        <v>3.3456139999999999</v>
      </c>
      <c r="E2325">
        <v>0.46067619999999998</v>
      </c>
      <c r="F2325" t="s">
        <v>48</v>
      </c>
      <c r="G2325">
        <v>-450.4495</v>
      </c>
      <c r="H2325" s="1">
        <v>-1.2754009999999999E-6</v>
      </c>
      <c r="I2325">
        <v>214.1088</v>
      </c>
      <c r="J2325">
        <v>-474.38249999999999</v>
      </c>
      <c r="K2325">
        <v>1.145141</v>
      </c>
      <c r="L2325">
        <v>218.03739999999999</v>
      </c>
      <c r="M2325">
        <v>0.90255350000000001</v>
      </c>
      <c r="N2325">
        <v>0</v>
      </c>
      <c r="O2325">
        <v>-0.43008819999999998</v>
      </c>
      <c r="P2325">
        <v>0.94190719999999994</v>
      </c>
      <c r="Q2325">
        <v>0.1867917</v>
      </c>
      <c r="R2325">
        <v>-0.27914119999999998</v>
      </c>
      <c r="S2325">
        <v>3.067993</v>
      </c>
      <c r="T2325">
        <v>-0.144319899999999</v>
      </c>
      <c r="U2325">
        <v>-0.52046199999999998</v>
      </c>
      <c r="V2325">
        <v>-0.16034899999999999</v>
      </c>
      <c r="W2325">
        <v>0.2011733</v>
      </c>
      <c r="X2325">
        <v>0.96634229999999999</v>
      </c>
      <c r="Y2325">
        <v>-0.2724145</v>
      </c>
      <c r="Z2325">
        <v>2.5748400000000001E-2</v>
      </c>
      <c r="AA2325">
        <v>0.96183540000000001</v>
      </c>
      <c r="AB2325">
        <v>26</v>
      </c>
      <c r="AC2325">
        <v>23.933</v>
      </c>
      <c r="AD2325">
        <v>-1.1451422754010001</v>
      </c>
      <c r="AE2325">
        <v>-3.9285999999999799</v>
      </c>
      <c r="AF2325">
        <v>-6.7339388187897704</v>
      </c>
      <c r="AG2325">
        <v>-1.1451422754010001</v>
      </c>
      <c r="AH2325">
        <v>23.243547441116299</v>
      </c>
      <c r="AI2325">
        <v>92.709284193558105</v>
      </c>
      <c r="AJ2325">
        <v>106.15694630978901</v>
      </c>
      <c r="AK2325">
        <v>24.226427315919601</v>
      </c>
      <c r="AL2325">
        <v>78.394420836168095</v>
      </c>
      <c r="AM2325">
        <v>99.421470720298203</v>
      </c>
      <c r="AN2325">
        <v>0.99999996960158899</v>
      </c>
    </row>
    <row r="2326" spans="1:40" x14ac:dyDescent="0.25">
      <c r="A2326" t="str">
        <f>"20190312172703643"</f>
        <v>20190312172703643</v>
      </c>
      <c r="B2326" t="str">
        <f>"1552382823631300"</f>
        <v>1552382823631300</v>
      </c>
      <c r="C2326" t="s">
        <v>40</v>
      </c>
      <c r="D2326">
        <v>3.2172580000000002</v>
      </c>
      <c r="E2326">
        <v>0.46107150000000002</v>
      </c>
      <c r="F2326" t="s">
        <v>48</v>
      </c>
      <c r="G2326">
        <v>-452.09980000000002</v>
      </c>
      <c r="H2326" s="1">
        <v>-3.9992910000000003E-7</v>
      </c>
      <c r="I2326">
        <v>214.17080000000001</v>
      </c>
      <c r="J2326">
        <v>-474.1146</v>
      </c>
      <c r="K2326">
        <v>1.143602</v>
      </c>
      <c r="L2326">
        <v>217.92150000000001</v>
      </c>
      <c r="M2326">
        <v>0.90641090000000002</v>
      </c>
      <c r="N2326">
        <v>0</v>
      </c>
      <c r="O2326">
        <v>-0.42187989999999997</v>
      </c>
      <c r="P2326">
        <v>0.94471439999999995</v>
      </c>
      <c r="Q2326">
        <v>0.18654960000000001</v>
      </c>
      <c r="R2326">
        <v>-0.26965600000000001</v>
      </c>
      <c r="S2326">
        <v>3.0588989999999998</v>
      </c>
      <c r="T2326">
        <v>-0.1572009</v>
      </c>
      <c r="U2326">
        <v>-0.53079219999999905</v>
      </c>
      <c r="V2326">
        <v>-0.1612314</v>
      </c>
      <c r="W2326">
        <v>0.20133529999999999</v>
      </c>
      <c r="X2326">
        <v>0.96616170000000001</v>
      </c>
      <c r="Y2326">
        <v>-0.25992530000000003</v>
      </c>
      <c r="Z2326">
        <v>2.7417819999999999E-2</v>
      </c>
      <c r="AA2326">
        <v>0.96523939999999997</v>
      </c>
      <c r="AB2326">
        <v>26</v>
      </c>
      <c r="AC2326">
        <v>22.014799999999902</v>
      </c>
      <c r="AD2326">
        <v>-1.1436023999291001</v>
      </c>
      <c r="AE2326">
        <v>-3.7506999999999899</v>
      </c>
      <c r="AF2326">
        <v>-5.8738088015432099</v>
      </c>
      <c r="AG2326">
        <v>-1.1436023999291001</v>
      </c>
      <c r="AH2326">
        <v>21.485160919900402</v>
      </c>
      <c r="AI2326">
        <v>92.939177839666499</v>
      </c>
      <c r="AJ2326">
        <v>105.29040744084099</v>
      </c>
      <c r="AK2326">
        <v>22.302950388686899</v>
      </c>
      <c r="AL2326">
        <v>78.384944792386804</v>
      </c>
      <c r="AM2326">
        <v>99.474118507723702</v>
      </c>
      <c r="AN2326">
        <v>0.99999994895946798</v>
      </c>
    </row>
    <row r="2327" spans="1:40" x14ac:dyDescent="0.25">
      <c r="A2327" t="str">
        <f>"20190312172703665"</f>
        <v>20190312172703665</v>
      </c>
      <c r="B2327" t="str">
        <f>"1552382823661555"</f>
        <v>1552382823661555</v>
      </c>
      <c r="C2327" t="s">
        <v>40</v>
      </c>
      <c r="D2327">
        <v>3.2309130000000001</v>
      </c>
      <c r="E2327">
        <v>0.46159640000000002</v>
      </c>
      <c r="F2327" t="s">
        <v>48</v>
      </c>
      <c r="G2327">
        <v>-451.8458</v>
      </c>
      <c r="H2327" s="1">
        <v>-5.3897029999999999E-7</v>
      </c>
      <c r="I2327">
        <v>214.26</v>
      </c>
      <c r="J2327">
        <v>-473.87970000000001</v>
      </c>
      <c r="K2327">
        <v>1.1418680000000001</v>
      </c>
      <c r="L2327">
        <v>217.8235</v>
      </c>
      <c r="M2327">
        <v>0.90966409999999998</v>
      </c>
      <c r="N2327">
        <v>0</v>
      </c>
      <c r="O2327">
        <v>-0.41481279999999998</v>
      </c>
      <c r="P2327">
        <v>0.94697089999999995</v>
      </c>
      <c r="Q2327">
        <v>0.18690570000000001</v>
      </c>
      <c r="R2327">
        <v>-0.26136740000000003</v>
      </c>
      <c r="S2327">
        <v>3.0628359999999999</v>
      </c>
      <c r="T2327">
        <v>-0.15729009999999999</v>
      </c>
      <c r="U2327">
        <v>-0.50360109999999902</v>
      </c>
      <c r="V2327">
        <v>-0.16192529999999999</v>
      </c>
      <c r="W2327">
        <v>0.2019677</v>
      </c>
      <c r="X2327">
        <v>0.96591369999999999</v>
      </c>
      <c r="Y2327">
        <v>-0.26095859999999999</v>
      </c>
      <c r="Z2327">
        <v>2.712817E-2</v>
      </c>
      <c r="AA2327">
        <v>0.96496870000000001</v>
      </c>
      <c r="AB2327">
        <v>26</v>
      </c>
      <c r="AC2327">
        <v>22.033899999999999</v>
      </c>
      <c r="AD2327">
        <v>-1.1418685389703001</v>
      </c>
      <c r="AE2327">
        <v>-3.5634999999999999</v>
      </c>
      <c r="AF2327">
        <v>-5.88425817064243</v>
      </c>
      <c r="AG2327">
        <v>-1.1418685389703001</v>
      </c>
      <c r="AH2327">
        <v>21.470194724551799</v>
      </c>
      <c r="AI2327">
        <v>92.936266003137305</v>
      </c>
      <c r="AJ2327">
        <v>105.326506917922</v>
      </c>
      <c r="AK2327">
        <v>22.2912004945726</v>
      </c>
      <c r="AL2327">
        <v>78.347951770549102</v>
      </c>
      <c r="AM2327">
        <v>99.516547009338296</v>
      </c>
      <c r="AN2327">
        <v>1.0000000152355299</v>
      </c>
    </row>
    <row r="2328" spans="1:40" x14ac:dyDescent="0.25">
      <c r="A2328" t="str">
        <f>"20190312172703685"</f>
        <v>20190312172703685</v>
      </c>
      <c r="B2328" t="str">
        <f>"1552382823681076"</f>
        <v>1552382823681076</v>
      </c>
      <c r="C2328" t="s">
        <v>40</v>
      </c>
      <c r="D2328">
        <v>3.2535400000000001</v>
      </c>
      <c r="E2328">
        <v>0.46194669999999999</v>
      </c>
      <c r="F2328" t="s">
        <v>48</v>
      </c>
      <c r="G2328">
        <v>-451.46949999999998</v>
      </c>
      <c r="H2328" s="1">
        <v>-7.4133939999999999E-7</v>
      </c>
      <c r="I2328">
        <v>214.30789999999999</v>
      </c>
      <c r="J2328">
        <v>-473.65789999999998</v>
      </c>
      <c r="K2328">
        <v>1.1399060000000001</v>
      </c>
      <c r="L2328">
        <v>217.73349999999999</v>
      </c>
      <c r="M2328">
        <v>0.91272370000000003</v>
      </c>
      <c r="N2328">
        <v>0</v>
      </c>
      <c r="O2328">
        <v>-0.40803800000000001</v>
      </c>
      <c r="P2328">
        <v>0.94904370000000005</v>
      </c>
      <c r="Q2328">
        <v>0.18677089999999999</v>
      </c>
      <c r="R2328">
        <v>-0.25383630000000001</v>
      </c>
      <c r="S2328">
        <v>3.0661320000000001</v>
      </c>
      <c r="T2328">
        <v>-0.15622849999999999</v>
      </c>
      <c r="U2328">
        <v>-0.48098750000000001</v>
      </c>
      <c r="V2328">
        <v>-0.16204869999999999</v>
      </c>
      <c r="W2328">
        <v>0.20208909999999999</v>
      </c>
      <c r="X2328">
        <v>0.96586760000000005</v>
      </c>
      <c r="Y2328">
        <v>-0.26090530000000001</v>
      </c>
      <c r="Z2328">
        <v>2.6626569999999999E-2</v>
      </c>
      <c r="AA2328">
        <v>0.96499710000000005</v>
      </c>
      <c r="AB2328">
        <v>26</v>
      </c>
      <c r="AC2328">
        <v>22.188400000000001</v>
      </c>
      <c r="AD2328">
        <v>-1.1399067413394</v>
      </c>
      <c r="AE2328">
        <v>-3.4256000000000002</v>
      </c>
      <c r="AF2328">
        <v>-5.9131465736404802</v>
      </c>
      <c r="AG2328">
        <v>-1.1399067413394</v>
      </c>
      <c r="AH2328">
        <v>21.598744574271802</v>
      </c>
      <c r="AI2328">
        <v>92.914032062025896</v>
      </c>
      <c r="AJ2328">
        <v>105.31085552931501</v>
      </c>
      <c r="AK2328">
        <v>22.4225434990088</v>
      </c>
      <c r="AL2328">
        <v>78.340849470930493</v>
      </c>
      <c r="AM2328">
        <v>99.524112808831703</v>
      </c>
      <c r="AN2328">
        <v>1.0000000031201299</v>
      </c>
    </row>
    <row r="2329" spans="1:40" x14ac:dyDescent="0.25">
      <c r="A2329" t="str">
        <f>"20190312172703707"</f>
        <v>20190312172703707</v>
      </c>
      <c r="B2329" t="str">
        <f>"1552382823701572"</f>
        <v>1552382823701572</v>
      </c>
      <c r="C2329" t="s">
        <v>40</v>
      </c>
      <c r="D2329">
        <v>3.220046</v>
      </c>
      <c r="E2329">
        <v>0.46600320000000001</v>
      </c>
      <c r="F2329" t="s">
        <v>48</v>
      </c>
      <c r="G2329">
        <v>-451.33080000000001</v>
      </c>
      <c r="H2329" s="1">
        <v>-8.1855539999999998E-7</v>
      </c>
      <c r="I2329">
        <v>214.38659999999999</v>
      </c>
      <c r="J2329">
        <v>-473.43329999999997</v>
      </c>
      <c r="K2329">
        <v>1.1376949999999999</v>
      </c>
      <c r="L2329">
        <v>217.64449999999999</v>
      </c>
      <c r="M2329">
        <v>0.91582580000000002</v>
      </c>
      <c r="N2329">
        <v>0</v>
      </c>
      <c r="O2329">
        <v>-0.4010341</v>
      </c>
      <c r="P2329">
        <v>0.95109310000000002</v>
      </c>
      <c r="Q2329">
        <v>0.18657850000000001</v>
      </c>
      <c r="R2329">
        <v>-0.24619160000000001</v>
      </c>
      <c r="S2329">
        <v>3.0689090000000001</v>
      </c>
      <c r="T2329">
        <v>-0.15668270000000001</v>
      </c>
      <c r="U2329">
        <v>-0.46003719999999998</v>
      </c>
      <c r="V2329">
        <v>-0.16195219999999999</v>
      </c>
      <c r="W2329">
        <v>0.2021241</v>
      </c>
      <c r="X2329">
        <v>0.96587650000000003</v>
      </c>
      <c r="Y2329">
        <v>-0.26008429999999999</v>
      </c>
      <c r="Z2329">
        <v>2.6354900000000001E-2</v>
      </c>
      <c r="AA2329">
        <v>0.96522620000000003</v>
      </c>
      <c r="AB2329">
        <v>26</v>
      </c>
      <c r="AC2329">
        <v>22.1024999999999</v>
      </c>
      <c r="AD2329">
        <v>-1.1376958185554</v>
      </c>
      <c r="AE2329">
        <v>-3.2578999999999998</v>
      </c>
      <c r="AF2329">
        <v>-5.8662536312584601</v>
      </c>
      <c r="AG2329">
        <v>-1.1376958185554</v>
      </c>
      <c r="AH2329">
        <v>21.497507256655702</v>
      </c>
      <c r="AI2329">
        <v>92.922724362379</v>
      </c>
      <c r="AJ2329">
        <v>105.263297560514</v>
      </c>
      <c r="AK2329">
        <v>22.312554799748401</v>
      </c>
      <c r="AL2329">
        <v>78.338802300174905</v>
      </c>
      <c r="AM2329">
        <v>99.518458906565897</v>
      </c>
      <c r="AN2329">
        <v>1.0000000400689399</v>
      </c>
    </row>
    <row r="2330" spans="1:40" x14ac:dyDescent="0.25">
      <c r="A2330" t="str">
        <f>"20190312172703730"</f>
        <v>20190312172703730</v>
      </c>
      <c r="B2330" t="str">
        <f>"1552382823721092"</f>
        <v>1552382823721092</v>
      </c>
      <c r="C2330" t="s">
        <v>40</v>
      </c>
      <c r="D2330">
        <v>3.211182</v>
      </c>
      <c r="E2330">
        <v>0.46628930000000002</v>
      </c>
      <c r="F2330" t="s">
        <v>48</v>
      </c>
      <c r="G2330">
        <v>-450.12900000000002</v>
      </c>
      <c r="H2330" s="1">
        <v>-1.444694E-6</v>
      </c>
      <c r="I2330">
        <v>214.0795</v>
      </c>
      <c r="J2330">
        <v>-473.19400000000002</v>
      </c>
      <c r="K2330">
        <v>1.1352359999999999</v>
      </c>
      <c r="L2330">
        <v>217.55179999999999</v>
      </c>
      <c r="M2330">
        <v>0.91910639999999999</v>
      </c>
      <c r="N2330">
        <v>0</v>
      </c>
      <c r="O2330">
        <v>-0.39347199999999999</v>
      </c>
      <c r="P2330">
        <v>0.95331569999999999</v>
      </c>
      <c r="Q2330">
        <v>0.18636349999999999</v>
      </c>
      <c r="R2330">
        <v>-0.23760870000000001</v>
      </c>
      <c r="S2330">
        <v>3.0623779999999998</v>
      </c>
      <c r="T2330">
        <v>-0.14950239999999901</v>
      </c>
      <c r="U2330">
        <v>-0.46846009999999999</v>
      </c>
      <c r="V2330">
        <v>-0.16215779999999999</v>
      </c>
      <c r="W2330">
        <v>0.20205310000000001</v>
      </c>
      <c r="X2330">
        <v>0.96585679999999996</v>
      </c>
      <c r="Y2330">
        <v>-0.2493011</v>
      </c>
      <c r="Z2330">
        <v>2.4595450000000001E-2</v>
      </c>
      <c r="AA2330">
        <v>0.96811369999999997</v>
      </c>
      <c r="AB2330">
        <v>26</v>
      </c>
      <c r="AC2330">
        <v>23.065000000000001</v>
      </c>
      <c r="AD2330">
        <v>-1.1352374446939999</v>
      </c>
      <c r="AE2330">
        <v>-3.47229999999999</v>
      </c>
      <c r="AF2330">
        <v>-5.8713557740296496</v>
      </c>
      <c r="AG2330">
        <v>-1.1352374446939999</v>
      </c>
      <c r="AH2330">
        <v>22.516879785997101</v>
      </c>
      <c r="AI2330">
        <v>92.793012340373394</v>
      </c>
      <c r="AJ2330">
        <v>104.61464882088499</v>
      </c>
      <c r="AK2330">
        <v>23.297456040909498</v>
      </c>
      <c r="AL2330">
        <v>78.342955324706196</v>
      </c>
      <c r="AM2330">
        <v>99.530511988700894</v>
      </c>
      <c r="AN2330">
        <v>0.999999982713344</v>
      </c>
    </row>
    <row r="2331" spans="1:40" x14ac:dyDescent="0.25">
      <c r="A2331" t="str">
        <f>"20190312172703752"</f>
        <v>20190312172703752</v>
      </c>
      <c r="B2331" t="str">
        <f>"1552382823741588"</f>
        <v>1552382823741588</v>
      </c>
      <c r="C2331" t="s">
        <v>40</v>
      </c>
      <c r="D2331">
        <v>3.2476289999999999</v>
      </c>
      <c r="E2331">
        <v>0.46950979999999998</v>
      </c>
      <c r="F2331" t="s">
        <v>48</v>
      </c>
      <c r="G2331">
        <v>-450.0376</v>
      </c>
      <c r="H2331" s="1">
        <v>-1.4979370000000001E-6</v>
      </c>
      <c r="I2331">
        <v>214.1849</v>
      </c>
      <c r="J2331">
        <v>-472.96100000000001</v>
      </c>
      <c r="K2331">
        <v>1.132863</v>
      </c>
      <c r="L2331">
        <v>217.46360000000001</v>
      </c>
      <c r="M2331">
        <v>0.92230230000000002</v>
      </c>
      <c r="N2331">
        <v>0</v>
      </c>
      <c r="O2331">
        <v>-0.3859378</v>
      </c>
      <c r="P2331">
        <v>0.95533990000000002</v>
      </c>
      <c r="Q2331">
        <v>0.18565029999999999</v>
      </c>
      <c r="R2331">
        <v>-0.2299129</v>
      </c>
      <c r="S2331">
        <v>3.0651250000000001</v>
      </c>
      <c r="T2331">
        <v>-0.15026709999999999</v>
      </c>
      <c r="U2331">
        <v>-0.44566349999999999</v>
      </c>
      <c r="V2331">
        <v>-0.1615519</v>
      </c>
      <c r="W2331">
        <v>0.20146140000000001</v>
      </c>
      <c r="X2331">
        <v>0.96608190000000005</v>
      </c>
      <c r="Y2331">
        <v>-0.24854960000000001</v>
      </c>
      <c r="Z2331">
        <v>2.43628E-2</v>
      </c>
      <c r="AA2331">
        <v>0.96831270000000003</v>
      </c>
      <c r="AB2331">
        <v>26</v>
      </c>
      <c r="AC2331">
        <v>22.923400000000001</v>
      </c>
      <c r="AD2331">
        <v>-1.1328644979369999</v>
      </c>
      <c r="AE2331">
        <v>-3.2787000000000099</v>
      </c>
      <c r="AF2331">
        <v>-5.8103434253571198</v>
      </c>
      <c r="AG2331">
        <v>-1.1328644979369999</v>
      </c>
      <c r="AH2331">
        <v>22.358767227894699</v>
      </c>
      <c r="AI2331">
        <v>92.807466477905606</v>
      </c>
      <c r="AJ2331">
        <v>104.567168551367</v>
      </c>
      <c r="AK2331">
        <v>23.1291578887441</v>
      </c>
      <c r="AL2331">
        <v>78.377568957291402</v>
      </c>
      <c r="AM2331">
        <v>99.493378830560701</v>
      </c>
      <c r="AN2331">
        <v>0.999999974795589</v>
      </c>
    </row>
    <row r="2332" spans="1:40" x14ac:dyDescent="0.25">
      <c r="A2332" t="str">
        <f>"20190312172703773"</f>
        <v>20190312172703773</v>
      </c>
      <c r="B2332" t="str">
        <f>"1552382823761108"</f>
        <v>1552382823761108</v>
      </c>
      <c r="C2332" t="s">
        <v>40</v>
      </c>
      <c r="D2332">
        <v>3.2143579999999998</v>
      </c>
      <c r="E2332">
        <v>0.46953929999999999</v>
      </c>
      <c r="F2332" t="s">
        <v>48</v>
      </c>
      <c r="G2332">
        <v>-449.2432</v>
      </c>
      <c r="H2332" s="1">
        <v>3.4090459999999999E-6</v>
      </c>
      <c r="I2332">
        <v>213.9974</v>
      </c>
      <c r="J2332">
        <v>-472.73239999999998</v>
      </c>
      <c r="K2332">
        <v>1.1306609999999999</v>
      </c>
      <c r="L2332">
        <v>217.37880000000001</v>
      </c>
      <c r="M2332">
        <v>0.92541580000000001</v>
      </c>
      <c r="N2332">
        <v>0</v>
      </c>
      <c r="O2332">
        <v>-0.3784283</v>
      </c>
      <c r="P2332">
        <v>0.95716409999999996</v>
      </c>
      <c r="Q2332">
        <v>0.18516630000000001</v>
      </c>
      <c r="R2332">
        <v>-0.2225992</v>
      </c>
      <c r="S2332">
        <v>3.0610050000000002</v>
      </c>
      <c r="T2332">
        <v>-0.14620610000000001</v>
      </c>
      <c r="U2332">
        <v>-0.44734190000000001</v>
      </c>
      <c r="V2332">
        <v>-0.1606522</v>
      </c>
      <c r="W2332">
        <v>0.2010382</v>
      </c>
      <c r="X2332">
        <v>0.96632010000000002</v>
      </c>
      <c r="Y2332">
        <v>-0.240013</v>
      </c>
      <c r="Z2332">
        <v>2.3202779999999999E-2</v>
      </c>
      <c r="AA2332">
        <v>0.97049240000000003</v>
      </c>
      <c r="AB2332">
        <v>26</v>
      </c>
      <c r="AC2332">
        <v>23.489199999999901</v>
      </c>
      <c r="AD2332">
        <v>-1.130657590954</v>
      </c>
      <c r="AE2332">
        <v>-3.38140000000001</v>
      </c>
      <c r="AF2332">
        <v>-5.7478750444161504</v>
      </c>
      <c r="AG2332">
        <v>-1.130657590954</v>
      </c>
      <c r="AH2332">
        <v>22.969332190430499</v>
      </c>
      <c r="AI2332">
        <v>92.733924099587796</v>
      </c>
      <c r="AJ2332">
        <v>104.049253756637</v>
      </c>
      <c r="AK2332">
        <v>23.704570769970701</v>
      </c>
      <c r="AL2332">
        <v>78.402323431885307</v>
      </c>
      <c r="AM2332">
        <v>99.439178208809906</v>
      </c>
      <c r="AN2332">
        <v>1.0000000114440399</v>
      </c>
    </row>
    <row r="2333" spans="1:40" x14ac:dyDescent="0.25">
      <c r="A2333" t="str">
        <f>"20190312172703797"</f>
        <v>20190312172703797</v>
      </c>
      <c r="B2333" t="str">
        <f>"1552382823791364"</f>
        <v>1552382823791364</v>
      </c>
      <c r="C2333" t="s">
        <v>40</v>
      </c>
      <c r="D2333">
        <v>3.3010380000000001</v>
      </c>
      <c r="E2333">
        <v>0.45897680000000002</v>
      </c>
      <c r="F2333" t="s">
        <v>48</v>
      </c>
      <c r="G2333">
        <v>-449.17160000000001</v>
      </c>
      <c r="H2333" s="1">
        <v>3.366168E-6</v>
      </c>
      <c r="I2333">
        <v>214.10669999999999</v>
      </c>
      <c r="J2333">
        <v>-472.48630000000003</v>
      </c>
      <c r="K2333">
        <v>1.1285419999999999</v>
      </c>
      <c r="L2333">
        <v>217.2895</v>
      </c>
      <c r="M2333">
        <v>0.92867029999999995</v>
      </c>
      <c r="N2333">
        <v>0</v>
      </c>
      <c r="O2333">
        <v>-0.37039040000000001</v>
      </c>
      <c r="P2333">
        <v>0.95906780000000003</v>
      </c>
      <c r="Q2333">
        <v>0.1851826</v>
      </c>
      <c r="R2333">
        <v>-0.2142347</v>
      </c>
      <c r="S2333">
        <v>3.0637210000000001</v>
      </c>
      <c r="T2333">
        <v>-0.14702499999999999</v>
      </c>
      <c r="U2333">
        <v>-0.42549130000000002</v>
      </c>
      <c r="V2333">
        <v>-0.16031570000000001</v>
      </c>
      <c r="W2333">
        <v>0.200985</v>
      </c>
      <c r="X2333">
        <v>0.966387</v>
      </c>
      <c r="Y2333">
        <v>-0.2385033</v>
      </c>
      <c r="Z2333">
        <v>2.2937539999999999E-2</v>
      </c>
      <c r="AA2333">
        <v>0.97087080000000003</v>
      </c>
      <c r="AB2333">
        <v>26</v>
      </c>
      <c r="AC2333">
        <v>23.314699999999998</v>
      </c>
      <c r="AD2333">
        <v>-1.128538633832</v>
      </c>
      <c r="AE2333">
        <v>-3.1828000000000101</v>
      </c>
      <c r="AF2333">
        <v>-5.6678188133707499</v>
      </c>
      <c r="AG2333">
        <v>-1.128538633832</v>
      </c>
      <c r="AH2333">
        <v>22.7825118111294</v>
      </c>
      <c r="AI2333">
        <v>92.752094078578807</v>
      </c>
      <c r="AJ2333">
        <v>103.970401288395</v>
      </c>
      <c r="AK2333">
        <v>23.504055266559899</v>
      </c>
      <c r="AL2333">
        <v>78.405434519870596</v>
      </c>
      <c r="AM2333">
        <v>99.419121321787003</v>
      </c>
      <c r="AN2333">
        <v>0.99999996383024403</v>
      </c>
    </row>
    <row r="2334" spans="1:40" x14ac:dyDescent="0.25">
      <c r="A2334" t="str">
        <f>"20190312172703818"</f>
        <v>20190312172703818</v>
      </c>
      <c r="B2334" t="str">
        <f>"1552382823810884"</f>
        <v>1552382823810884</v>
      </c>
      <c r="C2334" t="s">
        <v>40</v>
      </c>
      <c r="D2334">
        <v>3.1634609999999999</v>
      </c>
      <c r="E2334">
        <v>0.45616830000000003</v>
      </c>
      <c r="F2334" t="s">
        <v>48</v>
      </c>
      <c r="G2334">
        <v>-449.8999</v>
      </c>
      <c r="H2334" s="1">
        <v>3.716272E-6</v>
      </c>
      <c r="I2334">
        <v>214.96350000000001</v>
      </c>
      <c r="J2334">
        <v>-472.25900000000001</v>
      </c>
      <c r="K2334">
        <v>1.1268260000000001</v>
      </c>
      <c r="L2334">
        <v>217.2089</v>
      </c>
      <c r="M2334">
        <v>0.93154519999999996</v>
      </c>
      <c r="N2334">
        <v>0</v>
      </c>
      <c r="O2334">
        <v>-0.36312070000000002</v>
      </c>
      <c r="P2334">
        <v>0.96063589999999999</v>
      </c>
      <c r="Q2334">
        <v>0.1856382</v>
      </c>
      <c r="R2334">
        <v>-0.20668210000000001</v>
      </c>
      <c r="S2334">
        <v>3.0868530000000001</v>
      </c>
      <c r="T2334">
        <v>-0.15423580000000001</v>
      </c>
      <c r="U2334">
        <v>-0.31788640000000001</v>
      </c>
      <c r="V2334">
        <v>-0.1600666</v>
      </c>
      <c r="W2334">
        <v>0.201269</v>
      </c>
      <c r="X2334">
        <v>0.96636920000000004</v>
      </c>
      <c r="Y2334">
        <v>-0.26508019999999999</v>
      </c>
      <c r="Z2334">
        <v>2.4285359999999999E-2</v>
      </c>
      <c r="AA2334">
        <v>0.96392049999999996</v>
      </c>
      <c r="AB2334">
        <v>25</v>
      </c>
      <c r="AC2334">
        <v>22.359100000000002</v>
      </c>
      <c r="AD2334">
        <v>-1.126822283728</v>
      </c>
      <c r="AE2334">
        <v>-2.2453999999999801</v>
      </c>
      <c r="AF2334">
        <v>-6.0133461654367499</v>
      </c>
      <c r="AG2334">
        <v>-1.126822283728</v>
      </c>
      <c r="AH2334">
        <v>21.593539102464</v>
      </c>
      <c r="AI2334">
        <v>92.877862049190995</v>
      </c>
      <c r="AJ2334">
        <v>105.56140082010801</v>
      </c>
      <c r="AK2334">
        <v>22.443506667500099</v>
      </c>
      <c r="AL2334">
        <v>78.388823241309893</v>
      </c>
      <c r="AM2334">
        <v>99.404917610120094</v>
      </c>
      <c r="AN2334">
        <v>0.99999997875259905</v>
      </c>
    </row>
    <row r="2335" spans="1:40" x14ac:dyDescent="0.25">
      <c r="A2335" t="str">
        <f>"20190312172703843"</f>
        <v>20190312172703843</v>
      </c>
      <c r="B2335" t="str">
        <f>"1552382823831380"</f>
        <v>1552382823831380</v>
      </c>
      <c r="C2335" t="s">
        <v>40</v>
      </c>
      <c r="D2335">
        <v>3.1483720000000002</v>
      </c>
      <c r="E2335">
        <v>0.4546055</v>
      </c>
      <c r="F2335" t="s">
        <v>48</v>
      </c>
      <c r="G2335">
        <v>-449.35059999999999</v>
      </c>
      <c r="H2335" s="1">
        <v>3.4139430000000002E-6</v>
      </c>
      <c r="I2335">
        <v>215.19229999999999</v>
      </c>
      <c r="J2335">
        <v>-472.00119999999998</v>
      </c>
      <c r="K2335">
        <v>1.1251070000000001</v>
      </c>
      <c r="L2335">
        <v>217.1198</v>
      </c>
      <c r="M2335">
        <v>0.93466260000000001</v>
      </c>
      <c r="N2335">
        <v>0</v>
      </c>
      <c r="O2335">
        <v>-0.35504520000000001</v>
      </c>
      <c r="P2335">
        <v>0.9620611</v>
      </c>
      <c r="Q2335">
        <v>0.1868157</v>
      </c>
      <c r="R2335">
        <v>-0.1988432</v>
      </c>
      <c r="S2335">
        <v>3.09375</v>
      </c>
      <c r="T2335">
        <v>-0.15217549999999999</v>
      </c>
      <c r="U2335">
        <v>-0.27233889999999999</v>
      </c>
      <c r="V2335">
        <v>-0.159276799999999</v>
      </c>
      <c r="W2335">
        <v>0.20217460000000001</v>
      </c>
      <c r="X2335">
        <v>0.96631069999999997</v>
      </c>
      <c r="Y2335">
        <v>-0.27103359999999999</v>
      </c>
      <c r="Z2335">
        <v>2.37109E-2</v>
      </c>
      <c r="AA2335">
        <v>0.96227779999999996</v>
      </c>
      <c r="AB2335">
        <v>25</v>
      </c>
      <c r="AC2335">
        <v>22.650600000000001</v>
      </c>
      <c r="AD2335">
        <v>-1.125103586057</v>
      </c>
      <c r="AE2335">
        <v>-1.9275</v>
      </c>
      <c r="AF2335">
        <v>-6.2262613047799302</v>
      </c>
      <c r="AG2335">
        <v>-1.125103586057</v>
      </c>
      <c r="AH2335">
        <v>21.805415905118601</v>
      </c>
      <c r="AI2335">
        <v>92.840371772702099</v>
      </c>
      <c r="AJ2335">
        <v>105.936024434847</v>
      </c>
      <c r="AK2335">
        <v>22.704808977614402</v>
      </c>
      <c r="AL2335">
        <v>78.335847612239505</v>
      </c>
      <c r="AM2335">
        <v>99.359891583643105</v>
      </c>
      <c r="AN2335">
        <v>1.0000000184189399</v>
      </c>
    </row>
    <row r="2336" spans="1:40" x14ac:dyDescent="0.25">
      <c r="A2336" t="str">
        <f>"20190312172703886"</f>
        <v>20190312172703886</v>
      </c>
      <c r="B2336" t="str">
        <f>"1552382823881156"</f>
        <v>1552382823881156</v>
      </c>
      <c r="C2336" t="s">
        <v>40</v>
      </c>
      <c r="D2336">
        <v>3.239258</v>
      </c>
      <c r="E2336">
        <v>0.4527214</v>
      </c>
      <c r="F2336" t="s">
        <v>48</v>
      </c>
      <c r="G2336">
        <v>-449.06369999999998</v>
      </c>
      <c r="H2336" s="1">
        <v>3.2533089999999999E-6</v>
      </c>
      <c r="I2336">
        <v>215.37459999999999</v>
      </c>
      <c r="J2336">
        <v>-471.54640000000001</v>
      </c>
      <c r="K2336">
        <v>1.122574</v>
      </c>
      <c r="L2336">
        <v>216.9682</v>
      </c>
      <c r="M2336">
        <v>0.93991230000000003</v>
      </c>
      <c r="N2336">
        <v>0</v>
      </c>
      <c r="O2336">
        <v>-0.34094960000000002</v>
      </c>
      <c r="P2336">
        <v>0.96432320000000005</v>
      </c>
      <c r="Q2336">
        <v>0.1891622</v>
      </c>
      <c r="R2336">
        <v>-0.18519759999999999</v>
      </c>
      <c r="S2336">
        <v>3.099091</v>
      </c>
      <c r="T2336">
        <v>-0.1520128</v>
      </c>
      <c r="U2336">
        <v>-0.23579410000000001</v>
      </c>
      <c r="V2336">
        <v>-0.15797459999999999</v>
      </c>
      <c r="W2336">
        <v>0.2039609</v>
      </c>
      <c r="X2336">
        <v>0.96614900000000004</v>
      </c>
      <c r="Y2336">
        <v>-0.26799200000000001</v>
      </c>
      <c r="Z2336">
        <v>2.2939959999999999E-2</v>
      </c>
      <c r="AA2336">
        <v>0.963148</v>
      </c>
      <c r="AB2336">
        <v>25</v>
      </c>
      <c r="AC2336">
        <v>22.482700000000001</v>
      </c>
      <c r="AD2336">
        <v>-1.122570746691</v>
      </c>
      <c r="AE2336">
        <v>-1.5935999999999999</v>
      </c>
      <c r="AF2336">
        <v>-6.1533410705655003</v>
      </c>
      <c r="AG2336">
        <v>-1.122570746691</v>
      </c>
      <c r="AH2336">
        <v>21.624910882441998</v>
      </c>
      <c r="AI2336">
        <v>92.858348084370604</v>
      </c>
      <c r="AJ2336">
        <v>105.88363594363599</v>
      </c>
      <c r="AK2336">
        <v>22.511342520729201</v>
      </c>
      <c r="AL2336">
        <v>78.231321592440594</v>
      </c>
      <c r="AM2336">
        <v>99.286232734328394</v>
      </c>
      <c r="AN2336">
        <v>0.99999995658748397</v>
      </c>
    </row>
    <row r="2337" spans="1:40" x14ac:dyDescent="0.25">
      <c r="A2337" t="str">
        <f>"20190312172703908"</f>
        <v>20190312172703908</v>
      </c>
      <c r="B2337" t="str">
        <f>"1552382823901652"</f>
        <v>1552382823901652</v>
      </c>
      <c r="C2337" t="s">
        <v>40</v>
      </c>
      <c r="D2337">
        <v>3.2001010000000001</v>
      </c>
      <c r="E2337">
        <v>0.45218419999999998</v>
      </c>
      <c r="F2337" t="s">
        <v>48</v>
      </c>
      <c r="G2337">
        <v>-447.67880000000002</v>
      </c>
      <c r="H2337" s="1">
        <v>2.5064159999999999E-6</v>
      </c>
      <c r="I2337">
        <v>215.60130000000001</v>
      </c>
      <c r="J2337">
        <v>-471.30169999999998</v>
      </c>
      <c r="K2337">
        <v>1.121432</v>
      </c>
      <c r="L2337">
        <v>216.8896</v>
      </c>
      <c r="M2337">
        <v>0.94264689999999995</v>
      </c>
      <c r="N2337">
        <v>0</v>
      </c>
      <c r="O2337">
        <v>-0.3333373</v>
      </c>
      <c r="P2337">
        <v>0.96539839999999999</v>
      </c>
      <c r="Q2337">
        <v>0.1902829</v>
      </c>
      <c r="R2337">
        <v>-0.17832110000000001</v>
      </c>
      <c r="S2337">
        <v>3.105499</v>
      </c>
      <c r="T2337">
        <v>-0.14606150000000001</v>
      </c>
      <c r="U2337">
        <v>-0.1778564</v>
      </c>
      <c r="V2337">
        <v>-0.15683820000000001</v>
      </c>
      <c r="W2337">
        <v>0.20479410000000001</v>
      </c>
      <c r="X2337">
        <v>0.96615790000000001</v>
      </c>
      <c r="Y2337">
        <v>-0.27827590000000002</v>
      </c>
      <c r="Z2337">
        <v>2.192618E-2</v>
      </c>
      <c r="AA2337">
        <v>0.96025090000000002</v>
      </c>
      <c r="AB2337">
        <v>25</v>
      </c>
      <c r="AC2337">
        <v>23.622899999999898</v>
      </c>
      <c r="AD2337">
        <v>-1.1214294935839999</v>
      </c>
      <c r="AE2337">
        <v>-1.28829999999999</v>
      </c>
      <c r="AF2337">
        <v>-6.6460579744079702</v>
      </c>
      <c r="AG2337">
        <v>-1.1214294935839999</v>
      </c>
      <c r="AH2337">
        <v>22.650039257528199</v>
      </c>
      <c r="AI2337">
        <v>92.719974478523497</v>
      </c>
      <c r="AJ2337">
        <v>106.35293803526</v>
      </c>
      <c r="AK2337">
        <v>23.631588373950699</v>
      </c>
      <c r="AL2337">
        <v>78.182553465840698</v>
      </c>
      <c r="AM2337">
        <v>99.220499609383495</v>
      </c>
      <c r="AN2337">
        <v>0.99999996605322905</v>
      </c>
    </row>
    <row r="2338" spans="1:40" x14ac:dyDescent="0.25">
      <c r="A2338" t="str">
        <f>"20190312172703929"</f>
        <v>20190312172703929</v>
      </c>
      <c r="B2338" t="str">
        <f>"1552382823921172"</f>
        <v>1552382823921172</v>
      </c>
      <c r="C2338" t="s">
        <v>40</v>
      </c>
      <c r="D2338">
        <v>3.166499</v>
      </c>
      <c r="E2338">
        <v>0.4520304</v>
      </c>
      <c r="F2338" t="s">
        <v>48</v>
      </c>
      <c r="G2338">
        <v>-446.44420000000002</v>
      </c>
      <c r="H2338" s="1">
        <v>1.8459110000000001E-6</v>
      </c>
      <c r="I2338">
        <v>215.6823</v>
      </c>
      <c r="J2338">
        <v>-471.0702</v>
      </c>
      <c r="K2338">
        <v>1.120511</v>
      </c>
      <c r="L2338">
        <v>216.81720000000001</v>
      </c>
      <c r="M2338">
        <v>0.94517640000000003</v>
      </c>
      <c r="N2338">
        <v>0</v>
      </c>
      <c r="O2338">
        <v>-0.32611560000000001</v>
      </c>
      <c r="P2338">
        <v>0.96656160000000002</v>
      </c>
      <c r="Q2338">
        <v>0.19016</v>
      </c>
      <c r="R2338">
        <v>-0.17204040000000001</v>
      </c>
      <c r="S2338">
        <v>3.1072690000000001</v>
      </c>
      <c r="T2338">
        <v>-0.14018259999999999</v>
      </c>
      <c r="U2338">
        <v>-0.1509094</v>
      </c>
      <c r="V2338">
        <v>-0.155616</v>
      </c>
      <c r="W2338">
        <v>0.20441609999999999</v>
      </c>
      <c r="X2338">
        <v>0.96643559999999995</v>
      </c>
      <c r="Y2338">
        <v>-0.2793197</v>
      </c>
      <c r="Z2338">
        <v>2.0756650000000001E-2</v>
      </c>
      <c r="AA2338">
        <v>0.95997379999999999</v>
      </c>
      <c r="AB2338">
        <v>25</v>
      </c>
      <c r="AC2338">
        <v>24.625999999999902</v>
      </c>
      <c r="AD2338">
        <v>-1.120509154089</v>
      </c>
      <c r="AE2338">
        <v>-1.13490000000001</v>
      </c>
      <c r="AF2338">
        <v>-6.94490400359705</v>
      </c>
      <c r="AG2338">
        <v>-1.120509154089</v>
      </c>
      <c r="AH2338">
        <v>23.600696200923501</v>
      </c>
      <c r="AI2338">
        <v>92.607832699421607</v>
      </c>
      <c r="AJ2338">
        <v>106.397411381086</v>
      </c>
      <c r="AK2338">
        <v>24.626816553339999</v>
      </c>
      <c r="AL2338">
        <v>78.204680060731306</v>
      </c>
      <c r="AM2338">
        <v>99.147281955199901</v>
      </c>
      <c r="AN2338">
        <v>1.0000000251712799</v>
      </c>
    </row>
    <row r="2339" spans="1:40" x14ac:dyDescent="0.25">
      <c r="A2339" t="str">
        <f>"20190312172703973"</f>
        <v>20190312172703973</v>
      </c>
      <c r="B2339" t="str">
        <f>"1552382823970948"</f>
        <v>1552382823970948</v>
      </c>
      <c r="C2339" t="s">
        <v>40</v>
      </c>
      <c r="D2339">
        <v>3.1661060000000001</v>
      </c>
      <c r="E2339">
        <v>0.45223819999999998</v>
      </c>
      <c r="F2339" t="s">
        <v>48</v>
      </c>
      <c r="G2339">
        <v>-446.24270000000001</v>
      </c>
      <c r="H2339" s="1">
        <v>1.7343169999999999E-6</v>
      </c>
      <c r="I2339">
        <v>215.78200000000001</v>
      </c>
      <c r="J2339">
        <v>-470.6035</v>
      </c>
      <c r="K2339">
        <v>1.119049</v>
      </c>
      <c r="L2339">
        <v>216.67679999999999</v>
      </c>
      <c r="M2339">
        <v>0.95008879999999996</v>
      </c>
      <c r="N2339">
        <v>0</v>
      </c>
      <c r="O2339">
        <v>-0.31154870000000001</v>
      </c>
      <c r="P2339">
        <v>0.96859620000000002</v>
      </c>
      <c r="Q2339">
        <v>0.1907682</v>
      </c>
      <c r="R2339">
        <v>-0.159464299999999</v>
      </c>
      <c r="S2339">
        <v>3.108276</v>
      </c>
      <c r="T2339">
        <v>-0.14028189999999999</v>
      </c>
      <c r="U2339">
        <v>-0.12960819999999901</v>
      </c>
      <c r="V2339">
        <v>-0.1531256</v>
      </c>
      <c r="W2339">
        <v>0.2045421</v>
      </c>
      <c r="X2339">
        <v>0.96680670000000002</v>
      </c>
      <c r="Y2339">
        <v>-0.27115040000000001</v>
      </c>
      <c r="Z2339">
        <v>1.9960240000000001E-2</v>
      </c>
      <c r="AA2339">
        <v>0.96233000000000002</v>
      </c>
      <c r="AB2339">
        <v>25</v>
      </c>
      <c r="AC2339">
        <v>24.360799999999902</v>
      </c>
      <c r="AD2339">
        <v>-1.1190472656829999</v>
      </c>
      <c r="AE2339">
        <v>-0.89479999999997495</v>
      </c>
      <c r="AF2339">
        <v>-6.7261675563812799</v>
      </c>
      <c r="AG2339">
        <v>-1.1190472656829999</v>
      </c>
      <c r="AH2339">
        <v>23.377580599186199</v>
      </c>
      <c r="AI2339">
        <v>92.633873440489694</v>
      </c>
      <c r="AJ2339">
        <v>106.051517598106</v>
      </c>
      <c r="AK2339">
        <v>24.3516913468202</v>
      </c>
      <c r="AL2339">
        <v>78.197305352086005</v>
      </c>
      <c r="AM2339">
        <v>98.999911079418496</v>
      </c>
      <c r="AN2339">
        <v>1.0000000576063199</v>
      </c>
    </row>
    <row r="2340" spans="1:40" x14ac:dyDescent="0.25">
      <c r="A2340" t="str">
        <f>"20190312172703999"</f>
        <v>20190312172703999</v>
      </c>
      <c r="B2340" t="str">
        <f>"1552382823991444"</f>
        <v>1552382823991444</v>
      </c>
      <c r="C2340" t="s">
        <v>40</v>
      </c>
      <c r="D2340">
        <v>3.1271270000000002</v>
      </c>
      <c r="E2340">
        <v>0.45254689999999997</v>
      </c>
      <c r="F2340" t="s">
        <v>48</v>
      </c>
      <c r="G2340">
        <v>-445.334</v>
      </c>
      <c r="H2340" s="1">
        <v>1.2438620000000001E-6</v>
      </c>
      <c r="I2340">
        <v>215.93950000000001</v>
      </c>
      <c r="J2340">
        <v>-470.33909999999997</v>
      </c>
      <c r="K2340">
        <v>1.1184289999999999</v>
      </c>
      <c r="L2340">
        <v>216.60059999999999</v>
      </c>
      <c r="M2340">
        <v>0.95275929999999998</v>
      </c>
      <c r="N2340">
        <v>0</v>
      </c>
      <c r="O2340">
        <v>-0.30330079999999998</v>
      </c>
      <c r="P2340">
        <v>0.96947660000000002</v>
      </c>
      <c r="Q2340">
        <v>0.1915415</v>
      </c>
      <c r="R2340">
        <v>-0.15305859999999999</v>
      </c>
      <c r="S2340">
        <v>3.1094360000000001</v>
      </c>
      <c r="T2340">
        <v>-0.13769999999999999</v>
      </c>
      <c r="U2340">
        <v>-9.0728760000000006E-2</v>
      </c>
      <c r="V2340">
        <v>-0.1510367</v>
      </c>
      <c r="W2340">
        <v>0.20507600000000001</v>
      </c>
      <c r="X2340">
        <v>0.9670221</v>
      </c>
      <c r="Y2340">
        <v>-0.27486129999999998</v>
      </c>
      <c r="Z2340">
        <v>1.93288E-2</v>
      </c>
      <c r="AA2340">
        <v>0.96128959999999997</v>
      </c>
      <c r="AB2340">
        <v>25</v>
      </c>
      <c r="AC2340">
        <v>25.005099999999899</v>
      </c>
      <c r="AD2340">
        <v>-1.1184277561380001</v>
      </c>
      <c r="AE2340">
        <v>-0.66109999999997604</v>
      </c>
      <c r="AF2340">
        <v>-6.9412192593469397</v>
      </c>
      <c r="AG2340">
        <v>-1.1184277561380001</v>
      </c>
      <c r="AH2340">
        <v>23.979517831644301</v>
      </c>
      <c r="AI2340">
        <v>92.565235810160004</v>
      </c>
      <c r="AJ2340">
        <v>106.143853512188</v>
      </c>
      <c r="AK2340">
        <v>24.988971185108401</v>
      </c>
      <c r="AL2340">
        <v>78.1660519030725</v>
      </c>
      <c r="AM2340">
        <v>98.877159758057701</v>
      </c>
      <c r="AN2340">
        <v>0.99999999620564906</v>
      </c>
    </row>
    <row r="2341" spans="1:40" x14ac:dyDescent="0.25">
      <c r="A2341" t="str">
        <f>"20190312172704018"</f>
        <v>20190312172704018</v>
      </c>
      <c r="B2341" t="str">
        <f>"1552382824010964"</f>
        <v>1552382824010964</v>
      </c>
      <c r="C2341" t="s">
        <v>40</v>
      </c>
      <c r="D2341">
        <v>3.1760130000000002</v>
      </c>
      <c r="E2341">
        <v>0.45282280000000003</v>
      </c>
      <c r="F2341" t="s">
        <v>48</v>
      </c>
      <c r="G2341">
        <v>-444.71499999999997</v>
      </c>
      <c r="H2341" s="1">
        <v>9.1158239999999998E-7</v>
      </c>
      <c r="I2341">
        <v>216.00579999999999</v>
      </c>
      <c r="J2341">
        <v>-470.12009999999998</v>
      </c>
      <c r="K2341">
        <v>1.1179969999999999</v>
      </c>
      <c r="L2341">
        <v>216.5394</v>
      </c>
      <c r="M2341">
        <v>0.95491130000000002</v>
      </c>
      <c r="N2341">
        <v>0</v>
      </c>
      <c r="O2341">
        <v>-0.29646869999999997</v>
      </c>
      <c r="P2341">
        <v>0.97019080000000002</v>
      </c>
      <c r="Q2341">
        <v>0.1921245</v>
      </c>
      <c r="R2341">
        <v>-0.1477098</v>
      </c>
      <c r="S2341">
        <v>3.1098020000000002</v>
      </c>
      <c r="T2341">
        <v>-0.13573550000000001</v>
      </c>
      <c r="U2341">
        <v>-7.2189329999999996E-2</v>
      </c>
      <c r="V2341">
        <v>-0.1493775</v>
      </c>
      <c r="W2341">
        <v>0.20547689999999999</v>
      </c>
      <c r="X2341">
        <v>0.96719469999999996</v>
      </c>
      <c r="Y2341">
        <v>-0.2737272</v>
      </c>
      <c r="Z2341">
        <v>1.87441E-2</v>
      </c>
      <c r="AA2341">
        <v>0.9616247</v>
      </c>
      <c r="AB2341">
        <v>25</v>
      </c>
      <c r="AC2341">
        <v>25.405100000000001</v>
      </c>
      <c r="AD2341">
        <v>-1.1179960884175999</v>
      </c>
      <c r="AE2341">
        <v>-0.53360000000000696</v>
      </c>
      <c r="AF2341">
        <v>-7.0095880299943598</v>
      </c>
      <c r="AG2341">
        <v>-1.1179960884175999</v>
      </c>
      <c r="AH2341">
        <v>24.373693194901598</v>
      </c>
      <c r="AI2341">
        <v>92.524091102846796</v>
      </c>
      <c r="AJ2341">
        <v>106.04461407812499</v>
      </c>
      <c r="AK2341">
        <v>25.386239571136699</v>
      </c>
      <c r="AL2341">
        <v>78.142582150289599</v>
      </c>
      <c r="AM2341">
        <v>98.779626042619697</v>
      </c>
      <c r="AN2341">
        <v>0.99999999082397495</v>
      </c>
    </row>
    <row r="2342" spans="1:40" x14ac:dyDescent="0.25">
      <c r="A2342" t="str">
        <f>"20190312172704044"</f>
        <v>20190312172704044</v>
      </c>
      <c r="B2342" t="str">
        <f>"1552382824031460"</f>
        <v>1552382824031460</v>
      </c>
      <c r="C2342" t="s">
        <v>40</v>
      </c>
      <c r="D2342">
        <v>3.2015699999999998</v>
      </c>
      <c r="E2342">
        <v>0.45316719999999999</v>
      </c>
      <c r="F2342" t="s">
        <v>48</v>
      </c>
      <c r="G2342">
        <v>-444.3725</v>
      </c>
      <c r="H2342" s="1">
        <v>7.2642169999999904E-7</v>
      </c>
      <c r="I2342">
        <v>216.07159999999999</v>
      </c>
      <c r="J2342">
        <v>-469.8605</v>
      </c>
      <c r="K2342">
        <v>1.117569</v>
      </c>
      <c r="L2342">
        <v>216.46879999999999</v>
      </c>
      <c r="M2342">
        <v>0.95739390000000002</v>
      </c>
      <c r="N2342">
        <v>0</v>
      </c>
      <c r="O2342">
        <v>-0.28836469999999997</v>
      </c>
      <c r="P2342">
        <v>0.97113000000000005</v>
      </c>
      <c r="Q2342">
        <v>0.19242500000000001</v>
      </c>
      <c r="R2342">
        <v>-0.14099510000000001</v>
      </c>
      <c r="S2342">
        <v>3.1103209999999999</v>
      </c>
      <c r="T2342">
        <v>-0.1350546</v>
      </c>
      <c r="U2342">
        <v>-5.6503299999999999E-2</v>
      </c>
      <c r="V2342">
        <v>-0.14782129999999999</v>
      </c>
      <c r="W2342">
        <v>0.20557719999999999</v>
      </c>
      <c r="X2342">
        <v>0.96741250000000001</v>
      </c>
      <c r="Y2342">
        <v>-0.27044069999999998</v>
      </c>
      <c r="Z2342">
        <v>1.823994E-2</v>
      </c>
      <c r="AA2342">
        <v>0.96256379999999997</v>
      </c>
      <c r="AB2342">
        <v>25</v>
      </c>
      <c r="AC2342">
        <v>25.488</v>
      </c>
      <c r="AD2342">
        <v>-1.1175682735782999</v>
      </c>
      <c r="AE2342">
        <v>-0.397199999999998</v>
      </c>
      <c r="AF2342">
        <v>-6.9570366252387803</v>
      </c>
      <c r="AG2342">
        <v>-1.1175682735782999</v>
      </c>
      <c r="AH2342">
        <v>24.472531927079899</v>
      </c>
      <c r="AI2342">
        <v>92.515145242697002</v>
      </c>
      <c r="AJ2342">
        <v>105.86935883070301</v>
      </c>
      <c r="AK2342">
        <v>25.466726063099799</v>
      </c>
      <c r="AL2342">
        <v>78.136710535975098</v>
      </c>
      <c r="AM2342">
        <v>98.687637551698899</v>
      </c>
      <c r="AN2342">
        <v>1.00000003352488</v>
      </c>
    </row>
    <row r="2343" spans="1:40" x14ac:dyDescent="0.25">
      <c r="A2343" t="str">
        <f>"20190312172704087"</f>
        <v>20190312172704087</v>
      </c>
      <c r="B2343" t="str">
        <f>"1552382824081238"</f>
        <v>1552382824081238</v>
      </c>
      <c r="C2343" t="s">
        <v>40</v>
      </c>
      <c r="D2343">
        <v>3.2757170000000002</v>
      </c>
      <c r="E2343">
        <v>0.45425910000000003</v>
      </c>
      <c r="F2343" t="s">
        <v>48</v>
      </c>
      <c r="G2343">
        <v>-444.16309999999999</v>
      </c>
      <c r="H2343" s="1">
        <v>6.115458E-7</v>
      </c>
      <c r="I2343">
        <v>216.15100000000001</v>
      </c>
      <c r="J2343">
        <v>-469.39080000000001</v>
      </c>
      <c r="K2343">
        <v>1.1169690000000001</v>
      </c>
      <c r="L2343">
        <v>216.34710000000001</v>
      </c>
      <c r="M2343">
        <v>0.96169420000000005</v>
      </c>
      <c r="N2343">
        <v>0</v>
      </c>
      <c r="O2343">
        <v>-0.27370270000000002</v>
      </c>
      <c r="P2343">
        <v>0.97249220000000003</v>
      </c>
      <c r="Q2343">
        <v>0.1940199</v>
      </c>
      <c r="R2343">
        <v>-0.1289003</v>
      </c>
      <c r="S2343">
        <v>3.1104129999999999</v>
      </c>
      <c r="T2343">
        <v>-0.1352708</v>
      </c>
      <c r="U2343">
        <v>-3.846741E-2</v>
      </c>
      <c r="V2343">
        <v>-0.14495810000000001</v>
      </c>
      <c r="W2343">
        <v>0.20686689999999999</v>
      </c>
      <c r="X2343">
        <v>0.96757079999999995</v>
      </c>
      <c r="Y2343">
        <v>-0.26131919999999997</v>
      </c>
      <c r="Z2343">
        <v>1.7457070000000002E-2</v>
      </c>
      <c r="AA2343">
        <v>0.96509460000000002</v>
      </c>
      <c r="AB2343">
        <v>25</v>
      </c>
      <c r="AC2343">
        <v>25.227699999999999</v>
      </c>
      <c r="AD2343">
        <v>-1.1169683884541901</v>
      </c>
      <c r="AE2343">
        <v>-0.196100000000029</v>
      </c>
      <c r="AF2343">
        <v>-6.7039365165839904</v>
      </c>
      <c r="AG2343">
        <v>-1.1169683884541901</v>
      </c>
      <c r="AH2343">
        <v>24.270241418931999</v>
      </c>
      <c r="AI2343">
        <v>92.540028374715504</v>
      </c>
      <c r="AJ2343">
        <v>105.441240103189</v>
      </c>
      <c r="AK2343">
        <v>25.203868785018599</v>
      </c>
      <c r="AL2343">
        <v>78.061192634784007</v>
      </c>
      <c r="AM2343">
        <v>98.520484605762107</v>
      </c>
      <c r="AN2343">
        <v>1.0000000090419201</v>
      </c>
    </row>
    <row r="2344" spans="1:40" x14ac:dyDescent="0.25">
      <c r="A2344" t="str">
        <f>"20190312172704108"</f>
        <v>20190312172704108</v>
      </c>
      <c r="B2344" t="str">
        <f>"1552382824100756"</f>
        <v>1552382824100756</v>
      </c>
      <c r="C2344" t="s">
        <v>40</v>
      </c>
      <c r="D2344">
        <v>3.2480639999999998</v>
      </c>
      <c r="E2344">
        <v>0.45470159999999998</v>
      </c>
      <c r="F2344" t="s">
        <v>48</v>
      </c>
      <c r="G2344">
        <v>-442.80009999999999</v>
      </c>
      <c r="H2344" s="1">
        <v>-1.1879099999999999E-7</v>
      </c>
      <c r="I2344">
        <v>216.2653</v>
      </c>
      <c r="J2344">
        <v>-469.16379999999998</v>
      </c>
      <c r="K2344">
        <v>1.116743</v>
      </c>
      <c r="L2344">
        <v>216.291</v>
      </c>
      <c r="M2344">
        <v>0.96368379999999998</v>
      </c>
      <c r="N2344">
        <v>0</v>
      </c>
      <c r="O2344">
        <v>-0.26662200000000003</v>
      </c>
      <c r="P2344">
        <v>0.97298819999999997</v>
      </c>
      <c r="Q2344">
        <v>0.1949834</v>
      </c>
      <c r="R2344">
        <v>-0.1235945</v>
      </c>
      <c r="S2344">
        <v>3.1096499999999998</v>
      </c>
      <c r="T2344">
        <v>-0.13062389999999999</v>
      </c>
      <c r="U2344">
        <v>-9.5672610000000005E-3</v>
      </c>
      <c r="V2344">
        <v>-0.14305470000000001</v>
      </c>
      <c r="W2344">
        <v>0.20771680000000001</v>
      </c>
      <c r="X2344">
        <v>0.96767199999999998</v>
      </c>
      <c r="Y2344">
        <v>-0.26322289999999998</v>
      </c>
      <c r="Z2344">
        <v>1.6617639999999999E-2</v>
      </c>
      <c r="AA2344">
        <v>0.96459189999999995</v>
      </c>
      <c r="AB2344">
        <v>25</v>
      </c>
      <c r="AC2344">
        <v>26.363699999999898</v>
      </c>
      <c r="AD2344">
        <v>-1.116743118791</v>
      </c>
      <c r="AE2344">
        <v>-2.57000000000005E-2</v>
      </c>
      <c r="AF2344">
        <v>-6.99262141302047</v>
      </c>
      <c r="AG2344">
        <v>-1.116743118791</v>
      </c>
      <c r="AH2344">
        <v>25.370475963497199</v>
      </c>
      <c r="AI2344">
        <v>92.429894528908505</v>
      </c>
      <c r="AJ2344">
        <v>105.409294544658</v>
      </c>
      <c r="AK2344">
        <v>26.340176917279599</v>
      </c>
      <c r="AL2344">
        <v>78.011415740152998</v>
      </c>
      <c r="AM2344">
        <v>98.409348325292001</v>
      </c>
      <c r="AN2344">
        <v>1.00000000788916</v>
      </c>
    </row>
    <row r="2345" spans="1:40" x14ac:dyDescent="0.25">
      <c r="A2345" t="str">
        <f>"20190312172704131"</f>
        <v>20190312172704131</v>
      </c>
      <c r="B2345" t="str">
        <f>"1552382824121252"</f>
        <v>1552382824121252</v>
      </c>
      <c r="C2345" t="s">
        <v>40</v>
      </c>
      <c r="D2345">
        <v>3.2458490000000002</v>
      </c>
      <c r="E2345">
        <v>0.45515410000000001</v>
      </c>
      <c r="F2345" t="s">
        <v>48</v>
      </c>
      <c r="G2345">
        <v>-441.96730000000002</v>
      </c>
      <c r="H2345" s="1">
        <v>-5.6444459999999995E-7</v>
      </c>
      <c r="I2345">
        <v>216.32130000000001</v>
      </c>
      <c r="J2345">
        <v>-468.90429999999998</v>
      </c>
      <c r="K2345">
        <v>1.116519</v>
      </c>
      <c r="L2345">
        <v>216.22909999999999</v>
      </c>
      <c r="M2345">
        <v>0.96588180000000001</v>
      </c>
      <c r="N2345">
        <v>0</v>
      </c>
      <c r="O2345">
        <v>-0.25855529999999999</v>
      </c>
      <c r="P2345">
        <v>0.97339920000000002</v>
      </c>
      <c r="Q2345">
        <v>0.1965905</v>
      </c>
      <c r="R2345">
        <v>-0.1176705</v>
      </c>
      <c r="S2345">
        <v>3.109283</v>
      </c>
      <c r="T2345">
        <v>-0.12767310000000001</v>
      </c>
      <c r="U2345">
        <v>3.4637449999999998E-3</v>
      </c>
      <c r="V2345">
        <v>-0.14075879999999999</v>
      </c>
      <c r="W2345">
        <v>0.2092157</v>
      </c>
      <c r="X2345">
        <v>0.96768580000000004</v>
      </c>
      <c r="Y2345">
        <v>-0.25922729999999999</v>
      </c>
      <c r="Z2345">
        <v>1.5841959999999999E-2</v>
      </c>
      <c r="AA2345">
        <v>0.96568639999999994</v>
      </c>
      <c r="AB2345">
        <v>25</v>
      </c>
      <c r="AC2345">
        <v>26.936999999999902</v>
      </c>
      <c r="AD2345">
        <v>-1.1165195644446</v>
      </c>
      <c r="AE2345">
        <v>9.22000000000196E-2</v>
      </c>
      <c r="AF2345">
        <v>-7.0424406906390704</v>
      </c>
      <c r="AG2345">
        <v>-1.1165195644446</v>
      </c>
      <c r="AH2345">
        <v>25.952411786646302</v>
      </c>
      <c r="AI2345">
        <v>92.377569983172705</v>
      </c>
      <c r="AJ2345">
        <v>105.182166067352</v>
      </c>
      <c r="AK2345">
        <v>26.914127598022102</v>
      </c>
      <c r="AL2345">
        <v>77.923606115068907</v>
      </c>
      <c r="AM2345">
        <v>98.276153852852602</v>
      </c>
      <c r="AN2345">
        <v>1.0000000282127799</v>
      </c>
    </row>
    <row r="2346" spans="1:40" x14ac:dyDescent="0.25">
      <c r="A2346" t="str">
        <f>"20190312172704175"</f>
        <v>20190312172704175</v>
      </c>
      <c r="B2346" t="str">
        <f>"1552382824171029"</f>
        <v>1552382824171029</v>
      </c>
      <c r="C2346" t="s">
        <v>40</v>
      </c>
      <c r="D2346">
        <v>3.247735</v>
      </c>
      <c r="E2346">
        <v>0.46587079999999997</v>
      </c>
      <c r="F2346" t="s">
        <v>48</v>
      </c>
      <c r="G2346">
        <v>-440.52179999999998</v>
      </c>
      <c r="H2346" s="1">
        <v>-1.336805E-6</v>
      </c>
      <c r="I2346">
        <v>216.3939</v>
      </c>
      <c r="J2346">
        <v>-468.4332</v>
      </c>
      <c r="K2346">
        <v>1.116182</v>
      </c>
      <c r="L2346">
        <v>216.1224</v>
      </c>
      <c r="M2346">
        <v>0.96966479999999999</v>
      </c>
      <c r="N2346">
        <v>0</v>
      </c>
      <c r="O2346">
        <v>-0.24399940000000001</v>
      </c>
      <c r="P2346">
        <v>0.97449019999999997</v>
      </c>
      <c r="Q2346">
        <v>0.19708510000000001</v>
      </c>
      <c r="R2346">
        <v>-0.10736039999999999</v>
      </c>
      <c r="S2346">
        <v>3.1088559999999998</v>
      </c>
      <c r="T2346">
        <v>-0.1222974</v>
      </c>
      <c r="U2346">
        <v>1.8051149999999998E-2</v>
      </c>
      <c r="V2346">
        <v>-0.1363675</v>
      </c>
      <c r="W2346">
        <v>0.20956730000000001</v>
      </c>
      <c r="X2346">
        <v>0.96823840000000005</v>
      </c>
      <c r="Y2346">
        <v>-0.24927350000000001</v>
      </c>
      <c r="Z2346">
        <v>1.4424889999999999E-2</v>
      </c>
      <c r="AA2346">
        <v>0.96832569999999996</v>
      </c>
      <c r="AB2346">
        <v>25</v>
      </c>
      <c r="AC2346">
        <v>27.9114</v>
      </c>
      <c r="AD2346">
        <v>-1.116183336805</v>
      </c>
      <c r="AE2346">
        <v>0.27150000000000302</v>
      </c>
      <c r="AF2346">
        <v>-7.06309314230423</v>
      </c>
      <c r="AG2346">
        <v>-1.116183336805</v>
      </c>
      <c r="AH2346">
        <v>26.958243840059101</v>
      </c>
      <c r="AI2346">
        <v>92.293600868483296</v>
      </c>
      <c r="AJ2346">
        <v>104.681565626569</v>
      </c>
      <c r="AK2346">
        <v>27.890501266888499</v>
      </c>
      <c r="AL2346">
        <v>77.903004773522596</v>
      </c>
      <c r="AM2346">
        <v>98.016854847255203</v>
      </c>
      <c r="AN2346">
        <v>1.0000000737600401</v>
      </c>
    </row>
    <row r="2347" spans="1:40" x14ac:dyDescent="0.25">
      <c r="A2347" t="str">
        <f>"20190312172704197"</f>
        <v>20190312172704197</v>
      </c>
      <c r="B2347" t="str">
        <f>"1552382824191525"</f>
        <v>1552382824191525</v>
      </c>
      <c r="C2347" t="s">
        <v>40</v>
      </c>
      <c r="D2347">
        <v>3.2265980000000001</v>
      </c>
      <c r="E2347">
        <v>0.46630280000000002</v>
      </c>
      <c r="F2347" t="s">
        <v>49</v>
      </c>
      <c r="G2347">
        <v>-436.96510000000001</v>
      </c>
      <c r="H2347" s="1">
        <v>5.2052639999999998E-6</v>
      </c>
      <c r="I2347">
        <v>215.7653</v>
      </c>
      <c r="J2347">
        <v>-468.20069999999998</v>
      </c>
      <c r="K2347">
        <v>1.1160410000000001</v>
      </c>
      <c r="L2347">
        <v>216.07239999999999</v>
      </c>
      <c r="M2347">
        <v>0.9714334</v>
      </c>
      <c r="N2347">
        <v>0</v>
      </c>
      <c r="O2347">
        <v>-0.23686579999999999</v>
      </c>
      <c r="P2347">
        <v>0.97507129999999997</v>
      </c>
      <c r="Q2347">
        <v>0.19672210000000001</v>
      </c>
      <c r="R2347">
        <v>-0.1026469</v>
      </c>
      <c r="S2347">
        <v>3.096832</v>
      </c>
      <c r="T2347">
        <v>-0.10984480000000001</v>
      </c>
      <c r="U2347">
        <v>-3.5140989999999997E-2</v>
      </c>
      <c r="V2347">
        <v>-0.13391320000000001</v>
      </c>
      <c r="W2347">
        <v>0.20915790000000001</v>
      </c>
      <c r="X2347">
        <v>0.96866929999999996</v>
      </c>
      <c r="Y2347">
        <v>-0.2255635</v>
      </c>
      <c r="Z2347">
        <v>1.233514E-2</v>
      </c>
      <c r="AA2347">
        <v>0.97415039999999997</v>
      </c>
      <c r="AB2347">
        <v>25</v>
      </c>
      <c r="AC2347">
        <v>31.235599999999899</v>
      </c>
      <c r="AD2347">
        <v>-1.116035794736</v>
      </c>
      <c r="AE2347">
        <v>-0.30709999999999099</v>
      </c>
      <c r="AF2347">
        <v>-7.0920171935052796</v>
      </c>
      <c r="AG2347">
        <v>-1.116035794736</v>
      </c>
      <c r="AH2347">
        <v>30.380487153973998</v>
      </c>
      <c r="AI2347">
        <v>92.048796252253993</v>
      </c>
      <c r="AJ2347">
        <v>103.139811492969</v>
      </c>
      <c r="AK2347">
        <v>31.217242727071302</v>
      </c>
      <c r="AL2347">
        <v>77.926992300206905</v>
      </c>
      <c r="AM2347">
        <v>97.870937314227703</v>
      </c>
      <c r="AN2347">
        <v>0.99999999251456995</v>
      </c>
    </row>
    <row r="2348" spans="1:40" x14ac:dyDescent="0.25">
      <c r="A2348" t="str">
        <f>"20190312172704220"</f>
        <v>20190312172704220</v>
      </c>
      <c r="B2348" t="str">
        <f>"1552382824211045"</f>
        <v>1552382824211045</v>
      </c>
      <c r="C2348" t="s">
        <v>40</v>
      </c>
      <c r="D2348">
        <v>3.2260490000000002</v>
      </c>
      <c r="E2348">
        <v>0.47056829999999999</v>
      </c>
      <c r="F2348" t="s">
        <v>49</v>
      </c>
      <c r="G2348">
        <v>-437.26319999999998</v>
      </c>
      <c r="H2348" s="1">
        <v>5.3317250000000002E-6</v>
      </c>
      <c r="I2348">
        <v>215.83080000000001</v>
      </c>
      <c r="J2348">
        <v>-467.9554</v>
      </c>
      <c r="K2348">
        <v>1.115901</v>
      </c>
      <c r="L2348">
        <v>216.0215</v>
      </c>
      <c r="M2348">
        <v>0.97322620000000004</v>
      </c>
      <c r="N2348">
        <v>0</v>
      </c>
      <c r="O2348">
        <v>-0.2293943</v>
      </c>
      <c r="P2348">
        <v>0.97564519999999999</v>
      </c>
      <c r="Q2348">
        <v>0.1967315</v>
      </c>
      <c r="R2348">
        <v>-9.7022289999999997E-2</v>
      </c>
      <c r="S2348">
        <v>3.0967099999999999</v>
      </c>
      <c r="T2348">
        <v>-0.1117103</v>
      </c>
      <c r="U2348">
        <v>-2.4185180000000001E-2</v>
      </c>
      <c r="V2348">
        <v>-0.1320221</v>
      </c>
      <c r="W2348">
        <v>0.2091182</v>
      </c>
      <c r="X2348">
        <v>0.96893739999999995</v>
      </c>
      <c r="Y2348">
        <v>-0.22151870000000001</v>
      </c>
      <c r="Z2348">
        <v>1.2209569999999999E-2</v>
      </c>
      <c r="AA2348">
        <v>0.97507969999999999</v>
      </c>
      <c r="AB2348">
        <v>25</v>
      </c>
      <c r="AC2348">
        <v>30.6922</v>
      </c>
      <c r="AD2348">
        <v>-1.1158956682750001</v>
      </c>
      <c r="AE2348">
        <v>-0.19069999999999199</v>
      </c>
      <c r="AF2348">
        <v>-6.8466878925811603</v>
      </c>
      <c r="AG2348">
        <v>-1.1158956682750001</v>
      </c>
      <c r="AH2348">
        <v>29.877832169758101</v>
      </c>
      <c r="AI2348">
        <v>92.084931325201893</v>
      </c>
      <c r="AJ2348">
        <v>102.906834175093</v>
      </c>
      <c r="AK2348">
        <v>30.672580807703898</v>
      </c>
      <c r="AL2348">
        <v>77.929318115146003</v>
      </c>
      <c r="AM2348">
        <v>97.759028133706195</v>
      </c>
      <c r="AN2348">
        <v>0.999999970789204</v>
      </c>
    </row>
    <row r="2349" spans="1:40" x14ac:dyDescent="0.25">
      <c r="A2349" t="str">
        <f>"20190312172704244"</f>
        <v>20190312172704244</v>
      </c>
      <c r="B2349" t="str">
        <f>"1552382824241300"</f>
        <v>1552382824241300</v>
      </c>
      <c r="C2349" t="s">
        <v>40</v>
      </c>
      <c r="D2349">
        <v>3.2487819999999998</v>
      </c>
      <c r="E2349">
        <v>0.4722789</v>
      </c>
      <c r="F2349" t="s">
        <v>49</v>
      </c>
      <c r="G2349">
        <v>-437.86430000000001</v>
      </c>
      <c r="H2349" s="1">
        <v>5.6157579999999998E-6</v>
      </c>
      <c r="I2349">
        <v>215.6311</v>
      </c>
      <c r="J2349">
        <v>-467.697</v>
      </c>
      <c r="K2349">
        <v>1.1157680000000001</v>
      </c>
      <c r="L2349">
        <v>215.9699</v>
      </c>
      <c r="M2349">
        <v>0.97503240000000002</v>
      </c>
      <c r="N2349">
        <v>0</v>
      </c>
      <c r="O2349">
        <v>-0.22159809999999999</v>
      </c>
      <c r="P2349">
        <v>0.9761898</v>
      </c>
      <c r="Q2349">
        <v>0.19699820000000001</v>
      </c>
      <c r="R2349">
        <v>-9.08027E-2</v>
      </c>
      <c r="S2349">
        <v>3.0940249999999998</v>
      </c>
      <c r="T2349">
        <v>-0.11473849999999999</v>
      </c>
      <c r="U2349">
        <v>-4.014587E-2</v>
      </c>
      <c r="V2349">
        <v>-0.13039529999999999</v>
      </c>
      <c r="W2349">
        <v>0.20933969999999999</v>
      </c>
      <c r="X2349">
        <v>0.96910989999999997</v>
      </c>
      <c r="Y2349">
        <v>-0.20865719999999999</v>
      </c>
      <c r="Z2349">
        <v>1.202813E-2</v>
      </c>
      <c r="AA2349">
        <v>0.97791490000000003</v>
      </c>
      <c r="AB2349">
        <v>25</v>
      </c>
      <c r="AC2349">
        <v>29.8326999999999</v>
      </c>
      <c r="AD2349">
        <v>-1.1157623842419999</v>
      </c>
      <c r="AE2349">
        <v>-0.338799999999992</v>
      </c>
      <c r="AF2349">
        <v>-6.2724032120814597</v>
      </c>
      <c r="AG2349">
        <v>-1.1157623842419999</v>
      </c>
      <c r="AH2349">
        <v>29.125196911258801</v>
      </c>
      <c r="AI2349">
        <v>92.144755842218302</v>
      </c>
      <c r="AJ2349">
        <v>102.153595373279</v>
      </c>
      <c r="AK2349">
        <v>29.813840122879501</v>
      </c>
      <c r="AL2349">
        <v>77.916340466607494</v>
      </c>
      <c r="AM2349">
        <v>97.663215408328895</v>
      </c>
      <c r="AN2349">
        <v>1.00000002126809</v>
      </c>
    </row>
    <row r="2350" spans="1:40" x14ac:dyDescent="0.25">
      <c r="A2350" t="str">
        <f>"20190312172704286"</f>
        <v>20190312172704286</v>
      </c>
      <c r="B2350" t="str">
        <f>"1552382824281316"</f>
        <v>1552382824281316</v>
      </c>
      <c r="C2350" t="s">
        <v>40</v>
      </c>
      <c r="D2350">
        <v>3.2321719999999998</v>
      </c>
      <c r="E2350">
        <v>0.47410259999999999</v>
      </c>
      <c r="F2350" t="s">
        <v>48</v>
      </c>
      <c r="G2350">
        <v>-440.73180000000002</v>
      </c>
      <c r="H2350" s="1">
        <v>-1.1938840000000001E-6</v>
      </c>
      <c r="I2350">
        <v>215.6806</v>
      </c>
      <c r="J2350">
        <v>-467.23939999999999</v>
      </c>
      <c r="K2350">
        <v>1.1155299999999999</v>
      </c>
      <c r="L2350">
        <v>215.8835</v>
      </c>
      <c r="M2350">
        <v>0.97801930000000004</v>
      </c>
      <c r="N2350">
        <v>0</v>
      </c>
      <c r="O2350">
        <v>-0.20802909999999999</v>
      </c>
      <c r="P2350">
        <v>0.97712489999999996</v>
      </c>
      <c r="Q2350">
        <v>0.1971579</v>
      </c>
      <c r="R2350">
        <v>-7.9722150000000006E-2</v>
      </c>
      <c r="S2350">
        <v>3.0959469999999998</v>
      </c>
      <c r="T2350">
        <v>-0.1281043</v>
      </c>
      <c r="U2350">
        <v>-3.3218379999999999E-2</v>
      </c>
      <c r="V2350">
        <v>-0.12783739999999999</v>
      </c>
      <c r="W2350">
        <v>0.20944370000000001</v>
      </c>
      <c r="X2350">
        <v>0.96942810000000001</v>
      </c>
      <c r="Y2350">
        <v>-0.1971994</v>
      </c>
      <c r="Z2350">
        <v>1.263278E-2</v>
      </c>
      <c r="AA2350">
        <v>0.98028199999999999</v>
      </c>
      <c r="AB2350">
        <v>25</v>
      </c>
      <c r="AC2350">
        <v>26.507599999999901</v>
      </c>
      <c r="AD2350">
        <v>-1.115531193884</v>
      </c>
      <c r="AE2350">
        <v>-0.202899999999999</v>
      </c>
      <c r="AF2350">
        <v>-5.3070510975070304</v>
      </c>
      <c r="AG2350">
        <v>-1.115531193884</v>
      </c>
      <c r="AH2350">
        <v>25.923869517826599</v>
      </c>
      <c r="AI2350">
        <v>92.413973851391503</v>
      </c>
      <c r="AJ2350">
        <v>101.569552506232</v>
      </c>
      <c r="AK2350">
        <v>26.485018632679498</v>
      </c>
      <c r="AL2350">
        <v>77.910245774612505</v>
      </c>
      <c r="AM2350">
        <v>97.512186363730507</v>
      </c>
      <c r="AN2350">
        <v>0.99999995268902897</v>
      </c>
    </row>
    <row r="2351" spans="1:40" x14ac:dyDescent="0.25">
      <c r="A2351" t="str">
        <f>"20190312172704308"</f>
        <v>20190312172704308</v>
      </c>
      <c r="B2351" t="str">
        <f>"1552382824300836"</f>
        <v>1552382824300836</v>
      </c>
      <c r="C2351" t="s">
        <v>40</v>
      </c>
      <c r="D2351">
        <v>3.2491349999999999</v>
      </c>
      <c r="E2351">
        <v>0.4743792</v>
      </c>
      <c r="F2351" t="s">
        <v>48</v>
      </c>
      <c r="G2351">
        <v>-441.22379999999998</v>
      </c>
      <c r="H2351" s="1">
        <v>-9.3656369999999999E-7</v>
      </c>
      <c r="I2351">
        <v>215.78399999999999</v>
      </c>
      <c r="J2351">
        <v>-467.00189999999998</v>
      </c>
      <c r="K2351">
        <v>1.115415</v>
      </c>
      <c r="L2351">
        <v>215.84110000000001</v>
      </c>
      <c r="M2351">
        <v>0.97946619999999995</v>
      </c>
      <c r="N2351">
        <v>0</v>
      </c>
      <c r="O2351">
        <v>-0.20111119999999999</v>
      </c>
      <c r="P2351">
        <v>0.97750119999999896</v>
      </c>
      <c r="Q2351">
        <v>0.19729459999999999</v>
      </c>
      <c r="R2351">
        <v>-7.4609320000000007E-2</v>
      </c>
      <c r="S2351">
        <v>3.0960999999999999</v>
      </c>
      <c r="T2351">
        <v>-0.13275899999999999</v>
      </c>
      <c r="U2351">
        <v>-1.184082E-2</v>
      </c>
      <c r="V2351">
        <v>-0.12600649999999999</v>
      </c>
      <c r="W2351">
        <v>0.20956820000000001</v>
      </c>
      <c r="X2351">
        <v>0.96964090000000003</v>
      </c>
      <c r="Y2351">
        <v>-0.19701979999999999</v>
      </c>
      <c r="Z2351">
        <v>1.279715E-2</v>
      </c>
      <c r="AA2351">
        <v>0.98031599999999997</v>
      </c>
      <c r="AB2351">
        <v>25</v>
      </c>
      <c r="AC2351">
        <v>25.778099999999899</v>
      </c>
      <c r="AD2351">
        <v>-1.1154159365637</v>
      </c>
      <c r="AE2351">
        <v>-5.7099999999991199E-2</v>
      </c>
      <c r="AF2351">
        <v>-5.1192659760023904</v>
      </c>
      <c r="AG2351">
        <v>-1.1154159365637</v>
      </c>
      <c r="AH2351">
        <v>25.215580129146002</v>
      </c>
      <c r="AI2351">
        <v>92.482264364341603</v>
      </c>
      <c r="AJ2351">
        <v>101.47621116046</v>
      </c>
      <c r="AK2351">
        <v>25.754155355864</v>
      </c>
      <c r="AL2351">
        <v>77.902950783228206</v>
      </c>
      <c r="AM2351">
        <v>97.404191684933906</v>
      </c>
      <c r="AN2351">
        <v>0.99999997172314903</v>
      </c>
    </row>
    <row r="2352" spans="1:40" x14ac:dyDescent="0.25">
      <c r="A2352" t="str">
        <f>"20190312172704331"</f>
        <v>20190312172704331</v>
      </c>
      <c r="B2352" t="str">
        <f>"1552382824321333"</f>
        <v>1552382824321333</v>
      </c>
      <c r="C2352" t="s">
        <v>40</v>
      </c>
      <c r="D2352">
        <v>3.279217</v>
      </c>
      <c r="E2352">
        <v>0.47686279999999998</v>
      </c>
      <c r="F2352" t="s">
        <v>48</v>
      </c>
      <c r="G2352">
        <v>-441.08</v>
      </c>
      <c r="H2352" s="1">
        <v>-1.0162459999999999E-6</v>
      </c>
      <c r="I2352">
        <v>215.85589999999999</v>
      </c>
      <c r="J2352">
        <v>-466.75709999999998</v>
      </c>
      <c r="K2352">
        <v>1.1152949999999999</v>
      </c>
      <c r="L2352">
        <v>215.79920000000001</v>
      </c>
      <c r="M2352">
        <v>0.98088059999999999</v>
      </c>
      <c r="N2352">
        <v>0</v>
      </c>
      <c r="O2352">
        <v>-0.19409999999999999</v>
      </c>
      <c r="P2352">
        <v>0.97802460000000002</v>
      </c>
      <c r="Q2352">
        <v>0.1964484</v>
      </c>
      <c r="R2352">
        <v>-6.9830870000000003E-2</v>
      </c>
      <c r="S2352">
        <v>3.096069</v>
      </c>
      <c r="T2352">
        <v>-0.13322349999999999</v>
      </c>
      <c r="U2352">
        <v>1.77002E-3</v>
      </c>
      <c r="V2352">
        <v>-0.1237805</v>
      </c>
      <c r="W2352">
        <v>0.2087242</v>
      </c>
      <c r="X2352">
        <v>0.97010960000000002</v>
      </c>
      <c r="Y2352">
        <v>-0.19432240000000001</v>
      </c>
      <c r="Z2352">
        <v>1.2487979999999999E-2</v>
      </c>
      <c r="AA2352">
        <v>0.98085820000000001</v>
      </c>
      <c r="AB2352">
        <v>25</v>
      </c>
      <c r="AC2352">
        <v>25.677099999999999</v>
      </c>
      <c r="AD2352">
        <v>-1.1152960162459999</v>
      </c>
      <c r="AE2352">
        <v>5.66999999999779E-2</v>
      </c>
      <c r="AF2352">
        <v>-5.0305503576766402</v>
      </c>
      <c r="AG2352">
        <v>-1.1152960162459999</v>
      </c>
      <c r="AH2352">
        <v>25.130250587060399</v>
      </c>
      <c r="AI2352">
        <v>92.491784086990194</v>
      </c>
      <c r="AJ2352">
        <v>101.319797840311</v>
      </c>
      <c r="AK2352">
        <v>25.653066418528301</v>
      </c>
      <c r="AL2352">
        <v>77.952402659457505</v>
      </c>
      <c r="AM2352">
        <v>97.271327544376902</v>
      </c>
      <c r="AN2352">
        <v>1.00000001992902</v>
      </c>
    </row>
    <row r="2353" spans="1:40" x14ac:dyDescent="0.25">
      <c r="A2353" t="str">
        <f>"20190312172704354"</f>
        <v>20190312172704354</v>
      </c>
      <c r="B2353" t="str">
        <f>"1552382824350612"</f>
        <v>1552382824350612</v>
      </c>
      <c r="C2353" t="s">
        <v>40</v>
      </c>
      <c r="D2353">
        <v>3.2813789999999998</v>
      </c>
      <c r="E2353">
        <v>0.47768680000000002</v>
      </c>
      <c r="F2353" t="s">
        <v>48</v>
      </c>
      <c r="G2353">
        <v>-443.76889999999997</v>
      </c>
      <c r="H2353" s="1">
        <v>4.1799250000000002E-7</v>
      </c>
      <c r="I2353">
        <v>215.7792</v>
      </c>
      <c r="J2353">
        <v>-466.505</v>
      </c>
      <c r="K2353">
        <v>1.115167</v>
      </c>
      <c r="L2353">
        <v>215.7578</v>
      </c>
      <c r="M2353">
        <v>0.98226049999999998</v>
      </c>
      <c r="N2353">
        <v>0</v>
      </c>
      <c r="O2353">
        <v>-0.18699579999999999</v>
      </c>
      <c r="P2353">
        <v>0.9784735</v>
      </c>
      <c r="Q2353">
        <v>0.19592619999999999</v>
      </c>
      <c r="R2353">
        <v>-6.4828280000000002E-2</v>
      </c>
      <c r="S2353">
        <v>3.0974430000000002</v>
      </c>
      <c r="T2353">
        <v>-0.1502752</v>
      </c>
      <c r="U2353">
        <v>-2.700806E-3</v>
      </c>
      <c r="V2353">
        <v>-0.12168130000000001</v>
      </c>
      <c r="W2353">
        <v>0.20820469999999999</v>
      </c>
      <c r="X2353">
        <v>0.97048670000000004</v>
      </c>
      <c r="Y2353">
        <v>-0.1857211</v>
      </c>
      <c r="Z2353">
        <v>1.352983E-2</v>
      </c>
      <c r="AA2353">
        <v>0.98250939999999998</v>
      </c>
      <c r="AB2353">
        <v>25</v>
      </c>
      <c r="AC2353">
        <v>22.7361</v>
      </c>
      <c r="AD2353">
        <v>-1.1151665820074901</v>
      </c>
      <c r="AE2353">
        <v>2.1399999999999801E-2</v>
      </c>
      <c r="AF2353">
        <v>-4.2627412283717501</v>
      </c>
      <c r="AG2353">
        <v>-1.1151665820074901</v>
      </c>
      <c r="AH2353">
        <v>22.2773762358506</v>
      </c>
      <c r="AI2353">
        <v>92.814752282999393</v>
      </c>
      <c r="AJ2353">
        <v>100.832516722641</v>
      </c>
      <c r="AK2353">
        <v>22.708942098638801</v>
      </c>
      <c r="AL2353">
        <v>77.9828360272721</v>
      </c>
      <c r="AM2353">
        <v>97.146550288519506</v>
      </c>
      <c r="AN2353">
        <v>0.99999998537433399</v>
      </c>
    </row>
    <row r="2354" spans="1:40" x14ac:dyDescent="0.25">
      <c r="A2354" t="str">
        <f>"20190312172704377"</f>
        <v>20190312172704377</v>
      </c>
      <c r="B2354" t="str">
        <f>"1552382824371109"</f>
        <v>1552382824371109</v>
      </c>
      <c r="C2354" t="s">
        <v>40</v>
      </c>
      <c r="D2354">
        <v>3.2626499999999998</v>
      </c>
      <c r="E2354">
        <v>0.47774460000000002</v>
      </c>
      <c r="F2354" t="s">
        <v>48</v>
      </c>
      <c r="G2354">
        <v>-443.93540000000002</v>
      </c>
      <c r="H2354" s="1">
        <v>5.0563860000000002E-7</v>
      </c>
      <c r="I2354">
        <v>215.8013</v>
      </c>
      <c r="J2354">
        <v>-466.24759999999998</v>
      </c>
      <c r="K2354">
        <v>1.1150450000000001</v>
      </c>
      <c r="L2354">
        <v>215.71729999999999</v>
      </c>
      <c r="M2354">
        <v>0.98359160000000001</v>
      </c>
      <c r="N2354">
        <v>0</v>
      </c>
      <c r="O2354">
        <v>-0.1798662</v>
      </c>
      <c r="P2354">
        <v>0.97891289999999997</v>
      </c>
      <c r="Q2354">
        <v>0.1953357</v>
      </c>
      <c r="R2354">
        <v>-5.9777419999999998E-2</v>
      </c>
      <c r="S2354">
        <v>3.0970759999999999</v>
      </c>
      <c r="T2354">
        <v>-0.15302679999999999</v>
      </c>
      <c r="U2354">
        <v>5.9661870000000004E-3</v>
      </c>
      <c r="V2354">
        <v>-0.1196106</v>
      </c>
      <c r="W2354">
        <v>0.20762069999999999</v>
      </c>
      <c r="X2354">
        <v>0.97086919999999999</v>
      </c>
      <c r="Y2354">
        <v>-0.18133949999999999</v>
      </c>
      <c r="Z2354">
        <v>1.3323750000000001E-2</v>
      </c>
      <c r="AA2354">
        <v>0.98333029999999999</v>
      </c>
      <c r="AB2354">
        <v>25</v>
      </c>
      <c r="AC2354">
        <v>22.312199999999901</v>
      </c>
      <c r="AD2354">
        <v>-1.1150444943614</v>
      </c>
      <c r="AE2354">
        <v>8.40000000000031E-2</v>
      </c>
      <c r="AF2354">
        <v>-4.0860286143501598</v>
      </c>
      <c r="AG2354">
        <v>-1.1150444943614</v>
      </c>
      <c r="AH2354">
        <v>21.878490143965099</v>
      </c>
      <c r="AI2354">
        <v>92.868069511536106</v>
      </c>
      <c r="AJ2354">
        <v>100.578695419878</v>
      </c>
      <c r="AK2354">
        <v>22.284687232296299</v>
      </c>
      <c r="AL2354">
        <v>78.017044811313696</v>
      </c>
      <c r="AM2354">
        <v>97.023419983368996</v>
      </c>
      <c r="AN2354">
        <v>1.00000002710474</v>
      </c>
    </row>
    <row r="2355" spans="1:40" x14ac:dyDescent="0.25">
      <c r="A2355" t="str">
        <f>"20190312172704400"</f>
        <v>20190312172704400</v>
      </c>
      <c r="B2355" t="str">
        <f>"1552382824391606"</f>
        <v>1552382824391606</v>
      </c>
      <c r="C2355" t="s">
        <v>40</v>
      </c>
      <c r="D2355">
        <v>3.1758709999999999</v>
      </c>
      <c r="E2355">
        <v>0.48073959999999999</v>
      </c>
      <c r="F2355" t="s">
        <v>48</v>
      </c>
      <c r="G2355">
        <v>-443.96570000000003</v>
      </c>
      <c r="H2355" s="1">
        <v>5.1879079999999999E-7</v>
      </c>
      <c r="I2355">
        <v>215.8689</v>
      </c>
      <c r="J2355">
        <v>-466.00740000000002</v>
      </c>
      <c r="K2355">
        <v>1.114924</v>
      </c>
      <c r="L2355">
        <v>215.68100000000001</v>
      </c>
      <c r="M2355">
        <v>0.9847612</v>
      </c>
      <c r="N2355">
        <v>0</v>
      </c>
      <c r="O2355">
        <v>-0.1733517</v>
      </c>
      <c r="P2355">
        <v>0.97922050000000005</v>
      </c>
      <c r="Q2355">
        <v>0.19501279999999999</v>
      </c>
      <c r="R2355">
        <v>-5.5654219999999997E-2</v>
      </c>
      <c r="S2355">
        <v>3.0968629999999999</v>
      </c>
      <c r="T2355">
        <v>-0.15497520000000001</v>
      </c>
      <c r="U2355">
        <v>2.107239E-2</v>
      </c>
      <c r="V2355">
        <v>-0.1172237</v>
      </c>
      <c r="W2355">
        <v>0.20731379999999999</v>
      </c>
      <c r="X2355">
        <v>0.97122589999999998</v>
      </c>
      <c r="Y2355">
        <v>-0.1796257</v>
      </c>
      <c r="Z2355">
        <v>1.3130090000000001E-2</v>
      </c>
      <c r="AA2355">
        <v>0.98364739999999995</v>
      </c>
      <c r="AB2355">
        <v>25</v>
      </c>
      <c r="AC2355">
        <v>22.041699999999899</v>
      </c>
      <c r="AD2355">
        <v>-1.1149234812091999</v>
      </c>
      <c r="AE2355">
        <v>0.187900000000013</v>
      </c>
      <c r="AF2355">
        <v>-3.9961687735118301</v>
      </c>
      <c r="AG2355">
        <v>-1.1149234812091999</v>
      </c>
      <c r="AH2355">
        <v>21.620034226243298</v>
      </c>
      <c r="AI2355">
        <v>92.902984105508196</v>
      </c>
      <c r="AJ2355">
        <v>100.47215314967799</v>
      </c>
      <c r="AK2355">
        <v>22.014502019788601</v>
      </c>
      <c r="AL2355">
        <v>78.035020610271303</v>
      </c>
      <c r="AM2355">
        <v>96.882117922366803</v>
      </c>
      <c r="AN2355">
        <v>1.00000007817146</v>
      </c>
    </row>
    <row r="2356" spans="1:40" x14ac:dyDescent="0.25">
      <c r="A2356" t="str">
        <f>"20190312172704420"</f>
        <v>20190312172704420</v>
      </c>
      <c r="B2356" t="str">
        <f>"1552382824411124"</f>
        <v>1552382824411124</v>
      </c>
      <c r="C2356" t="s">
        <v>40</v>
      </c>
      <c r="D2356">
        <v>3.3252809999999999</v>
      </c>
      <c r="E2356">
        <v>0.4816569</v>
      </c>
      <c r="F2356" t="s">
        <v>48</v>
      </c>
      <c r="G2356">
        <v>-444.10340000000002</v>
      </c>
      <c r="H2356" s="1">
        <v>5.9733539999999996E-7</v>
      </c>
      <c r="I2356">
        <v>215.7492</v>
      </c>
      <c r="J2356">
        <v>-465.7835</v>
      </c>
      <c r="K2356">
        <v>1.1148009999999999</v>
      </c>
      <c r="L2356">
        <v>215.64859999999999</v>
      </c>
      <c r="M2356">
        <v>0.98578829999999995</v>
      </c>
      <c r="N2356">
        <v>0</v>
      </c>
      <c r="O2356">
        <v>-0.16741619999999999</v>
      </c>
      <c r="P2356">
        <v>0.97955040000000004</v>
      </c>
      <c r="Q2356">
        <v>0.1941947</v>
      </c>
      <c r="R2356">
        <v>-5.2631020000000001E-2</v>
      </c>
      <c r="S2356">
        <v>3.0955509999999999</v>
      </c>
      <c r="T2356">
        <v>-0.15756519999999999</v>
      </c>
      <c r="U2356">
        <v>9.6282959999999997E-3</v>
      </c>
      <c r="V2356">
        <v>-0.11432829999999999</v>
      </c>
      <c r="W2356">
        <v>0.2065244</v>
      </c>
      <c r="X2356">
        <v>0.97173900000000002</v>
      </c>
      <c r="Y2356">
        <v>-0.17006260000000001</v>
      </c>
      <c r="Z2356">
        <v>1.2812459999999999E-2</v>
      </c>
      <c r="AA2356">
        <v>0.98534999999999995</v>
      </c>
      <c r="AB2356">
        <v>25</v>
      </c>
      <c r="AC2356">
        <v>21.6800999999999</v>
      </c>
      <c r="AD2356">
        <v>-1.1148004026645999</v>
      </c>
      <c r="AE2356">
        <v>0.100600000000014</v>
      </c>
      <c r="AF2356">
        <v>-3.7192967529319398</v>
      </c>
      <c r="AG2356">
        <v>-1.1148004026645999</v>
      </c>
      <c r="AH2356">
        <v>21.300890856272801</v>
      </c>
      <c r="AI2356">
        <v>92.951319390199103</v>
      </c>
      <c r="AJ2356">
        <v>99.904427500007301</v>
      </c>
      <c r="AK2356">
        <v>21.6518798155032</v>
      </c>
      <c r="AL2356">
        <v>78.081249284697904</v>
      </c>
      <c r="AM2356">
        <v>96.7101895135972</v>
      </c>
      <c r="AN2356">
        <v>0.99999998604862494</v>
      </c>
    </row>
    <row r="2357" spans="1:40" x14ac:dyDescent="0.25">
      <c r="A2357" t="str">
        <f>"20190312172704554"</f>
        <v>20190312172704554</v>
      </c>
      <c r="B2357" t="str">
        <f>"1552382824550692"</f>
        <v>1552382824550692</v>
      </c>
      <c r="C2357" t="s">
        <v>40</v>
      </c>
      <c r="D2357">
        <v>3.2791299999999999</v>
      </c>
      <c r="E2357">
        <v>0.47773149999999998</v>
      </c>
      <c r="F2357" t="s">
        <v>48</v>
      </c>
      <c r="G2357">
        <v>-444.59899999999999</v>
      </c>
      <c r="H2357" s="1">
        <v>8.6194839999999998E-7</v>
      </c>
      <c r="I2357">
        <v>215.72880000000001</v>
      </c>
      <c r="J2357">
        <v>-464.33159999999998</v>
      </c>
      <c r="K2357">
        <v>1.113977</v>
      </c>
      <c r="L2357">
        <v>215.4657</v>
      </c>
      <c r="M2357">
        <v>0.99107970000000001</v>
      </c>
      <c r="N2357">
        <v>0</v>
      </c>
      <c r="O2357">
        <v>-0.1325636</v>
      </c>
      <c r="P2357">
        <v>0.98050590000000004</v>
      </c>
      <c r="Q2357">
        <v>0.19316520000000001</v>
      </c>
      <c r="R2357">
        <v>-3.599165E-2</v>
      </c>
      <c r="S2357">
        <v>3.0955509999999999</v>
      </c>
      <c r="T2357">
        <v>-0.1628983</v>
      </c>
      <c r="U2357">
        <v>1.171875E-2</v>
      </c>
      <c r="V2357">
        <v>-9.6129359999999997E-2</v>
      </c>
      <c r="W2357">
        <v>0.20569299999999999</v>
      </c>
      <c r="X2357">
        <v>0.97388370000000002</v>
      </c>
      <c r="Y2357">
        <v>-0.13595660000000001</v>
      </c>
      <c r="Z2357">
        <v>1.0531489999999999E-2</v>
      </c>
      <c r="AA2357">
        <v>0.99065879999999995</v>
      </c>
      <c r="AB2357">
        <v>25</v>
      </c>
      <c r="AC2357">
        <v>19.732599999999898</v>
      </c>
      <c r="AD2357">
        <v>-1.1139761380516</v>
      </c>
      <c r="AE2357">
        <v>0.26310000000000799</v>
      </c>
      <c r="AF2357">
        <v>-2.8677100935644901</v>
      </c>
      <c r="AG2357">
        <v>-1.1139761380516</v>
      </c>
      <c r="AH2357">
        <v>19.461523318924499</v>
      </c>
      <c r="AI2357">
        <v>93.241109297381399</v>
      </c>
      <c r="AJ2357">
        <v>98.382372887113803</v>
      </c>
      <c r="AK2357">
        <v>19.703187404831802</v>
      </c>
      <c r="AL2357">
        <v>78.129929939308099</v>
      </c>
      <c r="AM2357">
        <v>95.637246755498794</v>
      </c>
      <c r="AN2357">
        <v>0.99999996261434898</v>
      </c>
    </row>
    <row r="2358" spans="1:40" x14ac:dyDescent="0.25">
      <c r="A2358" t="str">
        <f>"20190312172704578"</f>
        <v>20190312172704578</v>
      </c>
      <c r="B2358" t="str">
        <f>"1552382824571189"</f>
        <v>1552382824571189</v>
      </c>
      <c r="C2358" t="s">
        <v>40</v>
      </c>
      <c r="D2358">
        <v>3.2392500000000002</v>
      </c>
      <c r="E2358">
        <v>0.47704239999999998</v>
      </c>
      <c r="F2358" t="s">
        <v>48</v>
      </c>
      <c r="G2358">
        <v>-453.15129999999999</v>
      </c>
      <c r="H2358" s="1">
        <v>8.7539209999999995E-8</v>
      </c>
      <c r="I2358">
        <v>215.82079999999999</v>
      </c>
      <c r="J2358">
        <v>-464.08409999999998</v>
      </c>
      <c r="K2358">
        <v>1.113845</v>
      </c>
      <c r="L2358">
        <v>215.43889999999999</v>
      </c>
      <c r="M2358">
        <v>0.99177219999999999</v>
      </c>
      <c r="N2358">
        <v>0</v>
      </c>
      <c r="O2358">
        <v>-0.12728249999999999</v>
      </c>
      <c r="P2358">
        <v>0.98041310000000004</v>
      </c>
      <c r="Q2358">
        <v>0.19406309999999999</v>
      </c>
      <c r="R2358">
        <v>-3.3613860000000002E-2</v>
      </c>
      <c r="S2358">
        <v>3.124603</v>
      </c>
      <c r="T2358">
        <v>-0.31132910000000003</v>
      </c>
      <c r="U2358">
        <v>9.925842E-2</v>
      </c>
      <c r="V2358">
        <v>-9.3211649999999993E-2</v>
      </c>
      <c r="W2358">
        <v>0.2066191</v>
      </c>
      <c r="X2358">
        <v>0.97397129999999998</v>
      </c>
      <c r="Y2358">
        <v>-0.15731600000000001</v>
      </c>
      <c r="Z2358">
        <v>2.0445370000000001E-2</v>
      </c>
      <c r="AA2358">
        <v>0.98733660000000001</v>
      </c>
      <c r="AB2358">
        <v>25</v>
      </c>
      <c r="AC2358">
        <v>10.932799999999901</v>
      </c>
      <c r="AD2358">
        <v>-1.1138449124607901</v>
      </c>
      <c r="AE2358">
        <v>0.38190000000000102</v>
      </c>
      <c r="AF2358">
        <v>-1.75231115285163</v>
      </c>
      <c r="AG2358">
        <v>-1.1138449124607901</v>
      </c>
      <c r="AH2358">
        <v>10.684480678965301</v>
      </c>
      <c r="AI2358">
        <v>95.873612001131704</v>
      </c>
      <c r="AJ2358">
        <v>99.313893023922503</v>
      </c>
      <c r="AK2358">
        <v>10.8843636582304</v>
      </c>
      <c r="AL2358">
        <v>78.075703676627299</v>
      </c>
      <c r="AM2358">
        <v>95.466709553068796</v>
      </c>
      <c r="AN2358">
        <v>0.99999997870211099</v>
      </c>
    </row>
    <row r="2359" spans="1:40" x14ac:dyDescent="0.25">
      <c r="A2359" t="str">
        <f>"20190312172704599"</f>
        <v>20190312172704599</v>
      </c>
      <c r="B2359" t="str">
        <f>"1552382824591685"</f>
        <v>1552382824591685</v>
      </c>
      <c r="C2359" t="s">
        <v>40</v>
      </c>
      <c r="D2359">
        <v>3.2506270000000002</v>
      </c>
      <c r="E2359">
        <v>0.47666439999999999</v>
      </c>
      <c r="F2359" t="s">
        <v>48</v>
      </c>
      <c r="G2359">
        <v>-452.12979999999999</v>
      </c>
      <c r="H2359" s="1">
        <v>-4.581779E-7</v>
      </c>
      <c r="I2359">
        <v>215.86869999999999</v>
      </c>
      <c r="J2359">
        <v>-463.84820000000002</v>
      </c>
      <c r="K2359">
        <v>1.1136900000000001</v>
      </c>
      <c r="L2359">
        <v>215.4143</v>
      </c>
      <c r="M2359">
        <v>0.99238029999999999</v>
      </c>
      <c r="N2359">
        <v>0</v>
      </c>
      <c r="O2359">
        <v>-0.12245549999999999</v>
      </c>
      <c r="P2359">
        <v>0.9802959</v>
      </c>
      <c r="Q2359">
        <v>0.19495689999999999</v>
      </c>
      <c r="R2359">
        <v>-3.1811180000000001E-2</v>
      </c>
      <c r="S2359">
        <v>3.1213380000000002</v>
      </c>
      <c r="T2359">
        <v>-0.29083130000000001</v>
      </c>
      <c r="U2359">
        <v>0.1122437</v>
      </c>
      <c r="V2359">
        <v>-9.0162290000000006E-2</v>
      </c>
      <c r="W2359">
        <v>0.2075456</v>
      </c>
      <c r="X2359">
        <v>0.97406139999999997</v>
      </c>
      <c r="Y2359">
        <v>-0.1568466</v>
      </c>
      <c r="Z2359">
        <v>1.8656249999999999E-2</v>
      </c>
      <c r="AA2359">
        <v>0.98744679999999996</v>
      </c>
      <c r="AB2359">
        <v>25</v>
      </c>
      <c r="AC2359">
        <v>11.718400000000001</v>
      </c>
      <c r="AD2359">
        <v>-1.1136904581778999</v>
      </c>
      <c r="AE2359">
        <v>0.45439999999999198</v>
      </c>
      <c r="AF2359">
        <v>-1.86923761191844</v>
      </c>
      <c r="AG2359">
        <v>-1.1136904581778999</v>
      </c>
      <c r="AH2359">
        <v>11.4710886280071</v>
      </c>
      <c r="AI2359">
        <v>95.473533165515306</v>
      </c>
      <c r="AJ2359">
        <v>99.255119646179693</v>
      </c>
      <c r="AK2359">
        <v>11.675625464960801</v>
      </c>
      <c r="AL2359">
        <v>78.021443366118902</v>
      </c>
      <c r="AM2359">
        <v>95.288414350393793</v>
      </c>
      <c r="AN2359">
        <v>1.0000000127936799</v>
      </c>
    </row>
    <row r="2360" spans="1:40" x14ac:dyDescent="0.25">
      <c r="A2360" t="str">
        <f>"20190312172704619"</f>
        <v>20190312172704619</v>
      </c>
      <c r="B2360" t="str">
        <f>"1552382824611205"</f>
        <v>1552382824611205</v>
      </c>
      <c r="C2360" t="s">
        <v>40</v>
      </c>
      <c r="D2360">
        <v>3.2407180000000002</v>
      </c>
      <c r="E2360">
        <v>0.47656959999999998</v>
      </c>
      <c r="F2360" t="s">
        <v>48</v>
      </c>
      <c r="G2360">
        <v>-450.51949999999999</v>
      </c>
      <c r="H2360" s="1">
        <v>-1.3176849999999999E-6</v>
      </c>
      <c r="I2360">
        <v>215.92769999999999</v>
      </c>
      <c r="J2360">
        <v>-463.61989999999997</v>
      </c>
      <c r="K2360">
        <v>1.1135250000000001</v>
      </c>
      <c r="L2360">
        <v>215.3914</v>
      </c>
      <c r="M2360">
        <v>0.99292179999999997</v>
      </c>
      <c r="N2360">
        <v>0</v>
      </c>
      <c r="O2360">
        <v>-0.11798640000000001</v>
      </c>
      <c r="P2360">
        <v>0.98026369999999896</v>
      </c>
      <c r="Q2360">
        <v>0.1952941</v>
      </c>
      <c r="R2360">
        <v>-3.071403E-2</v>
      </c>
      <c r="S2360">
        <v>3.1159970000000001</v>
      </c>
      <c r="T2360">
        <v>-0.2603589</v>
      </c>
      <c r="U2360">
        <v>0.1200256</v>
      </c>
      <c r="V2360">
        <v>-8.6767280000000002E-2</v>
      </c>
      <c r="W2360">
        <v>0.207922</v>
      </c>
      <c r="X2360">
        <v>0.97428939999999997</v>
      </c>
      <c r="Y2360">
        <v>-0.1551815</v>
      </c>
      <c r="Z2360">
        <v>1.6296350000000001E-2</v>
      </c>
      <c r="AA2360">
        <v>0.9877515</v>
      </c>
      <c r="AB2360">
        <v>25</v>
      </c>
      <c r="AC2360">
        <v>13.100399999999899</v>
      </c>
      <c r="AD2360">
        <v>-1.1135263176850001</v>
      </c>
      <c r="AE2360">
        <v>0.53629999999998201</v>
      </c>
      <c r="AF2360">
        <v>-2.06348227158063</v>
      </c>
      <c r="AG2360">
        <v>-1.1135263176850001</v>
      </c>
      <c r="AH2360">
        <v>12.852891958752799</v>
      </c>
      <c r="AI2360">
        <v>94.889227633251096</v>
      </c>
      <c r="AJ2360">
        <v>99.120785114794103</v>
      </c>
      <c r="AK2360">
        <v>13.065019389525499</v>
      </c>
      <c r="AL2360">
        <v>77.999395850072901</v>
      </c>
      <c r="AM2360">
        <v>95.0891636194809</v>
      </c>
      <c r="AN2360">
        <v>0.999999976957479</v>
      </c>
    </row>
    <row r="2361" spans="1:40" x14ac:dyDescent="0.25">
      <c r="A2361" t="str">
        <f>"20190312172704643"</f>
        <v>20190312172704643</v>
      </c>
      <c r="B2361" t="str">
        <f>"1552382824631701"</f>
        <v>1552382824631701</v>
      </c>
      <c r="C2361" t="s">
        <v>40</v>
      </c>
      <c r="D2361">
        <v>3.2828580000000001</v>
      </c>
      <c r="E2361">
        <v>0.47645559999999998</v>
      </c>
      <c r="F2361" t="s">
        <v>48</v>
      </c>
      <c r="G2361">
        <v>-448.73329999999999</v>
      </c>
      <c r="H2361" s="1">
        <v>3.050826E-6</v>
      </c>
      <c r="I2361">
        <v>215.98480000000001</v>
      </c>
      <c r="J2361">
        <v>-463.37360000000001</v>
      </c>
      <c r="K2361">
        <v>1.113327</v>
      </c>
      <c r="L2361">
        <v>215.36760000000001</v>
      </c>
      <c r="M2361">
        <v>0.99345609999999995</v>
      </c>
      <c r="N2361">
        <v>0</v>
      </c>
      <c r="O2361">
        <v>-0.1134044</v>
      </c>
      <c r="P2361">
        <v>0.98037169999999896</v>
      </c>
      <c r="Q2361">
        <v>0.19490540000000001</v>
      </c>
      <c r="R2361">
        <v>-2.9720960000000001E-2</v>
      </c>
      <c r="S2361">
        <v>3.1106259999999999</v>
      </c>
      <c r="T2361">
        <v>-0.2326752</v>
      </c>
      <c r="U2361">
        <v>0.1239777</v>
      </c>
      <c r="V2361">
        <v>-8.3159440000000001E-2</v>
      </c>
      <c r="W2361">
        <v>0.20757780000000001</v>
      </c>
      <c r="X2361">
        <v>0.97467740000000003</v>
      </c>
      <c r="Y2361">
        <v>-0.15215200000000001</v>
      </c>
      <c r="Z2361">
        <v>1.413964E-2</v>
      </c>
      <c r="AA2361">
        <v>0.98825600000000002</v>
      </c>
      <c r="AB2361">
        <v>25</v>
      </c>
      <c r="AC2361">
        <v>14.6403</v>
      </c>
      <c r="AD2361">
        <v>-1.1133239491739999</v>
      </c>
      <c r="AE2361">
        <v>0.61719999999999597</v>
      </c>
      <c r="AF2361">
        <v>-2.2605956740272499</v>
      </c>
      <c r="AG2361">
        <v>-1.1133239491739999</v>
      </c>
      <c r="AH2361">
        <v>14.392753313245199</v>
      </c>
      <c r="AI2361">
        <v>94.369836728491293</v>
      </c>
      <c r="AJ2361">
        <v>98.926228408525603</v>
      </c>
      <c r="AK2361">
        <v>14.6116778965719</v>
      </c>
      <c r="AL2361">
        <v>78.019557636118193</v>
      </c>
      <c r="AM2361">
        <v>94.876663471274895</v>
      </c>
      <c r="AN2361">
        <v>1.0000000347923499</v>
      </c>
    </row>
    <row r="2362" spans="1:40" x14ac:dyDescent="0.25">
      <c r="A2362" t="str">
        <f>"20190312172704669"</f>
        <v>20190312172704669</v>
      </c>
      <c r="B2362" t="str">
        <f>"1552382824660981"</f>
        <v>1552382824660981</v>
      </c>
      <c r="C2362" t="s">
        <v>40</v>
      </c>
      <c r="D2362">
        <v>3.2912780000000001</v>
      </c>
      <c r="E2362">
        <v>0.47688910000000001</v>
      </c>
      <c r="F2362" t="s">
        <v>48</v>
      </c>
      <c r="G2362">
        <v>-447.03559999999999</v>
      </c>
      <c r="H2362" s="1">
        <v>2.1453290000000002E-6</v>
      </c>
      <c r="I2362">
        <v>216.03219999999999</v>
      </c>
      <c r="J2362">
        <v>-463.09219999999999</v>
      </c>
      <c r="K2362">
        <v>1.1131089999999999</v>
      </c>
      <c r="L2362">
        <v>215.34139999999999</v>
      </c>
      <c r="M2362">
        <v>0.99400500000000003</v>
      </c>
      <c r="N2362">
        <v>0</v>
      </c>
      <c r="O2362">
        <v>-0.1084914</v>
      </c>
      <c r="P2362">
        <v>0.98045769999999999</v>
      </c>
      <c r="Q2362">
        <v>0.19459969999999999</v>
      </c>
      <c r="R2362">
        <v>-2.887644E-2</v>
      </c>
      <c r="S2362">
        <v>3.1059269999999999</v>
      </c>
      <c r="T2362">
        <v>-0.2116487</v>
      </c>
      <c r="U2362">
        <v>0.12634280000000001</v>
      </c>
      <c r="V2362">
        <v>-7.9064880000000004E-2</v>
      </c>
      <c r="W2362">
        <v>0.20731840000000001</v>
      </c>
      <c r="X2362">
        <v>0.97507319999999997</v>
      </c>
      <c r="Y2362">
        <v>-0.14822179999999999</v>
      </c>
      <c r="Z2362">
        <v>1.241744E-2</v>
      </c>
      <c r="AA2362">
        <v>0.98887619999999998</v>
      </c>
      <c r="AB2362">
        <v>25</v>
      </c>
      <c r="AC2362">
        <v>16.0566</v>
      </c>
      <c r="AD2362">
        <v>-1.1131068546709999</v>
      </c>
      <c r="AE2362">
        <v>0.69079999999999497</v>
      </c>
      <c r="AF2362">
        <v>-2.4172891735779198</v>
      </c>
      <c r="AG2362">
        <v>-1.1131068546709999</v>
      </c>
      <c r="AH2362">
        <v>15.811009595838099</v>
      </c>
      <c r="AI2362">
        <v>93.980915902280501</v>
      </c>
      <c r="AJ2362">
        <v>98.692439086222805</v>
      </c>
      <c r="AK2362">
        <v>16.033412558101801</v>
      </c>
      <c r="AL2362">
        <v>78.034749759041006</v>
      </c>
      <c r="AM2362">
        <v>94.635748936249797</v>
      </c>
      <c r="AN2362">
        <v>0.99999995979310596</v>
      </c>
    </row>
    <row r="2363" spans="1:40" x14ac:dyDescent="0.25">
      <c r="A2363" t="str">
        <f>"20190312172704692"</f>
        <v>20190312172704692</v>
      </c>
      <c r="B2363" t="str">
        <f>"1552382824681476"</f>
        <v>1552382824681476</v>
      </c>
      <c r="C2363" t="s">
        <v>40</v>
      </c>
      <c r="D2363">
        <v>3.3074729999999999</v>
      </c>
      <c r="E2363">
        <v>0.47696719999999998</v>
      </c>
      <c r="F2363" t="s">
        <v>48</v>
      </c>
      <c r="G2363">
        <v>-445.35860000000002</v>
      </c>
      <c r="H2363" s="1">
        <v>1.2522160000000001E-6</v>
      </c>
      <c r="I2363">
        <v>216.04820000000001</v>
      </c>
      <c r="J2363">
        <v>-462.84429999999998</v>
      </c>
      <c r="K2363">
        <v>1.1129279999999999</v>
      </c>
      <c r="L2363">
        <v>215.3192</v>
      </c>
      <c r="M2363">
        <v>0.99443590000000004</v>
      </c>
      <c r="N2363">
        <v>0</v>
      </c>
      <c r="O2363">
        <v>-0.1044704</v>
      </c>
      <c r="P2363">
        <v>0.9805488</v>
      </c>
      <c r="Q2363">
        <v>0.1940461</v>
      </c>
      <c r="R2363">
        <v>-2.949949E-2</v>
      </c>
      <c r="S2363">
        <v>3.102112</v>
      </c>
      <c r="T2363">
        <v>-0.1947149</v>
      </c>
      <c r="U2363">
        <v>0.12365719999999999</v>
      </c>
      <c r="V2363">
        <v>-7.4407810000000005E-2</v>
      </c>
      <c r="W2363">
        <v>0.20680899999999999</v>
      </c>
      <c r="X2363">
        <v>0.97554779999999996</v>
      </c>
      <c r="Y2363">
        <v>-0.1435225</v>
      </c>
      <c r="Z2363">
        <v>1.1041560000000001E-2</v>
      </c>
      <c r="AA2363">
        <v>0.98958550000000001</v>
      </c>
      <c r="AB2363">
        <v>24</v>
      </c>
      <c r="AC2363">
        <v>17.485699999999898</v>
      </c>
      <c r="AD2363">
        <v>-1.1129267477839999</v>
      </c>
      <c r="AE2363">
        <v>0.72900000000001297</v>
      </c>
      <c r="AF2363">
        <v>-2.5416371582239399</v>
      </c>
      <c r="AG2363">
        <v>-1.1129267477839999</v>
      </c>
      <c r="AH2363">
        <v>17.244099291195401</v>
      </c>
      <c r="AI2363">
        <v>93.653361920259698</v>
      </c>
      <c r="AJ2363">
        <v>98.3845540697221</v>
      </c>
      <c r="AK2363">
        <v>17.465894931397099</v>
      </c>
      <c r="AL2363">
        <v>78.064583243351194</v>
      </c>
      <c r="AM2363">
        <v>94.361667349270405</v>
      </c>
      <c r="AN2363">
        <v>0.99999999737741796</v>
      </c>
    </row>
    <row r="2364" spans="1:40" x14ac:dyDescent="0.25">
      <c r="A2364" t="str">
        <f>"20190312172704732"</f>
        <v>20190312172704732</v>
      </c>
      <c r="B2364" t="str">
        <f>"1552382824721493"</f>
        <v>1552382824721493</v>
      </c>
      <c r="C2364" t="s">
        <v>40</v>
      </c>
      <c r="D2364">
        <v>3.337815</v>
      </c>
      <c r="E2364">
        <v>0.47725139999999999</v>
      </c>
      <c r="F2364" t="s">
        <v>48</v>
      </c>
      <c r="G2364">
        <v>-444.58510000000001</v>
      </c>
      <c r="H2364" s="1">
        <v>8.4143880000000004E-7</v>
      </c>
      <c r="I2364">
        <v>216.02860000000001</v>
      </c>
      <c r="J2364">
        <v>-462.41030000000001</v>
      </c>
      <c r="K2364">
        <v>1.112676</v>
      </c>
      <c r="L2364">
        <v>215.28210000000001</v>
      </c>
      <c r="M2364">
        <v>0.99510259999999995</v>
      </c>
      <c r="N2364">
        <v>0</v>
      </c>
      <c r="O2364">
        <v>-9.7920770000000004E-2</v>
      </c>
      <c r="P2364">
        <v>0.98057479999999997</v>
      </c>
      <c r="Q2364">
        <v>0.19358520000000001</v>
      </c>
      <c r="R2364">
        <v>-3.1592549999999997E-2</v>
      </c>
      <c r="S2364">
        <v>3.1004939999999999</v>
      </c>
      <c r="T2364">
        <v>-0.18898000000000001</v>
      </c>
      <c r="U2364">
        <v>0.12046809999999999</v>
      </c>
      <c r="V2364">
        <v>-6.5760650000000004E-2</v>
      </c>
      <c r="W2364">
        <v>0.20641200000000001</v>
      </c>
      <c r="X2364">
        <v>0.97625289999999998</v>
      </c>
      <c r="Y2364">
        <v>-0.13606089999999901</v>
      </c>
      <c r="Z2364">
        <v>1.0097999999999999E-2</v>
      </c>
      <c r="AA2364">
        <v>0.990649</v>
      </c>
      <c r="AB2364">
        <v>24</v>
      </c>
      <c r="AC2364">
        <v>17.825199999999899</v>
      </c>
      <c r="AD2364">
        <v>-1.11267515856119</v>
      </c>
      <c r="AE2364">
        <v>0.74649999999999705</v>
      </c>
      <c r="AF2364">
        <v>-2.4788863667500398</v>
      </c>
      <c r="AG2364">
        <v>-1.11267515856119</v>
      </c>
      <c r="AH2364">
        <v>17.597966350462801</v>
      </c>
      <c r="AI2364">
        <v>93.582577221563199</v>
      </c>
      <c r="AJ2364">
        <v>98.018049402911302</v>
      </c>
      <c r="AK2364">
        <v>17.8064972215133</v>
      </c>
      <c r="AL2364">
        <v>78.087831930350703</v>
      </c>
      <c r="AM2364">
        <v>93.853637185380407</v>
      </c>
      <c r="AN2364">
        <v>1.0000000507954101</v>
      </c>
    </row>
    <row r="2365" spans="1:40" x14ac:dyDescent="0.25">
      <c r="A2365" t="str">
        <f>"20190312172704754"</f>
        <v>20190312172704754</v>
      </c>
      <c r="B2365" t="str">
        <f>"1552382824751749"</f>
        <v>1552382824751749</v>
      </c>
      <c r="C2365" t="s">
        <v>40</v>
      </c>
      <c r="D2365">
        <v>3.3530280000000001</v>
      </c>
      <c r="E2365">
        <v>0.47734290000000001</v>
      </c>
      <c r="F2365" t="s">
        <v>48</v>
      </c>
      <c r="G2365">
        <v>-443.17919999999998</v>
      </c>
      <c r="H2365" s="1">
        <v>9.6024960000000002E-8</v>
      </c>
      <c r="I2365">
        <v>215.96639999999999</v>
      </c>
      <c r="J2365">
        <v>-462.16570000000002</v>
      </c>
      <c r="K2365">
        <v>1.1125640000000001</v>
      </c>
      <c r="L2365">
        <v>215.2621</v>
      </c>
      <c r="M2365">
        <v>0.99543479999999995</v>
      </c>
      <c r="N2365">
        <v>0</v>
      </c>
      <c r="O2365">
        <v>-9.4487639999999998E-2</v>
      </c>
      <c r="P2365">
        <v>0.9805102</v>
      </c>
      <c r="Q2365">
        <v>0.1937895</v>
      </c>
      <c r="R2365">
        <v>-3.2331230000000002E-2</v>
      </c>
      <c r="S2365">
        <v>3.0983580000000002</v>
      </c>
      <c r="T2365">
        <v>-0.1792657</v>
      </c>
      <c r="U2365">
        <v>0.11026</v>
      </c>
      <c r="V2365">
        <v>-6.1586500000000002E-2</v>
      </c>
      <c r="W2365">
        <v>0.2066402</v>
      </c>
      <c r="X2365">
        <v>0.97647680000000003</v>
      </c>
      <c r="Y2365">
        <v>-0.12946740000000001</v>
      </c>
      <c r="Z2365">
        <v>9.1983359999999997E-3</v>
      </c>
      <c r="AA2365">
        <v>0.99154100000000001</v>
      </c>
      <c r="AB2365">
        <v>24</v>
      </c>
      <c r="AC2365">
        <v>18.986499999999999</v>
      </c>
      <c r="AD2365">
        <v>-1.1125639039750399</v>
      </c>
      <c r="AE2365">
        <v>0.70429999999998905</v>
      </c>
      <c r="AF2365">
        <v>-2.4867738881132802</v>
      </c>
      <c r="AG2365">
        <v>-1.1125639039750399</v>
      </c>
      <c r="AH2365">
        <v>18.7706221159692</v>
      </c>
      <c r="AI2365">
        <v>93.362727424520997</v>
      </c>
      <c r="AJ2365">
        <v>97.546725227055504</v>
      </c>
      <c r="AK2365">
        <v>18.9672901973777</v>
      </c>
      <c r="AL2365">
        <v>78.074468389608995</v>
      </c>
      <c r="AM2365">
        <v>93.608871060191603</v>
      </c>
      <c r="AN2365">
        <v>1.00000000508826</v>
      </c>
    </row>
    <row r="2366" spans="1:40" x14ac:dyDescent="0.25">
      <c r="A2366" t="str">
        <f>"20190312172704777"</f>
        <v>20190312172704777</v>
      </c>
      <c r="B2366" t="str">
        <f>"1552382824771269"</f>
        <v>1552382824771269</v>
      </c>
      <c r="C2366" t="s">
        <v>40</v>
      </c>
      <c r="D2366">
        <v>3.3151830000000002</v>
      </c>
      <c r="E2366">
        <v>0.4774833</v>
      </c>
      <c r="F2366" t="s">
        <v>48</v>
      </c>
      <c r="G2366">
        <v>-441.7912</v>
      </c>
      <c r="H2366" s="1">
        <v>-6.4236680000000004E-7</v>
      </c>
      <c r="I2366">
        <v>215.96100000000001</v>
      </c>
      <c r="J2366">
        <v>-461.92599999999999</v>
      </c>
      <c r="K2366">
        <v>1.1124540000000001</v>
      </c>
      <c r="L2366">
        <v>215.2433</v>
      </c>
      <c r="M2366">
        <v>0.99573590000000001</v>
      </c>
      <c r="N2366">
        <v>0</v>
      </c>
      <c r="O2366">
        <v>-9.1262469999999998E-2</v>
      </c>
      <c r="P2366">
        <v>0.98031449999999998</v>
      </c>
      <c r="Q2366">
        <v>0.19471579999999999</v>
      </c>
      <c r="R2366">
        <v>-3.270414E-2</v>
      </c>
      <c r="S2366">
        <v>3.0965579999999999</v>
      </c>
      <c r="T2366">
        <v>-0.16908989999999999</v>
      </c>
      <c r="U2366">
        <v>0.1062164</v>
      </c>
      <c r="V2366">
        <v>-5.7979210000000003E-2</v>
      </c>
      <c r="W2366">
        <v>0.20758299999999999</v>
      </c>
      <c r="X2366">
        <v>0.97649770000000002</v>
      </c>
      <c r="Y2366">
        <v>-0.12503349999999999</v>
      </c>
      <c r="Z2366">
        <v>8.3857089999999999E-3</v>
      </c>
      <c r="AA2366">
        <v>0.99211709999999997</v>
      </c>
      <c r="AB2366">
        <v>24</v>
      </c>
      <c r="AC2366">
        <v>20.134799999999899</v>
      </c>
      <c r="AD2366">
        <v>-1.1124546423668</v>
      </c>
      <c r="AE2366">
        <v>0.71769999999997902</v>
      </c>
      <c r="AF2366">
        <v>-2.5446644821364699</v>
      </c>
      <c r="AG2366">
        <v>-1.1124546423668</v>
      </c>
      <c r="AH2366">
        <v>19.924510267748801</v>
      </c>
      <c r="AI2366">
        <v>93.170008893233998</v>
      </c>
      <c r="AJ2366">
        <v>97.278145657573802</v>
      </c>
      <c r="AK2366">
        <v>20.117131556650801</v>
      </c>
      <c r="AL2366">
        <v>78.019252937433507</v>
      </c>
      <c r="AM2366">
        <v>93.3979276904833</v>
      </c>
      <c r="AN2366">
        <v>1.0000000243932501</v>
      </c>
    </row>
    <row r="2367" spans="1:40" x14ac:dyDescent="0.25">
      <c r="A2367" t="str">
        <f>"20190312172704800"</f>
        <v>20190312172704800</v>
      </c>
      <c r="B2367" t="str">
        <f>"1552382824791765"</f>
        <v>1552382824791765</v>
      </c>
      <c r="C2367" t="s">
        <v>40</v>
      </c>
      <c r="D2367">
        <v>3.34579</v>
      </c>
      <c r="E2367">
        <v>0.47768110000000003</v>
      </c>
      <c r="F2367" t="s">
        <v>48</v>
      </c>
      <c r="G2367">
        <v>-440.69130000000001</v>
      </c>
      <c r="H2367" s="1">
        <v>-1.22722E-6</v>
      </c>
      <c r="I2367">
        <v>215.95070000000001</v>
      </c>
      <c r="J2367">
        <v>-461.67899999999997</v>
      </c>
      <c r="K2367">
        <v>1.112341</v>
      </c>
      <c r="L2367">
        <v>215.22450000000001</v>
      </c>
      <c r="M2367">
        <v>0.99602120000000005</v>
      </c>
      <c r="N2367">
        <v>0</v>
      </c>
      <c r="O2367">
        <v>-8.8097620000000001E-2</v>
      </c>
      <c r="P2367">
        <v>0.98022880000000001</v>
      </c>
      <c r="Q2367">
        <v>0.1951841</v>
      </c>
      <c r="R2367">
        <v>-3.2472620000000001E-2</v>
      </c>
      <c r="S2367">
        <v>3.095917</v>
      </c>
      <c r="T2367">
        <v>-0.16219069999999999</v>
      </c>
      <c r="U2367">
        <v>0.103134199999999</v>
      </c>
      <c r="V2367">
        <v>-5.5036450000000001E-2</v>
      </c>
      <c r="W2367">
        <v>0.20806479999999999</v>
      </c>
      <c r="X2367">
        <v>0.97656540000000003</v>
      </c>
      <c r="Y2367">
        <v>-0.1209354</v>
      </c>
      <c r="Z2367">
        <v>7.7732560000000001E-3</v>
      </c>
      <c r="AA2367">
        <v>0.99262989999999995</v>
      </c>
      <c r="AB2367">
        <v>24</v>
      </c>
      <c r="AC2367">
        <v>20.9877</v>
      </c>
      <c r="AD2367">
        <v>-1.1123422272200001</v>
      </c>
      <c r="AE2367">
        <v>0.72620000000000495</v>
      </c>
      <c r="AF2367">
        <v>-2.5653120266322502</v>
      </c>
      <c r="AG2367">
        <v>-1.1123422272200001</v>
      </c>
      <c r="AH2367">
        <v>20.7837883179762</v>
      </c>
      <c r="AI2367">
        <v>93.040501375161199</v>
      </c>
      <c r="AJ2367">
        <v>97.036344758118005</v>
      </c>
      <c r="AK2367">
        <v>20.971027344192802</v>
      </c>
      <c r="AL2367">
        <v>77.991031067069599</v>
      </c>
      <c r="AM2367">
        <v>93.225615164188198</v>
      </c>
      <c r="AN2367">
        <v>0.99999997615240099</v>
      </c>
    </row>
    <row r="2368" spans="1:40" x14ac:dyDescent="0.25">
      <c r="A2368" t="str">
        <f>"20190312172704822"</f>
        <v>20190312172704822</v>
      </c>
      <c r="B2368" t="str">
        <f>"1552382824811285"</f>
        <v>1552382824811285</v>
      </c>
      <c r="C2368" t="s">
        <v>40</v>
      </c>
      <c r="D2368">
        <v>3.32551</v>
      </c>
      <c r="E2368">
        <v>0.4778425</v>
      </c>
      <c r="F2368" t="s">
        <v>49</v>
      </c>
      <c r="G2368">
        <v>-439.76409999999998</v>
      </c>
      <c r="H2368" s="1">
        <v>6.4305849999999997E-6</v>
      </c>
      <c r="I2368">
        <v>215.94739999999999</v>
      </c>
      <c r="J2368">
        <v>-461.44119999999998</v>
      </c>
      <c r="K2368">
        <v>1.1122160000000001</v>
      </c>
      <c r="L2368">
        <v>215.20689999999999</v>
      </c>
      <c r="M2368">
        <v>0.99627180000000004</v>
      </c>
      <c r="N2368">
        <v>0</v>
      </c>
      <c r="O2368">
        <v>-8.521985E-2</v>
      </c>
      <c r="P2368">
        <v>0.98027810000000004</v>
      </c>
      <c r="Q2368">
        <v>0.19498090000000001</v>
      </c>
      <c r="R2368">
        <v>-3.2210580000000003E-2</v>
      </c>
      <c r="S2368">
        <v>3.0951840000000002</v>
      </c>
      <c r="T2368">
        <v>-0.15710250000000001</v>
      </c>
      <c r="U2368">
        <v>0.1021118</v>
      </c>
      <c r="V2368">
        <v>-5.2410669999999999E-2</v>
      </c>
      <c r="W2368">
        <v>0.20787630000000001</v>
      </c>
      <c r="X2368">
        <v>0.97675000000000001</v>
      </c>
      <c r="Y2368">
        <v>-0.1177728</v>
      </c>
      <c r="Z2368">
        <v>7.3056880000000003E-3</v>
      </c>
      <c r="AA2368">
        <v>0.9930137</v>
      </c>
      <c r="AB2368">
        <v>24</v>
      </c>
      <c r="AC2368">
        <v>21.677099999999999</v>
      </c>
      <c r="AD2368">
        <v>-1.1122095694149901</v>
      </c>
      <c r="AE2368">
        <v>0.74049999999999705</v>
      </c>
      <c r="AF2368">
        <v>-2.57851120733506</v>
      </c>
      <c r="AG2368">
        <v>-1.1122095694149901</v>
      </c>
      <c r="AH2368">
        <v>21.478640278646601</v>
      </c>
      <c r="AI2368">
        <v>92.943154537442396</v>
      </c>
      <c r="AJ2368">
        <v>96.845598679557298</v>
      </c>
      <c r="AK2368">
        <v>21.661433895108399</v>
      </c>
      <c r="AL2368">
        <v>78.002073018856805</v>
      </c>
      <c r="AM2368">
        <v>93.071444241587002</v>
      </c>
      <c r="AN2368">
        <v>0.99999999846576904</v>
      </c>
    </row>
    <row r="2369" spans="1:40" x14ac:dyDescent="0.25">
      <c r="A2369" t="str">
        <f>"20190312172704845"</f>
        <v>20190312172704845</v>
      </c>
      <c r="B2369" t="str">
        <f>"1552382824841540"</f>
        <v>1552382824841540</v>
      </c>
      <c r="C2369" t="s">
        <v>40</v>
      </c>
      <c r="D2369">
        <v>3.3631950000000002</v>
      </c>
      <c r="E2369">
        <v>0.47807880000000003</v>
      </c>
      <c r="F2369" t="s">
        <v>49</v>
      </c>
      <c r="G2369">
        <v>-439.10950000000003</v>
      </c>
      <c r="H2369" s="1">
        <v>6.1415740000000003E-6</v>
      </c>
      <c r="I2369">
        <v>215.93279999999999</v>
      </c>
      <c r="J2369">
        <v>-461.19069999999999</v>
      </c>
      <c r="K2369">
        <v>1.112069</v>
      </c>
      <c r="L2369">
        <v>215.18889999999999</v>
      </c>
      <c r="M2369">
        <v>0.99651089999999998</v>
      </c>
      <c r="N2369">
        <v>0</v>
      </c>
      <c r="O2369">
        <v>-8.2377519999999996E-2</v>
      </c>
      <c r="P2369">
        <v>0.98035289999999997</v>
      </c>
      <c r="Q2369">
        <v>0.19462660000000001</v>
      </c>
      <c r="R2369">
        <v>-3.2070630000000003E-2</v>
      </c>
      <c r="S2369">
        <v>3.09436</v>
      </c>
      <c r="T2369">
        <v>-0.154112</v>
      </c>
      <c r="U2369">
        <v>0.10058590000000001</v>
      </c>
      <c r="V2369">
        <v>-4.9688070000000001E-2</v>
      </c>
      <c r="W2369">
        <v>0.20753859999999999</v>
      </c>
      <c r="X2369">
        <v>0.9769641</v>
      </c>
      <c r="Y2369">
        <v>-0.1144763</v>
      </c>
      <c r="Z2369">
        <v>6.9455519999999998E-3</v>
      </c>
      <c r="AA2369">
        <v>0.99340170000000005</v>
      </c>
      <c r="AB2369">
        <v>24</v>
      </c>
      <c r="AC2369">
        <v>22.0811999999999</v>
      </c>
      <c r="AD2369">
        <v>-1.1120628584259999</v>
      </c>
      <c r="AE2369">
        <v>0.74389999999999601</v>
      </c>
      <c r="AF2369">
        <v>-2.55405866871891</v>
      </c>
      <c r="AG2369">
        <v>-1.1120628584259999</v>
      </c>
      <c r="AH2369">
        <v>21.889393895772699</v>
      </c>
      <c r="AI2369">
        <v>92.888774611531204</v>
      </c>
      <c r="AJ2369">
        <v>96.655189547471494</v>
      </c>
      <c r="AK2369">
        <v>22.0659344830134</v>
      </c>
      <c r="AL2369">
        <v>78.021853375322394</v>
      </c>
      <c r="AM2369">
        <v>92.911535637659298</v>
      </c>
      <c r="AN2369">
        <v>1.00000001373954</v>
      </c>
    </row>
    <row r="2370" spans="1:40" x14ac:dyDescent="0.25">
      <c r="A2370" t="str">
        <f>"20190312172704869"</f>
        <v>20190312172704869</v>
      </c>
      <c r="B2370" t="str">
        <f>"1552382824861060"</f>
        <v>1552382824861060</v>
      </c>
      <c r="C2370" t="s">
        <v>40</v>
      </c>
      <c r="D2370">
        <v>3.3466420000000001</v>
      </c>
      <c r="E2370">
        <v>0.47824119999999998</v>
      </c>
      <c r="F2370" t="s">
        <v>49</v>
      </c>
      <c r="G2370">
        <v>-438.45780000000002</v>
      </c>
      <c r="H2370" s="1">
        <v>5.8545179999999997E-6</v>
      </c>
      <c r="I2370">
        <v>215.91059999999999</v>
      </c>
      <c r="J2370">
        <v>-460.9314</v>
      </c>
      <c r="K2370">
        <v>1.1119110000000001</v>
      </c>
      <c r="L2370">
        <v>215.17080000000001</v>
      </c>
      <c r="M2370">
        <v>0.99673149999999999</v>
      </c>
      <c r="N2370">
        <v>0</v>
      </c>
      <c r="O2370">
        <v>-7.9669089999999998E-2</v>
      </c>
      <c r="P2370">
        <v>0.98034659999999996</v>
      </c>
      <c r="Q2370">
        <v>0.1946792</v>
      </c>
      <c r="R2370">
        <v>-3.194951E-2</v>
      </c>
      <c r="S2370">
        <v>3.0934140000000001</v>
      </c>
      <c r="T2370">
        <v>-0.15132579999999901</v>
      </c>
      <c r="U2370">
        <v>9.8205570000000006E-2</v>
      </c>
      <c r="V2370">
        <v>-4.7064920000000003E-2</v>
      </c>
      <c r="W2370">
        <v>0.20760619999999999</v>
      </c>
      <c r="X2370">
        <v>0.97707960000000005</v>
      </c>
      <c r="Y2370">
        <v>-0.1110381</v>
      </c>
      <c r="Z2370">
        <v>6.6060930000000004E-3</v>
      </c>
      <c r="AA2370">
        <v>0.99379419999999996</v>
      </c>
      <c r="AB2370">
        <v>24</v>
      </c>
      <c r="AC2370">
        <v>22.473599999999902</v>
      </c>
      <c r="AD2370">
        <v>-1.1119051454819999</v>
      </c>
      <c r="AE2370">
        <v>0.73979999999997403</v>
      </c>
      <c r="AF2370">
        <v>-2.52189307945424</v>
      </c>
      <c r="AG2370">
        <v>-1.1119051454819999</v>
      </c>
      <c r="AH2370">
        <v>22.288706334603599</v>
      </c>
      <c r="AI2370">
        <v>92.837839700088097</v>
      </c>
      <c r="AJ2370">
        <v>96.455372941373994</v>
      </c>
      <c r="AK2370">
        <v>22.4584662839417</v>
      </c>
      <c r="AL2370">
        <v>78.017893688929703</v>
      </c>
      <c r="AM2370">
        <v>92.757747235817803</v>
      </c>
      <c r="AN2370">
        <v>0.99999999285460295</v>
      </c>
    </row>
    <row r="2371" spans="1:40" x14ac:dyDescent="0.25">
      <c r="A2371" t="str">
        <f>"20190312172704893"</f>
        <v>20190312172704893</v>
      </c>
      <c r="B2371" t="str">
        <f>"1552382824881557"</f>
        <v>1552382824881557</v>
      </c>
      <c r="C2371" t="s">
        <v>40</v>
      </c>
      <c r="D2371">
        <v>3.3180170000000002</v>
      </c>
      <c r="E2371">
        <v>0.47833629999999999</v>
      </c>
      <c r="F2371" t="s">
        <v>49</v>
      </c>
      <c r="G2371">
        <v>-437.83550000000002</v>
      </c>
      <c r="H2371" s="1">
        <v>5.5798390000000004E-6</v>
      </c>
      <c r="I2371">
        <v>215.89590000000001</v>
      </c>
      <c r="J2371">
        <v>-460.67970000000003</v>
      </c>
      <c r="K2371">
        <v>1.111753</v>
      </c>
      <c r="L2371">
        <v>215.15360000000001</v>
      </c>
      <c r="M2371">
        <v>0.99691770000000002</v>
      </c>
      <c r="N2371">
        <v>0</v>
      </c>
      <c r="O2371">
        <v>-7.7307029999999999E-2</v>
      </c>
      <c r="P2371">
        <v>0.98045349999999998</v>
      </c>
      <c r="Q2371">
        <v>0.19409000000000001</v>
      </c>
      <c r="R2371">
        <v>-3.2253950000000003E-2</v>
      </c>
      <c r="S2371">
        <v>3.0928650000000002</v>
      </c>
      <c r="T2371">
        <v>-0.1488999</v>
      </c>
      <c r="U2371">
        <v>9.7106929999999994E-2</v>
      </c>
      <c r="V2371">
        <v>-4.4364720000000003E-2</v>
      </c>
      <c r="W2371">
        <v>0.20703340000000001</v>
      </c>
      <c r="X2371">
        <v>0.97732750000000002</v>
      </c>
      <c r="Y2371">
        <v>-0.10834870000000001</v>
      </c>
      <c r="Z2371">
        <v>6.3233660000000004E-3</v>
      </c>
      <c r="AA2371">
        <v>0.9940928</v>
      </c>
      <c r="AB2371">
        <v>24</v>
      </c>
      <c r="AC2371">
        <v>22.844200000000001</v>
      </c>
      <c r="AD2371">
        <v>-1.111747420161</v>
      </c>
      <c r="AE2371">
        <v>0.74229999999999996</v>
      </c>
      <c r="AF2371">
        <v>-2.5003376096237102</v>
      </c>
      <c r="AG2371">
        <v>-1.111747420161</v>
      </c>
      <c r="AH2371">
        <v>22.664809182271298</v>
      </c>
      <c r="AI2371">
        <v>92.791297826580205</v>
      </c>
      <c r="AJ2371">
        <v>96.2953030704669</v>
      </c>
      <c r="AK2371">
        <v>22.8293943361865</v>
      </c>
      <c r="AL2371">
        <v>78.051442289122306</v>
      </c>
      <c r="AM2371">
        <v>92.599095400888103</v>
      </c>
      <c r="AN2371">
        <v>1.00000004967624</v>
      </c>
    </row>
    <row r="2372" spans="1:40" x14ac:dyDescent="0.25">
      <c r="A2372" t="str">
        <f>"20190312172704913"</f>
        <v>20190312172704913</v>
      </c>
      <c r="B2372" t="str">
        <f>"1552382824901077"</f>
        <v>1552382824901077</v>
      </c>
      <c r="C2372" t="s">
        <v>40</v>
      </c>
      <c r="D2372">
        <v>3.2957209999999999</v>
      </c>
      <c r="E2372">
        <v>0.47845749999999998</v>
      </c>
      <c r="F2372" t="s">
        <v>49</v>
      </c>
      <c r="G2372">
        <v>-437.49529999999999</v>
      </c>
      <c r="H2372" s="1">
        <v>5.4305919999999999E-6</v>
      </c>
      <c r="I2372">
        <v>215.87729999999999</v>
      </c>
      <c r="J2372">
        <v>-460.45530000000002</v>
      </c>
      <c r="K2372">
        <v>1.1116090000000001</v>
      </c>
      <c r="L2372">
        <v>215.13849999999999</v>
      </c>
      <c r="M2372">
        <v>0.99706519999999998</v>
      </c>
      <c r="N2372">
        <v>0</v>
      </c>
      <c r="O2372">
        <v>-7.5380160000000002E-2</v>
      </c>
      <c r="P2372">
        <v>0.98063639999999996</v>
      </c>
      <c r="Q2372">
        <v>0.19319430000000001</v>
      </c>
      <c r="R2372">
        <v>-3.2063849999999998E-2</v>
      </c>
      <c r="S2372">
        <v>3.092285</v>
      </c>
      <c r="T2372">
        <v>-0.14828259999999999</v>
      </c>
      <c r="U2372">
        <v>9.6527100000000005E-2</v>
      </c>
      <c r="V2372">
        <v>-4.2605150000000001E-2</v>
      </c>
      <c r="W2372">
        <v>0.20614840000000001</v>
      </c>
      <c r="X2372">
        <v>0.97759280000000004</v>
      </c>
      <c r="Y2372">
        <v>-0.10625320000000001</v>
      </c>
      <c r="Z2372">
        <v>6.1559880000000003E-3</v>
      </c>
      <c r="AA2372">
        <v>0.99431999999999998</v>
      </c>
      <c r="AB2372">
        <v>24</v>
      </c>
      <c r="AC2372">
        <v>22.96</v>
      </c>
      <c r="AD2372">
        <v>-1.111603569408</v>
      </c>
      <c r="AE2372">
        <v>0.73879999999999701</v>
      </c>
      <c r="AF2372">
        <v>-2.4618163687760801</v>
      </c>
      <c r="AG2372">
        <v>-1.111603569408</v>
      </c>
      <c r="AH2372">
        <v>22.7856141842881</v>
      </c>
      <c r="AI2372">
        <v>92.776844012677202</v>
      </c>
      <c r="AJ2372">
        <v>96.166463524191002</v>
      </c>
      <c r="AK2372">
        <v>22.945161060326502</v>
      </c>
      <c r="AL2372">
        <v>78.103266714876497</v>
      </c>
      <c r="AM2372">
        <v>92.4954679800272</v>
      </c>
      <c r="AN2372">
        <v>1.0000000221204599</v>
      </c>
    </row>
    <row r="2373" spans="1:40" x14ac:dyDescent="0.25">
      <c r="A2373" t="str">
        <f>"20190312172704934"</f>
        <v>20190312172704934</v>
      </c>
      <c r="B2373" t="str">
        <f>"1552382824931334"</f>
        <v>1552382824931334</v>
      </c>
      <c r="C2373" t="s">
        <v>40</v>
      </c>
      <c r="D2373">
        <v>3.3256809999999999</v>
      </c>
      <c r="E2373">
        <v>0.4786106</v>
      </c>
      <c r="F2373" t="s">
        <v>49</v>
      </c>
      <c r="G2373">
        <v>-437.4837</v>
      </c>
      <c r="H2373" s="1">
        <v>5.4282150000000002E-6</v>
      </c>
      <c r="I2373">
        <v>215.84569999999999</v>
      </c>
      <c r="J2373">
        <v>-460.2321</v>
      </c>
      <c r="K2373">
        <v>1.111472</v>
      </c>
      <c r="L2373">
        <v>215.12379999999999</v>
      </c>
      <c r="M2373">
        <v>0.99719500000000005</v>
      </c>
      <c r="N2373">
        <v>0</v>
      </c>
      <c r="O2373">
        <v>-7.3647920000000006E-2</v>
      </c>
      <c r="P2373">
        <v>0.98085180000000005</v>
      </c>
      <c r="Q2373">
        <v>0.1920751</v>
      </c>
      <c r="R2373">
        <v>-3.2204820000000002E-2</v>
      </c>
      <c r="S2373">
        <v>3.0918269999999999</v>
      </c>
      <c r="T2373">
        <v>-0.14961479999999999</v>
      </c>
      <c r="U2373">
        <v>9.5184329999999998E-2</v>
      </c>
      <c r="V2373">
        <v>-4.0712390000000001E-2</v>
      </c>
      <c r="W2373">
        <v>0.2050401</v>
      </c>
      <c r="X2373">
        <v>0.97790650000000001</v>
      </c>
      <c r="Y2373">
        <v>-0.10409939999999999</v>
      </c>
      <c r="Z2373">
        <v>6.0764699999999996E-3</v>
      </c>
      <c r="AA2373">
        <v>0.99454830000000005</v>
      </c>
      <c r="AB2373">
        <v>24</v>
      </c>
      <c r="AC2373">
        <v>22.7484</v>
      </c>
      <c r="AD2373">
        <v>-1.1114665717849901</v>
      </c>
      <c r="AE2373">
        <v>0.72190000000000498</v>
      </c>
      <c r="AF2373">
        <v>-2.3897616283460099</v>
      </c>
      <c r="AG2373">
        <v>-1.1114665717849901</v>
      </c>
      <c r="AH2373">
        <v>22.579592022771799</v>
      </c>
      <c r="AI2373">
        <v>92.802448010345103</v>
      </c>
      <c r="AJ2373">
        <v>96.041535846083406</v>
      </c>
      <c r="AK2373">
        <v>22.7328901483144</v>
      </c>
      <c r="AL2373">
        <v>78.1681539104151</v>
      </c>
      <c r="AM2373">
        <v>92.383972129776296</v>
      </c>
      <c r="AN2373">
        <v>1.0000000320248801</v>
      </c>
    </row>
    <row r="2374" spans="1:40" x14ac:dyDescent="0.25">
      <c r="A2374" t="str">
        <f>"20190312172704957"</f>
        <v>20190312172704957</v>
      </c>
      <c r="B2374" t="str">
        <f>"1552382824951834"</f>
        <v>1552382824951834</v>
      </c>
      <c r="C2374" t="s">
        <v>40</v>
      </c>
      <c r="D2374">
        <v>3.3239209999999999</v>
      </c>
      <c r="E2374">
        <v>0.47873320000000003</v>
      </c>
      <c r="F2374" t="s">
        <v>49</v>
      </c>
      <c r="G2374">
        <v>-437.32810000000001</v>
      </c>
      <c r="H2374" s="1">
        <v>5.3624209999999996E-6</v>
      </c>
      <c r="I2374">
        <v>215.80930000000001</v>
      </c>
      <c r="J2374">
        <v>-459.98469999999998</v>
      </c>
      <c r="K2374">
        <v>1.111318</v>
      </c>
      <c r="L2374">
        <v>215.10759999999999</v>
      </c>
      <c r="M2374">
        <v>0.99731800000000004</v>
      </c>
      <c r="N2374">
        <v>0</v>
      </c>
      <c r="O2374">
        <v>-7.196292E-2</v>
      </c>
      <c r="P2374">
        <v>0.98094130000000002</v>
      </c>
      <c r="Q2374">
        <v>0.19146270000000001</v>
      </c>
      <c r="R2374">
        <v>-3.3110920000000002E-2</v>
      </c>
      <c r="S2374">
        <v>3.0910030000000002</v>
      </c>
      <c r="T2374">
        <v>-0.1499981</v>
      </c>
      <c r="U2374">
        <v>9.2514040000000006E-2</v>
      </c>
      <c r="V2374">
        <v>-3.8085790000000001E-2</v>
      </c>
      <c r="W2374">
        <v>0.20443939999999999</v>
      </c>
      <c r="X2374">
        <v>0.97813799999999995</v>
      </c>
      <c r="Y2374">
        <v>-0.1015722</v>
      </c>
      <c r="Z2374">
        <v>5.9508310000000002E-3</v>
      </c>
      <c r="AA2374">
        <v>0.99481030000000004</v>
      </c>
      <c r="AB2374">
        <v>24</v>
      </c>
      <c r="AC2374">
        <v>22.656599999999901</v>
      </c>
      <c r="AD2374">
        <v>-1.1113126375789999</v>
      </c>
      <c r="AE2374">
        <v>0.70170000000001598</v>
      </c>
      <c r="AF2374">
        <v>-2.32487260197734</v>
      </c>
      <c r="AG2374">
        <v>-1.1113126375789999</v>
      </c>
      <c r="AH2374">
        <v>22.493281649540801</v>
      </c>
      <c r="AI2374">
        <v>92.813515532054197</v>
      </c>
      <c r="AJ2374">
        <v>95.901053644308405</v>
      </c>
      <c r="AK2374">
        <v>22.6404012278811</v>
      </c>
      <c r="AL2374">
        <v>78.203315624118304</v>
      </c>
      <c r="AM2374">
        <v>92.2298011585236</v>
      </c>
      <c r="AN2374">
        <v>0.999999971358141</v>
      </c>
    </row>
    <row r="2375" spans="1:40" x14ac:dyDescent="0.25">
      <c r="A2375" t="str">
        <f>"20190312172704980"</f>
        <v>20190312172704980</v>
      </c>
      <c r="B2375" t="str">
        <f>"1552382824971353"</f>
        <v>1552382824971353</v>
      </c>
      <c r="C2375" t="s">
        <v>40</v>
      </c>
      <c r="D2375">
        <v>3.2999740000000002</v>
      </c>
      <c r="E2375">
        <v>0.47886040000000002</v>
      </c>
      <c r="F2375" t="s">
        <v>49</v>
      </c>
      <c r="G2375">
        <v>-437.24200000000002</v>
      </c>
      <c r="H2375" s="1">
        <v>5.3292240000000004E-6</v>
      </c>
      <c r="I2375">
        <v>215.75219999999999</v>
      </c>
      <c r="J2375">
        <v>-459.74310000000003</v>
      </c>
      <c r="K2375">
        <v>1.1111580000000001</v>
      </c>
      <c r="L2375">
        <v>215.09200000000001</v>
      </c>
      <c r="M2375">
        <v>0.99741860000000004</v>
      </c>
      <c r="N2375">
        <v>0</v>
      </c>
      <c r="O2375">
        <v>-7.0558380000000004E-2</v>
      </c>
      <c r="P2375">
        <v>0.9809968</v>
      </c>
      <c r="Q2375">
        <v>0.1910308</v>
      </c>
      <c r="R2375">
        <v>-3.39536E-2</v>
      </c>
      <c r="S2375">
        <v>3.0907900000000001</v>
      </c>
      <c r="T2375">
        <v>-0.15103050000000001</v>
      </c>
      <c r="U2375">
        <v>8.7600709999999998E-2</v>
      </c>
      <c r="V2375">
        <v>-3.5790889999999999E-2</v>
      </c>
      <c r="W2375">
        <v>0.2040179</v>
      </c>
      <c r="X2375">
        <v>0.97831270000000004</v>
      </c>
      <c r="Y2375">
        <v>-9.8595160000000001E-2</v>
      </c>
      <c r="Z2375">
        <v>5.851078E-3</v>
      </c>
      <c r="AA2375">
        <v>0.99511050000000001</v>
      </c>
      <c r="AB2375">
        <v>24</v>
      </c>
      <c r="AC2375">
        <v>22.501100000000001</v>
      </c>
      <c r="AD2375">
        <v>-1.111152670776</v>
      </c>
      <c r="AE2375">
        <v>0.66019999999997403</v>
      </c>
      <c r="AF2375">
        <v>-2.2408765714599199</v>
      </c>
      <c r="AG2375">
        <v>-1.111152670776</v>
      </c>
      <c r="AH2375">
        <v>22.343981570937299</v>
      </c>
      <c r="AI2375">
        <v>92.8327520711197</v>
      </c>
      <c r="AJ2375">
        <v>95.727040525495994</v>
      </c>
      <c r="AK2375">
        <v>22.4835428815984</v>
      </c>
      <c r="AL2375">
        <v>78.227986286315101</v>
      </c>
      <c r="AM2375">
        <v>92.095191851607396</v>
      </c>
      <c r="AN2375">
        <v>1.00000001515434</v>
      </c>
    </row>
    <row r="2376" spans="1:40" x14ac:dyDescent="0.25">
      <c r="A2376" t="str">
        <f>"20190312172705003"</f>
        <v>20190312172705003</v>
      </c>
      <c r="B2376" t="str">
        <f>"1552382824991850"</f>
        <v>1552382824991850</v>
      </c>
      <c r="C2376" t="s">
        <v>40</v>
      </c>
      <c r="D2376">
        <v>3.3109989999999998</v>
      </c>
      <c r="E2376">
        <v>0.47899900000000001</v>
      </c>
      <c r="F2376" t="s">
        <v>49</v>
      </c>
      <c r="G2376">
        <v>-437.02679999999998</v>
      </c>
      <c r="H2376" s="1">
        <v>5.2382360000000002E-6</v>
      </c>
      <c r="I2376">
        <v>215.7013</v>
      </c>
      <c r="J2376">
        <v>-459.49040000000002</v>
      </c>
      <c r="K2376">
        <v>1.1109800000000001</v>
      </c>
      <c r="L2376">
        <v>215.07579999999999</v>
      </c>
      <c r="M2376">
        <v>0.99750380000000005</v>
      </c>
      <c r="N2376">
        <v>0</v>
      </c>
      <c r="O2376">
        <v>-6.9345710000000005E-2</v>
      </c>
      <c r="P2376">
        <v>0.98094859999999995</v>
      </c>
      <c r="Q2376">
        <v>0.19099869999999999</v>
      </c>
      <c r="R2376">
        <v>-3.548755E-2</v>
      </c>
      <c r="S2376">
        <v>3.0904539999999998</v>
      </c>
      <c r="T2376">
        <v>-0.15116749999999901</v>
      </c>
      <c r="U2376">
        <v>8.2885739999999999E-2</v>
      </c>
      <c r="V2376">
        <v>-3.297605E-2</v>
      </c>
      <c r="W2376">
        <v>0.20399690000000001</v>
      </c>
      <c r="X2376">
        <v>0.97841599999999995</v>
      </c>
      <c r="Y2376">
        <v>-9.5875260000000004E-2</v>
      </c>
      <c r="Z2376">
        <v>5.7314250000000001E-3</v>
      </c>
      <c r="AA2376">
        <v>0.99537690000000001</v>
      </c>
      <c r="AB2376">
        <v>24</v>
      </c>
      <c r="AC2376">
        <v>22.4636</v>
      </c>
      <c r="AD2376">
        <v>-1.11097476176399</v>
      </c>
      <c r="AE2376">
        <v>0.62550000000001604</v>
      </c>
      <c r="AF2376">
        <v>-2.17656672164216</v>
      </c>
      <c r="AG2376">
        <v>-1.11097476176399</v>
      </c>
      <c r="AH2376">
        <v>22.311602881683999</v>
      </c>
      <c r="AI2376">
        <v>92.837162102914704</v>
      </c>
      <c r="AJ2376">
        <v>95.571752585704203</v>
      </c>
      <c r="AK2376">
        <v>22.445029088085501</v>
      </c>
      <c r="AL2376">
        <v>78.229215308756594</v>
      </c>
      <c r="AM2376">
        <v>91.930337990330202</v>
      </c>
      <c r="AN2376">
        <v>1.0000000120696</v>
      </c>
    </row>
    <row r="2377" spans="1:40" x14ac:dyDescent="0.25">
      <c r="A2377" t="str">
        <f>"20190312172705024"</f>
        <v>20190312172705024</v>
      </c>
      <c r="B2377" t="str">
        <f>"1552382825011369"</f>
        <v>1552382825011369</v>
      </c>
      <c r="C2377" t="s">
        <v>40</v>
      </c>
      <c r="D2377">
        <v>3.3089189999999999</v>
      </c>
      <c r="E2377">
        <v>0.47913129999999998</v>
      </c>
      <c r="F2377" t="s">
        <v>49</v>
      </c>
      <c r="G2377">
        <v>-436.65499999999997</v>
      </c>
      <c r="H2377" s="1">
        <v>5.0784509999999999E-6</v>
      </c>
      <c r="I2377">
        <v>215.64279999999999</v>
      </c>
      <c r="J2377">
        <v>-459.26949999999999</v>
      </c>
      <c r="K2377">
        <v>1.110822</v>
      </c>
      <c r="L2377">
        <v>215.0616</v>
      </c>
      <c r="M2377">
        <v>0.99756109999999998</v>
      </c>
      <c r="N2377">
        <v>0</v>
      </c>
      <c r="O2377">
        <v>-6.8518259999999998E-2</v>
      </c>
      <c r="P2377">
        <v>0.98073399999999999</v>
      </c>
      <c r="Q2377">
        <v>0.19180639999999999</v>
      </c>
      <c r="R2377">
        <v>-3.7034709999999998E-2</v>
      </c>
      <c r="S2377">
        <v>3.0903320000000001</v>
      </c>
      <c r="T2377">
        <v>-0.15034900000000001</v>
      </c>
      <c r="U2377">
        <v>7.6736449999999998E-2</v>
      </c>
      <c r="V2377">
        <v>-3.0522690000000002E-2</v>
      </c>
      <c r="W2377">
        <v>0.2048114</v>
      </c>
      <c r="X2377">
        <v>0.97832540000000001</v>
      </c>
      <c r="Y2377">
        <v>-9.3077350000000003E-2</v>
      </c>
      <c r="Z2377">
        <v>5.5925569999999997E-3</v>
      </c>
      <c r="AA2377">
        <v>0.99564319999999895</v>
      </c>
      <c r="AB2377">
        <v>24</v>
      </c>
      <c r="AC2377">
        <v>22.6145</v>
      </c>
      <c r="AD2377">
        <v>-1.110816921549</v>
      </c>
      <c r="AE2377">
        <v>0.58119999999999505</v>
      </c>
      <c r="AF2377">
        <v>-2.1243551365084001</v>
      </c>
      <c r="AG2377">
        <v>-1.110816921549</v>
      </c>
      <c r="AH2377">
        <v>22.467344910484599</v>
      </c>
      <c r="AI2377">
        <v>92.817930455821397</v>
      </c>
      <c r="AJ2377">
        <v>95.401429982848001</v>
      </c>
      <c r="AK2377">
        <v>22.5948752221801</v>
      </c>
      <c r="AL2377">
        <v>78.181540785375603</v>
      </c>
      <c r="AM2377">
        <v>91.786986445925194</v>
      </c>
      <c r="AN2377">
        <v>0.999999966229977</v>
      </c>
    </row>
    <row r="2378" spans="1:40" x14ac:dyDescent="0.25">
      <c r="A2378" t="str">
        <f>"20190312172705046"</f>
        <v>20190312172705046</v>
      </c>
      <c r="B2378" t="str">
        <f>"1552382825041625"</f>
        <v>1552382825041625</v>
      </c>
      <c r="C2378" t="s">
        <v>40</v>
      </c>
      <c r="D2378">
        <v>3.325275</v>
      </c>
      <c r="E2378">
        <v>0.47929739999999998</v>
      </c>
      <c r="F2378" t="s">
        <v>49</v>
      </c>
      <c r="G2378">
        <v>-435.87909999999999</v>
      </c>
      <c r="H2378" s="1">
        <v>4.7383169999999999E-6</v>
      </c>
      <c r="I2378">
        <v>215.5977</v>
      </c>
      <c r="J2378">
        <v>-459.03160000000003</v>
      </c>
      <c r="K2378">
        <v>1.11066</v>
      </c>
      <c r="L2378">
        <v>215.0462</v>
      </c>
      <c r="M2378">
        <v>0.99760539999999998</v>
      </c>
      <c r="N2378">
        <v>0</v>
      </c>
      <c r="O2378">
        <v>-6.7871379999999995E-2</v>
      </c>
      <c r="P2378">
        <v>0.98028959999999998</v>
      </c>
      <c r="Q2378">
        <v>0.1936023</v>
      </c>
      <c r="R2378">
        <v>-3.9380510000000001E-2</v>
      </c>
      <c r="S2378">
        <v>3.0903019999999999</v>
      </c>
      <c r="T2378">
        <v>-0.14675940000000001</v>
      </c>
      <c r="U2378">
        <v>7.08313E-2</v>
      </c>
      <c r="V2378">
        <v>-2.742555E-2</v>
      </c>
      <c r="W2378">
        <v>0.20661170000000001</v>
      </c>
      <c r="X2378">
        <v>0.97803850000000003</v>
      </c>
      <c r="Y2378">
        <v>-9.0542789999999998E-2</v>
      </c>
      <c r="Z2378">
        <v>5.3685069999999998E-3</v>
      </c>
      <c r="AA2378">
        <v>0.99587809999999999</v>
      </c>
      <c r="AB2378">
        <v>24</v>
      </c>
      <c r="AC2378">
        <v>23.1525</v>
      </c>
      <c r="AD2378">
        <v>-1.1106552616830001</v>
      </c>
      <c r="AE2378">
        <v>0.55150000000000399</v>
      </c>
      <c r="AF2378">
        <v>-2.1168905054946898</v>
      </c>
      <c r="AG2378">
        <v>-1.1106552616830001</v>
      </c>
      <c r="AH2378">
        <v>23.008749599833099</v>
      </c>
      <c r="AI2378">
        <v>92.751974445597796</v>
      </c>
      <c r="AJ2378">
        <v>95.2566261687424</v>
      </c>
      <c r="AK2378">
        <v>23.132603369927399</v>
      </c>
      <c r="AL2378">
        <v>78.076136443900694</v>
      </c>
      <c r="AM2378">
        <v>91.606231855327906</v>
      </c>
      <c r="AN2378">
        <v>0.99999993142596799</v>
      </c>
    </row>
    <row r="2379" spans="1:40" x14ac:dyDescent="0.25">
      <c r="A2379" t="str">
        <f>"20190312172705071"</f>
        <v>20190312172705071</v>
      </c>
      <c r="B2379" t="str">
        <f>"1552382825061652"</f>
        <v>1552382825061652</v>
      </c>
      <c r="C2379" t="s">
        <v>40</v>
      </c>
      <c r="D2379">
        <v>3.333987</v>
      </c>
      <c r="E2379">
        <v>0.47940759999999999</v>
      </c>
      <c r="F2379" t="s">
        <v>49</v>
      </c>
      <c r="G2379">
        <v>-434.48610000000002</v>
      </c>
      <c r="H2379" s="1">
        <v>4.1262259999999999E-6</v>
      </c>
      <c r="I2379">
        <v>215.5333</v>
      </c>
      <c r="J2379">
        <v>-458.76589999999999</v>
      </c>
      <c r="K2379">
        <v>1.110479</v>
      </c>
      <c r="L2379">
        <v>215.02879999999999</v>
      </c>
      <c r="M2379">
        <v>0.99763290000000004</v>
      </c>
      <c r="N2379">
        <v>0</v>
      </c>
      <c r="O2379">
        <v>-6.7467059999999995E-2</v>
      </c>
      <c r="P2379">
        <v>0.97985109999999997</v>
      </c>
      <c r="Q2379">
        <v>0.19520599999999999</v>
      </c>
      <c r="R2379">
        <v>-4.2268840000000002E-2</v>
      </c>
      <c r="S2379">
        <v>3.0903930000000002</v>
      </c>
      <c r="T2379">
        <v>-0.13983699999999999</v>
      </c>
      <c r="U2379">
        <v>6.1325070000000002E-2</v>
      </c>
      <c r="V2379">
        <v>-2.401816E-2</v>
      </c>
      <c r="W2379">
        <v>0.20821870000000001</v>
      </c>
      <c r="X2379">
        <v>0.97778739999999997</v>
      </c>
      <c r="Y2379">
        <v>-8.709633E-2</v>
      </c>
      <c r="Z2379">
        <v>5.0192980000000002E-3</v>
      </c>
      <c r="AA2379">
        <v>0.9961873</v>
      </c>
      <c r="AB2379">
        <v>24</v>
      </c>
      <c r="AC2379">
        <v>24.279799999999899</v>
      </c>
      <c r="AD2379">
        <v>-1.110474873774</v>
      </c>
      <c r="AE2379">
        <v>0.50450000000000705</v>
      </c>
      <c r="AF2379">
        <v>-2.1371132803843298</v>
      </c>
      <c r="AG2379">
        <v>-1.110474873774</v>
      </c>
      <c r="AH2379">
        <v>24.139953604788701</v>
      </c>
      <c r="AI2379">
        <v>92.623590069833199</v>
      </c>
      <c r="AJ2379">
        <v>95.059213101703406</v>
      </c>
      <c r="AK2379">
        <v>24.259797354055301</v>
      </c>
      <c r="AL2379">
        <v>77.982016692494199</v>
      </c>
      <c r="AM2379">
        <v>91.4071182771835</v>
      </c>
      <c r="AN2379">
        <v>1.0000000493191099</v>
      </c>
    </row>
    <row r="2380" spans="1:40" x14ac:dyDescent="0.25">
      <c r="A2380" t="str">
        <f>"20190312172705092"</f>
        <v>20190312172705092</v>
      </c>
      <c r="B2380" t="str">
        <f>"1552382825081173"</f>
        <v>1552382825081173</v>
      </c>
      <c r="C2380" t="s">
        <v>40</v>
      </c>
      <c r="D2380">
        <v>3.3624040000000002</v>
      </c>
      <c r="E2380">
        <v>0.47950549999999997</v>
      </c>
      <c r="F2380" t="s">
        <v>49</v>
      </c>
      <c r="G2380">
        <v>-433.17169999999999</v>
      </c>
      <c r="H2380" s="1">
        <v>3.5510130000000001E-6</v>
      </c>
      <c r="I2380">
        <v>215.44569999999999</v>
      </c>
      <c r="J2380">
        <v>-458.52800000000002</v>
      </c>
      <c r="K2380">
        <v>1.1103289999999999</v>
      </c>
      <c r="L2380">
        <v>215.01300000000001</v>
      </c>
      <c r="M2380">
        <v>0.99764129999999995</v>
      </c>
      <c r="N2380">
        <v>0</v>
      </c>
      <c r="O2380">
        <v>-6.7346299999999998E-2</v>
      </c>
      <c r="P2380">
        <v>0.97944240000000005</v>
      </c>
      <c r="Q2380">
        <v>0.19642380000000001</v>
      </c>
      <c r="R2380">
        <v>-4.5940759999999997E-2</v>
      </c>
      <c r="S2380">
        <v>3.090576</v>
      </c>
      <c r="T2380">
        <v>-0.1340934</v>
      </c>
      <c r="U2380">
        <v>5.0338750000000002E-2</v>
      </c>
      <c r="V2380">
        <v>-2.0130189999999999E-2</v>
      </c>
      <c r="W2380">
        <v>0.2094376</v>
      </c>
      <c r="X2380">
        <v>0.97761480000000001</v>
      </c>
      <c r="Y2380">
        <v>-8.3450179999999999E-2</v>
      </c>
      <c r="Z2380">
        <v>4.7288299999999998E-3</v>
      </c>
      <c r="AA2380">
        <v>0.99650070000000002</v>
      </c>
      <c r="AB2380">
        <v>24</v>
      </c>
      <c r="AC2380">
        <v>25.356300000000001</v>
      </c>
      <c r="AD2380">
        <v>-1.110325448987</v>
      </c>
      <c r="AE2380">
        <v>0.43269999999998199</v>
      </c>
      <c r="AF2380">
        <v>-2.1354275689687898</v>
      </c>
      <c r="AG2380">
        <v>-1.110325448987</v>
      </c>
      <c r="AH2380">
        <v>25.221232214860699</v>
      </c>
      <c r="AI2380">
        <v>92.511754521709094</v>
      </c>
      <c r="AJ2380">
        <v>94.839568250183405</v>
      </c>
      <c r="AK2380">
        <v>25.335813149391999</v>
      </c>
      <c r="AL2380">
        <v>77.910603971052197</v>
      </c>
      <c r="AM2380">
        <v>91.179617944662795</v>
      </c>
      <c r="AN2380">
        <v>1.0000000150111099</v>
      </c>
    </row>
    <row r="2381" spans="1:40" x14ac:dyDescent="0.25">
      <c r="A2381" t="str">
        <f>"20190312172705137"</f>
        <v>20190312172705137</v>
      </c>
      <c r="B2381" t="str">
        <f>"1552382825130948"</f>
        <v>1552382825130948</v>
      </c>
      <c r="C2381" t="s">
        <v>40</v>
      </c>
      <c r="D2381">
        <v>3.342902</v>
      </c>
      <c r="E2381">
        <v>0.47963240000000001</v>
      </c>
      <c r="F2381" t="s">
        <v>49</v>
      </c>
      <c r="G2381">
        <v>-432.03109999999998</v>
      </c>
      <c r="H2381" s="1">
        <v>3.0547839999999999E-6</v>
      </c>
      <c r="I2381">
        <v>215.33580000000001</v>
      </c>
      <c r="J2381">
        <v>-458.05689999999998</v>
      </c>
      <c r="K2381">
        <v>1.110074</v>
      </c>
      <c r="L2381">
        <v>214.9813</v>
      </c>
      <c r="M2381">
        <v>0.99762439999999997</v>
      </c>
      <c r="N2381">
        <v>0</v>
      </c>
      <c r="O2381">
        <v>-6.7596020000000007E-2</v>
      </c>
      <c r="P2381">
        <v>0.97928300000000001</v>
      </c>
      <c r="Q2381">
        <v>0.19497819999999999</v>
      </c>
      <c r="R2381">
        <v>-5.4668290000000001E-2</v>
      </c>
      <c r="S2381">
        <v>3.0906980000000002</v>
      </c>
      <c r="T2381">
        <v>-0.1295123</v>
      </c>
      <c r="U2381">
        <v>3.7643429999999999E-2</v>
      </c>
      <c r="V2381">
        <v>-1.155344E-2</v>
      </c>
      <c r="W2381">
        <v>0.2079925</v>
      </c>
      <c r="X2381">
        <v>0.97806219999999999</v>
      </c>
      <c r="Y2381">
        <v>-7.9618659999999994E-2</v>
      </c>
      <c r="Z2381">
        <v>4.4974819999999997E-3</v>
      </c>
      <c r="AA2381">
        <v>0.99681529999999996</v>
      </c>
      <c r="AB2381">
        <v>24</v>
      </c>
      <c r="AC2381">
        <v>26.0258</v>
      </c>
      <c r="AD2381">
        <v>-1.110070945216</v>
      </c>
      <c r="AE2381">
        <v>0.35450000000000098</v>
      </c>
      <c r="AF2381">
        <v>-2.10924811442796</v>
      </c>
      <c r="AG2381">
        <v>-1.110070945216</v>
      </c>
      <c r="AH2381">
        <v>25.895196487465</v>
      </c>
      <c r="AI2381">
        <v>92.446550351404994</v>
      </c>
      <c r="AJ2381">
        <v>94.6566476717895</v>
      </c>
      <c r="AK2381">
        <v>26.004660856009099</v>
      </c>
      <c r="AL2381">
        <v>77.995266673106599</v>
      </c>
      <c r="AM2381">
        <v>90.676779619899506</v>
      </c>
      <c r="AN2381">
        <v>1.0000000145504599</v>
      </c>
    </row>
    <row r="2382" spans="1:40" x14ac:dyDescent="0.25">
      <c r="A2382" t="str">
        <f>"20190312172705161"</f>
        <v>20190312172705161</v>
      </c>
      <c r="B2382" t="str">
        <f>"1552382825150976"</f>
        <v>1552382825150976</v>
      </c>
      <c r="C2382" t="s">
        <v>40</v>
      </c>
      <c r="D2382">
        <v>3.3493879999999998</v>
      </c>
      <c r="E2382">
        <v>0.47967490000000002</v>
      </c>
      <c r="F2382" t="s">
        <v>49</v>
      </c>
      <c r="G2382">
        <v>-432.19709999999998</v>
      </c>
      <c r="H2382" s="1">
        <v>3.1528819999999998E-6</v>
      </c>
      <c r="I2382">
        <v>215.0556</v>
      </c>
      <c r="J2382">
        <v>-457.78879999999998</v>
      </c>
      <c r="K2382">
        <v>1.1099540000000001</v>
      </c>
      <c r="L2382">
        <v>214.96279999999999</v>
      </c>
      <c r="M2382">
        <v>0.9975986</v>
      </c>
      <c r="N2382">
        <v>0</v>
      </c>
      <c r="O2382">
        <v>-6.7976099999999998E-2</v>
      </c>
      <c r="P2382">
        <v>0.97936190000000001</v>
      </c>
      <c r="Q2382">
        <v>0.1931969</v>
      </c>
      <c r="R2382">
        <v>-5.9375270000000001E-2</v>
      </c>
      <c r="S2382">
        <v>3.0903320000000001</v>
      </c>
      <c r="T2382">
        <v>-0.13265660000000001</v>
      </c>
      <c r="U2382">
        <v>8.8806149999999997E-3</v>
      </c>
      <c r="V2382">
        <v>-7.19223E-3</v>
      </c>
      <c r="W2382">
        <v>0.2062109</v>
      </c>
      <c r="X2382">
        <v>0.97848109999999999</v>
      </c>
      <c r="Y2382">
        <v>-7.072117E-2</v>
      </c>
      <c r="Z2382">
        <v>4.4324509999999996E-3</v>
      </c>
      <c r="AA2382">
        <v>0.99748630000000005</v>
      </c>
      <c r="AB2382">
        <v>24</v>
      </c>
      <c r="AC2382">
        <v>25.591699999999999</v>
      </c>
      <c r="AD2382">
        <v>-1.109950847118</v>
      </c>
      <c r="AE2382">
        <v>9.2800000000011096E-2</v>
      </c>
      <c r="AF2382">
        <v>-1.8289223034331099</v>
      </c>
      <c r="AG2382">
        <v>-1.109950847118</v>
      </c>
      <c r="AH2382">
        <v>25.478259695981802</v>
      </c>
      <c r="AI2382">
        <v>92.488097771993097</v>
      </c>
      <c r="AJ2382">
        <v>94.105857112845001</v>
      </c>
      <c r="AK2382">
        <v>25.567922575189801</v>
      </c>
      <c r="AL2382">
        <v>78.099606388013697</v>
      </c>
      <c r="AM2382">
        <v>90.421139461053201</v>
      </c>
      <c r="AN2382">
        <v>0.99999996325419505</v>
      </c>
    </row>
    <row r="2383" spans="1:40" x14ac:dyDescent="0.25">
      <c r="A2383" t="str">
        <f>"20190312172705184"</f>
        <v>20190312172705184</v>
      </c>
      <c r="B2383" t="str">
        <f>"1552382825171472"</f>
        <v>1552382825171472</v>
      </c>
      <c r="C2383" t="s">
        <v>40</v>
      </c>
      <c r="D2383">
        <v>3.3804379999999998</v>
      </c>
      <c r="E2383">
        <v>0.47984749999999998</v>
      </c>
      <c r="F2383" t="s">
        <v>49</v>
      </c>
      <c r="G2383">
        <v>-432.94159999999999</v>
      </c>
      <c r="H2383" s="1">
        <v>3.4958469999999999E-6</v>
      </c>
      <c r="I2383">
        <v>214.90950000000001</v>
      </c>
      <c r="J2383">
        <v>-457.5539</v>
      </c>
      <c r="K2383">
        <v>1.109855</v>
      </c>
      <c r="L2383">
        <v>214.94640000000001</v>
      </c>
      <c r="M2383">
        <v>0.99756860000000003</v>
      </c>
      <c r="N2383">
        <v>0</v>
      </c>
      <c r="O2383">
        <v>-6.8417820000000004E-2</v>
      </c>
      <c r="P2383">
        <v>0.97917460000000001</v>
      </c>
      <c r="Q2383">
        <v>0.19251599999999999</v>
      </c>
      <c r="R2383">
        <v>-6.4459169999999996E-2</v>
      </c>
      <c r="S2383">
        <v>3.0900880000000002</v>
      </c>
      <c r="T2383">
        <v>-0.13803760000000001</v>
      </c>
      <c r="U2383">
        <v>-6.6375729999999999E-3</v>
      </c>
      <c r="V2383">
        <v>-2.501578E-3</v>
      </c>
      <c r="W2383">
        <v>0.2055254</v>
      </c>
      <c r="X2383">
        <v>0.97864859999999998</v>
      </c>
      <c r="Y2383">
        <v>-6.6146570000000002E-2</v>
      </c>
      <c r="Z2383">
        <v>4.5298719999999999E-3</v>
      </c>
      <c r="AA2383">
        <v>0.99779960000000001</v>
      </c>
      <c r="AB2383">
        <v>24</v>
      </c>
      <c r="AC2383">
        <v>24.612300000000001</v>
      </c>
      <c r="AD2383">
        <v>-1.1098515041529999</v>
      </c>
      <c r="AE2383">
        <v>-3.6900000000002799E-2</v>
      </c>
      <c r="AF2383">
        <v>-1.64391176203842</v>
      </c>
      <c r="AG2383">
        <v>-1.1098515041529999</v>
      </c>
      <c r="AH2383">
        <v>24.5073087067505</v>
      </c>
      <c r="AI2383">
        <v>92.587150641914207</v>
      </c>
      <c r="AJ2383">
        <v>93.837562032783893</v>
      </c>
      <c r="AK2383">
        <v>24.587443874681401</v>
      </c>
      <c r="AL2383">
        <v>78.139742994481693</v>
      </c>
      <c r="AM2383">
        <v>90.1464566028652</v>
      </c>
      <c r="AN2383">
        <v>1.0000000151098001</v>
      </c>
    </row>
    <row r="2384" spans="1:40" x14ac:dyDescent="0.25">
      <c r="A2384" t="str">
        <f>"20190312172705225"</f>
        <v>20190312172705225</v>
      </c>
      <c r="B2384" t="str">
        <f>"1552382825221248"</f>
        <v>1552382825221248</v>
      </c>
      <c r="C2384" t="s">
        <v>40</v>
      </c>
      <c r="D2384">
        <v>3.373224</v>
      </c>
      <c r="E2384">
        <v>0.50414929999999902</v>
      </c>
      <c r="F2384" t="s">
        <v>49</v>
      </c>
      <c r="G2384">
        <v>-433.06709999999998</v>
      </c>
      <c r="H2384" s="1">
        <v>3.5646519999999999E-6</v>
      </c>
      <c r="I2384">
        <v>214.75899999999999</v>
      </c>
      <c r="J2384">
        <v>-457.12369999999999</v>
      </c>
      <c r="K2384">
        <v>1.1096790000000001</v>
      </c>
      <c r="L2384">
        <v>214.91560000000001</v>
      </c>
      <c r="M2384">
        <v>0.99748990000000004</v>
      </c>
      <c r="N2384">
        <v>0</v>
      </c>
      <c r="O2384">
        <v>-6.9555839999999994E-2</v>
      </c>
      <c r="P2384">
        <v>0.97880129999999999</v>
      </c>
      <c r="Q2384">
        <v>0.1912102</v>
      </c>
      <c r="R2384">
        <v>-7.3394860000000006E-2</v>
      </c>
      <c r="S2384">
        <v>3.0898439999999998</v>
      </c>
      <c r="T2384">
        <v>-0.140045899999999</v>
      </c>
      <c r="U2384">
        <v>-2.3651120000000001E-2</v>
      </c>
      <c r="V2384">
        <v>5.4026760000000004E-3</v>
      </c>
      <c r="W2384">
        <v>0.2042079</v>
      </c>
      <c r="X2384">
        <v>0.97891269999999997</v>
      </c>
      <c r="Y2384">
        <v>-6.1789490000000002E-2</v>
      </c>
      <c r="Z2384">
        <v>4.5486349999999997E-3</v>
      </c>
      <c r="AA2384">
        <v>0.99807880000000004</v>
      </c>
      <c r="AB2384">
        <v>24</v>
      </c>
      <c r="AC2384">
        <v>24.0566</v>
      </c>
      <c r="AD2384">
        <v>-1.1096754353479901</v>
      </c>
      <c r="AE2384">
        <v>-0.15659999999999699</v>
      </c>
      <c r="AF2384">
        <v>-1.51398227394913</v>
      </c>
      <c r="AG2384">
        <v>-1.1096754353479901</v>
      </c>
      <c r="AH2384">
        <v>23.958244162168398</v>
      </c>
      <c r="AI2384">
        <v>92.646605270710694</v>
      </c>
      <c r="AJ2384">
        <v>93.615857820276702</v>
      </c>
      <c r="AK2384">
        <v>24.031666301605501</v>
      </c>
      <c r="AL2384">
        <v>78.216866569506607</v>
      </c>
      <c r="AM2384">
        <v>89.683784478468596</v>
      </c>
      <c r="AN2384">
        <v>1.00000006477582</v>
      </c>
    </row>
    <row r="2385" spans="1:40" x14ac:dyDescent="0.25">
      <c r="A2385" t="str">
        <f>"20190312172705245"</f>
        <v>20190312172705245</v>
      </c>
      <c r="B2385" t="str">
        <f>"1552382825241744"</f>
        <v>1552382825241744</v>
      </c>
      <c r="C2385" t="s">
        <v>40</v>
      </c>
      <c r="D2385">
        <v>3.4003030000000001</v>
      </c>
      <c r="E2385">
        <v>0.50374579999999902</v>
      </c>
      <c r="F2385" t="s">
        <v>49</v>
      </c>
      <c r="G2385">
        <v>-435.42829999999998</v>
      </c>
      <c r="H2385" s="1">
        <v>4.749125E-6</v>
      </c>
      <c r="I2385">
        <v>213.18770000000001</v>
      </c>
      <c r="J2385">
        <v>-456.89370000000002</v>
      </c>
      <c r="K2385">
        <v>1.109612</v>
      </c>
      <c r="L2385">
        <v>214.89879999999999</v>
      </c>
      <c r="M2385">
        <v>0.99743579999999998</v>
      </c>
      <c r="N2385">
        <v>0</v>
      </c>
      <c r="O2385">
        <v>-7.0328550000000004E-2</v>
      </c>
      <c r="P2385">
        <v>0.97850870000000001</v>
      </c>
      <c r="Q2385">
        <v>0.19117970000000001</v>
      </c>
      <c r="R2385">
        <v>-7.7276020000000001E-2</v>
      </c>
      <c r="S2385">
        <v>3.0773320000000002</v>
      </c>
      <c r="T2385">
        <v>-0.15739919999999999</v>
      </c>
      <c r="U2385">
        <v>-0.24510190000000001</v>
      </c>
      <c r="V2385">
        <v>8.5751339999999999E-3</v>
      </c>
      <c r="W2385">
        <v>0.20417009999999999</v>
      </c>
      <c r="X2385">
        <v>0.97889789999999999</v>
      </c>
      <c r="Y2385">
        <v>9.1660360000000007E-3</v>
      </c>
      <c r="Z2385">
        <v>3.350834E-3</v>
      </c>
      <c r="AA2385">
        <v>0.99995239999999996</v>
      </c>
      <c r="AB2385">
        <v>24</v>
      </c>
      <c r="AC2385">
        <v>21.465399999999999</v>
      </c>
      <c r="AD2385">
        <v>-1.1096072508749999</v>
      </c>
      <c r="AE2385">
        <v>-1.7110999999999801</v>
      </c>
      <c r="AF2385">
        <v>0.19657729115181299</v>
      </c>
      <c r="AG2385">
        <v>-1.1096072508749999</v>
      </c>
      <c r="AH2385">
        <v>21.4755659850988</v>
      </c>
      <c r="AI2385">
        <v>92.9576250664296</v>
      </c>
      <c r="AJ2385">
        <v>89.475555867144394</v>
      </c>
      <c r="AK2385">
        <v>21.505111142770801</v>
      </c>
      <c r="AL2385">
        <v>78.219078553735699</v>
      </c>
      <c r="AM2385">
        <v>89.498102488497395</v>
      </c>
      <c r="AN2385">
        <v>1.0000000306407599</v>
      </c>
    </row>
    <row r="2386" spans="1:40" x14ac:dyDescent="0.25">
      <c r="A2386" t="str">
        <f>"20190312172705271"</f>
        <v>20190312172705271</v>
      </c>
      <c r="B2386" t="str">
        <f>"1552382825261702"</f>
        <v>1552382825261702</v>
      </c>
      <c r="C2386" t="s">
        <v>40</v>
      </c>
      <c r="D2386">
        <v>3.3740269999999999</v>
      </c>
      <c r="E2386">
        <v>0.50315140000000003</v>
      </c>
      <c r="F2386" t="s">
        <v>49</v>
      </c>
      <c r="G2386">
        <v>-434.96420000000001</v>
      </c>
      <c r="H2386" s="1">
        <v>4.5523779999999996E-6</v>
      </c>
      <c r="I2386">
        <v>213.084</v>
      </c>
      <c r="J2386">
        <v>-456.6275</v>
      </c>
      <c r="K2386">
        <v>1.1095520000000001</v>
      </c>
      <c r="L2386">
        <v>214.87880000000001</v>
      </c>
      <c r="M2386">
        <v>0.99736230000000003</v>
      </c>
      <c r="N2386">
        <v>0</v>
      </c>
      <c r="O2386">
        <v>-7.1361729999999998E-2</v>
      </c>
      <c r="P2386">
        <v>0.97781989999999996</v>
      </c>
      <c r="Q2386">
        <v>0.1929826</v>
      </c>
      <c r="R2386">
        <v>-8.1398760000000001E-2</v>
      </c>
      <c r="S2386">
        <v>3.0762330000000002</v>
      </c>
      <c r="T2386">
        <v>-0.15565370000000001</v>
      </c>
      <c r="U2386">
        <v>-0.25457760000000001</v>
      </c>
      <c r="V2386">
        <v>1.176025E-2</v>
      </c>
      <c r="W2386">
        <v>0.205958</v>
      </c>
      <c r="X2386">
        <v>0.97849019999999998</v>
      </c>
      <c r="Y2386">
        <v>1.121538E-2</v>
      </c>
      <c r="Z2386">
        <v>3.3146529999999999E-3</v>
      </c>
      <c r="AA2386">
        <v>0.99993160000000003</v>
      </c>
      <c r="AB2386">
        <v>24</v>
      </c>
      <c r="AC2386">
        <v>21.6632999999999</v>
      </c>
      <c r="AD2386">
        <v>-1.109547447622</v>
      </c>
      <c r="AE2386">
        <v>-1.7948</v>
      </c>
      <c r="AF2386">
        <v>0.24352230166786801</v>
      </c>
      <c r="AG2386">
        <v>-1.109547447622</v>
      </c>
      <c r="AH2386">
        <v>21.679667175759</v>
      </c>
      <c r="AI2386">
        <v>92.929609919676096</v>
      </c>
      <c r="AJ2386">
        <v>89.356437845466004</v>
      </c>
      <c r="AK2386">
        <v>21.709407350308201</v>
      </c>
      <c r="AL2386">
        <v>78.114415237698793</v>
      </c>
      <c r="AM2386">
        <v>89.311408280272005</v>
      </c>
      <c r="AN2386">
        <v>1.0000000363700501</v>
      </c>
    </row>
    <row r="2387" spans="1:40" x14ac:dyDescent="0.25">
      <c r="A2387" t="str">
        <f>"20190312172705295"</f>
        <v>20190312172705295</v>
      </c>
      <c r="B2387" t="str">
        <f>"1552382825290982"</f>
        <v>1552382825290982</v>
      </c>
      <c r="C2387" t="s">
        <v>40</v>
      </c>
      <c r="D2387">
        <v>3.3445130000000001</v>
      </c>
      <c r="E2387">
        <v>0.50235790000000002</v>
      </c>
      <c r="F2387" t="s">
        <v>49</v>
      </c>
      <c r="G2387">
        <v>-433.48020000000002</v>
      </c>
      <c r="H2387" s="1">
        <v>3.9101309999999998E-6</v>
      </c>
      <c r="I2387">
        <v>212.90280000000001</v>
      </c>
      <c r="J2387">
        <v>-456.36290000000002</v>
      </c>
      <c r="K2387">
        <v>1.1095109999999999</v>
      </c>
      <c r="L2387">
        <v>214.85849999999999</v>
      </c>
      <c r="M2387">
        <v>0.99727929999999998</v>
      </c>
      <c r="N2387">
        <v>0</v>
      </c>
      <c r="O2387">
        <v>-7.2515570000000001E-2</v>
      </c>
      <c r="P2387">
        <v>0.97707409999999995</v>
      </c>
      <c r="Q2387">
        <v>0.19498409999999999</v>
      </c>
      <c r="R2387">
        <v>-8.5486389999999995E-2</v>
      </c>
      <c r="S2387">
        <v>3.0753170000000001</v>
      </c>
      <c r="T2387">
        <v>-0.1474134</v>
      </c>
      <c r="U2387">
        <v>-0.26252750000000002</v>
      </c>
      <c r="V2387">
        <v>1.4784500000000001E-2</v>
      </c>
      <c r="W2387">
        <v>0.2079444</v>
      </c>
      <c r="X2387">
        <v>0.97802889999999998</v>
      </c>
      <c r="Y2387">
        <v>1.264156E-2</v>
      </c>
      <c r="Z2387">
        <v>3.1607810000000001E-3</v>
      </c>
      <c r="AA2387">
        <v>0.99991509999999995</v>
      </c>
      <c r="AB2387">
        <v>24</v>
      </c>
      <c r="AC2387">
        <v>22.8827</v>
      </c>
      <c r="AD2387">
        <v>-1.109507089869</v>
      </c>
      <c r="AE2387">
        <v>-1.95569999999997</v>
      </c>
      <c r="AF2387">
        <v>0.29037492277611499</v>
      </c>
      <c r="AG2387">
        <v>-1.109507089869</v>
      </c>
      <c r="AH2387">
        <v>22.9108049762965</v>
      </c>
      <c r="AI2387">
        <v>92.772288248603203</v>
      </c>
      <c r="AJ2387">
        <v>89.273863715479607</v>
      </c>
      <c r="AK2387">
        <v>22.939492327428201</v>
      </c>
      <c r="AL2387">
        <v>77.998083930201602</v>
      </c>
      <c r="AM2387">
        <v>89.133946923700293</v>
      </c>
      <c r="AN2387">
        <v>0.99999999208340995</v>
      </c>
    </row>
    <row r="2388" spans="1:40" x14ac:dyDescent="0.25">
      <c r="A2388" t="str">
        <f>"20190312172705315"</f>
        <v>20190312172705315</v>
      </c>
      <c r="B2388" t="str">
        <f>"1552382825311478"</f>
        <v>1552382825311478</v>
      </c>
      <c r="C2388" t="s">
        <v>40</v>
      </c>
      <c r="D2388">
        <v>3.3373710000000001</v>
      </c>
      <c r="E2388">
        <v>0.50191450000000004</v>
      </c>
      <c r="F2388" t="s">
        <v>49</v>
      </c>
      <c r="G2388">
        <v>-431.77330000000001</v>
      </c>
      <c r="H2388" s="1">
        <v>3.170139E-6</v>
      </c>
      <c r="I2388">
        <v>212.7088</v>
      </c>
      <c r="J2388">
        <v>-456.16050000000001</v>
      </c>
      <c r="K2388">
        <v>1.1094869999999999</v>
      </c>
      <c r="L2388">
        <v>214.84270000000001</v>
      </c>
      <c r="M2388">
        <v>0.99721090000000001</v>
      </c>
      <c r="N2388">
        <v>0</v>
      </c>
      <c r="O2388">
        <v>-7.3449239999999999E-2</v>
      </c>
      <c r="P2388">
        <v>0.97651969999999999</v>
      </c>
      <c r="Q2388">
        <v>0.19630220000000001</v>
      </c>
      <c r="R2388">
        <v>-8.8740940000000004E-2</v>
      </c>
      <c r="S2388">
        <v>3.074554</v>
      </c>
      <c r="T2388">
        <v>-0.1387274</v>
      </c>
      <c r="U2388">
        <v>-0.26878360000000001</v>
      </c>
      <c r="V2388">
        <v>1.7167040000000001E-2</v>
      </c>
      <c r="W2388">
        <v>0.2092521</v>
      </c>
      <c r="X2388">
        <v>0.977711</v>
      </c>
      <c r="Y2388">
        <v>1.373803E-2</v>
      </c>
      <c r="Z2388">
        <v>2.9923520000000002E-3</v>
      </c>
      <c r="AA2388">
        <v>0.99990120000000005</v>
      </c>
      <c r="AB2388">
        <v>24</v>
      </c>
      <c r="AC2388">
        <v>24.3872</v>
      </c>
      <c r="AD2388">
        <v>-1.1094838298609999</v>
      </c>
      <c r="AE2388">
        <v>-2.1339000000000099</v>
      </c>
      <c r="AF2388">
        <v>0.33606631893636901</v>
      </c>
      <c r="AG2388">
        <v>-1.1094838298609999</v>
      </c>
      <c r="AH2388">
        <v>24.427889148522102</v>
      </c>
      <c r="AI2388">
        <v>92.600268930892099</v>
      </c>
      <c r="AJ2388">
        <v>89.211803896222193</v>
      </c>
      <c r="AK2388">
        <v>24.455381068221602</v>
      </c>
      <c r="AL2388">
        <v>77.921472677290197</v>
      </c>
      <c r="AM2388">
        <v>88.9940811987384</v>
      </c>
      <c r="AN2388">
        <v>0.99999997406888497</v>
      </c>
    </row>
    <row r="2389" spans="1:40" x14ac:dyDescent="0.25">
      <c r="A2389" t="str">
        <f>"20190312172705336"</f>
        <v>20190312172705336</v>
      </c>
      <c r="B2389" t="str">
        <f>"1552382825330999"</f>
        <v>1552382825330999</v>
      </c>
      <c r="C2389" t="s">
        <v>40</v>
      </c>
      <c r="D2389">
        <v>3.3439559999999999</v>
      </c>
      <c r="E2389">
        <v>0.49681059999999999</v>
      </c>
      <c r="F2389" t="s">
        <v>49</v>
      </c>
      <c r="G2389">
        <v>-430.61189999999999</v>
      </c>
      <c r="H2389" s="1">
        <v>2.6686339999999998E-6</v>
      </c>
      <c r="I2389">
        <v>212.55410000000001</v>
      </c>
      <c r="J2389">
        <v>-455.92829999999998</v>
      </c>
      <c r="K2389">
        <v>1.1094660000000001</v>
      </c>
      <c r="L2389">
        <v>214.8244</v>
      </c>
      <c r="M2389">
        <v>0.99712909999999999</v>
      </c>
      <c r="N2389">
        <v>0</v>
      </c>
      <c r="O2389">
        <v>-7.455088E-2</v>
      </c>
      <c r="P2389">
        <v>0.97613119999999998</v>
      </c>
      <c r="Q2389">
        <v>0.19714029999999999</v>
      </c>
      <c r="R2389">
        <v>-9.1123570000000001E-2</v>
      </c>
      <c r="S2389">
        <v>3.0739139999999998</v>
      </c>
      <c r="T2389">
        <v>-0.13348940000000001</v>
      </c>
      <c r="U2389">
        <v>-0.275360099999999</v>
      </c>
      <c r="V2389">
        <v>1.8496229999999999E-2</v>
      </c>
      <c r="W2389">
        <v>0.2100834</v>
      </c>
      <c r="X2389">
        <v>0.9775085</v>
      </c>
      <c r="Y2389">
        <v>1.476968E-2</v>
      </c>
      <c r="Z2389">
        <v>2.904944E-3</v>
      </c>
      <c r="AA2389">
        <v>0.99988670000000002</v>
      </c>
      <c r="AB2389">
        <v>24</v>
      </c>
      <c r="AC2389">
        <v>25.316399999999899</v>
      </c>
      <c r="AD2389">
        <v>-1.1094633313660001</v>
      </c>
      <c r="AE2389">
        <v>-2.27029999999999</v>
      </c>
      <c r="AF2389">
        <v>0.37573951135067102</v>
      </c>
      <c r="AG2389">
        <v>-1.1094633313660001</v>
      </c>
      <c r="AH2389">
        <v>25.366875856149399</v>
      </c>
      <c r="AI2389">
        <v>92.504057713138906</v>
      </c>
      <c r="AJ2389">
        <v>89.151384897409599</v>
      </c>
      <c r="AK2389">
        <v>25.393906351038801</v>
      </c>
      <c r="AL2389">
        <v>77.872760339371894</v>
      </c>
      <c r="AM2389">
        <v>88.915989511563893</v>
      </c>
      <c r="AN2389">
        <v>1.00000000652601</v>
      </c>
    </row>
    <row r="2390" spans="1:40" x14ac:dyDescent="0.25">
      <c r="A2390" t="str">
        <f>"20190312172705360"</f>
        <v>20190312172705360</v>
      </c>
      <c r="B2390" t="str">
        <f>"1552382825350973"</f>
        <v>1552382825350973</v>
      </c>
      <c r="C2390" t="s">
        <v>40</v>
      </c>
      <c r="D2390">
        <v>3.3602560000000001</v>
      </c>
      <c r="E2390">
        <v>0.49633159999999998</v>
      </c>
      <c r="F2390" t="s">
        <v>49</v>
      </c>
      <c r="G2390">
        <v>-428.48559999999998</v>
      </c>
      <c r="H2390" s="1">
        <v>2.6307769999999999E-6</v>
      </c>
      <c r="I2390">
        <v>212.65610000000001</v>
      </c>
      <c r="J2390">
        <v>-455.67579999999998</v>
      </c>
      <c r="K2390">
        <v>1.109461</v>
      </c>
      <c r="L2390">
        <v>214.80410000000001</v>
      </c>
      <c r="M2390">
        <v>0.99703819999999999</v>
      </c>
      <c r="N2390">
        <v>0</v>
      </c>
      <c r="O2390">
        <v>-7.575838E-2</v>
      </c>
      <c r="P2390">
        <v>0.97590770000000004</v>
      </c>
      <c r="Q2390">
        <v>0.19743079999999999</v>
      </c>
      <c r="R2390">
        <v>-9.2873029999999995E-2</v>
      </c>
      <c r="S2390">
        <v>3.0757750000000001</v>
      </c>
      <c r="T2390">
        <v>-0.1243484</v>
      </c>
      <c r="U2390">
        <v>-0.24302670000000001</v>
      </c>
      <c r="V2390">
        <v>1.9070210000000001E-2</v>
      </c>
      <c r="W2390">
        <v>0.21036959999999999</v>
      </c>
      <c r="X2390">
        <v>0.97743590000000002</v>
      </c>
      <c r="Y2390">
        <v>3.070489E-3</v>
      </c>
      <c r="Z2390">
        <v>2.9906170000000001E-3</v>
      </c>
      <c r="AA2390">
        <v>0.99999079999999996</v>
      </c>
      <c r="AB2390">
        <v>24</v>
      </c>
      <c r="AC2390">
        <v>27.190200000000001</v>
      </c>
      <c r="AD2390">
        <v>-1.109458369223</v>
      </c>
      <c r="AE2390">
        <v>-2.1479999999999899</v>
      </c>
      <c r="AF2390">
        <v>8.1624667399491799E-2</v>
      </c>
      <c r="AG2390">
        <v>-1.109458369223</v>
      </c>
      <c r="AH2390">
        <v>27.2297359190006</v>
      </c>
      <c r="AI2390">
        <v>92.333179288715399</v>
      </c>
      <c r="AJ2390">
        <v>89.828248979275699</v>
      </c>
      <c r="AK2390">
        <v>27.252450874698901</v>
      </c>
      <c r="AL2390">
        <v>77.855987255875206</v>
      </c>
      <c r="AM2390">
        <v>88.882275617021904</v>
      </c>
      <c r="AN2390">
        <v>0.99999999006120699</v>
      </c>
    </row>
    <row r="2391" spans="1:40" x14ac:dyDescent="0.25">
      <c r="A2391" t="str">
        <f>"20190312172705381"</f>
        <v>20190312172705381</v>
      </c>
      <c r="B2391" t="str">
        <f>"1552382825371469"</f>
        <v>1552382825371469</v>
      </c>
      <c r="C2391" t="s">
        <v>40</v>
      </c>
      <c r="D2391">
        <v>3.3327830000000001</v>
      </c>
      <c r="E2391">
        <v>0.4963187</v>
      </c>
      <c r="F2391" t="s">
        <v>49</v>
      </c>
      <c r="G2391">
        <v>-427.26569999999998</v>
      </c>
      <c r="H2391" s="1">
        <v>2.8571059999999999E-6</v>
      </c>
      <c r="I2391">
        <v>212.5421</v>
      </c>
      <c r="J2391">
        <v>-455.45769999999999</v>
      </c>
      <c r="K2391">
        <v>1.109469</v>
      </c>
      <c r="L2391">
        <v>214.78630000000001</v>
      </c>
      <c r="M2391">
        <v>0.99695889999999998</v>
      </c>
      <c r="N2391">
        <v>0</v>
      </c>
      <c r="O2391">
        <v>-7.6794559999999998E-2</v>
      </c>
      <c r="P2391">
        <v>0.97590940000000004</v>
      </c>
      <c r="Q2391">
        <v>0.196878</v>
      </c>
      <c r="R2391">
        <v>-9.4020989999999999E-2</v>
      </c>
      <c r="S2391">
        <v>3.0750120000000001</v>
      </c>
      <c r="T2391">
        <v>-0.1200843</v>
      </c>
      <c r="U2391">
        <v>-0.2448273</v>
      </c>
      <c r="V2391">
        <v>1.91904E-2</v>
      </c>
      <c r="W2391">
        <v>0.20981720000000001</v>
      </c>
      <c r="X2391">
        <v>0.97755230000000004</v>
      </c>
      <c r="Y2391">
        <v>2.6297099999999999E-3</v>
      </c>
      <c r="Z2391">
        <v>2.937603E-3</v>
      </c>
      <c r="AA2391">
        <v>0.99999229999999995</v>
      </c>
      <c r="AB2391">
        <v>24</v>
      </c>
      <c r="AC2391">
        <v>28.192</v>
      </c>
      <c r="AD2391">
        <v>-1.109466142894</v>
      </c>
      <c r="AE2391">
        <v>-2.2442000000000002</v>
      </c>
      <c r="AF2391">
        <v>7.2278047540815099E-2</v>
      </c>
      <c r="AG2391">
        <v>-1.109466142894</v>
      </c>
      <c r="AH2391">
        <v>28.237632951461901</v>
      </c>
      <c r="AI2391">
        <v>92.250005851173796</v>
      </c>
      <c r="AJ2391">
        <v>89.853344009442395</v>
      </c>
      <c r="AK2391">
        <v>28.259512627429899</v>
      </c>
      <c r="AL2391">
        <v>77.8883602563143</v>
      </c>
      <c r="AM2391">
        <v>88.875366857919005</v>
      </c>
      <c r="AN2391">
        <v>1.0000000140516401</v>
      </c>
    </row>
    <row r="2392" spans="1:40" x14ac:dyDescent="0.25">
      <c r="A2392" t="str">
        <f>"20190312172705404"</f>
        <v>20190312172705404</v>
      </c>
      <c r="B2392" t="str">
        <f>"1552382825401725"</f>
        <v>1552382825401725</v>
      </c>
      <c r="C2392" t="s">
        <v>40</v>
      </c>
      <c r="D2392">
        <v>3.3073920000000001</v>
      </c>
      <c r="E2392">
        <v>0.49579400000000001</v>
      </c>
      <c r="F2392" t="s">
        <v>49</v>
      </c>
      <c r="G2392">
        <v>-427.7593</v>
      </c>
      <c r="H2392" s="1">
        <v>2.7681050000000002E-6</v>
      </c>
      <c r="I2392">
        <v>212.55869999999999</v>
      </c>
      <c r="J2392">
        <v>-455.20729999999998</v>
      </c>
      <c r="K2392">
        <v>1.1094850000000001</v>
      </c>
      <c r="L2392">
        <v>214.76570000000001</v>
      </c>
      <c r="M2392">
        <v>0.99686799999999998</v>
      </c>
      <c r="N2392">
        <v>0</v>
      </c>
      <c r="O2392">
        <v>-7.7967480000000006E-2</v>
      </c>
      <c r="P2392">
        <v>0.97589999999999999</v>
      </c>
      <c r="Q2392">
        <v>0.19641610000000001</v>
      </c>
      <c r="R2392">
        <v>-9.5079700000000003E-2</v>
      </c>
      <c r="S2392">
        <v>3.0751040000000001</v>
      </c>
      <c r="T2392">
        <v>-0.1231743</v>
      </c>
      <c r="U2392">
        <v>-0.24731449999999999</v>
      </c>
      <c r="V2392">
        <v>1.9084799999999999E-2</v>
      </c>
      <c r="W2392">
        <v>0.20935509999999999</v>
      </c>
      <c r="X2392">
        <v>0.97765340000000001</v>
      </c>
      <c r="Y2392">
        <v>2.258609E-3</v>
      </c>
      <c r="Z2392">
        <v>3.067054E-3</v>
      </c>
      <c r="AA2392">
        <v>0.99999269999999996</v>
      </c>
      <c r="AB2392">
        <v>24</v>
      </c>
      <c r="AC2392">
        <v>27.447999999999901</v>
      </c>
      <c r="AD2392">
        <v>-1.1094822318949999</v>
      </c>
      <c r="AE2392">
        <v>-2.2070000000000198</v>
      </c>
      <c r="AF2392">
        <v>5.9944234365330397E-2</v>
      </c>
      <c r="AG2392">
        <v>-1.1094822318949999</v>
      </c>
      <c r="AH2392">
        <v>27.491890440648799</v>
      </c>
      <c r="AI2392">
        <v>92.3110095550457</v>
      </c>
      <c r="AJ2392">
        <v>89.875070570364898</v>
      </c>
      <c r="AK2392">
        <v>27.514334157576101</v>
      </c>
      <c r="AL2392">
        <v>77.915437598360896</v>
      </c>
      <c r="AM2392">
        <v>88.881669488272706</v>
      </c>
      <c r="AN2392">
        <v>0.99999997900930404</v>
      </c>
    </row>
    <row r="2393" spans="1:40" x14ac:dyDescent="0.25">
      <c r="A2393" t="str">
        <f>"20190312172705426"</f>
        <v>20190312172705426</v>
      </c>
      <c r="B2393" t="str">
        <f>"1552382825421247"</f>
        <v>1552382825421247</v>
      </c>
      <c r="C2393" t="s">
        <v>40</v>
      </c>
      <c r="D2393">
        <v>3.3113290000000002</v>
      </c>
      <c r="E2393">
        <v>0.49543559999999998</v>
      </c>
      <c r="F2393" t="s">
        <v>49</v>
      </c>
      <c r="G2393">
        <v>-427.74110000000002</v>
      </c>
      <c r="H2393" s="1">
        <v>2.7702819999999999E-6</v>
      </c>
      <c r="I2393">
        <v>212.57089999999999</v>
      </c>
      <c r="J2393">
        <v>-454.98160000000001</v>
      </c>
      <c r="K2393">
        <v>1.109499</v>
      </c>
      <c r="L2393">
        <v>214.74680000000001</v>
      </c>
      <c r="M2393">
        <v>0.99678610000000001</v>
      </c>
      <c r="N2393">
        <v>0</v>
      </c>
      <c r="O2393">
        <v>-7.9007610000000006E-2</v>
      </c>
      <c r="P2393">
        <v>0.97595909999999997</v>
      </c>
      <c r="Q2393">
        <v>0.19597870000000001</v>
      </c>
      <c r="R2393">
        <v>-9.5375940000000006E-2</v>
      </c>
      <c r="S2393">
        <v>3.0751339999999998</v>
      </c>
      <c r="T2393">
        <v>-0.1242182</v>
      </c>
      <c r="U2393">
        <v>-0.24572749999999999</v>
      </c>
      <c r="V2393">
        <v>1.8344200000000001E-2</v>
      </c>
      <c r="W2393">
        <v>0.20891960000000001</v>
      </c>
      <c r="X2393">
        <v>0.97776070000000004</v>
      </c>
      <c r="Y2393">
        <v>7.0473599999999997E-4</v>
      </c>
      <c r="Z2393">
        <v>3.1661689999999999E-3</v>
      </c>
      <c r="AA2393">
        <v>0.99999479999999996</v>
      </c>
      <c r="AB2393">
        <v>24</v>
      </c>
      <c r="AC2393">
        <v>27.240500000000001</v>
      </c>
      <c r="AD2393">
        <v>-1.109496229718</v>
      </c>
      <c r="AE2393">
        <v>-2.1759000000000102</v>
      </c>
      <c r="AF2393">
        <v>1.6674053172425998E-2</v>
      </c>
      <c r="AG2393">
        <v>-1.109496229718</v>
      </c>
      <c r="AH2393">
        <v>27.282287538302501</v>
      </c>
      <c r="AI2393">
        <v>92.328779426817107</v>
      </c>
      <c r="AJ2393">
        <v>89.964982674056699</v>
      </c>
      <c r="AK2393">
        <v>27.304843402415401</v>
      </c>
      <c r="AL2393">
        <v>77.940953794491804</v>
      </c>
      <c r="AM2393">
        <v>88.925174692687804</v>
      </c>
      <c r="AN2393">
        <v>0.99999994770114298</v>
      </c>
    </row>
    <row r="2394" spans="1:40" x14ac:dyDescent="0.25">
      <c r="A2394" t="str">
        <f>"20190312172705449"</f>
        <v>20190312172705449</v>
      </c>
      <c r="B2394" t="str">
        <f>"1552382825441740"</f>
        <v>1552382825441740</v>
      </c>
      <c r="C2394" t="s">
        <v>40</v>
      </c>
      <c r="D2394">
        <v>3.3129439999999999</v>
      </c>
      <c r="E2394">
        <v>0.49531019999999998</v>
      </c>
      <c r="F2394" t="s">
        <v>49</v>
      </c>
      <c r="G2394">
        <v>-427.78890000000001</v>
      </c>
      <c r="H2394" s="1">
        <v>2.759884E-6</v>
      </c>
      <c r="I2394">
        <v>212.59270000000001</v>
      </c>
      <c r="J2394">
        <v>-454.7423</v>
      </c>
      <c r="K2394">
        <v>1.109515</v>
      </c>
      <c r="L2394">
        <v>214.72649999999999</v>
      </c>
      <c r="M2394">
        <v>0.99669929999999995</v>
      </c>
      <c r="N2394">
        <v>0</v>
      </c>
      <c r="O2394">
        <v>-8.0093399999999995E-2</v>
      </c>
      <c r="P2394">
        <v>0.975684</v>
      </c>
      <c r="Q2394">
        <v>0.1970692</v>
      </c>
      <c r="R2394">
        <v>-9.5940540000000005E-2</v>
      </c>
      <c r="S2394">
        <v>3.0753170000000001</v>
      </c>
      <c r="T2394">
        <v>-0.12547700000000001</v>
      </c>
      <c r="U2394">
        <v>-0.24360660000000001</v>
      </c>
      <c r="V2394">
        <v>1.7855579999999999E-2</v>
      </c>
      <c r="W2394">
        <v>0.21000740000000001</v>
      </c>
      <c r="X2394">
        <v>0.97753670000000004</v>
      </c>
      <c r="Y2394">
        <v>-1.071018E-3</v>
      </c>
      <c r="Z2394">
        <v>3.278343E-3</v>
      </c>
      <c r="AA2394">
        <v>0.99999400000000005</v>
      </c>
      <c r="AB2394">
        <v>24</v>
      </c>
      <c r="AC2394">
        <v>26.953399999999899</v>
      </c>
      <c r="AD2394">
        <v>-1.109512240116</v>
      </c>
      <c r="AE2394">
        <v>-2.1337999999999702</v>
      </c>
      <c r="AF2394">
        <v>-3.1981438818086697E-2</v>
      </c>
      <c r="AG2394">
        <v>-1.109512240116</v>
      </c>
      <c r="AH2394">
        <v>26.9922585433156</v>
      </c>
      <c r="AI2394">
        <v>92.353806640417105</v>
      </c>
      <c r="AJ2394">
        <v>90.067886153603098</v>
      </c>
      <c r="AK2394">
        <v>27.0150710066176</v>
      </c>
      <c r="AL2394">
        <v>77.877213663133404</v>
      </c>
      <c r="AM2394">
        <v>88.953557835897897</v>
      </c>
      <c r="AN2394">
        <v>0.99999996481939202</v>
      </c>
    </row>
    <row r="2395" spans="1:40" x14ac:dyDescent="0.25">
      <c r="A2395" t="str">
        <f>"20190312172705471"</f>
        <v>20190312172705471</v>
      </c>
      <c r="B2395" t="str">
        <f>"1552382825461768"</f>
        <v>1552382825461768</v>
      </c>
      <c r="C2395" t="s">
        <v>40</v>
      </c>
      <c r="D2395">
        <v>3.318238</v>
      </c>
      <c r="E2395">
        <v>0.49508239999999998</v>
      </c>
      <c r="F2395" t="s">
        <v>49</v>
      </c>
      <c r="G2395">
        <v>-426.77289999999999</v>
      </c>
      <c r="H2395" s="1">
        <v>2.9474139999999999E-6</v>
      </c>
      <c r="I2395">
        <v>212.50909999999999</v>
      </c>
      <c r="J2395">
        <v>-454.50200000000001</v>
      </c>
      <c r="K2395">
        <v>1.109529</v>
      </c>
      <c r="L2395">
        <v>214.70590000000001</v>
      </c>
      <c r="M2395">
        <v>0.99661219999999995</v>
      </c>
      <c r="N2395">
        <v>0</v>
      </c>
      <c r="O2395">
        <v>-8.1171480000000004E-2</v>
      </c>
      <c r="P2395">
        <v>0.97537220000000002</v>
      </c>
      <c r="Q2395">
        <v>0.19813130000000001</v>
      </c>
      <c r="R2395">
        <v>-9.6919740000000004E-2</v>
      </c>
      <c r="S2395">
        <v>3.0754389999999998</v>
      </c>
      <c r="T2395">
        <v>-0.1219991</v>
      </c>
      <c r="U2395">
        <v>-0.24382019999999999</v>
      </c>
      <c r="V2395">
        <v>1.7792039999999999E-2</v>
      </c>
      <c r="W2395">
        <v>0.21106510000000001</v>
      </c>
      <c r="X2395">
        <v>0.97731009999999996</v>
      </c>
      <c r="Y2395">
        <v>-2.088828E-3</v>
      </c>
      <c r="Z2395">
        <v>3.2500749999999998E-3</v>
      </c>
      <c r="AA2395">
        <v>0.99999249999999995</v>
      </c>
      <c r="AB2395">
        <v>24</v>
      </c>
      <c r="AC2395">
        <v>27.729099999999899</v>
      </c>
      <c r="AD2395">
        <v>-1.109526052586</v>
      </c>
      <c r="AE2395">
        <v>-2.1968000000000201</v>
      </c>
      <c r="AF2395">
        <v>-6.1362161917747099E-2</v>
      </c>
      <c r="AG2395">
        <v>-1.109526052586</v>
      </c>
      <c r="AH2395">
        <v>27.771728775510901</v>
      </c>
      <c r="AI2395">
        <v>92.287837942286501</v>
      </c>
      <c r="AJ2395">
        <v>90.126595906462398</v>
      </c>
      <c r="AK2395">
        <v>27.793951366382199</v>
      </c>
      <c r="AL2395">
        <v>77.815223278920499</v>
      </c>
      <c r="AM2395">
        <v>88.957039118132997</v>
      </c>
      <c r="AN2395">
        <v>1.0000000323436899</v>
      </c>
    </row>
    <row r="2396" spans="1:40" x14ac:dyDescent="0.25">
      <c r="A2396" t="str">
        <f>"20190312172705495"</f>
        <v>20190312172705495</v>
      </c>
      <c r="B2396" t="str">
        <f>"1552382825491048"</f>
        <v>1552382825491048</v>
      </c>
      <c r="C2396" t="s">
        <v>40</v>
      </c>
      <c r="D2396">
        <v>3.3316249999999998</v>
      </c>
      <c r="E2396">
        <v>0.49467800000000001</v>
      </c>
      <c r="F2396" t="s">
        <v>49</v>
      </c>
      <c r="G2396">
        <v>-425.78449999999998</v>
      </c>
      <c r="H2396" s="1">
        <v>3.1301139999999999E-6</v>
      </c>
      <c r="I2396">
        <v>212.42490000000001</v>
      </c>
      <c r="J2396">
        <v>-454.25110000000001</v>
      </c>
      <c r="K2396">
        <v>1.1095459999999999</v>
      </c>
      <c r="L2396">
        <v>214.6841</v>
      </c>
      <c r="M2396">
        <v>0.99652030000000003</v>
      </c>
      <c r="N2396">
        <v>0</v>
      </c>
      <c r="O2396">
        <v>-8.2290349999999998E-2</v>
      </c>
      <c r="P2396">
        <v>0.97497210000000001</v>
      </c>
      <c r="Q2396">
        <v>0.19959940000000001</v>
      </c>
      <c r="R2396">
        <v>-9.7925159999999997E-2</v>
      </c>
      <c r="S2396">
        <v>3.075653</v>
      </c>
      <c r="T2396">
        <v>-0.1188303</v>
      </c>
      <c r="U2396">
        <v>-0.24429319999999999</v>
      </c>
      <c r="V2396">
        <v>1.7723699999999998E-2</v>
      </c>
      <c r="W2396">
        <v>0.21252840000000001</v>
      </c>
      <c r="X2396">
        <v>0.97699420000000003</v>
      </c>
      <c r="Y2396">
        <v>-3.0659910000000001E-3</v>
      </c>
      <c r="Z2396">
        <v>3.227288E-3</v>
      </c>
      <c r="AA2396">
        <v>0.99999009999999999</v>
      </c>
      <c r="AB2396">
        <v>24</v>
      </c>
      <c r="AC2396">
        <v>28.4666</v>
      </c>
      <c r="AD2396">
        <v>-1.1095428698859999</v>
      </c>
      <c r="AE2396">
        <v>-2.2591999999999901</v>
      </c>
      <c r="AF2396">
        <v>-9.1058351805993504E-2</v>
      </c>
      <c r="AG2396">
        <v>-1.1095428698859999</v>
      </c>
      <c r="AH2396">
        <v>28.512916411973901</v>
      </c>
      <c r="AI2396">
        <v>92.228454626540994</v>
      </c>
      <c r="AJ2396">
        <v>90.182978178581806</v>
      </c>
      <c r="AK2396">
        <v>28.534641741570201</v>
      </c>
      <c r="AL2396">
        <v>77.7294364966545</v>
      </c>
      <c r="AM2396">
        <v>88.9607084355968</v>
      </c>
      <c r="AN2396">
        <v>1.0000000585909401</v>
      </c>
    </row>
    <row r="2397" spans="1:40" x14ac:dyDescent="0.25">
      <c r="A2397" t="str">
        <f>"20190312172705537"</f>
        <v>20190312172705537</v>
      </c>
      <c r="B2397" t="str">
        <f>"1552382825531064"</f>
        <v>1552382825531064</v>
      </c>
      <c r="C2397" t="s">
        <v>40</v>
      </c>
      <c r="D2397">
        <v>3.2909109999999999</v>
      </c>
      <c r="E2397">
        <v>0.49436210000000003</v>
      </c>
      <c r="F2397" t="s">
        <v>49</v>
      </c>
      <c r="G2397">
        <v>-424.7783</v>
      </c>
      <c r="H2397" s="1">
        <v>3.3151170000000001E-6</v>
      </c>
      <c r="I2397">
        <v>212.3503</v>
      </c>
      <c r="J2397">
        <v>-453.80869999999999</v>
      </c>
      <c r="K2397">
        <v>1.109553</v>
      </c>
      <c r="L2397">
        <v>214.64500000000001</v>
      </c>
      <c r="M2397">
        <v>0.99635569999999896</v>
      </c>
      <c r="N2397">
        <v>0</v>
      </c>
      <c r="O2397">
        <v>-8.4262420000000005E-2</v>
      </c>
      <c r="P2397">
        <v>0.97515759999999996</v>
      </c>
      <c r="Q2397">
        <v>0.19841420000000001</v>
      </c>
      <c r="R2397">
        <v>-9.8487959999999999E-2</v>
      </c>
      <c r="S2397">
        <v>3.076263</v>
      </c>
      <c r="T2397">
        <v>-0.11581</v>
      </c>
      <c r="U2397">
        <v>-0.24359130000000001</v>
      </c>
      <c r="V2397">
        <v>1.6320370000000001E-2</v>
      </c>
      <c r="W2397">
        <v>0.21134710000000001</v>
      </c>
      <c r="X2397">
        <v>0.9772748</v>
      </c>
      <c r="Y2397">
        <v>-5.287712E-3</v>
      </c>
      <c r="Z2397">
        <v>3.2602629999999998E-3</v>
      </c>
      <c r="AA2397">
        <v>0.99998069999999895</v>
      </c>
      <c r="AB2397">
        <v>24</v>
      </c>
      <c r="AC2397">
        <v>29.030399999999901</v>
      </c>
      <c r="AD2397">
        <v>-1.109549684883</v>
      </c>
      <c r="AE2397">
        <v>-2.2947000000000002</v>
      </c>
      <c r="AF2397">
        <v>-0.15961661480856501</v>
      </c>
      <c r="AG2397">
        <v>-1.109549684883</v>
      </c>
      <c r="AH2397">
        <v>29.0782985240646</v>
      </c>
      <c r="AI2397">
        <v>92.185159877349705</v>
      </c>
      <c r="AJ2397">
        <v>90.314504870663896</v>
      </c>
      <c r="AK2397">
        <v>29.099897302594801</v>
      </c>
      <c r="AL2397">
        <v>77.798692483225807</v>
      </c>
      <c r="AM2397">
        <v>89.043256402419402</v>
      </c>
      <c r="AN2397">
        <v>0.99999999293519304</v>
      </c>
    </row>
    <row r="2398" spans="1:40" x14ac:dyDescent="0.25">
      <c r="A2398" t="str">
        <f>"20190312172705559"</f>
        <v>20190312172705559</v>
      </c>
      <c r="B2398" t="str">
        <f>"1552382825551560"</f>
        <v>1552382825551560</v>
      </c>
      <c r="C2398" t="s">
        <v>40</v>
      </c>
      <c r="D2398">
        <v>3.3263639999999999</v>
      </c>
      <c r="E2398">
        <v>0.49429489999999998</v>
      </c>
      <c r="F2398" t="s">
        <v>49</v>
      </c>
      <c r="G2398">
        <v>-425.59899999999999</v>
      </c>
      <c r="H2398" s="1">
        <v>3.1622820000000001E-6</v>
      </c>
      <c r="I2398">
        <v>212.4333</v>
      </c>
      <c r="J2398">
        <v>-453.57990000000001</v>
      </c>
      <c r="K2398">
        <v>1.1095489999999999</v>
      </c>
      <c r="L2398">
        <v>214.62440000000001</v>
      </c>
      <c r="M2398">
        <v>0.99626870000000001</v>
      </c>
      <c r="N2398">
        <v>0</v>
      </c>
      <c r="O2398">
        <v>-8.5284620000000005E-2</v>
      </c>
      <c r="P2398">
        <v>0.97525240000000002</v>
      </c>
      <c r="Q2398">
        <v>0.197551</v>
      </c>
      <c r="R2398">
        <v>-9.9280900000000005E-2</v>
      </c>
      <c r="S2398">
        <v>3.0766909999999998</v>
      </c>
      <c r="T2398">
        <v>-0.12101290000000001</v>
      </c>
      <c r="U2398">
        <v>-0.24121090000000001</v>
      </c>
      <c r="V2398">
        <v>1.60929E-2</v>
      </c>
      <c r="W2398">
        <v>0.21048520000000001</v>
      </c>
      <c r="X2398">
        <v>0.97746460000000002</v>
      </c>
      <c r="Y2398">
        <v>-7.0855930000000003E-3</v>
      </c>
      <c r="Z2398">
        <v>3.4815279999999998E-3</v>
      </c>
      <c r="AA2398">
        <v>0.99996879999999999</v>
      </c>
      <c r="AB2398">
        <v>24</v>
      </c>
      <c r="AC2398">
        <v>27.980899999999998</v>
      </c>
      <c r="AD2398">
        <v>-1.1095458377180001</v>
      </c>
      <c r="AE2398">
        <v>-2.1911</v>
      </c>
      <c r="AF2398">
        <v>-0.203116461072917</v>
      </c>
      <c r="AG2398">
        <v>-1.1095458377180001</v>
      </c>
      <c r="AH2398">
        <v>28.022027117171302</v>
      </c>
      <c r="AI2398">
        <v>92.267410359837996</v>
      </c>
      <c r="AJ2398">
        <v>90.415298725933397</v>
      </c>
      <c r="AK2398">
        <v>28.044720573010501</v>
      </c>
      <c r="AL2398">
        <v>77.849212566759206</v>
      </c>
      <c r="AM2398">
        <v>89.056772027658596</v>
      </c>
      <c r="AN2398">
        <v>1.0000000225512999</v>
      </c>
    </row>
    <row r="2399" spans="1:40" x14ac:dyDescent="0.25">
      <c r="A2399" t="str">
        <f>"20190312172705582"</f>
        <v>20190312172705582</v>
      </c>
      <c r="B2399" t="str">
        <f>"1552382825571080"</f>
        <v>1552382825571080</v>
      </c>
      <c r="C2399" t="s">
        <v>40</v>
      </c>
      <c r="D2399">
        <v>3.273752</v>
      </c>
      <c r="E2399">
        <v>0.49425530000000001</v>
      </c>
      <c r="F2399" t="s">
        <v>49</v>
      </c>
      <c r="G2399">
        <v>-426.21960000000001</v>
      </c>
      <c r="H2399" s="1">
        <v>3.0490719999999998E-6</v>
      </c>
      <c r="I2399">
        <v>212.46889999999999</v>
      </c>
      <c r="J2399">
        <v>-453.33839999999998</v>
      </c>
      <c r="K2399">
        <v>1.109553</v>
      </c>
      <c r="L2399">
        <v>214.60239999999999</v>
      </c>
      <c r="M2399">
        <v>0.99617560000000005</v>
      </c>
      <c r="N2399">
        <v>0</v>
      </c>
      <c r="O2399">
        <v>-8.6366319999999996E-2</v>
      </c>
      <c r="P2399">
        <v>0.97532989999999997</v>
      </c>
      <c r="Q2399">
        <v>0.19645940000000001</v>
      </c>
      <c r="R2399">
        <v>-0.1006774</v>
      </c>
      <c r="S2399">
        <v>3.0766909999999998</v>
      </c>
      <c r="T2399">
        <v>-0.1247698</v>
      </c>
      <c r="U2399">
        <v>-0.24238589999999999</v>
      </c>
      <c r="V2399">
        <v>1.6409690000000001E-2</v>
      </c>
      <c r="W2399">
        <v>0.20939469999999999</v>
      </c>
      <c r="X2399">
        <v>0.97769349999999999</v>
      </c>
      <c r="Y2399">
        <v>-7.78591599999999E-3</v>
      </c>
      <c r="Z2399">
        <v>3.6472200000000001E-3</v>
      </c>
      <c r="AA2399">
        <v>0.99996300000000005</v>
      </c>
      <c r="AB2399">
        <v>24</v>
      </c>
      <c r="AC2399">
        <v>27.118799999999901</v>
      </c>
      <c r="AD2399">
        <v>-1.109549950928</v>
      </c>
      <c r="AE2399">
        <v>-2.13349999999999</v>
      </c>
      <c r="AF2399">
        <v>-0.21646915504054201</v>
      </c>
      <c r="AG2399">
        <v>-1.109549950928</v>
      </c>
      <c r="AH2399">
        <v>27.156549956262399</v>
      </c>
      <c r="AI2399">
        <v>92.339589304302507</v>
      </c>
      <c r="AJ2399">
        <v>90.4567040482154</v>
      </c>
      <c r="AK2399">
        <v>27.1800692698835</v>
      </c>
      <c r="AL2399">
        <v>77.913117502927093</v>
      </c>
      <c r="AM2399">
        <v>89.038433099966198</v>
      </c>
      <c r="AN2399">
        <v>0.99999999912811799</v>
      </c>
    </row>
    <row r="2400" spans="1:40" x14ac:dyDescent="0.25">
      <c r="A2400" t="str">
        <f>"20190312172705605"</f>
        <v>20190312172705605</v>
      </c>
      <c r="B2400" t="str">
        <f>"1552382825601336"</f>
        <v>1552382825601336</v>
      </c>
      <c r="C2400" t="s">
        <v>40</v>
      </c>
      <c r="D2400">
        <v>3.2960240000000001</v>
      </c>
      <c r="E2400">
        <v>0.49418840000000003</v>
      </c>
      <c r="F2400" t="s">
        <v>49</v>
      </c>
      <c r="G2400">
        <v>-426.89839999999998</v>
      </c>
      <c r="H2400" s="1">
        <v>2.9270609999999999E-6</v>
      </c>
      <c r="I2400">
        <v>212.48740000000001</v>
      </c>
      <c r="J2400">
        <v>-453.09719999999999</v>
      </c>
      <c r="K2400">
        <v>1.109553</v>
      </c>
      <c r="L2400">
        <v>214.58019999999999</v>
      </c>
      <c r="M2400">
        <v>0.9960812</v>
      </c>
      <c r="N2400">
        <v>0</v>
      </c>
      <c r="O2400">
        <v>-8.7448529999999997E-2</v>
      </c>
      <c r="P2400">
        <v>0.975387</v>
      </c>
      <c r="Q2400">
        <v>0.19561890000000001</v>
      </c>
      <c r="R2400">
        <v>-0.1017535</v>
      </c>
      <c r="S2400">
        <v>3.076416</v>
      </c>
      <c r="T2400">
        <v>-0.1291013</v>
      </c>
      <c r="U2400">
        <v>-0.2460938</v>
      </c>
      <c r="V2400">
        <v>1.640925E-2</v>
      </c>
      <c r="W2400">
        <v>0.20855489999999999</v>
      </c>
      <c r="X2400">
        <v>0.97787299999999999</v>
      </c>
      <c r="Y2400">
        <v>-7.6614140000000001E-3</v>
      </c>
      <c r="Z2400">
        <v>3.8163479999999998E-3</v>
      </c>
      <c r="AA2400">
        <v>0.9999633</v>
      </c>
      <c r="AB2400">
        <v>24</v>
      </c>
      <c r="AC2400">
        <v>26.198799999999999</v>
      </c>
      <c r="AD2400">
        <v>-1.109550072939</v>
      </c>
      <c r="AE2400">
        <v>-2.09279999999998</v>
      </c>
      <c r="AF2400">
        <v>-0.20609855960767301</v>
      </c>
      <c r="AG2400">
        <v>-1.109550072939</v>
      </c>
      <c r="AH2400">
        <v>26.234687356972401</v>
      </c>
      <c r="AI2400">
        <v>92.421706556372499</v>
      </c>
      <c r="AJ2400">
        <v>90.450103885413498</v>
      </c>
      <c r="AK2400">
        <v>26.258948926008401</v>
      </c>
      <c r="AL2400">
        <v>77.962320955672496</v>
      </c>
      <c r="AM2400">
        <v>89.038635346992393</v>
      </c>
      <c r="AN2400">
        <v>1.00000000696428</v>
      </c>
    </row>
    <row r="2401" spans="1:40" x14ac:dyDescent="0.25">
      <c r="A2401" t="str">
        <f>"20190312172705626"</f>
        <v>20190312172705626</v>
      </c>
      <c r="B2401" t="str">
        <f>"1552382825620856"</f>
        <v>1552382825620856</v>
      </c>
      <c r="C2401" t="s">
        <v>40</v>
      </c>
      <c r="D2401">
        <v>3.2928959999999998</v>
      </c>
      <c r="E2401">
        <v>0.49412970000000001</v>
      </c>
      <c r="F2401" t="s">
        <v>49</v>
      </c>
      <c r="G2401">
        <v>-427.27760000000001</v>
      </c>
      <c r="H2401" s="1">
        <v>2.8592559999999999E-6</v>
      </c>
      <c r="I2401">
        <v>212.49359999999999</v>
      </c>
      <c r="J2401">
        <v>-452.87400000000002</v>
      </c>
      <c r="K2401">
        <v>1.10955</v>
      </c>
      <c r="L2401">
        <v>214.55950000000001</v>
      </c>
      <c r="M2401">
        <v>0.99599269999999995</v>
      </c>
      <c r="N2401">
        <v>0</v>
      </c>
      <c r="O2401">
        <v>-8.8450890000000004E-2</v>
      </c>
      <c r="P2401">
        <v>0.97512129999999997</v>
      </c>
      <c r="Q2401">
        <v>0.19631129999999999</v>
      </c>
      <c r="R2401">
        <v>-0.1029596</v>
      </c>
      <c r="S2401">
        <v>3.0762939999999999</v>
      </c>
      <c r="T2401">
        <v>-0.13219810000000001</v>
      </c>
      <c r="U2401">
        <v>-0.24861150000000001</v>
      </c>
      <c r="V2401">
        <v>1.6647889999999999E-2</v>
      </c>
      <c r="W2401">
        <v>0.20924409999999999</v>
      </c>
      <c r="X2401">
        <v>0.97772170000000003</v>
      </c>
      <c r="Y2401">
        <v>-7.8463309999999998E-3</v>
      </c>
      <c r="Z2401">
        <v>3.9545550000000002E-3</v>
      </c>
      <c r="AA2401">
        <v>0.9999614</v>
      </c>
      <c r="AB2401">
        <v>24</v>
      </c>
      <c r="AC2401">
        <v>25.596399999999999</v>
      </c>
      <c r="AD2401">
        <v>-1.1095471407439901</v>
      </c>
      <c r="AE2401">
        <v>-2.0659000000000201</v>
      </c>
      <c r="AF2401">
        <v>-0.206036459532113</v>
      </c>
      <c r="AG2401">
        <v>-1.1095471407439901</v>
      </c>
      <c r="AH2401">
        <v>25.630955362376501</v>
      </c>
      <c r="AI2401">
        <v>92.478668904299397</v>
      </c>
      <c r="AJ2401">
        <v>90.460566729751406</v>
      </c>
      <c r="AK2401">
        <v>25.655787235404102</v>
      </c>
      <c r="AL2401">
        <v>77.921941543754301</v>
      </c>
      <c r="AM2401">
        <v>89.024505983313404</v>
      </c>
      <c r="AN2401">
        <v>0.99999998413857505</v>
      </c>
    </row>
    <row r="2402" spans="1:40" x14ac:dyDescent="0.25">
      <c r="A2402" t="str">
        <f>"20190312172705650"</f>
        <v>20190312172705650</v>
      </c>
      <c r="B2402" t="str">
        <f>"1552382825641352"</f>
        <v>1552382825641352</v>
      </c>
      <c r="C2402" t="s">
        <v>40</v>
      </c>
      <c r="D2402">
        <v>3.3267159999999998</v>
      </c>
      <c r="E2402">
        <v>0.49408590000000002</v>
      </c>
      <c r="F2402" t="s">
        <v>49</v>
      </c>
      <c r="G2402">
        <v>-426.60230000000001</v>
      </c>
      <c r="H2402" s="1">
        <v>2.986073E-6</v>
      </c>
      <c r="I2402">
        <v>212.41300000000001</v>
      </c>
      <c r="J2402">
        <v>-452.6336</v>
      </c>
      <c r="K2402">
        <v>1.109548</v>
      </c>
      <c r="L2402">
        <v>214.5368</v>
      </c>
      <c r="M2402">
        <v>0.995896</v>
      </c>
      <c r="N2402">
        <v>0</v>
      </c>
      <c r="O2402">
        <v>-8.9531910000000006E-2</v>
      </c>
      <c r="P2402">
        <v>0.97501990000000005</v>
      </c>
      <c r="Q2402">
        <v>0.19632150000000001</v>
      </c>
      <c r="R2402">
        <v>-0.1038963</v>
      </c>
      <c r="S2402">
        <v>3.0761720000000001</v>
      </c>
      <c r="T2402">
        <v>-0.1299177</v>
      </c>
      <c r="U2402">
        <v>-0.25132749999999998</v>
      </c>
      <c r="V2402">
        <v>1.6525149999999999E-2</v>
      </c>
      <c r="W2402">
        <v>0.20925299999999999</v>
      </c>
      <c r="X2402">
        <v>0.97772190000000003</v>
      </c>
      <c r="Y2402">
        <v>-8.0533229999999994E-3</v>
      </c>
      <c r="Z2402">
        <v>3.9360869999999996E-3</v>
      </c>
      <c r="AA2402">
        <v>0.99995979999999995</v>
      </c>
      <c r="AB2402">
        <v>23</v>
      </c>
      <c r="AC2402">
        <v>26.031299999999899</v>
      </c>
      <c r="AD2402">
        <v>-1.109545013927</v>
      </c>
      <c r="AE2402">
        <v>-2.1238000000000099</v>
      </c>
      <c r="AF2402">
        <v>-0.215178624367732</v>
      </c>
      <c r="AG2402">
        <v>-1.109545013927</v>
      </c>
      <c r="AH2402">
        <v>26.069853728744999</v>
      </c>
      <c r="AI2402">
        <v>92.436981141295306</v>
      </c>
      <c r="AJ2402">
        <v>90.472904343113299</v>
      </c>
      <c r="AK2402">
        <v>26.094341636003701</v>
      </c>
      <c r="AL2402">
        <v>77.921420337179796</v>
      </c>
      <c r="AM2402">
        <v>89.031696837597806</v>
      </c>
      <c r="AN2402">
        <v>1.0000000061655601</v>
      </c>
    </row>
    <row r="2403" spans="1:40" x14ac:dyDescent="0.25">
      <c r="A2403" t="str">
        <f>"20190312172705670"</f>
        <v>20190312172705670</v>
      </c>
      <c r="B2403" t="str">
        <f>"1552382825660872"</f>
        <v>1552382825660872</v>
      </c>
      <c r="C2403" t="s">
        <v>40</v>
      </c>
      <c r="D2403">
        <v>3.3051720000000002</v>
      </c>
      <c r="E2403">
        <v>0.49403970000000003</v>
      </c>
      <c r="F2403" t="s">
        <v>49</v>
      </c>
      <c r="G2403">
        <v>-426.3295</v>
      </c>
      <c r="H2403" s="1">
        <v>3.0379460000000002E-6</v>
      </c>
      <c r="I2403">
        <v>212.3732</v>
      </c>
      <c r="J2403">
        <v>-452.40910000000002</v>
      </c>
      <c r="K2403">
        <v>1.1095520000000001</v>
      </c>
      <c r="L2403">
        <v>214.5155</v>
      </c>
      <c r="M2403">
        <v>0.99580469999999999</v>
      </c>
      <c r="N2403">
        <v>0</v>
      </c>
      <c r="O2403">
        <v>-9.0541529999999995E-2</v>
      </c>
      <c r="P2403">
        <v>0.97489199999999998</v>
      </c>
      <c r="Q2403">
        <v>0.19662760000000001</v>
      </c>
      <c r="R2403">
        <v>-0.1045131</v>
      </c>
      <c r="S2403">
        <v>3.07605</v>
      </c>
      <c r="T2403">
        <v>-0.12975239999999999</v>
      </c>
      <c r="U2403">
        <v>-0.2530212</v>
      </c>
      <c r="V2403">
        <v>1.6157230000000002E-2</v>
      </c>
      <c r="W2403">
        <v>0.20955560000000001</v>
      </c>
      <c r="X2403">
        <v>0.97766319999999995</v>
      </c>
      <c r="Y2403">
        <v>-8.5158919999999902E-3</v>
      </c>
      <c r="Z2403">
        <v>3.9831529999999997E-3</v>
      </c>
      <c r="AA2403">
        <v>0.99995579999999995</v>
      </c>
      <c r="AB2403">
        <v>23</v>
      </c>
      <c r="AC2403">
        <v>26.079599999999999</v>
      </c>
      <c r="AD2403">
        <v>-1.109548962054</v>
      </c>
      <c r="AE2403">
        <v>-2.1423000000000001</v>
      </c>
      <c r="AF2403">
        <v>-0.22758527350596</v>
      </c>
      <c r="AG2403">
        <v>-1.109548962054</v>
      </c>
      <c r="AH2403">
        <v>26.119487302880501</v>
      </c>
      <c r="AI2403">
        <v>92.432355012212298</v>
      </c>
      <c r="AJ2403">
        <v>90.499219051361194</v>
      </c>
      <c r="AK2403">
        <v>26.144033945075201</v>
      </c>
      <c r="AL2403">
        <v>77.903689072038105</v>
      </c>
      <c r="AM2403">
        <v>89.053194574964294</v>
      </c>
      <c r="AN2403">
        <v>0.99999996910343503</v>
      </c>
    </row>
    <row r="2404" spans="1:40" x14ac:dyDescent="0.25">
      <c r="A2404" t="str">
        <f>"20190312172705716"</f>
        <v>20190312172705716</v>
      </c>
      <c r="B2404" t="str">
        <f>"1552382825711624"</f>
        <v>1552382825711624</v>
      </c>
      <c r="C2404" t="s">
        <v>40</v>
      </c>
      <c r="D2404">
        <v>3.303839</v>
      </c>
      <c r="E2404">
        <v>0.4939326</v>
      </c>
      <c r="F2404" t="s">
        <v>49</v>
      </c>
      <c r="G2404">
        <v>-426.04270000000002</v>
      </c>
      <c r="H2404" s="1">
        <v>3.092461E-6</v>
      </c>
      <c r="I2404">
        <v>212.33160000000001</v>
      </c>
      <c r="J2404">
        <v>-451.93970000000002</v>
      </c>
      <c r="K2404">
        <v>1.109559</v>
      </c>
      <c r="L2404">
        <v>214.47</v>
      </c>
      <c r="M2404">
        <v>0.99561149999999998</v>
      </c>
      <c r="N2404">
        <v>0</v>
      </c>
      <c r="O2404">
        <v>-9.2644809999999994E-2</v>
      </c>
      <c r="P2404">
        <v>0.97491079999999997</v>
      </c>
      <c r="Q2404">
        <v>0.19657549999999999</v>
      </c>
      <c r="R2404">
        <v>-0.1044378</v>
      </c>
      <c r="S2404">
        <v>3.07605</v>
      </c>
      <c r="T2404">
        <v>-0.129445899999999</v>
      </c>
      <c r="U2404">
        <v>-0.254776</v>
      </c>
      <c r="V2404">
        <v>1.400699E-2</v>
      </c>
      <c r="W2404">
        <v>0.2094917</v>
      </c>
      <c r="X2404">
        <v>0.97771010000000003</v>
      </c>
      <c r="Y2404">
        <v>-1.005879E-2</v>
      </c>
      <c r="Z2404">
        <v>4.0939100000000001E-3</v>
      </c>
      <c r="AA2404">
        <v>0.99994110000000003</v>
      </c>
      <c r="AB2404">
        <v>23</v>
      </c>
      <c r="AC2404">
        <v>25.896999999999899</v>
      </c>
      <c r="AD2404">
        <v>-1.109555907539</v>
      </c>
      <c r="AE2404">
        <v>-2.1383999999999901</v>
      </c>
      <c r="AF2404">
        <v>-0.26973881228139202</v>
      </c>
      <c r="AG2404">
        <v>-1.109555907539</v>
      </c>
      <c r="AH2404">
        <v>25.936443347087302</v>
      </c>
      <c r="AI2404">
        <v>92.449476169302102</v>
      </c>
      <c r="AJ2404">
        <v>90.595854186491906</v>
      </c>
      <c r="AK2404">
        <v>25.961567110547701</v>
      </c>
      <c r="AL2404">
        <v>77.907433809780102</v>
      </c>
      <c r="AM2404">
        <v>89.179218347063994</v>
      </c>
      <c r="AN2404">
        <v>1.00000000388988</v>
      </c>
    </row>
    <row r="2405" spans="1:40" x14ac:dyDescent="0.25">
      <c r="A2405" t="str">
        <f>"20190312172705737"</f>
        <v>20190312172705737</v>
      </c>
      <c r="B2405" t="str">
        <f>"1552382825731144"</f>
        <v>1552382825731144</v>
      </c>
      <c r="C2405" t="s">
        <v>40</v>
      </c>
      <c r="D2405">
        <v>3.298549</v>
      </c>
      <c r="E2405">
        <v>0.49393039999999999</v>
      </c>
      <c r="F2405" t="s">
        <v>49</v>
      </c>
      <c r="G2405">
        <v>-425.61309999999997</v>
      </c>
      <c r="H2405" s="1">
        <v>3.1722400000000001E-6</v>
      </c>
      <c r="I2405">
        <v>212.29079999999999</v>
      </c>
      <c r="J2405">
        <v>-451.70609999999999</v>
      </c>
      <c r="K2405">
        <v>1.1095630000000001</v>
      </c>
      <c r="L2405">
        <v>214.447</v>
      </c>
      <c r="M2405">
        <v>0.99551520000000004</v>
      </c>
      <c r="N2405">
        <v>0</v>
      </c>
      <c r="O2405">
        <v>-9.3676430000000005E-2</v>
      </c>
      <c r="P2405">
        <v>0.97479260000000001</v>
      </c>
      <c r="Q2405">
        <v>0.19696640000000001</v>
      </c>
      <c r="R2405">
        <v>-0.1048031</v>
      </c>
      <c r="S2405">
        <v>3.0760800000000001</v>
      </c>
      <c r="T2405">
        <v>-0.1296438</v>
      </c>
      <c r="U2405">
        <v>-0.2546234</v>
      </c>
      <c r="V2405">
        <v>1.336291E-2</v>
      </c>
      <c r="W2405">
        <v>0.20987120000000001</v>
      </c>
      <c r="X2405">
        <v>0.97763770000000005</v>
      </c>
      <c r="Y2405">
        <v>-1.1142859999999999E-2</v>
      </c>
      <c r="Z2405">
        <v>4.1660909999999898E-3</v>
      </c>
      <c r="AA2405">
        <v>0.99992919999999996</v>
      </c>
      <c r="AB2405">
        <v>23</v>
      </c>
      <c r="AC2405">
        <v>26.093</v>
      </c>
      <c r="AD2405">
        <v>-1.1095598277599901</v>
      </c>
      <c r="AE2405">
        <v>-2.1562000000000099</v>
      </c>
      <c r="AF2405">
        <v>-0.29726128389318401</v>
      </c>
      <c r="AG2405">
        <v>-1.1095598277599901</v>
      </c>
      <c r="AH2405">
        <v>26.133309290249201</v>
      </c>
      <c r="AI2405">
        <v>92.431028950219201</v>
      </c>
      <c r="AJ2405">
        <v>90.651700184122106</v>
      </c>
      <c r="AK2405">
        <v>26.1585424238834</v>
      </c>
      <c r="AL2405">
        <v>77.885195411507695</v>
      </c>
      <c r="AM2405">
        <v>89.216897354717105</v>
      </c>
      <c r="AN2405">
        <v>0.99999998020719805</v>
      </c>
    </row>
    <row r="2406" spans="1:40" x14ac:dyDescent="0.25">
      <c r="A2406" t="str">
        <f>"20190312172705760"</f>
        <v>20190312172705760</v>
      </c>
      <c r="B2406" t="str">
        <f>"1552382825751640"</f>
        <v>1552382825751640</v>
      </c>
      <c r="C2406" t="s">
        <v>40</v>
      </c>
      <c r="D2406">
        <v>3.2718959999999999</v>
      </c>
      <c r="E2406">
        <v>0.49390010000000001</v>
      </c>
      <c r="F2406" t="s">
        <v>49</v>
      </c>
      <c r="G2406">
        <v>-425.1669</v>
      </c>
      <c r="H2406" s="1">
        <v>3.2554729999999999E-6</v>
      </c>
      <c r="I2406">
        <v>212.244</v>
      </c>
      <c r="J2406">
        <v>-451.4787</v>
      </c>
      <c r="K2406">
        <v>1.1095740000000001</v>
      </c>
      <c r="L2406">
        <v>214.42439999999999</v>
      </c>
      <c r="M2406">
        <v>0.99542240000000004</v>
      </c>
      <c r="N2406">
        <v>0</v>
      </c>
      <c r="O2406">
        <v>-9.4660209999999995E-2</v>
      </c>
      <c r="P2406">
        <v>0.97464139999999999</v>
      </c>
      <c r="Q2406">
        <v>0.1971301</v>
      </c>
      <c r="R2406">
        <v>-0.10589659999999999</v>
      </c>
      <c r="S2406">
        <v>3.0761409999999998</v>
      </c>
      <c r="T2406">
        <v>-0.128608</v>
      </c>
      <c r="U2406">
        <v>-0.25534059999999997</v>
      </c>
      <c r="V2406">
        <v>1.348997E-2</v>
      </c>
      <c r="W2406">
        <v>0.2100185</v>
      </c>
      <c r="X2406">
        <v>0.97760429999999998</v>
      </c>
      <c r="Y2406">
        <v>-1.19011E-2</v>
      </c>
      <c r="Z2406">
        <v>4.189346E-3</v>
      </c>
      <c r="AA2406">
        <v>0.99992040000000004</v>
      </c>
      <c r="AB2406">
        <v>23</v>
      </c>
      <c r="AC2406">
        <v>26.311800000000002</v>
      </c>
      <c r="AD2406">
        <v>-1.109570744527</v>
      </c>
      <c r="AE2406">
        <v>-2.1803999999999601</v>
      </c>
      <c r="AF2406">
        <v>-0.31972463571930798</v>
      </c>
      <c r="AG2406">
        <v>-1.109570744527</v>
      </c>
      <c r="AH2406">
        <v>26.353499825728498</v>
      </c>
      <c r="AI2406">
        <v>92.410743378335098</v>
      </c>
      <c r="AJ2406">
        <v>90.695086939276607</v>
      </c>
      <c r="AK2406">
        <v>26.378785494113799</v>
      </c>
      <c r="AL2406">
        <v>77.876563095415094</v>
      </c>
      <c r="AM2406">
        <v>89.209425230069101</v>
      </c>
      <c r="AN2406">
        <v>0.99999995850566903</v>
      </c>
    </row>
    <row r="2407" spans="1:40" x14ac:dyDescent="0.25">
      <c r="A2407" t="str">
        <f>"20190312172705783"</f>
        <v>20190312172705783</v>
      </c>
      <c r="B2407" t="str">
        <f>"1552382825771160"</f>
        <v>1552382825771160</v>
      </c>
      <c r="C2407" t="s">
        <v>40</v>
      </c>
      <c r="D2407">
        <v>3.2752849999999998</v>
      </c>
      <c r="E2407">
        <v>0.49389870000000002</v>
      </c>
      <c r="F2407" t="s">
        <v>49</v>
      </c>
      <c r="G2407">
        <v>-424.79349999999999</v>
      </c>
      <c r="H2407" s="1">
        <v>3.3260250000000001E-6</v>
      </c>
      <c r="I2407">
        <v>212.19470000000001</v>
      </c>
      <c r="J2407">
        <v>-451.23950000000002</v>
      </c>
      <c r="K2407">
        <v>1.109578</v>
      </c>
      <c r="L2407">
        <v>214.40049999999999</v>
      </c>
      <c r="M2407">
        <v>0.99532779999999998</v>
      </c>
      <c r="N2407">
        <v>0</v>
      </c>
      <c r="O2407">
        <v>-9.565245E-2</v>
      </c>
      <c r="P2407">
        <v>0.97470239999999997</v>
      </c>
      <c r="Q2407">
        <v>0.196322</v>
      </c>
      <c r="R2407">
        <v>-0.1068306</v>
      </c>
      <c r="S2407">
        <v>3.0760190000000001</v>
      </c>
      <c r="T2407">
        <v>-0.1279006</v>
      </c>
      <c r="U2407">
        <v>-0.257019</v>
      </c>
      <c r="V2407">
        <v>1.3421529999999999E-2</v>
      </c>
      <c r="W2407">
        <v>0.20918030000000001</v>
      </c>
      <c r="X2407">
        <v>0.97778500000000002</v>
      </c>
      <c r="Y2407">
        <v>-1.2352510000000001E-2</v>
      </c>
      <c r="Z2407">
        <v>4.2166800000000004E-3</v>
      </c>
      <c r="AA2407">
        <v>0.99991479999999999</v>
      </c>
      <c r="AB2407">
        <v>23</v>
      </c>
      <c r="AC2407">
        <v>26.446000000000002</v>
      </c>
      <c r="AD2407">
        <v>-1.1095746739749901</v>
      </c>
      <c r="AE2407">
        <v>-2.20579999999998</v>
      </c>
      <c r="AF2407">
        <v>-0.33357642112046598</v>
      </c>
      <c r="AG2407">
        <v>-1.1095746739749901</v>
      </c>
      <c r="AH2407">
        <v>26.4894191379909</v>
      </c>
      <c r="AI2407">
        <v>92.398382987635998</v>
      </c>
      <c r="AJ2407">
        <v>90.721477159993896</v>
      </c>
      <c r="AK2407">
        <v>26.514746000178999</v>
      </c>
      <c r="AL2407">
        <v>77.925680189173903</v>
      </c>
      <c r="AM2407">
        <v>89.2135809692263</v>
      </c>
      <c r="AN2407">
        <v>1.0000000208003099</v>
      </c>
    </row>
    <row r="2408" spans="1:40" x14ac:dyDescent="0.25">
      <c r="A2408" t="str">
        <f>"20190312172705806"</f>
        <v>20190312172705806</v>
      </c>
      <c r="B2408" t="str">
        <f>"1552382825801416"</f>
        <v>1552382825801416</v>
      </c>
      <c r="C2408" t="s">
        <v>40</v>
      </c>
      <c r="D2408">
        <v>3.2832940000000002</v>
      </c>
      <c r="E2408">
        <v>0.4939421</v>
      </c>
      <c r="F2408" t="s">
        <v>49</v>
      </c>
      <c r="G2408">
        <v>-425.1259</v>
      </c>
      <c r="H2408" s="1">
        <v>3.2657879999999998E-6</v>
      </c>
      <c r="I2408">
        <v>212.20930000000001</v>
      </c>
      <c r="J2408">
        <v>-451.00349999999997</v>
      </c>
      <c r="K2408">
        <v>1.109607</v>
      </c>
      <c r="L2408">
        <v>214.3767</v>
      </c>
      <c r="M2408">
        <v>0.99524000000000001</v>
      </c>
      <c r="N2408">
        <v>0</v>
      </c>
      <c r="O2408">
        <v>-9.6570450000000002E-2</v>
      </c>
      <c r="P2408">
        <v>0.97499780000000003</v>
      </c>
      <c r="Q2408">
        <v>0.19445860000000001</v>
      </c>
      <c r="R2408">
        <v>-0.1075426</v>
      </c>
      <c r="S2408">
        <v>3.0759280000000002</v>
      </c>
      <c r="T2408">
        <v>-0.13069700000000001</v>
      </c>
      <c r="U2408">
        <v>-0.25810240000000001</v>
      </c>
      <c r="V2408">
        <v>1.317406E-2</v>
      </c>
      <c r="W2408">
        <v>0.20727370000000001</v>
      </c>
      <c r="X2408">
        <v>0.97819429999999996</v>
      </c>
      <c r="Y2408">
        <v>-1.2917120000000001E-2</v>
      </c>
      <c r="Z2408">
        <v>4.3595140000000001E-3</v>
      </c>
      <c r="AA2408">
        <v>0.99990710000000005</v>
      </c>
      <c r="AB2408">
        <v>23</v>
      </c>
      <c r="AC2408">
        <v>25.877599999999902</v>
      </c>
      <c r="AD2408">
        <v>-1.109603734212</v>
      </c>
      <c r="AE2408">
        <v>-2.1673999999999798</v>
      </c>
      <c r="AF2408">
        <v>-0.34133441696599698</v>
      </c>
      <c r="AG2408">
        <v>-1.109603734212</v>
      </c>
      <c r="AH2408">
        <v>25.918633874651</v>
      </c>
      <c r="AI2408">
        <v>92.451182859729499</v>
      </c>
      <c r="AJ2408">
        <v>90.754510869862699</v>
      </c>
      <c r="AK2408">
        <v>25.9446200889392</v>
      </c>
      <c r="AL2408">
        <v>78.037368424763201</v>
      </c>
      <c r="AM2408">
        <v>89.228402367751201</v>
      </c>
      <c r="AN2408">
        <v>1.00000001556053</v>
      </c>
    </row>
    <row r="2409" spans="1:40" x14ac:dyDescent="0.25">
      <c r="A2409" t="str">
        <f>"20190312172705826"</f>
        <v>20190312172705826</v>
      </c>
      <c r="B2409" t="str">
        <f>"1552382825820936"</f>
        <v>1552382825820936</v>
      </c>
      <c r="C2409" t="s">
        <v>40</v>
      </c>
      <c r="D2409">
        <v>3.3580480000000001</v>
      </c>
      <c r="E2409">
        <v>0.50915279999999996</v>
      </c>
      <c r="F2409" t="s">
        <v>49</v>
      </c>
      <c r="G2409">
        <v>-426.04570000000001</v>
      </c>
      <c r="H2409" s="1">
        <v>3.0979340000000001E-6</v>
      </c>
      <c r="I2409">
        <v>212.2628</v>
      </c>
      <c r="J2409">
        <v>-450.78559999999999</v>
      </c>
      <c r="K2409">
        <v>1.109637</v>
      </c>
      <c r="L2409">
        <v>214.3545</v>
      </c>
      <c r="M2409">
        <v>0.99516550000000004</v>
      </c>
      <c r="N2409">
        <v>0</v>
      </c>
      <c r="O2409">
        <v>-9.7343150000000003E-2</v>
      </c>
      <c r="P2409">
        <v>0.97562369999999998</v>
      </c>
      <c r="Q2409">
        <v>0.19147500000000001</v>
      </c>
      <c r="R2409">
        <v>-0.10721849999999999</v>
      </c>
      <c r="S2409">
        <v>3.0754700000000001</v>
      </c>
      <c r="T2409">
        <v>-0.1367331</v>
      </c>
      <c r="U2409">
        <v>-0.26048280000000001</v>
      </c>
      <c r="V2409">
        <v>1.19985E-2</v>
      </c>
      <c r="W2409">
        <v>0.20424800000000001</v>
      </c>
      <c r="X2409">
        <v>0.97884570000000004</v>
      </c>
      <c r="Y2409">
        <v>-1.290257E-2</v>
      </c>
      <c r="Z2409">
        <v>4.5949069999999996E-3</v>
      </c>
      <c r="AA2409">
        <v>0.99990619999999997</v>
      </c>
      <c r="AB2409">
        <v>23</v>
      </c>
      <c r="AC2409">
        <v>24.739899999999899</v>
      </c>
      <c r="AD2409">
        <v>-1.109633902066</v>
      </c>
      <c r="AE2409">
        <v>-2.0916999999999999</v>
      </c>
      <c r="AF2409">
        <v>-0.326048623855626</v>
      </c>
      <c r="AG2409">
        <v>-1.109633902066</v>
      </c>
      <c r="AH2409">
        <v>24.7765279449609</v>
      </c>
      <c r="AI2409">
        <v>92.564095762028003</v>
      </c>
      <c r="AJ2409">
        <v>90.753944695035401</v>
      </c>
      <c r="AK2409">
        <v>24.803506447862599</v>
      </c>
      <c r="AL2409">
        <v>78.214519447970901</v>
      </c>
      <c r="AM2409">
        <v>89.297714663032494</v>
      </c>
      <c r="AN2409">
        <v>1.0000000569573599</v>
      </c>
    </row>
    <row r="2410" spans="1:40" x14ac:dyDescent="0.25">
      <c r="A2410" t="str">
        <f>"20190312172705850"</f>
        <v>20190312172705850</v>
      </c>
      <c r="B2410" t="str">
        <f>"1552382825841432"</f>
        <v>1552382825841432</v>
      </c>
      <c r="C2410" t="s">
        <v>40</v>
      </c>
      <c r="D2410">
        <v>3.27921</v>
      </c>
      <c r="E2410">
        <v>0.51600409999999997</v>
      </c>
      <c r="F2410" t="s">
        <v>44</v>
      </c>
      <c r="G2410">
        <v>-450.04669999999999</v>
      </c>
      <c r="H2410">
        <v>1.0430999999999999</v>
      </c>
      <c r="I2410">
        <v>214.2638</v>
      </c>
      <c r="J2410">
        <v>-450.5564</v>
      </c>
      <c r="K2410">
        <v>1.109686</v>
      </c>
      <c r="L2410">
        <v>214.3312</v>
      </c>
      <c r="M2410">
        <v>0.99509639999999999</v>
      </c>
      <c r="N2410">
        <v>0</v>
      </c>
      <c r="O2410">
        <v>-9.8054550000000004E-2</v>
      </c>
      <c r="P2410">
        <v>0.97586110000000004</v>
      </c>
      <c r="Q2410">
        <v>0.18991830000000001</v>
      </c>
      <c r="R2410">
        <v>-0.10782509999999999</v>
      </c>
      <c r="S2410">
        <v>3.0879819999999998</v>
      </c>
      <c r="T2410">
        <v>-0.27815250000000002</v>
      </c>
      <c r="U2410">
        <v>-0.37825009999999998</v>
      </c>
      <c r="V2410">
        <v>1.183973E-2</v>
      </c>
      <c r="W2410">
        <v>0.20263310000000001</v>
      </c>
      <c r="X2410">
        <v>0.97918309999999997</v>
      </c>
      <c r="Y2410">
        <v>2.3954779999999998E-2</v>
      </c>
      <c r="Z2410">
        <v>7.6862079999999999E-3</v>
      </c>
      <c r="AA2410">
        <v>0.99968349999999995</v>
      </c>
      <c r="AB2410">
        <v>23</v>
      </c>
      <c r="AC2410">
        <v>0.50970000000000903</v>
      </c>
      <c r="AD2410">
        <v>-6.6586000000000006E-2</v>
      </c>
      <c r="AE2410">
        <v>-6.7399999999992105E-2</v>
      </c>
      <c r="AF2410">
        <v>1.6810570973101999E-2</v>
      </c>
      <c r="AG2410">
        <v>-6.6586000000000006E-2</v>
      </c>
      <c r="AH2410">
        <v>0.50537617168329796</v>
      </c>
      <c r="AI2410">
        <v>97.501689212955696</v>
      </c>
      <c r="AJ2410">
        <v>88.094845345514798</v>
      </c>
      <c r="AK2410">
        <v>0.51002094623427796</v>
      </c>
      <c r="AL2410">
        <v>78.309021434016898</v>
      </c>
      <c r="AM2410">
        <v>89.307245495994906</v>
      </c>
      <c r="AN2410">
        <v>0.99999994787384505</v>
      </c>
    </row>
    <row r="2411" spans="1:40" x14ac:dyDescent="0.25">
      <c r="A2411" t="str">
        <f>"20190312172705871"</f>
        <v>20190312172705871</v>
      </c>
      <c r="B2411" t="str">
        <f>"1552382825860952"</f>
        <v>1552382825860952</v>
      </c>
      <c r="C2411" t="s">
        <v>40</v>
      </c>
      <c r="D2411">
        <v>3.2917589999999901</v>
      </c>
      <c r="E2411">
        <v>0.5591431</v>
      </c>
      <c r="F2411" t="s">
        <v>44</v>
      </c>
      <c r="G2411">
        <v>-449.65100000000001</v>
      </c>
      <c r="H2411">
        <v>1.0130729999999999</v>
      </c>
      <c r="I2411">
        <v>214.2037</v>
      </c>
      <c r="J2411">
        <v>-450.32409999999999</v>
      </c>
      <c r="K2411">
        <v>1.1097399999999999</v>
      </c>
      <c r="L2411">
        <v>214.3075</v>
      </c>
      <c r="M2411">
        <v>0.99503739999999996</v>
      </c>
      <c r="N2411">
        <v>0</v>
      </c>
      <c r="O2411">
        <v>-9.8660280000000003E-2</v>
      </c>
      <c r="P2411">
        <v>0.97586569999999995</v>
      </c>
      <c r="Q2411">
        <v>0.18947220000000001</v>
      </c>
      <c r="R2411">
        <v>-0.108566</v>
      </c>
      <c r="S2411">
        <v>3.0904539999999998</v>
      </c>
      <c r="T2411">
        <v>-0.3297813</v>
      </c>
      <c r="U2411">
        <v>-0.43353269999999999</v>
      </c>
      <c r="V2411">
        <v>1.1938290000000001E-2</v>
      </c>
      <c r="W2411">
        <v>0.20211709999999999</v>
      </c>
      <c r="X2411">
        <v>0.97928859999999995</v>
      </c>
      <c r="Y2411">
        <v>4.0850829999999998E-2</v>
      </c>
      <c r="Z2411">
        <v>8.2547469999999998E-3</v>
      </c>
      <c r="AA2411">
        <v>0.99913110000000005</v>
      </c>
      <c r="AB2411">
        <v>23</v>
      </c>
      <c r="AC2411">
        <v>0.67309999999997605</v>
      </c>
      <c r="AD2411">
        <v>-9.6667000000000003E-2</v>
      </c>
      <c r="AE2411">
        <v>-0.103800000000006</v>
      </c>
      <c r="AF2411">
        <v>3.6151413582098002E-2</v>
      </c>
      <c r="AG2411">
        <v>-9.6667000000000003E-2</v>
      </c>
      <c r="AH2411">
        <v>0.66662738859737103</v>
      </c>
      <c r="AI2411">
        <v>98.238955080456506</v>
      </c>
      <c r="AJ2411">
        <v>86.895872423640498</v>
      </c>
      <c r="AK2411">
        <v>0.67456912827458604</v>
      </c>
      <c r="AL2411">
        <v>78.3392113903178</v>
      </c>
      <c r="AM2411">
        <v>89.301554465442393</v>
      </c>
      <c r="AN2411">
        <v>1.0000000034852401</v>
      </c>
    </row>
    <row r="2412" spans="1:40" x14ac:dyDescent="0.25">
      <c r="A2412" t="str">
        <f>"20190312172705898"</f>
        <v>20190312172705898</v>
      </c>
      <c r="B2412" t="str">
        <f>"1552382825891208"</f>
        <v>1552382825891208</v>
      </c>
      <c r="C2412" t="s">
        <v>40</v>
      </c>
      <c r="D2412">
        <v>3.2707989999999998</v>
      </c>
      <c r="E2412">
        <v>0.56368739999999995</v>
      </c>
      <c r="F2412" t="s">
        <v>44</v>
      </c>
      <c r="G2412">
        <v>-449.48500000000001</v>
      </c>
      <c r="H2412">
        <v>0.94438140000000004</v>
      </c>
      <c r="I2412">
        <v>214.09909999999999</v>
      </c>
      <c r="J2412">
        <v>-450.05410000000001</v>
      </c>
      <c r="K2412">
        <v>1.109809</v>
      </c>
      <c r="L2412">
        <v>214.28</v>
      </c>
      <c r="M2412">
        <v>0.99498109999999995</v>
      </c>
      <c r="N2412">
        <v>0</v>
      </c>
      <c r="O2412">
        <v>-9.9238599999999996E-2</v>
      </c>
      <c r="P2412">
        <v>0.97568080000000001</v>
      </c>
      <c r="Q2412">
        <v>0.1897858</v>
      </c>
      <c r="R2412">
        <v>-0.10967449999999999</v>
      </c>
      <c r="S2412">
        <v>3.1072690000000001</v>
      </c>
      <c r="T2412">
        <v>-0.61232889999999995</v>
      </c>
      <c r="U2412">
        <v>-0.77136229999999995</v>
      </c>
      <c r="V2412">
        <v>1.2447089999999999E-2</v>
      </c>
      <c r="W2412">
        <v>0.20234920000000001</v>
      </c>
      <c r="X2412">
        <v>0.9792343</v>
      </c>
      <c r="Y2412">
        <v>0.14263290000000001</v>
      </c>
      <c r="Z2412">
        <v>5.2914650000000004E-3</v>
      </c>
      <c r="AA2412">
        <v>0.98976149999999996</v>
      </c>
      <c r="AB2412">
        <v>23</v>
      </c>
      <c r="AC2412">
        <v>0.56909999999999095</v>
      </c>
      <c r="AD2412">
        <v>-0.16542760000000001</v>
      </c>
      <c r="AE2412">
        <v>-0.180900000000008</v>
      </c>
      <c r="AF2412">
        <v>0.114721542335199</v>
      </c>
      <c r="AG2412">
        <v>-0.16542760000000001</v>
      </c>
      <c r="AH2412">
        <v>0.54260335409626603</v>
      </c>
      <c r="AI2412">
        <v>106.60897732321401</v>
      </c>
      <c r="AJ2412">
        <v>78.061880806056294</v>
      </c>
      <c r="AK2412">
        <v>0.57874495504846102</v>
      </c>
      <c r="AL2412">
        <v>78.325632085903806</v>
      </c>
      <c r="AM2412">
        <v>89.271750061182004</v>
      </c>
      <c r="AN2412">
        <v>0.99999997154329801</v>
      </c>
    </row>
    <row r="2413" spans="1:40" x14ac:dyDescent="0.25">
      <c r="A2413" t="str">
        <f>"20190312172705919"</f>
        <v>20190312172705919</v>
      </c>
      <c r="B2413" t="str">
        <f>"1552382825911704"</f>
        <v>1552382825911704</v>
      </c>
      <c r="C2413" t="s">
        <v>40</v>
      </c>
      <c r="D2413">
        <v>3.2480760000000002</v>
      </c>
      <c r="E2413">
        <v>0.56608329999999996</v>
      </c>
      <c r="F2413" t="s">
        <v>44</v>
      </c>
      <c r="G2413">
        <v>-449.27449999999999</v>
      </c>
      <c r="H2413">
        <v>0.95135570000000003</v>
      </c>
      <c r="I2413">
        <v>214.07669999999999</v>
      </c>
      <c r="J2413">
        <v>-449.82839999999999</v>
      </c>
      <c r="K2413">
        <v>1.1098760000000001</v>
      </c>
      <c r="L2413">
        <v>214.2569</v>
      </c>
      <c r="M2413">
        <v>0.99494539999999998</v>
      </c>
      <c r="N2413">
        <v>0</v>
      </c>
      <c r="O2413">
        <v>-9.9605659999999999E-2</v>
      </c>
      <c r="P2413">
        <v>0.97566929999999996</v>
      </c>
      <c r="Q2413">
        <v>0.18976750000000001</v>
      </c>
      <c r="R2413">
        <v>-0.1098089</v>
      </c>
      <c r="S2413">
        <v>3.1066889999999998</v>
      </c>
      <c r="T2413">
        <v>-0.63142719999999997</v>
      </c>
      <c r="U2413">
        <v>-0.80860900000000002</v>
      </c>
      <c r="V2413">
        <v>1.218663E-2</v>
      </c>
      <c r="W2413">
        <v>0.20226469999999999</v>
      </c>
      <c r="X2413">
        <v>0.97925510000000004</v>
      </c>
      <c r="Y2413">
        <v>0.15320780000000001</v>
      </c>
      <c r="Z2413">
        <v>4.4690040000000004E-3</v>
      </c>
      <c r="AA2413">
        <v>0.9881839</v>
      </c>
      <c r="AB2413">
        <v>23</v>
      </c>
      <c r="AC2413">
        <v>0.55389999999999795</v>
      </c>
      <c r="AD2413">
        <v>-0.1585203</v>
      </c>
      <c r="AE2413">
        <v>-0.18020000000001299</v>
      </c>
      <c r="AF2413">
        <v>0.11556807437812899</v>
      </c>
      <c r="AG2413">
        <v>-0.1585203</v>
      </c>
      <c r="AH2413">
        <v>0.52985174816081204</v>
      </c>
      <c r="AI2413">
        <v>106.293975495551</v>
      </c>
      <c r="AJ2413">
        <v>77.695694377445705</v>
      </c>
      <c r="AK2413">
        <v>0.565002248098737</v>
      </c>
      <c r="AL2413">
        <v>78.330576577599302</v>
      </c>
      <c r="AM2413">
        <v>89.287002515946199</v>
      </c>
      <c r="AN2413">
        <v>1.0000000368464199</v>
      </c>
    </row>
    <row r="2414" spans="1:40" x14ac:dyDescent="0.25">
      <c r="A2414" t="str">
        <f>"20190312172705939"</f>
        <v>20190312172705939</v>
      </c>
      <c r="B2414" t="str">
        <f>"1552382825931224"</f>
        <v>1552382825931224</v>
      </c>
      <c r="C2414" t="s">
        <v>40</v>
      </c>
      <c r="D2414">
        <v>3.2234159999999998</v>
      </c>
      <c r="E2414">
        <v>0.56745540000000005</v>
      </c>
      <c r="F2414" t="s">
        <v>44</v>
      </c>
      <c r="G2414">
        <v>-449.06729999999999</v>
      </c>
      <c r="H2414">
        <v>0.95175759999999998</v>
      </c>
      <c r="I2414">
        <v>214.054</v>
      </c>
      <c r="J2414">
        <v>-449.61950000000002</v>
      </c>
      <c r="K2414">
        <v>1.1099399999999999</v>
      </c>
      <c r="L2414">
        <v>214.23570000000001</v>
      </c>
      <c r="M2414">
        <v>0.99492380000000002</v>
      </c>
      <c r="N2414">
        <v>0</v>
      </c>
      <c r="O2414">
        <v>-9.9828269999999997E-2</v>
      </c>
      <c r="P2414">
        <v>0.97554099999999999</v>
      </c>
      <c r="Q2414">
        <v>0.19039980000000001</v>
      </c>
      <c r="R2414">
        <v>-0.1098544</v>
      </c>
      <c r="S2414">
        <v>3.1072690000000001</v>
      </c>
      <c r="T2414">
        <v>-0.64556959999999997</v>
      </c>
      <c r="U2414">
        <v>-0.8273315</v>
      </c>
      <c r="V2414">
        <v>1.1991079999999999E-2</v>
      </c>
      <c r="W2414">
        <v>0.2028344</v>
      </c>
      <c r="X2414">
        <v>0.9791396</v>
      </c>
      <c r="Y2414">
        <v>0.15836700000000001</v>
      </c>
      <c r="Z2414">
        <v>4.0846650000000003E-3</v>
      </c>
      <c r="AA2414">
        <v>0.98737189999999997</v>
      </c>
      <c r="AB2414">
        <v>23</v>
      </c>
      <c r="AC2414">
        <v>0.552200000000027</v>
      </c>
      <c r="AD2414">
        <v>-0.1581824</v>
      </c>
      <c r="AE2414">
        <v>-0.181700000000006</v>
      </c>
      <c r="AF2414">
        <v>0.116999724583862</v>
      </c>
      <c r="AG2414">
        <v>-0.1581824</v>
      </c>
      <c r="AH2414">
        <v>0.52845372273250801</v>
      </c>
      <c r="AI2414">
        <v>106.29118697961501</v>
      </c>
      <c r="AJ2414">
        <v>77.516085754883903</v>
      </c>
      <c r="AK2414">
        <v>0.56389178420358799</v>
      </c>
      <c r="AL2414">
        <v>78.297243444566206</v>
      </c>
      <c r="AM2414">
        <v>89.298359567896597</v>
      </c>
      <c r="AN2414">
        <v>0.99999996805554203</v>
      </c>
    </row>
    <row r="2415" spans="1:40" x14ac:dyDescent="0.25">
      <c r="A2415" t="str">
        <f>"20190312172705961"</f>
        <v>20190312172705961</v>
      </c>
      <c r="B2415" t="str">
        <f>"1552382825951720"</f>
        <v>1552382825951720</v>
      </c>
      <c r="C2415" t="s">
        <v>40</v>
      </c>
      <c r="D2415">
        <v>3.2290169999999998</v>
      </c>
      <c r="E2415">
        <v>0.56865189999999999</v>
      </c>
      <c r="F2415" t="s">
        <v>44</v>
      </c>
      <c r="G2415">
        <v>-448.86059999999998</v>
      </c>
      <c r="H2415">
        <v>0.95117090000000004</v>
      </c>
      <c r="I2415">
        <v>214.03100000000001</v>
      </c>
      <c r="J2415">
        <v>-449.38679999999999</v>
      </c>
      <c r="K2415">
        <v>1.1100190000000001</v>
      </c>
      <c r="L2415">
        <v>214.21199999999999</v>
      </c>
      <c r="M2415">
        <v>0.99491289999999999</v>
      </c>
      <c r="N2415">
        <v>0</v>
      </c>
      <c r="O2415">
        <v>-9.9946129999999994E-2</v>
      </c>
      <c r="P2415">
        <v>0.97535269999999996</v>
      </c>
      <c r="Q2415">
        <v>0.19142310000000001</v>
      </c>
      <c r="R2415">
        <v>-0.1097465</v>
      </c>
      <c r="S2415">
        <v>3.1078489999999999</v>
      </c>
      <c r="T2415">
        <v>-0.65012530000000002</v>
      </c>
      <c r="U2415">
        <v>-0.83717350000000001</v>
      </c>
      <c r="V2415">
        <v>1.174268E-2</v>
      </c>
      <c r="W2415">
        <v>0.20378959999999999</v>
      </c>
      <c r="X2415">
        <v>0.97894429999999999</v>
      </c>
      <c r="Y2415">
        <v>0.16105520000000001</v>
      </c>
      <c r="Z2415">
        <v>3.8601289999999999E-3</v>
      </c>
      <c r="AA2415">
        <v>0.98693790000000003</v>
      </c>
      <c r="AB2415">
        <v>23</v>
      </c>
      <c r="AC2415">
        <v>0.52620000000001699</v>
      </c>
      <c r="AD2415">
        <v>-0.15884809999999999</v>
      </c>
      <c r="AE2415">
        <v>-0.18100000000003999</v>
      </c>
      <c r="AF2415">
        <v>0.11789096096697101</v>
      </c>
      <c r="AG2415">
        <v>-0.15884809999999999</v>
      </c>
      <c r="AH2415">
        <v>0.50084349875298695</v>
      </c>
      <c r="AI2415">
        <v>107.156705427335</v>
      </c>
      <c r="AJ2415">
        <v>76.754555493217694</v>
      </c>
      <c r="AK2415">
        <v>0.538493461236494</v>
      </c>
      <c r="AL2415">
        <v>78.241347644334397</v>
      </c>
      <c r="AM2415">
        <v>89.312755855628893</v>
      </c>
      <c r="AN2415">
        <v>1.0000000170521099</v>
      </c>
    </row>
    <row r="2416" spans="1:40" x14ac:dyDescent="0.25">
      <c r="A2416" t="str">
        <f>"20190312172705985"</f>
        <v>20190312172705985</v>
      </c>
      <c r="B2416" t="str">
        <f>"1552382825981001"</f>
        <v>1552382825981001</v>
      </c>
      <c r="C2416" t="s">
        <v>40</v>
      </c>
      <c r="D2416">
        <v>3.215805</v>
      </c>
      <c r="E2416">
        <v>0.57023049999999997</v>
      </c>
      <c r="F2416" t="s">
        <v>44</v>
      </c>
      <c r="G2416">
        <v>-448.65109999999999</v>
      </c>
      <c r="H2416">
        <v>0.95591000000000004</v>
      </c>
      <c r="I2416">
        <v>214.01179999999999</v>
      </c>
      <c r="J2416">
        <v>-449.1397</v>
      </c>
      <c r="K2416">
        <v>1.1101190000000001</v>
      </c>
      <c r="L2416">
        <v>214.18709999999999</v>
      </c>
      <c r="M2416">
        <v>0.99491549999999995</v>
      </c>
      <c r="N2416">
        <v>0</v>
      </c>
      <c r="O2416">
        <v>-9.992972E-2</v>
      </c>
      <c r="P2416">
        <v>0.97546739999999998</v>
      </c>
      <c r="Q2416">
        <v>0.19121879999999999</v>
      </c>
      <c r="R2416">
        <v>-0.10908229999999999</v>
      </c>
      <c r="S2416">
        <v>3.1084589999999999</v>
      </c>
      <c r="T2416">
        <v>-0.65112360000000002</v>
      </c>
      <c r="U2416">
        <v>-0.84587099999999904</v>
      </c>
      <c r="V2416">
        <v>1.103461E-2</v>
      </c>
      <c r="W2416">
        <v>0.2035226</v>
      </c>
      <c r="X2416">
        <v>0.97900810000000005</v>
      </c>
      <c r="Y2416">
        <v>0.16354299999999999</v>
      </c>
      <c r="Z2416">
        <v>3.6066010000000001E-3</v>
      </c>
      <c r="AA2416">
        <v>0.98652960000000001</v>
      </c>
      <c r="AB2416">
        <v>23</v>
      </c>
      <c r="AC2416">
        <v>0.48860000000001902</v>
      </c>
      <c r="AD2416">
        <v>-0.15420900000000001</v>
      </c>
      <c r="AE2416">
        <v>-0.17529999999999199</v>
      </c>
      <c r="AF2416">
        <v>0.11540790751298299</v>
      </c>
      <c r="AG2416">
        <v>-0.15420900000000001</v>
      </c>
      <c r="AH2416">
        <v>0.46282748501511201</v>
      </c>
      <c r="AI2416">
        <v>107.915492528553</v>
      </c>
      <c r="AJ2416">
        <v>75.998594998577602</v>
      </c>
      <c r="AK2416">
        <v>0.50130697350320097</v>
      </c>
      <c r="AL2416">
        <v>78.256973308540694</v>
      </c>
      <c r="AM2416">
        <v>89.354234341426903</v>
      </c>
      <c r="AN2416">
        <v>1.0000000355971099</v>
      </c>
    </row>
    <row r="2417" spans="1:40" x14ac:dyDescent="0.25">
      <c r="A2417" t="str">
        <f>"20190312172706006"</f>
        <v>20190312172706006</v>
      </c>
      <c r="B2417" t="str">
        <f>"1552382826001496"</f>
        <v>1552382826001496</v>
      </c>
      <c r="C2417" t="s">
        <v>40</v>
      </c>
      <c r="D2417">
        <v>3.1622690000000002</v>
      </c>
      <c r="E2417">
        <v>0.58300039999999997</v>
      </c>
      <c r="F2417" t="s">
        <v>44</v>
      </c>
      <c r="G2417">
        <v>-448.44069999999999</v>
      </c>
      <c r="H2417">
        <v>0.96228130000000001</v>
      </c>
      <c r="I2417">
        <v>213.99430000000001</v>
      </c>
      <c r="J2417">
        <v>-448.92329999999998</v>
      </c>
      <c r="K2417">
        <v>1.110215</v>
      </c>
      <c r="L2417">
        <v>214.16540000000001</v>
      </c>
      <c r="M2417">
        <v>0.99493169999999997</v>
      </c>
      <c r="N2417">
        <v>0</v>
      </c>
      <c r="O2417">
        <v>-9.977461E-2</v>
      </c>
      <c r="P2417">
        <v>0.97563670000000002</v>
      </c>
      <c r="Q2417">
        <v>0.19107150000000001</v>
      </c>
      <c r="R2417">
        <v>-0.10782</v>
      </c>
      <c r="S2417">
        <v>3.108765</v>
      </c>
      <c r="T2417">
        <v>-0.65770139999999999</v>
      </c>
      <c r="U2417">
        <v>-0.85534669999999902</v>
      </c>
      <c r="V2417">
        <v>9.8650360000000006E-3</v>
      </c>
      <c r="W2417">
        <v>0.2033218</v>
      </c>
      <c r="X2417">
        <v>0.97906230000000005</v>
      </c>
      <c r="Y2417">
        <v>0.1663838</v>
      </c>
      <c r="Z2417">
        <v>3.316313E-3</v>
      </c>
      <c r="AA2417">
        <v>0.98605549999999997</v>
      </c>
      <c r="AB2417">
        <v>23</v>
      </c>
      <c r="AC2417">
        <v>0.48259999999998998</v>
      </c>
      <c r="AD2417">
        <v>-0.147933699999999</v>
      </c>
      <c r="AE2417">
        <v>-0.17109999999999501</v>
      </c>
      <c r="AF2417">
        <v>0.112685115080804</v>
      </c>
      <c r="AG2417">
        <v>-0.147933699999999</v>
      </c>
      <c r="AH2417">
        <v>0.45895463123172398</v>
      </c>
      <c r="AI2417">
        <v>107.381705813536</v>
      </c>
      <c r="AJ2417">
        <v>76.205292923199394</v>
      </c>
      <c r="AK2417">
        <v>0.49519861498747397</v>
      </c>
      <c r="AL2417">
        <v>78.268723931227001</v>
      </c>
      <c r="AM2417">
        <v>89.422707012216193</v>
      </c>
      <c r="AN2417">
        <v>1.0000000302859</v>
      </c>
    </row>
    <row r="2418" spans="1:40" x14ac:dyDescent="0.25">
      <c r="A2418" t="str">
        <f>"20190312172706028"</f>
        <v>20190312172706028</v>
      </c>
      <c r="B2418" t="str">
        <f>"1552382826021016"</f>
        <v>1552382826021016</v>
      </c>
      <c r="C2418" t="s">
        <v>40</v>
      </c>
      <c r="D2418">
        <v>3.1906940000000001</v>
      </c>
      <c r="E2418">
        <v>0.58353500000000003</v>
      </c>
      <c r="F2418" t="s">
        <v>44</v>
      </c>
      <c r="G2418">
        <v>-448.23989999999998</v>
      </c>
      <c r="H2418">
        <v>0.95186749999999998</v>
      </c>
      <c r="I2418">
        <v>213.9562</v>
      </c>
      <c r="J2418">
        <v>-448.69720000000001</v>
      </c>
      <c r="K2418">
        <v>1.1103190000000001</v>
      </c>
      <c r="L2418">
        <v>214.143</v>
      </c>
      <c r="M2418">
        <v>0.99496479999999998</v>
      </c>
      <c r="N2418">
        <v>0</v>
      </c>
      <c r="O2418">
        <v>-9.9451769999999995E-2</v>
      </c>
      <c r="P2418">
        <v>0.97571799999999997</v>
      </c>
      <c r="Q2418">
        <v>0.19129740000000001</v>
      </c>
      <c r="R2418">
        <v>-0.1066763</v>
      </c>
      <c r="S2418">
        <v>3.1110229999999999</v>
      </c>
      <c r="T2418">
        <v>-0.72089369999999997</v>
      </c>
      <c r="U2418">
        <v>-0.95074460000000005</v>
      </c>
      <c r="V2418">
        <v>8.9819469999999901E-3</v>
      </c>
      <c r="W2418">
        <v>0.20349220000000001</v>
      </c>
      <c r="X2418">
        <v>0.9790354</v>
      </c>
      <c r="Y2418">
        <v>0.1934274</v>
      </c>
      <c r="Z2418">
        <v>5.0537290000000001E-4</v>
      </c>
      <c r="AA2418">
        <v>0.98111440000000005</v>
      </c>
      <c r="AB2418">
        <v>23</v>
      </c>
      <c r="AC2418">
        <v>0.45730000000003201</v>
      </c>
      <c r="AD2418">
        <v>-0.1584515</v>
      </c>
      <c r="AE2418">
        <v>-0.18680000000000499</v>
      </c>
      <c r="AF2418">
        <v>0.12729375824979799</v>
      </c>
      <c r="AG2418">
        <v>-0.1584515</v>
      </c>
      <c r="AH2418">
        <v>0.42942787319046499</v>
      </c>
      <c r="AI2418">
        <v>109.482123133935</v>
      </c>
      <c r="AJ2418">
        <v>73.488786115435502</v>
      </c>
      <c r="AK2418">
        <v>0.475098807633206</v>
      </c>
      <c r="AL2418">
        <v>78.258752293829602</v>
      </c>
      <c r="AM2418">
        <v>89.474367099147102</v>
      </c>
      <c r="AN2418">
        <v>1.0000000326429499</v>
      </c>
    </row>
    <row r="2419" spans="1:40" x14ac:dyDescent="0.25">
      <c r="A2419" t="str">
        <f>"20190312172706052"</f>
        <v>20190312172706052</v>
      </c>
      <c r="B2419" t="str">
        <f>"1552382826041512"</f>
        <v>1552382826041512</v>
      </c>
      <c r="C2419" t="s">
        <v>40</v>
      </c>
      <c r="D2419">
        <v>3.177038</v>
      </c>
      <c r="E2419">
        <v>0.58361200000000002</v>
      </c>
      <c r="F2419" t="s">
        <v>44</v>
      </c>
      <c r="G2419">
        <v>-447.84480000000002</v>
      </c>
      <c r="H2419">
        <v>0.91311030000000004</v>
      </c>
      <c r="I2419">
        <v>213.88210000000001</v>
      </c>
      <c r="J2419">
        <v>-448.45600000000002</v>
      </c>
      <c r="K2419">
        <v>1.11043</v>
      </c>
      <c r="L2419">
        <v>214.11940000000001</v>
      </c>
      <c r="M2419">
        <v>0.99501969999999995</v>
      </c>
      <c r="N2419">
        <v>0</v>
      </c>
      <c r="O2419">
        <v>-9.8906910000000001E-2</v>
      </c>
      <c r="P2419">
        <v>0.97591570000000005</v>
      </c>
      <c r="Q2419">
        <v>0.19112989999999999</v>
      </c>
      <c r="R2419">
        <v>-0.1051575</v>
      </c>
      <c r="S2419">
        <v>3.111694</v>
      </c>
      <c r="T2419">
        <v>-0.719908199999999</v>
      </c>
      <c r="U2419">
        <v>-0.95210269999999997</v>
      </c>
      <c r="V2419">
        <v>7.9279099999999998E-3</v>
      </c>
      <c r="W2419">
        <v>0.2032747</v>
      </c>
      <c r="X2419">
        <v>0.97908969999999995</v>
      </c>
      <c r="Y2419">
        <v>0.1942709</v>
      </c>
      <c r="Z2419">
        <v>2.8982569999999998E-4</v>
      </c>
      <c r="AA2419">
        <v>0.98094789999999998</v>
      </c>
      <c r="AB2419">
        <v>23</v>
      </c>
      <c r="AC2419">
        <v>0.61119999999993901</v>
      </c>
      <c r="AD2419">
        <v>-0.19731969999999899</v>
      </c>
      <c r="AE2419">
        <v>-0.23730000000000401</v>
      </c>
      <c r="AF2419">
        <v>0.161089437471132</v>
      </c>
      <c r="AG2419">
        <v>-0.19731969999999899</v>
      </c>
      <c r="AH2419">
        <v>0.57921410285897101</v>
      </c>
      <c r="AI2419">
        <v>108.170402479575</v>
      </c>
      <c r="AJ2419">
        <v>74.4578331793128</v>
      </c>
      <c r="AK2419">
        <v>0.63275101566380698</v>
      </c>
      <c r="AL2419">
        <v>78.271480331330807</v>
      </c>
      <c r="AM2419">
        <v>89.536073297045107</v>
      </c>
      <c r="AN2419">
        <v>1.0000000480315701</v>
      </c>
    </row>
    <row r="2420" spans="1:40" x14ac:dyDescent="0.25">
      <c r="A2420" t="str">
        <f>"20190312172706072"</f>
        <v>20190312172706072</v>
      </c>
      <c r="B2420" t="str">
        <f>"1552382826061033"</f>
        <v>1552382826061033</v>
      </c>
      <c r="C2420" t="s">
        <v>40</v>
      </c>
      <c r="D2420">
        <v>3.194429</v>
      </c>
      <c r="E2420">
        <v>0.583955</v>
      </c>
      <c r="F2420" t="s">
        <v>44</v>
      </c>
      <c r="G2420">
        <v>-447.63459999999998</v>
      </c>
      <c r="H2420">
        <v>0.9197478</v>
      </c>
      <c r="I2420">
        <v>213.8691</v>
      </c>
      <c r="J2420">
        <v>-448.23750000000001</v>
      </c>
      <c r="K2420">
        <v>1.1105179999999999</v>
      </c>
      <c r="L2420">
        <v>214.09829999999999</v>
      </c>
      <c r="M2420">
        <v>0.99508229999999998</v>
      </c>
      <c r="N2420">
        <v>0</v>
      </c>
      <c r="O2420">
        <v>-9.8279759999999994E-2</v>
      </c>
      <c r="P2420">
        <v>0.97641579999999994</v>
      </c>
      <c r="Q2420">
        <v>0.18992899999999999</v>
      </c>
      <c r="R2420">
        <v>-0.1026603</v>
      </c>
      <c r="S2420">
        <v>3.113556</v>
      </c>
      <c r="T2420">
        <v>-0.72293109999999905</v>
      </c>
      <c r="U2420">
        <v>-0.94758609999999999</v>
      </c>
      <c r="V2420">
        <v>5.9644579999999997E-3</v>
      </c>
      <c r="W2420">
        <v>0.20203489999999999</v>
      </c>
      <c r="X2420">
        <v>0.97936020000000001</v>
      </c>
      <c r="Y2420">
        <v>0.19341069999999999</v>
      </c>
      <c r="Z2420">
        <v>2.4864260000000002E-4</v>
      </c>
      <c r="AA2420">
        <v>0.98111780000000004</v>
      </c>
      <c r="AB2420">
        <v>23</v>
      </c>
      <c r="AC2420">
        <v>0.60290000000003297</v>
      </c>
      <c r="AD2420">
        <v>-0.1907702</v>
      </c>
      <c r="AE2420">
        <v>-0.22919999999999099</v>
      </c>
      <c r="AF2420">
        <v>0.15525154257840901</v>
      </c>
      <c r="AG2420">
        <v>-0.1907702</v>
      </c>
      <c r="AH2420">
        <v>0.572432223222059</v>
      </c>
      <c r="AI2420">
        <v>107.830016463646</v>
      </c>
      <c r="AJ2420">
        <v>74.825622231494194</v>
      </c>
      <c r="AK2420">
        <v>0.62303688563676896</v>
      </c>
      <c r="AL2420">
        <v>78.344020725580506</v>
      </c>
      <c r="AM2420">
        <v>89.651063984884601</v>
      </c>
      <c r="AN2420">
        <v>1.00000003846064</v>
      </c>
    </row>
    <row r="2421" spans="1:40" x14ac:dyDescent="0.25">
      <c r="A2421" t="str">
        <f>"20190312172706098"</f>
        <v>20190312172706098</v>
      </c>
      <c r="B2421" t="str">
        <f>"1552382826091288"</f>
        <v>1552382826091288</v>
      </c>
      <c r="C2421" t="s">
        <v>40</v>
      </c>
      <c r="D2421">
        <v>3.1479270000000001</v>
      </c>
      <c r="E2421">
        <v>0.58563580000000004</v>
      </c>
      <c r="F2421" t="s">
        <v>44</v>
      </c>
      <c r="G2421">
        <v>-447.42649999999998</v>
      </c>
      <c r="H2421">
        <v>0.92211010000000004</v>
      </c>
      <c r="I2421">
        <v>213.85220000000001</v>
      </c>
      <c r="J2421">
        <v>-447.97669999999999</v>
      </c>
      <c r="K2421">
        <v>1.1106149999999999</v>
      </c>
      <c r="L2421">
        <v>214.0736</v>
      </c>
      <c r="M2421">
        <v>0.99517330000000004</v>
      </c>
      <c r="N2421">
        <v>0</v>
      </c>
      <c r="O2421">
        <v>-9.7361569999999995E-2</v>
      </c>
      <c r="P2421">
        <v>0.97689970000000004</v>
      </c>
      <c r="Q2421">
        <v>0.18893170000000001</v>
      </c>
      <c r="R2421">
        <v>-9.9860340000000006E-2</v>
      </c>
      <c r="S2421">
        <v>3.113953</v>
      </c>
      <c r="T2421">
        <v>-0.72350289999999995</v>
      </c>
      <c r="U2421">
        <v>-0.94363399999999997</v>
      </c>
      <c r="V2421">
        <v>3.9866570000000002E-3</v>
      </c>
      <c r="W2421">
        <v>0.20099159999999999</v>
      </c>
      <c r="X2421">
        <v>0.97958489999999998</v>
      </c>
      <c r="Y2421">
        <v>0.1931213</v>
      </c>
      <c r="Z2421" s="1">
        <v>7.7752399999999998E-5</v>
      </c>
      <c r="AA2421">
        <v>0.98117489999999996</v>
      </c>
      <c r="AB2421">
        <v>23</v>
      </c>
      <c r="AC2421">
        <v>0.55020000000001801</v>
      </c>
      <c r="AD2421">
        <v>-0.188504899999999</v>
      </c>
      <c r="AE2421">
        <v>-0.221399999999988</v>
      </c>
      <c r="AF2421">
        <v>0.15147313756889999</v>
      </c>
      <c r="AG2421">
        <v>-0.188504899999999</v>
      </c>
      <c r="AH2421">
        <v>0.51692147609197103</v>
      </c>
      <c r="AI2421">
        <v>109.287655208263</v>
      </c>
      <c r="AJ2421">
        <v>73.667869543285804</v>
      </c>
      <c r="AK2421">
        <v>0.57068907574447103</v>
      </c>
      <c r="AL2421">
        <v>78.405049462182106</v>
      </c>
      <c r="AM2421">
        <v>89.766822294427598</v>
      </c>
      <c r="AN2421">
        <v>1.0000000465062999</v>
      </c>
    </row>
    <row r="2422" spans="1:40" x14ac:dyDescent="0.25">
      <c r="A2422" t="str">
        <f>"20190312172706141"</f>
        <v>20190312172706141</v>
      </c>
      <c r="B2422" t="str">
        <f>"1552382826131304"</f>
        <v>1552382826131304</v>
      </c>
      <c r="C2422" t="s">
        <v>40</v>
      </c>
      <c r="D2422">
        <v>3.1207750000000001</v>
      </c>
      <c r="E2422">
        <v>0.58682239999999997</v>
      </c>
      <c r="F2422" t="s">
        <v>44</v>
      </c>
      <c r="G2422">
        <v>-447.21469999999999</v>
      </c>
      <c r="H2422">
        <v>0.93205830000000001</v>
      </c>
      <c r="I2422">
        <v>213.84119999999999</v>
      </c>
      <c r="J2422">
        <v>-447.53519999999997</v>
      </c>
      <c r="K2422">
        <v>1.1107750000000001</v>
      </c>
      <c r="L2422">
        <v>214.03270000000001</v>
      </c>
      <c r="M2422">
        <v>0.9953632</v>
      </c>
      <c r="N2422">
        <v>0</v>
      </c>
      <c r="O2422">
        <v>-9.5409560000000004E-2</v>
      </c>
      <c r="P2422">
        <v>0.97742419999999997</v>
      </c>
      <c r="Q2422">
        <v>0.18931410000000001</v>
      </c>
      <c r="R2422">
        <v>-9.3821180000000004E-2</v>
      </c>
      <c r="S2422">
        <v>3.1152039999999999</v>
      </c>
      <c r="T2422">
        <v>-0.73008219999999902</v>
      </c>
      <c r="U2422">
        <v>-0.94828800000000002</v>
      </c>
      <c r="V2422">
        <v>-2.2822939999999999E-4</v>
      </c>
      <c r="W2422">
        <v>0.20129</v>
      </c>
      <c r="X2422">
        <v>0.97953159999999895</v>
      </c>
      <c r="Y2422">
        <v>0.1961157</v>
      </c>
      <c r="Z2422">
        <v>-6.9786239999999997E-4</v>
      </c>
      <c r="AA2422">
        <v>0.98058049999999997</v>
      </c>
      <c r="AB2422">
        <v>23</v>
      </c>
      <c r="AC2422">
        <v>0.32049999999998102</v>
      </c>
      <c r="AD2422">
        <v>-0.17871670000000001</v>
      </c>
      <c r="AE2422">
        <v>-0.19150000000001899</v>
      </c>
      <c r="AF2422">
        <v>0.13020966842411399</v>
      </c>
      <c r="AG2422">
        <v>-0.17871670000000001</v>
      </c>
      <c r="AH2422">
        <v>0.27442882057933798</v>
      </c>
      <c r="AI2422">
        <v>120.470955232563</v>
      </c>
      <c r="AJ2422">
        <v>64.616820531507301</v>
      </c>
      <c r="AK2422">
        <v>0.352427856694919</v>
      </c>
      <c r="AL2422">
        <v>78.387594384495202</v>
      </c>
      <c r="AM2422">
        <v>90.013349830821298</v>
      </c>
      <c r="AN2422">
        <v>0.99999993579360702</v>
      </c>
    </row>
    <row r="2423" spans="1:40" x14ac:dyDescent="0.25">
      <c r="A2423" t="str">
        <f>"20190312172706184"</f>
        <v>20190312172706184</v>
      </c>
      <c r="B2423" t="str">
        <f>"1552382826181082"</f>
        <v>1552382826181082</v>
      </c>
      <c r="C2423" t="s">
        <v>40</v>
      </c>
      <c r="D2423">
        <v>3.302924</v>
      </c>
      <c r="E2423">
        <v>0.5869875</v>
      </c>
      <c r="F2423" t="s">
        <v>44</v>
      </c>
      <c r="G2423">
        <v>-446.79750000000001</v>
      </c>
      <c r="H2423">
        <v>0.93874650000000004</v>
      </c>
      <c r="I2423">
        <v>213.81039999999999</v>
      </c>
      <c r="J2423">
        <v>-447.08019999999999</v>
      </c>
      <c r="K2423">
        <v>1.1109009999999999</v>
      </c>
      <c r="L2423">
        <v>213.99199999999999</v>
      </c>
      <c r="M2423">
        <v>0.99559240000000004</v>
      </c>
      <c r="N2423">
        <v>0</v>
      </c>
      <c r="O2423">
        <v>-9.2996090000000003E-2</v>
      </c>
      <c r="P2423">
        <v>0.97794349999999997</v>
      </c>
      <c r="Q2423">
        <v>0.1902683</v>
      </c>
      <c r="R2423">
        <v>-8.6164790000000005E-2</v>
      </c>
      <c r="S2423">
        <v>3.1200869999999998</v>
      </c>
      <c r="T2423">
        <v>-0.72767329999999997</v>
      </c>
      <c r="U2423">
        <v>-0.93841549999999996</v>
      </c>
      <c r="V2423">
        <v>-5.5822119999999996E-3</v>
      </c>
      <c r="W2423">
        <v>0.20216529999999999</v>
      </c>
      <c r="X2423">
        <v>0.97933550000000003</v>
      </c>
      <c r="Y2423">
        <v>0.19520499999999999</v>
      </c>
      <c r="Z2423">
        <v>-1.129819E-3</v>
      </c>
      <c r="AA2423">
        <v>0.98076180000000002</v>
      </c>
      <c r="AB2423">
        <v>23</v>
      </c>
      <c r="AC2423">
        <v>0.28269999999997703</v>
      </c>
      <c r="AD2423">
        <v>-0.17215449999999899</v>
      </c>
      <c r="AE2423">
        <v>-0.18160000000003099</v>
      </c>
      <c r="AF2423">
        <v>0.122391580465588</v>
      </c>
      <c r="AG2423">
        <v>-0.17215449999999899</v>
      </c>
      <c r="AH2423">
        <v>0.23632550932343999</v>
      </c>
      <c r="AI2423">
        <v>122.89728234387501</v>
      </c>
      <c r="AJ2423">
        <v>62.620628783363898</v>
      </c>
      <c r="AK2423">
        <v>0.316964693926781</v>
      </c>
      <c r="AL2423">
        <v>78.336391428068296</v>
      </c>
      <c r="AM2423">
        <v>90.326582385891697</v>
      </c>
      <c r="AN2423">
        <v>0.99999999558757602</v>
      </c>
    </row>
    <row r="2424" spans="1:40" x14ac:dyDescent="0.25">
      <c r="A2424" t="str">
        <f>"20190312172706206"</f>
        <v>20190312172706206</v>
      </c>
      <c r="B2424" t="str">
        <f>"1552382826201576"</f>
        <v>1552382826201576</v>
      </c>
      <c r="C2424" t="s">
        <v>40</v>
      </c>
      <c r="D2424">
        <v>3.243611</v>
      </c>
      <c r="E2424">
        <v>0.58705369999999901</v>
      </c>
      <c r="F2424" t="s">
        <v>44</v>
      </c>
      <c r="G2424">
        <v>-446.37779999999998</v>
      </c>
      <c r="H2424">
        <v>0.94972480000000004</v>
      </c>
      <c r="I2424">
        <v>213.78579999999999</v>
      </c>
      <c r="J2424">
        <v>-446.86009999999999</v>
      </c>
      <c r="K2424">
        <v>1.1109329999999999</v>
      </c>
      <c r="L2424">
        <v>213.97290000000001</v>
      </c>
      <c r="M2424">
        <v>0.99570999999999998</v>
      </c>
      <c r="N2424">
        <v>0</v>
      </c>
      <c r="O2424">
        <v>-9.1732179999999997E-2</v>
      </c>
      <c r="P2424">
        <v>0.97813099999999997</v>
      </c>
      <c r="Q2424">
        <v>0.1910403</v>
      </c>
      <c r="R2424">
        <v>-8.2240850000000004E-2</v>
      </c>
      <c r="S2424">
        <v>3.1266479999999999</v>
      </c>
      <c r="T2424">
        <v>-0.71773959999999903</v>
      </c>
      <c r="U2424">
        <v>-0.91561890000000001</v>
      </c>
      <c r="V2424">
        <v>-8.2796069999999996E-3</v>
      </c>
      <c r="W2424">
        <v>0.20289560000000001</v>
      </c>
      <c r="X2424">
        <v>0.97916539999999996</v>
      </c>
      <c r="Y2424">
        <v>0.18948139999999999</v>
      </c>
      <c r="Z2424">
        <v>-7.5431909999999997E-4</v>
      </c>
      <c r="AA2424">
        <v>0.98188399999999998</v>
      </c>
      <c r="AB2424">
        <v>23</v>
      </c>
      <c r="AC2424">
        <v>0.482300000000009</v>
      </c>
      <c r="AD2424">
        <v>-0.1612082</v>
      </c>
      <c r="AE2424">
        <v>-0.187100000000015</v>
      </c>
      <c r="AF2424">
        <v>0.12949072010235901</v>
      </c>
      <c r="AG2424">
        <v>-0.1612082</v>
      </c>
      <c r="AH2424">
        <v>0.45340150552257402</v>
      </c>
      <c r="AI2424">
        <v>108.874688871675</v>
      </c>
      <c r="AJ2424">
        <v>74.060745789825006</v>
      </c>
      <c r="AK2424">
        <v>0.49832605345296199</v>
      </c>
      <c r="AL2424">
        <v>78.293663200076693</v>
      </c>
      <c r="AM2424">
        <v>90.484468948112294</v>
      </c>
      <c r="AN2424">
        <v>1.00000002847429</v>
      </c>
    </row>
    <row r="2425" spans="1:40" x14ac:dyDescent="0.25">
      <c r="A2425" t="str">
        <f>"20190312172706230"</f>
        <v>20190312172706230</v>
      </c>
      <c r="B2425" t="str">
        <f>"1552382826221096"</f>
        <v>1552382826221096</v>
      </c>
      <c r="C2425" t="s">
        <v>40</v>
      </c>
      <c r="D2425">
        <v>3.3033480000000002</v>
      </c>
      <c r="E2425">
        <v>0.55826739999999997</v>
      </c>
      <c r="F2425" t="s">
        <v>44</v>
      </c>
      <c r="G2425">
        <v>-446.1687</v>
      </c>
      <c r="H2425">
        <v>0.95333540000000005</v>
      </c>
      <c r="I2425">
        <v>213.7731</v>
      </c>
      <c r="J2425">
        <v>-446.61419999999998</v>
      </c>
      <c r="K2425">
        <v>1.1109500000000001</v>
      </c>
      <c r="L2425">
        <v>213.95189999999999</v>
      </c>
      <c r="M2425">
        <v>0.99584329999999999</v>
      </c>
      <c r="N2425">
        <v>0</v>
      </c>
      <c r="O2425">
        <v>-9.0278830000000004E-2</v>
      </c>
      <c r="P2425">
        <v>0.97812750000000004</v>
      </c>
      <c r="Q2425">
        <v>0.1926377</v>
      </c>
      <c r="R2425">
        <v>-7.8468919999999998E-2</v>
      </c>
      <c r="S2425">
        <v>3.1304319999999999</v>
      </c>
      <c r="T2425">
        <v>-0.71356189999999997</v>
      </c>
      <c r="U2425">
        <v>-0.9043274</v>
      </c>
      <c r="V2425">
        <v>-1.061525E-2</v>
      </c>
      <c r="W2425">
        <v>0.20445099999999999</v>
      </c>
      <c r="X2425">
        <v>0.97881929999999995</v>
      </c>
      <c r="Y2425">
        <v>0.18737190000000001</v>
      </c>
      <c r="Z2425">
        <v>-8.3366780000000001E-4</v>
      </c>
      <c r="AA2425">
        <v>0.98228870000000001</v>
      </c>
      <c r="AB2425">
        <v>23</v>
      </c>
      <c r="AC2425">
        <v>0.44549999999998102</v>
      </c>
      <c r="AD2425">
        <v>-0.15761459999999999</v>
      </c>
      <c r="AE2425">
        <v>-0.17879999999999499</v>
      </c>
      <c r="AF2425">
        <v>0.124433197511257</v>
      </c>
      <c r="AG2425">
        <v>-0.15761459999999999</v>
      </c>
      <c r="AH2425">
        <v>0.41507658810917802</v>
      </c>
      <c r="AI2425">
        <v>109.987915998202</v>
      </c>
      <c r="AJ2425">
        <v>73.3121259666664</v>
      </c>
      <c r="AK2425">
        <v>0.46110146038848299</v>
      </c>
      <c r="AL2425">
        <v>78.202637694550006</v>
      </c>
      <c r="AM2425">
        <v>90.621345717973895</v>
      </c>
      <c r="AN2425">
        <v>1.00000005849302</v>
      </c>
    </row>
    <row r="2426" spans="1:40" x14ac:dyDescent="0.25">
      <c r="A2426" t="str">
        <f>"20190312172706251"</f>
        <v>20190312172706251</v>
      </c>
      <c r="B2426" t="str">
        <f>"1552382826241592"</f>
        <v>1552382826241592</v>
      </c>
      <c r="C2426" t="s">
        <v>40</v>
      </c>
      <c r="D2426">
        <v>3.317647</v>
      </c>
      <c r="E2426">
        <v>0.50251299999999999</v>
      </c>
      <c r="F2426" t="s">
        <v>44</v>
      </c>
      <c r="G2426">
        <v>-445.75450000000001</v>
      </c>
      <c r="H2426">
        <v>0.94947859999999995</v>
      </c>
      <c r="I2426">
        <v>213.76849999999999</v>
      </c>
      <c r="J2426">
        <v>-446.39400000000001</v>
      </c>
      <c r="K2426">
        <v>1.1109500000000001</v>
      </c>
      <c r="L2426">
        <v>213.93340000000001</v>
      </c>
      <c r="M2426">
        <v>0.99596209999999996</v>
      </c>
      <c r="N2426">
        <v>0</v>
      </c>
      <c r="O2426">
        <v>-8.8961979999999996E-2</v>
      </c>
      <c r="P2426">
        <v>0.9782516</v>
      </c>
      <c r="Q2426">
        <v>0.1935105</v>
      </c>
      <c r="R2426">
        <v>-7.4682789999999999E-2</v>
      </c>
      <c r="S2426">
        <v>3.1293639999999998</v>
      </c>
      <c r="T2426">
        <v>-0.58791210000000005</v>
      </c>
      <c r="U2426">
        <v>-0.66683959999999998</v>
      </c>
      <c r="V2426">
        <v>-1.310151E-2</v>
      </c>
      <c r="W2426">
        <v>0.20529120000000001</v>
      </c>
      <c r="X2426">
        <v>0.97861330000000002</v>
      </c>
      <c r="Y2426">
        <v>0.1200498</v>
      </c>
      <c r="Z2426">
        <v>5.2777950000000001E-3</v>
      </c>
      <c r="AA2426">
        <v>0.99275389999999997</v>
      </c>
      <c r="AB2426">
        <v>23</v>
      </c>
      <c r="AC2426">
        <v>0.63949999999999796</v>
      </c>
      <c r="AD2426">
        <v>-0.16147139999999999</v>
      </c>
      <c r="AE2426">
        <v>-0.16490000000001701</v>
      </c>
      <c r="AF2426">
        <v>0.101295363752746</v>
      </c>
      <c r="AG2426">
        <v>-0.16147139999999999</v>
      </c>
      <c r="AH2426">
        <v>0.61487776922478299</v>
      </c>
      <c r="AI2426">
        <v>104.526695613114</v>
      </c>
      <c r="AJ2426">
        <v>80.645081299615796</v>
      </c>
      <c r="AK2426">
        <v>0.643745628973592</v>
      </c>
      <c r="AL2426">
        <v>78.153454558343697</v>
      </c>
      <c r="AM2426">
        <v>90.767020420688695</v>
      </c>
      <c r="AN2426">
        <v>1.0000000586493001</v>
      </c>
    </row>
    <row r="2427" spans="1:40" x14ac:dyDescent="0.25">
      <c r="A2427" t="str">
        <f>"20190312172706273"</f>
        <v>20190312172706273</v>
      </c>
      <c r="B2427" t="str">
        <f>"1552382826270873"</f>
        <v>1552382826270873</v>
      </c>
      <c r="C2427" t="s">
        <v>40</v>
      </c>
      <c r="D2427">
        <v>3.0797129999999999</v>
      </c>
      <c r="E2427">
        <v>0.48552250000000002</v>
      </c>
      <c r="F2427" t="s">
        <v>44</v>
      </c>
      <c r="G2427">
        <v>-445.49430000000001</v>
      </c>
      <c r="H2427">
        <v>1.0311589999999999</v>
      </c>
      <c r="I2427">
        <v>213.86920000000001</v>
      </c>
      <c r="J2427">
        <v>-446.15600000000001</v>
      </c>
      <c r="K2427">
        <v>1.1109340000000001</v>
      </c>
      <c r="L2427">
        <v>213.91380000000001</v>
      </c>
      <c r="M2427">
        <v>0.99608830000000004</v>
      </c>
      <c r="N2427">
        <v>0</v>
      </c>
      <c r="O2427">
        <v>-8.7542499999999995E-2</v>
      </c>
      <c r="P2427">
        <v>0.97844359999999997</v>
      </c>
      <c r="Q2427">
        <v>0.19401959999999999</v>
      </c>
      <c r="R2427">
        <v>-7.0747480000000001E-2</v>
      </c>
      <c r="S2427">
        <v>3.1043400000000001</v>
      </c>
      <c r="T2427">
        <v>-0.27553280000000002</v>
      </c>
      <c r="U2427">
        <v>-0.22029109999999999</v>
      </c>
      <c r="V2427">
        <v>-1.5636509999999999E-2</v>
      </c>
      <c r="W2427">
        <v>0.20576620000000001</v>
      </c>
      <c r="X2427">
        <v>0.97847620000000002</v>
      </c>
      <c r="Y2427">
        <v>-1.641134E-2</v>
      </c>
      <c r="Z2427">
        <v>8.4581989999999996E-3</v>
      </c>
      <c r="AA2427">
        <v>0.99982950000000004</v>
      </c>
      <c r="AB2427">
        <v>23</v>
      </c>
      <c r="AC2427">
        <v>0.66169999999999596</v>
      </c>
      <c r="AD2427">
        <v>-7.9775000000000096E-2</v>
      </c>
      <c r="AE2427">
        <v>-4.4600000000002603E-2</v>
      </c>
      <c r="AF2427">
        <v>-1.33097286696519E-2</v>
      </c>
      <c r="AG2427">
        <v>-7.9775000000000096E-2</v>
      </c>
      <c r="AH2427">
        <v>0.65360677190343497</v>
      </c>
      <c r="AI2427">
        <v>96.957304055733999</v>
      </c>
      <c r="AJ2427">
        <v>91.166582002614305</v>
      </c>
      <c r="AK2427">
        <v>0.65859168821075198</v>
      </c>
      <c r="AL2427">
        <v>78.125644080503903</v>
      </c>
      <c r="AM2427">
        <v>90.9155355816183</v>
      </c>
      <c r="AN2427">
        <v>0.99999995173692802</v>
      </c>
    </row>
    <row r="2428" spans="1:40" x14ac:dyDescent="0.25">
      <c r="A2428" t="str">
        <f>"20190312172706299"</f>
        <v>20190312172706299</v>
      </c>
      <c r="B2428" t="str">
        <f>"1552382826291369"</f>
        <v>1552382826291369</v>
      </c>
      <c r="C2428" t="s">
        <v>40</v>
      </c>
      <c r="D2428">
        <v>3.1693479999999998</v>
      </c>
      <c r="E2428">
        <v>0.48121039999999998</v>
      </c>
      <c r="F2428" t="s">
        <v>49</v>
      </c>
      <c r="G2428">
        <v>-426.98399999999998</v>
      </c>
      <c r="H2428" s="1">
        <v>2.8276420000000001E-6</v>
      </c>
      <c r="I2428">
        <v>213.45089999999999</v>
      </c>
      <c r="J2428">
        <v>-445.89749999999998</v>
      </c>
      <c r="K2428">
        <v>1.110908</v>
      </c>
      <c r="L2428">
        <v>213.8929</v>
      </c>
      <c r="M2428">
        <v>0.99622149999999998</v>
      </c>
      <c r="N2428">
        <v>0</v>
      </c>
      <c r="O2428">
        <v>-8.6018520000000001E-2</v>
      </c>
      <c r="P2428">
        <v>0.97860829999999999</v>
      </c>
      <c r="Q2428">
        <v>0.19444030000000001</v>
      </c>
      <c r="R2428">
        <v>-6.7226759999999997E-2</v>
      </c>
      <c r="S2428">
        <v>3.096222</v>
      </c>
      <c r="T2428">
        <v>-0.17941209999999999</v>
      </c>
      <c r="U2428">
        <v>-7.4768070000000006E-2</v>
      </c>
      <c r="V2428">
        <v>-1.7649229999999998E-2</v>
      </c>
      <c r="W2428">
        <v>0.20614979999999999</v>
      </c>
      <c r="X2428">
        <v>0.97836120000000004</v>
      </c>
      <c r="Y2428">
        <v>-6.1700720000000001E-2</v>
      </c>
      <c r="Z2428">
        <v>6.7598060000000001E-3</v>
      </c>
      <c r="AA2428">
        <v>0.99807179999999995</v>
      </c>
      <c r="AB2428">
        <v>23</v>
      </c>
      <c r="AC2428">
        <v>18.9134999999999</v>
      </c>
      <c r="AD2428">
        <v>-1.1109051723579999</v>
      </c>
      <c r="AE2428">
        <v>-0.442000000000007</v>
      </c>
      <c r="AF2428">
        <v>-1.18258892244237</v>
      </c>
      <c r="AG2428">
        <v>-1.1109051723579999</v>
      </c>
      <c r="AH2428">
        <v>18.816530404309301</v>
      </c>
      <c r="AI2428">
        <v>93.372113626436104</v>
      </c>
      <c r="AJ2428">
        <v>93.596218401939097</v>
      </c>
      <c r="AK2428">
        <v>18.886356009504699</v>
      </c>
      <c r="AL2428">
        <v>78.103183706660303</v>
      </c>
      <c r="AM2428">
        <v>91.033479985447201</v>
      </c>
      <c r="AN2428">
        <v>0.99999993651253405</v>
      </c>
    </row>
    <row r="2429" spans="1:40" x14ac:dyDescent="0.25">
      <c r="A2429" t="str">
        <f>"20190312172706341"</f>
        <v>20190312172706341</v>
      </c>
      <c r="B2429" t="str">
        <f>"1552382826331385"</f>
        <v>1552382826331385</v>
      </c>
      <c r="C2429" t="s">
        <v>40</v>
      </c>
      <c r="D2429">
        <v>3.0808010000000001</v>
      </c>
      <c r="E2429">
        <v>0.4775954</v>
      </c>
      <c r="F2429" t="s">
        <v>49</v>
      </c>
      <c r="G2429">
        <v>-423.6748</v>
      </c>
      <c r="H2429" s="1">
        <v>3.3943350000000002E-6</v>
      </c>
      <c r="I2429">
        <v>213.6832</v>
      </c>
      <c r="J2429">
        <v>-445.4674</v>
      </c>
      <c r="K2429">
        <v>1.11087</v>
      </c>
      <c r="L2429">
        <v>213.85900000000001</v>
      </c>
      <c r="M2429">
        <v>0.99643349999999997</v>
      </c>
      <c r="N2429">
        <v>0</v>
      </c>
      <c r="O2429">
        <v>-8.3534739999999996E-2</v>
      </c>
      <c r="P2429">
        <v>0.9791261</v>
      </c>
      <c r="Q2429">
        <v>0.1939833</v>
      </c>
      <c r="R2429">
        <v>-6.0687400000000002E-2</v>
      </c>
      <c r="S2429">
        <v>3.0942690000000002</v>
      </c>
      <c r="T2429">
        <v>-0.1546814</v>
      </c>
      <c r="U2429">
        <v>-2.920532E-2</v>
      </c>
      <c r="V2429">
        <v>-2.1748900000000002E-2</v>
      </c>
      <c r="W2429">
        <v>0.20563600000000001</v>
      </c>
      <c r="X2429">
        <v>0.9783868</v>
      </c>
      <c r="Y2429">
        <v>-7.3935459999999995E-2</v>
      </c>
      <c r="Z2429">
        <v>6.0162159999999996E-3</v>
      </c>
      <c r="AA2429">
        <v>0.99724489999999999</v>
      </c>
      <c r="AB2429">
        <v>23</v>
      </c>
      <c r="AC2429">
        <v>21.7926</v>
      </c>
      <c r="AD2429">
        <v>-1.1108666056649901</v>
      </c>
      <c r="AE2429">
        <v>-0.175800000000009</v>
      </c>
      <c r="AF2429">
        <v>-1.6411191751465599</v>
      </c>
      <c r="AG2429">
        <v>-1.1108666056649901</v>
      </c>
      <c r="AH2429">
        <v>21.674791455597301</v>
      </c>
      <c r="AI2429">
        <v>92.925570963138</v>
      </c>
      <c r="AJ2429">
        <v>94.329920918800795</v>
      </c>
      <c r="AK2429">
        <v>21.765198859790999</v>
      </c>
      <c r="AL2429">
        <v>78.133267045359503</v>
      </c>
      <c r="AM2429">
        <v>91.273438057079701</v>
      </c>
      <c r="AN2429">
        <v>0.99999995478072301</v>
      </c>
    </row>
    <row r="2430" spans="1:40" x14ac:dyDescent="0.25">
      <c r="A2430" t="str">
        <f>"20190312172706363"</f>
        <v>20190312172706363</v>
      </c>
      <c r="B2430" t="str">
        <f>"1552382826351881"</f>
        <v>1552382826351881</v>
      </c>
      <c r="C2430" t="s">
        <v>40</v>
      </c>
      <c r="D2430">
        <v>3.2860879999999999</v>
      </c>
      <c r="E2430">
        <v>0.47685379999999999</v>
      </c>
      <c r="F2430" t="s">
        <v>49</v>
      </c>
      <c r="G2430">
        <v>-420.0566</v>
      </c>
      <c r="H2430" s="1">
        <v>4.0056560000000001E-6</v>
      </c>
      <c r="I2430">
        <v>214.0318</v>
      </c>
      <c r="J2430">
        <v>-445.23129999999998</v>
      </c>
      <c r="K2430">
        <v>1.110854</v>
      </c>
      <c r="L2430">
        <v>213.8407</v>
      </c>
      <c r="M2430">
        <v>0.99654540000000003</v>
      </c>
      <c r="N2430">
        <v>0</v>
      </c>
      <c r="O2430">
        <v>-8.2192619999999994E-2</v>
      </c>
      <c r="P2430">
        <v>0.97922750000000003</v>
      </c>
      <c r="Q2430">
        <v>0.19424920000000001</v>
      </c>
      <c r="R2430">
        <v>-5.8147009999999999E-2</v>
      </c>
      <c r="S2430">
        <v>3.092041</v>
      </c>
      <c r="T2430">
        <v>-0.13517299999999999</v>
      </c>
      <c r="U2430">
        <v>2.1026610000000001E-2</v>
      </c>
      <c r="V2430">
        <v>-2.2962099999999999E-2</v>
      </c>
      <c r="W2430">
        <v>0.20587069999999999</v>
      </c>
      <c r="X2430">
        <v>0.97830980000000001</v>
      </c>
      <c r="Y2430">
        <v>-8.8810420000000001E-2</v>
      </c>
      <c r="Z2430">
        <v>5.52916E-3</v>
      </c>
      <c r="AA2430">
        <v>0.99603319999999995</v>
      </c>
      <c r="AB2430">
        <v>23</v>
      </c>
      <c r="AC2430">
        <v>25.174699999999898</v>
      </c>
      <c r="AD2430">
        <v>-1.110849994344</v>
      </c>
      <c r="AE2430">
        <v>0.19110000000000499</v>
      </c>
      <c r="AF2430">
        <v>-2.2553832755951202</v>
      </c>
      <c r="AG2430">
        <v>-1.110849994344</v>
      </c>
      <c r="AH2430">
        <v>25.025077403920999</v>
      </c>
      <c r="AI2430">
        <v>92.531414451221593</v>
      </c>
      <c r="AJ2430">
        <v>95.149864759430997</v>
      </c>
      <c r="AK2430">
        <v>25.1510484970708</v>
      </c>
      <c r="AL2430">
        <v>78.119526668569804</v>
      </c>
      <c r="AM2430">
        <v>91.344553541340701</v>
      </c>
      <c r="AN2430">
        <v>1.00000003396546</v>
      </c>
    </row>
    <row r="2431" spans="1:40" x14ac:dyDescent="0.25">
      <c r="A2431" t="str">
        <f>"20190312172706386"</f>
        <v>20190312172706386</v>
      </c>
      <c r="B2431" t="str">
        <f>"1552382826381161"</f>
        <v>1552382826381161</v>
      </c>
      <c r="C2431" t="s">
        <v>40</v>
      </c>
      <c r="D2431">
        <v>3.116047</v>
      </c>
      <c r="E2431">
        <v>0.47630840000000002</v>
      </c>
      <c r="F2431" t="s">
        <v>49</v>
      </c>
      <c r="G2431">
        <v>-419.08850000000001</v>
      </c>
      <c r="H2431" s="1">
        <v>3.8591010000000003E-6</v>
      </c>
      <c r="I2431">
        <v>214.14500000000001</v>
      </c>
      <c r="J2431">
        <v>-444.99720000000002</v>
      </c>
      <c r="K2431">
        <v>1.1108389999999999</v>
      </c>
      <c r="L2431">
        <v>213.82300000000001</v>
      </c>
      <c r="M2431">
        <v>0.99665389999999998</v>
      </c>
      <c r="N2431">
        <v>0</v>
      </c>
      <c r="O2431">
        <v>-8.0870839999999999E-2</v>
      </c>
      <c r="P2431">
        <v>0.97927109999999995</v>
      </c>
      <c r="Q2431">
        <v>0.1945895</v>
      </c>
      <c r="R2431">
        <v>-5.6242960000000002E-2</v>
      </c>
      <c r="S2431">
        <v>3.0917970000000001</v>
      </c>
      <c r="T2431">
        <v>-0.13137560000000001</v>
      </c>
      <c r="U2431">
        <v>3.598022E-2</v>
      </c>
      <c r="V2431">
        <v>-2.3558590000000001E-2</v>
      </c>
      <c r="W2431">
        <v>0.20617820000000001</v>
      </c>
      <c r="X2431">
        <v>0.97823079999999996</v>
      </c>
      <c r="Y2431">
        <v>-9.2313309999999996E-2</v>
      </c>
      <c r="Z2431">
        <v>5.3928190000000001E-3</v>
      </c>
      <c r="AA2431">
        <v>0.99571540000000003</v>
      </c>
      <c r="AB2431">
        <v>23</v>
      </c>
      <c r="AC2431">
        <v>25.9087</v>
      </c>
      <c r="AD2431">
        <v>-1.11083514089899</v>
      </c>
      <c r="AE2431">
        <v>0.32200000000003098</v>
      </c>
      <c r="AF2431">
        <v>-2.4119180807607101</v>
      </c>
      <c r="AG2431">
        <v>-1.11083514089899</v>
      </c>
      <c r="AH2431">
        <v>25.750455311691901</v>
      </c>
      <c r="AI2431">
        <v>92.459369219725403</v>
      </c>
      <c r="AJ2431">
        <v>95.351001008878896</v>
      </c>
      <c r="AK2431">
        <v>25.887009334760901</v>
      </c>
      <c r="AL2431">
        <v>78.101521279724906</v>
      </c>
      <c r="AM2431">
        <v>91.379579250078294</v>
      </c>
      <c r="AN2431">
        <v>0.99999997769333304</v>
      </c>
    </row>
    <row r="2432" spans="1:40" x14ac:dyDescent="0.25">
      <c r="A2432" t="str">
        <f>"20190312172706409"</f>
        <v>20190312172706409</v>
      </c>
      <c r="B2432" t="str">
        <f>"1552382826401657"</f>
        <v>1552382826401657</v>
      </c>
      <c r="C2432" t="s">
        <v>40</v>
      </c>
      <c r="D2432">
        <v>3.2781880000000001</v>
      </c>
      <c r="E2432">
        <v>0.4761919</v>
      </c>
      <c r="F2432" t="s">
        <v>49</v>
      </c>
      <c r="G2432">
        <v>-417.81450000000001</v>
      </c>
      <c r="H2432" s="1">
        <v>3.6250119999999999E-6</v>
      </c>
      <c r="I2432">
        <v>214.23759999999999</v>
      </c>
      <c r="J2432">
        <v>-444.76220000000001</v>
      </c>
      <c r="K2432">
        <v>1.1108309999999999</v>
      </c>
      <c r="L2432">
        <v>213.80549999999999</v>
      </c>
      <c r="M2432">
        <v>0.99676070000000005</v>
      </c>
      <c r="N2432">
        <v>0</v>
      </c>
      <c r="O2432">
        <v>-7.9546889999999995E-2</v>
      </c>
      <c r="P2432">
        <v>0.9794332</v>
      </c>
      <c r="Q2432">
        <v>0.19437270000000001</v>
      </c>
      <c r="R2432">
        <v>-5.4129110000000001E-2</v>
      </c>
      <c r="S2432">
        <v>3.0913390000000001</v>
      </c>
      <c r="T2432">
        <v>-0.12632889999999999</v>
      </c>
      <c r="U2432">
        <v>4.7149660000000003E-2</v>
      </c>
      <c r="V2432">
        <v>-2.437199E-2</v>
      </c>
      <c r="W2432">
        <v>0.2059291</v>
      </c>
      <c r="X2432">
        <v>0.97826340000000001</v>
      </c>
      <c r="Y2432">
        <v>-9.4600039999999996E-2</v>
      </c>
      <c r="Z2432">
        <v>5.1793339999999998E-3</v>
      </c>
      <c r="AA2432">
        <v>0.99550190000000005</v>
      </c>
      <c r="AB2432">
        <v>23</v>
      </c>
      <c r="AC2432">
        <v>26.947700000000001</v>
      </c>
      <c r="AD2432">
        <v>-1.110827374988</v>
      </c>
      <c r="AE2432">
        <v>0.43209999999999099</v>
      </c>
      <c r="AF2432">
        <v>-2.57012068126043</v>
      </c>
      <c r="AG2432">
        <v>-1.110827374988</v>
      </c>
      <c r="AH2432">
        <v>26.782421937431</v>
      </c>
      <c r="AI2432">
        <v>92.364189293379795</v>
      </c>
      <c r="AJ2432">
        <v>95.481487997151703</v>
      </c>
      <c r="AK2432">
        <v>26.9283787593656</v>
      </c>
      <c r="AL2432">
        <v>78.116107329011101</v>
      </c>
      <c r="AM2432">
        <v>91.427144634839493</v>
      </c>
      <c r="AN2432">
        <v>1.0000000339514601</v>
      </c>
    </row>
    <row r="2433" spans="1:40" x14ac:dyDescent="0.25">
      <c r="A2433" t="str">
        <f>"20190312172706430"</f>
        <v>20190312172706430</v>
      </c>
      <c r="B2433" t="str">
        <f>"1552382826421177"</f>
        <v>1552382826421177</v>
      </c>
      <c r="C2433" t="s">
        <v>40</v>
      </c>
      <c r="D2433">
        <v>3.1338919999999999</v>
      </c>
      <c r="E2433">
        <v>0.47620580000000001</v>
      </c>
      <c r="F2433" t="s">
        <v>49</v>
      </c>
      <c r="G2433">
        <v>-417.30709999999999</v>
      </c>
      <c r="H2433" s="1">
        <v>3.529729E-6</v>
      </c>
      <c r="I2433">
        <v>214.298</v>
      </c>
      <c r="J2433">
        <v>-444.53379999999999</v>
      </c>
      <c r="K2433">
        <v>1.110822</v>
      </c>
      <c r="L2433">
        <v>213.78880000000001</v>
      </c>
      <c r="M2433">
        <v>0.99686319999999995</v>
      </c>
      <c r="N2433">
        <v>0</v>
      </c>
      <c r="O2433">
        <v>-7.8258309999999998E-2</v>
      </c>
      <c r="P2433">
        <v>0.97953520000000005</v>
      </c>
      <c r="Q2433">
        <v>0.1944111</v>
      </c>
      <c r="R2433">
        <v>-5.2107510000000003E-2</v>
      </c>
      <c r="S2433">
        <v>3.0909119999999999</v>
      </c>
      <c r="T2433">
        <v>-0.12505730000000001</v>
      </c>
      <c r="U2433">
        <v>5.5450439999999997E-2</v>
      </c>
      <c r="V2433">
        <v>-2.5125310000000001E-2</v>
      </c>
      <c r="W2433">
        <v>0.2059328</v>
      </c>
      <c r="X2433">
        <v>0.97824350000000004</v>
      </c>
      <c r="Y2433">
        <v>-9.5990640000000002E-2</v>
      </c>
      <c r="Z2433">
        <v>5.1040290000000004E-3</v>
      </c>
      <c r="AA2433">
        <v>0.99536910000000001</v>
      </c>
      <c r="AB2433">
        <v>23</v>
      </c>
      <c r="AC2433">
        <v>27.226699999999902</v>
      </c>
      <c r="AD2433">
        <v>-1.110818470271</v>
      </c>
      <c r="AE2433">
        <v>0.50919999999999199</v>
      </c>
      <c r="AF2433">
        <v>-2.63411909383656</v>
      </c>
      <c r="AG2433">
        <v>-1.110818470271</v>
      </c>
      <c r="AH2433">
        <v>27.0583111951441</v>
      </c>
      <c r="AI2433">
        <v>92.3397815864151</v>
      </c>
      <c r="AJ2433">
        <v>95.560207784402493</v>
      </c>
      <c r="AK2433">
        <v>27.208908574356101</v>
      </c>
      <c r="AL2433">
        <v>78.115889948036894</v>
      </c>
      <c r="AM2433">
        <v>91.471267427408705</v>
      </c>
      <c r="AN2433">
        <v>0.99999997230534199</v>
      </c>
    </row>
    <row r="2434" spans="1:40" x14ac:dyDescent="0.25">
      <c r="A2434" t="str">
        <f>"20190312172706452"</f>
        <v>20190312172706452</v>
      </c>
      <c r="B2434" t="str">
        <f>"1552382826441672"</f>
        <v>1552382826441672</v>
      </c>
      <c r="C2434" t="s">
        <v>40</v>
      </c>
      <c r="D2434">
        <v>3.1481810000000001</v>
      </c>
      <c r="E2434">
        <v>0.47622370000000003</v>
      </c>
      <c r="F2434" t="s">
        <v>49</v>
      </c>
      <c r="G2434">
        <v>-416.88619999999997</v>
      </c>
      <c r="H2434" s="1">
        <v>3.4512219999999999E-6</v>
      </c>
      <c r="I2434">
        <v>214.34219999999999</v>
      </c>
      <c r="J2434">
        <v>-444.30849999999998</v>
      </c>
      <c r="K2434">
        <v>1.1108129999999901</v>
      </c>
      <c r="L2434">
        <v>213.77260000000001</v>
      </c>
      <c r="M2434">
        <v>0.99696260000000003</v>
      </c>
      <c r="N2434">
        <v>0</v>
      </c>
      <c r="O2434">
        <v>-7.6986760000000001E-2</v>
      </c>
      <c r="P2434">
        <v>0.97962870000000002</v>
      </c>
      <c r="Q2434">
        <v>0.1943551</v>
      </c>
      <c r="R2434">
        <v>-5.0537020000000002E-2</v>
      </c>
      <c r="S2434">
        <v>3.0906069999999999</v>
      </c>
      <c r="T2434">
        <v>-0.12417400000000001</v>
      </c>
      <c r="U2434">
        <v>6.1859129999999998E-2</v>
      </c>
      <c r="V2434">
        <v>-2.544532E-2</v>
      </c>
      <c r="W2434">
        <v>0.20584459999999999</v>
      </c>
      <c r="X2434">
        <v>0.97825379999999995</v>
      </c>
      <c r="Y2434">
        <v>-9.6788369999999999E-2</v>
      </c>
      <c r="Z2434">
        <v>5.0335149999999997E-3</v>
      </c>
      <c r="AA2434">
        <v>0.99529219999999896</v>
      </c>
      <c r="AB2434">
        <v>23</v>
      </c>
      <c r="AC2434">
        <v>27.4223</v>
      </c>
      <c r="AD2434">
        <v>-1.1108095487780001</v>
      </c>
      <c r="AE2434">
        <v>0.56959999999997901</v>
      </c>
      <c r="AF2434">
        <v>-2.67482250309765</v>
      </c>
      <c r="AG2434">
        <v>-1.1108095487780001</v>
      </c>
      <c r="AH2434">
        <v>27.252349777769702</v>
      </c>
      <c r="AI2434">
        <v>92.322942020121303</v>
      </c>
      <c r="AJ2434">
        <v>95.6056354182776</v>
      </c>
      <c r="AK2434">
        <v>27.405823134630399</v>
      </c>
      <c r="AL2434">
        <v>78.121054173219605</v>
      </c>
      <c r="AM2434">
        <v>91.489982236880493</v>
      </c>
      <c r="AN2434">
        <v>0.99999998043675098</v>
      </c>
    </row>
    <row r="2435" spans="1:40" x14ac:dyDescent="0.25">
      <c r="A2435" t="str">
        <f>"20190312172706474"</f>
        <v>20190312172706474</v>
      </c>
      <c r="B2435" t="str">
        <f>"1552382826470953"</f>
        <v>1552382826470953</v>
      </c>
      <c r="C2435" t="s">
        <v>40</v>
      </c>
      <c r="D2435">
        <v>3.1230039999999999</v>
      </c>
      <c r="E2435">
        <v>0.47619919999999999</v>
      </c>
      <c r="F2435" t="s">
        <v>49</v>
      </c>
      <c r="G2435">
        <v>-416.58600000000001</v>
      </c>
      <c r="H2435" s="1">
        <v>3.3948340000000002E-6</v>
      </c>
      <c r="I2435">
        <v>214.37809999999999</v>
      </c>
      <c r="J2435">
        <v>-444.07229999999998</v>
      </c>
      <c r="K2435">
        <v>1.1108009999999999</v>
      </c>
      <c r="L2435">
        <v>213.756</v>
      </c>
      <c r="M2435">
        <v>0.99706519999999998</v>
      </c>
      <c r="N2435">
        <v>0</v>
      </c>
      <c r="O2435">
        <v>-7.5650229999999999E-2</v>
      </c>
      <c r="P2435">
        <v>0.97968330000000003</v>
      </c>
      <c r="Q2435">
        <v>0.19441739999999999</v>
      </c>
      <c r="R2435">
        <v>-4.9220670000000001E-2</v>
      </c>
      <c r="S2435">
        <v>3.0904539999999998</v>
      </c>
      <c r="T2435">
        <v>-0.12383130000000001</v>
      </c>
      <c r="U2435">
        <v>6.748962E-2</v>
      </c>
      <c r="V2435">
        <v>-2.5447020000000001E-2</v>
      </c>
      <c r="W2435">
        <v>0.20587539999999999</v>
      </c>
      <c r="X2435">
        <v>0.97824730000000004</v>
      </c>
      <c r="Y2435">
        <v>-9.7269069999999999E-2</v>
      </c>
      <c r="Z2435">
        <v>4.9760309999999997E-3</v>
      </c>
      <c r="AA2435">
        <v>0.99524570000000001</v>
      </c>
      <c r="AB2435">
        <v>23</v>
      </c>
      <c r="AC2435">
        <v>27.4862999999999</v>
      </c>
      <c r="AD2435">
        <v>-1.110797605166</v>
      </c>
      <c r="AE2435">
        <v>0.62210000000001697</v>
      </c>
      <c r="AF2435">
        <v>-2.6954056491023799</v>
      </c>
      <c r="AG2435">
        <v>-1.110797605166</v>
      </c>
      <c r="AH2435">
        <v>27.3158703151697</v>
      </c>
      <c r="AI2435">
        <v>92.317402716092801</v>
      </c>
      <c r="AJ2435">
        <v>95.635443293636499</v>
      </c>
      <c r="AK2435">
        <v>27.471000236759199</v>
      </c>
      <c r="AL2435">
        <v>78.119251141133901</v>
      </c>
      <c r="AM2435">
        <v>91.490091634047602</v>
      </c>
      <c r="AN2435">
        <v>1.0000000055546601</v>
      </c>
    </row>
    <row r="2436" spans="1:40" x14ac:dyDescent="0.25">
      <c r="A2436" t="str">
        <f>"20190312172706500"</f>
        <v>20190312172706500</v>
      </c>
      <c r="B2436" t="str">
        <f>"1552382826491448"</f>
        <v>1552382826491448</v>
      </c>
      <c r="C2436" t="s">
        <v>40</v>
      </c>
      <c r="D2436">
        <v>3.1489720000000001</v>
      </c>
      <c r="E2436">
        <v>0.47632839999999999</v>
      </c>
      <c r="F2436" t="s">
        <v>49</v>
      </c>
      <c r="G2436">
        <v>-416.63490000000002</v>
      </c>
      <c r="H2436" s="1">
        <v>3.401394E-6</v>
      </c>
      <c r="I2436">
        <v>214.40209999999999</v>
      </c>
      <c r="J2436">
        <v>-443.81490000000002</v>
      </c>
      <c r="K2436">
        <v>1.110797</v>
      </c>
      <c r="L2436">
        <v>213.7381</v>
      </c>
      <c r="M2436">
        <v>0.99717520000000004</v>
      </c>
      <c r="N2436">
        <v>0</v>
      </c>
      <c r="O2436">
        <v>-7.4192179999999996E-2</v>
      </c>
      <c r="P2436">
        <v>0.97983010000000004</v>
      </c>
      <c r="Q2436">
        <v>0.1941301</v>
      </c>
      <c r="R2436">
        <v>-4.7396500000000001E-2</v>
      </c>
      <c r="S2436">
        <v>3.0907290000000001</v>
      </c>
      <c r="T2436">
        <v>-0.12512719999999999</v>
      </c>
      <c r="U2436">
        <v>7.2784420000000002E-2</v>
      </c>
      <c r="V2436">
        <v>-2.5842049999999998E-2</v>
      </c>
      <c r="W2436">
        <v>0.2055506</v>
      </c>
      <c r="X2436">
        <v>0.97830519999999999</v>
      </c>
      <c r="Y2436">
        <v>-9.7514000000000003E-2</v>
      </c>
      <c r="Z2436">
        <v>4.9736219999999996E-3</v>
      </c>
      <c r="AA2436">
        <v>0.99522169999999999</v>
      </c>
      <c r="AB2436">
        <v>23</v>
      </c>
      <c r="AC2436">
        <v>27.18</v>
      </c>
      <c r="AD2436">
        <v>-1.110793598606</v>
      </c>
      <c r="AE2436">
        <v>0.66399999999998705</v>
      </c>
      <c r="AF2436">
        <v>-2.6743873906540698</v>
      </c>
      <c r="AG2436">
        <v>-1.110793598606</v>
      </c>
      <c r="AH2436">
        <v>27.010727280451398</v>
      </c>
      <c r="AI2436">
        <v>92.343468057646803</v>
      </c>
      <c r="AJ2436">
        <v>95.654542568756995</v>
      </c>
      <c r="AK2436">
        <v>27.165522239649999</v>
      </c>
      <c r="AL2436">
        <v>78.138267008003993</v>
      </c>
      <c r="AM2436">
        <v>91.513123068897997</v>
      </c>
      <c r="AN2436">
        <v>0.99999996252779999</v>
      </c>
    </row>
    <row r="2437" spans="1:40" x14ac:dyDescent="0.25">
      <c r="A2437" t="str">
        <f>"20190312172706541"</f>
        <v>20190312172706541</v>
      </c>
      <c r="B2437" t="str">
        <f>"1552382826531465"</f>
        <v>1552382826531465</v>
      </c>
      <c r="C2437" t="s">
        <v>40</v>
      </c>
      <c r="D2437">
        <v>3.1805300000000001</v>
      </c>
      <c r="E2437">
        <v>0.47676420000000003</v>
      </c>
      <c r="F2437" t="s">
        <v>49</v>
      </c>
      <c r="G2437">
        <v>-416.512</v>
      </c>
      <c r="H2437" s="1">
        <v>3.377591E-6</v>
      </c>
      <c r="I2437">
        <v>214.42500000000001</v>
      </c>
      <c r="J2437">
        <v>-443.3811</v>
      </c>
      <c r="K2437">
        <v>1.110776</v>
      </c>
      <c r="L2437">
        <v>213.709</v>
      </c>
      <c r="M2437">
        <v>0.99735580000000001</v>
      </c>
      <c r="N2437">
        <v>0</v>
      </c>
      <c r="O2437">
        <v>-7.1736369999999994E-2</v>
      </c>
      <c r="P2437">
        <v>0.98009840000000004</v>
      </c>
      <c r="Q2437">
        <v>0.19337380000000001</v>
      </c>
      <c r="R2437">
        <v>-4.4874459999999998E-2</v>
      </c>
      <c r="S2437">
        <v>3.0904539999999998</v>
      </c>
      <c r="T2437">
        <v>-0.12573190000000001</v>
      </c>
      <c r="U2437">
        <v>7.7743530000000005E-2</v>
      </c>
      <c r="V2437">
        <v>-2.595952E-2</v>
      </c>
      <c r="W2437">
        <v>0.20472599999999999</v>
      </c>
      <c r="X2437">
        <v>0.97847499999999998</v>
      </c>
      <c r="Y2437">
        <v>-9.6662590000000007E-2</v>
      </c>
      <c r="Z2437">
        <v>4.8810109999999898E-3</v>
      </c>
      <c r="AA2437">
        <v>0.9953052</v>
      </c>
      <c r="AB2437">
        <v>23</v>
      </c>
      <c r="AC2437">
        <v>26.8691</v>
      </c>
      <c r="AD2437">
        <v>-1.110772622409</v>
      </c>
      <c r="AE2437">
        <v>0.71600000000000796</v>
      </c>
      <c r="AF2437">
        <v>-2.6372732532818799</v>
      </c>
      <c r="AG2437">
        <v>-1.110772622409</v>
      </c>
      <c r="AH2437">
        <v>26.7028960210558</v>
      </c>
      <c r="AI2437">
        <v>92.370465842876001</v>
      </c>
      <c r="AJ2437">
        <v>95.640443587331404</v>
      </c>
      <c r="AK2437">
        <v>26.855794196830001</v>
      </c>
      <c r="AL2437">
        <v>78.186539921006599</v>
      </c>
      <c r="AM2437">
        <v>91.519734391216105</v>
      </c>
      <c r="AN2437">
        <v>0.99999997868981405</v>
      </c>
    </row>
    <row r="2438" spans="1:40" x14ac:dyDescent="0.25">
      <c r="A2438" t="str">
        <f>"20190312172706565"</f>
        <v>20190312172706565</v>
      </c>
      <c r="B2438" t="str">
        <f>"1552382826561720"</f>
        <v>1552382826561720</v>
      </c>
      <c r="C2438" t="s">
        <v>40</v>
      </c>
      <c r="D2438">
        <v>3.2765300000000002</v>
      </c>
      <c r="E2438">
        <v>0.4769815</v>
      </c>
      <c r="F2438" t="s">
        <v>49</v>
      </c>
      <c r="G2438">
        <v>-416.77719999999999</v>
      </c>
      <c r="H2438" s="1">
        <v>3.424944E-6</v>
      </c>
      <c r="I2438">
        <v>214.42150000000001</v>
      </c>
      <c r="J2438">
        <v>-443.13619999999997</v>
      </c>
      <c r="K2438">
        <v>1.1107659999999999</v>
      </c>
      <c r="L2438">
        <v>213.69290000000001</v>
      </c>
      <c r="M2438">
        <v>0.99745459999999997</v>
      </c>
      <c r="N2438">
        <v>0</v>
      </c>
      <c r="O2438">
        <v>-7.0354360000000005E-2</v>
      </c>
      <c r="P2438">
        <v>0.98025790000000002</v>
      </c>
      <c r="Q2438">
        <v>0.19275490000000001</v>
      </c>
      <c r="R2438">
        <v>-4.4047330000000003E-2</v>
      </c>
      <c r="S2438">
        <v>3.090179</v>
      </c>
      <c r="T2438">
        <v>-0.12902189999999999</v>
      </c>
      <c r="U2438">
        <v>8.2763669999999998E-2</v>
      </c>
      <c r="V2438">
        <v>-2.5434459999999999E-2</v>
      </c>
      <c r="W2438">
        <v>0.20406740000000001</v>
      </c>
      <c r="X2438">
        <v>0.97862640000000001</v>
      </c>
      <c r="Y2438">
        <v>-9.6895110000000007E-2</v>
      </c>
      <c r="Z2438">
        <v>4.9562649999999996E-3</v>
      </c>
      <c r="AA2438">
        <v>0.99528220000000001</v>
      </c>
      <c r="AB2438">
        <v>23</v>
      </c>
      <c r="AC2438">
        <v>26.358999999999899</v>
      </c>
      <c r="AD2438">
        <v>-1.110762575056</v>
      </c>
      <c r="AE2438">
        <v>0.72860000000000003</v>
      </c>
      <c r="AF2438">
        <v>-2.5768173913229799</v>
      </c>
      <c r="AG2438">
        <v>-1.110762575056</v>
      </c>
      <c r="AH2438">
        <v>26.195929384964</v>
      </c>
      <c r="AI2438">
        <v>92.416358898612899</v>
      </c>
      <c r="AJ2438">
        <v>95.617945817183994</v>
      </c>
      <c r="AK2438">
        <v>26.345787096012</v>
      </c>
      <c r="AL2438">
        <v>78.225089291641495</v>
      </c>
      <c r="AM2438">
        <v>91.488779807403404</v>
      </c>
      <c r="AN2438">
        <v>1.0000000231376001</v>
      </c>
    </row>
    <row r="2439" spans="1:40" x14ac:dyDescent="0.25">
      <c r="A2439" t="str">
        <f>"20190312172706586"</f>
        <v>20190312172706586</v>
      </c>
      <c r="B2439" t="str">
        <f>"1552382826581241"</f>
        <v>1552382826581241</v>
      </c>
      <c r="C2439" t="s">
        <v>40</v>
      </c>
      <c r="D2439">
        <v>3.3607260000000001</v>
      </c>
      <c r="E2439">
        <v>0.47721059999999998</v>
      </c>
      <c r="F2439" t="s">
        <v>49</v>
      </c>
      <c r="G2439">
        <v>-416.84870000000001</v>
      </c>
      <c r="H2439" s="1">
        <v>3.4383490000000001E-6</v>
      </c>
      <c r="I2439">
        <v>214.41309999999999</v>
      </c>
      <c r="J2439">
        <v>-442.91969999999998</v>
      </c>
      <c r="K2439">
        <v>1.110757</v>
      </c>
      <c r="L2439">
        <v>213.67910000000001</v>
      </c>
      <c r="M2439">
        <v>0.99753999999999998</v>
      </c>
      <c r="N2439">
        <v>0</v>
      </c>
      <c r="O2439">
        <v>-6.9141090000000002E-2</v>
      </c>
      <c r="P2439">
        <v>0.98042830000000003</v>
      </c>
      <c r="Q2439">
        <v>0.192054</v>
      </c>
      <c r="R2439">
        <v>-4.3311530000000001E-2</v>
      </c>
      <c r="S2439">
        <v>3.089874</v>
      </c>
      <c r="T2439">
        <v>-0.1305606</v>
      </c>
      <c r="U2439">
        <v>8.4655759999999997E-2</v>
      </c>
      <c r="V2439">
        <v>-2.498386E-2</v>
      </c>
      <c r="W2439">
        <v>0.20333119999999999</v>
      </c>
      <c r="X2439">
        <v>0.97879119999999997</v>
      </c>
      <c r="Y2439">
        <v>-9.6294229999999995E-2</v>
      </c>
      <c r="Z2439">
        <v>4.9519350000000002E-3</v>
      </c>
      <c r="AA2439">
        <v>0.99534060000000002</v>
      </c>
      <c r="AB2439">
        <v>23</v>
      </c>
      <c r="AC2439">
        <v>26.070999999999898</v>
      </c>
      <c r="AD2439">
        <v>-1.110753561651</v>
      </c>
      <c r="AE2439">
        <v>0.73399999999998</v>
      </c>
      <c r="AF2439">
        <v>-2.5303514678533698</v>
      </c>
      <c r="AG2439">
        <v>-1.110753561651</v>
      </c>
      <c r="AH2439">
        <v>25.9108523315744</v>
      </c>
      <c r="AI2439">
        <v>92.443060820811297</v>
      </c>
      <c r="AJ2439">
        <v>95.577593705414003</v>
      </c>
      <c r="AK2439">
        <v>26.057795773515501</v>
      </c>
      <c r="AL2439">
        <v>78.268173401077604</v>
      </c>
      <c r="AM2439">
        <v>91.462169838002296</v>
      </c>
      <c r="AN2439">
        <v>0.99999999167568898</v>
      </c>
    </row>
    <row r="2440" spans="1:40" x14ac:dyDescent="0.25">
      <c r="A2440" t="str">
        <f>"20190312172706610"</f>
        <v>20190312172706610</v>
      </c>
      <c r="B2440" t="str">
        <f>"1552382826601737"</f>
        <v>1552382826601737</v>
      </c>
      <c r="C2440" t="s">
        <v>40</v>
      </c>
      <c r="D2440">
        <v>3.279874</v>
      </c>
      <c r="E2440">
        <v>0.47740169999999998</v>
      </c>
      <c r="F2440" t="s">
        <v>49</v>
      </c>
      <c r="G2440">
        <v>-417.00970000000001</v>
      </c>
      <c r="H2440" s="1">
        <v>3.4680079999999999E-6</v>
      </c>
      <c r="I2440">
        <v>214.4006</v>
      </c>
      <c r="J2440">
        <v>-442.66989999999998</v>
      </c>
      <c r="K2440">
        <v>1.1107279999999999</v>
      </c>
      <c r="L2440">
        <v>213.6634</v>
      </c>
      <c r="M2440">
        <v>0.99763539999999995</v>
      </c>
      <c r="N2440">
        <v>0</v>
      </c>
      <c r="O2440">
        <v>-6.775842E-2</v>
      </c>
      <c r="P2440">
        <v>0.98051140000000003</v>
      </c>
      <c r="Q2440">
        <v>0.19186500000000001</v>
      </c>
      <c r="R2440">
        <v>-4.2253190000000003E-2</v>
      </c>
      <c r="S2440">
        <v>3.089661</v>
      </c>
      <c r="T2440">
        <v>-0.1324526</v>
      </c>
      <c r="U2440">
        <v>8.6044309999999999E-2</v>
      </c>
      <c r="V2440">
        <v>-2.468033E-2</v>
      </c>
      <c r="W2440">
        <v>0.20309350000000001</v>
      </c>
      <c r="X2440">
        <v>0.9788483</v>
      </c>
      <c r="Y2440">
        <v>-9.5361269999999998E-2</v>
      </c>
      <c r="Z2440">
        <v>4.9448069999999998E-3</v>
      </c>
      <c r="AA2440">
        <v>0.9954305</v>
      </c>
      <c r="AB2440">
        <v>23</v>
      </c>
      <c r="AC2440">
        <v>25.6601999999999</v>
      </c>
      <c r="AD2440">
        <v>-1.1107245319920001</v>
      </c>
      <c r="AE2440">
        <v>0.73720000000000097</v>
      </c>
      <c r="AF2440">
        <v>-2.4696916710337802</v>
      </c>
      <c r="AG2440">
        <v>-1.1107245319920001</v>
      </c>
      <c r="AH2440">
        <v>25.5035182801712</v>
      </c>
      <c r="AI2440">
        <v>92.4821629352017</v>
      </c>
      <c r="AJ2440">
        <v>95.531121915272195</v>
      </c>
      <c r="AK2440">
        <v>25.646881498594901</v>
      </c>
      <c r="AL2440">
        <v>78.282083423816601</v>
      </c>
      <c r="AM2440">
        <v>91.444329222301107</v>
      </c>
      <c r="AN2440">
        <v>1.00000004142202</v>
      </c>
    </row>
    <row r="2441" spans="1:40" x14ac:dyDescent="0.25">
      <c r="A2441" t="str">
        <f>"20190312172706631"</f>
        <v>20190312172706631</v>
      </c>
      <c r="B2441" t="str">
        <f>"1552382826621257"</f>
        <v>1552382826621257</v>
      </c>
      <c r="C2441" t="s">
        <v>40</v>
      </c>
      <c r="D2441">
        <v>3.1342989999999999</v>
      </c>
      <c r="E2441">
        <v>0.47759489999999999</v>
      </c>
      <c r="F2441" t="s">
        <v>49</v>
      </c>
      <c r="G2441">
        <v>-416.85059999999999</v>
      </c>
      <c r="H2441" s="1">
        <v>3.439964E-6</v>
      </c>
      <c r="I2441">
        <v>214.39869999999999</v>
      </c>
      <c r="J2441">
        <v>-442.44420000000002</v>
      </c>
      <c r="K2441">
        <v>1.1107089999999999</v>
      </c>
      <c r="L2441">
        <v>213.64949999999999</v>
      </c>
      <c r="M2441">
        <v>0.99771849999999995</v>
      </c>
      <c r="N2441">
        <v>0</v>
      </c>
      <c r="O2441">
        <v>-6.6531019999999996E-2</v>
      </c>
      <c r="P2441">
        <v>0.98047320000000004</v>
      </c>
      <c r="Q2441">
        <v>0.192105</v>
      </c>
      <c r="R2441">
        <v>-4.2052239999999998E-2</v>
      </c>
      <c r="S2441">
        <v>3.0894170000000001</v>
      </c>
      <c r="T2441">
        <v>-0.1329042</v>
      </c>
      <c r="U2441">
        <v>8.7982179999999993E-2</v>
      </c>
      <c r="V2441">
        <v>-2.3665539999999999E-2</v>
      </c>
      <c r="W2441">
        <v>0.20329240000000001</v>
      </c>
      <c r="X2441">
        <v>0.97883200000000004</v>
      </c>
      <c r="Y2441">
        <v>-9.4763319999999998E-2</v>
      </c>
      <c r="Z2441">
        <v>4.8964530000000003E-3</v>
      </c>
      <c r="AA2441">
        <v>0.99548780000000003</v>
      </c>
      <c r="AB2441">
        <v>23</v>
      </c>
      <c r="AC2441">
        <v>25.593599999999999</v>
      </c>
      <c r="AD2441">
        <v>-1.1107055600360001</v>
      </c>
      <c r="AE2441">
        <v>0.74920000000000098</v>
      </c>
      <c r="AF2441">
        <v>-2.44581760356348</v>
      </c>
      <c r="AG2441">
        <v>-1.1107055600360001</v>
      </c>
      <c r="AH2441">
        <v>25.439167657621201</v>
      </c>
      <c r="AI2441">
        <v>92.488556232069996</v>
      </c>
      <c r="AJ2441">
        <v>95.491752790478898</v>
      </c>
      <c r="AK2441">
        <v>25.580596977075299</v>
      </c>
      <c r="AL2441">
        <v>78.270443652332006</v>
      </c>
      <c r="AM2441">
        <v>91.384988898613202</v>
      </c>
      <c r="AN2441">
        <v>0.99999997095262505</v>
      </c>
    </row>
    <row r="2442" spans="1:40" x14ac:dyDescent="0.25">
      <c r="A2442" t="str">
        <f>"20190312172706654"</f>
        <v>20190312172706654</v>
      </c>
      <c r="B2442" t="str">
        <f>"1552382826651513"</f>
        <v>1552382826651513</v>
      </c>
      <c r="C2442" t="s">
        <v>40</v>
      </c>
      <c r="D2442">
        <v>3.130782</v>
      </c>
      <c r="E2442">
        <v>0.47786210000000001</v>
      </c>
      <c r="F2442" t="s">
        <v>49</v>
      </c>
      <c r="G2442">
        <v>-416.38709999999998</v>
      </c>
      <c r="H2442" s="1">
        <v>3.3585250000000002E-6</v>
      </c>
      <c r="I2442">
        <v>214.38980000000001</v>
      </c>
      <c r="J2442">
        <v>-442.20859999999999</v>
      </c>
      <c r="K2442">
        <v>1.110697</v>
      </c>
      <c r="L2442">
        <v>213.6352</v>
      </c>
      <c r="M2442">
        <v>0.99780239999999998</v>
      </c>
      <c r="N2442">
        <v>0</v>
      </c>
      <c r="O2442">
        <v>-6.5268969999999996E-2</v>
      </c>
      <c r="P2442">
        <v>0.98042940000000001</v>
      </c>
      <c r="Q2442">
        <v>0.19232969999999999</v>
      </c>
      <c r="R2442">
        <v>-4.2042959999999997E-2</v>
      </c>
      <c r="S2442">
        <v>3.0893250000000001</v>
      </c>
      <c r="T2442">
        <v>-0.13168489999999999</v>
      </c>
      <c r="U2442">
        <v>8.7768550000000001E-2</v>
      </c>
      <c r="V2442">
        <v>-2.2424030000000001E-2</v>
      </c>
      <c r="W2442">
        <v>0.2034782</v>
      </c>
      <c r="X2442">
        <v>0.97882259999999999</v>
      </c>
      <c r="Y2442">
        <v>-9.3441159999999995E-2</v>
      </c>
      <c r="Z2442">
        <v>4.7698569999999997E-3</v>
      </c>
      <c r="AA2442">
        <v>0.99561339999999998</v>
      </c>
      <c r="AB2442">
        <v>23</v>
      </c>
      <c r="AC2442">
        <v>25.8215</v>
      </c>
      <c r="AD2442">
        <v>-1.1106936414749999</v>
      </c>
      <c r="AE2442">
        <v>0.75460000000001004</v>
      </c>
      <c r="AF2442">
        <v>-2.4339437965174402</v>
      </c>
      <c r="AG2442">
        <v>-1.1106936414749999</v>
      </c>
      <c r="AH2442">
        <v>25.669724290706601</v>
      </c>
      <c r="AI2442">
        <v>92.466515244740194</v>
      </c>
      <c r="AJ2442">
        <v>95.416459793671095</v>
      </c>
      <c r="AK2442">
        <v>25.8087672687153</v>
      </c>
      <c r="AL2442">
        <v>78.259570575368301</v>
      </c>
      <c r="AM2442">
        <v>91.312370169497598</v>
      </c>
      <c r="AN2442">
        <v>0.99999994863371899</v>
      </c>
    </row>
    <row r="2443" spans="1:40" x14ac:dyDescent="0.25">
      <c r="A2443" t="str">
        <f>"20190312172706675"</f>
        <v>20190312172706675</v>
      </c>
      <c r="B2443" t="str">
        <f>"1552382826671033"</f>
        <v>1552382826671033</v>
      </c>
      <c r="C2443" t="s">
        <v>40</v>
      </c>
      <c r="D2443">
        <v>3.1049410000000002</v>
      </c>
      <c r="E2443">
        <v>0.47795130000000002</v>
      </c>
      <c r="F2443" t="s">
        <v>49</v>
      </c>
      <c r="G2443">
        <v>-416.04259999999999</v>
      </c>
      <c r="H2443" s="1">
        <v>3.2995119999999998E-6</v>
      </c>
      <c r="I2443">
        <v>214.3657</v>
      </c>
      <c r="J2443">
        <v>-441.97730000000001</v>
      </c>
      <c r="K2443">
        <v>1.1106780000000001</v>
      </c>
      <c r="L2443">
        <v>213.6215</v>
      </c>
      <c r="M2443">
        <v>0.99788169999999998</v>
      </c>
      <c r="N2443">
        <v>0</v>
      </c>
      <c r="O2443">
        <v>-6.4053390000000002E-2</v>
      </c>
      <c r="P2443">
        <v>0.98046949999999999</v>
      </c>
      <c r="Q2443">
        <v>0.1921476</v>
      </c>
      <c r="R2443">
        <v>-4.1939400000000002E-2</v>
      </c>
      <c r="S2443">
        <v>3.0893250000000001</v>
      </c>
      <c r="T2443">
        <v>-0.13113529999999901</v>
      </c>
      <c r="U2443">
        <v>8.6242680000000002E-2</v>
      </c>
      <c r="V2443">
        <v>-2.132771E-2</v>
      </c>
      <c r="W2443">
        <v>0.20325650000000001</v>
      </c>
      <c r="X2443">
        <v>0.97889320000000002</v>
      </c>
      <c r="Y2443">
        <v>-9.1740559999999999E-2</v>
      </c>
      <c r="Z2443">
        <v>4.6624079999999998E-3</v>
      </c>
      <c r="AA2443">
        <v>0.99577199999999999</v>
      </c>
      <c r="AB2443">
        <v>23</v>
      </c>
      <c r="AC2443">
        <v>25.934699999999999</v>
      </c>
      <c r="AD2443">
        <v>-1.110674700488</v>
      </c>
      <c r="AE2443">
        <v>0.74420000000000597</v>
      </c>
      <c r="AF2443">
        <v>-2.3995870654265201</v>
      </c>
      <c r="AG2443">
        <v>-1.110674700488</v>
      </c>
      <c r="AH2443">
        <v>25.786509038498899</v>
      </c>
      <c r="AI2443">
        <v>92.455718832679906</v>
      </c>
      <c r="AJ2443">
        <v>95.316400562861602</v>
      </c>
      <c r="AK2443">
        <v>25.9217218711924</v>
      </c>
      <c r="AL2443">
        <v>78.272544616359298</v>
      </c>
      <c r="AM2443">
        <v>91.248138679641698</v>
      </c>
      <c r="AN2443">
        <v>0.99999998650616695</v>
      </c>
    </row>
    <row r="2444" spans="1:40" x14ac:dyDescent="0.25">
      <c r="A2444" t="str">
        <f>"20190312172706700"</f>
        <v>20190312172706700</v>
      </c>
      <c r="B2444" t="str">
        <f>"1552382826691528"</f>
        <v>1552382826691528</v>
      </c>
      <c r="C2444" t="s">
        <v>40</v>
      </c>
      <c r="D2444">
        <v>3.1604830000000002</v>
      </c>
      <c r="E2444">
        <v>0.47804200000000002</v>
      </c>
      <c r="F2444" t="s">
        <v>49</v>
      </c>
      <c r="G2444">
        <v>-415.68060000000003</v>
      </c>
      <c r="H2444" s="1">
        <v>3.235853E-6</v>
      </c>
      <c r="I2444">
        <v>214.35939999999999</v>
      </c>
      <c r="J2444">
        <v>-441.72250000000003</v>
      </c>
      <c r="K2444">
        <v>1.1106549999999999</v>
      </c>
      <c r="L2444">
        <v>213.60669999999999</v>
      </c>
      <c r="M2444">
        <v>0.99796530000000006</v>
      </c>
      <c r="N2444">
        <v>0</v>
      </c>
      <c r="O2444">
        <v>-6.2745209999999996E-2</v>
      </c>
      <c r="P2444">
        <v>0.98056759999999998</v>
      </c>
      <c r="Q2444">
        <v>0.19167690000000001</v>
      </c>
      <c r="R2444">
        <v>-4.179948E-2</v>
      </c>
      <c r="S2444">
        <v>3.0890200000000001</v>
      </c>
      <c r="T2444">
        <v>-0.13046869999999999</v>
      </c>
      <c r="U2444">
        <v>8.6685180000000001E-2</v>
      </c>
      <c r="V2444">
        <v>-2.0177440000000001E-2</v>
      </c>
      <c r="W2444">
        <v>0.202741</v>
      </c>
      <c r="X2444">
        <v>0.97902449999999996</v>
      </c>
      <c r="Y2444">
        <v>-9.0583990000000003E-2</v>
      </c>
      <c r="Z2444">
        <v>4.5596070000000002E-3</v>
      </c>
      <c r="AA2444">
        <v>0.99587840000000005</v>
      </c>
      <c r="AB2444">
        <v>23</v>
      </c>
      <c r="AC2444">
        <v>26.041899999999998</v>
      </c>
      <c r="AD2444">
        <v>-1.110651764147</v>
      </c>
      <c r="AE2444">
        <v>0.75270000000000403</v>
      </c>
      <c r="AF2444">
        <v>-2.38099878721221</v>
      </c>
      <c r="AG2444">
        <v>-1.110651764147</v>
      </c>
      <c r="AH2444">
        <v>25.896284911888898</v>
      </c>
      <c r="AI2444">
        <v>92.445520278723393</v>
      </c>
      <c r="AJ2444">
        <v>95.253213034637497</v>
      </c>
      <c r="AK2444">
        <v>26.029219634934002</v>
      </c>
      <c r="AL2444">
        <v>78.302708878389197</v>
      </c>
      <c r="AM2444">
        <v>91.180683944821993</v>
      </c>
      <c r="AN2444">
        <v>1.0000000068831001</v>
      </c>
    </row>
    <row r="2445" spans="1:40" x14ac:dyDescent="0.25">
      <c r="A2445" t="str">
        <f>"20190312172706722"</f>
        <v>20190312172706722</v>
      </c>
      <c r="B2445" t="str">
        <f>"1552382826711048"</f>
        <v>1552382826711048</v>
      </c>
      <c r="C2445" t="s">
        <v>40</v>
      </c>
      <c r="D2445">
        <v>3.1562450000000002</v>
      </c>
      <c r="E2445">
        <v>0.50066239999999995</v>
      </c>
      <c r="F2445" t="s">
        <v>49</v>
      </c>
      <c r="G2445">
        <v>-415.6626</v>
      </c>
      <c r="H2445" s="1">
        <v>3.2341239999999999E-6</v>
      </c>
      <c r="I2445">
        <v>214.3426</v>
      </c>
      <c r="J2445">
        <v>-441.48790000000002</v>
      </c>
      <c r="K2445">
        <v>1.1106309999999999</v>
      </c>
      <c r="L2445">
        <v>213.5933</v>
      </c>
      <c r="M2445">
        <v>0.99803889999999995</v>
      </c>
      <c r="N2445">
        <v>0</v>
      </c>
      <c r="O2445">
        <v>-6.1572099999999998E-2</v>
      </c>
      <c r="P2445">
        <v>0.98054129999999995</v>
      </c>
      <c r="Q2445">
        <v>0.1917355</v>
      </c>
      <c r="R2445">
        <v>-4.2147509999999999E-2</v>
      </c>
      <c r="S2445">
        <v>3.0888979999999999</v>
      </c>
      <c r="T2445">
        <v>-0.13164629999999999</v>
      </c>
      <c r="U2445">
        <v>8.7234500000000006E-2</v>
      </c>
      <c r="V2445">
        <v>-1.8667130000000001E-2</v>
      </c>
      <c r="W2445">
        <v>0.2027592</v>
      </c>
      <c r="X2445">
        <v>0.97905070000000005</v>
      </c>
      <c r="Y2445">
        <v>-8.9590820000000002E-2</v>
      </c>
      <c r="Z2445">
        <v>4.5298270000000002E-3</v>
      </c>
      <c r="AA2445">
        <v>0.99596830000000003</v>
      </c>
      <c r="AB2445">
        <v>23</v>
      </c>
      <c r="AC2445">
        <v>25.825299999999999</v>
      </c>
      <c r="AD2445">
        <v>-1.110627765876</v>
      </c>
      <c r="AE2445">
        <v>0.74930000000000496</v>
      </c>
      <c r="AF2445">
        <v>-2.33378462101832</v>
      </c>
      <c r="AG2445">
        <v>-1.110627765876</v>
      </c>
      <c r="AH2445">
        <v>25.682695598456998</v>
      </c>
      <c r="AI2445">
        <v>92.466019869138407</v>
      </c>
      <c r="AJ2445">
        <v>95.192203248357899</v>
      </c>
      <c r="AK2445">
        <v>25.812417513565801</v>
      </c>
      <c r="AL2445">
        <v>78.301644062780895</v>
      </c>
      <c r="AM2445">
        <v>91.092301131405605</v>
      </c>
      <c r="AN2445">
        <v>1.0000000140487799</v>
      </c>
    </row>
    <row r="2446" spans="1:40" x14ac:dyDescent="0.25">
      <c r="A2446" t="str">
        <f>"20190312172706765"</f>
        <v>20190312172706765</v>
      </c>
      <c r="B2446" t="str">
        <f>"1552382826761801"</f>
        <v>1552382826761801</v>
      </c>
      <c r="C2446" t="s">
        <v>40</v>
      </c>
      <c r="D2446">
        <v>3.1630389999999999</v>
      </c>
      <c r="E2446">
        <v>0.51027359999999999</v>
      </c>
      <c r="F2446" t="s">
        <v>49</v>
      </c>
      <c r="G2446">
        <v>-414.68939999999998</v>
      </c>
      <c r="H2446" s="1">
        <v>3.1981849999999902E-6</v>
      </c>
      <c r="I2446">
        <v>212.7792</v>
      </c>
      <c r="J2446">
        <v>-441.04489999999998</v>
      </c>
      <c r="K2446">
        <v>1.1105719999999999</v>
      </c>
      <c r="L2446">
        <v>213.56870000000001</v>
      </c>
      <c r="M2446">
        <v>0.99816939999999998</v>
      </c>
      <c r="N2446">
        <v>0</v>
      </c>
      <c r="O2446">
        <v>-5.9437150000000001E-2</v>
      </c>
      <c r="P2446">
        <v>0.98082570000000002</v>
      </c>
      <c r="Q2446">
        <v>0.18992290000000001</v>
      </c>
      <c r="R2446">
        <v>-4.3710810000000003E-2</v>
      </c>
      <c r="S2446">
        <v>3.0804749999999999</v>
      </c>
      <c r="T2446">
        <v>-0.12766640000000001</v>
      </c>
      <c r="U2446">
        <v>-9.3582150000000003E-2</v>
      </c>
      <c r="V2446">
        <v>-1.500307E-2</v>
      </c>
      <c r="W2446">
        <v>0.20087099999999999</v>
      </c>
      <c r="X2446">
        <v>0.97950280000000001</v>
      </c>
      <c r="Y2446">
        <v>-2.902623E-2</v>
      </c>
      <c r="Z2446">
        <v>3.0612629999999998E-3</v>
      </c>
      <c r="AA2446">
        <v>0.99957390000000002</v>
      </c>
      <c r="AB2446">
        <v>24</v>
      </c>
      <c r="AC2446">
        <v>26.355499999999999</v>
      </c>
      <c r="AD2446">
        <v>-1.110568801815</v>
      </c>
      <c r="AE2446">
        <v>-0.78950000000000298</v>
      </c>
      <c r="AF2446">
        <v>-0.77711113963049805</v>
      </c>
      <c r="AG2446">
        <v>-1.110568801815</v>
      </c>
      <c r="AH2446">
        <v>26.309154513122301</v>
      </c>
      <c r="AI2446">
        <v>92.416096676258107</v>
      </c>
      <c r="AJ2446">
        <v>91.691891932245198</v>
      </c>
      <c r="AK2446">
        <v>26.344048207939601</v>
      </c>
      <c r="AL2446">
        <v>78.412102562437596</v>
      </c>
      <c r="AM2446">
        <v>90.877532330955205</v>
      </c>
      <c r="AN2446">
        <v>0.999999992979132</v>
      </c>
    </row>
    <row r="2447" spans="1:40" x14ac:dyDescent="0.25">
      <c r="A2447" t="str">
        <f>"20190312172706789"</f>
        <v>20190312172706789</v>
      </c>
      <c r="B2447" t="str">
        <f>"1552382826781321"</f>
        <v>1552382826781321</v>
      </c>
      <c r="C2447" t="s">
        <v>40</v>
      </c>
      <c r="D2447">
        <v>3.1586280000000002</v>
      </c>
      <c r="E2447">
        <v>0.51171610000000001</v>
      </c>
      <c r="F2447" t="s">
        <v>49</v>
      </c>
      <c r="G2447">
        <v>-413.73719999999997</v>
      </c>
      <c r="H2447" s="1">
        <v>3.0954629999999999E-6</v>
      </c>
      <c r="I2447">
        <v>212.02209999999999</v>
      </c>
      <c r="J2447">
        <v>-440.79939999999999</v>
      </c>
      <c r="K2447">
        <v>1.110536</v>
      </c>
      <c r="L2447">
        <v>213.55539999999999</v>
      </c>
      <c r="M2447">
        <v>0.99823759999999995</v>
      </c>
      <c r="N2447">
        <v>0</v>
      </c>
      <c r="O2447">
        <v>-5.8292499999999997E-2</v>
      </c>
      <c r="P2447">
        <v>0.98095449999999995</v>
      </c>
      <c r="Q2447">
        <v>0.1889422</v>
      </c>
      <c r="R2447">
        <v>-4.504963E-2</v>
      </c>
      <c r="S2447">
        <v>3.0751339999999998</v>
      </c>
      <c r="T2447">
        <v>-0.1250618</v>
      </c>
      <c r="U2447">
        <v>-0.17416379999999901</v>
      </c>
      <c r="V2447">
        <v>-1.2538219999999999E-2</v>
      </c>
      <c r="W2447">
        <v>0.19984650000000001</v>
      </c>
      <c r="X2447">
        <v>0.97974700000000003</v>
      </c>
      <c r="Y2447">
        <v>-1.7040969999999999E-3</v>
      </c>
      <c r="Z2447">
        <v>2.4005799999999998E-3</v>
      </c>
      <c r="AA2447">
        <v>0.99999559999999998</v>
      </c>
      <c r="AB2447">
        <v>24</v>
      </c>
      <c r="AC2447">
        <v>27.062200000000001</v>
      </c>
      <c r="AD2447">
        <v>-1.110532904537</v>
      </c>
      <c r="AE2447">
        <v>-1.5332999999999899</v>
      </c>
      <c r="AF2447">
        <v>-4.6849841834264001E-2</v>
      </c>
      <c r="AG2447">
        <v>-1.110532904537</v>
      </c>
      <c r="AH2447">
        <v>27.060138817458</v>
      </c>
      <c r="AI2447">
        <v>92.350064341250302</v>
      </c>
      <c r="AJ2447">
        <v>90.0991974041237</v>
      </c>
      <c r="AK2447">
        <v>27.082957575934</v>
      </c>
      <c r="AL2447">
        <v>78.472017168034697</v>
      </c>
      <c r="AM2447">
        <v>90.733197320172707</v>
      </c>
      <c r="AN2447">
        <v>1.000000007266</v>
      </c>
    </row>
    <row r="2448" spans="1:40" x14ac:dyDescent="0.25">
      <c r="A2448" t="str">
        <f>"20190312172706809"</f>
        <v>20190312172706809</v>
      </c>
      <c r="B2448" t="str">
        <f>"1552382826800841"</f>
        <v>1552382826800841</v>
      </c>
      <c r="C2448" t="s">
        <v>40</v>
      </c>
      <c r="D2448">
        <v>3.1772710000000002</v>
      </c>
      <c r="E2448">
        <v>0.51260550000000005</v>
      </c>
      <c r="F2448" t="s">
        <v>49</v>
      </c>
      <c r="G2448">
        <v>-414.22050000000002</v>
      </c>
      <c r="H2448" s="1">
        <v>3.1899970000000001E-6</v>
      </c>
      <c r="I2448">
        <v>211.9213</v>
      </c>
      <c r="J2448">
        <v>-440.57859999999999</v>
      </c>
      <c r="K2448">
        <v>1.110511</v>
      </c>
      <c r="L2448">
        <v>213.5436</v>
      </c>
      <c r="M2448">
        <v>0.99829659999999998</v>
      </c>
      <c r="N2448">
        <v>0</v>
      </c>
      <c r="O2448">
        <v>-5.7281510000000001E-2</v>
      </c>
      <c r="P2448">
        <v>0.98094179999999997</v>
      </c>
      <c r="Q2448">
        <v>0.18845780000000001</v>
      </c>
      <c r="R2448">
        <v>-4.7296570000000003E-2</v>
      </c>
      <c r="S2448">
        <v>3.0743100000000001</v>
      </c>
      <c r="T2448">
        <v>-0.12845190000000001</v>
      </c>
      <c r="U2448">
        <v>-0.1890106</v>
      </c>
      <c r="V2448">
        <v>-9.2936879999999996E-3</v>
      </c>
      <c r="W2448">
        <v>0.1993125</v>
      </c>
      <c r="X2448">
        <v>0.97989190000000004</v>
      </c>
      <c r="Y2448">
        <v>4.1330739999999996E-3</v>
      </c>
      <c r="Z2448">
        <v>2.3019479999999998E-3</v>
      </c>
      <c r="AA2448">
        <v>0.99998880000000001</v>
      </c>
      <c r="AB2448">
        <v>24</v>
      </c>
      <c r="AC2448">
        <v>26.358099999999901</v>
      </c>
      <c r="AD2448">
        <v>-1.1105078100029999</v>
      </c>
      <c r="AE2448">
        <v>-1.6222999999999901</v>
      </c>
      <c r="AF2448">
        <v>0.10951786991420701</v>
      </c>
      <c r="AG2448">
        <v>-1.1105078100029999</v>
      </c>
      <c r="AH2448">
        <v>26.361133711531899</v>
      </c>
      <c r="AI2448">
        <v>92.412235536899303</v>
      </c>
      <c r="AJ2448">
        <v>89.761964880014503</v>
      </c>
      <c r="AK2448">
        <v>26.384741657199701</v>
      </c>
      <c r="AL2448">
        <v>78.503241097244597</v>
      </c>
      <c r="AM2448">
        <v>90.543399871851605</v>
      </c>
      <c r="AN2448">
        <v>0.99999999048925003</v>
      </c>
    </row>
    <row r="2449" spans="1:40" x14ac:dyDescent="0.25">
      <c r="A2449" t="str">
        <f>"20190312172706834"</f>
        <v>20190312172706834</v>
      </c>
      <c r="B2449" t="str">
        <f>"1552382826821337"</f>
        <v>1552382826821337</v>
      </c>
      <c r="C2449" t="s">
        <v>40</v>
      </c>
      <c r="D2449">
        <v>3.1661450000000002</v>
      </c>
      <c r="E2449">
        <v>0.51330399999999998</v>
      </c>
      <c r="F2449" t="s">
        <v>49</v>
      </c>
      <c r="G2449">
        <v>-414.0283</v>
      </c>
      <c r="H2449" s="1">
        <v>3.166981E-6</v>
      </c>
      <c r="I2449">
        <v>211.79470000000001</v>
      </c>
      <c r="J2449">
        <v>-440.3288</v>
      </c>
      <c r="K2449">
        <v>1.110493</v>
      </c>
      <c r="L2449">
        <v>213.53059999999999</v>
      </c>
      <c r="M2449">
        <v>0.99836150000000001</v>
      </c>
      <c r="N2449">
        <v>0</v>
      </c>
      <c r="O2449">
        <v>-5.6152889999999997E-2</v>
      </c>
      <c r="P2449">
        <v>0.98082860000000005</v>
      </c>
      <c r="Q2449">
        <v>0.18844069999999999</v>
      </c>
      <c r="R2449">
        <v>-4.9655669999999999E-2</v>
      </c>
      <c r="S2449">
        <v>3.0731809999999999</v>
      </c>
      <c r="T2449">
        <v>-0.12854090000000001</v>
      </c>
      <c r="U2449">
        <v>-0.20243839999999999</v>
      </c>
      <c r="V2449">
        <v>-5.8178650000000002E-3</v>
      </c>
      <c r="W2449">
        <v>0.19923399999999999</v>
      </c>
      <c r="X2449">
        <v>0.97993470000000005</v>
      </c>
      <c r="Y2449">
        <v>9.631967E-3</v>
      </c>
      <c r="Z2449">
        <v>2.1421259999999998E-3</v>
      </c>
      <c r="AA2449">
        <v>0.99995129999999999</v>
      </c>
      <c r="AB2449">
        <v>24</v>
      </c>
      <c r="AC2449">
        <v>26.3005</v>
      </c>
      <c r="AD2449">
        <v>-1.1104898330190001</v>
      </c>
      <c r="AE2449">
        <v>-1.73589999999998</v>
      </c>
      <c r="AF2449">
        <v>0.25576816371996403</v>
      </c>
      <c r="AG2449">
        <v>-1.1104898330190001</v>
      </c>
      <c r="AH2449">
        <v>26.309777798585099</v>
      </c>
      <c r="AI2449">
        <v>92.416806262207402</v>
      </c>
      <c r="AJ2449">
        <v>89.443021723326893</v>
      </c>
      <c r="AK2449">
        <v>26.334445367877699</v>
      </c>
      <c r="AL2449">
        <v>78.507831273951396</v>
      </c>
      <c r="AM2449">
        <v>90.340160618723502</v>
      </c>
      <c r="AN2449">
        <v>1.0000000252866199</v>
      </c>
    </row>
    <row r="2450" spans="1:40" x14ac:dyDescent="0.25">
      <c r="A2450" t="str">
        <f>"20190312172706855"</f>
        <v>20190312172706855</v>
      </c>
      <c r="B2450" t="str">
        <f>"1552382826851593"</f>
        <v>1552382826851593</v>
      </c>
      <c r="C2450" t="s">
        <v>40</v>
      </c>
      <c r="D2450">
        <v>3.1577470000000001</v>
      </c>
      <c r="E2450">
        <v>0.5139918</v>
      </c>
      <c r="F2450" t="s">
        <v>49</v>
      </c>
      <c r="G2450">
        <v>-414.02879999999999</v>
      </c>
      <c r="H2450" s="1">
        <v>3.1764429999999999E-6</v>
      </c>
      <c r="I2450">
        <v>211.6875</v>
      </c>
      <c r="J2450">
        <v>-440.0994</v>
      </c>
      <c r="K2450">
        <v>1.1104849999999999</v>
      </c>
      <c r="L2450">
        <v>213.5189</v>
      </c>
      <c r="M2450">
        <v>0.99841970000000002</v>
      </c>
      <c r="N2450">
        <v>0</v>
      </c>
      <c r="O2450">
        <v>-5.5122690000000002E-2</v>
      </c>
      <c r="P2450">
        <v>0.98066019999999998</v>
      </c>
      <c r="Q2450">
        <v>0.18871959999999999</v>
      </c>
      <c r="R2450">
        <v>-5.1874240000000002E-2</v>
      </c>
      <c r="S2450">
        <v>3.0726619999999998</v>
      </c>
      <c r="T2450">
        <v>-0.12973989999999999</v>
      </c>
      <c r="U2450">
        <v>-0.215332</v>
      </c>
      <c r="V2450">
        <v>-2.5790779999999998E-3</v>
      </c>
      <c r="W2450">
        <v>0.19945360000000001</v>
      </c>
      <c r="X2450">
        <v>0.97990390000000005</v>
      </c>
      <c r="Y2450">
        <v>1.4846720000000001E-2</v>
      </c>
      <c r="Z2450">
        <v>2.0088290000000002E-3</v>
      </c>
      <c r="AA2450">
        <v>0.99988779999999999</v>
      </c>
      <c r="AB2450">
        <v>24</v>
      </c>
      <c r="AC2450">
        <v>26.070599999999999</v>
      </c>
      <c r="AD2450">
        <v>-1.110481823557</v>
      </c>
      <c r="AE2450">
        <v>-1.8313999999999999</v>
      </c>
      <c r="AF2450">
        <v>0.39074218284808698</v>
      </c>
      <c r="AG2450">
        <v>-1.110481823557</v>
      </c>
      <c r="AH2450">
        <v>26.084820380921201</v>
      </c>
      <c r="AI2450">
        <v>92.437448300423696</v>
      </c>
      <c r="AJ2450">
        <v>89.141791919231196</v>
      </c>
      <c r="AK2450">
        <v>26.111371155855199</v>
      </c>
      <c r="AL2450">
        <v>78.494991378614699</v>
      </c>
      <c r="AM2450">
        <v>90.150800444024796</v>
      </c>
      <c r="AN2450">
        <v>1.0000000217157401</v>
      </c>
    </row>
    <row r="2451" spans="1:40" x14ac:dyDescent="0.25">
      <c r="A2451" t="str">
        <f>"20190312172706876"</f>
        <v>20190312172706876</v>
      </c>
      <c r="B2451" t="str">
        <f>"1552382826871113"</f>
        <v>1552382826871113</v>
      </c>
      <c r="C2451" t="s">
        <v>40</v>
      </c>
      <c r="D2451">
        <v>3.2035650000000002</v>
      </c>
      <c r="E2451">
        <v>0.51440969999999997</v>
      </c>
      <c r="F2451" t="s">
        <v>49</v>
      </c>
      <c r="G2451">
        <v>-413.72329999999999</v>
      </c>
      <c r="H2451" s="1">
        <v>3.132965E-6</v>
      </c>
      <c r="I2451">
        <v>211.565</v>
      </c>
      <c r="J2451">
        <v>-439.86430000000001</v>
      </c>
      <c r="K2451">
        <v>1.1104769999999999</v>
      </c>
      <c r="L2451">
        <v>213.50710000000001</v>
      </c>
      <c r="M2451">
        <v>0.99847819999999998</v>
      </c>
      <c r="N2451">
        <v>0</v>
      </c>
      <c r="O2451">
        <v>-5.4068560000000002E-2</v>
      </c>
      <c r="P2451">
        <v>0.98050859999999995</v>
      </c>
      <c r="Q2451">
        <v>0.18901660000000001</v>
      </c>
      <c r="R2451">
        <v>-5.3628460000000003E-2</v>
      </c>
      <c r="S2451">
        <v>3.0720519999999998</v>
      </c>
      <c r="T2451">
        <v>-0.12933929999999999</v>
      </c>
      <c r="U2451">
        <v>-0.22756960000000001</v>
      </c>
      <c r="V2451">
        <v>2.167909E-4</v>
      </c>
      <c r="W2451">
        <v>0.1996793</v>
      </c>
      <c r="X2451">
        <v>0.97986130000000005</v>
      </c>
      <c r="Y2451">
        <v>1.9872959999999999E-2</v>
      </c>
      <c r="Z2451">
        <v>1.852853E-3</v>
      </c>
      <c r="AA2451">
        <v>0.99980080000000005</v>
      </c>
      <c r="AB2451">
        <v>24</v>
      </c>
      <c r="AC2451">
        <v>26.140999999999998</v>
      </c>
      <c r="AD2451">
        <v>-1.1104738670349901</v>
      </c>
      <c r="AE2451">
        <v>-1.9421000000000099</v>
      </c>
      <c r="AF2451">
        <v>0.52482738779834104</v>
      </c>
      <c r="AG2451">
        <v>-1.1104738670349901</v>
      </c>
      <c r="AH2451">
        <v>26.160820105911501</v>
      </c>
      <c r="AI2451">
        <v>92.430142328996396</v>
      </c>
      <c r="AJ2451">
        <v>88.850710297608202</v>
      </c>
      <c r="AK2451">
        <v>26.189637351636101</v>
      </c>
      <c r="AL2451">
        <v>78.481794214881106</v>
      </c>
      <c r="AM2451">
        <v>89.987323508537202</v>
      </c>
      <c r="AN2451">
        <v>1.00000001854223</v>
      </c>
    </row>
    <row r="2452" spans="1:40" x14ac:dyDescent="0.25">
      <c r="A2452" t="str">
        <f>"20190312172706902"</f>
        <v>20190312172706902</v>
      </c>
      <c r="B2452" t="str">
        <f>"1552382826891609"</f>
        <v>1552382826891609</v>
      </c>
      <c r="C2452" t="s">
        <v>40</v>
      </c>
      <c r="D2452">
        <v>3.180218</v>
      </c>
      <c r="E2452">
        <v>0.51447900000000002</v>
      </c>
      <c r="F2452" t="s">
        <v>49</v>
      </c>
      <c r="G2452">
        <v>-413.4622</v>
      </c>
      <c r="H2452" s="1">
        <v>3.0942750000000001E-6</v>
      </c>
      <c r="I2452">
        <v>211.4777</v>
      </c>
      <c r="J2452">
        <v>-439.60680000000002</v>
      </c>
      <c r="K2452">
        <v>1.1104670000000001</v>
      </c>
      <c r="L2452">
        <v>213.49449999999999</v>
      </c>
      <c r="M2452">
        <v>0.99854109999999996</v>
      </c>
      <c r="N2452">
        <v>0</v>
      </c>
      <c r="O2452">
        <v>-5.2911930000000003E-2</v>
      </c>
      <c r="P2452">
        <v>0.98042370000000001</v>
      </c>
      <c r="Q2452">
        <v>0.18904979999999999</v>
      </c>
      <c r="R2452">
        <v>-5.5039020000000001E-2</v>
      </c>
      <c r="S2452">
        <v>3.071625</v>
      </c>
      <c r="T2452">
        <v>-0.12919259999999999</v>
      </c>
      <c r="U2452">
        <v>-0.23609920000000001</v>
      </c>
      <c r="V2452">
        <v>2.7658819999999999E-3</v>
      </c>
      <c r="W2452">
        <v>0.1996232</v>
      </c>
      <c r="X2452">
        <v>0.97986879999999998</v>
      </c>
      <c r="Y2452">
        <v>2.379734E-2</v>
      </c>
      <c r="Z2452">
        <v>1.7199439999999999E-3</v>
      </c>
      <c r="AA2452">
        <v>0.99971529999999997</v>
      </c>
      <c r="AB2452">
        <v>24</v>
      </c>
      <c r="AC2452">
        <v>26.144600000000001</v>
      </c>
      <c r="AD2452">
        <v>-1.1104639057250001</v>
      </c>
      <c r="AE2452">
        <v>-2.0167999999999799</v>
      </c>
      <c r="AF2452">
        <v>0.62940426675799999</v>
      </c>
      <c r="AG2452">
        <v>-1.1104639057250001</v>
      </c>
      <c r="AH2452">
        <v>26.167762610106902</v>
      </c>
      <c r="AI2452">
        <v>92.429263098722799</v>
      </c>
      <c r="AJ2452">
        <v>88.622149830622902</v>
      </c>
      <c r="AK2452">
        <v>26.198875545256499</v>
      </c>
      <c r="AL2452">
        <v>78.485073968592005</v>
      </c>
      <c r="AM2452">
        <v>89.838271262085996</v>
      </c>
      <c r="AN2452">
        <v>0.99999996864745799</v>
      </c>
    </row>
    <row r="2453" spans="1:40" x14ac:dyDescent="0.25">
      <c r="A2453" t="str">
        <f>"20190312172706923"</f>
        <v>20190312172706923</v>
      </c>
      <c r="B2453" t="str">
        <f>"1552382826911129"</f>
        <v>1552382826911129</v>
      </c>
      <c r="C2453" t="s">
        <v>40</v>
      </c>
      <c r="D2453">
        <v>3.2187109999999999</v>
      </c>
      <c r="E2453">
        <v>0.51450280000000004</v>
      </c>
      <c r="F2453" t="s">
        <v>49</v>
      </c>
      <c r="G2453">
        <v>-413.07389999999998</v>
      </c>
      <c r="H2453" s="1">
        <v>3.031321E-6</v>
      </c>
      <c r="I2453">
        <v>211.40989999999999</v>
      </c>
      <c r="J2453">
        <v>-439.37380000000002</v>
      </c>
      <c r="K2453">
        <v>1.1104590000000001</v>
      </c>
      <c r="L2453">
        <v>213.48330000000001</v>
      </c>
      <c r="M2453">
        <v>0.99859719999999996</v>
      </c>
      <c r="N2453">
        <v>0</v>
      </c>
      <c r="O2453">
        <v>-5.1861070000000002E-2</v>
      </c>
      <c r="P2453">
        <v>0.9803231</v>
      </c>
      <c r="Q2453">
        <v>0.18923709999999999</v>
      </c>
      <c r="R2453">
        <v>-5.6179840000000002E-2</v>
      </c>
      <c r="S2453">
        <v>3.071167</v>
      </c>
      <c r="T2453">
        <v>-0.12853529999999999</v>
      </c>
      <c r="U2453">
        <v>-0.24128720000000001</v>
      </c>
      <c r="V2453">
        <v>4.9414200000000002E-3</v>
      </c>
      <c r="W2453">
        <v>0.1997274</v>
      </c>
      <c r="X2453">
        <v>0.97983900000000002</v>
      </c>
      <c r="Y2453">
        <v>2.6535840000000002E-2</v>
      </c>
      <c r="Z2453">
        <v>1.610317E-3</v>
      </c>
      <c r="AA2453">
        <v>0.99964649999999999</v>
      </c>
      <c r="AB2453">
        <v>24</v>
      </c>
      <c r="AC2453">
        <v>26.299900000000001</v>
      </c>
      <c r="AD2453">
        <v>-1.1104559686790001</v>
      </c>
      <c r="AE2453">
        <v>-2.0734000000000199</v>
      </c>
      <c r="AF2453">
        <v>0.70534108675941098</v>
      </c>
      <c r="AG2453">
        <v>-1.1104559686790001</v>
      </c>
      <c r="AH2453">
        <v>26.325397156999301</v>
      </c>
      <c r="AI2453">
        <v>92.414548956607305</v>
      </c>
      <c r="AJ2453">
        <v>88.465231091946507</v>
      </c>
      <c r="AK2453">
        <v>26.3582464132346</v>
      </c>
      <c r="AL2453">
        <v>78.478980936231196</v>
      </c>
      <c r="AM2453">
        <v>89.711054458294399</v>
      </c>
      <c r="AN2453">
        <v>0.99999995893168703</v>
      </c>
    </row>
    <row r="2454" spans="1:40" x14ac:dyDescent="0.25">
      <c r="A2454" t="str">
        <f>"20190312172706945"</f>
        <v>20190312172706945</v>
      </c>
      <c r="B2454" t="str">
        <f>"1552382826941385"</f>
        <v>1552382826941385</v>
      </c>
      <c r="C2454" t="s">
        <v>40</v>
      </c>
      <c r="D2454">
        <v>3.277955</v>
      </c>
      <c r="E2454">
        <v>0.5390469</v>
      </c>
      <c r="F2454" t="s">
        <v>49</v>
      </c>
      <c r="G2454">
        <v>-412.58969999999999</v>
      </c>
      <c r="H2454" s="1">
        <v>2.9511999999999998E-6</v>
      </c>
      <c r="I2454">
        <v>211.34399999999999</v>
      </c>
      <c r="J2454">
        <v>-439.1422</v>
      </c>
      <c r="K2454">
        <v>1.110444</v>
      </c>
      <c r="L2454">
        <v>213.47239999999999</v>
      </c>
      <c r="M2454">
        <v>0.99865219999999999</v>
      </c>
      <c r="N2454">
        <v>0</v>
      </c>
      <c r="O2454">
        <v>-5.0812209999999997E-2</v>
      </c>
      <c r="P2454">
        <v>0.98010629999999999</v>
      </c>
      <c r="Q2454">
        <v>0.18971070000000001</v>
      </c>
      <c r="R2454">
        <v>-5.832586E-2</v>
      </c>
      <c r="S2454">
        <v>3.0707399999999998</v>
      </c>
      <c r="T2454">
        <v>-0.12731120000000001</v>
      </c>
      <c r="U2454">
        <v>-0.24526980000000001</v>
      </c>
      <c r="V2454">
        <v>8.1240719999999995E-3</v>
      </c>
      <c r="W2454">
        <v>0.20011519999999999</v>
      </c>
      <c r="X2454">
        <v>0.97973869999999996</v>
      </c>
      <c r="Y2454">
        <v>2.88817E-2</v>
      </c>
      <c r="Z2454">
        <v>1.503271E-3</v>
      </c>
      <c r="AA2454">
        <v>0.99958170000000002</v>
      </c>
      <c r="AB2454">
        <v>24</v>
      </c>
      <c r="AC2454">
        <v>26.552499999999998</v>
      </c>
      <c r="AD2454">
        <v>-1.1104410488000001</v>
      </c>
      <c r="AE2454">
        <v>-2.1283999999999699</v>
      </c>
      <c r="AF2454">
        <v>0.77503672222025499</v>
      </c>
      <c r="AG2454">
        <v>-1.1104410488000001</v>
      </c>
      <c r="AH2454">
        <v>26.580160193251199</v>
      </c>
      <c r="AI2454">
        <v>92.391243189717201</v>
      </c>
      <c r="AJ2454">
        <v>88.3298161391929</v>
      </c>
      <c r="AK2454">
        <v>26.614632763623501</v>
      </c>
      <c r="AL2454">
        <v>78.456304388436195</v>
      </c>
      <c r="AM2454">
        <v>89.524909682519905</v>
      </c>
      <c r="AN2454">
        <v>1.0000000070472901</v>
      </c>
    </row>
    <row r="2455" spans="1:40" x14ac:dyDescent="0.25">
      <c r="A2455" t="str">
        <f>"20190312172706966"</f>
        <v>20190312172706966</v>
      </c>
      <c r="B2455" t="str">
        <f>"1552382826961881"</f>
        <v>1552382826961881</v>
      </c>
      <c r="C2455" t="s">
        <v>40</v>
      </c>
      <c r="D2455">
        <v>3.2687629999999999</v>
      </c>
      <c r="E2455">
        <v>0.55196579999999995</v>
      </c>
      <c r="F2455" t="s">
        <v>49</v>
      </c>
      <c r="G2455">
        <v>-420.53289999999998</v>
      </c>
      <c r="H2455" s="1">
        <v>4.2052929999999901E-6</v>
      </c>
      <c r="I2455">
        <v>210.7818</v>
      </c>
      <c r="J2455">
        <v>-438.91430000000003</v>
      </c>
      <c r="K2455">
        <v>1.1104320000000001</v>
      </c>
      <c r="L2455">
        <v>213.46199999999999</v>
      </c>
      <c r="M2455">
        <v>0.99870530000000002</v>
      </c>
      <c r="N2455">
        <v>0</v>
      </c>
      <c r="O2455">
        <v>-4.9776330000000001E-2</v>
      </c>
      <c r="P2455">
        <v>0.97998640000000004</v>
      </c>
      <c r="Q2455">
        <v>0.18937609999999999</v>
      </c>
      <c r="R2455">
        <v>-6.135082E-2</v>
      </c>
      <c r="S2455">
        <v>3.0699459999999998</v>
      </c>
      <c r="T2455">
        <v>-0.1831875</v>
      </c>
      <c r="U2455">
        <v>-0.4438629</v>
      </c>
      <c r="V2455">
        <v>1.216805E-2</v>
      </c>
      <c r="W2455">
        <v>0.19969419999999999</v>
      </c>
      <c r="X2455">
        <v>0.97978270000000001</v>
      </c>
      <c r="Y2455">
        <v>9.3574959999999999E-2</v>
      </c>
      <c r="Z2455">
        <v>1.738814E-4</v>
      </c>
      <c r="AA2455">
        <v>0.99561219999999995</v>
      </c>
      <c r="AB2455">
        <v>24</v>
      </c>
      <c r="AC2455">
        <v>18.381399999999999</v>
      </c>
      <c r="AD2455">
        <v>-1.11042779470699</v>
      </c>
      <c r="AE2455">
        <v>-2.6802000000000099</v>
      </c>
      <c r="AF2455">
        <v>1.75559473631497</v>
      </c>
      <c r="AG2455">
        <v>-1.11042779470699</v>
      </c>
      <c r="AH2455">
        <v>18.426184666021399</v>
      </c>
      <c r="AI2455">
        <v>93.433167735322598</v>
      </c>
      <c r="AJ2455">
        <v>84.557449259527104</v>
      </c>
      <c r="AK2455">
        <v>18.5429081891637</v>
      </c>
      <c r="AL2455">
        <v>78.480922593235704</v>
      </c>
      <c r="AM2455">
        <v>89.288472770356293</v>
      </c>
      <c r="AN2455">
        <v>0.99999998708686599</v>
      </c>
    </row>
    <row r="2456" spans="1:40" x14ac:dyDescent="0.25">
      <c r="A2456" t="str">
        <f>"20190312172706993"</f>
        <v>20190312172706993</v>
      </c>
      <c r="B2456" t="str">
        <f>"1552382826981401"</f>
        <v>1552382826981401</v>
      </c>
      <c r="C2456" t="s">
        <v>40</v>
      </c>
      <c r="D2456">
        <v>3.285628</v>
      </c>
      <c r="E2456">
        <v>0.55626059999999999</v>
      </c>
      <c r="F2456" t="s">
        <v>49</v>
      </c>
      <c r="G2456">
        <v>-421.5822</v>
      </c>
      <c r="H2456" s="1">
        <v>4.0590779999999996E-6</v>
      </c>
      <c r="I2456">
        <v>210.3253</v>
      </c>
      <c r="J2456">
        <v>-438.6481</v>
      </c>
      <c r="K2456">
        <v>1.1104259999999999</v>
      </c>
      <c r="L2456">
        <v>213.45009999999999</v>
      </c>
      <c r="M2456">
        <v>0.99876600000000004</v>
      </c>
      <c r="N2456">
        <v>0</v>
      </c>
      <c r="O2456">
        <v>-4.8564709999999997E-2</v>
      </c>
      <c r="P2456">
        <v>0.98004400000000003</v>
      </c>
      <c r="Q2456">
        <v>0.18835979999999999</v>
      </c>
      <c r="R2456">
        <v>-6.3518149999999995E-2</v>
      </c>
      <c r="S2456">
        <v>3.0644840000000002</v>
      </c>
      <c r="T2456">
        <v>-0.1963347</v>
      </c>
      <c r="U2456">
        <v>-0.55459590000000003</v>
      </c>
      <c r="V2456">
        <v>1.552066E-2</v>
      </c>
      <c r="W2456">
        <v>0.19858210000000001</v>
      </c>
      <c r="X2456">
        <v>0.97996130000000004</v>
      </c>
      <c r="Y2456">
        <v>0.12992020000000001</v>
      </c>
      <c r="Z2456">
        <v>-1.045006E-3</v>
      </c>
      <c r="AA2456">
        <v>0.99152390000000001</v>
      </c>
      <c r="AB2456">
        <v>24</v>
      </c>
      <c r="AC2456">
        <v>17.065899999999999</v>
      </c>
      <c r="AD2456">
        <v>-1.110421940922</v>
      </c>
      <c r="AE2456">
        <v>-3.1247999999999898</v>
      </c>
      <c r="AF2456">
        <v>2.2829156350058</v>
      </c>
      <c r="AG2456">
        <v>-1.110421940922</v>
      </c>
      <c r="AH2456">
        <v>17.1273643845017</v>
      </c>
      <c r="AI2456">
        <v>93.677047791828898</v>
      </c>
      <c r="AJ2456">
        <v>82.407765736104096</v>
      </c>
      <c r="AK2456">
        <v>17.3144838630244</v>
      </c>
      <c r="AL2456">
        <v>78.545943026734506</v>
      </c>
      <c r="AM2456">
        <v>89.092623383415301</v>
      </c>
      <c r="AN2456">
        <v>0.99999994541246595</v>
      </c>
    </row>
    <row r="2457" spans="1:40" x14ac:dyDescent="0.25">
      <c r="A2457" t="str">
        <f>"20190312172707013"</f>
        <v>20190312172707013</v>
      </c>
      <c r="B2457" t="str">
        <f>"1552382827001897"</f>
        <v>1552382827001897</v>
      </c>
      <c r="C2457" t="s">
        <v>40</v>
      </c>
      <c r="D2457">
        <v>3.2290169999999998</v>
      </c>
      <c r="E2457">
        <v>0.55861169999999905</v>
      </c>
      <c r="F2457" t="s">
        <v>49</v>
      </c>
      <c r="G2457">
        <v>-421.85489999999999</v>
      </c>
      <c r="H2457" s="1">
        <v>4.0233479999999997E-6</v>
      </c>
      <c r="I2457">
        <v>210.1806</v>
      </c>
      <c r="J2457">
        <v>-438.4178</v>
      </c>
      <c r="K2457">
        <v>1.1104099999999999</v>
      </c>
      <c r="L2457">
        <v>213.44</v>
      </c>
      <c r="M2457">
        <v>0.99881739999999997</v>
      </c>
      <c r="N2457">
        <v>0</v>
      </c>
      <c r="O2457">
        <v>-4.7515410000000001E-2</v>
      </c>
      <c r="P2457">
        <v>0.98009009999999996</v>
      </c>
      <c r="Q2457">
        <v>0.1873109</v>
      </c>
      <c r="R2457">
        <v>-6.5866229999999998E-2</v>
      </c>
      <c r="S2457">
        <v>3.0613709999999998</v>
      </c>
      <c r="T2457">
        <v>-0.2024282</v>
      </c>
      <c r="U2457">
        <v>-0.59602359999999999</v>
      </c>
      <c r="V2457">
        <v>1.8895160000000001E-2</v>
      </c>
      <c r="W2457">
        <v>0.1974552</v>
      </c>
      <c r="X2457">
        <v>0.98012980000000005</v>
      </c>
      <c r="Y2457">
        <v>0.1440428</v>
      </c>
      <c r="Z2457">
        <v>-1.607912E-3</v>
      </c>
      <c r="AA2457">
        <v>0.98957010000000001</v>
      </c>
      <c r="AB2457">
        <v>24</v>
      </c>
      <c r="AC2457">
        <v>16.562899999999999</v>
      </c>
      <c r="AD2457">
        <v>-1.110405976652</v>
      </c>
      <c r="AE2457">
        <v>-3.2593999999999901</v>
      </c>
      <c r="AF2457">
        <v>2.4580473580820499</v>
      </c>
      <c r="AG2457">
        <v>-1.110405976652</v>
      </c>
      <c r="AH2457">
        <v>16.6271241934069</v>
      </c>
      <c r="AI2457">
        <v>93.779741090163199</v>
      </c>
      <c r="AJ2457">
        <v>81.590667915167799</v>
      </c>
      <c r="AK2457">
        <v>16.8444726005457</v>
      </c>
      <c r="AL2457">
        <v>78.611814684590797</v>
      </c>
      <c r="AM2457">
        <v>88.895576041580696</v>
      </c>
      <c r="AN2457">
        <v>1.00000000396325</v>
      </c>
    </row>
    <row r="2458" spans="1:40" x14ac:dyDescent="0.25">
      <c r="A2458" t="str">
        <f>"20190312172707033"</f>
        <v>20190312172707033</v>
      </c>
      <c r="B2458" t="str">
        <f>"1552382827021417"</f>
        <v>1552382827021417</v>
      </c>
      <c r="C2458" t="s">
        <v>40</v>
      </c>
      <c r="D2458">
        <v>3.2421120000000001</v>
      </c>
      <c r="E2458">
        <v>0.55982690000000002</v>
      </c>
      <c r="F2458" t="s">
        <v>49</v>
      </c>
      <c r="G2458">
        <v>-422.0471</v>
      </c>
      <c r="H2458" s="1">
        <v>3.9954519999999996E-6</v>
      </c>
      <c r="I2458">
        <v>210.10990000000001</v>
      </c>
      <c r="J2458">
        <v>-438.2054</v>
      </c>
      <c r="K2458">
        <v>1.110398</v>
      </c>
      <c r="L2458">
        <v>213.43100000000001</v>
      </c>
      <c r="M2458">
        <v>0.99886379999999997</v>
      </c>
      <c r="N2458">
        <v>0</v>
      </c>
      <c r="O2458">
        <v>-4.6547110000000003E-2</v>
      </c>
      <c r="P2458">
        <v>0.98016380000000003</v>
      </c>
      <c r="Q2458">
        <v>0.1859806</v>
      </c>
      <c r="R2458">
        <v>-6.8487309999999996E-2</v>
      </c>
      <c r="S2458">
        <v>3.0588069999999998</v>
      </c>
      <c r="T2458">
        <v>-0.2074751</v>
      </c>
      <c r="U2458">
        <v>-0.62222290000000002</v>
      </c>
      <c r="V2458">
        <v>2.2462670000000001E-2</v>
      </c>
      <c r="W2458">
        <v>0.1960587</v>
      </c>
      <c r="X2458">
        <v>0.98033490000000001</v>
      </c>
      <c r="Y2458">
        <v>0.1532713</v>
      </c>
      <c r="Z2458">
        <v>-2.0222600000000001E-3</v>
      </c>
      <c r="AA2458">
        <v>0.98818209999999995</v>
      </c>
      <c r="AB2458">
        <v>24</v>
      </c>
      <c r="AC2458">
        <v>16.158299999999901</v>
      </c>
      <c r="AD2458">
        <v>-1.1103940045479901</v>
      </c>
      <c r="AE2458">
        <v>-3.3210999999999702</v>
      </c>
      <c r="AF2458">
        <v>2.5537673137942698</v>
      </c>
      <c r="AG2458">
        <v>-1.1103940045479901</v>
      </c>
      <c r="AH2458">
        <v>16.221878622038599</v>
      </c>
      <c r="AI2458">
        <v>93.8683163265882</v>
      </c>
      <c r="AJ2458">
        <v>81.053503341222196</v>
      </c>
      <c r="AK2458">
        <v>16.459163051822902</v>
      </c>
      <c r="AL2458">
        <v>78.693424049489494</v>
      </c>
      <c r="AM2458">
        <v>88.687396497711603</v>
      </c>
      <c r="AN2458">
        <v>1.00000005077361</v>
      </c>
    </row>
    <row r="2459" spans="1:40" x14ac:dyDescent="0.25">
      <c r="A2459" t="str">
        <f>"20190312172707056"</f>
        <v>20190312172707056</v>
      </c>
      <c r="B2459" t="str">
        <f>"1552382827051673"</f>
        <v>1552382827051673</v>
      </c>
      <c r="C2459" t="s">
        <v>40</v>
      </c>
      <c r="D2459">
        <v>3.250937</v>
      </c>
      <c r="E2459">
        <v>0.56065259999999995</v>
      </c>
      <c r="F2459" t="s">
        <v>49</v>
      </c>
      <c r="G2459">
        <v>-422.2758</v>
      </c>
      <c r="H2459" s="1">
        <v>3.9561049999999996E-6</v>
      </c>
      <c r="I2459">
        <v>210.0958</v>
      </c>
      <c r="J2459">
        <v>-437.9615</v>
      </c>
      <c r="K2459">
        <v>1.1103860000000001</v>
      </c>
      <c r="L2459">
        <v>213.42089999999999</v>
      </c>
      <c r="M2459">
        <v>0.99891569999999996</v>
      </c>
      <c r="N2459">
        <v>0</v>
      </c>
      <c r="O2459">
        <v>-4.54361E-2</v>
      </c>
      <c r="P2459">
        <v>0.9800934</v>
      </c>
      <c r="Q2459">
        <v>0.18531139999999999</v>
      </c>
      <c r="R2459">
        <v>-7.1253159999999996E-2</v>
      </c>
      <c r="S2459">
        <v>3.0563959999999999</v>
      </c>
      <c r="T2459">
        <v>-0.2130512</v>
      </c>
      <c r="U2459">
        <v>-0.63992309999999997</v>
      </c>
      <c r="V2459">
        <v>2.6320799999999998E-2</v>
      </c>
      <c r="W2459">
        <v>0.19531660000000001</v>
      </c>
      <c r="X2459">
        <v>0.98038700000000001</v>
      </c>
      <c r="Y2459">
        <v>0.159976799999999</v>
      </c>
      <c r="Z2459">
        <v>-2.3842160000000002E-3</v>
      </c>
      <c r="AA2459">
        <v>0.98711789999999999</v>
      </c>
      <c r="AB2459">
        <v>24</v>
      </c>
      <c r="AC2459">
        <v>15.685699999999899</v>
      </c>
      <c r="AD2459">
        <v>-1.1103820438950001</v>
      </c>
      <c r="AE2459">
        <v>-3.3250999999999902</v>
      </c>
      <c r="AF2459">
        <v>2.5964801068274599</v>
      </c>
      <c r="AG2459">
        <v>-1.1103820438950001</v>
      </c>
      <c r="AH2459">
        <v>15.745078424364401</v>
      </c>
      <c r="AI2459">
        <v>93.980379238555699</v>
      </c>
      <c r="AJ2459">
        <v>80.635779382513704</v>
      </c>
      <c r="AK2459">
        <v>15.996316820379</v>
      </c>
      <c r="AL2459">
        <v>78.736781090853796</v>
      </c>
      <c r="AM2459">
        <v>88.462129158538602</v>
      </c>
      <c r="AN2459">
        <v>1.0000000142586001</v>
      </c>
    </row>
    <row r="2460" spans="1:40" x14ac:dyDescent="0.25">
      <c r="A2460" t="str">
        <f>"20190312172707079"</f>
        <v>20190312172707079</v>
      </c>
      <c r="B2460" t="str">
        <f>"1552382827071701"</f>
        <v>1552382827071701</v>
      </c>
      <c r="C2460" t="s">
        <v>40</v>
      </c>
      <c r="D2460">
        <v>3.2523219999999999</v>
      </c>
      <c r="E2460">
        <v>0.56101400000000001</v>
      </c>
      <c r="F2460" t="s">
        <v>49</v>
      </c>
      <c r="G2460">
        <v>-422.35789999999997</v>
      </c>
      <c r="H2460" s="1">
        <v>3.9434360000000004E-6</v>
      </c>
      <c r="I2460">
        <v>210.07409999999999</v>
      </c>
      <c r="J2460">
        <v>-437.7183</v>
      </c>
      <c r="K2460">
        <v>1.110376</v>
      </c>
      <c r="L2460">
        <v>213.411</v>
      </c>
      <c r="M2460">
        <v>0.99896629999999997</v>
      </c>
      <c r="N2460">
        <v>0</v>
      </c>
      <c r="O2460">
        <v>-4.4329029999999998E-2</v>
      </c>
      <c r="P2460">
        <v>0.9799445</v>
      </c>
      <c r="Q2460">
        <v>0.18481810000000001</v>
      </c>
      <c r="R2460">
        <v>-7.4507870000000004E-2</v>
      </c>
      <c r="S2460">
        <v>3.0543819999999999</v>
      </c>
      <c r="T2460">
        <v>-0.21735670000000001</v>
      </c>
      <c r="U2460">
        <v>-0.6551361</v>
      </c>
      <c r="V2460">
        <v>3.0666659999999998E-2</v>
      </c>
      <c r="W2460">
        <v>0.1947545</v>
      </c>
      <c r="X2460">
        <v>0.98037249999999998</v>
      </c>
      <c r="Y2460">
        <v>0.16587579999999999</v>
      </c>
      <c r="Z2460">
        <v>-2.7175390000000002E-3</v>
      </c>
      <c r="AA2460">
        <v>0.98614290000000004</v>
      </c>
      <c r="AB2460">
        <v>24</v>
      </c>
      <c r="AC2460">
        <v>15.3604</v>
      </c>
      <c r="AD2460">
        <v>-1.1103720565639901</v>
      </c>
      <c r="AE2460">
        <v>-3.33689999999998</v>
      </c>
      <c r="AF2460">
        <v>2.6395020802314701</v>
      </c>
      <c r="AG2460">
        <v>-1.1103720565639901</v>
      </c>
      <c r="AH2460">
        <v>15.416299860427401</v>
      </c>
      <c r="AI2460">
        <v>94.060774949705305</v>
      </c>
      <c r="AJ2460">
        <v>80.284308186920001</v>
      </c>
      <c r="AK2460">
        <v>15.679993581700201</v>
      </c>
      <c r="AL2460">
        <v>78.769617462606107</v>
      </c>
      <c r="AM2460">
        <v>88.2083366867206</v>
      </c>
      <c r="AN2460">
        <v>0.99999999903102699</v>
      </c>
    </row>
    <row r="2461" spans="1:40" x14ac:dyDescent="0.25">
      <c r="A2461" t="str">
        <f>"20190312172707102"</f>
        <v>20190312172707102</v>
      </c>
      <c r="B2461" t="str">
        <f>"1552382827091222"</f>
        <v>1552382827091222</v>
      </c>
      <c r="C2461" t="s">
        <v>40</v>
      </c>
      <c r="D2461">
        <v>3.273031</v>
      </c>
      <c r="E2461">
        <v>0.5612338</v>
      </c>
      <c r="F2461" t="s">
        <v>49</v>
      </c>
      <c r="G2461">
        <v>-422.28399999999999</v>
      </c>
      <c r="H2461" s="1">
        <v>3.9599449999999997E-6</v>
      </c>
      <c r="I2461">
        <v>210.03530000000001</v>
      </c>
      <c r="J2461">
        <v>-437.46390000000002</v>
      </c>
      <c r="K2461">
        <v>1.1103730000000001</v>
      </c>
      <c r="L2461">
        <v>213.40100000000001</v>
      </c>
      <c r="M2461">
        <v>0.99901770000000001</v>
      </c>
      <c r="N2461">
        <v>0</v>
      </c>
      <c r="O2461">
        <v>-4.3171330000000001E-2</v>
      </c>
      <c r="P2461">
        <v>0.97972479999999995</v>
      </c>
      <c r="Q2461">
        <v>0.1851091</v>
      </c>
      <c r="R2461">
        <v>-7.6643059999999999E-2</v>
      </c>
      <c r="S2461">
        <v>3.0520320000000001</v>
      </c>
      <c r="T2461">
        <v>-0.21956870000000001</v>
      </c>
      <c r="U2461">
        <v>-0.66752619999999996</v>
      </c>
      <c r="V2461">
        <v>3.3945669999999997E-2</v>
      </c>
      <c r="W2461">
        <v>0.19497709999999999</v>
      </c>
      <c r="X2461">
        <v>0.98022019999999999</v>
      </c>
      <c r="Y2461">
        <v>0.1709743</v>
      </c>
      <c r="Z2461">
        <v>-3.009093E-3</v>
      </c>
      <c r="AA2461">
        <v>0.98527089999999995</v>
      </c>
      <c r="AB2461">
        <v>24</v>
      </c>
      <c r="AC2461">
        <v>15.1799</v>
      </c>
      <c r="AD2461">
        <v>-1.1103690400549999</v>
      </c>
      <c r="AE2461">
        <v>-3.3656999999999702</v>
      </c>
      <c r="AF2461">
        <v>2.69345643880084</v>
      </c>
      <c r="AG2461">
        <v>-1.1103690400549999</v>
      </c>
      <c r="AH2461">
        <v>15.2333676402289</v>
      </c>
      <c r="AI2461">
        <v>94.105491994218198</v>
      </c>
      <c r="AJ2461">
        <v>79.972998702185194</v>
      </c>
      <c r="AK2461">
        <v>15.509452493728</v>
      </c>
      <c r="AL2461">
        <v>78.756614263901895</v>
      </c>
      <c r="AM2461">
        <v>88.016602116038896</v>
      </c>
      <c r="AN2461">
        <v>1.00000000926209</v>
      </c>
    </row>
    <row r="2462" spans="1:40" x14ac:dyDescent="0.25">
      <c r="A2462" t="str">
        <f>"20190312172707125"</f>
        <v>20190312172707125</v>
      </c>
      <c r="B2462" t="str">
        <f>"1552382827121476"</f>
        <v>1552382827121476</v>
      </c>
      <c r="C2462" t="s">
        <v>40</v>
      </c>
      <c r="D2462">
        <v>3.2454339999999999</v>
      </c>
      <c r="E2462">
        <v>0.56139830000000002</v>
      </c>
      <c r="F2462" t="s">
        <v>49</v>
      </c>
      <c r="G2462">
        <v>-421.99290000000002</v>
      </c>
      <c r="H2462" s="1">
        <v>4.0166200000000003E-6</v>
      </c>
      <c r="I2462">
        <v>209.9777</v>
      </c>
      <c r="J2462">
        <v>-437.2253</v>
      </c>
      <c r="K2462">
        <v>1.1103689999999999</v>
      </c>
      <c r="L2462">
        <v>213.39189999999999</v>
      </c>
      <c r="M2462">
        <v>0.99906459999999997</v>
      </c>
      <c r="N2462">
        <v>0</v>
      </c>
      <c r="O2462">
        <v>-4.2086640000000002E-2</v>
      </c>
      <c r="P2462">
        <v>0.97970349999999995</v>
      </c>
      <c r="Q2462">
        <v>0.18459010000000001</v>
      </c>
      <c r="R2462">
        <v>-7.8152979999999997E-2</v>
      </c>
      <c r="S2462">
        <v>3.0506289999999998</v>
      </c>
      <c r="T2462">
        <v>-0.218946</v>
      </c>
      <c r="U2462">
        <v>-0.67501829999999996</v>
      </c>
      <c r="V2462">
        <v>3.6521039999999998E-2</v>
      </c>
      <c r="W2462">
        <v>0.1944022</v>
      </c>
      <c r="X2462">
        <v>0.98024180000000005</v>
      </c>
      <c r="Y2462">
        <v>0.17443610000000001</v>
      </c>
      <c r="Z2462">
        <v>-3.2003750000000001E-3</v>
      </c>
      <c r="AA2462">
        <v>0.98466330000000002</v>
      </c>
      <c r="AB2462">
        <v>24</v>
      </c>
      <c r="AC2462">
        <v>15.232399999999901</v>
      </c>
      <c r="AD2462">
        <v>-1.11036498338</v>
      </c>
      <c r="AE2462">
        <v>-3.4141999999999899</v>
      </c>
      <c r="AF2462">
        <v>2.75611789545261</v>
      </c>
      <c r="AG2462">
        <v>-1.11036498338</v>
      </c>
      <c r="AH2462">
        <v>15.2852658791473</v>
      </c>
      <c r="AI2462">
        <v>94.089116770397894</v>
      </c>
      <c r="AJ2462">
        <v>79.778708197396696</v>
      </c>
      <c r="AK2462">
        <v>15.5713984357916</v>
      </c>
      <c r="AL2462">
        <v>78.790196029498802</v>
      </c>
      <c r="AM2462">
        <v>87.866308024587397</v>
      </c>
      <c r="AN2462">
        <v>0.99999999409738005</v>
      </c>
    </row>
    <row r="2463" spans="1:40" x14ac:dyDescent="0.25">
      <c r="A2463" t="str">
        <f>"20190312172707149"</f>
        <v>20190312172707149</v>
      </c>
      <c r="B2463" t="str">
        <f>"1552382827141972"</f>
        <v>1552382827141972</v>
      </c>
      <c r="C2463" t="s">
        <v>40</v>
      </c>
      <c r="D2463">
        <v>3.2464490000000001</v>
      </c>
      <c r="E2463">
        <v>0.56150840000000002</v>
      </c>
      <c r="F2463" t="s">
        <v>49</v>
      </c>
      <c r="G2463">
        <v>-421.93049999999999</v>
      </c>
      <c r="H2463" s="1">
        <v>4.0277990000000004E-6</v>
      </c>
      <c r="I2463">
        <v>209.97640000000001</v>
      </c>
      <c r="J2463">
        <v>-436.96370000000002</v>
      </c>
      <c r="K2463">
        <v>1.11036</v>
      </c>
      <c r="L2463">
        <v>213.38220000000001</v>
      </c>
      <c r="M2463">
        <v>0.99911459999999996</v>
      </c>
      <c r="N2463">
        <v>0</v>
      </c>
      <c r="O2463">
        <v>-4.0896799999999997E-2</v>
      </c>
      <c r="P2463">
        <v>0.97976730000000001</v>
      </c>
      <c r="Q2463">
        <v>0.1840803</v>
      </c>
      <c r="R2463">
        <v>-7.8551010000000004E-2</v>
      </c>
      <c r="S2463">
        <v>3.0495299999999999</v>
      </c>
      <c r="T2463">
        <v>-0.22138769999999999</v>
      </c>
      <c r="U2463">
        <v>-0.68099980000000004</v>
      </c>
      <c r="V2463">
        <v>3.8085510000000003E-2</v>
      </c>
      <c r="W2463">
        <v>0.19383249999999999</v>
      </c>
      <c r="X2463">
        <v>0.98029509999999997</v>
      </c>
      <c r="Y2463">
        <v>0.1775051</v>
      </c>
      <c r="Z2463">
        <v>-3.4313490000000002E-3</v>
      </c>
      <c r="AA2463">
        <v>0.98411389999999999</v>
      </c>
      <c r="AB2463">
        <v>24</v>
      </c>
      <c r="AC2463">
        <v>15.033200000000001</v>
      </c>
      <c r="AD2463">
        <v>-1.1103559722009999</v>
      </c>
      <c r="AE2463">
        <v>-3.4058000000000002</v>
      </c>
      <c r="AF2463">
        <v>2.77371776779886</v>
      </c>
      <c r="AG2463">
        <v>-1.1103559722009999</v>
      </c>
      <c r="AH2463">
        <v>15.081655922219801</v>
      </c>
      <c r="AI2463">
        <v>94.141476716911299</v>
      </c>
      <c r="AJ2463">
        <v>79.578994001837202</v>
      </c>
      <c r="AK2463">
        <v>15.374743770113099</v>
      </c>
      <c r="AL2463">
        <v>78.823470590669899</v>
      </c>
      <c r="AM2463">
        <v>87.775116833604898</v>
      </c>
      <c r="AN2463">
        <v>1.00000001360611</v>
      </c>
    </row>
    <row r="2464" spans="1:40" x14ac:dyDescent="0.25">
      <c r="A2464" t="str">
        <f>"20190312172707169"</f>
        <v>20190312172707169</v>
      </c>
      <c r="B2464" t="str">
        <f>"1552382827162001"</f>
        <v>1552382827162001</v>
      </c>
      <c r="C2464" t="s">
        <v>40</v>
      </c>
      <c r="D2464">
        <v>3.244577</v>
      </c>
      <c r="E2464">
        <v>0.56157330000000005</v>
      </c>
      <c r="F2464" t="s">
        <v>49</v>
      </c>
      <c r="G2464">
        <v>-421.81830000000002</v>
      </c>
      <c r="H2464" s="1">
        <v>4.0465589999999999E-6</v>
      </c>
      <c r="I2464">
        <v>209.98949999999999</v>
      </c>
      <c r="J2464">
        <v>-436.7371</v>
      </c>
      <c r="K2464">
        <v>1.110352</v>
      </c>
      <c r="L2464">
        <v>213.3741</v>
      </c>
      <c r="M2464">
        <v>0.99915679999999996</v>
      </c>
      <c r="N2464">
        <v>0</v>
      </c>
      <c r="O2464">
        <v>-3.9866980000000003E-2</v>
      </c>
      <c r="P2464">
        <v>0.97966359999999997</v>
      </c>
      <c r="Q2464">
        <v>0.18437919999999999</v>
      </c>
      <c r="R2464">
        <v>-7.9143290000000005E-2</v>
      </c>
      <c r="S2464">
        <v>3.049194</v>
      </c>
      <c r="T2464">
        <v>-0.2235451</v>
      </c>
      <c r="U2464">
        <v>-0.6830444</v>
      </c>
      <c r="V2464">
        <v>3.9692480000000002E-2</v>
      </c>
      <c r="W2464">
        <v>0.19408049999999999</v>
      </c>
      <c r="X2464">
        <v>0.98018229999999995</v>
      </c>
      <c r="Y2464">
        <v>0.17915719999999999</v>
      </c>
      <c r="Z2464">
        <v>-3.5988439999999999E-3</v>
      </c>
      <c r="AA2464">
        <v>0.98381390000000002</v>
      </c>
      <c r="AB2464">
        <v>24</v>
      </c>
      <c r="AC2464">
        <v>14.9187999999999</v>
      </c>
      <c r="AD2464">
        <v>-1.1103479534409999</v>
      </c>
      <c r="AE2464">
        <v>-3.3845999999999998</v>
      </c>
      <c r="AF2464">
        <v>2.7725069851747999</v>
      </c>
      <c r="AG2464">
        <v>-1.1103479534409999</v>
      </c>
      <c r="AH2464">
        <v>14.963051800234799</v>
      </c>
      <c r="AI2464">
        <v>94.173136135514497</v>
      </c>
      <c r="AJ2464">
        <v>79.502705230016005</v>
      </c>
      <c r="AK2464">
        <v>15.2581973619778</v>
      </c>
      <c r="AL2464">
        <v>78.808986449497198</v>
      </c>
      <c r="AM2464">
        <v>87.681074544963494</v>
      </c>
      <c r="AN2464">
        <v>1.00000003734104</v>
      </c>
    </row>
    <row r="2465" spans="1:40" x14ac:dyDescent="0.25">
      <c r="A2465" t="str">
        <f>"20190312172707192"</f>
        <v>20190312172707192</v>
      </c>
      <c r="B2465" t="str">
        <f>"1552382827181520"</f>
        <v>1552382827181520</v>
      </c>
      <c r="C2465" t="s">
        <v>40</v>
      </c>
      <c r="D2465">
        <v>3.2405249999999999</v>
      </c>
      <c r="E2465">
        <v>0.56162639999999997</v>
      </c>
      <c r="F2465" t="s">
        <v>49</v>
      </c>
      <c r="G2465">
        <v>-421.57929999999999</v>
      </c>
      <c r="H2465" s="1">
        <v>4.0907700000000003E-6</v>
      </c>
      <c r="I2465">
        <v>209.96870000000001</v>
      </c>
      <c r="J2465">
        <v>-436.49540000000002</v>
      </c>
      <c r="K2465">
        <v>1.1103540000000001</v>
      </c>
      <c r="L2465">
        <v>213.3657</v>
      </c>
      <c r="M2465">
        <v>0.99920059999999999</v>
      </c>
      <c r="N2465">
        <v>0</v>
      </c>
      <c r="O2465">
        <v>-3.8768869999999997E-2</v>
      </c>
      <c r="P2465">
        <v>0.97969470000000003</v>
      </c>
      <c r="Q2465">
        <v>0.18439659999999999</v>
      </c>
      <c r="R2465">
        <v>-7.8717910000000002E-2</v>
      </c>
      <c r="S2465">
        <v>3.0489809999999999</v>
      </c>
      <c r="T2465">
        <v>-0.2233454</v>
      </c>
      <c r="U2465">
        <v>-0.68499759999999998</v>
      </c>
      <c r="V2465">
        <v>4.0344089999999999E-2</v>
      </c>
      <c r="W2465">
        <v>0.19405049999999999</v>
      </c>
      <c r="X2465">
        <v>0.98016159999999997</v>
      </c>
      <c r="Y2465">
        <v>0.18084629999999999</v>
      </c>
      <c r="Z2465">
        <v>-3.7358030000000002E-3</v>
      </c>
      <c r="AA2465">
        <v>0.9835043</v>
      </c>
      <c r="AB2465">
        <v>24</v>
      </c>
      <c r="AC2465">
        <v>14.9161</v>
      </c>
      <c r="AD2465">
        <v>-1.11034990923</v>
      </c>
      <c r="AE2465">
        <v>-3.39699999999999</v>
      </c>
      <c r="AF2465">
        <v>2.80138028131018</v>
      </c>
      <c r="AG2465">
        <v>-1.11034990923</v>
      </c>
      <c r="AH2465">
        <v>14.9577909949237</v>
      </c>
      <c r="AI2465">
        <v>94.173111778083495</v>
      </c>
      <c r="AJ2465">
        <v>79.392206944370898</v>
      </c>
      <c r="AK2465">
        <v>15.2583131390486</v>
      </c>
      <c r="AL2465">
        <v>78.810738235292902</v>
      </c>
      <c r="AM2465">
        <v>87.642998864542903</v>
      </c>
      <c r="AN2465">
        <v>1.00000000213136</v>
      </c>
    </row>
    <row r="2466" spans="1:40" x14ac:dyDescent="0.25">
      <c r="A2466" t="str">
        <f>"20190312172707235"</f>
        <v>20190312172707235</v>
      </c>
      <c r="B2466" t="str">
        <f>"1552382827231295"</f>
        <v>1552382827231295</v>
      </c>
      <c r="C2466" t="s">
        <v>40</v>
      </c>
      <c r="D2466">
        <v>3.2166990000000002</v>
      </c>
      <c r="E2466">
        <v>0.56183509999999903</v>
      </c>
      <c r="F2466" t="s">
        <v>49</v>
      </c>
      <c r="G2466">
        <v>-421.38310000000001</v>
      </c>
      <c r="H2466" s="1">
        <v>4.1247389999999997E-6</v>
      </c>
      <c r="I2466">
        <v>209.97829999999999</v>
      </c>
      <c r="J2466">
        <v>-436.02780000000001</v>
      </c>
      <c r="K2466">
        <v>1.110347</v>
      </c>
      <c r="L2466">
        <v>213.3502</v>
      </c>
      <c r="M2466">
        <v>0.99928139999999999</v>
      </c>
      <c r="N2466">
        <v>0</v>
      </c>
      <c r="O2466">
        <v>-3.6644839999999998E-2</v>
      </c>
      <c r="P2466">
        <v>0.98005569999999997</v>
      </c>
      <c r="Q2466">
        <v>0.18407299999999999</v>
      </c>
      <c r="R2466">
        <v>-7.488628E-2</v>
      </c>
      <c r="S2466">
        <v>3.0494379999999999</v>
      </c>
      <c r="T2466">
        <v>-0.22405140000000001</v>
      </c>
      <c r="U2466">
        <v>-0.6835175</v>
      </c>
      <c r="V2466">
        <v>3.8587379999999998E-2</v>
      </c>
      <c r="W2466">
        <v>0.1936454</v>
      </c>
      <c r="X2466">
        <v>0.98031250000000003</v>
      </c>
      <c r="Y2466">
        <v>0.18243870000000001</v>
      </c>
      <c r="Z2466">
        <v>-3.9584850000000003E-3</v>
      </c>
      <c r="AA2466">
        <v>0.98320929999999995</v>
      </c>
      <c r="AB2466">
        <v>24</v>
      </c>
      <c r="AC2466">
        <v>14.6447</v>
      </c>
      <c r="AD2466">
        <v>-1.1103428752609901</v>
      </c>
      <c r="AE2466">
        <v>-3.3719000000000099</v>
      </c>
      <c r="AF2466">
        <v>2.8175758252576801</v>
      </c>
      <c r="AG2466">
        <v>-1.1103428752609901</v>
      </c>
      <c r="AH2466">
        <v>14.678301552084701</v>
      </c>
      <c r="AI2466">
        <v>94.248636872830701</v>
      </c>
      <c r="AJ2466">
        <v>79.133952096370706</v>
      </c>
      <c r="AK2466">
        <v>14.987465805987799</v>
      </c>
      <c r="AL2466">
        <v>78.834398214953495</v>
      </c>
      <c r="AM2466">
        <v>87.745868558118403</v>
      </c>
      <c r="AN2466">
        <v>1.0000000622463301</v>
      </c>
    </row>
    <row r="2467" spans="1:40" x14ac:dyDescent="0.25">
      <c r="A2467" t="str">
        <f>"20190312172707256"</f>
        <v>20190312172707256</v>
      </c>
      <c r="B2467" t="str">
        <f>"1552382827251792"</f>
        <v>1552382827251792</v>
      </c>
      <c r="C2467" t="s">
        <v>40</v>
      </c>
      <c r="D2467">
        <v>3.223627</v>
      </c>
      <c r="E2467">
        <v>0.56182119999999902</v>
      </c>
      <c r="F2467" t="s">
        <v>49</v>
      </c>
      <c r="G2467">
        <v>-421.07470000000001</v>
      </c>
      <c r="H2467" s="1">
        <v>4.1724559999999999E-6</v>
      </c>
      <c r="I2467">
        <v>210.0582</v>
      </c>
      <c r="J2467">
        <v>-435.7921</v>
      </c>
      <c r="K2467">
        <v>1.1103400000000001</v>
      </c>
      <c r="L2467">
        <v>213.34270000000001</v>
      </c>
      <c r="M2467">
        <v>0.9993204</v>
      </c>
      <c r="N2467">
        <v>0</v>
      </c>
      <c r="O2467">
        <v>-3.557478E-2</v>
      </c>
      <c r="P2467">
        <v>0.98030300000000004</v>
      </c>
      <c r="Q2467">
        <v>0.18370990000000001</v>
      </c>
      <c r="R2467">
        <v>-7.2503590000000007E-2</v>
      </c>
      <c r="S2467">
        <v>3.0523380000000002</v>
      </c>
      <c r="T2467">
        <v>-0.2266514</v>
      </c>
      <c r="U2467">
        <v>-0.67198179999999996</v>
      </c>
      <c r="V2467">
        <v>3.7248749999999997E-2</v>
      </c>
      <c r="W2467">
        <v>0.1932412</v>
      </c>
      <c r="X2467">
        <v>0.98044399999999998</v>
      </c>
      <c r="Y2467">
        <v>0.17974609999999999</v>
      </c>
      <c r="Z2467">
        <v>-3.9817350000000001E-3</v>
      </c>
      <c r="AA2467">
        <v>0.98370500000000005</v>
      </c>
      <c r="AB2467">
        <v>24</v>
      </c>
      <c r="AC2467">
        <v>14.7173999999999</v>
      </c>
      <c r="AD2467">
        <v>-1.1103358275439901</v>
      </c>
      <c r="AE2467">
        <v>-3.2845</v>
      </c>
      <c r="AF2467">
        <v>2.7439511573288802</v>
      </c>
      <c r="AG2467">
        <v>-1.1103358275439901</v>
      </c>
      <c r="AH2467">
        <v>14.7449907505867</v>
      </c>
      <c r="AI2467">
        <v>94.233974405276996</v>
      </c>
      <c r="AJ2467">
        <v>79.458198274318704</v>
      </c>
      <c r="AK2467">
        <v>15.039177698219399</v>
      </c>
      <c r="AL2467">
        <v>78.858002708896294</v>
      </c>
      <c r="AM2467">
        <v>87.824281403582802</v>
      </c>
      <c r="AN2467">
        <v>1.0000000339449999</v>
      </c>
    </row>
    <row r="2468" spans="1:40" x14ac:dyDescent="0.25">
      <c r="A2468" t="str">
        <f>"20190312172707435"</f>
        <v>20190312172707435</v>
      </c>
      <c r="B2468" t="str">
        <f>"1552382827431354"</f>
        <v>1552382827431354</v>
      </c>
      <c r="C2468" t="s">
        <v>40</v>
      </c>
      <c r="D2468">
        <v>3.415899</v>
      </c>
      <c r="E2468">
        <v>0.55949729999999998</v>
      </c>
      <c r="F2468" t="s">
        <v>49</v>
      </c>
      <c r="G2468">
        <v>-420.95150000000001</v>
      </c>
      <c r="H2468" s="1">
        <v>4.1895310000000001E-6</v>
      </c>
      <c r="I2468">
        <v>210.11279999999999</v>
      </c>
      <c r="J2468">
        <v>-433.82400000000001</v>
      </c>
      <c r="K2468">
        <v>1.110314</v>
      </c>
      <c r="L2468">
        <v>213.29040000000001</v>
      </c>
      <c r="M2468">
        <v>0.99960190000000004</v>
      </c>
      <c r="N2468">
        <v>0</v>
      </c>
      <c r="O2468">
        <v>-2.664304E-2</v>
      </c>
      <c r="P2468">
        <v>0.98123879999999997</v>
      </c>
      <c r="Q2468">
        <v>0.18313280000000001</v>
      </c>
      <c r="R2468">
        <v>-6.0275269999999999E-2</v>
      </c>
      <c r="S2468">
        <v>3.0539860000000001</v>
      </c>
      <c r="T2468">
        <v>-0.22849069999999999</v>
      </c>
      <c r="U2468">
        <v>-0.66467290000000001</v>
      </c>
      <c r="V2468">
        <v>3.3766690000000002E-2</v>
      </c>
      <c r="W2468">
        <v>0.192326</v>
      </c>
      <c r="X2468">
        <v>0.98075000000000001</v>
      </c>
      <c r="Y2468">
        <v>0.1861275</v>
      </c>
      <c r="Z2468">
        <v>-4.9067950000000003E-3</v>
      </c>
      <c r="AA2468">
        <v>0.98251339999999998</v>
      </c>
      <c r="AB2468">
        <v>25</v>
      </c>
      <c r="AC2468">
        <v>12.8725</v>
      </c>
      <c r="AD2468">
        <v>-1.1103098104689999</v>
      </c>
      <c r="AE2468">
        <v>-3.1776000000000102</v>
      </c>
      <c r="AF2468">
        <v>2.8137630379696499</v>
      </c>
      <c r="AG2468">
        <v>-1.1103098104689999</v>
      </c>
      <c r="AH2468">
        <v>12.862396909268201</v>
      </c>
      <c r="AI2468">
        <v>94.820231812250995</v>
      </c>
      <c r="AJ2468">
        <v>77.6604293130966</v>
      </c>
      <c r="AK2468">
        <v>13.2133002902613</v>
      </c>
      <c r="AL2468">
        <v>78.911442118657504</v>
      </c>
      <c r="AM2468">
        <v>88.028116322836198</v>
      </c>
      <c r="AN2468">
        <v>1.0000000210647699</v>
      </c>
    </row>
    <row r="2469" spans="1:40" x14ac:dyDescent="0.25">
      <c r="A2469" t="str">
        <f>"20190312172707457"</f>
        <v>20190312172707457</v>
      </c>
      <c r="B2469" t="str">
        <f>"1552382827451850"</f>
        <v>1552382827451850</v>
      </c>
      <c r="C2469" t="s">
        <v>40</v>
      </c>
      <c r="D2469">
        <v>3.1678679999999999</v>
      </c>
      <c r="E2469">
        <v>0.55749989999999905</v>
      </c>
      <c r="F2469" t="s">
        <v>49</v>
      </c>
      <c r="G2469">
        <v>-419.74590000000001</v>
      </c>
      <c r="H2469" s="1">
        <v>4.2951050000000001E-6</v>
      </c>
      <c r="I2469">
        <v>210.49170000000001</v>
      </c>
      <c r="J2469">
        <v>-433.57619999999997</v>
      </c>
      <c r="K2469">
        <v>1.1103050000000001</v>
      </c>
      <c r="L2469">
        <v>213.285</v>
      </c>
      <c r="M2469">
        <v>0.99963150000000001</v>
      </c>
      <c r="N2469">
        <v>0</v>
      </c>
      <c r="O2469">
        <v>-2.5519429999999999E-2</v>
      </c>
      <c r="P2469">
        <v>0.98134449999999995</v>
      </c>
      <c r="Q2469">
        <v>0.1831026</v>
      </c>
      <c r="R2469">
        <v>-5.8622319999999999E-2</v>
      </c>
      <c r="S2469">
        <v>3.0650629999999999</v>
      </c>
      <c r="T2469">
        <v>-0.24173520000000001</v>
      </c>
      <c r="U2469">
        <v>-0.60931400000000002</v>
      </c>
      <c r="V2469">
        <v>3.3214569999999999E-2</v>
      </c>
      <c r="W2469">
        <v>0.19224920000000001</v>
      </c>
      <c r="X2469">
        <v>0.98078390000000004</v>
      </c>
      <c r="Y2469">
        <v>0.1694543</v>
      </c>
      <c r="Z2469">
        <v>-4.6187049999999999E-3</v>
      </c>
      <c r="AA2469">
        <v>0.98552720000000005</v>
      </c>
      <c r="AB2469">
        <v>25</v>
      </c>
      <c r="AC2469">
        <v>13.8302999999999</v>
      </c>
      <c r="AD2469">
        <v>-1.11030070489499</v>
      </c>
      <c r="AE2469">
        <v>-2.7932999999999799</v>
      </c>
      <c r="AF2469">
        <v>2.42442091595426</v>
      </c>
      <c r="AG2469">
        <v>-1.11030070489499</v>
      </c>
      <c r="AH2469">
        <v>13.811556189689901</v>
      </c>
      <c r="AI2469">
        <v>94.527157721824494</v>
      </c>
      <c r="AJ2469">
        <v>80.043976985978304</v>
      </c>
      <c r="AK2469">
        <v>14.0666154000871</v>
      </c>
      <c r="AL2469">
        <v>78.915925993704406</v>
      </c>
      <c r="AM2469">
        <v>88.060400801064105</v>
      </c>
      <c r="AN2469">
        <v>1.0000000105300599</v>
      </c>
    </row>
    <row r="2470" spans="1:40" x14ac:dyDescent="0.25">
      <c r="A2470" t="str">
        <f>"20190312172707479"</f>
        <v>20190312172707479</v>
      </c>
      <c r="B2470" t="str">
        <f>"1552382827471875"</f>
        <v>1552382827471875</v>
      </c>
      <c r="C2470" t="s">
        <v>40</v>
      </c>
      <c r="D2470">
        <v>3.1811769999999999</v>
      </c>
      <c r="E2470">
        <v>0.55576510000000001</v>
      </c>
      <c r="F2470" t="s">
        <v>49</v>
      </c>
      <c r="G2470">
        <v>-419.5154</v>
      </c>
      <c r="H2470" s="1">
        <v>4.2459929999999997E-6</v>
      </c>
      <c r="I2470">
        <v>210.5856</v>
      </c>
      <c r="J2470">
        <v>-433.33269999999999</v>
      </c>
      <c r="K2470">
        <v>1.110287</v>
      </c>
      <c r="L2470">
        <v>213.28</v>
      </c>
      <c r="M2470">
        <v>0.99965970000000004</v>
      </c>
      <c r="N2470">
        <v>0</v>
      </c>
      <c r="O2470">
        <v>-2.4414749999999999E-2</v>
      </c>
      <c r="P2470">
        <v>0.98149819999999999</v>
      </c>
      <c r="Q2470">
        <v>0.18281620000000001</v>
      </c>
      <c r="R2470">
        <v>-5.6916649999999999E-2</v>
      </c>
      <c r="S2470">
        <v>3.0670470000000001</v>
      </c>
      <c r="T2470">
        <v>-0.24218600000000001</v>
      </c>
      <c r="U2470">
        <v>-0.58880619999999995</v>
      </c>
      <c r="V2470">
        <v>3.2590639999999997E-2</v>
      </c>
      <c r="W2470">
        <v>0.19190760000000001</v>
      </c>
      <c r="X2470">
        <v>0.98087170000000001</v>
      </c>
      <c r="Y2470">
        <v>0.16408239999999999</v>
      </c>
      <c r="Z2470">
        <v>-4.5035810000000004E-3</v>
      </c>
      <c r="AA2470">
        <v>0.98643639999999999</v>
      </c>
      <c r="AB2470">
        <v>25</v>
      </c>
      <c r="AC2470">
        <v>13.8172999999999</v>
      </c>
      <c r="AD2470">
        <v>-1.1102827540069999</v>
      </c>
      <c r="AE2470">
        <v>-2.6943999999999999</v>
      </c>
      <c r="AF2470">
        <v>2.3416706711302102</v>
      </c>
      <c r="AG2470">
        <v>-1.1102827540069999</v>
      </c>
      <c r="AH2470">
        <v>13.793168892463999</v>
      </c>
      <c r="AI2470">
        <v>94.537460078957906</v>
      </c>
      <c r="AJ2470">
        <v>80.364745334116904</v>
      </c>
      <c r="AK2470">
        <v>14.0345166436865</v>
      </c>
      <c r="AL2470">
        <v>78.935869296142002</v>
      </c>
      <c r="AM2470">
        <v>88.096979021850899</v>
      </c>
      <c r="AN2470">
        <v>0.999999984307129</v>
      </c>
    </row>
    <row r="2471" spans="1:40" x14ac:dyDescent="0.25">
      <c r="A2471" t="str">
        <f>"20190312172707502"</f>
        <v>20190312172707502</v>
      </c>
      <c r="B2471" t="str">
        <f>"1552382827491395"</f>
        <v>1552382827491395</v>
      </c>
      <c r="C2471" t="s">
        <v>40</v>
      </c>
      <c r="D2471">
        <v>3.1276470000000001</v>
      </c>
      <c r="E2471">
        <v>0.55428809999999995</v>
      </c>
      <c r="F2471" t="s">
        <v>49</v>
      </c>
      <c r="G2471">
        <v>-419.0061</v>
      </c>
      <c r="H2471" s="1">
        <v>4.1530169999999997E-6</v>
      </c>
      <c r="I2471">
        <v>210.61590000000001</v>
      </c>
      <c r="J2471">
        <v>-433.07639999999998</v>
      </c>
      <c r="K2471">
        <v>1.110279</v>
      </c>
      <c r="L2471">
        <v>213.27500000000001</v>
      </c>
      <c r="M2471">
        <v>0.99968789999999996</v>
      </c>
      <c r="N2471">
        <v>0</v>
      </c>
      <c r="O2471">
        <v>-2.3252439999999999E-2</v>
      </c>
      <c r="P2471">
        <v>0.98151889999999997</v>
      </c>
      <c r="Q2471">
        <v>0.1833381</v>
      </c>
      <c r="R2471">
        <v>-5.4842130000000003E-2</v>
      </c>
      <c r="S2471">
        <v>3.06778</v>
      </c>
      <c r="T2471">
        <v>-0.2377474</v>
      </c>
      <c r="U2471">
        <v>-0.57046509999999995</v>
      </c>
      <c r="V2471">
        <v>3.1656089999999998E-2</v>
      </c>
      <c r="W2471">
        <v>0.1923569</v>
      </c>
      <c r="X2471">
        <v>0.98081430000000003</v>
      </c>
      <c r="Y2471">
        <v>0.159514299999999</v>
      </c>
      <c r="Z2471">
        <v>-4.3364629999999996E-3</v>
      </c>
      <c r="AA2471">
        <v>0.98718609999999896</v>
      </c>
      <c r="AB2471">
        <v>25</v>
      </c>
      <c r="AC2471">
        <v>14.0702999999999</v>
      </c>
      <c r="AD2471">
        <v>-1.1102748469829999</v>
      </c>
      <c r="AE2471">
        <v>-2.6590999999999898</v>
      </c>
      <c r="AF2471">
        <v>2.3172672934783001</v>
      </c>
      <c r="AG2471">
        <v>-1.1102748469829999</v>
      </c>
      <c r="AH2471">
        <v>14.043897703956601</v>
      </c>
      <c r="AI2471">
        <v>94.460197275942406</v>
      </c>
      <c r="AJ2471">
        <v>80.630518899870793</v>
      </c>
      <c r="AK2471">
        <v>14.2770270247158</v>
      </c>
      <c r="AL2471">
        <v>78.909637621770599</v>
      </c>
      <c r="AM2471">
        <v>88.151402410592098</v>
      </c>
      <c r="AN2471">
        <v>0.99999998804809398</v>
      </c>
    </row>
    <row r="2472" spans="1:40" x14ac:dyDescent="0.25">
      <c r="A2472" t="str">
        <f>"20190312172707526"</f>
        <v>20190312172707526</v>
      </c>
      <c r="B2472" t="str">
        <f>"1552382827521651"</f>
        <v>1552382827521651</v>
      </c>
      <c r="C2472" t="s">
        <v>40</v>
      </c>
      <c r="D2472">
        <v>3.1454170000000001</v>
      </c>
      <c r="E2472">
        <v>0.55236790000000002</v>
      </c>
      <c r="F2472" t="s">
        <v>49</v>
      </c>
      <c r="G2472">
        <v>-418.286</v>
      </c>
      <c r="H2472" s="1">
        <v>4.0257530000000002E-6</v>
      </c>
      <c r="I2472">
        <v>210.6105</v>
      </c>
      <c r="J2472">
        <v>-432.80739999999997</v>
      </c>
      <c r="K2472">
        <v>1.1102669999999999</v>
      </c>
      <c r="L2472">
        <v>213.27010000000001</v>
      </c>
      <c r="M2472">
        <v>0.9997163</v>
      </c>
      <c r="N2472">
        <v>0</v>
      </c>
      <c r="O2472">
        <v>-2.2032380000000001E-2</v>
      </c>
      <c r="P2472">
        <v>0.98158590000000001</v>
      </c>
      <c r="Q2472">
        <v>0.1836188</v>
      </c>
      <c r="R2472">
        <v>-5.2663399999999999E-2</v>
      </c>
      <c r="S2472">
        <v>3.0686040000000001</v>
      </c>
      <c r="T2472">
        <v>-0.23035140000000001</v>
      </c>
      <c r="U2472">
        <v>-0.55281069999999999</v>
      </c>
      <c r="V2472">
        <v>3.067375E-2</v>
      </c>
      <c r="W2472">
        <v>0.19255249999999999</v>
      </c>
      <c r="X2472">
        <v>0.98080710000000004</v>
      </c>
      <c r="Y2472">
        <v>0.1552067</v>
      </c>
      <c r="Z2472">
        <v>-4.133411E-3</v>
      </c>
      <c r="AA2472">
        <v>0.98787340000000001</v>
      </c>
      <c r="AB2472">
        <v>25</v>
      </c>
      <c r="AC2472">
        <v>14.5213999999999</v>
      </c>
      <c r="AD2472">
        <v>-1.110262974247</v>
      </c>
      <c r="AE2472">
        <v>-2.65960000000001</v>
      </c>
      <c r="AF2472">
        <v>2.3258453746987202</v>
      </c>
      <c r="AG2472">
        <v>-1.110262974247</v>
      </c>
      <c r="AH2472">
        <v>14.494494301184799</v>
      </c>
      <c r="AI2472">
        <v>94.325127406951296</v>
      </c>
      <c r="AJ2472">
        <v>80.883800068122</v>
      </c>
      <c r="AK2472">
        <v>14.721841108573001</v>
      </c>
      <c r="AL2472">
        <v>78.898216707197193</v>
      </c>
      <c r="AM2472">
        <v>88.208716291915195</v>
      </c>
      <c r="AN2472">
        <v>0.99999995580286005</v>
      </c>
    </row>
    <row r="2473" spans="1:40" x14ac:dyDescent="0.25">
      <c r="A2473" t="str">
        <f>"20190312172707548"</f>
        <v>20190312172707548</v>
      </c>
      <c r="B2473" t="str">
        <f>"1552382827541171"</f>
        <v>1552382827541171</v>
      </c>
      <c r="C2473" t="s">
        <v>40</v>
      </c>
      <c r="D2473">
        <v>3.1513900000000001</v>
      </c>
      <c r="E2473">
        <v>0.55112930000000004</v>
      </c>
      <c r="F2473" t="s">
        <v>49</v>
      </c>
      <c r="G2473">
        <v>-417.48180000000002</v>
      </c>
      <c r="H2473" s="1">
        <v>3.882519E-6</v>
      </c>
      <c r="I2473">
        <v>210.61709999999999</v>
      </c>
      <c r="J2473">
        <v>-432.56060000000002</v>
      </c>
      <c r="K2473">
        <v>1.1102529999999999</v>
      </c>
      <c r="L2473">
        <v>213.26589999999999</v>
      </c>
      <c r="M2473">
        <v>0.9997412</v>
      </c>
      <c r="N2473">
        <v>0</v>
      </c>
      <c r="O2473">
        <v>-2.0913060000000001E-2</v>
      </c>
      <c r="P2473">
        <v>0.98161540000000003</v>
      </c>
      <c r="Q2473">
        <v>0.18395120000000001</v>
      </c>
      <c r="R2473">
        <v>-5.0926800000000001E-2</v>
      </c>
      <c r="S2473">
        <v>3.069366</v>
      </c>
      <c r="T2473">
        <v>-0.22235949999999999</v>
      </c>
      <c r="U2473">
        <v>-0.53134159999999997</v>
      </c>
      <c r="V2473">
        <v>3.0034849999999998E-2</v>
      </c>
      <c r="W2473">
        <v>0.1928018</v>
      </c>
      <c r="X2473">
        <v>0.98077789999999998</v>
      </c>
      <c r="Y2473">
        <v>0.14960229999999999</v>
      </c>
      <c r="Z2473">
        <v>-3.8708280000000002E-3</v>
      </c>
      <c r="AA2473">
        <v>0.98873869999999997</v>
      </c>
      <c r="AB2473">
        <v>25</v>
      </c>
      <c r="AC2473">
        <v>15.078799999999999</v>
      </c>
      <c r="AD2473">
        <v>-1.1102491174810001</v>
      </c>
      <c r="AE2473">
        <v>-2.6487999999999898</v>
      </c>
      <c r="AF2473">
        <v>2.3206596637717301</v>
      </c>
      <c r="AG2473">
        <v>-1.1102491174810001</v>
      </c>
      <c r="AH2473">
        <v>15.051740621252501</v>
      </c>
      <c r="AI2473">
        <v>94.169532064321402</v>
      </c>
      <c r="AJ2473">
        <v>81.235218796851399</v>
      </c>
      <c r="AK2473">
        <v>15.270003605349499</v>
      </c>
      <c r="AL2473">
        <v>78.883660131646494</v>
      </c>
      <c r="AM2473">
        <v>88.245950991986305</v>
      </c>
      <c r="AN2473">
        <v>0.99999995771308503</v>
      </c>
    </row>
    <row r="2474" spans="1:40" x14ac:dyDescent="0.25">
      <c r="A2474" t="str">
        <f>"20190312172707569"</f>
        <v>20190312172707569</v>
      </c>
      <c r="B2474" t="str">
        <f>"1552382827561126"</f>
        <v>1552382827561126</v>
      </c>
      <c r="C2474" t="s">
        <v>40</v>
      </c>
      <c r="D2474">
        <v>3.1747559999999999</v>
      </c>
      <c r="E2474">
        <v>0.55005819999999905</v>
      </c>
      <c r="F2474" t="s">
        <v>44</v>
      </c>
      <c r="G2474">
        <v>-431.59829999999999</v>
      </c>
      <c r="H2474">
        <v>1.0421320000000001</v>
      </c>
      <c r="I2474">
        <v>213.10380000000001</v>
      </c>
      <c r="J2474">
        <v>-432.32190000000003</v>
      </c>
      <c r="K2474">
        <v>1.11025</v>
      </c>
      <c r="L2474">
        <v>213.2621</v>
      </c>
      <c r="M2474">
        <v>0.99976399999999999</v>
      </c>
      <c r="N2474">
        <v>0</v>
      </c>
      <c r="O2474">
        <v>-1.98313E-2</v>
      </c>
      <c r="P2474">
        <v>0.98165939999999996</v>
      </c>
      <c r="Q2474">
        <v>0.18415629999999999</v>
      </c>
      <c r="R2474">
        <v>-4.9309720000000001E-2</v>
      </c>
      <c r="S2474">
        <v>3.07016</v>
      </c>
      <c r="T2474">
        <v>-0.21742739999999999</v>
      </c>
      <c r="U2474">
        <v>-0.51663210000000004</v>
      </c>
      <c r="V2474">
        <v>2.9478689999999998E-2</v>
      </c>
      <c r="W2474">
        <v>0.1929244</v>
      </c>
      <c r="X2474">
        <v>0.9807707</v>
      </c>
      <c r="Y2474">
        <v>0.14604529999999999</v>
      </c>
      <c r="Z2474">
        <v>-3.7367009999999998E-3</v>
      </c>
      <c r="AA2474">
        <v>0.98927089999999995</v>
      </c>
      <c r="AB2474">
        <v>25</v>
      </c>
      <c r="AC2474">
        <v>0.72360000000003299</v>
      </c>
      <c r="AD2474">
        <v>-6.8117999999999901E-2</v>
      </c>
      <c r="AE2474">
        <v>-0.158299999999996</v>
      </c>
      <c r="AF2474">
        <v>0.142711441900462</v>
      </c>
      <c r="AG2474">
        <v>-6.8117999999999901E-2</v>
      </c>
      <c r="AH2474">
        <v>0.72050370015056397</v>
      </c>
      <c r="AI2474">
        <v>95.298482254464403</v>
      </c>
      <c r="AJ2474">
        <v>78.796337139934593</v>
      </c>
      <c r="AK2474">
        <v>0.73765317019854504</v>
      </c>
      <c r="AL2474">
        <v>78.876501647965796</v>
      </c>
      <c r="AM2474">
        <v>88.278398629776603</v>
      </c>
      <c r="AN2474">
        <v>0.99999999162898301</v>
      </c>
    </row>
    <row r="2475" spans="1:40" x14ac:dyDescent="0.25">
      <c r="A2475" t="str">
        <f>"20190312172707591"</f>
        <v>20190312172707591</v>
      </c>
      <c r="B2475" t="str">
        <f>"1552382827581624"</f>
        <v>1552382827581624</v>
      </c>
      <c r="C2475" t="s">
        <v>40</v>
      </c>
      <c r="D2475">
        <v>3.1751999999999998</v>
      </c>
      <c r="E2475">
        <v>0.549091</v>
      </c>
      <c r="F2475" t="s">
        <v>49</v>
      </c>
      <c r="G2475">
        <v>-416.3426</v>
      </c>
      <c r="H2475" s="1">
        <v>3.678162E-6</v>
      </c>
      <c r="I2475">
        <v>210.64320000000001</v>
      </c>
      <c r="J2475">
        <v>-432.072</v>
      </c>
      <c r="K2475">
        <v>1.110241</v>
      </c>
      <c r="L2475">
        <v>213.25839999999999</v>
      </c>
      <c r="M2475">
        <v>0.99978650000000002</v>
      </c>
      <c r="N2475">
        <v>0</v>
      </c>
      <c r="O2475">
        <v>-1.86984E-2</v>
      </c>
      <c r="P2475">
        <v>0.98174229999999996</v>
      </c>
      <c r="Q2475">
        <v>0.18417210000000001</v>
      </c>
      <c r="R2475">
        <v>-4.7568270000000003E-2</v>
      </c>
      <c r="S2475">
        <v>3.0708310000000001</v>
      </c>
      <c r="T2475">
        <v>-0.21336150000000001</v>
      </c>
      <c r="U2475">
        <v>-0.50329590000000002</v>
      </c>
      <c r="V2475">
        <v>2.884751E-2</v>
      </c>
      <c r="W2475">
        <v>0.192858</v>
      </c>
      <c r="X2475">
        <v>0.98080250000000002</v>
      </c>
      <c r="Y2475">
        <v>0.14296500000000001</v>
      </c>
      <c r="Z2475">
        <v>-3.6393369999999999E-3</v>
      </c>
      <c r="AA2475">
        <v>0.98972110000000002</v>
      </c>
      <c r="AB2475">
        <v>25</v>
      </c>
      <c r="AC2475">
        <v>15.729399999999901</v>
      </c>
      <c r="AD2475">
        <v>-1.1102373218379999</v>
      </c>
      <c r="AE2475">
        <v>-2.6151999999999802</v>
      </c>
      <c r="AF2475">
        <v>2.30942062935579</v>
      </c>
      <c r="AG2475">
        <v>-1.1102373218379999</v>
      </c>
      <c r="AH2475">
        <v>15.6994404415064</v>
      </c>
      <c r="AI2475">
        <v>94.002196403379997</v>
      </c>
      <c r="AJ2475">
        <v>81.631686922025807</v>
      </c>
      <c r="AK2475">
        <v>15.9071833059942</v>
      </c>
      <c r="AL2475">
        <v>78.880378607775796</v>
      </c>
      <c r="AM2475">
        <v>88.315293640070806</v>
      </c>
      <c r="AN2475">
        <v>0.99999996550172399</v>
      </c>
    </row>
    <row r="2476" spans="1:40" x14ac:dyDescent="0.25">
      <c r="A2476" t="str">
        <f>"20190312172707614"</f>
        <v>20190312172707614</v>
      </c>
      <c r="B2476" t="str">
        <f>"1552382827611878"</f>
        <v>1552382827611878</v>
      </c>
      <c r="C2476" t="s">
        <v>40</v>
      </c>
      <c r="D2476">
        <v>3.198035</v>
      </c>
      <c r="E2476">
        <v>0.54795909999999903</v>
      </c>
      <c r="F2476" t="s">
        <v>44</v>
      </c>
      <c r="G2476">
        <v>-431.14339999999999</v>
      </c>
      <c r="H2476">
        <v>1.0467930000000001</v>
      </c>
      <c r="I2476">
        <v>213.10980000000001</v>
      </c>
      <c r="J2476">
        <v>-431.81599999999997</v>
      </c>
      <c r="K2476">
        <v>1.1102289999999999</v>
      </c>
      <c r="L2476">
        <v>213.25489999999999</v>
      </c>
      <c r="M2476">
        <v>0.99980840000000004</v>
      </c>
      <c r="N2476">
        <v>0</v>
      </c>
      <c r="O2476">
        <v>-1.75395E-2</v>
      </c>
      <c r="P2476">
        <v>0.98185069999999997</v>
      </c>
      <c r="Q2476">
        <v>0.18405099999999999</v>
      </c>
      <c r="R2476">
        <v>-4.5770940000000003E-2</v>
      </c>
      <c r="S2476">
        <v>3.0714109999999999</v>
      </c>
      <c r="T2476">
        <v>-0.2100359</v>
      </c>
      <c r="U2476">
        <v>-0.4906006</v>
      </c>
      <c r="V2476">
        <v>2.818561E-2</v>
      </c>
      <c r="W2476">
        <v>0.19265209999999999</v>
      </c>
      <c r="X2476">
        <v>0.98086229999999996</v>
      </c>
      <c r="Y2476">
        <v>0.14010799999999901</v>
      </c>
      <c r="Z2476">
        <v>-3.5648730000000001E-3</v>
      </c>
      <c r="AA2476">
        <v>0.99012979999999995</v>
      </c>
      <c r="AB2476">
        <v>25</v>
      </c>
      <c r="AC2476">
        <v>0.67259999999998799</v>
      </c>
      <c r="AD2476">
        <v>-6.3436000000000006E-2</v>
      </c>
      <c r="AE2476">
        <v>-0.14509999999998499</v>
      </c>
      <c r="AF2476">
        <v>0.13215687419118</v>
      </c>
      <c r="AG2476">
        <v>-6.3436000000000006E-2</v>
      </c>
      <c r="AH2476">
        <v>0.66935232802788502</v>
      </c>
      <c r="AI2476">
        <v>95.311934692553805</v>
      </c>
      <c r="AJ2476">
        <v>78.831176547281302</v>
      </c>
      <c r="AK2476">
        <v>0.68521683030142599</v>
      </c>
      <c r="AL2476">
        <v>78.892402288280806</v>
      </c>
      <c r="AM2476">
        <v>88.354027654699706</v>
      </c>
      <c r="AN2476">
        <v>1.0000000559033799</v>
      </c>
    </row>
    <row r="2477" spans="1:40" x14ac:dyDescent="0.25">
      <c r="A2477" t="str">
        <f>"20190312172707637"</f>
        <v>20190312172707637</v>
      </c>
      <c r="B2477" t="str">
        <f>"1552382827631400"</f>
        <v>1552382827631400</v>
      </c>
      <c r="C2477" t="s">
        <v>40</v>
      </c>
      <c r="D2477">
        <v>3.2428620000000001</v>
      </c>
      <c r="E2477">
        <v>0.54739599999999999</v>
      </c>
      <c r="F2477" t="s">
        <v>49</v>
      </c>
      <c r="G2477">
        <v>-415.23500000000001</v>
      </c>
      <c r="H2477" s="1">
        <v>3.478446E-6</v>
      </c>
      <c r="I2477">
        <v>210.68039999999999</v>
      </c>
      <c r="J2477">
        <v>-431.54969999999997</v>
      </c>
      <c r="K2477">
        <v>1.1102129999999999</v>
      </c>
      <c r="L2477">
        <v>213.2516</v>
      </c>
      <c r="M2477">
        <v>0.99982950000000004</v>
      </c>
      <c r="N2477">
        <v>0</v>
      </c>
      <c r="O2477">
        <v>-1.6333859999999999E-2</v>
      </c>
      <c r="P2477">
        <v>0.98199840000000005</v>
      </c>
      <c r="Q2477">
        <v>0.18366850000000001</v>
      </c>
      <c r="R2477">
        <v>-4.4101509999999997E-2</v>
      </c>
      <c r="S2477">
        <v>3.0717469999999998</v>
      </c>
      <c r="T2477">
        <v>-0.2056769</v>
      </c>
      <c r="U2477">
        <v>-0.47694399999999998</v>
      </c>
      <c r="V2477">
        <v>2.7697690000000001E-2</v>
      </c>
      <c r="W2477">
        <v>0.19218279999999999</v>
      </c>
      <c r="X2477">
        <v>0.98096819999999896</v>
      </c>
      <c r="Y2477">
        <v>0.1370043</v>
      </c>
      <c r="Z2477">
        <v>-3.4687870000000001E-3</v>
      </c>
      <c r="AA2477">
        <v>0.99056429999999995</v>
      </c>
      <c r="AB2477">
        <v>25</v>
      </c>
      <c r="AC2477">
        <v>16.314699999999899</v>
      </c>
      <c r="AD2477">
        <v>-1.110209521554</v>
      </c>
      <c r="AE2477">
        <v>-2.5712000000000002</v>
      </c>
      <c r="AF2477">
        <v>2.2939995590756701</v>
      </c>
      <c r="AG2477">
        <v>-1.110209521554</v>
      </c>
      <c r="AH2477">
        <v>16.280956643223501</v>
      </c>
      <c r="AI2477">
        <v>93.862959165285204</v>
      </c>
      <c r="AJ2477">
        <v>81.979776876613997</v>
      </c>
      <c r="AK2477">
        <v>16.4792156481221</v>
      </c>
      <c r="AL2477">
        <v>78.9198026063779</v>
      </c>
      <c r="AM2477">
        <v>88.382680271555401</v>
      </c>
      <c r="AN2477">
        <v>1.0000000000292</v>
      </c>
    </row>
    <row r="2478" spans="1:40" x14ac:dyDescent="0.25">
      <c r="A2478" t="str">
        <f>"20190312172707659"</f>
        <v>20190312172707659</v>
      </c>
      <c r="B2478" t="str">
        <f>"1552382827651897"</f>
        <v>1552382827651897</v>
      </c>
      <c r="C2478" t="s">
        <v>40</v>
      </c>
      <c r="D2478">
        <v>3.1584249999999998</v>
      </c>
      <c r="E2478">
        <v>0.54687129999999995</v>
      </c>
      <c r="F2478" t="s">
        <v>49</v>
      </c>
      <c r="G2478">
        <v>-414.84769999999997</v>
      </c>
      <c r="H2478" s="1">
        <v>3.407185E-6</v>
      </c>
      <c r="I2478">
        <v>210.70949999999999</v>
      </c>
      <c r="J2478">
        <v>-431.30270000000002</v>
      </c>
      <c r="K2478">
        <v>1.1102030000000001</v>
      </c>
      <c r="L2478">
        <v>213.24870000000001</v>
      </c>
      <c r="M2478">
        <v>0.99984779999999995</v>
      </c>
      <c r="N2478">
        <v>0</v>
      </c>
      <c r="O2478">
        <v>-1.5216250000000001E-2</v>
      </c>
      <c r="P2478">
        <v>0.98210770000000003</v>
      </c>
      <c r="Q2478">
        <v>0.18349019999999999</v>
      </c>
      <c r="R2478">
        <v>-4.2380569999999999E-2</v>
      </c>
      <c r="S2478">
        <v>3.0721440000000002</v>
      </c>
      <c r="T2478">
        <v>-0.20420920000000001</v>
      </c>
      <c r="U2478">
        <v>-0.46757510000000002</v>
      </c>
      <c r="V2478">
        <v>2.7071899999999999E-2</v>
      </c>
      <c r="W2478">
        <v>0.19192960000000001</v>
      </c>
      <c r="X2478">
        <v>0.9810352</v>
      </c>
      <c r="Y2478">
        <v>0.13514609999999999</v>
      </c>
      <c r="Z2478">
        <v>-3.4568310000000001E-3</v>
      </c>
      <c r="AA2478">
        <v>0.99081960000000002</v>
      </c>
      <c r="AB2478">
        <v>25</v>
      </c>
      <c r="AC2478">
        <v>16.454999999999998</v>
      </c>
      <c r="AD2478">
        <v>-1.1101995928149999</v>
      </c>
      <c r="AE2478">
        <v>-2.5392000000000201</v>
      </c>
      <c r="AF2478">
        <v>2.2783834115963399</v>
      </c>
      <c r="AG2478">
        <v>-1.1101995928149999</v>
      </c>
      <c r="AH2478">
        <v>16.418732830668301</v>
      </c>
      <c r="AI2478">
        <v>93.831723982224304</v>
      </c>
      <c r="AJ2478">
        <v>82.099671457297902</v>
      </c>
      <c r="AK2478">
        <v>16.6131984238733</v>
      </c>
      <c r="AL2478">
        <v>78.934584656511504</v>
      </c>
      <c r="AM2478">
        <v>88.419310466792695</v>
      </c>
      <c r="AN2478">
        <v>0.99999996138240399</v>
      </c>
    </row>
    <row r="2479" spans="1:40" x14ac:dyDescent="0.25">
      <c r="A2479" t="str">
        <f>"20190312172707683"</f>
        <v>20190312172707683</v>
      </c>
      <c r="B2479" t="str">
        <f>"1552382827670946"</f>
        <v>1552382827670946</v>
      </c>
      <c r="C2479" t="s">
        <v>40</v>
      </c>
      <c r="D2479">
        <v>3.2624749999999998</v>
      </c>
      <c r="E2479">
        <v>0.54653289999999999</v>
      </c>
      <c r="F2479" t="s">
        <v>49</v>
      </c>
      <c r="G2479">
        <v>-414.45870000000002</v>
      </c>
      <c r="H2479" s="1">
        <v>3.3358470000000001E-6</v>
      </c>
      <c r="I2479">
        <v>210.7364</v>
      </c>
      <c r="J2479">
        <v>-431.0249</v>
      </c>
      <c r="K2479">
        <v>1.110198</v>
      </c>
      <c r="L2479">
        <v>213.24590000000001</v>
      </c>
      <c r="M2479">
        <v>0.9998667</v>
      </c>
      <c r="N2479">
        <v>0</v>
      </c>
      <c r="O2479">
        <v>-1.3959859999999999E-2</v>
      </c>
      <c r="P2479">
        <v>0.98223389999999999</v>
      </c>
      <c r="Q2479">
        <v>0.18323010000000001</v>
      </c>
      <c r="R2479">
        <v>-4.0537669999999998E-2</v>
      </c>
      <c r="S2479">
        <v>3.0727229999999999</v>
      </c>
      <c r="T2479">
        <v>-0.20252490000000001</v>
      </c>
      <c r="U2479">
        <v>-0.45831300000000003</v>
      </c>
      <c r="V2479">
        <v>2.6460439999999998E-2</v>
      </c>
      <c r="W2479">
        <v>0.19158939999999999</v>
      </c>
      <c r="X2479">
        <v>0.98111839999999995</v>
      </c>
      <c r="Y2479">
        <v>0.13344790000000001</v>
      </c>
      <c r="Z2479">
        <v>-3.4551180000000001E-3</v>
      </c>
      <c r="AA2479">
        <v>0.99104979999999998</v>
      </c>
      <c r="AB2479">
        <v>26</v>
      </c>
      <c r="AC2479">
        <v>16.566199999999899</v>
      </c>
      <c r="AD2479">
        <v>-1.1101946641530001</v>
      </c>
      <c r="AE2479">
        <v>-2.5095000000000001</v>
      </c>
      <c r="AF2479">
        <v>2.26802788403295</v>
      </c>
      <c r="AG2479">
        <v>-1.1101946641530001</v>
      </c>
      <c r="AH2479">
        <v>16.5270595406563</v>
      </c>
      <c r="AI2479">
        <v>93.807455788323495</v>
      </c>
      <c r="AJ2479">
        <v>82.1860404893865</v>
      </c>
      <c r="AK2479">
        <v>16.718857010437699</v>
      </c>
      <c r="AL2479">
        <v>78.954445508038901</v>
      </c>
      <c r="AM2479">
        <v>88.455126192501297</v>
      </c>
      <c r="AN2479">
        <v>0.99999998394795597</v>
      </c>
    </row>
    <row r="2480" spans="1:40" x14ac:dyDescent="0.25">
      <c r="A2480" t="str">
        <f>"20190312172707705"</f>
        <v>20190312172707705</v>
      </c>
      <c r="B2480" t="str">
        <f>"1552382827701202"</f>
        <v>1552382827701202</v>
      </c>
      <c r="C2480" t="s">
        <v>40</v>
      </c>
      <c r="D2480">
        <v>3.1741519999999999</v>
      </c>
      <c r="E2480">
        <v>0.48665399999999998</v>
      </c>
      <c r="F2480" t="s">
        <v>49</v>
      </c>
      <c r="G2480">
        <v>-414.14510000000001</v>
      </c>
      <c r="H2480" s="1">
        <v>3.2769299999999999E-6</v>
      </c>
      <c r="I2480">
        <v>210.7739</v>
      </c>
      <c r="J2480">
        <v>-430.7801</v>
      </c>
      <c r="K2480">
        <v>1.1101890000000001</v>
      </c>
      <c r="L2480">
        <v>213.24369999999999</v>
      </c>
      <c r="M2480">
        <v>0.9998823</v>
      </c>
      <c r="N2480">
        <v>0</v>
      </c>
      <c r="O2480">
        <v>-1.285263E-2</v>
      </c>
      <c r="P2480">
        <v>0.98236190000000001</v>
      </c>
      <c r="Q2480">
        <v>0.18290319999999999</v>
      </c>
      <c r="R2480">
        <v>-3.8880980000000002E-2</v>
      </c>
      <c r="S2480">
        <v>3.0734249999999999</v>
      </c>
      <c r="T2480">
        <v>-0.2021406</v>
      </c>
      <c r="U2480">
        <v>-0.4500885</v>
      </c>
      <c r="V2480">
        <v>2.5889260000000001E-2</v>
      </c>
      <c r="W2480">
        <v>0.1911911</v>
      </c>
      <c r="X2480">
        <v>0.98121139999999996</v>
      </c>
      <c r="Y2480">
        <v>0.1319186</v>
      </c>
      <c r="Z2480">
        <v>-3.4708130000000001E-3</v>
      </c>
      <c r="AA2480">
        <v>0.99125450000000004</v>
      </c>
      <c r="AB2480">
        <v>26</v>
      </c>
      <c r="AC2480">
        <v>16.634999999999899</v>
      </c>
      <c r="AD2480">
        <v>-1.1101857230700001</v>
      </c>
      <c r="AE2480">
        <v>-2.46979999999999</v>
      </c>
      <c r="AF2480">
        <v>2.2459971691328899</v>
      </c>
      <c r="AG2480">
        <v>-1.1101857230700001</v>
      </c>
      <c r="AH2480">
        <v>16.593059676233601</v>
      </c>
      <c r="AI2480">
        <v>93.793273246767896</v>
      </c>
      <c r="AJ2480">
        <v>82.291429468020596</v>
      </c>
      <c r="AK2480">
        <v>16.7811395632868</v>
      </c>
      <c r="AL2480">
        <v>78.977696978225396</v>
      </c>
      <c r="AM2480">
        <v>88.488601684403093</v>
      </c>
      <c r="AN2480">
        <v>1.0000000509962499</v>
      </c>
    </row>
    <row r="2481" spans="1:40" x14ac:dyDescent="0.25">
      <c r="A2481" t="str">
        <f>"20190312172707728"</f>
        <v>20190312172707728</v>
      </c>
      <c r="B2481" t="str">
        <f>"1552382827721698"</f>
        <v>1552382827721698</v>
      </c>
      <c r="C2481" t="s">
        <v>40</v>
      </c>
      <c r="D2481">
        <v>3.1920289999999998</v>
      </c>
      <c r="E2481">
        <v>0.4834138</v>
      </c>
      <c r="F2481" t="s">
        <v>48</v>
      </c>
      <c r="G2481">
        <v>-395.21260000000001</v>
      </c>
      <c r="H2481" s="1">
        <v>1.2371199999999999E-6</v>
      </c>
      <c r="I2481">
        <v>213.5556</v>
      </c>
      <c r="J2481">
        <v>-430.50970000000001</v>
      </c>
      <c r="K2481">
        <v>1.110179</v>
      </c>
      <c r="L2481">
        <v>213.2415</v>
      </c>
      <c r="M2481">
        <v>0.99989790000000001</v>
      </c>
      <c r="N2481">
        <v>0</v>
      </c>
      <c r="O2481">
        <v>-1.162938E-2</v>
      </c>
      <c r="P2481">
        <v>0.982298</v>
      </c>
      <c r="Q2481">
        <v>0.1836325</v>
      </c>
      <c r="R2481">
        <v>-3.7009210000000001E-2</v>
      </c>
      <c r="S2481">
        <v>3.072784</v>
      </c>
      <c r="T2481">
        <v>-9.5912579999999997E-2</v>
      </c>
      <c r="U2481">
        <v>2.6947019999999999E-2</v>
      </c>
      <c r="V2481">
        <v>2.5217280000000002E-2</v>
      </c>
      <c r="W2481">
        <v>0.19183790000000001</v>
      </c>
      <c r="X2481">
        <v>0.98110260000000005</v>
      </c>
      <c r="Y2481">
        <v>-2.0382399999999998E-2</v>
      </c>
      <c r="Z2481">
        <v>6.8093039999999997E-4</v>
      </c>
      <c r="AA2481">
        <v>0.99979200000000001</v>
      </c>
      <c r="AB2481">
        <v>26</v>
      </c>
      <c r="AC2481">
        <v>35.2971</v>
      </c>
      <c r="AD2481">
        <v>-1.11017776287999</v>
      </c>
      <c r="AE2481">
        <v>0.31409999999999599</v>
      </c>
      <c r="AF2481">
        <v>-0.72386027471058101</v>
      </c>
      <c r="AG2481">
        <v>-1.11017776287999</v>
      </c>
      <c r="AH2481">
        <v>35.256185511605999</v>
      </c>
      <c r="AI2481">
        <v>91.803204146584804</v>
      </c>
      <c r="AJ2481">
        <v>91.176199634183703</v>
      </c>
      <c r="AK2481">
        <v>35.281086791527102</v>
      </c>
      <c r="AL2481">
        <v>78.939938608579993</v>
      </c>
      <c r="AM2481">
        <v>88.527650762533497</v>
      </c>
      <c r="AN2481">
        <v>1.0000000014068799</v>
      </c>
    </row>
    <row r="2482" spans="1:40" x14ac:dyDescent="0.25">
      <c r="A2482" t="str">
        <f>"20190312172707772"</f>
        <v>20190312172707772</v>
      </c>
      <c r="B2482" t="str">
        <f>"1552382827761245"</f>
        <v>1552382827761245</v>
      </c>
      <c r="C2482" t="s">
        <v>40</v>
      </c>
      <c r="D2482">
        <v>3.1776789999999999</v>
      </c>
      <c r="E2482">
        <v>0.4814967</v>
      </c>
      <c r="F2482" t="s">
        <v>48</v>
      </c>
      <c r="G2482">
        <v>-392.37979999999999</v>
      </c>
      <c r="H2482" s="1">
        <v>-2.7039210000000002E-7</v>
      </c>
      <c r="I2482">
        <v>213.96700000000001</v>
      </c>
      <c r="J2482">
        <v>-430.00450000000001</v>
      </c>
      <c r="K2482">
        <v>1.110177</v>
      </c>
      <c r="L2482">
        <v>213.23840000000001</v>
      </c>
      <c r="M2482">
        <v>0.99992300000000001</v>
      </c>
      <c r="N2482">
        <v>0</v>
      </c>
      <c r="O2482">
        <v>-9.3464299999999993E-3</v>
      </c>
      <c r="P2482">
        <v>0.98236679999999998</v>
      </c>
      <c r="Q2482">
        <v>0.18373709999999999</v>
      </c>
      <c r="R2482">
        <v>-3.4587590000000001E-2</v>
      </c>
      <c r="S2482">
        <v>3.0729980000000001</v>
      </c>
      <c r="T2482">
        <v>-8.9472529999999995E-2</v>
      </c>
      <c r="U2482">
        <v>5.8471679999999998E-2</v>
      </c>
      <c r="V2482">
        <v>2.503447E-2</v>
      </c>
      <c r="W2482">
        <v>0.1918098</v>
      </c>
      <c r="X2482">
        <v>0.98111280000000001</v>
      </c>
      <c r="Y2482">
        <v>-2.8352369999999998E-2</v>
      </c>
      <c r="Z2482">
        <v>6.8468299999999995E-4</v>
      </c>
      <c r="AA2482">
        <v>0.99959770000000003</v>
      </c>
      <c r="AB2482">
        <v>26</v>
      </c>
      <c r="AC2482">
        <v>37.624699999999997</v>
      </c>
      <c r="AD2482">
        <v>-1.1101772703921</v>
      </c>
      <c r="AE2482">
        <v>0.72860000000000003</v>
      </c>
      <c r="AF2482">
        <v>-1.0792971888335301</v>
      </c>
      <c r="AG2482">
        <v>-1.1101772703921</v>
      </c>
      <c r="AH2482">
        <v>37.583536990578601</v>
      </c>
      <c r="AI2482">
        <v>91.691266896265702</v>
      </c>
      <c r="AJ2482">
        <v>91.644927217832404</v>
      </c>
      <c r="AK2482">
        <v>37.615417433755901</v>
      </c>
      <c r="AL2482">
        <v>78.941579351018305</v>
      </c>
      <c r="AM2482">
        <v>88.538334944562095</v>
      </c>
      <c r="AN2482">
        <v>1.00000002519403</v>
      </c>
    </row>
    <row r="2483" spans="1:40" x14ac:dyDescent="0.25">
      <c r="A2483" t="str">
        <f>"20190312172707794"</f>
        <v>20190312172707794</v>
      </c>
      <c r="B2483" t="str">
        <f>"1552382827791501"</f>
        <v>1552382827791501</v>
      </c>
      <c r="C2483" t="s">
        <v>40</v>
      </c>
      <c r="D2483">
        <v>3.1777950000000001</v>
      </c>
      <c r="E2483">
        <v>0.48110409999999998</v>
      </c>
      <c r="F2483" t="s">
        <v>48</v>
      </c>
      <c r="G2483">
        <v>-393.10489999999999</v>
      </c>
      <c r="H2483" s="1">
        <v>1.155111E-7</v>
      </c>
      <c r="I2483">
        <v>214.22069999999999</v>
      </c>
      <c r="J2483">
        <v>-429.74799999999999</v>
      </c>
      <c r="K2483">
        <v>1.110169</v>
      </c>
      <c r="L2483">
        <v>213.2373</v>
      </c>
      <c r="M2483">
        <v>0.99993370000000004</v>
      </c>
      <c r="N2483">
        <v>0</v>
      </c>
      <c r="O2483">
        <v>-8.1882159999999999E-3</v>
      </c>
      <c r="P2483">
        <v>0.98238000000000003</v>
      </c>
      <c r="Q2483">
        <v>0.18386530000000001</v>
      </c>
      <c r="R2483">
        <v>-3.3516589999999999E-2</v>
      </c>
      <c r="S2483">
        <v>3.0740660000000002</v>
      </c>
      <c r="T2483">
        <v>-9.2487810000000004E-2</v>
      </c>
      <c r="U2483">
        <v>8.1832890000000005E-2</v>
      </c>
      <c r="V2483">
        <v>2.5099320000000001E-2</v>
      </c>
      <c r="W2483">
        <v>0.1918744</v>
      </c>
      <c r="X2483">
        <v>0.98109849999999998</v>
      </c>
      <c r="Y2483">
        <v>-3.477624E-2</v>
      </c>
      <c r="Z2483">
        <v>7.6920440000000003E-4</v>
      </c>
      <c r="AA2483">
        <v>0.99939480000000003</v>
      </c>
      <c r="AB2483">
        <v>26</v>
      </c>
      <c r="AC2483">
        <v>36.643099999999997</v>
      </c>
      <c r="AD2483">
        <v>-1.1101688844888999</v>
      </c>
      <c r="AE2483">
        <v>0.98339999999998895</v>
      </c>
      <c r="AF2483">
        <v>-1.28224236358282</v>
      </c>
      <c r="AG2483">
        <v>-1.1101688844888999</v>
      </c>
      <c r="AH2483">
        <v>36.600247882418401</v>
      </c>
      <c r="AI2483">
        <v>91.736314242850995</v>
      </c>
      <c r="AJ2483">
        <v>92.006462940676499</v>
      </c>
      <c r="AK2483">
        <v>36.639524635092201</v>
      </c>
      <c r="AL2483">
        <v>78.937807868113097</v>
      </c>
      <c r="AM2483">
        <v>88.534528904613197</v>
      </c>
      <c r="AN2483">
        <v>1.0000000139710301</v>
      </c>
    </row>
    <row r="2484" spans="1:40" x14ac:dyDescent="0.25">
      <c r="A2484" t="str">
        <f>"20190312172707815"</f>
        <v>20190312172707815</v>
      </c>
      <c r="B2484" t="str">
        <f>"1552382827811021"</f>
        <v>1552382827811021</v>
      </c>
      <c r="C2484" t="s">
        <v>40</v>
      </c>
      <c r="D2484">
        <v>3.1923270000000001</v>
      </c>
      <c r="E2484">
        <v>0.48076020000000003</v>
      </c>
      <c r="F2484" t="s">
        <v>48</v>
      </c>
      <c r="G2484">
        <v>-395.23160000000001</v>
      </c>
      <c r="H2484" s="1">
        <v>1.2471939999999999E-6</v>
      </c>
      <c r="I2484">
        <v>214.2302</v>
      </c>
      <c r="J2484">
        <v>-429.49380000000002</v>
      </c>
      <c r="K2484">
        <v>1.110155</v>
      </c>
      <c r="L2484">
        <v>213.2364</v>
      </c>
      <c r="M2484">
        <v>0.99994309999999997</v>
      </c>
      <c r="N2484">
        <v>0</v>
      </c>
      <c r="O2484">
        <v>-7.0399E-3</v>
      </c>
      <c r="P2484">
        <v>0.98246160000000005</v>
      </c>
      <c r="Q2484">
        <v>0.18361910000000001</v>
      </c>
      <c r="R2484">
        <v>-3.2459340000000003E-2</v>
      </c>
      <c r="S2484">
        <v>3.075348</v>
      </c>
      <c r="T2484">
        <v>-9.8913669999999995E-2</v>
      </c>
      <c r="U2484">
        <v>8.8470460000000001E-2</v>
      </c>
      <c r="V2484">
        <v>2.5168389999999999E-2</v>
      </c>
      <c r="W2484">
        <v>0.19156599999999999</v>
      </c>
      <c r="X2484">
        <v>0.98115699999999995</v>
      </c>
      <c r="Y2484">
        <v>-3.5770110000000001E-2</v>
      </c>
      <c r="Z2484">
        <v>8.0131039999999998E-4</v>
      </c>
      <c r="AA2484">
        <v>0.99935969999999996</v>
      </c>
      <c r="AB2484">
        <v>26</v>
      </c>
      <c r="AC2484">
        <v>34.2622</v>
      </c>
      <c r="AD2484">
        <v>-1.1101537528059999</v>
      </c>
      <c r="AE2484">
        <v>0.99379999999999302</v>
      </c>
      <c r="AF2484">
        <v>-1.2336914532304599</v>
      </c>
      <c r="AG2484">
        <v>-1.1101537528059999</v>
      </c>
      <c r="AH2484">
        <v>34.218459681869597</v>
      </c>
      <c r="AI2484">
        <v>91.856996677196406</v>
      </c>
      <c r="AJ2484">
        <v>92.064812715628094</v>
      </c>
      <c r="AK2484">
        <v>34.258683847404001</v>
      </c>
      <c r="AL2484">
        <v>78.955811928338505</v>
      </c>
      <c r="AM2484">
        <v>88.530585466787997</v>
      </c>
      <c r="AN2484">
        <v>1.00000001943009</v>
      </c>
    </row>
    <row r="2485" spans="1:40" x14ac:dyDescent="0.25">
      <c r="A2485" t="str">
        <f>"20190312172707839"</f>
        <v>20190312172707839</v>
      </c>
      <c r="B2485" t="str">
        <f>"1552382827831517"</f>
        <v>1552382827831517</v>
      </c>
      <c r="C2485" t="s">
        <v>40</v>
      </c>
      <c r="D2485">
        <v>3.2971089999999998</v>
      </c>
      <c r="E2485">
        <v>0.48076170000000001</v>
      </c>
      <c r="F2485" t="s">
        <v>48</v>
      </c>
      <c r="G2485">
        <v>-396.2697</v>
      </c>
      <c r="H2485" s="1">
        <v>1.7996610000000001E-6</v>
      </c>
      <c r="I2485">
        <v>214.26060000000001</v>
      </c>
      <c r="J2485">
        <v>-429.22289999999998</v>
      </c>
      <c r="K2485">
        <v>1.11015</v>
      </c>
      <c r="L2485">
        <v>213.23580000000001</v>
      </c>
      <c r="M2485">
        <v>0.99995140000000005</v>
      </c>
      <c r="N2485">
        <v>0</v>
      </c>
      <c r="O2485">
        <v>-5.8166909999999997E-3</v>
      </c>
      <c r="P2485">
        <v>0.98251060000000001</v>
      </c>
      <c r="Q2485">
        <v>0.183582</v>
      </c>
      <c r="R2485">
        <v>-3.1151599999999901E-2</v>
      </c>
      <c r="S2485">
        <v>3.0758670000000001</v>
      </c>
      <c r="T2485">
        <v>-0.1027774</v>
      </c>
      <c r="U2485">
        <v>9.4818120000000006E-2</v>
      </c>
      <c r="V2485">
        <v>2.5060309999999999E-2</v>
      </c>
      <c r="W2485">
        <v>0.19145699999999999</v>
      </c>
      <c r="X2485">
        <v>0.98118099999999997</v>
      </c>
      <c r="Y2485">
        <v>-3.660178E-2</v>
      </c>
      <c r="Z2485">
        <v>8.0546130000000004E-4</v>
      </c>
      <c r="AA2485">
        <v>0.99932960000000004</v>
      </c>
      <c r="AB2485">
        <v>26</v>
      </c>
      <c r="AC2485">
        <v>32.953199999999903</v>
      </c>
      <c r="AD2485">
        <v>-1.110148200339</v>
      </c>
      <c r="AE2485">
        <v>1.0247999999999899</v>
      </c>
      <c r="AF2485">
        <v>-1.2150896153566899</v>
      </c>
      <c r="AG2485">
        <v>-1.110148200339</v>
      </c>
      <c r="AH2485">
        <v>32.909367818446498</v>
      </c>
      <c r="AI2485">
        <v>91.930740010100806</v>
      </c>
      <c r="AJ2485">
        <v>92.114531537455406</v>
      </c>
      <c r="AK2485">
        <v>32.9504986610198</v>
      </c>
      <c r="AL2485">
        <v>78.962174486411101</v>
      </c>
      <c r="AM2485">
        <v>88.536928561392898</v>
      </c>
      <c r="AN2485">
        <v>0.99999997837364696</v>
      </c>
    </row>
    <row r="2486" spans="1:40" x14ac:dyDescent="0.25">
      <c r="A2486" t="str">
        <f>"20190312172707861"</f>
        <v>20190312172707861</v>
      </c>
      <c r="B2486" t="str">
        <f>"1552382827852013"</f>
        <v>1552382827852013</v>
      </c>
      <c r="C2486" t="s">
        <v>40</v>
      </c>
      <c r="D2486">
        <v>3.287461</v>
      </c>
      <c r="E2486">
        <v>0.4808135</v>
      </c>
      <c r="F2486" t="s">
        <v>48</v>
      </c>
      <c r="G2486">
        <v>-396.24470000000002</v>
      </c>
      <c r="H2486" s="1">
        <v>1.7863409999999901E-6</v>
      </c>
      <c r="I2486">
        <v>214.29509999999999</v>
      </c>
      <c r="J2486">
        <v>-428.95170000000002</v>
      </c>
      <c r="K2486">
        <v>1.110142</v>
      </c>
      <c r="L2486">
        <v>213.23560000000001</v>
      </c>
      <c r="M2486">
        <v>0.99995829999999997</v>
      </c>
      <c r="N2486">
        <v>0</v>
      </c>
      <c r="O2486">
        <v>-4.5931160000000004E-3</v>
      </c>
      <c r="P2486">
        <v>0.98255539999999997</v>
      </c>
      <c r="Q2486">
        <v>0.18353340000000001</v>
      </c>
      <c r="R2486">
        <v>-3.0006359999999999E-2</v>
      </c>
      <c r="S2486">
        <v>3.0758670000000001</v>
      </c>
      <c r="T2486">
        <v>-0.1035432</v>
      </c>
      <c r="U2486">
        <v>9.8800659999999998E-2</v>
      </c>
      <c r="V2486">
        <v>2.5115129999999999E-2</v>
      </c>
      <c r="W2486">
        <v>0.19133240000000001</v>
      </c>
      <c r="X2486">
        <v>0.98120390000000002</v>
      </c>
      <c r="Y2486">
        <v>-3.6671879999999997E-2</v>
      </c>
      <c r="Z2486">
        <v>7.7145289999999895E-4</v>
      </c>
      <c r="AA2486">
        <v>0.99932710000000002</v>
      </c>
      <c r="AB2486">
        <v>26</v>
      </c>
      <c r="AC2486">
        <v>32.706999999999901</v>
      </c>
      <c r="AD2486">
        <v>-1.110140213659</v>
      </c>
      <c r="AE2486">
        <v>1.0594999999999799</v>
      </c>
      <c r="AF2486">
        <v>-1.20832994154603</v>
      </c>
      <c r="AG2486">
        <v>-1.110140213659</v>
      </c>
      <c r="AH2486">
        <v>32.664196819402399</v>
      </c>
      <c r="AI2486">
        <v>91.945201652189795</v>
      </c>
      <c r="AJ2486">
        <v>92.118547474432006</v>
      </c>
      <c r="AK2486">
        <v>32.705385281300003</v>
      </c>
      <c r="AL2486">
        <v>78.969447969799305</v>
      </c>
      <c r="AM2486">
        <v>88.533763660766496</v>
      </c>
      <c r="AN2486">
        <v>0.99999997520994299</v>
      </c>
    </row>
    <row r="2487" spans="1:40" x14ac:dyDescent="0.25">
      <c r="A2487" t="str">
        <f>"20190312172707906"</f>
        <v>20190312172707906</v>
      </c>
      <c r="B2487" t="str">
        <f>"1552382827901789"</f>
        <v>1552382827901789</v>
      </c>
      <c r="C2487" t="s">
        <v>40</v>
      </c>
      <c r="D2487">
        <v>3.2161590000000002</v>
      </c>
      <c r="E2487">
        <v>0.48112090000000002</v>
      </c>
      <c r="F2487" t="s">
        <v>48</v>
      </c>
      <c r="G2487">
        <v>-396.28280000000001</v>
      </c>
      <c r="H2487" s="1">
        <v>1.8066030000000001E-6</v>
      </c>
      <c r="I2487">
        <v>214.32329999999999</v>
      </c>
      <c r="J2487">
        <v>-428.43349999999998</v>
      </c>
      <c r="K2487">
        <v>1.1101299999999901</v>
      </c>
      <c r="L2487">
        <v>213.23599999999999</v>
      </c>
      <c r="M2487">
        <v>0.99996750000000001</v>
      </c>
      <c r="N2487">
        <v>0</v>
      </c>
      <c r="O2487">
        <v>-2.2567339999999998E-3</v>
      </c>
      <c r="P2487">
        <v>0.98270380000000002</v>
      </c>
      <c r="Q2487">
        <v>0.18316579999999999</v>
      </c>
      <c r="R2487">
        <v>-2.7270829999999999E-2</v>
      </c>
      <c r="S2487">
        <v>3.075958</v>
      </c>
      <c r="T2487">
        <v>-0.1045259</v>
      </c>
      <c r="U2487">
        <v>0.10241699999999999</v>
      </c>
      <c r="V2487">
        <v>2.4671789999999999E-2</v>
      </c>
      <c r="W2487">
        <v>0.19081529999999999</v>
      </c>
      <c r="X2487">
        <v>0.98131590000000002</v>
      </c>
      <c r="Y2487">
        <v>-3.5511220000000003E-2</v>
      </c>
      <c r="Z2487">
        <v>6.7966960000000003E-4</v>
      </c>
      <c r="AA2487">
        <v>0.99936899999999995</v>
      </c>
      <c r="AB2487">
        <v>26</v>
      </c>
      <c r="AC2487">
        <v>32.150699999999901</v>
      </c>
      <c r="AD2487">
        <v>-1.11012819339699</v>
      </c>
      <c r="AE2487">
        <v>1.0872999999999899</v>
      </c>
      <c r="AF2487">
        <v>-1.1584753740357201</v>
      </c>
      <c r="AG2487">
        <v>-1.11012819339699</v>
      </c>
      <c r="AH2487">
        <v>32.109925152075597</v>
      </c>
      <c r="AI2487">
        <v>91.978797193116407</v>
      </c>
      <c r="AJ2487">
        <v>92.066245012228094</v>
      </c>
      <c r="AK2487">
        <v>32.149988228145901</v>
      </c>
      <c r="AL2487">
        <v>78.999632408782006</v>
      </c>
      <c r="AM2487">
        <v>88.559799437556094</v>
      </c>
      <c r="AN2487">
        <v>1.0000000357643499</v>
      </c>
    </row>
    <row r="2488" spans="1:40" x14ac:dyDescent="0.25">
      <c r="A2488" t="str">
        <f>"20190312172707932"</f>
        <v>20190312172707932</v>
      </c>
      <c r="B2488" t="str">
        <f>"1552382827921310"</f>
        <v>1552382827921310</v>
      </c>
      <c r="C2488" t="s">
        <v>40</v>
      </c>
      <c r="D2488">
        <v>3.1447690000000001</v>
      </c>
      <c r="E2488">
        <v>0.48119879999999998</v>
      </c>
      <c r="F2488" t="s">
        <v>48</v>
      </c>
      <c r="G2488">
        <v>-397.2919</v>
      </c>
      <c r="H2488" s="1">
        <v>2.3436100000000002E-6</v>
      </c>
      <c r="I2488">
        <v>214.3312</v>
      </c>
      <c r="J2488">
        <v>-428.13290000000001</v>
      </c>
      <c r="K2488">
        <v>1.110123</v>
      </c>
      <c r="L2488">
        <v>213.23679999999999</v>
      </c>
      <c r="M2488">
        <v>0.99997029999999998</v>
      </c>
      <c r="N2488">
        <v>0</v>
      </c>
      <c r="O2488">
        <v>-9.0177400000000004E-4</v>
      </c>
      <c r="P2488">
        <v>0.98273350000000004</v>
      </c>
      <c r="Q2488">
        <v>0.18320500000000001</v>
      </c>
      <c r="R2488">
        <v>-2.5899129999999999E-2</v>
      </c>
      <c r="S2488">
        <v>3.0762330000000002</v>
      </c>
      <c r="T2488">
        <v>-0.1096607</v>
      </c>
      <c r="U2488">
        <v>0.1081848</v>
      </c>
      <c r="V2488">
        <v>2.4629080000000001E-2</v>
      </c>
      <c r="W2488">
        <v>0.1907703</v>
      </c>
      <c r="X2488">
        <v>0.98132569999999997</v>
      </c>
      <c r="Y2488">
        <v>-3.6024029999999999E-2</v>
      </c>
      <c r="Z2488">
        <v>6.738127E-4</v>
      </c>
      <c r="AA2488">
        <v>0.99935070000000004</v>
      </c>
      <c r="AB2488">
        <v>26</v>
      </c>
      <c r="AC2488">
        <v>30.841000000000001</v>
      </c>
      <c r="AD2488">
        <v>-1.1101206563899999</v>
      </c>
      <c r="AE2488">
        <v>1.0944</v>
      </c>
      <c r="AF2488">
        <v>-1.1207617070876399</v>
      </c>
      <c r="AG2488">
        <v>-1.1101206563899999</v>
      </c>
      <c r="AH2488">
        <v>30.8001448966243</v>
      </c>
      <c r="AI2488">
        <v>92.062837489149999</v>
      </c>
      <c r="AJ2488">
        <v>92.083970579572494</v>
      </c>
      <c r="AK2488">
        <v>30.840515565224798</v>
      </c>
      <c r="AL2488">
        <v>79.002258727802698</v>
      </c>
      <c r="AM2488">
        <v>88.562305911848</v>
      </c>
      <c r="AN2488">
        <v>1.0000000142121099</v>
      </c>
    </row>
    <row r="2489" spans="1:40" x14ac:dyDescent="0.25">
      <c r="A2489" t="str">
        <f>"20190312172707953"</f>
        <v>20190312172707953</v>
      </c>
      <c r="B2489" t="str">
        <f>"1552382827941805"</f>
        <v>1552382827941805</v>
      </c>
      <c r="C2489" t="s">
        <v>40</v>
      </c>
      <c r="D2489">
        <v>3.3386619999999998</v>
      </c>
      <c r="E2489">
        <v>0.48135459999999902</v>
      </c>
      <c r="F2489" t="s">
        <v>48</v>
      </c>
      <c r="G2489">
        <v>-397.08080000000001</v>
      </c>
      <c r="H2489" s="1">
        <v>2.2312630000000002E-6</v>
      </c>
      <c r="I2489">
        <v>214.36670000000001</v>
      </c>
      <c r="J2489">
        <v>-427.87639999999999</v>
      </c>
      <c r="K2489">
        <v>1.110109</v>
      </c>
      <c r="L2489">
        <v>213.23779999999999</v>
      </c>
      <c r="M2489">
        <v>0.99997130000000001</v>
      </c>
      <c r="N2489">
        <v>0</v>
      </c>
      <c r="O2489">
        <v>2.5328539999999999E-4</v>
      </c>
      <c r="P2489">
        <v>0.98274260000000002</v>
      </c>
      <c r="Q2489">
        <v>0.18333720000000001</v>
      </c>
      <c r="R2489">
        <v>-2.4589630000000001E-2</v>
      </c>
      <c r="S2489">
        <v>3.0761720000000001</v>
      </c>
      <c r="T2489">
        <v>-0.109974</v>
      </c>
      <c r="U2489">
        <v>0.1119385</v>
      </c>
      <c r="V2489">
        <v>2.445224E-2</v>
      </c>
      <c r="W2489">
        <v>0.1908321</v>
      </c>
      <c r="X2489">
        <v>0.98131809999999997</v>
      </c>
      <c r="Y2489">
        <v>-3.6088830000000002E-2</v>
      </c>
      <c r="Z2489">
        <v>6.3562449999999995E-4</v>
      </c>
      <c r="AA2489">
        <v>0.99934840000000003</v>
      </c>
      <c r="AB2489">
        <v>27</v>
      </c>
      <c r="AC2489">
        <v>30.795599999999901</v>
      </c>
      <c r="AD2489">
        <v>-1.1101067687369901</v>
      </c>
      <c r="AE2489">
        <v>1.12890000000001</v>
      </c>
      <c r="AF2489">
        <v>-1.1196467166749899</v>
      </c>
      <c r="AG2489">
        <v>-1.1101067687369901</v>
      </c>
      <c r="AH2489">
        <v>30.7559734196223</v>
      </c>
      <c r="AI2489">
        <v>92.065770532681697</v>
      </c>
      <c r="AJ2489">
        <v>92.084886535308996</v>
      </c>
      <c r="AK2489">
        <v>30.796360934316098</v>
      </c>
      <c r="AL2489">
        <v>78.998651510491996</v>
      </c>
      <c r="AM2489">
        <v>88.572613406530195</v>
      </c>
      <c r="AN2489">
        <v>1.0000000079095099</v>
      </c>
    </row>
    <row r="2490" spans="1:40" x14ac:dyDescent="0.25">
      <c r="A2490" t="str">
        <f>"20190312172707974"</f>
        <v>20190312172707974</v>
      </c>
      <c r="B2490" t="str">
        <f>"1552382827961325"</f>
        <v>1552382827961325</v>
      </c>
      <c r="C2490" t="s">
        <v>40</v>
      </c>
      <c r="D2490">
        <v>3.165997</v>
      </c>
      <c r="E2490">
        <v>0.48147590000000001</v>
      </c>
      <c r="F2490" t="s">
        <v>48</v>
      </c>
      <c r="G2490">
        <v>-396.745</v>
      </c>
      <c r="H2490" s="1">
        <v>2.0525639999999999E-6</v>
      </c>
      <c r="I2490">
        <v>214.4014</v>
      </c>
      <c r="J2490">
        <v>-427.625</v>
      </c>
      <c r="K2490">
        <v>1.1101000000000001</v>
      </c>
      <c r="L2490">
        <v>213.239</v>
      </c>
      <c r="M2490">
        <v>0.9999709</v>
      </c>
      <c r="N2490">
        <v>0</v>
      </c>
      <c r="O2490">
        <v>1.3847289999999999E-3</v>
      </c>
      <c r="P2490">
        <v>0.98280449999999997</v>
      </c>
      <c r="Q2490">
        <v>0.18314520000000001</v>
      </c>
      <c r="R2490">
        <v>-2.3521460000000001E-2</v>
      </c>
      <c r="S2490">
        <v>3.0759889999999999</v>
      </c>
      <c r="T2490">
        <v>-0.1096859</v>
      </c>
      <c r="U2490">
        <v>0.11497499999999999</v>
      </c>
      <c r="V2490">
        <v>2.4494289999999998E-2</v>
      </c>
      <c r="W2490">
        <v>0.1905742</v>
      </c>
      <c r="X2490">
        <v>0.9813672</v>
      </c>
      <c r="Y2490">
        <v>-3.5946359999999997E-2</v>
      </c>
      <c r="Z2490">
        <v>5.9112809999999896E-4</v>
      </c>
      <c r="AA2490">
        <v>0.99935350000000001</v>
      </c>
      <c r="AB2490">
        <v>27</v>
      </c>
      <c r="AC2490">
        <v>30.8799999999999</v>
      </c>
      <c r="AD2490">
        <v>-1.110097947436</v>
      </c>
      <c r="AE2490">
        <v>1.1623999999999901</v>
      </c>
      <c r="AF2490">
        <v>-1.1181942373457701</v>
      </c>
      <c r="AG2490">
        <v>-1.110097947436</v>
      </c>
      <c r="AH2490">
        <v>30.8417791829335</v>
      </c>
      <c r="AI2490">
        <v>92.060022978914802</v>
      </c>
      <c r="AJ2490">
        <v>92.076396441189303</v>
      </c>
      <c r="AK2490">
        <v>30.882001537694499</v>
      </c>
      <c r="AL2490">
        <v>79.013704686595702</v>
      </c>
      <c r="AM2490">
        <v>88.570231286531296</v>
      </c>
      <c r="AN2490">
        <v>1.00000003859204</v>
      </c>
    </row>
    <row r="2491" spans="1:40" x14ac:dyDescent="0.25">
      <c r="A2491" t="str">
        <f>"20190312172707996"</f>
        <v>20190312172707996</v>
      </c>
      <c r="B2491" t="str">
        <f>"1552382827991581"</f>
        <v>1552382827991581</v>
      </c>
      <c r="C2491" t="s">
        <v>40</v>
      </c>
      <c r="D2491">
        <v>3.4781339999999998</v>
      </c>
      <c r="E2491">
        <v>0.48172100000000001</v>
      </c>
      <c r="F2491" t="s">
        <v>48</v>
      </c>
      <c r="G2491">
        <v>-396.71460000000002</v>
      </c>
      <c r="H2491" s="1">
        <v>2.0363720000000002E-6</v>
      </c>
      <c r="I2491">
        <v>214.42339999999999</v>
      </c>
      <c r="J2491">
        <v>-427.35680000000002</v>
      </c>
      <c r="K2491">
        <v>1.110093</v>
      </c>
      <c r="L2491">
        <v>213.2407</v>
      </c>
      <c r="M2491">
        <v>0.99996910000000006</v>
      </c>
      <c r="N2491">
        <v>0</v>
      </c>
      <c r="O2491">
        <v>2.5909840000000002E-3</v>
      </c>
      <c r="P2491">
        <v>0.98285869999999997</v>
      </c>
      <c r="Q2491">
        <v>0.18295420000000001</v>
      </c>
      <c r="R2491">
        <v>-2.2738009999999999E-2</v>
      </c>
      <c r="S2491">
        <v>3.0758969999999999</v>
      </c>
      <c r="T2491">
        <v>-0.11046590000000001</v>
      </c>
      <c r="U2491">
        <v>0.1178589</v>
      </c>
      <c r="V2491">
        <v>2.4894369999999999E-2</v>
      </c>
      <c r="W2491">
        <v>0.19031490000000001</v>
      </c>
      <c r="X2491">
        <v>0.98140740000000004</v>
      </c>
      <c r="Y2491">
        <v>-3.5678229999999998E-2</v>
      </c>
      <c r="Z2491">
        <v>5.4723369999999996E-4</v>
      </c>
      <c r="AA2491">
        <v>0.99936320000000001</v>
      </c>
      <c r="AB2491">
        <v>27</v>
      </c>
      <c r="AC2491">
        <v>30.642199999999999</v>
      </c>
      <c r="AD2491">
        <v>-1.1100909636280001</v>
      </c>
      <c r="AE2491">
        <v>1.1826999999999801</v>
      </c>
      <c r="AF2491">
        <v>-1.1018564312053201</v>
      </c>
      <c r="AG2491">
        <v>-1.1100909636280001</v>
      </c>
      <c r="AH2491">
        <v>30.6050542380443</v>
      </c>
      <c r="AI2491">
        <v>92.075948937164796</v>
      </c>
      <c r="AJ2491">
        <v>92.0618969418707</v>
      </c>
      <c r="AK2491">
        <v>30.6449952595224</v>
      </c>
      <c r="AL2491">
        <v>79.028837896512201</v>
      </c>
      <c r="AM2491">
        <v>88.546947441089202</v>
      </c>
      <c r="AN2491">
        <v>0.99999998779723298</v>
      </c>
    </row>
    <row r="2492" spans="1:40" x14ac:dyDescent="0.25">
      <c r="A2492" t="str">
        <f>"20190312172708040"</f>
        <v>20190312172708040</v>
      </c>
      <c r="B2492" t="str">
        <f>"1552382828031597"</f>
        <v>1552382828031597</v>
      </c>
      <c r="C2492" t="s">
        <v>40</v>
      </c>
      <c r="D2492">
        <v>3.3663509999999999</v>
      </c>
      <c r="E2492">
        <v>0.48202089999999997</v>
      </c>
      <c r="F2492" t="s">
        <v>48</v>
      </c>
      <c r="G2492">
        <v>-396.71089999999998</v>
      </c>
      <c r="H2492" s="1">
        <v>2.0344170000000002E-6</v>
      </c>
      <c r="I2492">
        <v>214.4246</v>
      </c>
      <c r="J2492">
        <v>-426.82760000000002</v>
      </c>
      <c r="K2492">
        <v>1.1100810000000001</v>
      </c>
      <c r="L2492">
        <v>213.2449</v>
      </c>
      <c r="M2492">
        <v>0.99996110000000005</v>
      </c>
      <c r="N2492">
        <v>0</v>
      </c>
      <c r="O2492">
        <v>4.9713989999999996E-3</v>
      </c>
      <c r="P2492">
        <v>0.98289530000000003</v>
      </c>
      <c r="Q2492">
        <v>0.183001</v>
      </c>
      <c r="R2492">
        <v>-2.068482E-2</v>
      </c>
      <c r="S2492">
        <v>3.075806</v>
      </c>
      <c r="T2492">
        <v>-0.1114151</v>
      </c>
      <c r="U2492">
        <v>0.1188202</v>
      </c>
      <c r="V2492">
        <v>2.5175889999999999E-2</v>
      </c>
      <c r="W2492">
        <v>0.1902306</v>
      </c>
      <c r="X2492">
        <v>0.98141659999999997</v>
      </c>
      <c r="Y2492">
        <v>-3.3614739999999997E-2</v>
      </c>
      <c r="Z2492">
        <v>4.2843509999999999E-4</v>
      </c>
      <c r="AA2492">
        <v>0.99943479999999996</v>
      </c>
      <c r="AB2492">
        <v>27</v>
      </c>
      <c r="AC2492">
        <v>30.116700000000002</v>
      </c>
      <c r="AD2492">
        <v>-1.1100789655829999</v>
      </c>
      <c r="AE2492">
        <v>1.17969999999999</v>
      </c>
      <c r="AF2492">
        <v>-1.0285640441156101</v>
      </c>
      <c r="AG2492">
        <v>-1.1100789655829999</v>
      </c>
      <c r="AH2492">
        <v>30.081386639274601</v>
      </c>
      <c r="AI2492">
        <v>92.112166414682207</v>
      </c>
      <c r="AJ2492">
        <v>91.958334857790504</v>
      </c>
      <c r="AK2492">
        <v>30.119429633447702</v>
      </c>
      <c r="AL2492">
        <v>79.033758220928306</v>
      </c>
      <c r="AM2492">
        <v>88.530536412186706</v>
      </c>
      <c r="AN2492">
        <v>1.0000000246845999</v>
      </c>
    </row>
    <row r="2493" spans="1:40" x14ac:dyDescent="0.25">
      <c r="A2493" t="str">
        <f>"20190312172708062"</f>
        <v>20190312172708062</v>
      </c>
      <c r="B2493" t="str">
        <f>"1552382828051117"</f>
        <v>1552382828051117</v>
      </c>
      <c r="C2493" t="s">
        <v>40</v>
      </c>
      <c r="D2493">
        <v>3.1748280000000002</v>
      </c>
      <c r="E2493">
        <v>0.48216930000000002</v>
      </c>
      <c r="F2493" t="s">
        <v>48</v>
      </c>
      <c r="G2493">
        <v>-396.10230000000001</v>
      </c>
      <c r="H2493" s="1">
        <v>1.7105719999999901E-6</v>
      </c>
      <c r="I2493">
        <v>214.46899999999999</v>
      </c>
      <c r="J2493">
        <v>-426.55130000000003</v>
      </c>
      <c r="K2493">
        <v>1.110074</v>
      </c>
      <c r="L2493">
        <v>213.24760000000001</v>
      </c>
      <c r="M2493">
        <v>0.99995460000000003</v>
      </c>
      <c r="N2493">
        <v>0</v>
      </c>
      <c r="O2493">
        <v>6.2132860000000002E-3</v>
      </c>
      <c r="P2493">
        <v>0.98292199999999996</v>
      </c>
      <c r="Q2493">
        <v>0.1829778</v>
      </c>
      <c r="R2493">
        <v>-1.9594670000000002E-2</v>
      </c>
      <c r="S2493">
        <v>3.0754999999999999</v>
      </c>
      <c r="T2493">
        <v>-0.1111152</v>
      </c>
      <c r="U2493">
        <v>0.1225281</v>
      </c>
      <c r="V2493">
        <v>2.5303889999999999E-2</v>
      </c>
      <c r="W2493">
        <v>0.1901398</v>
      </c>
      <c r="X2493">
        <v>0.98143089999999999</v>
      </c>
      <c r="Y2493">
        <v>-3.3581350000000003E-2</v>
      </c>
      <c r="Z2493">
        <v>3.8187829999999999E-4</v>
      </c>
      <c r="AA2493">
        <v>0.99943590000000004</v>
      </c>
      <c r="AB2493">
        <v>27</v>
      </c>
      <c r="AC2493">
        <v>30.449000000000002</v>
      </c>
      <c r="AD2493">
        <v>-1.110072289428</v>
      </c>
      <c r="AE2493">
        <v>1.22140000000001</v>
      </c>
      <c r="AF2493">
        <v>-1.03081528789295</v>
      </c>
      <c r="AG2493">
        <v>-1.110072289428</v>
      </c>
      <c r="AH2493">
        <v>30.415640954077801</v>
      </c>
      <c r="AI2493">
        <v>92.088984189481494</v>
      </c>
      <c r="AJ2493">
        <v>91.941066063368197</v>
      </c>
      <c r="AK2493">
        <v>30.453342268015199</v>
      </c>
      <c r="AL2493">
        <v>79.039057355291902</v>
      </c>
      <c r="AM2493">
        <v>88.523090133146795</v>
      </c>
      <c r="AN2493">
        <v>1.0000000209339901</v>
      </c>
    </row>
    <row r="2494" spans="1:40" x14ac:dyDescent="0.25">
      <c r="A2494" t="str">
        <f>"20190312172708084"</f>
        <v>20190312172708084</v>
      </c>
      <c r="B2494" t="str">
        <f>"1552382828071613"</f>
        <v>1552382828071613</v>
      </c>
      <c r="C2494" t="s">
        <v>40</v>
      </c>
      <c r="D2494">
        <v>3.1720730000000001</v>
      </c>
      <c r="E2494">
        <v>0.48233799999999999</v>
      </c>
      <c r="F2494" t="s">
        <v>48</v>
      </c>
      <c r="G2494">
        <v>-395.92809999999997</v>
      </c>
      <c r="H2494" s="1">
        <v>1.617871E-6</v>
      </c>
      <c r="I2494">
        <v>214.4862</v>
      </c>
      <c r="J2494">
        <v>-426.29349999999999</v>
      </c>
      <c r="K2494">
        <v>1.11007099999999</v>
      </c>
      <c r="L2494">
        <v>213.25040000000001</v>
      </c>
      <c r="M2494">
        <v>0.99994709999999998</v>
      </c>
      <c r="N2494">
        <v>0</v>
      </c>
      <c r="O2494">
        <v>7.3714089999999998E-3</v>
      </c>
      <c r="P2494">
        <v>0.98303090000000004</v>
      </c>
      <c r="Q2494">
        <v>0.18254119999999999</v>
      </c>
      <c r="R2494">
        <v>-1.814429E-2</v>
      </c>
      <c r="S2494">
        <v>3.075348</v>
      </c>
      <c r="T2494">
        <v>-0.1114795</v>
      </c>
      <c r="U2494">
        <v>0.1243896</v>
      </c>
      <c r="V2494">
        <v>2.4991079999999999E-2</v>
      </c>
      <c r="W2494">
        <v>0.18964210000000001</v>
      </c>
      <c r="X2494">
        <v>0.98153520000000005</v>
      </c>
      <c r="Y2494">
        <v>-3.3030799999999999E-2</v>
      </c>
      <c r="Z2494">
        <v>3.3122499999999999E-4</v>
      </c>
      <c r="AA2494">
        <v>0.99945430000000002</v>
      </c>
      <c r="AB2494">
        <v>27</v>
      </c>
      <c r="AC2494">
        <v>30.365400000000001</v>
      </c>
      <c r="AD2494">
        <v>-1.11006938212899</v>
      </c>
      <c r="AE2494">
        <v>1.23579999999998</v>
      </c>
      <c r="AF2494">
        <v>-1.0105765610194499</v>
      </c>
      <c r="AG2494">
        <v>-1.11006938212899</v>
      </c>
      <c r="AH2494">
        <v>30.333213961558201</v>
      </c>
      <c r="AI2494">
        <v>92.094690630830598</v>
      </c>
      <c r="AJ2494">
        <v>91.908151360083295</v>
      </c>
      <c r="AK2494">
        <v>30.370337308902101</v>
      </c>
      <c r="AL2494">
        <v>79.068101853820806</v>
      </c>
      <c r="AM2494">
        <v>88.541494882305003</v>
      </c>
      <c r="AN2494">
        <v>1.0000000145054999</v>
      </c>
    </row>
    <row r="2495" spans="1:40" x14ac:dyDescent="0.25">
      <c r="A2495" t="str">
        <f>"20190312172708106"</f>
        <v>20190312172708106</v>
      </c>
      <c r="B2495" t="str">
        <f>"1552382828101869"</f>
        <v>1552382828101869</v>
      </c>
      <c r="C2495" t="s">
        <v>40</v>
      </c>
      <c r="D2495">
        <v>3.3754529999999998</v>
      </c>
      <c r="E2495">
        <v>0.48269190000000001</v>
      </c>
      <c r="F2495" t="s">
        <v>48</v>
      </c>
      <c r="G2495">
        <v>-396.08170000000001</v>
      </c>
      <c r="H2495" s="1">
        <v>1.6995870000000001E-6</v>
      </c>
      <c r="I2495">
        <v>214.49979999999999</v>
      </c>
      <c r="J2495">
        <v>-426.0179</v>
      </c>
      <c r="K2495">
        <v>1.110061</v>
      </c>
      <c r="L2495">
        <v>213.25370000000001</v>
      </c>
      <c r="M2495">
        <v>0.99993779999999999</v>
      </c>
      <c r="N2495">
        <v>0</v>
      </c>
      <c r="O2495">
        <v>8.6070880000000006E-3</v>
      </c>
      <c r="P2495">
        <v>0.98309290000000005</v>
      </c>
      <c r="Q2495">
        <v>0.1823649</v>
      </c>
      <c r="R2495">
        <v>-1.6488579999999999E-2</v>
      </c>
      <c r="S2495">
        <v>3.0750730000000002</v>
      </c>
      <c r="T2495">
        <v>-0.1129872</v>
      </c>
      <c r="U2495">
        <v>0.12716669999999999</v>
      </c>
      <c r="V2495">
        <v>2.4548549999999999E-2</v>
      </c>
      <c r="W2495">
        <v>0.18939719999999999</v>
      </c>
      <c r="X2495">
        <v>0.98159359999999996</v>
      </c>
      <c r="Y2495">
        <v>-3.2701029999999999E-2</v>
      </c>
      <c r="Z2495">
        <v>2.843077E-4</v>
      </c>
      <c r="AA2495">
        <v>0.99946520000000005</v>
      </c>
      <c r="AB2495">
        <v>27</v>
      </c>
      <c r="AC2495">
        <v>29.9361999999999</v>
      </c>
      <c r="AD2495">
        <v>-1.1100593004129999</v>
      </c>
      <c r="AE2495">
        <v>1.24609999999998</v>
      </c>
      <c r="AF2495">
        <v>-0.98702904394572</v>
      </c>
      <c r="AG2495">
        <v>-1.1100593004129999</v>
      </c>
      <c r="AH2495">
        <v>29.904769032143001</v>
      </c>
      <c r="AI2495">
        <v>92.124676429873006</v>
      </c>
      <c r="AJ2495">
        <v>91.890403369796701</v>
      </c>
      <c r="AK2495">
        <v>29.9416377115522</v>
      </c>
      <c r="AL2495">
        <v>79.082392014024407</v>
      </c>
      <c r="AM2495">
        <v>88.567395729372706</v>
      </c>
      <c r="AN2495">
        <v>0.99999996311795003</v>
      </c>
    </row>
    <row r="2496" spans="1:40" x14ac:dyDescent="0.25">
      <c r="A2496" t="str">
        <f>"20190312172708152"</f>
        <v>20190312172708152</v>
      </c>
      <c r="B2496" t="str">
        <f>"1552382828141885"</f>
        <v>1552382828141885</v>
      </c>
      <c r="C2496" t="s">
        <v>40</v>
      </c>
      <c r="D2496">
        <v>3.2855259999999999</v>
      </c>
      <c r="E2496">
        <v>0.48315429999999998</v>
      </c>
      <c r="F2496" t="s">
        <v>48</v>
      </c>
      <c r="G2496">
        <v>-396.11410000000001</v>
      </c>
      <c r="H2496" s="1">
        <v>1.7168170000000001E-6</v>
      </c>
      <c r="I2496">
        <v>214.51429999999999</v>
      </c>
      <c r="J2496">
        <v>-425.45870000000002</v>
      </c>
      <c r="K2496">
        <v>1.110039</v>
      </c>
      <c r="L2496">
        <v>213.26150000000001</v>
      </c>
      <c r="M2496">
        <v>0.99991430000000003</v>
      </c>
      <c r="N2496">
        <v>0</v>
      </c>
      <c r="O2496">
        <v>1.1080069999999999E-2</v>
      </c>
      <c r="P2496">
        <v>0.98317429999999995</v>
      </c>
      <c r="Q2496">
        <v>0.18217069999999999</v>
      </c>
      <c r="R2496">
        <v>-1.351256E-2</v>
      </c>
      <c r="S2496">
        <v>3.074951</v>
      </c>
      <c r="T2496">
        <v>-0.114145</v>
      </c>
      <c r="U2496">
        <v>0.1296234</v>
      </c>
      <c r="V2496">
        <v>2.4005700000000001E-2</v>
      </c>
      <c r="W2496">
        <v>0.18907650000000001</v>
      </c>
      <c r="X2496">
        <v>0.98166889999999996</v>
      </c>
      <c r="Y2496">
        <v>-3.1030410000000001E-2</v>
      </c>
      <c r="Z2496">
        <v>1.6452700000000001E-4</v>
      </c>
      <c r="AA2496">
        <v>0.99951849999999998</v>
      </c>
      <c r="AB2496">
        <v>27</v>
      </c>
      <c r="AC2496">
        <v>29.3446</v>
      </c>
      <c r="AD2496">
        <v>-1.1100372831829901</v>
      </c>
      <c r="AE2496">
        <v>1.2527999999999699</v>
      </c>
      <c r="AF2496">
        <v>-0.92625197327402897</v>
      </c>
      <c r="AG2496">
        <v>-1.1100372831829901</v>
      </c>
      <c r="AH2496">
        <v>29.314808861518099</v>
      </c>
      <c r="AI2496">
        <v>92.167450639246596</v>
      </c>
      <c r="AJ2496">
        <v>91.809756928015503</v>
      </c>
      <c r="AK2496">
        <v>29.350436863450401</v>
      </c>
      <c r="AL2496">
        <v>79.101105434082001</v>
      </c>
      <c r="AM2496">
        <v>88.599170019488994</v>
      </c>
      <c r="AN2496">
        <v>1.0000000128559701</v>
      </c>
    </row>
    <row r="2497" spans="1:40" x14ac:dyDescent="0.25">
      <c r="A2497" t="str">
        <f>"20190312172708174"</f>
        <v>20190312172708174</v>
      </c>
      <c r="B2497" t="str">
        <f>"1552382828161406"</f>
        <v>1552382828161406</v>
      </c>
      <c r="C2497" t="s">
        <v>40</v>
      </c>
      <c r="D2497">
        <v>3.2049660000000002</v>
      </c>
      <c r="E2497">
        <v>0.48337170000000002</v>
      </c>
      <c r="F2497" t="s">
        <v>48</v>
      </c>
      <c r="G2497">
        <v>-395.64389999999997</v>
      </c>
      <c r="H2497" s="1">
        <v>1.466628E-6</v>
      </c>
      <c r="I2497">
        <v>214.5677</v>
      </c>
      <c r="J2497">
        <v>-425.19310000000002</v>
      </c>
      <c r="K2497">
        <v>1.110026</v>
      </c>
      <c r="L2497">
        <v>213.26570000000001</v>
      </c>
      <c r="M2497">
        <v>0.99990120000000005</v>
      </c>
      <c r="N2497">
        <v>0</v>
      </c>
      <c r="O2497">
        <v>1.223142E-2</v>
      </c>
      <c r="P2497">
        <v>0.98311749999999998</v>
      </c>
      <c r="Q2497">
        <v>0.1825494</v>
      </c>
      <c r="R2497">
        <v>-1.247585E-2</v>
      </c>
      <c r="S2497">
        <v>3.0744020000000001</v>
      </c>
      <c r="T2497">
        <v>-0.1144633</v>
      </c>
      <c r="U2497">
        <v>0.13468929999999901</v>
      </c>
      <c r="V2497">
        <v>2.4102209999999999E-2</v>
      </c>
      <c r="W2497">
        <v>0.18940380000000001</v>
      </c>
      <c r="X2497">
        <v>0.98160340000000001</v>
      </c>
      <c r="Y2497">
        <v>-3.153135E-2</v>
      </c>
      <c r="Z2497">
        <v>1.3150379999999999E-4</v>
      </c>
      <c r="AA2497">
        <v>0.99950280000000002</v>
      </c>
      <c r="AB2497">
        <v>28</v>
      </c>
      <c r="AC2497">
        <v>29.549199999999999</v>
      </c>
      <c r="AD2497">
        <v>-1.110024533372</v>
      </c>
      <c r="AE2497">
        <v>1.3019999999999901</v>
      </c>
      <c r="AF2497">
        <v>-0.93914254519325602</v>
      </c>
      <c r="AG2497">
        <v>-1.110024533372</v>
      </c>
      <c r="AH2497">
        <v>29.5213367480874</v>
      </c>
      <c r="AI2497">
        <v>92.152262332365694</v>
      </c>
      <c r="AJ2497">
        <v>91.822097816872699</v>
      </c>
      <c r="AK2497">
        <v>29.557122095678601</v>
      </c>
      <c r="AL2497">
        <v>79.082007027254207</v>
      </c>
      <c r="AM2497">
        <v>88.593446715120507</v>
      </c>
      <c r="AN2497">
        <v>0.99999997543644104</v>
      </c>
    </row>
    <row r="2498" spans="1:40" x14ac:dyDescent="0.25">
      <c r="A2498" t="str">
        <f>"20190312172708196"</f>
        <v>20190312172708196</v>
      </c>
      <c r="B2498" t="str">
        <f>"1552382828191664"</f>
        <v>1552382828191664</v>
      </c>
      <c r="C2498" t="s">
        <v>40</v>
      </c>
      <c r="D2498">
        <v>3.196574</v>
      </c>
      <c r="E2498">
        <v>0.49065150000000002</v>
      </c>
      <c r="F2498" t="s">
        <v>48</v>
      </c>
      <c r="G2498">
        <v>-395.0684</v>
      </c>
      <c r="H2498" s="1">
        <v>1.1603750000000001E-6</v>
      </c>
      <c r="I2498">
        <v>214.5958</v>
      </c>
      <c r="J2498">
        <v>-424.90910000000002</v>
      </c>
      <c r="K2498">
        <v>1.1100110000000001</v>
      </c>
      <c r="L2498">
        <v>213.2704</v>
      </c>
      <c r="M2498">
        <v>0.9998861</v>
      </c>
      <c r="N2498">
        <v>0</v>
      </c>
      <c r="O2498">
        <v>1.344002E-2</v>
      </c>
      <c r="P2498">
        <v>0.98294510000000002</v>
      </c>
      <c r="Q2498">
        <v>0.18351799999999999</v>
      </c>
      <c r="R2498">
        <v>-1.18396E-2</v>
      </c>
      <c r="S2498">
        <v>3.0742799999999999</v>
      </c>
      <c r="T2498">
        <v>-0.11328009999999999</v>
      </c>
      <c r="U2498">
        <v>0.13574220000000001</v>
      </c>
      <c r="V2498">
        <v>2.465411E-2</v>
      </c>
      <c r="W2498">
        <v>0.1903205</v>
      </c>
      <c r="X2498">
        <v>0.98141239999999996</v>
      </c>
      <c r="Y2498">
        <v>-3.0668259999999999E-2</v>
      </c>
      <c r="Z2498" s="1">
        <v>6.977207E-5</v>
      </c>
      <c r="AA2498">
        <v>0.99952960000000002</v>
      </c>
      <c r="AB2498">
        <v>28</v>
      </c>
      <c r="AC2498">
        <v>29.840699999999998</v>
      </c>
      <c r="AD2498">
        <v>-1.110009839625</v>
      </c>
      <c r="AE2498">
        <v>1.3253999999999999</v>
      </c>
      <c r="AF2498">
        <v>-0.92293668737995904</v>
      </c>
      <c r="AG2498">
        <v>-1.110009839625</v>
      </c>
      <c r="AH2498">
        <v>29.814645746128601</v>
      </c>
      <c r="AI2498">
        <v>92.131137528699995</v>
      </c>
      <c r="AJ2498">
        <v>91.773071396017002</v>
      </c>
      <c r="AK2498">
        <v>29.849573446535601</v>
      </c>
      <c r="AL2498">
        <v>79.028511295005401</v>
      </c>
      <c r="AM2498">
        <v>88.560972513107302</v>
      </c>
      <c r="AN2498">
        <v>1.00000000836695</v>
      </c>
    </row>
    <row r="2499" spans="1:40" x14ac:dyDescent="0.25">
      <c r="A2499" t="str">
        <f>"20190312172708218"</f>
        <v>20190312172708218</v>
      </c>
      <c r="B2499" t="str">
        <f>"1552382828211182"</f>
        <v>1552382828211182</v>
      </c>
      <c r="C2499" t="s">
        <v>40</v>
      </c>
      <c r="D2499">
        <v>3.1999200000000001</v>
      </c>
      <c r="E2499">
        <v>0.50274799999999997</v>
      </c>
      <c r="F2499" t="s">
        <v>48</v>
      </c>
      <c r="G2499">
        <v>-393.47930000000002</v>
      </c>
      <c r="H2499" s="1">
        <v>3.1472369999999998E-7</v>
      </c>
      <c r="I2499">
        <v>214.07749999999999</v>
      </c>
      <c r="J2499">
        <v>-424.64909999999998</v>
      </c>
      <c r="K2499">
        <v>1.1099840000000001</v>
      </c>
      <c r="L2499">
        <v>213.27500000000001</v>
      </c>
      <c r="M2499">
        <v>0.99987159999999997</v>
      </c>
      <c r="N2499">
        <v>0</v>
      </c>
      <c r="O2499">
        <v>1.450623E-2</v>
      </c>
      <c r="P2499">
        <v>0.98282879999999995</v>
      </c>
      <c r="Q2499">
        <v>0.1841689</v>
      </c>
      <c r="R2499">
        <v>-1.138549E-2</v>
      </c>
      <c r="S2499">
        <v>3.0732729999999999</v>
      </c>
      <c r="T2499">
        <v>-0.1085391</v>
      </c>
      <c r="U2499">
        <v>7.8918459999999996E-2</v>
      </c>
      <c r="V2499">
        <v>2.5253319999999999E-2</v>
      </c>
      <c r="W2499">
        <v>0.19092149999999999</v>
      </c>
      <c r="X2499">
        <v>0.98128040000000005</v>
      </c>
      <c r="Y2499">
        <v>-1.116809E-2</v>
      </c>
      <c r="Z2499">
        <v>-3.1493020000000001E-4</v>
      </c>
      <c r="AA2499">
        <v>0.99993759999999998</v>
      </c>
      <c r="AB2499">
        <v>28</v>
      </c>
      <c r="AC2499">
        <v>31.169799999999899</v>
      </c>
      <c r="AD2499">
        <v>-1.1099836852763001</v>
      </c>
      <c r="AE2499">
        <v>0.80249999999998001</v>
      </c>
      <c r="AF2499">
        <v>-0.349805482358167</v>
      </c>
      <c r="AG2499">
        <v>-1.1099836852763001</v>
      </c>
      <c r="AH2499">
        <v>31.138699765886699</v>
      </c>
      <c r="AI2499">
        <v>92.041397263590994</v>
      </c>
      <c r="AJ2499">
        <v>90.643621438977604</v>
      </c>
      <c r="AK2499">
        <v>31.160440477745102</v>
      </c>
      <c r="AL2499">
        <v>78.993433086376299</v>
      </c>
      <c r="AM2499">
        <v>88.525814481430203</v>
      </c>
      <c r="AN2499">
        <v>0.99999998637871601</v>
      </c>
    </row>
    <row r="2500" spans="1:40" x14ac:dyDescent="0.25">
      <c r="A2500" t="str">
        <f>"20190312172708239"</f>
        <v>20190312172708239</v>
      </c>
      <c r="B2500" t="str">
        <f>"1552382828231678"</f>
        <v>1552382828231678</v>
      </c>
      <c r="C2500" t="s">
        <v>40</v>
      </c>
      <c r="D2500">
        <v>3.2136520000000002</v>
      </c>
      <c r="E2500">
        <v>0.50233109999999903</v>
      </c>
      <c r="F2500" t="s">
        <v>48</v>
      </c>
      <c r="G2500">
        <v>-390.09429999999998</v>
      </c>
      <c r="H2500" s="1">
        <v>-1.4866099999999999E-6</v>
      </c>
      <c r="I2500">
        <v>213.08420000000001</v>
      </c>
      <c r="J2500">
        <v>-424.37299999999999</v>
      </c>
      <c r="K2500">
        <v>1.109936</v>
      </c>
      <c r="L2500">
        <v>213.28020000000001</v>
      </c>
      <c r="M2500">
        <v>0.99985570000000001</v>
      </c>
      <c r="N2500">
        <v>0</v>
      </c>
      <c r="O2500">
        <v>1.5580129999999999E-2</v>
      </c>
      <c r="P2500">
        <v>0.98277899999999996</v>
      </c>
      <c r="Q2500">
        <v>0.1844692</v>
      </c>
      <c r="R2500">
        <v>-1.080418E-2</v>
      </c>
      <c r="S2500">
        <v>3.0707089999999999</v>
      </c>
      <c r="T2500">
        <v>-9.8638770000000001E-2</v>
      </c>
      <c r="U2500">
        <v>-1.695251E-2</v>
      </c>
      <c r="V2500">
        <v>2.574102E-2</v>
      </c>
      <c r="W2500">
        <v>0.1911649</v>
      </c>
      <c r="X2500">
        <v>0.98122039999999999</v>
      </c>
      <c r="Y2500">
        <v>2.1081300000000001E-2</v>
      </c>
      <c r="Z2500">
        <v>-8.3884279999999996E-4</v>
      </c>
      <c r="AA2500">
        <v>0.99977740000000004</v>
      </c>
      <c r="AB2500">
        <v>28</v>
      </c>
      <c r="AC2500">
        <v>34.278700000000001</v>
      </c>
      <c r="AD2500">
        <v>-1.10993748661</v>
      </c>
      <c r="AE2500">
        <v>-0.19599999999999701</v>
      </c>
      <c r="AF2500">
        <v>0.72929045133751202</v>
      </c>
      <c r="AG2500">
        <v>-1.10993748661</v>
      </c>
      <c r="AH2500">
        <v>34.235592182666998</v>
      </c>
      <c r="AI2500">
        <v>91.856490663643498</v>
      </c>
      <c r="AJ2500">
        <v>88.779663399458002</v>
      </c>
      <c r="AK2500">
        <v>34.2613426164896</v>
      </c>
      <c r="AL2500">
        <v>78.979226282905003</v>
      </c>
      <c r="AM2500">
        <v>88.497265637655005</v>
      </c>
      <c r="AN2500">
        <v>1.0000000462394001</v>
      </c>
    </row>
    <row r="2501" spans="1:40" x14ac:dyDescent="0.25">
      <c r="A2501" t="str">
        <f>"20190312172708261"</f>
        <v>20190312172708261</v>
      </c>
      <c r="B2501" t="str">
        <f>"1552382828251198"</f>
        <v>1552382828251198</v>
      </c>
      <c r="C2501" t="s">
        <v>40</v>
      </c>
      <c r="D2501">
        <v>3.2122660000000001</v>
      </c>
      <c r="E2501">
        <v>0.50250859999999997</v>
      </c>
      <c r="F2501" t="s">
        <v>48</v>
      </c>
      <c r="G2501">
        <v>-386.53190000000001</v>
      </c>
      <c r="H2501" s="1">
        <v>2.0042630000000001E-6</v>
      </c>
      <c r="I2501">
        <v>213.12739999999999</v>
      </c>
      <c r="J2501">
        <v>-424.0926</v>
      </c>
      <c r="K2501">
        <v>1.1098809999999999</v>
      </c>
      <c r="L2501">
        <v>213.28559999999999</v>
      </c>
      <c r="M2501">
        <v>0.99983979999999995</v>
      </c>
      <c r="N2501">
        <v>0</v>
      </c>
      <c r="O2501">
        <v>1.6597259999999999E-2</v>
      </c>
      <c r="P2501">
        <v>0.98281549999999995</v>
      </c>
      <c r="Q2501">
        <v>0.18429780000000001</v>
      </c>
      <c r="R2501">
        <v>-1.040755E-2</v>
      </c>
      <c r="S2501">
        <v>3.0693359999999998</v>
      </c>
      <c r="T2501">
        <v>-9.0028170000000005E-2</v>
      </c>
      <c r="U2501">
        <v>-1.2390139999999999E-2</v>
      </c>
      <c r="V2501">
        <v>2.6366290000000001E-2</v>
      </c>
      <c r="W2501">
        <v>0.19093650000000001</v>
      </c>
      <c r="X2501">
        <v>0.98124820000000001</v>
      </c>
      <c r="Y2501">
        <v>2.0617650000000001E-2</v>
      </c>
      <c r="Z2501">
        <v>-7.8902059999999997E-4</v>
      </c>
      <c r="AA2501">
        <v>0.99978719999999999</v>
      </c>
      <c r="AB2501">
        <v>28</v>
      </c>
      <c r="AC2501">
        <v>37.560699999999997</v>
      </c>
      <c r="AD2501">
        <v>-1.1098789957370001</v>
      </c>
      <c r="AE2501">
        <v>-0.15819999999999301</v>
      </c>
      <c r="AF2501">
        <v>0.78091507302760299</v>
      </c>
      <c r="AG2501">
        <v>-1.1098789957370001</v>
      </c>
      <c r="AH2501">
        <v>37.520140504572197</v>
      </c>
      <c r="AI2501">
        <v>91.693999167656202</v>
      </c>
      <c r="AJ2501">
        <v>88.807662280693407</v>
      </c>
      <c r="AK2501">
        <v>37.544674765128804</v>
      </c>
      <c r="AL2501">
        <v>78.992557462391105</v>
      </c>
      <c r="AM2501">
        <v>88.460823955033504</v>
      </c>
      <c r="AN2501">
        <v>0.99999997914192595</v>
      </c>
    </row>
    <row r="2502" spans="1:40" x14ac:dyDescent="0.25">
      <c r="A2502" t="str">
        <f>"20190312172708284"</f>
        <v>20190312172708284</v>
      </c>
      <c r="B2502" t="str">
        <f>"1552382828271696"</f>
        <v>1552382828271696</v>
      </c>
      <c r="C2502" t="s">
        <v>40</v>
      </c>
      <c r="D2502">
        <v>3.2330429999999999</v>
      </c>
      <c r="E2502">
        <v>0.50251199999999996</v>
      </c>
      <c r="F2502" t="s">
        <v>48</v>
      </c>
      <c r="G2502">
        <v>-385.3152</v>
      </c>
      <c r="H2502" s="1">
        <v>1.3569169999999999E-6</v>
      </c>
      <c r="I2502">
        <v>213.12440000000001</v>
      </c>
      <c r="J2502">
        <v>-423.81630000000001</v>
      </c>
      <c r="K2502">
        <v>1.1098170000000001</v>
      </c>
      <c r="L2502">
        <v>213.2912</v>
      </c>
      <c r="M2502">
        <v>0.9998245</v>
      </c>
      <c r="N2502">
        <v>0</v>
      </c>
      <c r="O2502">
        <v>1.7515969999999999E-2</v>
      </c>
      <c r="P2502">
        <v>0.9828133</v>
      </c>
      <c r="Q2502">
        <v>0.1843407</v>
      </c>
      <c r="R2502">
        <v>-9.8144549999999997E-3</v>
      </c>
      <c r="S2502">
        <v>3.068756</v>
      </c>
      <c r="T2502">
        <v>-8.7833399999999895E-2</v>
      </c>
      <c r="U2502">
        <v>-1.275635E-2</v>
      </c>
      <c r="V2502">
        <v>2.6702070000000001E-2</v>
      </c>
      <c r="W2502">
        <v>0.19092239999999999</v>
      </c>
      <c r="X2502">
        <v>0.9812419</v>
      </c>
      <c r="Y2502">
        <v>2.1656350000000001E-2</v>
      </c>
      <c r="Z2502">
        <v>-8.1108820000000002E-4</v>
      </c>
      <c r="AA2502">
        <v>0.99976520000000002</v>
      </c>
      <c r="AB2502">
        <v>28</v>
      </c>
      <c r="AC2502">
        <v>38.501100000000001</v>
      </c>
      <c r="AD2502">
        <v>-1.109815643083</v>
      </c>
      <c r="AE2502">
        <v>-0.16679999999999401</v>
      </c>
      <c r="AF2502">
        <v>0.84047506416279705</v>
      </c>
      <c r="AG2502">
        <v>-1.109815643083</v>
      </c>
      <c r="AH2502">
        <v>38.4603147467664</v>
      </c>
      <c r="AI2502">
        <v>91.652481187475303</v>
      </c>
      <c r="AJ2502">
        <v>88.748111896543605</v>
      </c>
      <c r="AK2502">
        <v>38.485502458918901</v>
      </c>
      <c r="AL2502">
        <v>78.9933808710216</v>
      </c>
      <c r="AM2502">
        <v>88.441221845763707</v>
      </c>
      <c r="AN2502">
        <v>1.00000001483982</v>
      </c>
    </row>
    <row r="2503" spans="1:40" x14ac:dyDescent="0.25">
      <c r="A2503" t="str">
        <f>"20190312172708305"</f>
        <v>20190312172708305</v>
      </c>
      <c r="B2503" t="str">
        <f>"1552382828301949"</f>
        <v>1552382828301949</v>
      </c>
      <c r="C2503" t="s">
        <v>40</v>
      </c>
      <c r="D2503">
        <v>3.2057129999999998</v>
      </c>
      <c r="E2503">
        <v>0.50257249999999998</v>
      </c>
      <c r="F2503" t="s">
        <v>48</v>
      </c>
      <c r="G2503">
        <v>-383.99110000000002</v>
      </c>
      <c r="H2503" s="1">
        <v>6.5129049999999996E-7</v>
      </c>
      <c r="I2503">
        <v>213.14660000000001</v>
      </c>
      <c r="J2503">
        <v>-423.53719999999998</v>
      </c>
      <c r="K2503">
        <v>1.109734</v>
      </c>
      <c r="L2503">
        <v>213.297</v>
      </c>
      <c r="M2503">
        <v>0.99980990000000003</v>
      </c>
      <c r="N2503">
        <v>0</v>
      </c>
      <c r="O2503">
        <v>1.8350060000000001E-2</v>
      </c>
      <c r="P2503">
        <v>0.98281169999999995</v>
      </c>
      <c r="Q2503">
        <v>0.1843651</v>
      </c>
      <c r="R2503">
        <v>-9.5175710000000007E-3</v>
      </c>
      <c r="S2503">
        <v>3.0683590000000001</v>
      </c>
      <c r="T2503">
        <v>-8.5506319999999997E-2</v>
      </c>
      <c r="U2503">
        <v>-1.113892E-2</v>
      </c>
      <c r="V2503">
        <v>2.7254529999999999E-2</v>
      </c>
      <c r="W2503">
        <v>0.19089020000000001</v>
      </c>
      <c r="X2503">
        <v>0.98123289999999996</v>
      </c>
      <c r="Y2503">
        <v>2.1964310000000001E-2</v>
      </c>
      <c r="Z2503">
        <v>-8.1723679999999902E-4</v>
      </c>
      <c r="AA2503">
        <v>0.99975840000000005</v>
      </c>
      <c r="AB2503">
        <v>28</v>
      </c>
      <c r="AC2503">
        <v>39.546099999999903</v>
      </c>
      <c r="AD2503">
        <v>-1.1097333487095</v>
      </c>
      <c r="AE2503">
        <v>-0.15039999999998999</v>
      </c>
      <c r="AF2503">
        <v>0.875374429986849</v>
      </c>
      <c r="AG2503">
        <v>-1.1097333487095</v>
      </c>
      <c r="AH2503">
        <v>39.505572454693997</v>
      </c>
      <c r="AI2503">
        <v>91.608652298949295</v>
      </c>
      <c r="AJ2503">
        <v>88.730633399607001</v>
      </c>
      <c r="AK2503">
        <v>39.530849263214598</v>
      </c>
      <c r="AL2503">
        <v>78.995259538933396</v>
      </c>
      <c r="AM2503">
        <v>88.4089728888015</v>
      </c>
      <c r="AN2503">
        <v>0.99999994095198297</v>
      </c>
    </row>
    <row r="2504" spans="1:40" x14ac:dyDescent="0.25">
      <c r="A2504" t="str">
        <f>"20190312172708330"</f>
        <v>20190312172708330</v>
      </c>
      <c r="B2504" t="str">
        <f>"1552382828321470"</f>
        <v>1552382828321470</v>
      </c>
      <c r="C2504" t="s">
        <v>40</v>
      </c>
      <c r="D2504">
        <v>3.1929599999999998</v>
      </c>
      <c r="E2504">
        <v>0.50278540000000005</v>
      </c>
      <c r="F2504" t="s">
        <v>48</v>
      </c>
      <c r="G2504">
        <v>-383.08280000000002</v>
      </c>
      <c r="H2504" s="1">
        <v>1.6767579999999999E-7</v>
      </c>
      <c r="I2504">
        <v>213.15369999999999</v>
      </c>
      <c r="J2504">
        <v>-423.2312</v>
      </c>
      <c r="K2504">
        <v>1.1096440000000001</v>
      </c>
      <c r="L2504">
        <v>213.30350000000001</v>
      </c>
      <c r="M2504">
        <v>0.9997954</v>
      </c>
      <c r="N2504">
        <v>0</v>
      </c>
      <c r="O2504">
        <v>1.9143139999999999E-2</v>
      </c>
      <c r="P2504">
        <v>0.98287769999999997</v>
      </c>
      <c r="Q2504">
        <v>0.18403919999999999</v>
      </c>
      <c r="R2504">
        <v>-9.0044630000000007E-3</v>
      </c>
      <c r="S2504">
        <v>3.0681150000000001</v>
      </c>
      <c r="T2504">
        <v>-8.4163779999999994E-2</v>
      </c>
      <c r="U2504">
        <v>-1.0864260000000001E-2</v>
      </c>
      <c r="V2504">
        <v>2.7557399999999999E-2</v>
      </c>
      <c r="W2504">
        <v>0.1905007</v>
      </c>
      <c r="X2504">
        <v>0.98130019999999996</v>
      </c>
      <c r="Y2504">
        <v>2.2668049999999999E-2</v>
      </c>
      <c r="Z2504">
        <v>-8.3587380000000005E-4</v>
      </c>
      <c r="AA2504">
        <v>0.99974269999999998</v>
      </c>
      <c r="AB2504">
        <v>28</v>
      </c>
      <c r="AC2504">
        <v>40.148399999999903</v>
      </c>
      <c r="AD2504">
        <v>-1.1096438323241999</v>
      </c>
      <c r="AE2504">
        <v>-0.14980000000002699</v>
      </c>
      <c r="AF2504">
        <v>0.91765442211358905</v>
      </c>
      <c r="AG2504">
        <v>-1.1096438323241999</v>
      </c>
      <c r="AH2504">
        <v>40.107537607488297</v>
      </c>
      <c r="AI2504">
        <v>91.584367325416594</v>
      </c>
      <c r="AJ2504">
        <v>88.689309868896004</v>
      </c>
      <c r="AK2504">
        <v>40.133377281374301</v>
      </c>
      <c r="AL2504">
        <v>79.017994140024101</v>
      </c>
      <c r="AM2504">
        <v>88.391411874507796</v>
      </c>
      <c r="AN2504">
        <v>1.0000000047576401</v>
      </c>
    </row>
    <row r="2505" spans="1:40" x14ac:dyDescent="0.25">
      <c r="A2505" t="str">
        <f>"20190312172708352"</f>
        <v>20190312172708352</v>
      </c>
      <c r="B2505" t="str">
        <f>"1552382828341965"</f>
        <v>1552382828341965</v>
      </c>
      <c r="C2505" t="s">
        <v>40</v>
      </c>
      <c r="D2505">
        <v>3.2184590000000002</v>
      </c>
      <c r="E2505">
        <v>0.50324360000000001</v>
      </c>
      <c r="F2505" t="s">
        <v>48</v>
      </c>
      <c r="G2505">
        <v>-382.95769999999999</v>
      </c>
      <c r="H2505" s="1">
        <v>1.0111140000000001E-7</v>
      </c>
      <c r="I2505">
        <v>213.1534</v>
      </c>
      <c r="J2505">
        <v>-422.94299999999998</v>
      </c>
      <c r="K2505">
        <v>1.1095630000000001</v>
      </c>
      <c r="L2505">
        <v>213.30959999999999</v>
      </c>
      <c r="M2505">
        <v>0.99978339999999999</v>
      </c>
      <c r="N2505">
        <v>0</v>
      </c>
      <c r="O2505">
        <v>1.9774690000000001E-2</v>
      </c>
      <c r="P2505">
        <v>0.9829251</v>
      </c>
      <c r="Q2505">
        <v>0.1837821</v>
      </c>
      <c r="R2505">
        <v>-9.0749890000000003E-3</v>
      </c>
      <c r="S2505">
        <v>3.0679630000000002</v>
      </c>
      <c r="T2505">
        <v>-8.4530830000000001E-2</v>
      </c>
      <c r="U2505">
        <v>-1.1428829999999999E-2</v>
      </c>
      <c r="V2505">
        <v>2.8282999999999999E-2</v>
      </c>
      <c r="W2505">
        <v>0.19018750000000001</v>
      </c>
      <c r="X2505">
        <v>0.98134030000000005</v>
      </c>
      <c r="Y2505">
        <v>2.348302E-2</v>
      </c>
      <c r="Z2505">
        <v>-8.6818029999999997E-4</v>
      </c>
      <c r="AA2505">
        <v>0.9997239</v>
      </c>
      <c r="AB2505">
        <v>28</v>
      </c>
      <c r="AC2505">
        <v>39.985300000000002</v>
      </c>
      <c r="AD2505">
        <v>-1.1095628988885999</v>
      </c>
      <c r="AE2505">
        <v>-0.15619999999998399</v>
      </c>
      <c r="AF2505">
        <v>0.94615446956071303</v>
      </c>
      <c r="AG2505">
        <v>-1.1095628988885999</v>
      </c>
      <c r="AH2505">
        <v>39.9436351328632</v>
      </c>
      <c r="AI2505">
        <v>91.5907193506239</v>
      </c>
      <c r="AJ2505">
        <v>88.643074868628304</v>
      </c>
      <c r="AK2505">
        <v>39.9702430031913</v>
      </c>
      <c r="AL2505">
        <v>79.036273303495506</v>
      </c>
      <c r="AM2505">
        <v>88.349147514300498</v>
      </c>
      <c r="AN2505">
        <v>0.99999999882466994</v>
      </c>
    </row>
    <row r="2506" spans="1:40" x14ac:dyDescent="0.25">
      <c r="A2506" t="str">
        <f>"20190312172708395"</f>
        <v>20190312172708395</v>
      </c>
      <c r="B2506" t="str">
        <f>"1552382828391742"</f>
        <v>1552382828391742</v>
      </c>
      <c r="C2506" t="s">
        <v>40</v>
      </c>
      <c r="D2506">
        <v>3.2120099999999998</v>
      </c>
      <c r="E2506">
        <v>0.50686019999999998</v>
      </c>
      <c r="F2506" t="s">
        <v>48</v>
      </c>
      <c r="G2506">
        <v>-384.1703</v>
      </c>
      <c r="H2506" s="1">
        <v>7.4776149999999996E-7</v>
      </c>
      <c r="I2506">
        <v>213.12129999999999</v>
      </c>
      <c r="J2506">
        <v>-422.39420000000001</v>
      </c>
      <c r="K2506">
        <v>1.109429</v>
      </c>
      <c r="L2506">
        <v>213.32169999999999</v>
      </c>
      <c r="M2506">
        <v>0.9997646</v>
      </c>
      <c r="N2506">
        <v>0</v>
      </c>
      <c r="O2506">
        <v>2.0737499999999999E-2</v>
      </c>
      <c r="P2506">
        <v>0.98312560000000004</v>
      </c>
      <c r="Q2506">
        <v>0.1826527</v>
      </c>
      <c r="R2506">
        <v>-1.011024E-2</v>
      </c>
      <c r="S2506">
        <v>3.06839</v>
      </c>
      <c r="T2506">
        <v>-8.7808369999999997E-2</v>
      </c>
      <c r="U2506">
        <v>-1.490784E-2</v>
      </c>
      <c r="V2506">
        <v>3.0323079999999999E-2</v>
      </c>
      <c r="W2506">
        <v>0.1889641</v>
      </c>
      <c r="X2506">
        <v>0.98151569999999999</v>
      </c>
      <c r="Y2506">
        <v>2.5576129999999999E-2</v>
      </c>
      <c r="Z2506">
        <v>-9.591895E-4</v>
      </c>
      <c r="AA2506">
        <v>0.99967240000000002</v>
      </c>
      <c r="AB2506">
        <v>29</v>
      </c>
      <c r="AC2506">
        <v>38.2239</v>
      </c>
      <c r="AD2506">
        <v>-1.1094282522384999</v>
      </c>
      <c r="AE2506">
        <v>-0.20040000000000099</v>
      </c>
      <c r="AF2506">
        <v>0.99220533080205997</v>
      </c>
      <c r="AG2506">
        <v>-1.1094282522384999</v>
      </c>
      <c r="AH2506">
        <v>38.179361766676102</v>
      </c>
      <c r="AI2506">
        <v>91.6638894675133</v>
      </c>
      <c r="AJ2506">
        <v>88.511332242757106</v>
      </c>
      <c r="AK2506">
        <v>38.208362531991199</v>
      </c>
      <c r="AL2506">
        <v>79.107663505387904</v>
      </c>
      <c r="AM2506">
        <v>88.230459202402599</v>
      </c>
      <c r="AN2506">
        <v>0.99999999480799295</v>
      </c>
    </row>
    <row r="2507" spans="1:40" x14ac:dyDescent="0.25">
      <c r="A2507" t="str">
        <f>"20190312172708418"</f>
        <v>20190312172708418</v>
      </c>
      <c r="B2507" t="str">
        <f>"1552382828411262"</f>
        <v>1552382828411262</v>
      </c>
      <c r="C2507" t="s">
        <v>40</v>
      </c>
      <c r="D2507">
        <v>3.1175449999999998</v>
      </c>
      <c r="E2507">
        <v>0.50599570000000005</v>
      </c>
      <c r="F2507" t="s">
        <v>48</v>
      </c>
      <c r="G2507">
        <v>-388.20859999999999</v>
      </c>
      <c r="H2507" s="1">
        <v>2.910603E-6</v>
      </c>
      <c r="I2507">
        <v>212.80439999999999</v>
      </c>
      <c r="J2507">
        <v>-422.10789999999997</v>
      </c>
      <c r="K2507">
        <v>1.1093710000000001</v>
      </c>
      <c r="L2507">
        <v>213.32810000000001</v>
      </c>
      <c r="M2507">
        <v>0.9997566</v>
      </c>
      <c r="N2507">
        <v>0</v>
      </c>
      <c r="O2507">
        <v>2.1125950000000001E-2</v>
      </c>
      <c r="P2507">
        <v>0.98322540000000003</v>
      </c>
      <c r="Q2507">
        <v>0.182093</v>
      </c>
      <c r="R2507">
        <v>-1.0495320000000001E-2</v>
      </c>
      <c r="S2507">
        <v>3.0694889999999999</v>
      </c>
      <c r="T2507">
        <v>-9.9614140000000004E-2</v>
      </c>
      <c r="U2507">
        <v>-4.6447750000000003E-2</v>
      </c>
      <c r="V2507">
        <v>3.1116390000000001E-2</v>
      </c>
      <c r="W2507">
        <v>0.18835679999999999</v>
      </c>
      <c r="X2507">
        <v>0.98160760000000002</v>
      </c>
      <c r="Y2507">
        <v>3.6220750000000003E-2</v>
      </c>
      <c r="Z2507">
        <v>-1.2729320000000001E-3</v>
      </c>
      <c r="AA2507">
        <v>0.99934299999999998</v>
      </c>
      <c r="AB2507">
        <v>29</v>
      </c>
      <c r="AC2507">
        <v>33.899299999999897</v>
      </c>
      <c r="AD2507">
        <v>-1.1093680893969999</v>
      </c>
      <c r="AE2507">
        <v>-0.52370000000001904</v>
      </c>
      <c r="AF2507">
        <v>1.2384265346788399</v>
      </c>
      <c r="AG2507">
        <v>-1.1093680893969999</v>
      </c>
      <c r="AH2507">
        <v>33.844433135394198</v>
      </c>
      <c r="AI2507">
        <v>91.876139997839999</v>
      </c>
      <c r="AJ2507">
        <v>87.904382987632005</v>
      </c>
      <c r="AK2507">
        <v>33.885248296208999</v>
      </c>
      <c r="AL2507">
        <v>79.143095532791904</v>
      </c>
      <c r="AM2507">
        <v>88.184365099581399</v>
      </c>
      <c r="AN2507">
        <v>0.99999999710531595</v>
      </c>
    </row>
    <row r="2508" spans="1:40" x14ac:dyDescent="0.25">
      <c r="A2508" t="str">
        <f>"20190312172708439"</f>
        <v>20190312172708439</v>
      </c>
      <c r="B2508" t="str">
        <f>"1552382828431758"</f>
        <v>1552382828431758</v>
      </c>
      <c r="C2508" t="s">
        <v>40</v>
      </c>
      <c r="D2508">
        <v>3.1914069999999999</v>
      </c>
      <c r="E2508">
        <v>0.50568210000000002</v>
      </c>
      <c r="F2508" t="s">
        <v>48</v>
      </c>
      <c r="G2508">
        <v>-384.14530000000002</v>
      </c>
      <c r="H2508" s="1">
        <v>7.4768300000000001E-7</v>
      </c>
      <c r="I2508">
        <v>212.81970000000001</v>
      </c>
      <c r="J2508">
        <v>-421.82240000000002</v>
      </c>
      <c r="K2508">
        <v>1.109307</v>
      </c>
      <c r="L2508">
        <v>213.33449999999999</v>
      </c>
      <c r="M2508">
        <v>0.99975020000000003</v>
      </c>
      <c r="N2508">
        <v>0</v>
      </c>
      <c r="O2508">
        <v>2.1445269999999999E-2</v>
      </c>
      <c r="P2508">
        <v>0.98331539999999995</v>
      </c>
      <c r="Q2508">
        <v>0.18158299999999999</v>
      </c>
      <c r="R2508">
        <v>-1.08845E-2</v>
      </c>
      <c r="S2508">
        <v>3.067383</v>
      </c>
      <c r="T2508">
        <v>-8.9637399999999895E-2</v>
      </c>
      <c r="U2508">
        <v>-4.1076660000000001E-2</v>
      </c>
      <c r="V2508">
        <v>3.1844480000000001E-2</v>
      </c>
      <c r="W2508">
        <v>0.18780279999999999</v>
      </c>
      <c r="X2508">
        <v>0.98169039999999996</v>
      </c>
      <c r="Y2508">
        <v>3.4806919999999998E-2</v>
      </c>
      <c r="Z2508">
        <v>-1.1349730000000001E-3</v>
      </c>
      <c r="AA2508">
        <v>0.99939339999999999</v>
      </c>
      <c r="AB2508">
        <v>29</v>
      </c>
      <c r="AC2508">
        <v>37.677100000000003</v>
      </c>
      <c r="AD2508">
        <v>-1.1093062523170001</v>
      </c>
      <c r="AE2508">
        <v>-0.51479999999997905</v>
      </c>
      <c r="AF2508">
        <v>1.32154781945736</v>
      </c>
      <c r="AG2508">
        <v>-1.1093062523170001</v>
      </c>
      <c r="AH2508">
        <v>37.624785314480597</v>
      </c>
      <c r="AI2508">
        <v>91.687744458652404</v>
      </c>
      <c r="AJ2508">
        <v>87.988347413277694</v>
      </c>
      <c r="AK2508">
        <v>37.664326875191797</v>
      </c>
      <c r="AL2508">
        <v>79.175414215406406</v>
      </c>
      <c r="AM2508">
        <v>88.142067248838501</v>
      </c>
      <c r="AN2508">
        <v>1.00000000202323</v>
      </c>
    </row>
    <row r="2509" spans="1:40" x14ac:dyDescent="0.25">
      <c r="A2509" t="str">
        <f>"20190312172708462"</f>
        <v>20190312172708462</v>
      </c>
      <c r="B2509" t="str">
        <f>"1552382828451278"</f>
        <v>1552382828451278</v>
      </c>
      <c r="C2509" t="s">
        <v>40</v>
      </c>
      <c r="D2509">
        <v>3.176409</v>
      </c>
      <c r="E2509">
        <v>0.50573869999999999</v>
      </c>
      <c r="F2509" t="s">
        <v>48</v>
      </c>
      <c r="G2509">
        <v>-383.30110000000002</v>
      </c>
      <c r="H2509" s="1">
        <v>2.9782730000000001E-7</v>
      </c>
      <c r="I2509">
        <v>212.8329</v>
      </c>
      <c r="J2509">
        <v>-421.52940000000001</v>
      </c>
      <c r="K2509">
        <v>1.109245</v>
      </c>
      <c r="L2509">
        <v>213.34110000000001</v>
      </c>
      <c r="M2509">
        <v>0.99974499999999999</v>
      </c>
      <c r="N2509">
        <v>0</v>
      </c>
      <c r="O2509">
        <v>2.1698019999999998E-2</v>
      </c>
      <c r="P2509">
        <v>0.98329509999999998</v>
      </c>
      <c r="Q2509">
        <v>0.18164230000000001</v>
      </c>
      <c r="R2509">
        <v>-1.169573E-2</v>
      </c>
      <c r="S2509">
        <v>3.0668030000000002</v>
      </c>
      <c r="T2509">
        <v>-8.8315249999999998E-2</v>
      </c>
      <c r="U2509">
        <v>-3.9932250000000002E-2</v>
      </c>
      <c r="V2509">
        <v>3.2928579999999999E-2</v>
      </c>
      <c r="W2509">
        <v>0.1878196</v>
      </c>
      <c r="X2509">
        <v>0.98165139999999995</v>
      </c>
      <c r="Y2509">
        <v>3.4689879999999999E-2</v>
      </c>
      <c r="Z2509">
        <v>-1.124044E-3</v>
      </c>
      <c r="AA2509">
        <v>0.99939750000000005</v>
      </c>
      <c r="AB2509">
        <v>29</v>
      </c>
      <c r="AC2509">
        <v>38.228299999999898</v>
      </c>
      <c r="AD2509">
        <v>-1.1092447021727001</v>
      </c>
      <c r="AE2509">
        <v>-0.50820000000001597</v>
      </c>
      <c r="AF2509">
        <v>1.33644997624877</v>
      </c>
      <c r="AG2509">
        <v>-1.1092447021727001</v>
      </c>
      <c r="AH2509">
        <v>38.176135815378103</v>
      </c>
      <c r="AI2509">
        <v>91.663297937838493</v>
      </c>
      <c r="AJ2509">
        <v>87.995038421773998</v>
      </c>
      <c r="AK2509">
        <v>38.215623351484197</v>
      </c>
      <c r="AL2509">
        <v>79.174433991376404</v>
      </c>
      <c r="AM2509">
        <v>88.078786922308197</v>
      </c>
      <c r="AN2509">
        <v>0.99999998232346798</v>
      </c>
    </row>
    <row r="2510" spans="1:40" x14ac:dyDescent="0.25">
      <c r="A2510" t="str">
        <f>"20190312172708485"</f>
        <v>20190312172708485</v>
      </c>
      <c r="B2510" t="str">
        <f>"1552382828481534"</f>
        <v>1552382828481534</v>
      </c>
      <c r="C2510" t="s">
        <v>40</v>
      </c>
      <c r="D2510">
        <v>3.1733859999999998</v>
      </c>
      <c r="E2510">
        <v>0.50563340000000001</v>
      </c>
      <c r="F2510" t="s">
        <v>48</v>
      </c>
      <c r="G2510">
        <v>-383.53339999999997</v>
      </c>
      <c r="H2510" s="1">
        <v>4.228047E-7</v>
      </c>
      <c r="I2510">
        <v>212.80279999999999</v>
      </c>
      <c r="J2510">
        <v>-421.23559999999998</v>
      </c>
      <c r="K2510">
        <v>1.109183</v>
      </c>
      <c r="L2510">
        <v>213.34780000000001</v>
      </c>
      <c r="M2510">
        <v>0.9997412</v>
      </c>
      <c r="N2510">
        <v>0</v>
      </c>
      <c r="O2510">
        <v>2.187975E-2</v>
      </c>
      <c r="P2510">
        <v>0.98327710000000002</v>
      </c>
      <c r="Q2510">
        <v>0.18171490000000001</v>
      </c>
      <c r="R2510">
        <v>-1.208186E-2</v>
      </c>
      <c r="S2510">
        <v>3.066986</v>
      </c>
      <c r="T2510">
        <v>-8.9536790000000005E-2</v>
      </c>
      <c r="U2510">
        <v>-4.3457030000000001E-2</v>
      </c>
      <c r="V2510">
        <v>3.3519019999999997E-2</v>
      </c>
      <c r="W2510">
        <v>0.1878543</v>
      </c>
      <c r="X2510">
        <v>0.98162479999999996</v>
      </c>
      <c r="Y2510">
        <v>3.6017800000000003E-2</v>
      </c>
      <c r="Z2510">
        <v>-1.164191E-3</v>
      </c>
      <c r="AA2510">
        <v>0.99935050000000003</v>
      </c>
      <c r="AB2510">
        <v>29</v>
      </c>
      <c r="AC2510">
        <v>37.702199999999998</v>
      </c>
      <c r="AD2510">
        <v>-1.1091825771952999</v>
      </c>
      <c r="AE2510">
        <v>-0.54500000000001503</v>
      </c>
      <c r="AF2510">
        <v>1.3686159404265501</v>
      </c>
      <c r="AG2510">
        <v>-1.1091825771952999</v>
      </c>
      <c r="AH2510">
        <v>37.648670871613596</v>
      </c>
      <c r="AI2510">
        <v>91.686412510015003</v>
      </c>
      <c r="AJ2510">
        <v>87.918083141913101</v>
      </c>
      <c r="AK2510">
        <v>37.689863544208102</v>
      </c>
      <c r="AL2510">
        <v>79.172410049956895</v>
      </c>
      <c r="AM2510">
        <v>88.044311350484605</v>
      </c>
      <c r="AN2510">
        <v>1.0000000053526401</v>
      </c>
    </row>
    <row r="2511" spans="1:40" x14ac:dyDescent="0.25">
      <c r="A2511" t="str">
        <f>"20190312172708505"</f>
        <v>20190312172708505</v>
      </c>
      <c r="B2511" t="str">
        <f>"1552382828501054"</f>
        <v>1552382828501054</v>
      </c>
      <c r="C2511" t="s">
        <v>40</v>
      </c>
      <c r="D2511">
        <v>3.1893639999999999</v>
      </c>
      <c r="E2511">
        <v>0.50580599999999998</v>
      </c>
      <c r="F2511" t="s">
        <v>48</v>
      </c>
      <c r="G2511">
        <v>-382.4803</v>
      </c>
      <c r="H2511" s="1">
        <v>-1.3705120000000001E-7</v>
      </c>
      <c r="I2511">
        <v>212.78890000000001</v>
      </c>
      <c r="J2511">
        <v>-420.95859999999999</v>
      </c>
      <c r="K2511">
        <v>1.1091219999999999</v>
      </c>
      <c r="L2511">
        <v>213.35400000000001</v>
      </c>
      <c r="M2511">
        <v>0.99973889999999999</v>
      </c>
      <c r="N2511">
        <v>0</v>
      </c>
      <c r="O2511">
        <v>2.1990200000000001E-2</v>
      </c>
      <c r="P2511">
        <v>0.9833577</v>
      </c>
      <c r="Q2511">
        <v>0.18122859999999999</v>
      </c>
      <c r="R2511">
        <v>-1.2811980000000001E-2</v>
      </c>
      <c r="S2511">
        <v>3.066681</v>
      </c>
      <c r="T2511">
        <v>-8.7768789999999999E-2</v>
      </c>
      <c r="U2511">
        <v>-4.4219969999999997E-2</v>
      </c>
      <c r="V2511">
        <v>3.4383339999999998E-2</v>
      </c>
      <c r="W2511">
        <v>0.1873358</v>
      </c>
      <c r="X2511">
        <v>0.98169399999999996</v>
      </c>
      <c r="Y2511">
        <v>3.637895E-2</v>
      </c>
      <c r="Z2511">
        <v>-1.1496519999999999E-3</v>
      </c>
      <c r="AA2511">
        <v>0.99933740000000004</v>
      </c>
      <c r="AB2511">
        <v>29</v>
      </c>
      <c r="AC2511">
        <v>38.478299999999898</v>
      </c>
      <c r="AD2511">
        <v>-1.1091221370512001</v>
      </c>
      <c r="AE2511">
        <v>-0.56510000000000005</v>
      </c>
      <c r="AF2511">
        <v>1.40995395445631</v>
      </c>
      <c r="AG2511">
        <v>-1.1091221370512001</v>
      </c>
      <c r="AH2511">
        <v>38.424649602950097</v>
      </c>
      <c r="AI2511">
        <v>91.6522642242698</v>
      </c>
      <c r="AJ2511">
        <v>87.898531707575998</v>
      </c>
      <c r="AK2511">
        <v>38.4665025597347</v>
      </c>
      <c r="AL2511">
        <v>79.202654946291105</v>
      </c>
      <c r="AM2511">
        <v>87.994064027596593</v>
      </c>
      <c r="AN2511">
        <v>1.00000001283359</v>
      </c>
    </row>
    <row r="2512" spans="1:40" x14ac:dyDescent="0.25">
      <c r="A2512" t="str">
        <f>"20190312172708531"</f>
        <v>20190312172708531</v>
      </c>
      <c r="B2512" t="str">
        <f>"1552382828521549"</f>
        <v>1552382828521549</v>
      </c>
      <c r="C2512" t="s">
        <v>40</v>
      </c>
      <c r="D2512">
        <v>3.1760380000000001</v>
      </c>
      <c r="E2512">
        <v>0.5057391</v>
      </c>
      <c r="F2512" t="s">
        <v>48</v>
      </c>
      <c r="G2512">
        <v>-383.13330000000002</v>
      </c>
      <c r="H2512" s="1">
        <v>2.1156919999999999E-7</v>
      </c>
      <c r="I2512">
        <v>212.76410000000001</v>
      </c>
      <c r="J2512">
        <v>-420.63600000000002</v>
      </c>
      <c r="K2512">
        <v>1.109065</v>
      </c>
      <c r="L2512">
        <v>213.3612</v>
      </c>
      <c r="M2512">
        <v>0.99973769999999995</v>
      </c>
      <c r="N2512">
        <v>0</v>
      </c>
      <c r="O2512">
        <v>2.2058399999999999E-2</v>
      </c>
      <c r="P2512">
        <v>0.98331369999999896</v>
      </c>
      <c r="Q2512">
        <v>0.1814296</v>
      </c>
      <c r="R2512">
        <v>-1.3329519999999999E-2</v>
      </c>
      <c r="S2512">
        <v>3.066681</v>
      </c>
      <c r="T2512">
        <v>-8.992195E-2</v>
      </c>
      <c r="U2512">
        <v>-4.7821040000000002E-2</v>
      </c>
      <c r="V2512">
        <v>3.4990670000000001E-2</v>
      </c>
      <c r="W2512">
        <v>0.187503</v>
      </c>
      <c r="X2512">
        <v>0.98164059999999997</v>
      </c>
      <c r="Y2512">
        <v>3.7618560000000002E-2</v>
      </c>
      <c r="Z2512">
        <v>-1.198003E-3</v>
      </c>
      <c r="AA2512">
        <v>0.9992915</v>
      </c>
      <c r="AB2512">
        <v>29</v>
      </c>
      <c r="AC2512">
        <v>37.502699999999898</v>
      </c>
      <c r="AD2512">
        <v>-1.1090647884308</v>
      </c>
      <c r="AE2512">
        <v>-0.59709999999998298</v>
      </c>
      <c r="AF2512">
        <v>1.4229758091037601</v>
      </c>
      <c r="AG2512">
        <v>-1.1090647884308</v>
      </c>
      <c r="AH2512">
        <v>37.447661458984904</v>
      </c>
      <c r="AI2512">
        <v>91.6951759496352</v>
      </c>
      <c r="AJ2512">
        <v>87.8238614216462</v>
      </c>
      <c r="AK2512">
        <v>37.491095390838801</v>
      </c>
      <c r="AL2512">
        <v>79.192902077149895</v>
      </c>
      <c r="AM2512">
        <v>87.958550949080603</v>
      </c>
      <c r="AN2512">
        <v>0.99999999478220403</v>
      </c>
    </row>
    <row r="2513" spans="1:40" x14ac:dyDescent="0.25">
      <c r="A2513" t="str">
        <f>"20190312172708553"</f>
        <v>20190312172708553</v>
      </c>
      <c r="B2513" t="str">
        <f>"1552382828541070"</f>
        <v>1552382828541070</v>
      </c>
      <c r="C2513" t="s">
        <v>40</v>
      </c>
      <c r="D2513">
        <v>3.157689</v>
      </c>
      <c r="E2513">
        <v>0.5056155</v>
      </c>
      <c r="F2513" t="s">
        <v>48</v>
      </c>
      <c r="G2513">
        <v>-381.78859999999997</v>
      </c>
      <c r="H2513" s="1">
        <v>-5.0294519999999899E-7</v>
      </c>
      <c r="I2513">
        <v>212.73949999999999</v>
      </c>
      <c r="J2513">
        <v>-420.32929999999999</v>
      </c>
      <c r="K2513">
        <v>1.109027</v>
      </c>
      <c r="L2513">
        <v>213.36799999999999</v>
      </c>
      <c r="M2513">
        <v>0.99973730000000005</v>
      </c>
      <c r="N2513">
        <v>0</v>
      </c>
      <c r="O2513">
        <v>2.2080579999999999E-2</v>
      </c>
      <c r="P2513">
        <v>0.98329259999999996</v>
      </c>
      <c r="Q2513">
        <v>0.18149309999999999</v>
      </c>
      <c r="R2513">
        <v>-1.4004920000000001E-2</v>
      </c>
      <c r="S2513">
        <v>3.0664060000000002</v>
      </c>
      <c r="T2513">
        <v>-8.754373E-2</v>
      </c>
      <c r="U2513">
        <v>-4.9072270000000001E-2</v>
      </c>
      <c r="V2513">
        <v>3.5702739999999997E-2</v>
      </c>
      <c r="W2513">
        <v>0.1875395</v>
      </c>
      <c r="X2513">
        <v>0.98160800000000004</v>
      </c>
      <c r="Y2513">
        <v>3.805091E-2</v>
      </c>
      <c r="Z2513">
        <v>-1.1732349999999999E-3</v>
      </c>
      <c r="AA2513">
        <v>0.99927509999999997</v>
      </c>
      <c r="AB2513">
        <v>29</v>
      </c>
      <c r="AC2513">
        <v>38.540700000000001</v>
      </c>
      <c r="AD2513">
        <v>-1.1090275029451999</v>
      </c>
      <c r="AE2513">
        <v>-0.62850000000000195</v>
      </c>
      <c r="AF2513">
        <v>1.47814023008138</v>
      </c>
      <c r="AG2513">
        <v>-1.1090275029451999</v>
      </c>
      <c r="AH2513">
        <v>38.4855666100636</v>
      </c>
      <c r="AI2513">
        <v>91.649403769446096</v>
      </c>
      <c r="AJ2513">
        <v>87.800484779609903</v>
      </c>
      <c r="AK2513">
        <v>38.5299062786261</v>
      </c>
      <c r="AL2513">
        <v>79.190773153882304</v>
      </c>
      <c r="AM2513">
        <v>87.916973999837296</v>
      </c>
      <c r="AN2513">
        <v>1.00000000768387</v>
      </c>
    </row>
    <row r="2514" spans="1:40" x14ac:dyDescent="0.25">
      <c r="A2514" t="str">
        <f>"20190312172708575"</f>
        <v>20190312172708575</v>
      </c>
      <c r="B2514" t="str">
        <f>"1552382828571326"</f>
        <v>1552382828571326</v>
      </c>
      <c r="C2514" t="s">
        <v>40</v>
      </c>
      <c r="D2514">
        <v>3.1354549999999999</v>
      </c>
      <c r="E2514">
        <v>0.50556040000000002</v>
      </c>
      <c r="F2514" t="s">
        <v>48</v>
      </c>
      <c r="G2514">
        <v>-380.81700000000001</v>
      </c>
      <c r="H2514" s="1">
        <v>-1.0193360000000001E-6</v>
      </c>
      <c r="I2514">
        <v>212.72499999999999</v>
      </c>
      <c r="J2514">
        <v>-420.05169999999998</v>
      </c>
      <c r="K2514">
        <v>1.109002</v>
      </c>
      <c r="L2514">
        <v>213.3742</v>
      </c>
      <c r="M2514">
        <v>0.9997376</v>
      </c>
      <c r="N2514">
        <v>0</v>
      </c>
      <c r="O2514">
        <v>2.2077690000000001E-2</v>
      </c>
      <c r="P2514">
        <v>0.98327850000000006</v>
      </c>
      <c r="Q2514">
        <v>0.1815621</v>
      </c>
      <c r="R2514">
        <v>-1.410843E-2</v>
      </c>
      <c r="S2514">
        <v>3.0661619999999998</v>
      </c>
      <c r="T2514">
        <v>-8.6060880000000006E-2</v>
      </c>
      <c r="U2514">
        <v>-4.9896240000000001E-2</v>
      </c>
      <c r="V2514">
        <v>3.5811959999999997E-2</v>
      </c>
      <c r="W2514">
        <v>0.18758820000000001</v>
      </c>
      <c r="X2514">
        <v>0.98159470000000004</v>
      </c>
      <c r="Y2514">
        <v>3.831847E-2</v>
      </c>
      <c r="Z2514">
        <v>-1.1571330000000001E-3</v>
      </c>
      <c r="AA2514">
        <v>0.99926490000000001</v>
      </c>
      <c r="AB2514">
        <v>30</v>
      </c>
      <c r="AC2514">
        <v>39.234699999999997</v>
      </c>
      <c r="AD2514">
        <v>-1.1090030193359901</v>
      </c>
      <c r="AE2514">
        <v>-0.64920000000000699</v>
      </c>
      <c r="AF2514">
        <v>1.51406011725237</v>
      </c>
      <c r="AG2514">
        <v>-1.1090030193359901</v>
      </c>
      <c r="AH2514">
        <v>39.179509124626698</v>
      </c>
      <c r="AI2514">
        <v>91.620154966129803</v>
      </c>
      <c r="AJ2514">
        <v>87.786952612677197</v>
      </c>
      <c r="AK2514">
        <v>39.224433724175697</v>
      </c>
      <c r="AL2514">
        <v>79.187932263677496</v>
      </c>
      <c r="AM2514">
        <v>87.910579067380993</v>
      </c>
      <c r="AN2514">
        <v>0.99999999216318503</v>
      </c>
    </row>
    <row r="2515" spans="1:40" x14ac:dyDescent="0.25">
      <c r="A2515" t="str">
        <f>"20190312172708597"</f>
        <v>20190312172708597</v>
      </c>
      <c r="B2515" t="str">
        <f>"1552382828591822"</f>
        <v>1552382828591822</v>
      </c>
      <c r="C2515" t="s">
        <v>40</v>
      </c>
      <c r="D2515">
        <v>3.1422150000000002</v>
      </c>
      <c r="E2515">
        <v>0.50564249999999999</v>
      </c>
      <c r="F2515" t="s">
        <v>48</v>
      </c>
      <c r="G2515">
        <v>-380.51240000000001</v>
      </c>
      <c r="H2515" s="1">
        <v>-1.1819869999999999E-6</v>
      </c>
      <c r="I2515">
        <v>212.73779999999999</v>
      </c>
      <c r="J2515">
        <v>-419.7432</v>
      </c>
      <c r="K2515">
        <v>1.1089770000000001</v>
      </c>
      <c r="L2515">
        <v>213.381</v>
      </c>
      <c r="M2515">
        <v>0.99973820000000002</v>
      </c>
      <c r="N2515">
        <v>0</v>
      </c>
      <c r="O2515">
        <v>2.204907E-2</v>
      </c>
      <c r="P2515">
        <v>0.98336619999999997</v>
      </c>
      <c r="Q2515">
        <v>0.18111949999999999</v>
      </c>
      <c r="R2515">
        <v>-1.366903E-2</v>
      </c>
      <c r="S2515">
        <v>3.0662229999999999</v>
      </c>
      <c r="T2515">
        <v>-8.6001869999999994E-2</v>
      </c>
      <c r="U2515">
        <v>-4.9346920000000002E-2</v>
      </c>
      <c r="V2515">
        <v>3.5354280000000002E-2</v>
      </c>
      <c r="W2515">
        <v>0.1871274</v>
      </c>
      <c r="X2515">
        <v>0.98169919999999999</v>
      </c>
      <c r="Y2515">
        <v>3.8110699999999997E-2</v>
      </c>
      <c r="Z2515">
        <v>-1.1526030000000001E-3</v>
      </c>
      <c r="AA2515">
        <v>0.99927290000000002</v>
      </c>
      <c r="AB2515">
        <v>30</v>
      </c>
      <c r="AC2515">
        <v>39.230799999999903</v>
      </c>
      <c r="AD2515">
        <v>-1.1089781819869999</v>
      </c>
      <c r="AE2515">
        <v>-0.64319999999997801</v>
      </c>
      <c r="AF2515">
        <v>1.5068586630270899</v>
      </c>
      <c r="AG2515">
        <v>-1.1089781819869999</v>
      </c>
      <c r="AH2515">
        <v>39.175783730747703</v>
      </c>
      <c r="AI2515">
        <v>91.620283913187706</v>
      </c>
      <c r="AJ2515">
        <v>87.797259086612598</v>
      </c>
      <c r="AK2515">
        <v>39.220434553390398</v>
      </c>
      <c r="AL2515">
        <v>79.214809704228102</v>
      </c>
      <c r="AM2515">
        <v>87.937478219369595</v>
      </c>
      <c r="AN2515">
        <v>0.99999995411285802</v>
      </c>
    </row>
    <row r="2516" spans="1:40" x14ac:dyDescent="0.25">
      <c r="A2516" t="str">
        <f>"20190312172708620"</f>
        <v>20190312172708620</v>
      </c>
      <c r="B2516" t="str">
        <f>"1552382828611342"</f>
        <v>1552382828611342</v>
      </c>
      <c r="C2516" t="s">
        <v>40</v>
      </c>
      <c r="D2516">
        <v>3.1771340000000001</v>
      </c>
      <c r="E2516">
        <v>0.50560989999999995</v>
      </c>
      <c r="F2516" t="s">
        <v>48</v>
      </c>
      <c r="G2516">
        <v>-380.83620000000002</v>
      </c>
      <c r="H2516" s="1">
        <v>-1.0101470000000001E-6</v>
      </c>
      <c r="I2516">
        <v>212.7482</v>
      </c>
      <c r="J2516">
        <v>-419.45429999999999</v>
      </c>
      <c r="K2516">
        <v>1.1089530000000001</v>
      </c>
      <c r="L2516">
        <v>213.38730000000001</v>
      </c>
      <c r="M2516">
        <v>0.99973959999999995</v>
      </c>
      <c r="N2516">
        <v>0</v>
      </c>
      <c r="O2516">
        <v>2.199282E-2</v>
      </c>
      <c r="P2516">
        <v>0.98334189999999999</v>
      </c>
      <c r="Q2516">
        <v>0.181281</v>
      </c>
      <c r="R2516">
        <v>-1.3274090000000001E-2</v>
      </c>
      <c r="S2516">
        <v>3.0661619999999998</v>
      </c>
      <c r="T2516">
        <v>-8.7395790000000001E-2</v>
      </c>
      <c r="U2516">
        <v>-4.9865720000000002E-2</v>
      </c>
      <c r="V2516">
        <v>3.4912739999999998E-2</v>
      </c>
      <c r="W2516">
        <v>0.187273</v>
      </c>
      <c r="X2516">
        <v>0.98168730000000004</v>
      </c>
      <c r="Y2516">
        <v>3.8223020000000003E-2</v>
      </c>
      <c r="Z2516">
        <v>-1.1712960000000001E-3</v>
      </c>
      <c r="AA2516">
        <v>0.9992685</v>
      </c>
      <c r="AB2516">
        <v>30</v>
      </c>
      <c r="AC2516">
        <v>38.618099999999899</v>
      </c>
      <c r="AD2516">
        <v>-1.1089540101469999</v>
      </c>
      <c r="AE2516">
        <v>-0.63910000000001299</v>
      </c>
      <c r="AF2516">
        <v>1.4870561733990899</v>
      </c>
      <c r="AG2516">
        <v>-1.1089540101469999</v>
      </c>
      <c r="AH2516">
        <v>38.5629127586622</v>
      </c>
      <c r="AI2516">
        <v>91.645978590869007</v>
      </c>
      <c r="AJ2516">
        <v>87.791664530259197</v>
      </c>
      <c r="AK2516">
        <v>38.607503875434098</v>
      </c>
      <c r="AL2516">
        <v>79.206317978032303</v>
      </c>
      <c r="AM2516">
        <v>87.963190575421507</v>
      </c>
      <c r="AN2516">
        <v>1.0000000154622899</v>
      </c>
    </row>
    <row r="2517" spans="1:40" x14ac:dyDescent="0.25">
      <c r="A2517" t="str">
        <f>"20190312172708641"</f>
        <v>20190312172708641</v>
      </c>
      <c r="B2517" t="str">
        <f>"1552382828631838"</f>
        <v>1552382828631838</v>
      </c>
      <c r="C2517" t="s">
        <v>40</v>
      </c>
      <c r="D2517">
        <v>3.1682060000000001</v>
      </c>
      <c r="E2517">
        <v>0.50555760000000005</v>
      </c>
      <c r="F2517" t="s">
        <v>48</v>
      </c>
      <c r="G2517">
        <v>-379.88299999999998</v>
      </c>
      <c r="H2517" s="1">
        <v>3.7224309999999999E-6</v>
      </c>
      <c r="I2517">
        <v>212.75460000000001</v>
      </c>
      <c r="J2517">
        <v>-419.15379999999999</v>
      </c>
      <c r="K2517">
        <v>1.108916</v>
      </c>
      <c r="L2517">
        <v>213.3939</v>
      </c>
      <c r="M2517">
        <v>0.99974189999999996</v>
      </c>
      <c r="N2517">
        <v>0</v>
      </c>
      <c r="O2517">
        <v>2.1895769999999998E-2</v>
      </c>
      <c r="P2517">
        <v>0.9832997</v>
      </c>
      <c r="Q2517">
        <v>0.18151510000000001</v>
      </c>
      <c r="R2517">
        <v>-1.320532E-2</v>
      </c>
      <c r="S2517">
        <v>3.0660099999999999</v>
      </c>
      <c r="T2517">
        <v>-8.5921880000000006E-2</v>
      </c>
      <c r="U2517">
        <v>-4.9026489999999999E-2</v>
      </c>
      <c r="V2517">
        <v>3.4761630000000002E-2</v>
      </c>
      <c r="W2517">
        <v>0.18749179999999999</v>
      </c>
      <c r="X2517">
        <v>0.98165089999999999</v>
      </c>
      <c r="Y2517">
        <v>3.7854369999999998E-2</v>
      </c>
      <c r="Z2517">
        <v>-1.143727E-3</v>
      </c>
      <c r="AA2517">
        <v>0.99928260000000002</v>
      </c>
      <c r="AB2517">
        <v>30</v>
      </c>
      <c r="AC2517">
        <v>39.270799999999902</v>
      </c>
      <c r="AD2517">
        <v>-1.1089122775689999</v>
      </c>
      <c r="AE2517">
        <v>-0.63929999999999099</v>
      </c>
      <c r="AF2517">
        <v>1.4978329182155501</v>
      </c>
      <c r="AG2517">
        <v>-1.1089122775689999</v>
      </c>
      <c r="AH2517">
        <v>39.216125489521701</v>
      </c>
      <c r="AI2517">
        <v>91.618538567998002</v>
      </c>
      <c r="AJ2517">
        <v>87.812690347978702</v>
      </c>
      <c r="AK2517">
        <v>39.260383190949</v>
      </c>
      <c r="AL2517">
        <v>79.193555627033305</v>
      </c>
      <c r="AM2517">
        <v>87.971923820079198</v>
      </c>
      <c r="AN2517">
        <v>1.0000000177291499</v>
      </c>
    </row>
    <row r="2518" spans="1:40" x14ac:dyDescent="0.25">
      <c r="A2518" t="str">
        <f>"20190312172708673"</f>
        <v>20190312172708673</v>
      </c>
      <c r="B2518" t="str">
        <f>"1552382828661119"</f>
        <v>1552382828661119</v>
      </c>
      <c r="C2518" t="s">
        <v>40</v>
      </c>
      <c r="D2518">
        <v>3.1474310000000001</v>
      </c>
      <c r="E2518">
        <v>0.5057064</v>
      </c>
      <c r="F2518" t="s">
        <v>48</v>
      </c>
      <c r="G2518">
        <v>-378.7851</v>
      </c>
      <c r="H2518" s="1">
        <v>3.1382249999999999E-6</v>
      </c>
      <c r="I2518">
        <v>212.76179999999999</v>
      </c>
      <c r="J2518">
        <v>-418.72199999999998</v>
      </c>
      <c r="K2518">
        <v>1.1088439999999999</v>
      </c>
      <c r="L2518">
        <v>213.4032</v>
      </c>
      <c r="M2518">
        <v>0.99974700000000005</v>
      </c>
      <c r="N2518">
        <v>0</v>
      </c>
      <c r="O2518">
        <v>2.1662689999999998E-2</v>
      </c>
      <c r="P2518">
        <v>0.98337110000000005</v>
      </c>
      <c r="Q2518">
        <v>0.1811527</v>
      </c>
      <c r="R2518">
        <v>-1.2862500000000001E-2</v>
      </c>
      <c r="S2518">
        <v>3.0658569999999998</v>
      </c>
      <c r="T2518">
        <v>-8.4217910000000007E-2</v>
      </c>
      <c r="U2518">
        <v>-4.8004150000000002E-2</v>
      </c>
      <c r="V2518">
        <v>3.4220309999999997E-2</v>
      </c>
      <c r="W2518">
        <v>0.18711</v>
      </c>
      <c r="X2518">
        <v>0.98174269999999997</v>
      </c>
      <c r="Y2518">
        <v>3.7290280000000002E-2</v>
      </c>
      <c r="Z2518">
        <v>-1.1069649999999999E-3</v>
      </c>
      <c r="AA2518">
        <v>0.99930390000000002</v>
      </c>
      <c r="AB2518">
        <v>30</v>
      </c>
      <c r="AC2518">
        <v>39.936899999999902</v>
      </c>
      <c r="AD2518">
        <v>-1.1088408617750001</v>
      </c>
      <c r="AE2518">
        <v>-0.64140000000000397</v>
      </c>
      <c r="AF2518">
        <v>1.50524595294329</v>
      </c>
      <c r="AG2518">
        <v>-1.1088408617750001</v>
      </c>
      <c r="AH2518">
        <v>39.882896006950702</v>
      </c>
      <c r="AI2518">
        <v>91.591418395178096</v>
      </c>
      <c r="AJ2518">
        <v>87.838589115749201</v>
      </c>
      <c r="AK2518">
        <v>39.9266914148523</v>
      </c>
      <c r="AL2518">
        <v>79.215824589816805</v>
      </c>
      <c r="AM2518">
        <v>88.003666493530105</v>
      </c>
      <c r="AN2518">
        <v>0.99999995535989195</v>
      </c>
    </row>
    <row r="2519" spans="1:40" x14ac:dyDescent="0.25">
      <c r="A2519" t="str">
        <f>"20190312172708697"</f>
        <v>20190312172708697</v>
      </c>
      <c r="B2519" t="str">
        <f>"1552382828691374"</f>
        <v>1552382828691374</v>
      </c>
      <c r="C2519" t="s">
        <v>40</v>
      </c>
      <c r="D2519">
        <v>3.1357759999999999</v>
      </c>
      <c r="E2519">
        <v>0.5058047</v>
      </c>
      <c r="F2519" t="s">
        <v>48</v>
      </c>
      <c r="G2519">
        <v>-378.77159999999998</v>
      </c>
      <c r="H2519" s="1">
        <v>3.1310289999999999E-6</v>
      </c>
      <c r="I2519">
        <v>212.76730000000001</v>
      </c>
      <c r="J2519">
        <v>-418.4092</v>
      </c>
      <c r="K2519">
        <v>1.108784</v>
      </c>
      <c r="L2519">
        <v>213.40969999999999</v>
      </c>
      <c r="M2519">
        <v>0.99975219999999998</v>
      </c>
      <c r="N2519">
        <v>0</v>
      </c>
      <c r="O2519">
        <v>2.141583E-2</v>
      </c>
      <c r="P2519">
        <v>0.98338219999999998</v>
      </c>
      <c r="Q2519">
        <v>0.18111250000000001</v>
      </c>
      <c r="R2519">
        <v>-1.2564209999999999E-2</v>
      </c>
      <c r="S2519">
        <v>3.0657350000000001</v>
      </c>
      <c r="T2519">
        <v>-8.5090760000000001E-2</v>
      </c>
      <c r="U2519">
        <v>-4.8797609999999998E-2</v>
      </c>
      <c r="V2519">
        <v>3.3704369999999997E-2</v>
      </c>
      <c r="W2519">
        <v>0.187058</v>
      </c>
      <c r="X2519">
        <v>0.98177049999999999</v>
      </c>
      <c r="Y2519">
        <v>3.7302340000000003E-2</v>
      </c>
      <c r="Z2519">
        <v>-1.1117939999999999E-3</v>
      </c>
      <c r="AA2519">
        <v>0.99930339999999995</v>
      </c>
      <c r="AB2519">
        <v>30</v>
      </c>
      <c r="AC2519">
        <v>39.637599999999999</v>
      </c>
      <c r="AD2519">
        <v>-1.1087808689709999</v>
      </c>
      <c r="AE2519">
        <v>-0.64239999999997999</v>
      </c>
      <c r="AF2519">
        <v>1.4899748501287999</v>
      </c>
      <c r="AG2519">
        <v>-1.1087808689709999</v>
      </c>
      <c r="AH2519">
        <v>39.583785551981002</v>
      </c>
      <c r="AI2519">
        <v>91.603356877006206</v>
      </c>
      <c r="AJ2519">
        <v>87.844344973070207</v>
      </c>
      <c r="AK2519">
        <v>39.627332722435803</v>
      </c>
      <c r="AL2519">
        <v>79.218857977678894</v>
      </c>
      <c r="AM2519">
        <v>88.033797062949304</v>
      </c>
      <c r="AN2519">
        <v>0.99999999729567302</v>
      </c>
    </row>
    <row r="2520" spans="1:40" x14ac:dyDescent="0.25">
      <c r="A2520" t="str">
        <f>"20190312172708718"</f>
        <v>20190312172708718</v>
      </c>
      <c r="B2520" t="str">
        <f>"1552382828711870"</f>
        <v>1552382828711870</v>
      </c>
      <c r="C2520" t="s">
        <v>40</v>
      </c>
      <c r="D2520">
        <v>3.2047400000000001</v>
      </c>
      <c r="E2520">
        <v>0.5057625</v>
      </c>
      <c r="F2520" t="s">
        <v>48</v>
      </c>
      <c r="G2520">
        <v>-378.30720000000002</v>
      </c>
      <c r="H2520" s="1">
        <v>2.883907E-6</v>
      </c>
      <c r="I2520">
        <v>212.7664</v>
      </c>
      <c r="J2520">
        <v>-418.11369999999999</v>
      </c>
      <c r="K2520">
        <v>1.10873</v>
      </c>
      <c r="L2520">
        <v>213.41579999999999</v>
      </c>
      <c r="M2520">
        <v>0.99975860000000005</v>
      </c>
      <c r="N2520">
        <v>0</v>
      </c>
      <c r="O2520">
        <v>2.1125069999999999E-2</v>
      </c>
      <c r="P2520">
        <v>0.98329219999999895</v>
      </c>
      <c r="Q2520">
        <v>0.1815842</v>
      </c>
      <c r="R2520">
        <v>-1.2807580000000001E-2</v>
      </c>
      <c r="S2520">
        <v>3.065674</v>
      </c>
      <c r="T2520">
        <v>-8.476293E-2</v>
      </c>
      <c r="U2520">
        <v>-4.917908E-2</v>
      </c>
      <c r="V2520">
        <v>3.3682280000000002E-2</v>
      </c>
      <c r="W2520">
        <v>0.18751889999999999</v>
      </c>
      <c r="X2520">
        <v>0.98168330000000004</v>
      </c>
      <c r="Y2520">
        <v>3.7136679999999998E-2</v>
      </c>
      <c r="Z2520">
        <v>-1.097207E-3</v>
      </c>
      <c r="AA2520">
        <v>0.99930960000000002</v>
      </c>
      <c r="AB2520">
        <v>30</v>
      </c>
      <c r="AC2520">
        <v>39.8064999999999</v>
      </c>
      <c r="AD2520">
        <v>-1.1087271160929999</v>
      </c>
      <c r="AE2520">
        <v>-0.64939999999998499</v>
      </c>
      <c r="AF2520">
        <v>1.4890306497069601</v>
      </c>
      <c r="AG2520">
        <v>-1.1087271160929999</v>
      </c>
      <c r="AH2520">
        <v>39.753065994250598</v>
      </c>
      <c r="AI2520">
        <v>91.596466497503002</v>
      </c>
      <c r="AJ2520">
        <v>87.854874752748103</v>
      </c>
      <c r="AK2520">
        <v>39.796391093125102</v>
      </c>
      <c r="AL2520">
        <v>79.191974327010399</v>
      </c>
      <c r="AM2520">
        <v>88.034910310235105</v>
      </c>
      <c r="AN2520">
        <v>0.99999996767104804</v>
      </c>
    </row>
    <row r="2521" spans="1:40" x14ac:dyDescent="0.25">
      <c r="A2521" t="str">
        <f>"20190312172708744"</f>
        <v>20190312172708744</v>
      </c>
      <c r="B2521" t="str">
        <f>"1552382828731390"</f>
        <v>1552382828731390</v>
      </c>
      <c r="C2521" t="s">
        <v>40</v>
      </c>
      <c r="D2521">
        <v>3.0521940000000001</v>
      </c>
      <c r="E2521">
        <v>0.469559</v>
      </c>
      <c r="F2521" t="s">
        <v>48</v>
      </c>
      <c r="G2521">
        <v>-377.27789999999999</v>
      </c>
      <c r="H2521" s="1">
        <v>2.3361439999999999E-6</v>
      </c>
      <c r="I2521">
        <v>212.75989999999999</v>
      </c>
      <c r="J2521">
        <v>-417.77010000000001</v>
      </c>
      <c r="K2521">
        <v>1.1086750000000001</v>
      </c>
      <c r="L2521">
        <v>213.42269999999999</v>
      </c>
      <c r="M2521">
        <v>0.99976719999999997</v>
      </c>
      <c r="N2521">
        <v>0</v>
      </c>
      <c r="O2521">
        <v>2.071315E-2</v>
      </c>
      <c r="P2521">
        <v>0.98324699999999998</v>
      </c>
      <c r="Q2521">
        <v>0.1817781</v>
      </c>
      <c r="R2521">
        <v>-1.3500109999999999E-2</v>
      </c>
      <c r="S2521">
        <v>3.0657040000000002</v>
      </c>
      <c r="T2521">
        <v>-8.3236580000000004E-2</v>
      </c>
      <c r="U2521">
        <v>-4.9240109999999997E-2</v>
      </c>
      <c r="V2521">
        <v>3.3993450000000001E-2</v>
      </c>
      <c r="W2521">
        <v>0.18770210000000001</v>
      </c>
      <c r="X2521">
        <v>0.9816376</v>
      </c>
      <c r="Y2521">
        <v>3.6745769999999997E-2</v>
      </c>
      <c r="Z2521">
        <v>-1.0609599999999999E-3</v>
      </c>
      <c r="AA2521">
        <v>0.99932410000000005</v>
      </c>
      <c r="AB2521">
        <v>30</v>
      </c>
      <c r="AC2521">
        <v>40.492199999999997</v>
      </c>
      <c r="AD2521">
        <v>-1.1086726638560001</v>
      </c>
      <c r="AE2521">
        <v>-0.66280000000000405</v>
      </c>
      <c r="AF2521">
        <v>1.50026973181004</v>
      </c>
      <c r="AG2521">
        <v>-1.1086726638560001</v>
      </c>
      <c r="AH2521">
        <v>40.439475838637797</v>
      </c>
      <c r="AI2521">
        <v>91.569325989646899</v>
      </c>
      <c r="AJ2521">
        <v>87.875350310178504</v>
      </c>
      <c r="AK2521">
        <v>40.482479796172797</v>
      </c>
      <c r="AL2521">
        <v>79.181288400560305</v>
      </c>
      <c r="AM2521">
        <v>88.016678223246601</v>
      </c>
      <c r="AN2521">
        <v>1.00000000536053</v>
      </c>
    </row>
    <row r="2522" spans="1:40" x14ac:dyDescent="0.25">
      <c r="A2522" t="str">
        <f>"20190312172708765"</f>
        <v>20190312172708765</v>
      </c>
      <c r="B2522" t="str">
        <f>"1552382828761647"</f>
        <v>1552382828761647</v>
      </c>
      <c r="C2522" t="s">
        <v>40</v>
      </c>
      <c r="D2522">
        <v>3.1043430000000001</v>
      </c>
      <c r="E2522">
        <v>0.45665459999999902</v>
      </c>
      <c r="F2522" t="s">
        <v>48</v>
      </c>
      <c r="G2522">
        <v>-380.68759999999997</v>
      </c>
      <c r="H2522" s="1">
        <v>-1.24481E-6</v>
      </c>
      <c r="I2522">
        <v>216.30690000000001</v>
      </c>
      <c r="J2522">
        <v>-417.47919999999999</v>
      </c>
      <c r="K2522">
        <v>1.1086320000000001</v>
      </c>
      <c r="L2522">
        <v>213.42830000000001</v>
      </c>
      <c r="M2522">
        <v>0.99977559999999999</v>
      </c>
      <c r="N2522">
        <v>0</v>
      </c>
      <c r="O2522">
        <v>2.0302669999999998E-2</v>
      </c>
      <c r="P2522">
        <v>0.98324429999999996</v>
      </c>
      <c r="Q2522">
        <v>0.18177219999999999</v>
      </c>
      <c r="R2522">
        <v>-1.377303E-2</v>
      </c>
      <c r="S2522">
        <v>3.0713810000000001</v>
      </c>
      <c r="T2522">
        <v>-9.1826560000000002E-2</v>
      </c>
      <c r="U2522">
        <v>0.23889160000000001</v>
      </c>
      <c r="V2522">
        <v>3.3882570000000001E-2</v>
      </c>
      <c r="W2522">
        <v>0.18768940000000001</v>
      </c>
      <c r="X2522">
        <v>0.98164390000000001</v>
      </c>
      <c r="Y2522">
        <v>-5.7271370000000002E-2</v>
      </c>
      <c r="Z2522">
        <v>2.4884460000000001E-4</v>
      </c>
      <c r="AA2522">
        <v>0.99835859999999998</v>
      </c>
      <c r="AB2522">
        <v>30</v>
      </c>
      <c r="AC2522">
        <v>36.791600000000003</v>
      </c>
      <c r="AD2522">
        <v>-1.10863324481</v>
      </c>
      <c r="AE2522">
        <v>2.8786</v>
      </c>
      <c r="AF2522">
        <v>-2.1291038436522598</v>
      </c>
      <c r="AG2522">
        <v>-1.10863324481</v>
      </c>
      <c r="AH2522">
        <v>36.809241686752898</v>
      </c>
      <c r="AI2522">
        <v>91.722255361069799</v>
      </c>
      <c r="AJ2522">
        <v>93.310388577089498</v>
      </c>
      <c r="AK2522">
        <v>36.887429083663903</v>
      </c>
      <c r="AL2522">
        <v>79.182029634597598</v>
      </c>
      <c r="AM2522">
        <v>88.023154967576204</v>
      </c>
      <c r="AN2522">
        <v>1.00000004291468</v>
      </c>
    </row>
    <row r="2523" spans="1:40" x14ac:dyDescent="0.25">
      <c r="A2523" t="str">
        <f>"20190312172708785"</f>
        <v>20190312172708785</v>
      </c>
      <c r="B2523" t="str">
        <f>"1552382828781672"</f>
        <v>1552382828781672</v>
      </c>
      <c r="C2523" t="s">
        <v>40</v>
      </c>
      <c r="D2523">
        <v>3.0730200000000001</v>
      </c>
      <c r="E2523">
        <v>0.45281260000000001</v>
      </c>
      <c r="F2523" t="s">
        <v>48</v>
      </c>
      <c r="G2523">
        <v>-380.37900000000002</v>
      </c>
      <c r="H2523" s="1">
        <v>-1.4633189999999999E-6</v>
      </c>
      <c r="I2523">
        <v>217.54939999999999</v>
      </c>
      <c r="J2523">
        <v>-417.19310000000002</v>
      </c>
      <c r="K2523">
        <v>1.108589</v>
      </c>
      <c r="L2523">
        <v>213.43369999999999</v>
      </c>
      <c r="M2523">
        <v>0.99978460000000002</v>
      </c>
      <c r="N2523">
        <v>0</v>
      </c>
      <c r="O2523">
        <v>1.9852640000000001E-2</v>
      </c>
      <c r="P2523">
        <v>0.98332200000000003</v>
      </c>
      <c r="Q2523">
        <v>0.18136350000000001</v>
      </c>
      <c r="R2523">
        <v>-1.361542E-2</v>
      </c>
      <c r="S2523">
        <v>3.0729060000000001</v>
      </c>
      <c r="T2523">
        <v>-9.1825009999999999E-2</v>
      </c>
      <c r="U2523">
        <v>0.34133909999999901</v>
      </c>
      <c r="V2523">
        <v>3.3301570000000003E-2</v>
      </c>
      <c r="W2523">
        <v>0.18727540000000001</v>
      </c>
      <c r="X2523">
        <v>0.98174280000000003</v>
      </c>
      <c r="Y2523">
        <v>-9.0616619999999995E-2</v>
      </c>
      <c r="Z2523">
        <v>7.5835080000000003E-4</v>
      </c>
      <c r="AA2523">
        <v>0.99588560000000004</v>
      </c>
      <c r="AB2523">
        <v>31</v>
      </c>
      <c r="AC2523">
        <v>36.814100000000003</v>
      </c>
      <c r="AD2523">
        <v>-1.108590463319</v>
      </c>
      <c r="AE2523">
        <v>4.1157000000000004</v>
      </c>
      <c r="AF2523">
        <v>-3.3809903239003001</v>
      </c>
      <c r="AG2523">
        <v>-1.108590463319</v>
      </c>
      <c r="AH2523">
        <v>36.855545067269901</v>
      </c>
      <c r="AI2523">
        <v>91.715699922572398</v>
      </c>
      <c r="AJ2523">
        <v>95.241430927859398</v>
      </c>
      <c r="AK2523">
        <v>37.0268992840507</v>
      </c>
      <c r="AL2523">
        <v>79.206177797242205</v>
      </c>
      <c r="AM2523">
        <v>88.057222213311803</v>
      </c>
      <c r="AN2523">
        <v>0.999999997680732</v>
      </c>
    </row>
    <row r="2524" spans="1:40" x14ac:dyDescent="0.25">
      <c r="A2524" t="str">
        <f>"20190312172708809"</f>
        <v>20190312172708809</v>
      </c>
      <c r="B2524" t="str">
        <f>"1552382828801192"</f>
        <v>1552382828801192</v>
      </c>
      <c r="C2524" t="s">
        <v>40</v>
      </c>
      <c r="D2524">
        <v>2.9395929999999999</v>
      </c>
      <c r="E2524">
        <v>0.45032990000000001</v>
      </c>
      <c r="F2524" t="s">
        <v>48</v>
      </c>
      <c r="G2524">
        <v>-381.93439999999998</v>
      </c>
      <c r="H2524" s="1">
        <v>-6.4231230000000002E-7</v>
      </c>
      <c r="I2524">
        <v>217.7029</v>
      </c>
      <c r="J2524">
        <v>-416.88409999999999</v>
      </c>
      <c r="K2524">
        <v>1.1085469999999999</v>
      </c>
      <c r="L2524">
        <v>213.4393</v>
      </c>
      <c r="M2524">
        <v>0.99979510000000005</v>
      </c>
      <c r="N2524">
        <v>0</v>
      </c>
      <c r="O2524">
        <v>1.9327170000000001E-2</v>
      </c>
      <c r="P2524">
        <v>0.98334770000000005</v>
      </c>
      <c r="Q2524">
        <v>0.18122060000000001</v>
      </c>
      <c r="R2524">
        <v>-1.366234E-2</v>
      </c>
      <c r="S2524">
        <v>3.0738530000000002</v>
      </c>
      <c r="T2524">
        <v>-9.6646789999999996E-2</v>
      </c>
      <c r="U2524">
        <v>0.37219239999999998</v>
      </c>
      <c r="V2524">
        <v>3.2849320000000001E-2</v>
      </c>
      <c r="W2524">
        <v>0.1871236</v>
      </c>
      <c r="X2524">
        <v>0.98178699999999997</v>
      </c>
      <c r="Y2524">
        <v>-0.1009558</v>
      </c>
      <c r="Z2524">
        <v>9.7581990000000004E-4</v>
      </c>
      <c r="AA2524">
        <v>0.99489050000000001</v>
      </c>
      <c r="AB2524">
        <v>31</v>
      </c>
      <c r="AC2524">
        <v>34.9497</v>
      </c>
      <c r="AD2524">
        <v>-1.1085476423123</v>
      </c>
      <c r="AE2524">
        <v>4.2635999999999896</v>
      </c>
      <c r="AF2524">
        <v>-3.5837599689466302</v>
      </c>
      <c r="AG2524">
        <v>-1.1085476423123</v>
      </c>
      <c r="AH2524">
        <v>34.990889864779902</v>
      </c>
      <c r="AI2524">
        <v>91.805145898003104</v>
      </c>
      <c r="AJ2524">
        <v>95.847831650002504</v>
      </c>
      <c r="AK2524">
        <v>35.191399331647197</v>
      </c>
      <c r="AL2524">
        <v>79.215032023425707</v>
      </c>
      <c r="AM2524">
        <v>88.0836723957825</v>
      </c>
      <c r="AN2524">
        <v>1.0000000164352101</v>
      </c>
    </row>
    <row r="2525" spans="1:40" x14ac:dyDescent="0.25">
      <c r="A2525" t="str">
        <f>"20190312172708830"</f>
        <v>20190312172708830</v>
      </c>
      <c r="B2525" t="str">
        <f>"1552382828821690"</f>
        <v>1552382828821690</v>
      </c>
      <c r="C2525" t="s">
        <v>40</v>
      </c>
      <c r="D2525">
        <v>3.0502470000000002</v>
      </c>
      <c r="E2525">
        <v>0.4486233</v>
      </c>
      <c r="F2525" t="s">
        <v>48</v>
      </c>
      <c r="G2525">
        <v>-382.8691</v>
      </c>
      <c r="H2525" s="1">
        <v>-1.4796529999999999E-7</v>
      </c>
      <c r="I2525">
        <v>217.7731</v>
      </c>
      <c r="J2525">
        <v>-416.57650000000001</v>
      </c>
      <c r="K2525">
        <v>1.108509</v>
      </c>
      <c r="L2525">
        <v>213.44479999999999</v>
      </c>
      <c r="M2525">
        <v>0.99980559999999996</v>
      </c>
      <c r="N2525">
        <v>0</v>
      </c>
      <c r="O2525">
        <v>1.8774300000000001E-2</v>
      </c>
      <c r="P2525">
        <v>0.98323499999999997</v>
      </c>
      <c r="Q2525">
        <v>0.1817763</v>
      </c>
      <c r="R2525">
        <v>-1.4370040000000001E-2</v>
      </c>
      <c r="S2525">
        <v>3.0747070000000001</v>
      </c>
      <c r="T2525">
        <v>-0.10020469999999999</v>
      </c>
      <c r="U2525">
        <v>0.3917389</v>
      </c>
      <c r="V2525">
        <v>3.30253E-2</v>
      </c>
      <c r="W2525">
        <v>0.18766740000000001</v>
      </c>
      <c r="X2525">
        <v>0.98167729999999997</v>
      </c>
      <c r="Y2525">
        <v>-0.1076925</v>
      </c>
      <c r="Z2525">
        <v>1.1382919999999999E-3</v>
      </c>
      <c r="AA2525">
        <v>0.99418359999999995</v>
      </c>
      <c r="AB2525">
        <v>31</v>
      </c>
      <c r="AC2525">
        <v>33.7074</v>
      </c>
      <c r="AD2525">
        <v>-1.1085091479653</v>
      </c>
      <c r="AE2525">
        <v>4.3283000000000103</v>
      </c>
      <c r="AF2525">
        <v>-3.69076594608303</v>
      </c>
      <c r="AG2525">
        <v>-1.1085091479653</v>
      </c>
      <c r="AH2525">
        <v>33.746815759753602</v>
      </c>
      <c r="AI2525">
        <v>91.870221069685996</v>
      </c>
      <c r="AJ2525">
        <v>96.241424399842799</v>
      </c>
      <c r="AK2525">
        <v>33.966131951145798</v>
      </c>
      <c r="AL2525">
        <v>79.183312720856307</v>
      </c>
      <c r="AM2525">
        <v>88.073198854596598</v>
      </c>
      <c r="AN2525">
        <v>1.0000000223990599</v>
      </c>
    </row>
    <row r="2526" spans="1:40" x14ac:dyDescent="0.25">
      <c r="A2526" t="str">
        <f>"20190312172708853"</f>
        <v>20190312172708853</v>
      </c>
      <c r="B2526" t="str">
        <f>"1552382828841209"</f>
        <v>1552382828841209</v>
      </c>
      <c r="C2526" t="s">
        <v>40</v>
      </c>
      <c r="D2526">
        <v>2.9710510000000001</v>
      </c>
      <c r="E2526">
        <v>0.44747340000000002</v>
      </c>
      <c r="F2526" t="s">
        <v>48</v>
      </c>
      <c r="G2526">
        <v>-382.87569999999999</v>
      </c>
      <c r="H2526" s="1">
        <v>-1.48750299999999E-7</v>
      </c>
      <c r="I2526">
        <v>217.8708</v>
      </c>
      <c r="J2526">
        <v>-416.25479999999999</v>
      </c>
      <c r="K2526">
        <v>1.108482</v>
      </c>
      <c r="L2526">
        <v>213.4503</v>
      </c>
      <c r="M2526">
        <v>0.9998167</v>
      </c>
      <c r="N2526">
        <v>0</v>
      </c>
      <c r="O2526">
        <v>1.8177019999999999E-2</v>
      </c>
      <c r="P2526">
        <v>0.98323769999999999</v>
      </c>
      <c r="Q2526">
        <v>0.18169779999999999</v>
      </c>
      <c r="R2526">
        <v>-1.5147000000000001E-2</v>
      </c>
      <c r="S2526">
        <v>3.0757750000000001</v>
      </c>
      <c r="T2526">
        <v>-0.1011703</v>
      </c>
      <c r="U2526">
        <v>0.40394590000000002</v>
      </c>
      <c r="V2526">
        <v>3.3225730000000002E-2</v>
      </c>
      <c r="W2526">
        <v>0.18757889999999999</v>
      </c>
      <c r="X2526">
        <v>0.98168739999999999</v>
      </c>
      <c r="Y2526">
        <v>-0.11211930000000001</v>
      </c>
      <c r="Z2526">
        <v>1.240592E-3</v>
      </c>
      <c r="AA2526">
        <v>0.99369399999999997</v>
      </c>
      <c r="AB2526">
        <v>31</v>
      </c>
      <c r="AC2526">
        <v>33.379099999999902</v>
      </c>
      <c r="AD2526">
        <v>-1.1084821487503</v>
      </c>
      <c r="AE2526">
        <v>4.4204999999999997</v>
      </c>
      <c r="AF2526">
        <v>-3.8088979376598902</v>
      </c>
      <c r="AG2526">
        <v>-1.1084821487503</v>
      </c>
      <c r="AH2526">
        <v>33.417719216353603</v>
      </c>
      <c r="AI2526">
        <v>91.887619936485507</v>
      </c>
      <c r="AJ2526">
        <v>96.502419962793098</v>
      </c>
      <c r="AK2526">
        <v>33.652346037039599</v>
      </c>
      <c r="AL2526">
        <v>79.188474524546706</v>
      </c>
      <c r="AM2526">
        <v>88.061533953713706</v>
      </c>
      <c r="AN2526">
        <v>0.99999997208900104</v>
      </c>
    </row>
    <row r="2527" spans="1:40" x14ac:dyDescent="0.25">
      <c r="A2527" t="str">
        <f>"20190312172708875"</f>
        <v>20190312172708875</v>
      </c>
      <c r="B2527" t="str">
        <f>"1552382828871465"</f>
        <v>1552382828871465</v>
      </c>
      <c r="C2527" t="s">
        <v>40</v>
      </c>
      <c r="D2527">
        <v>3.0038580000000001</v>
      </c>
      <c r="E2527">
        <v>0.44619619999999999</v>
      </c>
      <c r="F2527" t="s">
        <v>48</v>
      </c>
      <c r="G2527">
        <v>-382.9477</v>
      </c>
      <c r="H2527" s="1">
        <v>-1.122372E-7</v>
      </c>
      <c r="I2527">
        <v>217.9117</v>
      </c>
      <c r="J2527">
        <v>-415.9547</v>
      </c>
      <c r="K2527">
        <v>1.1084540000000001</v>
      </c>
      <c r="L2527">
        <v>213.45519999999999</v>
      </c>
      <c r="M2527">
        <v>0.99982680000000002</v>
      </c>
      <c r="N2527">
        <v>0</v>
      </c>
      <c r="O2527">
        <v>1.7611559999999998E-2</v>
      </c>
      <c r="P2527">
        <v>0.98336089999999998</v>
      </c>
      <c r="Q2527">
        <v>0.18101890000000001</v>
      </c>
      <c r="R2527">
        <v>-1.528263E-2</v>
      </c>
      <c r="S2527">
        <v>3.076416</v>
      </c>
      <c r="T2527">
        <v>-0.1023852</v>
      </c>
      <c r="U2527">
        <v>0.41207890000000003</v>
      </c>
      <c r="V2527">
        <v>3.2813759999999997E-2</v>
      </c>
      <c r="W2527">
        <v>0.18689359999999999</v>
      </c>
      <c r="X2527">
        <v>0.98183200000000004</v>
      </c>
      <c r="Y2527">
        <v>-0.1152323</v>
      </c>
      <c r="Z2527">
        <v>1.3252819999999999E-3</v>
      </c>
      <c r="AA2527">
        <v>0.99333769999999999</v>
      </c>
      <c r="AB2527">
        <v>31</v>
      </c>
      <c r="AC2527">
        <v>33.006999999999998</v>
      </c>
      <c r="AD2527">
        <v>-1.1084541122372</v>
      </c>
      <c r="AE2527">
        <v>4.4565000000000001</v>
      </c>
      <c r="AF2527">
        <v>-3.8702069191816602</v>
      </c>
      <c r="AG2527">
        <v>-1.1084541122372</v>
      </c>
      <c r="AH2527">
        <v>33.043769082394398</v>
      </c>
      <c r="AI2527">
        <v>91.908233811630893</v>
      </c>
      <c r="AJ2527">
        <v>96.680255432304506</v>
      </c>
      <c r="AK2527">
        <v>33.288103690159701</v>
      </c>
      <c r="AL2527">
        <v>79.228446732089907</v>
      </c>
      <c r="AM2527">
        <v>88.085832982023604</v>
      </c>
      <c r="AN2527">
        <v>1.0000000183951401</v>
      </c>
    </row>
    <row r="2528" spans="1:40" x14ac:dyDescent="0.25">
      <c r="A2528" t="str">
        <f>"20190312172708898"</f>
        <v>20190312172708898</v>
      </c>
      <c r="B2528" t="str">
        <f>"1552382828890985"</f>
        <v>1552382828890985</v>
      </c>
      <c r="C2528" t="s">
        <v>40</v>
      </c>
      <c r="D2528">
        <v>3.007352</v>
      </c>
      <c r="E2528">
        <v>0.44557029999999997</v>
      </c>
      <c r="F2528" t="s">
        <v>48</v>
      </c>
      <c r="G2528">
        <v>-384.11290000000002</v>
      </c>
      <c r="H2528" s="1">
        <v>5.119389E-7</v>
      </c>
      <c r="I2528">
        <v>217.81800000000001</v>
      </c>
      <c r="J2528">
        <v>-415.63080000000002</v>
      </c>
      <c r="K2528">
        <v>1.108436</v>
      </c>
      <c r="L2528">
        <v>213.46029999999999</v>
      </c>
      <c r="M2528">
        <v>0.99983750000000005</v>
      </c>
      <c r="N2528">
        <v>0</v>
      </c>
      <c r="O2528">
        <v>1.69965999999999E-2</v>
      </c>
      <c r="P2528">
        <v>0.98338340000000002</v>
      </c>
      <c r="Q2528">
        <v>0.1809046</v>
      </c>
      <c r="R2528">
        <v>-1.518506E-2</v>
      </c>
      <c r="S2528">
        <v>3.077026</v>
      </c>
      <c r="T2528">
        <v>-0.1071153</v>
      </c>
      <c r="U2528">
        <v>0.42160029999999998</v>
      </c>
      <c r="V2528">
        <v>3.2117590000000001E-2</v>
      </c>
      <c r="W2528">
        <v>0.1867732</v>
      </c>
      <c r="X2528">
        <v>0.98187789999999997</v>
      </c>
      <c r="Y2528">
        <v>-0.1188275</v>
      </c>
      <c r="Z2528">
        <v>1.46947299999999E-3</v>
      </c>
      <c r="AA2528">
        <v>0.99291379999999996</v>
      </c>
      <c r="AB2528">
        <v>31</v>
      </c>
      <c r="AC2528">
        <v>31.517900000000001</v>
      </c>
      <c r="AD2528">
        <v>-1.1084354880611</v>
      </c>
      <c r="AE2528">
        <v>4.3576999999999897</v>
      </c>
      <c r="AF2528">
        <v>-3.8167316294634999</v>
      </c>
      <c r="AG2528">
        <v>-1.1084354880611</v>
      </c>
      <c r="AH2528">
        <v>31.5491257714807</v>
      </c>
      <c r="AI2528">
        <v>91.997628233218407</v>
      </c>
      <c r="AJ2528">
        <v>96.897973696905495</v>
      </c>
      <c r="AK2528">
        <v>31.7984811981209</v>
      </c>
      <c r="AL2528">
        <v>79.235468472566893</v>
      </c>
      <c r="AM2528">
        <v>88.126501821935804</v>
      </c>
      <c r="AN2528">
        <v>0.99999998916702904</v>
      </c>
    </row>
    <row r="2529" spans="1:40" x14ac:dyDescent="0.25">
      <c r="A2529" t="str">
        <f>"20190312172708920"</f>
        <v>20190312172708920</v>
      </c>
      <c r="B2529" t="str">
        <f>"1552382828911480"</f>
        <v>1552382828911480</v>
      </c>
      <c r="C2529" t="s">
        <v>40</v>
      </c>
      <c r="D2529">
        <v>3.0476740000000002</v>
      </c>
      <c r="E2529">
        <v>0.44516099999999997</v>
      </c>
      <c r="F2529" t="s">
        <v>48</v>
      </c>
      <c r="G2529">
        <v>-384.39609999999999</v>
      </c>
      <c r="H2529" s="1">
        <v>6.6409399999999996E-7</v>
      </c>
      <c r="I2529">
        <v>217.7851</v>
      </c>
      <c r="J2529">
        <v>-415.3331</v>
      </c>
      <c r="K2529">
        <v>1.1084290000000001</v>
      </c>
      <c r="L2529">
        <v>213.4648</v>
      </c>
      <c r="M2529">
        <v>0.99984709999999999</v>
      </c>
      <c r="N2529">
        <v>0</v>
      </c>
      <c r="O2529">
        <v>1.6431680000000001E-2</v>
      </c>
      <c r="P2529">
        <v>0.98329690000000003</v>
      </c>
      <c r="Q2529">
        <v>0.1812964</v>
      </c>
      <c r="R2529">
        <v>-1.6090409999999999E-2</v>
      </c>
      <c r="S2529">
        <v>3.0773929999999998</v>
      </c>
      <c r="T2529">
        <v>-0.1092086</v>
      </c>
      <c r="U2529">
        <v>0.42610170000000003</v>
      </c>
      <c r="V2529">
        <v>3.2470279999999997E-2</v>
      </c>
      <c r="W2529">
        <v>0.18715870000000001</v>
      </c>
      <c r="X2529">
        <v>0.98179289999999997</v>
      </c>
      <c r="Y2529">
        <v>-0.12079380000000001</v>
      </c>
      <c r="Z2529">
        <v>1.5524950000000001E-3</v>
      </c>
      <c r="AA2529">
        <v>0.99267640000000001</v>
      </c>
      <c r="AB2529">
        <v>31</v>
      </c>
      <c r="AC2529">
        <v>30.937000000000001</v>
      </c>
      <c r="AD2529">
        <v>-1.1084283359060001</v>
      </c>
      <c r="AE2529">
        <v>4.3202999999999996</v>
      </c>
      <c r="AF2529">
        <v>-3.8065677537842402</v>
      </c>
      <c r="AG2529">
        <v>-1.1084283359060001</v>
      </c>
      <c r="AH2529">
        <v>30.964825357984601</v>
      </c>
      <c r="AI2529">
        <v>92.034800988602001</v>
      </c>
      <c r="AJ2529">
        <v>97.008321737641097</v>
      </c>
      <c r="AK2529">
        <v>31.2176069052462</v>
      </c>
      <c r="AL2529">
        <v>79.212984574702602</v>
      </c>
      <c r="AM2529">
        <v>88.105779587826703</v>
      </c>
      <c r="AN2529">
        <v>0.999999998279689</v>
      </c>
    </row>
    <row r="2530" spans="1:40" x14ac:dyDescent="0.25">
      <c r="A2530" t="str">
        <f>"20190312172708943"</f>
        <v>20190312172708943</v>
      </c>
      <c r="B2530" t="str">
        <f>"1552382828931000"</f>
        <v>1552382828931000</v>
      </c>
      <c r="C2530" t="s">
        <v>40</v>
      </c>
      <c r="D2530">
        <v>3.0156510000000001</v>
      </c>
      <c r="E2530">
        <v>0.44485970000000002</v>
      </c>
      <c r="F2530" t="s">
        <v>48</v>
      </c>
      <c r="G2530">
        <v>-384.11619999999999</v>
      </c>
      <c r="H2530" s="1">
        <v>5.1480630000000001E-7</v>
      </c>
      <c r="I2530">
        <v>217.79230000000001</v>
      </c>
      <c r="J2530">
        <v>-414.99099999999999</v>
      </c>
      <c r="K2530">
        <v>1.108412</v>
      </c>
      <c r="L2530">
        <v>213.46979999999999</v>
      </c>
      <c r="M2530">
        <v>0.99985749999999995</v>
      </c>
      <c r="N2530">
        <v>0</v>
      </c>
      <c r="O2530">
        <v>1.5784980000000001E-2</v>
      </c>
      <c r="P2530">
        <v>0.98324639999999996</v>
      </c>
      <c r="Q2530">
        <v>0.18145210000000001</v>
      </c>
      <c r="R2530">
        <v>-1.737176E-2</v>
      </c>
      <c r="S2530">
        <v>3.0780940000000001</v>
      </c>
      <c r="T2530">
        <v>-0.1092949</v>
      </c>
      <c r="U2530">
        <v>0.42669679999999999</v>
      </c>
      <c r="V2530">
        <v>3.3118509999999997E-2</v>
      </c>
      <c r="W2530">
        <v>0.18730859999999999</v>
      </c>
      <c r="X2530">
        <v>0.98174269999999997</v>
      </c>
      <c r="Y2530">
        <v>-0.1215924</v>
      </c>
      <c r="Z2530">
        <v>1.5902879999999901E-3</v>
      </c>
      <c r="AA2530">
        <v>0.99257890000000004</v>
      </c>
      <c r="AB2530">
        <v>31</v>
      </c>
      <c r="AC2530">
        <v>30.8748</v>
      </c>
      <c r="AD2530">
        <v>-1.1084114851936999</v>
      </c>
      <c r="AE2530">
        <v>4.3225000000000096</v>
      </c>
      <c r="AF2530">
        <v>-3.8297536152032898</v>
      </c>
      <c r="AG2530">
        <v>-1.1084114851936999</v>
      </c>
      <c r="AH2530">
        <v>30.900125688994599</v>
      </c>
      <c r="AI2530">
        <v>92.038777348568402</v>
      </c>
      <c r="AJ2530">
        <v>97.065194862524095</v>
      </c>
      <c r="AK2530">
        <v>31.156273146339799</v>
      </c>
      <c r="AL2530">
        <v>79.204241752196694</v>
      </c>
      <c r="AM2530">
        <v>88.067893423593105</v>
      </c>
      <c r="AN2530">
        <v>1.00000003817093</v>
      </c>
    </row>
    <row r="2531" spans="1:40" x14ac:dyDescent="0.25">
      <c r="A2531" t="str">
        <f>"20190312172708967"</f>
        <v>20190312172708967</v>
      </c>
      <c r="B2531" t="str">
        <f>"1552382828961256"</f>
        <v>1552382828961256</v>
      </c>
      <c r="C2531" t="s">
        <v>40</v>
      </c>
      <c r="D2531">
        <v>3.020464</v>
      </c>
      <c r="E2531">
        <v>0.44437310000000002</v>
      </c>
      <c r="F2531" t="s">
        <v>48</v>
      </c>
      <c r="G2531">
        <v>-383.72739999999999</v>
      </c>
      <c r="H2531" s="1">
        <v>3.0791439999999998E-7</v>
      </c>
      <c r="I2531">
        <v>217.79179999999999</v>
      </c>
      <c r="J2531">
        <v>-414.673</v>
      </c>
      <c r="K2531">
        <v>1.108401</v>
      </c>
      <c r="L2531">
        <v>213.4743</v>
      </c>
      <c r="M2531">
        <v>0.99986679999999994</v>
      </c>
      <c r="N2531">
        <v>0</v>
      </c>
      <c r="O2531">
        <v>1.518628E-2</v>
      </c>
      <c r="P2531">
        <v>0.98327509999999996</v>
      </c>
      <c r="Q2531">
        <v>0.1812049</v>
      </c>
      <c r="R2531">
        <v>-1.8308499999999998E-2</v>
      </c>
      <c r="S2531">
        <v>3.078735</v>
      </c>
      <c r="T2531">
        <v>-0.109152399999999</v>
      </c>
      <c r="U2531">
        <v>0.42561339999999998</v>
      </c>
      <c r="V2531">
        <v>3.3469159999999998E-2</v>
      </c>
      <c r="W2531">
        <v>0.1870571</v>
      </c>
      <c r="X2531">
        <v>0.9817787</v>
      </c>
      <c r="Y2531">
        <v>-0.1218156</v>
      </c>
      <c r="Z2531">
        <v>1.61297E-3</v>
      </c>
      <c r="AA2531">
        <v>0.99255139999999997</v>
      </c>
      <c r="AB2531">
        <v>31</v>
      </c>
      <c r="AC2531">
        <v>30.945599999999999</v>
      </c>
      <c r="AD2531">
        <v>-1.1084006920856</v>
      </c>
      <c r="AE2531">
        <v>4.3174999999999901</v>
      </c>
      <c r="AF2531">
        <v>-3.84221005962883</v>
      </c>
      <c r="AG2531">
        <v>-1.1084006920856</v>
      </c>
      <c r="AH2531">
        <v>30.968627893194999</v>
      </c>
      <c r="AI2531">
        <v>92.034219809426205</v>
      </c>
      <c r="AJ2531">
        <v>97.072421875117996</v>
      </c>
      <c r="AK2531">
        <v>31.225743286969202</v>
      </c>
      <c r="AL2531">
        <v>79.218910276852796</v>
      </c>
      <c r="AM2531">
        <v>88.047524083970401</v>
      </c>
      <c r="AN2531">
        <v>0.999999979552602</v>
      </c>
    </row>
    <row r="2532" spans="1:40" x14ac:dyDescent="0.25">
      <c r="A2532" t="str">
        <f>"20190312172708989"</f>
        <v>20190312172708989</v>
      </c>
      <c r="B2532" t="str">
        <f>"1552382828981752"</f>
        <v>1552382828981752</v>
      </c>
      <c r="C2532" t="s">
        <v>40</v>
      </c>
      <c r="D2532">
        <v>2.9533049999999998</v>
      </c>
      <c r="E2532">
        <v>0.44394620000000001</v>
      </c>
      <c r="F2532" t="s">
        <v>48</v>
      </c>
      <c r="G2532">
        <v>-383.94810000000001</v>
      </c>
      <c r="H2532" s="1">
        <v>4.2803009999999999E-7</v>
      </c>
      <c r="I2532">
        <v>217.73159999999999</v>
      </c>
      <c r="J2532">
        <v>-414.35539999999997</v>
      </c>
      <c r="K2532">
        <v>1.1083940000000001</v>
      </c>
      <c r="L2532">
        <v>213.4785</v>
      </c>
      <c r="M2532">
        <v>0.99987570000000003</v>
      </c>
      <c r="N2532">
        <v>0</v>
      </c>
      <c r="O2532">
        <v>1.459074E-2</v>
      </c>
      <c r="P2532">
        <v>0.98331190000000002</v>
      </c>
      <c r="Q2532">
        <v>0.18093390000000001</v>
      </c>
      <c r="R2532">
        <v>-1.9003720000000002E-2</v>
      </c>
      <c r="S2532">
        <v>3.079437</v>
      </c>
      <c r="T2532">
        <v>-0.1110908</v>
      </c>
      <c r="U2532">
        <v>0.42669679999999999</v>
      </c>
      <c r="V2532">
        <v>3.3581470000000002E-2</v>
      </c>
      <c r="W2532">
        <v>0.18678400000000001</v>
      </c>
      <c r="X2532">
        <v>0.98182689999999995</v>
      </c>
      <c r="Y2532">
        <v>-0.1227154</v>
      </c>
      <c r="Z2532">
        <v>1.6786959999999999E-3</v>
      </c>
      <c r="AA2532">
        <v>0.99244049999999995</v>
      </c>
      <c r="AB2532">
        <v>32</v>
      </c>
      <c r="AC2532">
        <v>30.4072999999999</v>
      </c>
      <c r="AD2532">
        <v>-1.1083935719698901</v>
      </c>
      <c r="AE2532">
        <v>4.2530999999999803</v>
      </c>
      <c r="AF2532">
        <v>-3.8040168403892398</v>
      </c>
      <c r="AG2532">
        <v>-1.1083935719698901</v>
      </c>
      <c r="AH2532">
        <v>30.4264676060996</v>
      </c>
      <c r="AI2532">
        <v>92.070180026341504</v>
      </c>
      <c r="AJ2532">
        <v>97.126329784136999</v>
      </c>
      <c r="AK2532">
        <v>30.683367015654898</v>
      </c>
      <c r="AL2532">
        <v>79.234838925877796</v>
      </c>
      <c r="AM2532">
        <v>88.041073498298303</v>
      </c>
      <c r="AN2532">
        <v>1.00000001967348</v>
      </c>
    </row>
    <row r="2533" spans="1:40" x14ac:dyDescent="0.25">
      <c r="A2533" t="str">
        <f>"20190312172709009"</f>
        <v>20190312172709009</v>
      </c>
      <c r="B2533" t="str">
        <f>"1552382829001273"</f>
        <v>1552382829001273</v>
      </c>
      <c r="C2533" t="s">
        <v>40</v>
      </c>
      <c r="D2533">
        <v>3.0196770000000002</v>
      </c>
      <c r="E2533">
        <v>0.44375579999999998</v>
      </c>
      <c r="F2533" t="s">
        <v>48</v>
      </c>
      <c r="G2533">
        <v>-384.24380000000002</v>
      </c>
      <c r="H2533" s="1">
        <v>5.8861519999999899E-7</v>
      </c>
      <c r="I2533">
        <v>217.65790000000001</v>
      </c>
      <c r="J2533">
        <v>-414.06299999999999</v>
      </c>
      <c r="K2533">
        <v>1.10839</v>
      </c>
      <c r="L2533">
        <v>213.48230000000001</v>
      </c>
      <c r="M2533">
        <v>0.99988359999999998</v>
      </c>
      <c r="N2533">
        <v>0</v>
      </c>
      <c r="O2533">
        <v>1.4043720000000001E-2</v>
      </c>
      <c r="P2533">
        <v>0.98323970000000005</v>
      </c>
      <c r="Q2533">
        <v>0.18125730000000001</v>
      </c>
      <c r="R2533">
        <v>-1.964519E-2</v>
      </c>
      <c r="S2533">
        <v>3.0800169999999998</v>
      </c>
      <c r="T2533">
        <v>-0.113374</v>
      </c>
      <c r="U2533">
        <v>0.42749019999999999</v>
      </c>
      <c r="V2533">
        <v>3.3686300000000002E-2</v>
      </c>
      <c r="W2533">
        <v>0.18710579999999999</v>
      </c>
      <c r="X2533">
        <v>0.98176200000000002</v>
      </c>
      <c r="Y2533">
        <v>-0.12348000000000001</v>
      </c>
      <c r="Z2533">
        <v>1.7468479999999901E-3</v>
      </c>
      <c r="AA2533">
        <v>0.99234549999999999</v>
      </c>
      <c r="AB2533">
        <v>32</v>
      </c>
      <c r="AC2533">
        <v>29.819199999999999</v>
      </c>
      <c r="AD2533">
        <v>-1.1083894113848001</v>
      </c>
      <c r="AE2533">
        <v>4.1756000000000002</v>
      </c>
      <c r="AF2533">
        <v>-3.75132497565968</v>
      </c>
      <c r="AG2533">
        <v>-1.1083894113848001</v>
      </c>
      <c r="AH2533">
        <v>29.834473615885098</v>
      </c>
      <c r="AI2533">
        <v>92.111027017103197</v>
      </c>
      <c r="AJ2533">
        <v>97.166642408693505</v>
      </c>
      <c r="AK2533">
        <v>30.089811931901799</v>
      </c>
      <c r="AL2533">
        <v>79.216069891936598</v>
      </c>
      <c r="AM2533">
        <v>88.034833380295595</v>
      </c>
      <c r="AN2533">
        <v>0.99999998592266404</v>
      </c>
    </row>
    <row r="2534" spans="1:40" x14ac:dyDescent="0.25">
      <c r="A2534" t="str">
        <f>"20190312172709146"</f>
        <v>20190312172709146</v>
      </c>
      <c r="B2534" t="str">
        <f>"1552382829141816"</f>
        <v>1552382829141816</v>
      </c>
      <c r="C2534" t="s">
        <v>40</v>
      </c>
      <c r="D2534">
        <v>2.3135089999999998</v>
      </c>
      <c r="E2534">
        <v>0.44362040000000003</v>
      </c>
      <c r="F2534" t="s">
        <v>48</v>
      </c>
      <c r="G2534">
        <v>-384.15269999999998</v>
      </c>
      <c r="H2534" s="1">
        <v>5.4160269999999998E-7</v>
      </c>
      <c r="I2534">
        <v>217.62370000000001</v>
      </c>
      <c r="J2534">
        <v>-412.08319999999998</v>
      </c>
      <c r="K2534">
        <v>1.1083320000000001</v>
      </c>
      <c r="L2534">
        <v>213.5035</v>
      </c>
      <c r="M2534">
        <v>0.9999287</v>
      </c>
      <c r="N2534">
        <v>0</v>
      </c>
      <c r="O2534">
        <v>1.035531E-2</v>
      </c>
      <c r="P2534">
        <v>0.98329250000000001</v>
      </c>
      <c r="Q2534">
        <v>0.1806536</v>
      </c>
      <c r="R2534">
        <v>-2.2379989999999999E-2</v>
      </c>
      <c r="S2534">
        <v>3.0807190000000002</v>
      </c>
      <c r="T2534">
        <v>-0.11416270000000001</v>
      </c>
      <c r="U2534">
        <v>0.42655939999999998</v>
      </c>
      <c r="V2534">
        <v>3.2804069999999998E-2</v>
      </c>
      <c r="W2534">
        <v>0.1864828</v>
      </c>
      <c r="X2534">
        <v>0.98191039999999996</v>
      </c>
      <c r="Y2534">
        <v>-0.12680910000000001</v>
      </c>
      <c r="Z2534">
        <v>1.9559260000000002E-3</v>
      </c>
      <c r="AA2534">
        <v>0.99192519999999995</v>
      </c>
      <c r="AB2534">
        <v>32</v>
      </c>
      <c r="AC2534">
        <v>27.930499999999899</v>
      </c>
      <c r="AD2534">
        <v>-1.1083314583973001</v>
      </c>
      <c r="AE2534">
        <v>4.1202000000000103</v>
      </c>
      <c r="AF2534">
        <v>-3.8248504758606301</v>
      </c>
      <c r="AG2534">
        <v>-1.1083314583973001</v>
      </c>
      <c r="AH2534">
        <v>27.928628099403799</v>
      </c>
      <c r="AI2534">
        <v>92.251562776937305</v>
      </c>
      <c r="AJ2534">
        <v>97.798196326941493</v>
      </c>
      <c r="AK2534">
        <v>28.211099718004199</v>
      </c>
      <c r="AL2534">
        <v>79.252404709770801</v>
      </c>
      <c r="AM2534">
        <v>88.086550497605501</v>
      </c>
      <c r="AN2534">
        <v>0.99999998766628195</v>
      </c>
    </row>
    <row r="2535" spans="1:40" x14ac:dyDescent="0.25">
      <c r="A2535" t="str">
        <f>"20190312172709189"</f>
        <v>20190312172709189</v>
      </c>
      <c r="B2535" t="str">
        <f>"1552382829181833"</f>
        <v>1552382829181833</v>
      </c>
      <c r="C2535" t="s">
        <v>40</v>
      </c>
      <c r="D2535">
        <v>3.1921870000000001</v>
      </c>
      <c r="E2535">
        <v>0.50094340000000004</v>
      </c>
      <c r="F2535" t="s">
        <v>48</v>
      </c>
      <c r="G2535">
        <v>-382.80770000000001</v>
      </c>
      <c r="H2535" s="1">
        <v>-1.6810789999999999E-7</v>
      </c>
      <c r="I2535">
        <v>217.48599999999999</v>
      </c>
      <c r="J2535">
        <v>-411.46570000000003</v>
      </c>
      <c r="K2535">
        <v>1.108322</v>
      </c>
      <c r="L2535">
        <v>213.5087</v>
      </c>
      <c r="M2535">
        <v>0.99993989999999999</v>
      </c>
      <c r="N2535">
        <v>0</v>
      </c>
      <c r="O2535">
        <v>9.2079510000000007E-3</v>
      </c>
      <c r="P2535">
        <v>0.98327960000000003</v>
      </c>
      <c r="Q2535">
        <v>0.18051610000000001</v>
      </c>
      <c r="R2535">
        <v>-2.3988900000000001E-2</v>
      </c>
      <c r="S2535">
        <v>3.0819399999999999</v>
      </c>
      <c r="T2535">
        <v>-0.1166784</v>
      </c>
      <c r="U2535">
        <v>0.41925050000000003</v>
      </c>
      <c r="V2535">
        <v>3.3287659999999997E-2</v>
      </c>
      <c r="W2535">
        <v>0.18633939999999999</v>
      </c>
      <c r="X2535">
        <v>0.98192140000000006</v>
      </c>
      <c r="Y2535">
        <v>-0.12558150000000001</v>
      </c>
      <c r="Z2535">
        <v>2.0186169999999999E-3</v>
      </c>
      <c r="AA2535">
        <v>0.9920812</v>
      </c>
      <c r="AB2535">
        <v>32</v>
      </c>
      <c r="AC2535">
        <v>28.658000000000001</v>
      </c>
      <c r="AD2535">
        <v>-1.1083221681078901</v>
      </c>
      <c r="AE2535">
        <v>3.9772999999999801</v>
      </c>
      <c r="AF2535">
        <v>-3.7078043378183798</v>
      </c>
      <c r="AG2535">
        <v>-1.1083221681078901</v>
      </c>
      <c r="AH2535">
        <v>28.651364841981302</v>
      </c>
      <c r="AI2535">
        <v>92.196968951144299</v>
      </c>
      <c r="AJ2535">
        <v>97.373728308084196</v>
      </c>
      <c r="AK2535">
        <v>28.9115357313338</v>
      </c>
      <c r="AL2535">
        <v>79.260768056607802</v>
      </c>
      <c r="AM2535">
        <v>88.058386036932404</v>
      </c>
      <c r="AN2535">
        <v>1.0000000380392899</v>
      </c>
    </row>
    <row r="2536" spans="1:40" x14ac:dyDescent="0.25">
      <c r="A2536" t="str">
        <f>"20190312172709210"</f>
        <v>20190312172709210</v>
      </c>
      <c r="B2536" t="str">
        <f>"1552382829201352"</f>
        <v>1552382829201352</v>
      </c>
      <c r="C2536" t="s">
        <v>40</v>
      </c>
      <c r="D2536">
        <v>3.2080310000000001</v>
      </c>
      <c r="E2536">
        <v>0.50050470000000002</v>
      </c>
      <c r="F2536" t="s">
        <v>44</v>
      </c>
      <c r="G2536">
        <v>-410.46109999999999</v>
      </c>
      <c r="H2536">
        <v>1.0204879999999901</v>
      </c>
      <c r="I2536">
        <v>213.49709999999999</v>
      </c>
      <c r="J2536">
        <v>-411.15019999999998</v>
      </c>
      <c r="K2536">
        <v>1.1083179999999999</v>
      </c>
      <c r="L2536">
        <v>213.5111</v>
      </c>
      <c r="M2536">
        <v>0.99994519999999998</v>
      </c>
      <c r="N2536">
        <v>0</v>
      </c>
      <c r="O2536">
        <v>8.6223740000000004E-3</v>
      </c>
      <c r="P2536">
        <v>0.98325459999999998</v>
      </c>
      <c r="Q2536">
        <v>0.18056330000000001</v>
      </c>
      <c r="R2536">
        <v>-2.465237E-2</v>
      </c>
      <c r="S2536">
        <v>3.0998839999999999</v>
      </c>
      <c r="T2536">
        <v>-0.2710031</v>
      </c>
      <c r="U2536">
        <v>-3.5202030000000002E-2</v>
      </c>
      <c r="V2536">
        <v>3.3376759999999998E-2</v>
      </c>
      <c r="W2536">
        <v>0.18638489999999999</v>
      </c>
      <c r="X2536">
        <v>0.9819097</v>
      </c>
      <c r="Y2536">
        <v>1.986808E-2</v>
      </c>
      <c r="Z2536">
        <v>-1.619145E-3</v>
      </c>
      <c r="AA2536">
        <v>0.9998013</v>
      </c>
      <c r="AB2536">
        <v>33</v>
      </c>
      <c r="AC2536">
        <v>0.68909999999999605</v>
      </c>
      <c r="AD2536">
        <v>-8.7830000000000297E-2</v>
      </c>
      <c r="AE2536">
        <v>-1.4000000000009999E-2</v>
      </c>
      <c r="AF2536">
        <v>1.9622623077912401E-2</v>
      </c>
      <c r="AG2536">
        <v>-8.7830000000000297E-2</v>
      </c>
      <c r="AH2536">
        <v>0.67794495634304797</v>
      </c>
      <c r="AI2536">
        <v>97.378685391979502</v>
      </c>
      <c r="AJ2536">
        <v>88.342078267900504</v>
      </c>
      <c r="AK2536">
        <v>0.68389218453454703</v>
      </c>
      <c r="AL2536">
        <v>79.2581141891025</v>
      </c>
      <c r="AM2536">
        <v>88.053169796172796</v>
      </c>
      <c r="AN2536">
        <v>0.99999999900509795</v>
      </c>
    </row>
    <row r="2537" spans="1:40" x14ac:dyDescent="0.25">
      <c r="A2537" t="str">
        <f>"20190312172709232"</f>
        <v>20190312172709232</v>
      </c>
      <c r="B2537" t="str">
        <f>"1552382829221849"</f>
        <v>1552382829221849</v>
      </c>
      <c r="C2537" t="s">
        <v>40</v>
      </c>
      <c r="D2537">
        <v>3.196536</v>
      </c>
      <c r="E2537">
        <v>0.50145059999999997</v>
      </c>
      <c r="F2537" t="s">
        <v>44</v>
      </c>
      <c r="G2537">
        <v>-410.15559999999999</v>
      </c>
      <c r="H2537">
        <v>1.0418499999999999</v>
      </c>
      <c r="I2537">
        <v>213.49860000000001</v>
      </c>
      <c r="J2537">
        <v>-410.81950000000001</v>
      </c>
      <c r="K2537">
        <v>1.1083099999999999</v>
      </c>
      <c r="L2537">
        <v>213.51329999999999</v>
      </c>
      <c r="M2537">
        <v>0.99995020000000001</v>
      </c>
      <c r="N2537">
        <v>0</v>
      </c>
      <c r="O2537">
        <v>8.0090779999999993E-3</v>
      </c>
      <c r="P2537">
        <v>0.98326199999999997</v>
      </c>
      <c r="Q2537">
        <v>0.1805242</v>
      </c>
      <c r="R2537">
        <v>-2.4643970000000001E-2</v>
      </c>
      <c r="S2537">
        <v>3.0880429999999999</v>
      </c>
      <c r="T2537">
        <v>-0.2064455</v>
      </c>
      <c r="U2537">
        <v>-3.7734990000000003E-2</v>
      </c>
      <c r="V2537">
        <v>3.2766999999999998E-2</v>
      </c>
      <c r="W2537">
        <v>0.18634690000000001</v>
      </c>
      <c r="X2537">
        <v>0.98193750000000002</v>
      </c>
      <c r="Y2537">
        <v>2.0164149999999999E-2</v>
      </c>
      <c r="Z2537">
        <v>-1.2080700000000001E-3</v>
      </c>
      <c r="AA2537">
        <v>0.99979600000000002</v>
      </c>
      <c r="AB2537">
        <v>33</v>
      </c>
      <c r="AC2537">
        <v>0.66390000000001204</v>
      </c>
      <c r="AD2537">
        <v>-6.6460000000000102E-2</v>
      </c>
      <c r="AE2537">
        <v>-1.46999999999764E-2</v>
      </c>
      <c r="AF2537">
        <v>1.9818345373567098E-2</v>
      </c>
      <c r="AG2537">
        <v>-6.6460000000000102E-2</v>
      </c>
      <c r="AH2537">
        <v>0.65717854641671303</v>
      </c>
      <c r="AI2537">
        <v>95.772042586797696</v>
      </c>
      <c r="AJ2537">
        <v>88.272671072151098</v>
      </c>
      <c r="AK2537">
        <v>0.66082776900167495</v>
      </c>
      <c r="AL2537">
        <v>79.260330792959806</v>
      </c>
      <c r="AM2537">
        <v>88.088763882200098</v>
      </c>
      <c r="AN2537">
        <v>1.0000000486674201</v>
      </c>
    </row>
    <row r="2538" spans="1:40" x14ac:dyDescent="0.25">
      <c r="A2538" t="str">
        <f>"20190312172709255"</f>
        <v>20190312172709255</v>
      </c>
      <c r="B2538" t="str">
        <f>"1552382829252105"</f>
        <v>1552382829252105</v>
      </c>
      <c r="C2538" t="s">
        <v>40</v>
      </c>
      <c r="D2538">
        <v>3.1077340000000002</v>
      </c>
      <c r="E2538">
        <v>0.50221280000000001</v>
      </c>
      <c r="F2538" t="s">
        <v>44</v>
      </c>
      <c r="G2538">
        <v>-409.8433</v>
      </c>
      <c r="H2538">
        <v>1.05219</v>
      </c>
      <c r="I2538">
        <v>213.49799999999999</v>
      </c>
      <c r="J2538">
        <v>-410.49200000000002</v>
      </c>
      <c r="K2538">
        <v>1.1083080000000001</v>
      </c>
      <c r="L2538">
        <v>213.5154</v>
      </c>
      <c r="M2538">
        <v>0.99995480000000003</v>
      </c>
      <c r="N2538">
        <v>0</v>
      </c>
      <c r="O2538">
        <v>7.4020969999999998E-3</v>
      </c>
      <c r="P2538">
        <v>0.9832765</v>
      </c>
      <c r="Q2538">
        <v>0.18040419999999999</v>
      </c>
      <c r="R2538">
        <v>-2.493126E-2</v>
      </c>
      <c r="S2538">
        <v>3.0824280000000002</v>
      </c>
      <c r="T2538">
        <v>-0.17729879999999901</v>
      </c>
      <c r="U2538">
        <v>-4.7302249999999997E-2</v>
      </c>
      <c r="V2538">
        <v>3.2459080000000001E-2</v>
      </c>
      <c r="W2538">
        <v>0.18622749999999999</v>
      </c>
      <c r="X2538">
        <v>0.98197029999999996</v>
      </c>
      <c r="Y2538">
        <v>2.2695170000000001E-2</v>
      </c>
      <c r="Z2538">
        <v>-1.0775239999999901E-3</v>
      </c>
      <c r="AA2538">
        <v>0.99974189999999996</v>
      </c>
      <c r="AB2538">
        <v>33</v>
      </c>
      <c r="AC2538">
        <v>0.64869999999996197</v>
      </c>
      <c r="AD2538">
        <v>-5.6118000000000098E-2</v>
      </c>
      <c r="AE2538">
        <v>-1.7400000000009099E-2</v>
      </c>
      <c r="AF2538">
        <v>2.2036552647265801E-2</v>
      </c>
      <c r="AG2538">
        <v>-5.6118000000000098E-2</v>
      </c>
      <c r="AH2538">
        <v>0.64373933809913497</v>
      </c>
      <c r="AI2538">
        <v>94.979264568935207</v>
      </c>
      <c r="AJ2538">
        <v>88.039410448032399</v>
      </c>
      <c r="AK2538">
        <v>0.64655639737991</v>
      </c>
      <c r="AL2538">
        <v>79.267292959533705</v>
      </c>
      <c r="AM2538">
        <v>88.106774324695706</v>
      </c>
      <c r="AN2538">
        <v>0.999999971856393</v>
      </c>
    </row>
    <row r="2539" spans="1:40" x14ac:dyDescent="0.25">
      <c r="A2539" t="str">
        <f>"20190312172709279"</f>
        <v>20190312172709279</v>
      </c>
      <c r="B2539" t="str">
        <f>"1552382829271625"</f>
        <v>1552382829271625</v>
      </c>
      <c r="C2539" t="s">
        <v>40</v>
      </c>
      <c r="D2539">
        <v>3.2103000000000002</v>
      </c>
      <c r="E2539">
        <v>0.50241190000000002</v>
      </c>
      <c r="F2539" t="s">
        <v>48</v>
      </c>
      <c r="G2539">
        <v>-389.64769999999999</v>
      </c>
      <c r="H2539" s="1">
        <v>3.6616869999999999E-6</v>
      </c>
      <c r="I2539">
        <v>213.1422</v>
      </c>
      <c r="J2539">
        <v>-410.13209999999998</v>
      </c>
      <c r="K2539">
        <v>1.108303</v>
      </c>
      <c r="L2539">
        <v>213.51740000000001</v>
      </c>
      <c r="M2539">
        <v>0.9999595</v>
      </c>
      <c r="N2539">
        <v>0</v>
      </c>
      <c r="O2539">
        <v>6.7355059999999996E-3</v>
      </c>
      <c r="P2539">
        <v>0.98328360000000004</v>
      </c>
      <c r="Q2539">
        <v>0.18029410000000001</v>
      </c>
      <c r="R2539">
        <v>-2.5441129999999999E-2</v>
      </c>
      <c r="S2539">
        <v>3.0796809999999999</v>
      </c>
      <c r="T2539">
        <v>-0.1637487</v>
      </c>
      <c r="U2539">
        <v>-5.5145260000000001E-2</v>
      </c>
      <c r="V2539">
        <v>3.231535E-2</v>
      </c>
      <c r="W2539">
        <v>0.18611920000000001</v>
      </c>
      <c r="X2539">
        <v>0.98199559999999997</v>
      </c>
      <c r="Y2539">
        <v>2.4593190000000001E-2</v>
      </c>
      <c r="Z2539">
        <v>-1.0111639999999999E-3</v>
      </c>
      <c r="AA2539">
        <v>0.99969699999999995</v>
      </c>
      <c r="AB2539">
        <v>33</v>
      </c>
      <c r="AC2539">
        <v>20.484399999999901</v>
      </c>
      <c r="AD2539">
        <v>-1.108299338313</v>
      </c>
      <c r="AE2539">
        <v>-0.37520000000000597</v>
      </c>
      <c r="AF2539">
        <v>0.51166943693336298</v>
      </c>
      <c r="AG2539">
        <v>-1.108299338313</v>
      </c>
      <c r="AH2539">
        <v>20.421647814535799</v>
      </c>
      <c r="AI2539">
        <v>93.105468158163802</v>
      </c>
      <c r="AJ2539">
        <v>88.564740358378899</v>
      </c>
      <c r="AK2539">
        <v>20.4580994351121</v>
      </c>
      <c r="AL2539">
        <v>79.273608796413299</v>
      </c>
      <c r="AM2539">
        <v>88.115200063188894</v>
      </c>
      <c r="AN2539">
        <v>0.99999999843681098</v>
      </c>
    </row>
    <row r="2540" spans="1:40" x14ac:dyDescent="0.25">
      <c r="A2540" t="str">
        <f>"20190312172709300"</f>
        <v>20190312172709300</v>
      </c>
      <c r="B2540" t="str">
        <f>"1552382829292121"</f>
        <v>1552382829292121</v>
      </c>
      <c r="C2540" t="s">
        <v>40</v>
      </c>
      <c r="D2540">
        <v>3.1881430000000002</v>
      </c>
      <c r="E2540">
        <v>0.50250720000000004</v>
      </c>
      <c r="F2540" t="s">
        <v>48</v>
      </c>
      <c r="G2540">
        <v>-388.53500000000003</v>
      </c>
      <c r="H2540" s="1">
        <v>3.071112E-6</v>
      </c>
      <c r="I2540">
        <v>213.10669999999999</v>
      </c>
      <c r="J2540">
        <v>-409.80399999999997</v>
      </c>
      <c r="K2540">
        <v>1.1082970000000001</v>
      </c>
      <c r="L2540">
        <v>213.51910000000001</v>
      </c>
      <c r="M2540">
        <v>0.99996350000000001</v>
      </c>
      <c r="N2540">
        <v>0</v>
      </c>
      <c r="O2540">
        <v>6.127983E-3</v>
      </c>
      <c r="P2540">
        <v>0.98325220000000002</v>
      </c>
      <c r="Q2540">
        <v>0.18041969999999999</v>
      </c>
      <c r="R2540">
        <v>-2.576591E-2</v>
      </c>
      <c r="S2540">
        <v>3.0784609999999999</v>
      </c>
      <c r="T2540">
        <v>-0.15797749999999999</v>
      </c>
      <c r="U2540">
        <v>-5.8547969999999998E-2</v>
      </c>
      <c r="V2540">
        <v>3.2044339999999998E-2</v>
      </c>
      <c r="W2540">
        <v>0.18624660000000001</v>
      </c>
      <c r="X2540">
        <v>0.98198030000000003</v>
      </c>
      <c r="Y2540">
        <v>2.51007E-2</v>
      </c>
      <c r="Z2540">
        <v>-9.5780859999999998E-4</v>
      </c>
      <c r="AA2540">
        <v>0.99968449999999998</v>
      </c>
      <c r="AB2540">
        <v>33</v>
      </c>
      <c r="AC2540">
        <v>21.268999999999998</v>
      </c>
      <c r="AD2540">
        <v>-1.1082939288879901</v>
      </c>
      <c r="AE2540">
        <v>-0.41240000000001897</v>
      </c>
      <c r="AF2540">
        <v>0.54126150877122303</v>
      </c>
      <c r="AG2540">
        <v>-1.1082939288879901</v>
      </c>
      <c r="AH2540">
        <v>21.208507861840499</v>
      </c>
      <c r="AI2540">
        <v>92.990415162396403</v>
      </c>
      <c r="AJ2540">
        <v>88.538073965837299</v>
      </c>
      <c r="AK2540">
        <v>21.244342427560198</v>
      </c>
      <c r="AL2540">
        <v>79.266179132130503</v>
      </c>
      <c r="AM2540">
        <v>88.130966423457295</v>
      </c>
      <c r="AN2540">
        <v>0.99999997266284202</v>
      </c>
    </row>
    <row r="2541" spans="1:40" x14ac:dyDescent="0.25">
      <c r="A2541" t="str">
        <f>"20190312172709321"</f>
        <v>20190312172709321</v>
      </c>
      <c r="B2541" t="str">
        <f>"1552382829311641"</f>
        <v>1552382829311641</v>
      </c>
      <c r="C2541" t="s">
        <v>40</v>
      </c>
      <c r="D2541">
        <v>3.1858879999999998</v>
      </c>
      <c r="E2541">
        <v>0.50262549999999995</v>
      </c>
      <c r="F2541" t="s">
        <v>48</v>
      </c>
      <c r="G2541">
        <v>-387.52480000000003</v>
      </c>
      <c r="H2541" s="1">
        <v>2.5347539999999999E-6</v>
      </c>
      <c r="I2541">
        <v>213.0789</v>
      </c>
      <c r="J2541">
        <v>-409.49549999999999</v>
      </c>
      <c r="K2541">
        <v>1.10829</v>
      </c>
      <c r="L2541">
        <v>213.5205</v>
      </c>
      <c r="M2541">
        <v>0.99996669999999999</v>
      </c>
      <c r="N2541">
        <v>0</v>
      </c>
      <c r="O2541">
        <v>5.5571170000000003E-3</v>
      </c>
      <c r="P2541">
        <v>0.98328819999999995</v>
      </c>
      <c r="Q2541">
        <v>0.1802173</v>
      </c>
      <c r="R2541">
        <v>-2.5807279999999998E-2</v>
      </c>
      <c r="S2541">
        <v>3.0776669999999999</v>
      </c>
      <c r="T2541">
        <v>-0.15310109999999999</v>
      </c>
      <c r="U2541">
        <v>-6.0806270000000003E-2</v>
      </c>
      <c r="V2541">
        <v>3.1525690000000002E-2</v>
      </c>
      <c r="W2541">
        <v>0.1860475</v>
      </c>
      <c r="X2541">
        <v>0.98203490000000004</v>
      </c>
      <c r="Y2541">
        <v>2.5271120000000001E-2</v>
      </c>
      <c r="Z2541">
        <v>-9.0437000000000004E-4</v>
      </c>
      <c r="AA2541">
        <v>0.99968020000000002</v>
      </c>
      <c r="AB2541">
        <v>33</v>
      </c>
      <c r="AC2541">
        <v>21.970699999999901</v>
      </c>
      <c r="AD2541">
        <v>-1.108287465246</v>
      </c>
      <c r="AE2541">
        <v>-0.441599999999993</v>
      </c>
      <c r="AF2541">
        <v>0.56225897372768996</v>
      </c>
      <c r="AG2541">
        <v>-1.108287465246</v>
      </c>
      <c r="AH2541">
        <v>21.912171794787199</v>
      </c>
      <c r="AI2541">
        <v>92.894523094316099</v>
      </c>
      <c r="AJ2541">
        <v>88.530132067651394</v>
      </c>
      <c r="AK2541">
        <v>21.947385015610099</v>
      </c>
      <c r="AL2541">
        <v>79.277790416259506</v>
      </c>
      <c r="AM2541">
        <v>88.161298679631301</v>
      </c>
      <c r="AN2541">
        <v>1.0000000431021101</v>
      </c>
    </row>
    <row r="2542" spans="1:40" x14ac:dyDescent="0.25">
      <c r="A2542" t="str">
        <f>"20190312172709345"</f>
        <v>20190312172709345</v>
      </c>
      <c r="B2542" t="str">
        <f>"1552382829341897"</f>
        <v>1552382829341897</v>
      </c>
      <c r="C2542" t="s">
        <v>40</v>
      </c>
      <c r="D2542">
        <v>3.2108270000000001</v>
      </c>
      <c r="E2542">
        <v>0.50271880000000002</v>
      </c>
      <c r="F2542" t="s">
        <v>48</v>
      </c>
      <c r="G2542">
        <v>-387.1343</v>
      </c>
      <c r="H2542" s="1">
        <v>2.3274029999999998E-6</v>
      </c>
      <c r="I2542">
        <v>213.06809999999999</v>
      </c>
      <c r="J2542">
        <v>-409.13010000000003</v>
      </c>
      <c r="K2542">
        <v>1.1082829999999999</v>
      </c>
      <c r="L2542">
        <v>213.52189999999999</v>
      </c>
      <c r="M2542">
        <v>0.99997020000000003</v>
      </c>
      <c r="N2542">
        <v>0</v>
      </c>
      <c r="O2542">
        <v>4.881458E-3</v>
      </c>
      <c r="P2542">
        <v>0.9832649</v>
      </c>
      <c r="Q2542">
        <v>0.18030350000000001</v>
      </c>
      <c r="R2542">
        <v>-2.6092770000000001E-2</v>
      </c>
      <c r="S2542">
        <v>3.0773009999999998</v>
      </c>
      <c r="T2542">
        <v>-0.1525204</v>
      </c>
      <c r="U2542">
        <v>-6.2255860000000003E-2</v>
      </c>
      <c r="V2542">
        <v>3.1148559999999999E-2</v>
      </c>
      <c r="W2542">
        <v>0.18613750000000001</v>
      </c>
      <c r="X2542">
        <v>0.98202990000000001</v>
      </c>
      <c r="Y2542">
        <v>2.507009E-2</v>
      </c>
      <c r="Z2542">
        <v>-8.6260399999999902E-4</v>
      </c>
      <c r="AA2542">
        <v>0.9996853</v>
      </c>
      <c r="AB2542">
        <v>33</v>
      </c>
      <c r="AC2542">
        <v>21.995799999999999</v>
      </c>
      <c r="AD2542">
        <v>-1.10828067259699</v>
      </c>
      <c r="AE2542">
        <v>-0.45380000000000098</v>
      </c>
      <c r="AF2542">
        <v>0.55974763247083104</v>
      </c>
      <c r="AG2542">
        <v>-1.10828067259699</v>
      </c>
      <c r="AH2542">
        <v>21.937652152968798</v>
      </c>
      <c r="AI2542">
        <v>92.891159801320299</v>
      </c>
      <c r="AJ2542">
        <v>88.538393278877606</v>
      </c>
      <c r="AK2542">
        <v>21.972760078014002</v>
      </c>
      <c r="AL2542">
        <v>79.272542337317105</v>
      </c>
      <c r="AM2542">
        <v>88.183270301081393</v>
      </c>
      <c r="AN2542">
        <v>1.00000006309516</v>
      </c>
    </row>
    <row r="2543" spans="1:40" x14ac:dyDescent="0.25">
      <c r="A2543" t="str">
        <f>"20190312172709370"</f>
        <v>20190312172709370</v>
      </c>
      <c r="B2543" t="str">
        <f>"1552382829361417"</f>
        <v>1552382829361417</v>
      </c>
      <c r="C2543" t="s">
        <v>40</v>
      </c>
      <c r="D2543">
        <v>3.1687210000000001</v>
      </c>
      <c r="E2543">
        <v>0.50286339999999996</v>
      </c>
      <c r="F2543" t="s">
        <v>48</v>
      </c>
      <c r="G2543">
        <v>-386.23230000000001</v>
      </c>
      <c r="H2543" s="1">
        <v>1.848555E-6</v>
      </c>
      <c r="I2543">
        <v>213.04150000000001</v>
      </c>
      <c r="J2543">
        <v>-408.77390000000003</v>
      </c>
      <c r="K2543">
        <v>1.1082730000000001</v>
      </c>
      <c r="L2543">
        <v>213.523</v>
      </c>
      <c r="M2543">
        <v>0.99997320000000001</v>
      </c>
      <c r="N2543">
        <v>0</v>
      </c>
      <c r="O2543">
        <v>4.2234400000000002E-3</v>
      </c>
      <c r="P2543">
        <v>0.983321</v>
      </c>
      <c r="Q2543">
        <v>0.1799182</v>
      </c>
      <c r="R2543">
        <v>-2.6638180000000001E-2</v>
      </c>
      <c r="S2543">
        <v>3.0766909999999998</v>
      </c>
      <c r="T2543">
        <v>-0.1489154</v>
      </c>
      <c r="U2543">
        <v>-6.4544679999999993E-2</v>
      </c>
      <c r="V2543">
        <v>3.1048280000000001E-2</v>
      </c>
      <c r="W2543">
        <v>0.18575659999999999</v>
      </c>
      <c r="X2543">
        <v>0.98210509999999995</v>
      </c>
      <c r="Y2543">
        <v>2.5162009999999999E-2</v>
      </c>
      <c r="Z2543">
        <v>-8.1279509999999998E-4</v>
      </c>
      <c r="AA2543">
        <v>0.99968310000000005</v>
      </c>
      <c r="AB2543">
        <v>33</v>
      </c>
      <c r="AC2543">
        <v>22.541599999999999</v>
      </c>
      <c r="AD2543">
        <v>-1.1082711514450001</v>
      </c>
      <c r="AE2543">
        <v>-0.481499999999982</v>
      </c>
      <c r="AF2543">
        <v>0.57531046470908198</v>
      </c>
      <c r="AG2543">
        <v>-1.1082711514450001</v>
      </c>
      <c r="AH2543">
        <v>22.485038030270601</v>
      </c>
      <c r="AI2543">
        <v>92.820861905574304</v>
      </c>
      <c r="AJ2543">
        <v>88.534328866288007</v>
      </c>
      <c r="AK2543">
        <v>22.519684329462599</v>
      </c>
      <c r="AL2543">
        <v>79.2947526478046</v>
      </c>
      <c r="AM2543">
        <v>88.189253766670106</v>
      </c>
      <c r="AN2543">
        <v>0.99999996879026298</v>
      </c>
    </row>
    <row r="2544" spans="1:40" x14ac:dyDescent="0.25">
      <c r="A2544" t="str">
        <f>"20190312172709390"</f>
        <v>20190312172709390</v>
      </c>
      <c r="B2544" t="str">
        <f>"1552382829381913"</f>
        <v>1552382829381913</v>
      </c>
      <c r="C2544" t="s">
        <v>40</v>
      </c>
      <c r="D2544">
        <v>3.198261</v>
      </c>
      <c r="E2544">
        <v>0.50300159999999905</v>
      </c>
      <c r="F2544" t="s">
        <v>48</v>
      </c>
      <c r="G2544">
        <v>-386.1902</v>
      </c>
      <c r="H2544" s="1">
        <v>1.8267630000000001E-6</v>
      </c>
      <c r="I2544">
        <v>213.02770000000001</v>
      </c>
      <c r="J2544">
        <v>-408.45499999999998</v>
      </c>
      <c r="K2544">
        <v>1.1082669999999999</v>
      </c>
      <c r="L2544">
        <v>213.52379999999999</v>
      </c>
      <c r="M2544">
        <v>0.99997559999999996</v>
      </c>
      <c r="N2544">
        <v>0</v>
      </c>
      <c r="O2544">
        <v>3.6349820000000001E-3</v>
      </c>
      <c r="P2544">
        <v>0.98329690000000003</v>
      </c>
      <c r="Q2544">
        <v>0.1800081</v>
      </c>
      <c r="R2544">
        <v>-2.69181E-2</v>
      </c>
      <c r="S2544">
        <v>3.07666</v>
      </c>
      <c r="T2544">
        <v>-0.1509838</v>
      </c>
      <c r="U2544">
        <v>-6.7474370000000006E-2</v>
      </c>
      <c r="V2544">
        <v>3.075116E-2</v>
      </c>
      <c r="W2544">
        <v>0.18585080000000001</v>
      </c>
      <c r="X2544">
        <v>0.98209669999999905</v>
      </c>
      <c r="Y2544">
        <v>2.5524729999999999E-2</v>
      </c>
      <c r="Z2544">
        <v>-8.0410659999999995E-4</v>
      </c>
      <c r="AA2544">
        <v>0.99967379999999995</v>
      </c>
      <c r="AB2544">
        <v>34</v>
      </c>
      <c r="AC2544">
        <v>22.264799999999902</v>
      </c>
      <c r="AD2544">
        <v>-1.1082651732369999</v>
      </c>
      <c r="AE2544">
        <v>-0.496099999999984</v>
      </c>
      <c r="AF2544">
        <v>0.57560483782237104</v>
      </c>
      <c r="AG2544">
        <v>-1.1082651732369999</v>
      </c>
      <c r="AH2544">
        <v>22.207852329828199</v>
      </c>
      <c r="AI2544">
        <v>92.855972568015801</v>
      </c>
      <c r="AJ2544">
        <v>88.515284361041097</v>
      </c>
      <c r="AK2544">
        <v>22.242937704516201</v>
      </c>
      <c r="AL2544">
        <v>79.289260518256597</v>
      </c>
      <c r="AM2544">
        <v>88.206555205786501</v>
      </c>
      <c r="AN2544">
        <v>1.00000004092643</v>
      </c>
    </row>
    <row r="2545" spans="1:40" x14ac:dyDescent="0.25">
      <c r="A2545" t="str">
        <f>"20190312172709411"</f>
        <v>20190312172709411</v>
      </c>
      <c r="B2545" t="str">
        <f>"1552382829401433"</f>
        <v>1552382829401433</v>
      </c>
      <c r="C2545" t="s">
        <v>40</v>
      </c>
      <c r="D2545">
        <v>3.1934239999999998</v>
      </c>
      <c r="E2545">
        <v>0.502913099999999</v>
      </c>
      <c r="F2545" t="s">
        <v>48</v>
      </c>
      <c r="G2545">
        <v>-385.98309999999998</v>
      </c>
      <c r="H2545" s="1">
        <v>1.717053E-6</v>
      </c>
      <c r="I2545">
        <v>213.01679999999999</v>
      </c>
      <c r="J2545">
        <v>-408.13440000000003</v>
      </c>
      <c r="K2545">
        <v>1.1082669999999999</v>
      </c>
      <c r="L2545">
        <v>213.52440000000001</v>
      </c>
      <c r="M2545">
        <v>0.99997749999999996</v>
      </c>
      <c r="N2545">
        <v>0</v>
      </c>
      <c r="O2545">
        <v>3.0431859999999998E-3</v>
      </c>
      <c r="P2545">
        <v>0.98330620000000002</v>
      </c>
      <c r="Q2545">
        <v>0.17986969999999999</v>
      </c>
      <c r="R2545">
        <v>-2.749675E-2</v>
      </c>
      <c r="S2545">
        <v>3.076813</v>
      </c>
      <c r="T2545">
        <v>-0.1517416</v>
      </c>
      <c r="U2545">
        <v>-6.9412230000000005E-2</v>
      </c>
      <c r="V2545">
        <v>3.0749209999999999E-2</v>
      </c>
      <c r="W2545">
        <v>0.18571679999999999</v>
      </c>
      <c r="X2545">
        <v>0.9821221</v>
      </c>
      <c r="Y2545">
        <v>2.556166E-2</v>
      </c>
      <c r="Z2545">
        <v>-7.7983659999999999E-4</v>
      </c>
      <c r="AA2545">
        <v>0.99967289999999998</v>
      </c>
      <c r="AB2545">
        <v>34</v>
      </c>
      <c r="AC2545">
        <v>22.151299999999999</v>
      </c>
      <c r="AD2545">
        <v>-1.1082652829469899</v>
      </c>
      <c r="AE2545">
        <v>-0.50760000000002403</v>
      </c>
      <c r="AF2545">
        <v>0.57357438383548698</v>
      </c>
      <c r="AG2545">
        <v>-1.1082652829469899</v>
      </c>
      <c r="AH2545">
        <v>22.0943758917713</v>
      </c>
      <c r="AI2545">
        <v>92.870613557103198</v>
      </c>
      <c r="AJ2545">
        <v>88.512924193349903</v>
      </c>
      <c r="AK2545">
        <v>22.129588463368702</v>
      </c>
      <c r="AL2545">
        <v>79.297074081305894</v>
      </c>
      <c r="AM2545">
        <v>88.206715207378807</v>
      </c>
      <c r="AN2545">
        <v>1.0000000315131301</v>
      </c>
    </row>
    <row r="2546" spans="1:40" x14ac:dyDescent="0.25">
      <c r="A2546" t="str">
        <f>"20190312172709433"</f>
        <v>20190312172709433</v>
      </c>
      <c r="B2546" t="str">
        <f>"1552382829421932"</f>
        <v>1552382829421932</v>
      </c>
      <c r="C2546" t="s">
        <v>40</v>
      </c>
      <c r="D2546">
        <v>3.201508</v>
      </c>
      <c r="E2546">
        <v>0.50278809999999996</v>
      </c>
      <c r="F2546" t="s">
        <v>48</v>
      </c>
      <c r="G2546">
        <v>-385.49340000000001</v>
      </c>
      <c r="H2546" s="1">
        <v>1.4570800000000001E-6</v>
      </c>
      <c r="I2546">
        <v>213.00219999999999</v>
      </c>
      <c r="J2546">
        <v>-407.79</v>
      </c>
      <c r="K2546">
        <v>1.1082639999999999</v>
      </c>
      <c r="L2546">
        <v>213.5249</v>
      </c>
      <c r="M2546">
        <v>0.99997919999999996</v>
      </c>
      <c r="N2546">
        <v>0</v>
      </c>
      <c r="O2546">
        <v>2.4081139999999998E-3</v>
      </c>
      <c r="P2546">
        <v>0.98329100000000003</v>
      </c>
      <c r="Q2546">
        <v>0.17991379999999901</v>
      </c>
      <c r="R2546">
        <v>-2.7749610000000001E-2</v>
      </c>
      <c r="S2546">
        <v>3.076508</v>
      </c>
      <c r="T2546">
        <v>-0.15059339999999999</v>
      </c>
      <c r="U2546">
        <v>-7.0968630000000005E-2</v>
      </c>
      <c r="V2546">
        <v>3.0379320000000001E-2</v>
      </c>
      <c r="W2546">
        <v>0.1857665</v>
      </c>
      <c r="X2546">
        <v>0.9821242</v>
      </c>
      <c r="Y2546">
        <v>2.5435909999999999E-2</v>
      </c>
      <c r="Z2546">
        <v>-7.3987469999999998E-4</v>
      </c>
      <c r="AA2546">
        <v>0.99967620000000001</v>
      </c>
      <c r="AB2546">
        <v>34</v>
      </c>
      <c r="AC2546">
        <v>22.296600000000002</v>
      </c>
      <c r="AD2546">
        <v>-1.1082625429199999</v>
      </c>
      <c r="AE2546">
        <v>-0.52270000000001404</v>
      </c>
      <c r="AF2546">
        <v>0.574972435217598</v>
      </c>
      <c r="AG2546">
        <v>-1.1082625429199999</v>
      </c>
      <c r="AH2546">
        <v>22.240359048051999</v>
      </c>
      <c r="AI2546">
        <v>92.851803274648901</v>
      </c>
      <c r="AJ2546">
        <v>88.519081577163305</v>
      </c>
      <c r="AK2546">
        <v>22.275376758914</v>
      </c>
      <c r="AL2546">
        <v>79.294175925800104</v>
      </c>
      <c r="AM2546">
        <v>88.228277035909102</v>
      </c>
      <c r="AN2546">
        <v>1.0000000199157699</v>
      </c>
    </row>
    <row r="2547" spans="1:40" x14ac:dyDescent="0.25">
      <c r="A2547" t="str">
        <f>"20190312172709455"</f>
        <v>20190312172709455</v>
      </c>
      <c r="B2547" t="str">
        <f>"1552382829452185"</f>
        <v>1552382829452185</v>
      </c>
      <c r="C2547" t="s">
        <v>40</v>
      </c>
      <c r="D2547">
        <v>3.2326579999999998</v>
      </c>
      <c r="E2547">
        <v>0.50277720000000004</v>
      </c>
      <c r="F2547" t="s">
        <v>48</v>
      </c>
      <c r="G2547">
        <v>-384.82670000000002</v>
      </c>
      <c r="H2547" s="1">
        <v>1.102682E-6</v>
      </c>
      <c r="I2547">
        <v>212.99369999999999</v>
      </c>
      <c r="J2547">
        <v>-407.47050000000002</v>
      </c>
      <c r="K2547">
        <v>1.108255</v>
      </c>
      <c r="L2547">
        <v>213.52510000000001</v>
      </c>
      <c r="M2547">
        <v>0.99998030000000004</v>
      </c>
      <c r="N2547">
        <v>0</v>
      </c>
      <c r="O2547">
        <v>1.8191170000000001E-3</v>
      </c>
      <c r="P2547">
        <v>0.98328000000000004</v>
      </c>
      <c r="Q2547">
        <v>0.17991760000000001</v>
      </c>
      <c r="R2547">
        <v>-2.8110530000000002E-2</v>
      </c>
      <c r="S2547">
        <v>3.0761409999999998</v>
      </c>
      <c r="T2547">
        <v>-0.1484617</v>
      </c>
      <c r="U2547">
        <v>-7.1151729999999996E-2</v>
      </c>
      <c r="V2547">
        <v>3.0162580000000001E-2</v>
      </c>
      <c r="W2547">
        <v>0.1857753</v>
      </c>
      <c r="X2547">
        <v>0.98212920000000004</v>
      </c>
      <c r="Y2547">
        <v>2.4911530000000001E-2</v>
      </c>
      <c r="Z2547">
        <v>-6.8844830000000003E-4</v>
      </c>
      <c r="AA2547">
        <v>0.99968939999999995</v>
      </c>
      <c r="AB2547">
        <v>34</v>
      </c>
      <c r="AC2547">
        <v>22.643799999999999</v>
      </c>
      <c r="AD2547">
        <v>-1.1082538973180001</v>
      </c>
      <c r="AE2547">
        <v>-0.53140000000001897</v>
      </c>
      <c r="AF2547">
        <v>0.57122402283114604</v>
      </c>
      <c r="AG2547">
        <v>-1.1082538973180001</v>
      </c>
      <c r="AH2547">
        <v>22.588716375684601</v>
      </c>
      <c r="AI2547">
        <v>92.807913016261594</v>
      </c>
      <c r="AJ2547">
        <v>88.551411629813003</v>
      </c>
      <c r="AK2547">
        <v>22.623099502196901</v>
      </c>
      <c r="AL2547">
        <v>79.293662622858093</v>
      </c>
      <c r="AM2547">
        <v>88.240918299636604</v>
      </c>
      <c r="AN2547">
        <v>1.0000000044074899</v>
      </c>
    </row>
    <row r="2548" spans="1:40" x14ac:dyDescent="0.25">
      <c r="A2548" t="str">
        <f>"20190312172709478"</f>
        <v>20190312172709478</v>
      </c>
      <c r="B2548" t="str">
        <f>"1552382829471705"</f>
        <v>1552382829471705</v>
      </c>
      <c r="C2548" t="s">
        <v>40</v>
      </c>
      <c r="D2548">
        <v>3.2900659999999999</v>
      </c>
      <c r="E2548">
        <v>0.50268500000000005</v>
      </c>
      <c r="F2548" t="s">
        <v>48</v>
      </c>
      <c r="G2548">
        <v>-384.31220000000002</v>
      </c>
      <c r="H2548" s="1">
        <v>8.2944629999999998E-7</v>
      </c>
      <c r="I2548">
        <v>212.98070000000001</v>
      </c>
      <c r="J2548">
        <v>-407.11590000000001</v>
      </c>
      <c r="K2548">
        <v>1.108257</v>
      </c>
      <c r="L2548">
        <v>213.52520000000001</v>
      </c>
      <c r="M2548">
        <v>0.99998140000000002</v>
      </c>
      <c r="N2548">
        <v>0</v>
      </c>
      <c r="O2548">
        <v>1.165803E-3</v>
      </c>
      <c r="P2548">
        <v>0.98331409999999997</v>
      </c>
      <c r="Q2548">
        <v>0.17965989999999901</v>
      </c>
      <c r="R2548">
        <v>-2.8563640000000001E-2</v>
      </c>
      <c r="S2548">
        <v>3.0758359999999998</v>
      </c>
      <c r="T2548">
        <v>-0.1471963</v>
      </c>
      <c r="U2548">
        <v>-7.2311399999999998E-2</v>
      </c>
      <c r="V2548">
        <v>2.9974589999999999E-2</v>
      </c>
      <c r="W2548">
        <v>0.1855242</v>
      </c>
      <c r="X2548">
        <v>0.98218240000000001</v>
      </c>
      <c r="Y2548">
        <v>2.463899E-2</v>
      </c>
      <c r="Z2548">
        <v>-6.4489159999999996E-4</v>
      </c>
      <c r="AA2548">
        <v>0.99969620000000003</v>
      </c>
      <c r="AB2548">
        <v>34</v>
      </c>
      <c r="AC2548">
        <v>22.8036999999999</v>
      </c>
      <c r="AD2548">
        <v>-1.1082561705537</v>
      </c>
      <c r="AE2548">
        <v>-0.54449999999999898</v>
      </c>
      <c r="AF2548">
        <v>0.56973980130489899</v>
      </c>
      <c r="AG2548">
        <v>-1.1082561705537</v>
      </c>
      <c r="AH2548">
        <v>22.749347634812199</v>
      </c>
      <c r="AI2548">
        <v>92.788140748836994</v>
      </c>
      <c r="AJ2548">
        <v>88.565371443800501</v>
      </c>
      <c r="AK2548">
        <v>22.783451296726199</v>
      </c>
      <c r="AL2548">
        <v>79.308303920383395</v>
      </c>
      <c r="AM2548">
        <v>88.251969681267596</v>
      </c>
      <c r="AN2548">
        <v>0.99999998585053396</v>
      </c>
    </row>
    <row r="2549" spans="1:40" x14ac:dyDescent="0.25">
      <c r="A2549" t="str">
        <f>"20190312172709500"</f>
        <v>20190312172709500</v>
      </c>
      <c r="B2549" t="str">
        <f>"1552382829491225"</f>
        <v>1552382829491225</v>
      </c>
      <c r="C2549" t="s">
        <v>40</v>
      </c>
      <c r="D2549">
        <v>3.2035100000000001</v>
      </c>
      <c r="E2549">
        <v>0.50262269999999998</v>
      </c>
      <c r="F2549" t="s">
        <v>48</v>
      </c>
      <c r="G2549">
        <v>-383.9006</v>
      </c>
      <c r="H2549" s="1">
        <v>6.1073649999999998E-7</v>
      </c>
      <c r="I2549">
        <v>212.97300000000001</v>
      </c>
      <c r="J2549">
        <v>-406.77440000000001</v>
      </c>
      <c r="K2549">
        <v>1.108249</v>
      </c>
      <c r="L2549">
        <v>213.52500000000001</v>
      </c>
      <c r="M2549">
        <v>0.99998180000000003</v>
      </c>
      <c r="N2549">
        <v>0</v>
      </c>
      <c r="O2549">
        <v>5.371738E-4</v>
      </c>
      <c r="P2549">
        <v>0.98323570000000005</v>
      </c>
      <c r="Q2549">
        <v>0.1800078</v>
      </c>
      <c r="R2549">
        <v>-2.9074800000000001E-2</v>
      </c>
      <c r="S2549">
        <v>3.0756230000000002</v>
      </c>
      <c r="T2549">
        <v>-0.1468247</v>
      </c>
      <c r="U2549">
        <v>-7.3150629999999994E-2</v>
      </c>
      <c r="V2549">
        <v>2.986946E-2</v>
      </c>
      <c r="W2549">
        <v>0.1858747</v>
      </c>
      <c r="X2549">
        <v>0.98211939999999998</v>
      </c>
      <c r="Y2549">
        <v>2.4286060000000002E-2</v>
      </c>
      <c r="Z2549">
        <v>-6.0490079999999996E-4</v>
      </c>
      <c r="AA2549">
        <v>0.99970479999999995</v>
      </c>
      <c r="AB2549">
        <v>34</v>
      </c>
      <c r="AC2549">
        <v>22.873799999999999</v>
      </c>
      <c r="AD2549">
        <v>-1.1082483892635</v>
      </c>
      <c r="AE2549">
        <v>-0.55200000000002003</v>
      </c>
      <c r="AF2549">
        <v>0.56296657783259796</v>
      </c>
      <c r="AG2549">
        <v>-1.1082483892635</v>
      </c>
      <c r="AH2549">
        <v>22.819962480953102</v>
      </c>
      <c r="AI2549">
        <v>92.7795329046251</v>
      </c>
      <c r="AJ2549">
        <v>88.586804527279995</v>
      </c>
      <c r="AK2549">
        <v>22.853792540674</v>
      </c>
      <c r="AL2549">
        <v>79.287866989047501</v>
      </c>
      <c r="AM2549">
        <v>88.257985102335297</v>
      </c>
      <c r="AN2549">
        <v>1.0000000522985599</v>
      </c>
    </row>
    <row r="2550" spans="1:40" x14ac:dyDescent="0.25">
      <c r="A2550" t="str">
        <f>"20190312172709523"</f>
        <v>20190312172709523</v>
      </c>
      <c r="B2550" t="str">
        <f>"1552382829511724"</f>
        <v>1552382829511724</v>
      </c>
      <c r="C2550" t="s">
        <v>40</v>
      </c>
      <c r="D2550">
        <v>3.212218</v>
      </c>
      <c r="E2550">
        <v>0.50259900000000002</v>
      </c>
      <c r="F2550" t="s">
        <v>48</v>
      </c>
      <c r="G2550">
        <v>-383.27609999999999</v>
      </c>
      <c r="H2550" s="1">
        <v>2.7894420000000002E-7</v>
      </c>
      <c r="I2550">
        <v>212.9606</v>
      </c>
      <c r="J2550">
        <v>-406.4237</v>
      </c>
      <c r="K2550">
        <v>1.108241</v>
      </c>
      <c r="L2550">
        <v>213.52459999999999</v>
      </c>
      <c r="M2550">
        <v>0.99998189999999998</v>
      </c>
      <c r="N2550">
        <v>0</v>
      </c>
      <c r="O2550">
        <v>-1.075951E-4</v>
      </c>
      <c r="P2550">
        <v>0.98322730000000003</v>
      </c>
      <c r="Q2550">
        <v>0.17989330000000001</v>
      </c>
      <c r="R2550">
        <v>-3.004544E-2</v>
      </c>
      <c r="S2550">
        <v>3.0754999999999999</v>
      </c>
      <c r="T2550">
        <v>-0.1450497</v>
      </c>
      <c r="U2550">
        <v>-7.3867799999999997E-2</v>
      </c>
      <c r="V2550">
        <v>3.0207669999999999E-2</v>
      </c>
      <c r="W2550">
        <v>0.1857589</v>
      </c>
      <c r="X2550">
        <v>0.98213090000000003</v>
      </c>
      <c r="Y2550">
        <v>2.3877240000000001E-2</v>
      </c>
      <c r="Z2550">
        <v>-5.5759599999999896E-4</v>
      </c>
      <c r="AA2550">
        <v>0.99971469999999996</v>
      </c>
      <c r="AB2550">
        <v>34</v>
      </c>
      <c r="AC2550">
        <v>23.147600000000001</v>
      </c>
      <c r="AD2550">
        <v>-1.1082407210558001</v>
      </c>
      <c r="AE2550">
        <v>-0.56399999999999295</v>
      </c>
      <c r="AF2550">
        <v>0.56022598412756797</v>
      </c>
      <c r="AG2550">
        <v>-1.1082407210558001</v>
      </c>
      <c r="AH2550">
        <v>23.09475370709</v>
      </c>
      <c r="AI2550">
        <v>92.746520442770404</v>
      </c>
      <c r="AJ2550">
        <v>88.610407753340098</v>
      </c>
      <c r="AK2550">
        <v>23.128114913244499</v>
      </c>
      <c r="AL2550">
        <v>79.294618746762396</v>
      </c>
      <c r="AM2550">
        <v>88.238293354120501</v>
      </c>
      <c r="AN2550">
        <v>0.99999998849542404</v>
      </c>
    </row>
    <row r="2551" spans="1:40" x14ac:dyDescent="0.25">
      <c r="A2551" t="str">
        <f>"20190312172709546"</f>
        <v>20190312172709546</v>
      </c>
      <c r="B2551" t="str">
        <f>"1552382829541977"</f>
        <v>1552382829541977</v>
      </c>
      <c r="C2551" t="s">
        <v>40</v>
      </c>
      <c r="D2551">
        <v>3.1995290000000001</v>
      </c>
      <c r="E2551">
        <v>0.5025695</v>
      </c>
      <c r="F2551" t="s">
        <v>48</v>
      </c>
      <c r="G2551">
        <v>-382.91239999999999</v>
      </c>
      <c r="H2551" s="1">
        <v>8.6357199999999995E-8</v>
      </c>
      <c r="I2551">
        <v>212.9391</v>
      </c>
      <c r="J2551">
        <v>-406.06099999999998</v>
      </c>
      <c r="K2551">
        <v>1.1082369999999999</v>
      </c>
      <c r="L2551">
        <v>213.524</v>
      </c>
      <c r="M2551">
        <v>0.99998169999999997</v>
      </c>
      <c r="N2551">
        <v>0</v>
      </c>
      <c r="O2551">
        <v>-7.7399839999999897E-4</v>
      </c>
      <c r="P2551">
        <v>0.98327699999999996</v>
      </c>
      <c r="Q2551">
        <v>0.17957690000000001</v>
      </c>
      <c r="R2551">
        <v>-3.0311749999999998E-2</v>
      </c>
      <c r="S2551">
        <v>3.075348</v>
      </c>
      <c r="T2551">
        <v>-0.14496120000000001</v>
      </c>
      <c r="U2551">
        <v>-7.6583860000000004E-2</v>
      </c>
      <c r="V2551">
        <v>2.9819740000000001E-2</v>
      </c>
      <c r="W2551">
        <v>0.18544269999999999</v>
      </c>
      <c r="X2551">
        <v>0.98220249999999998</v>
      </c>
      <c r="Y2551">
        <v>2.4095129999999999E-2</v>
      </c>
      <c r="Z2551">
        <v>-5.3101919999999896E-4</v>
      </c>
      <c r="AA2551">
        <v>0.99970950000000003</v>
      </c>
      <c r="AB2551">
        <v>34</v>
      </c>
      <c r="AC2551">
        <v>23.148599999999899</v>
      </c>
      <c r="AD2551">
        <v>-1.1082369136428001</v>
      </c>
      <c r="AE2551">
        <v>-0.58490000000000397</v>
      </c>
      <c r="AF2551">
        <v>0.56568679258757903</v>
      </c>
      <c r="AG2551">
        <v>-1.1082369136428001</v>
      </c>
      <c r="AH2551">
        <v>23.096143060470201</v>
      </c>
      <c r="AI2551">
        <v>92.746330360741396</v>
      </c>
      <c r="AJ2551">
        <v>88.596952449554607</v>
      </c>
      <c r="AK2551">
        <v>23.129634992229601</v>
      </c>
      <c r="AL2551">
        <v>79.313055939582597</v>
      </c>
      <c r="AM2551">
        <v>88.261030086104995</v>
      </c>
      <c r="AN2551">
        <v>0.99999998144160296</v>
      </c>
    </row>
    <row r="2552" spans="1:40" x14ac:dyDescent="0.25">
      <c r="A2552" t="str">
        <f>"20190312172709570"</f>
        <v>20190312172709570</v>
      </c>
      <c r="B2552" t="str">
        <f>"1552382829561497"</f>
        <v>1552382829561497</v>
      </c>
      <c r="C2552" t="s">
        <v>40</v>
      </c>
      <c r="D2552">
        <v>3.2372350000000001</v>
      </c>
      <c r="E2552">
        <v>0.50262459999999998</v>
      </c>
      <c r="F2552" t="s">
        <v>48</v>
      </c>
      <c r="G2552">
        <v>-382.60680000000002</v>
      </c>
      <c r="H2552" s="1">
        <v>-7.5802529999999996E-8</v>
      </c>
      <c r="I2552">
        <v>212.92789999999999</v>
      </c>
      <c r="J2552">
        <v>-405.70359999999999</v>
      </c>
      <c r="K2552">
        <v>1.1082240000000001</v>
      </c>
      <c r="L2552">
        <v>213.5231</v>
      </c>
      <c r="M2552">
        <v>0.99998100000000001</v>
      </c>
      <c r="N2552">
        <v>0</v>
      </c>
      <c r="O2552">
        <v>-1.4298959999999999E-3</v>
      </c>
      <c r="P2552">
        <v>0.98321970000000003</v>
      </c>
      <c r="Q2552">
        <v>0.17979519999999999</v>
      </c>
      <c r="R2552">
        <v>-3.086829E-2</v>
      </c>
      <c r="S2552">
        <v>3.0751650000000001</v>
      </c>
      <c r="T2552">
        <v>-0.14530470000000001</v>
      </c>
      <c r="U2552">
        <v>-7.8155520000000006E-2</v>
      </c>
      <c r="V2552">
        <v>2.973344E-2</v>
      </c>
      <c r="W2552">
        <v>0.1856554</v>
      </c>
      <c r="X2552">
        <v>0.98216499999999995</v>
      </c>
      <c r="Y2552">
        <v>2.3952270000000001E-2</v>
      </c>
      <c r="Z2552">
        <v>-4.9796149999999995E-4</v>
      </c>
      <c r="AA2552">
        <v>0.99971299999999996</v>
      </c>
      <c r="AB2552">
        <v>35</v>
      </c>
      <c r="AC2552">
        <v>23.096799999999899</v>
      </c>
      <c r="AD2552">
        <v>-1.1082240758025299</v>
      </c>
      <c r="AE2552">
        <v>-0.59520000000000495</v>
      </c>
      <c r="AF2552">
        <v>0.56088234422274896</v>
      </c>
      <c r="AG2552">
        <v>-1.1082240758025299</v>
      </c>
      <c r="AH2552">
        <v>23.0446083518985</v>
      </c>
      <c r="AI2552">
        <v>92.752441023489496</v>
      </c>
      <c r="AJ2552">
        <v>88.6057542305184</v>
      </c>
      <c r="AK2552">
        <v>23.0780571907307</v>
      </c>
      <c r="AL2552">
        <v>79.300654463382301</v>
      </c>
      <c r="AM2552">
        <v>88.265993522814696</v>
      </c>
      <c r="AN2552">
        <v>1.00000004611419</v>
      </c>
    </row>
    <row r="2553" spans="1:40" x14ac:dyDescent="0.25">
      <c r="A2553" t="str">
        <f>"20190312172709590"</f>
        <v>20190312172709590</v>
      </c>
      <c r="B2553" t="str">
        <f>"1552382829581994"</f>
        <v>1552382829581994</v>
      </c>
      <c r="C2553" t="s">
        <v>40</v>
      </c>
      <c r="D2553">
        <v>3.198493</v>
      </c>
      <c r="E2553">
        <v>0.50258309999999995</v>
      </c>
      <c r="F2553" t="s">
        <v>48</v>
      </c>
      <c r="G2553">
        <v>-382.14980000000003</v>
      </c>
      <c r="H2553" s="1">
        <v>-3.1794530000000001E-7</v>
      </c>
      <c r="I2553">
        <v>212.90479999999999</v>
      </c>
      <c r="J2553">
        <v>-405.37450000000001</v>
      </c>
      <c r="K2553">
        <v>1.108217</v>
      </c>
      <c r="L2553">
        <v>213.52209999999999</v>
      </c>
      <c r="M2553">
        <v>0.99997999999999998</v>
      </c>
      <c r="N2553">
        <v>0</v>
      </c>
      <c r="O2553">
        <v>-2.0339249999999998E-3</v>
      </c>
      <c r="P2553">
        <v>0.98314570000000001</v>
      </c>
      <c r="Q2553">
        <v>0.18010109999999999</v>
      </c>
      <c r="R2553">
        <v>-3.1440280000000001E-2</v>
      </c>
      <c r="S2553">
        <v>3.0751339999999998</v>
      </c>
      <c r="T2553">
        <v>-0.1446875</v>
      </c>
      <c r="U2553">
        <v>-8.0734249999999994E-2</v>
      </c>
      <c r="V2553">
        <v>2.9713259999999998E-2</v>
      </c>
      <c r="W2553">
        <v>0.18595429999999999</v>
      </c>
      <c r="X2553">
        <v>0.98210900000000001</v>
      </c>
      <c r="Y2553">
        <v>2.4187050000000002E-2</v>
      </c>
      <c r="Z2553">
        <v>-4.729682E-4</v>
      </c>
      <c r="AA2553">
        <v>0.99970729999999997</v>
      </c>
      <c r="AB2553">
        <v>35</v>
      </c>
      <c r="AC2553">
        <v>23.224699999999899</v>
      </c>
      <c r="AD2553">
        <v>-1.1082173179453001</v>
      </c>
      <c r="AE2553">
        <v>-0.61729999999999996</v>
      </c>
      <c r="AF2553">
        <v>0.56876645109596902</v>
      </c>
      <c r="AG2553">
        <v>-1.1082173179453001</v>
      </c>
      <c r="AH2553">
        <v>23.173181067288201</v>
      </c>
      <c r="AI2553">
        <v>92.737162467530496</v>
      </c>
      <c r="AJ2553">
        <v>88.594005043309593</v>
      </c>
      <c r="AK2553">
        <v>23.206636156000901</v>
      </c>
      <c r="AL2553">
        <v>79.283224578169794</v>
      </c>
      <c r="AM2553">
        <v>88.267070924269902</v>
      </c>
      <c r="AN2553">
        <v>0.99999998369465803</v>
      </c>
    </row>
    <row r="2554" spans="1:40" x14ac:dyDescent="0.25">
      <c r="A2554" t="str">
        <f>"20190312172709612"</f>
        <v>20190312172709612</v>
      </c>
      <c r="B2554" t="str">
        <f>"1552382829601513"</f>
        <v>1552382829601513</v>
      </c>
      <c r="C2554" t="s">
        <v>40</v>
      </c>
      <c r="D2554">
        <v>3.2252689999999999</v>
      </c>
      <c r="E2554">
        <v>0.50254979999999905</v>
      </c>
      <c r="F2554" t="s">
        <v>48</v>
      </c>
      <c r="G2554">
        <v>-381.58</v>
      </c>
      <c r="H2554" s="1">
        <v>-6.2042860000000001E-7</v>
      </c>
      <c r="I2554">
        <v>212.887</v>
      </c>
      <c r="J2554">
        <v>-405.0367</v>
      </c>
      <c r="K2554">
        <v>1.1082050000000001</v>
      </c>
      <c r="L2554">
        <v>213.52080000000001</v>
      </c>
      <c r="M2554">
        <v>0.99997849999999999</v>
      </c>
      <c r="N2554">
        <v>0</v>
      </c>
      <c r="O2554">
        <v>-2.6532159999999999E-3</v>
      </c>
      <c r="P2554">
        <v>0.98312980000000005</v>
      </c>
      <c r="Q2554">
        <v>0.18004970000000001</v>
      </c>
      <c r="R2554">
        <v>-3.2218579999999997E-2</v>
      </c>
      <c r="S2554">
        <v>3.0750730000000002</v>
      </c>
      <c r="T2554">
        <v>-0.14321989999999901</v>
      </c>
      <c r="U2554">
        <v>-8.2077029999999995E-2</v>
      </c>
      <c r="V2554">
        <v>2.98842E-2</v>
      </c>
      <c r="W2554">
        <v>0.18589620000000001</v>
      </c>
      <c r="X2554">
        <v>0.98211490000000001</v>
      </c>
      <c r="Y2554">
        <v>2.4006039999999999E-2</v>
      </c>
      <c r="Z2554">
        <v>-4.3514790000000002E-4</v>
      </c>
      <c r="AA2554">
        <v>0.99971169999999998</v>
      </c>
      <c r="AB2554">
        <v>35</v>
      </c>
      <c r="AC2554">
        <v>23.456700000000001</v>
      </c>
      <c r="AD2554">
        <v>-1.1082056204285999</v>
      </c>
      <c r="AE2554">
        <v>-0.63380000000000702</v>
      </c>
      <c r="AF2554">
        <v>0.57028896483053504</v>
      </c>
      <c r="AG2554">
        <v>-1.1082056204285999</v>
      </c>
      <c r="AH2554">
        <v>23.406093262041701</v>
      </c>
      <c r="AI2554">
        <v>92.709949274146496</v>
      </c>
      <c r="AJ2554">
        <v>88.604265699856299</v>
      </c>
      <c r="AK2554">
        <v>23.4392523556523</v>
      </c>
      <c r="AL2554">
        <v>79.286613468036194</v>
      </c>
      <c r="AM2554">
        <v>88.257118000954804</v>
      </c>
      <c r="AN2554">
        <v>1.00000006969304</v>
      </c>
    </row>
    <row r="2555" spans="1:40" x14ac:dyDescent="0.25">
      <c r="A2555" t="str">
        <f>"20190312172709634"</f>
        <v>20190312172709634</v>
      </c>
      <c r="B2555" t="str">
        <f>"1552382829631768"</f>
        <v>1552382829631768</v>
      </c>
      <c r="C2555" t="s">
        <v>40</v>
      </c>
      <c r="D2555">
        <v>3.2029510000000001</v>
      </c>
      <c r="E2555">
        <v>0.50245070000000003</v>
      </c>
      <c r="F2555" t="s">
        <v>48</v>
      </c>
      <c r="G2555">
        <v>-381.25580000000002</v>
      </c>
      <c r="H2555" s="1">
        <v>-7.9231209999999997E-7</v>
      </c>
      <c r="I2555">
        <v>212.87289999999999</v>
      </c>
      <c r="J2555">
        <v>-404.68729999999999</v>
      </c>
      <c r="K2555">
        <v>1.108196</v>
      </c>
      <c r="L2555">
        <v>213.51939999999999</v>
      </c>
      <c r="M2555">
        <v>0.99997659999999999</v>
      </c>
      <c r="N2555">
        <v>0</v>
      </c>
      <c r="O2555">
        <v>-3.293369E-3</v>
      </c>
      <c r="P2555">
        <v>0.98315090000000005</v>
      </c>
      <c r="Q2555">
        <v>0.17978459999999999</v>
      </c>
      <c r="R2555">
        <v>-3.3045779999999997E-2</v>
      </c>
      <c r="S2555">
        <v>3.074951</v>
      </c>
      <c r="T2555">
        <v>-0.14329459999999999</v>
      </c>
      <c r="U2555">
        <v>-8.3786009999999994E-2</v>
      </c>
      <c r="V2555">
        <v>3.0082749999999998E-2</v>
      </c>
      <c r="W2555">
        <v>0.1856235</v>
      </c>
      <c r="X2555">
        <v>0.98216029999999999</v>
      </c>
      <c r="Y2555">
        <v>2.3923090000000001E-2</v>
      </c>
      <c r="Z2555">
        <v>-4.0364749999999999E-4</v>
      </c>
      <c r="AA2555">
        <v>0.99971370000000004</v>
      </c>
      <c r="AB2555">
        <v>35</v>
      </c>
      <c r="AC2555">
        <v>23.4314999999999</v>
      </c>
      <c r="AD2555">
        <v>-1.1081967923121001</v>
      </c>
      <c r="AE2555">
        <v>-0.64650000000000296</v>
      </c>
      <c r="AF2555">
        <v>0.56805684897949504</v>
      </c>
      <c r="AG2555">
        <v>-1.1081967923121001</v>
      </c>
      <c r="AH2555">
        <v>23.381241970405799</v>
      </c>
      <c r="AI2555">
        <v>92.7128083093599</v>
      </c>
      <c r="AJ2555">
        <v>88.608249364116901</v>
      </c>
      <c r="AK2555">
        <v>23.414381580405401</v>
      </c>
      <c r="AL2555">
        <v>79.302513546984699</v>
      </c>
      <c r="AM2555">
        <v>88.245626590930797</v>
      </c>
      <c r="AN2555">
        <v>0.99999995524795005</v>
      </c>
    </row>
    <row r="2556" spans="1:40" x14ac:dyDescent="0.25">
      <c r="A2556" t="str">
        <f>"20190312172709656"</f>
        <v>20190312172709656</v>
      </c>
      <c r="B2556" t="str">
        <f>"1552382829651289"</f>
        <v>1552382829651289</v>
      </c>
      <c r="C2556" t="s">
        <v>40</v>
      </c>
      <c r="D2556">
        <v>3.2362839999999999</v>
      </c>
      <c r="E2556">
        <v>0.50245200000000001</v>
      </c>
      <c r="F2556" t="s">
        <v>48</v>
      </c>
      <c r="G2556">
        <v>-380.97820000000002</v>
      </c>
      <c r="H2556" s="1">
        <v>-9.3954730000000002E-7</v>
      </c>
      <c r="I2556">
        <v>212.8614</v>
      </c>
      <c r="J2556">
        <v>-404.34030000000001</v>
      </c>
      <c r="K2556">
        <v>1.1081920000000001</v>
      </c>
      <c r="L2556">
        <v>213.51769999999999</v>
      </c>
      <c r="M2556">
        <v>0.99997440000000004</v>
      </c>
      <c r="N2556">
        <v>0</v>
      </c>
      <c r="O2556">
        <v>-3.9286210000000002E-3</v>
      </c>
      <c r="P2556">
        <v>0.98304809999999998</v>
      </c>
      <c r="Q2556">
        <v>0.18014430000000001</v>
      </c>
      <c r="R2556">
        <v>-3.4124099999999997E-2</v>
      </c>
      <c r="S2556">
        <v>3.0747680000000002</v>
      </c>
      <c r="T2556">
        <v>-0.14371909999999999</v>
      </c>
      <c r="U2556">
        <v>-8.5327150000000004E-2</v>
      </c>
      <c r="V2556">
        <v>3.0538969999999999E-2</v>
      </c>
      <c r="W2556">
        <v>0.18597159999999999</v>
      </c>
      <c r="X2556">
        <v>0.98208039999999996</v>
      </c>
      <c r="Y2556">
        <v>2.379102E-2</v>
      </c>
      <c r="Z2556">
        <v>-3.7210880000000001E-4</v>
      </c>
      <c r="AA2556">
        <v>0.99971690000000002</v>
      </c>
      <c r="AB2556">
        <v>35</v>
      </c>
      <c r="AC2556">
        <v>23.362100000000002</v>
      </c>
      <c r="AD2556">
        <v>-1.1081929395473</v>
      </c>
      <c r="AE2556">
        <v>-0.656299999999987</v>
      </c>
      <c r="AF2556">
        <v>0.56324608140255505</v>
      </c>
      <c r="AG2556">
        <v>-1.1081929395473</v>
      </c>
      <c r="AH2556">
        <v>23.312084324544902</v>
      </c>
      <c r="AI2556">
        <v>92.720843441630294</v>
      </c>
      <c r="AJ2556">
        <v>88.615939037620805</v>
      </c>
      <c r="AK2556">
        <v>23.345205359862899</v>
      </c>
      <c r="AL2556">
        <v>79.282215814987296</v>
      </c>
      <c r="AM2556">
        <v>88.218892842264907</v>
      </c>
      <c r="AN2556">
        <v>0.99999998837968995</v>
      </c>
    </row>
    <row r="2557" spans="1:40" x14ac:dyDescent="0.25">
      <c r="A2557" t="str">
        <f>"20190312172709678"</f>
        <v>20190312172709678</v>
      </c>
      <c r="B2557" t="str">
        <f>"1552382829671784"</f>
        <v>1552382829671784</v>
      </c>
      <c r="C2557" t="s">
        <v>40</v>
      </c>
      <c r="D2557">
        <v>3.2233749999999999</v>
      </c>
      <c r="E2557">
        <v>0.51910259999999997</v>
      </c>
      <c r="F2557" t="s">
        <v>48</v>
      </c>
      <c r="G2557">
        <v>-380.416</v>
      </c>
      <c r="H2557" s="1">
        <v>-1.2371570000000001E-6</v>
      </c>
      <c r="I2557">
        <v>212.82650000000001</v>
      </c>
      <c r="J2557">
        <v>-403.98930000000001</v>
      </c>
      <c r="K2557">
        <v>1.1081859999999999</v>
      </c>
      <c r="L2557">
        <v>213.51570000000001</v>
      </c>
      <c r="M2557">
        <v>0.99997190000000002</v>
      </c>
      <c r="N2557">
        <v>0</v>
      </c>
      <c r="O2557">
        <v>-4.5704270000000002E-3</v>
      </c>
      <c r="P2557">
        <v>0.98306009999999999</v>
      </c>
      <c r="Q2557">
        <v>0.17997070000000001</v>
      </c>
      <c r="R2557">
        <v>-3.4695400000000001E-2</v>
      </c>
      <c r="S2557">
        <v>3.0747070000000001</v>
      </c>
      <c r="T2557">
        <v>-0.14242340000000001</v>
      </c>
      <c r="U2557">
        <v>-8.8821410000000003E-2</v>
      </c>
      <c r="V2557">
        <v>3.0480480000000001E-2</v>
      </c>
      <c r="W2557">
        <v>0.1857866</v>
      </c>
      <c r="X2557">
        <v>0.98211720000000002</v>
      </c>
      <c r="Y2557">
        <v>2.4285689999999999E-2</v>
      </c>
      <c r="Z2557">
        <v>-3.5050100000000002E-4</v>
      </c>
      <c r="AA2557">
        <v>0.99970499999999995</v>
      </c>
      <c r="AB2557">
        <v>35</v>
      </c>
      <c r="AC2557">
        <v>23.5733</v>
      </c>
      <c r="AD2557">
        <v>-1.1081872371570001</v>
      </c>
      <c r="AE2557">
        <v>-0.68919999999999904</v>
      </c>
      <c r="AF2557">
        <v>0.58016979211056796</v>
      </c>
      <c r="AG2557">
        <v>-1.1081872371570001</v>
      </c>
      <c r="AH2557">
        <v>23.524260367453898</v>
      </c>
      <c r="AI2557">
        <v>92.696292498293204</v>
      </c>
      <c r="AJ2557">
        <v>88.587222602606403</v>
      </c>
      <c r="AK2557">
        <v>23.5574935376419</v>
      </c>
      <c r="AL2557">
        <v>79.293003201143307</v>
      </c>
      <c r="AM2557">
        <v>88.222368498411598</v>
      </c>
      <c r="AN2557">
        <v>0.99999995746821402</v>
      </c>
    </row>
    <row r="2558" spans="1:40" x14ac:dyDescent="0.25">
      <c r="A2558" t="str">
        <f>"20190312172709701"</f>
        <v>20190312172709701</v>
      </c>
      <c r="B2558" t="str">
        <f>"1552382829691305"</f>
        <v>1552382829691305</v>
      </c>
      <c r="C2558" t="s">
        <v>40</v>
      </c>
      <c r="D2558">
        <v>3.2132990000000001</v>
      </c>
      <c r="E2558">
        <v>0.52075519999999997</v>
      </c>
      <c r="F2558" t="s">
        <v>48</v>
      </c>
      <c r="G2558">
        <v>-374.05439999999999</v>
      </c>
      <c r="H2558" s="1">
        <v>6.2075109999999896E-7</v>
      </c>
      <c r="I2558">
        <v>211.31569999999999</v>
      </c>
      <c r="J2558">
        <v>-403.63080000000002</v>
      </c>
      <c r="K2558">
        <v>1.1081829999999999</v>
      </c>
      <c r="L2558">
        <v>213.51349999999999</v>
      </c>
      <c r="M2558">
        <v>0.99996879999999999</v>
      </c>
      <c r="N2558">
        <v>0</v>
      </c>
      <c r="O2558">
        <v>-5.225698E-3</v>
      </c>
      <c r="P2558">
        <v>0.98296470000000002</v>
      </c>
      <c r="Q2558">
        <v>0.1803631</v>
      </c>
      <c r="R2558">
        <v>-3.5355699999999997E-2</v>
      </c>
      <c r="S2558">
        <v>3.0645449999999999</v>
      </c>
      <c r="T2558">
        <v>-0.1134487</v>
      </c>
      <c r="U2558">
        <v>-0.22521969999999999</v>
      </c>
      <c r="V2558">
        <v>3.049905E-2</v>
      </c>
      <c r="W2558">
        <v>0.18616559999999999</v>
      </c>
      <c r="X2558">
        <v>0.9820449</v>
      </c>
      <c r="Y2558">
        <v>6.8038890000000005E-2</v>
      </c>
      <c r="Z2558">
        <v>-1.064146E-3</v>
      </c>
      <c r="AA2558">
        <v>0.99768210000000002</v>
      </c>
      <c r="AB2558">
        <v>35</v>
      </c>
      <c r="AC2558">
        <v>29.5764</v>
      </c>
      <c r="AD2558">
        <v>-1.1081823792488901</v>
      </c>
      <c r="AE2558">
        <v>-2.1978</v>
      </c>
      <c r="AF2558">
        <v>2.0403612393562698</v>
      </c>
      <c r="AG2558">
        <v>-1.1081823792488901</v>
      </c>
      <c r="AH2558">
        <v>29.546229635652999</v>
      </c>
      <c r="AI2558">
        <v>92.142871713848606</v>
      </c>
      <c r="AJ2558">
        <v>86.0496216291411</v>
      </c>
      <c r="AK2558">
        <v>29.637321536459499</v>
      </c>
      <c r="AL2558">
        <v>79.270903044090204</v>
      </c>
      <c r="AM2558">
        <v>88.221155317327003</v>
      </c>
      <c r="AN2558">
        <v>1.00000000414513</v>
      </c>
    </row>
    <row r="2559" spans="1:40" x14ac:dyDescent="0.25">
      <c r="A2559" t="str">
        <f>"20190312172709723"</f>
        <v>20190312172709723</v>
      </c>
      <c r="B2559" t="str">
        <f>"1552382829721561"</f>
        <v>1552382829721561</v>
      </c>
      <c r="C2559" t="s">
        <v>40</v>
      </c>
      <c r="D2559">
        <v>3.2189209999999999</v>
      </c>
      <c r="E2559">
        <v>0.52264029999999995</v>
      </c>
      <c r="F2559" t="s">
        <v>48</v>
      </c>
      <c r="G2559">
        <v>-374.32229999999998</v>
      </c>
      <c r="H2559" s="1">
        <v>7.6334590000000002E-7</v>
      </c>
      <c r="I2559">
        <v>211.20740000000001</v>
      </c>
      <c r="J2559">
        <v>-403.27319999999997</v>
      </c>
      <c r="K2559">
        <v>1.108176</v>
      </c>
      <c r="L2559">
        <v>213.511</v>
      </c>
      <c r="M2559">
        <v>0.99996510000000005</v>
      </c>
      <c r="N2559">
        <v>0</v>
      </c>
      <c r="O2559">
        <v>-5.8789360000000004E-3</v>
      </c>
      <c r="P2559">
        <v>0.98283430000000005</v>
      </c>
      <c r="Q2559">
        <v>0.1808912</v>
      </c>
      <c r="R2559">
        <v>-3.626364E-2</v>
      </c>
      <c r="S2559">
        <v>3.064575</v>
      </c>
      <c r="T2559">
        <v>-0.11587450000000001</v>
      </c>
      <c r="U2559">
        <v>-0.2411346</v>
      </c>
      <c r="V2559">
        <v>3.0768050000000002E-2</v>
      </c>
      <c r="W2559">
        <v>0.18667810000000001</v>
      </c>
      <c r="X2559">
        <v>0.98193920000000001</v>
      </c>
      <c r="Y2559">
        <v>7.2532460000000007E-2</v>
      </c>
      <c r="Z2559">
        <v>-1.1468019999999999E-3</v>
      </c>
      <c r="AA2559">
        <v>0.99736539999999996</v>
      </c>
      <c r="AB2559">
        <v>35</v>
      </c>
      <c r="AC2559">
        <v>28.950899999999901</v>
      </c>
      <c r="AD2559">
        <v>-1.1081752366541</v>
      </c>
      <c r="AE2559">
        <v>-2.3035999999999799</v>
      </c>
      <c r="AF2559">
        <v>2.1302551199414101</v>
      </c>
      <c r="AG2559">
        <v>-1.1081752366541</v>
      </c>
      <c r="AH2559">
        <v>28.921833375560698</v>
      </c>
      <c r="AI2559">
        <v>92.188361816752504</v>
      </c>
      <c r="AJ2559">
        <v>85.787451635712799</v>
      </c>
      <c r="AK2559">
        <v>29.0213453346819</v>
      </c>
      <c r="AL2559">
        <v>79.241014850860097</v>
      </c>
      <c r="AM2559">
        <v>88.205283171754004</v>
      </c>
      <c r="AN2559">
        <v>0.99999998920852595</v>
      </c>
    </row>
    <row r="2560" spans="1:40" x14ac:dyDescent="0.25">
      <c r="A2560" t="str">
        <f>"20190312172709747"</f>
        <v>20190312172709747</v>
      </c>
      <c r="B2560" t="str">
        <f>"1552382829741082"</f>
        <v>1552382829741082</v>
      </c>
      <c r="C2560" t="s">
        <v>40</v>
      </c>
      <c r="D2560">
        <v>3.234718</v>
      </c>
      <c r="E2560">
        <v>0.52265699999999904</v>
      </c>
      <c r="F2560" t="s">
        <v>48</v>
      </c>
      <c r="G2560">
        <v>-375.69319999999999</v>
      </c>
      <c r="H2560" s="1">
        <v>1.4928440000000001E-6</v>
      </c>
      <c r="I2560">
        <v>211.1891</v>
      </c>
      <c r="J2560">
        <v>-402.8886</v>
      </c>
      <c r="K2560">
        <v>1.108169</v>
      </c>
      <c r="L2560">
        <v>213.50819999999999</v>
      </c>
      <c r="M2560">
        <v>0.99996099999999999</v>
      </c>
      <c r="N2560">
        <v>0</v>
      </c>
      <c r="O2560">
        <v>-6.5798530000000001E-3</v>
      </c>
      <c r="P2560">
        <v>0.9828498</v>
      </c>
      <c r="Q2560">
        <v>0.1806778</v>
      </c>
      <c r="R2560">
        <v>-3.6903569999999997E-2</v>
      </c>
      <c r="S2560">
        <v>3.065582</v>
      </c>
      <c r="T2560">
        <v>-0.1231762</v>
      </c>
      <c r="U2560">
        <v>-0.25808720000000002</v>
      </c>
      <c r="V2560">
        <v>3.0720020000000001E-2</v>
      </c>
      <c r="W2560">
        <v>0.186449</v>
      </c>
      <c r="X2560">
        <v>0.98198430000000003</v>
      </c>
      <c r="Y2560">
        <v>7.7276639999999994E-2</v>
      </c>
      <c r="Z2560">
        <v>-1.2853459999999999E-3</v>
      </c>
      <c r="AA2560">
        <v>0.99700889999999998</v>
      </c>
      <c r="AB2560">
        <v>35</v>
      </c>
      <c r="AC2560">
        <v>27.195399999999999</v>
      </c>
      <c r="AD2560">
        <v>-1.108167507156</v>
      </c>
      <c r="AE2560">
        <v>-2.3190999999999899</v>
      </c>
      <c r="AF2560">
        <v>2.1365829270305898</v>
      </c>
      <c r="AG2560">
        <v>-1.108167507156</v>
      </c>
      <c r="AH2560">
        <v>27.1652905124438</v>
      </c>
      <c r="AI2560">
        <v>92.328816666366293</v>
      </c>
      <c r="AJ2560">
        <v>85.502875543467098</v>
      </c>
      <c r="AK2560">
        <v>27.271707508945301</v>
      </c>
      <c r="AL2560">
        <v>79.254376636190003</v>
      </c>
      <c r="AM2560">
        <v>88.208165203893302</v>
      </c>
      <c r="AN2560">
        <v>1.00000005733814</v>
      </c>
    </row>
    <row r="2561" spans="1:40" x14ac:dyDescent="0.25">
      <c r="A2561" t="str">
        <f>"20190312172709771"</f>
        <v>20190312172709771</v>
      </c>
      <c r="B2561" t="str">
        <f>"1552382829761577"</f>
        <v>1552382829761577</v>
      </c>
      <c r="C2561" t="s">
        <v>40</v>
      </c>
      <c r="D2561">
        <v>3.24322</v>
      </c>
      <c r="E2561">
        <v>0.52292499999999997</v>
      </c>
      <c r="F2561" t="s">
        <v>48</v>
      </c>
      <c r="G2561">
        <v>-375.11399999999998</v>
      </c>
      <c r="H2561" s="1">
        <v>1.184621E-6</v>
      </c>
      <c r="I2561">
        <v>211.15029999999999</v>
      </c>
      <c r="J2561">
        <v>-402.53019999999998</v>
      </c>
      <c r="K2561">
        <v>1.1081669999999999</v>
      </c>
      <c r="L2561">
        <v>213.5052</v>
      </c>
      <c r="M2561">
        <v>0.99995650000000003</v>
      </c>
      <c r="N2561">
        <v>0</v>
      </c>
      <c r="O2561">
        <v>-7.2305850000000003E-3</v>
      </c>
      <c r="P2561">
        <v>0.98287530000000001</v>
      </c>
      <c r="Q2561">
        <v>0.1804617</v>
      </c>
      <c r="R2561">
        <v>-3.728414E-2</v>
      </c>
      <c r="S2561">
        <v>3.0650629999999999</v>
      </c>
      <c r="T2561">
        <v>-0.1222917</v>
      </c>
      <c r="U2561">
        <v>-0.2602081</v>
      </c>
      <c r="V2561">
        <v>3.0461160000000001E-2</v>
      </c>
      <c r="W2561">
        <v>0.18622089999999999</v>
      </c>
      <c r="X2561">
        <v>0.98203560000000001</v>
      </c>
      <c r="Y2561">
        <v>7.7328209999999994E-2</v>
      </c>
      <c r="Z2561">
        <v>-1.251425E-3</v>
      </c>
      <c r="AA2561">
        <v>0.99700489999999997</v>
      </c>
      <c r="AB2561">
        <v>36</v>
      </c>
      <c r="AC2561">
        <v>27.4161999999999</v>
      </c>
      <c r="AD2561">
        <v>-1.1081658153789999</v>
      </c>
      <c r="AE2561">
        <v>-2.35490000000001</v>
      </c>
      <c r="AF2561">
        <v>2.1531078799450798</v>
      </c>
      <c r="AG2561">
        <v>-1.1081658153789999</v>
      </c>
      <c r="AH2561">
        <v>27.388092339579501</v>
      </c>
      <c r="AI2561">
        <v>92.309895426325497</v>
      </c>
      <c r="AJ2561">
        <v>85.504951939448802</v>
      </c>
      <c r="AK2561">
        <v>27.494936024991699</v>
      </c>
      <c r="AL2561">
        <v>79.267678288640795</v>
      </c>
      <c r="AM2561">
        <v>88.223347004803898</v>
      </c>
      <c r="AN2561">
        <v>1.00000001276635</v>
      </c>
    </row>
    <row r="2562" spans="1:40" x14ac:dyDescent="0.25">
      <c r="A2562" t="str">
        <f>"20190312172709791"</f>
        <v>20190312172709791</v>
      </c>
      <c r="B2562" t="str">
        <f>"1552382829781098"</f>
        <v>1552382829781098</v>
      </c>
      <c r="C2562" t="s">
        <v>40</v>
      </c>
      <c r="D2562">
        <v>3.2272280000000002</v>
      </c>
      <c r="E2562">
        <v>0.52305900000000005</v>
      </c>
      <c r="F2562" t="s">
        <v>48</v>
      </c>
      <c r="G2562">
        <v>-374.80739999999997</v>
      </c>
      <c r="H2562" s="1">
        <v>1.021474E-6</v>
      </c>
      <c r="I2562">
        <v>211.1174</v>
      </c>
      <c r="J2562">
        <v>-402.18290000000002</v>
      </c>
      <c r="K2562">
        <v>1.1081570000000001</v>
      </c>
      <c r="L2562">
        <v>213.50219999999999</v>
      </c>
      <c r="M2562">
        <v>0.9999519</v>
      </c>
      <c r="N2562">
        <v>0</v>
      </c>
      <c r="O2562">
        <v>-7.8587769999999904E-3</v>
      </c>
      <c r="P2562">
        <v>0.98286750000000001</v>
      </c>
      <c r="Q2562">
        <v>0.18043509999999999</v>
      </c>
      <c r="R2562">
        <v>-3.7615450000000002E-2</v>
      </c>
      <c r="S2562">
        <v>3.0647579999999999</v>
      </c>
      <c r="T2562">
        <v>-0.1225079</v>
      </c>
      <c r="U2562">
        <v>-0.26397710000000002</v>
      </c>
      <c r="V2562">
        <v>3.0175819999999999E-2</v>
      </c>
      <c r="W2562">
        <v>0.18618009999999999</v>
      </c>
      <c r="X2562">
        <v>0.98205209999999998</v>
      </c>
      <c r="Y2562">
        <v>7.7927239999999995E-2</v>
      </c>
      <c r="Z2562">
        <v>-1.2405910000000001E-3</v>
      </c>
      <c r="AA2562">
        <v>0.99695829999999996</v>
      </c>
      <c r="AB2562">
        <v>36</v>
      </c>
      <c r="AC2562">
        <v>27.375499999999999</v>
      </c>
      <c r="AD2562">
        <v>-1.108155978526</v>
      </c>
      <c r="AE2562">
        <v>-2.3847999999999798</v>
      </c>
      <c r="AF2562">
        <v>2.1660620839618199</v>
      </c>
      <c r="AG2562">
        <v>-1.108155978526</v>
      </c>
      <c r="AH2562">
        <v>27.348919636367501</v>
      </c>
      <c r="AI2562">
        <v>92.313073628220593</v>
      </c>
      <c r="AJ2562">
        <v>85.471569198918203</v>
      </c>
      <c r="AK2562">
        <v>27.456934277169601</v>
      </c>
      <c r="AL2562">
        <v>79.270057084414802</v>
      </c>
      <c r="AM2562">
        <v>88.240008550707302</v>
      </c>
      <c r="AN2562">
        <v>0.99999996843154504</v>
      </c>
    </row>
    <row r="2563" spans="1:40" x14ac:dyDescent="0.25">
      <c r="A2563" t="str">
        <f>"20190312172709813"</f>
        <v>20190312172709813</v>
      </c>
      <c r="B2563" t="str">
        <f>"1552382829801593"</f>
        <v>1552382829801593</v>
      </c>
      <c r="C2563" t="s">
        <v>40</v>
      </c>
      <c r="D2563">
        <v>3.2635700000000001</v>
      </c>
      <c r="E2563">
        <v>0.52308999999999894</v>
      </c>
      <c r="F2563" t="s">
        <v>48</v>
      </c>
      <c r="G2563">
        <v>-374.3032</v>
      </c>
      <c r="H2563" s="1">
        <v>7.5316690000000004E-7</v>
      </c>
      <c r="I2563">
        <v>211.08459999999999</v>
      </c>
      <c r="J2563">
        <v>-401.83390000000003</v>
      </c>
      <c r="K2563">
        <v>1.1081490000000001</v>
      </c>
      <c r="L2563">
        <v>213.49889999999999</v>
      </c>
      <c r="M2563">
        <v>0.99994669999999997</v>
      </c>
      <c r="N2563">
        <v>0</v>
      </c>
      <c r="O2563">
        <v>-8.4876810000000004E-3</v>
      </c>
      <c r="P2563">
        <v>0.9828635</v>
      </c>
      <c r="Q2563">
        <v>0.18031249999999999</v>
      </c>
      <c r="R2563">
        <v>-3.8297070000000002E-2</v>
      </c>
      <c r="S2563">
        <v>3.0644529999999999</v>
      </c>
      <c r="T2563">
        <v>-0.1218052</v>
      </c>
      <c r="U2563">
        <v>-0.26573180000000002</v>
      </c>
      <c r="V2563">
        <v>3.023984E-2</v>
      </c>
      <c r="W2563">
        <v>0.18604190000000001</v>
      </c>
      <c r="X2563">
        <v>0.98207630000000001</v>
      </c>
      <c r="Y2563">
        <v>7.7876500000000001E-2</v>
      </c>
      <c r="Z2563">
        <v>-1.2076299999999999E-3</v>
      </c>
      <c r="AA2563">
        <v>0.99696229999999997</v>
      </c>
      <c r="AB2563">
        <v>36</v>
      </c>
      <c r="AC2563">
        <v>27.5307</v>
      </c>
      <c r="AD2563">
        <v>-1.1081482468331001</v>
      </c>
      <c r="AE2563">
        <v>-2.4142999999999901</v>
      </c>
      <c r="AF2563">
        <v>2.17703693785597</v>
      </c>
      <c r="AG2563">
        <v>-1.1081482468331001</v>
      </c>
      <c r="AH2563">
        <v>27.505976123975</v>
      </c>
      <c r="AI2563">
        <v>92.299874015597496</v>
      </c>
      <c r="AJ2563">
        <v>85.474600127768895</v>
      </c>
      <c r="AK2563">
        <v>27.6142391692842</v>
      </c>
      <c r="AL2563">
        <v>79.278115939433405</v>
      </c>
      <c r="AM2563">
        <v>88.236320401815107</v>
      </c>
      <c r="AN2563">
        <v>0.99999994775026102</v>
      </c>
    </row>
    <row r="2564" spans="1:40" x14ac:dyDescent="0.25">
      <c r="A2564" t="str">
        <f>"20190312172709835"</f>
        <v>20190312172709835</v>
      </c>
      <c r="B2564" t="str">
        <f>"1552382829831849"</f>
        <v>1552382829831849</v>
      </c>
      <c r="C2564" t="s">
        <v>40</v>
      </c>
      <c r="D2564">
        <v>3.2701669999999998</v>
      </c>
      <c r="E2564">
        <v>0.52317250000000004</v>
      </c>
      <c r="F2564" t="s">
        <v>48</v>
      </c>
      <c r="G2564">
        <v>-373.92469999999997</v>
      </c>
      <c r="H2564" s="1">
        <v>5.5175630000000004E-7</v>
      </c>
      <c r="I2564">
        <v>211.05170000000001</v>
      </c>
      <c r="J2564">
        <v>-401.48590000000002</v>
      </c>
      <c r="K2564">
        <v>1.1081449999999999</v>
      </c>
      <c r="L2564">
        <v>213.49539999999999</v>
      </c>
      <c r="M2564">
        <v>0.99994139999999998</v>
      </c>
      <c r="N2564">
        <v>0</v>
      </c>
      <c r="O2564">
        <v>-9.1103839999999991E-3</v>
      </c>
      <c r="P2564">
        <v>0.98276339999999995</v>
      </c>
      <c r="Q2564">
        <v>0.18068780000000001</v>
      </c>
      <c r="R2564">
        <v>-3.9095209999999998E-2</v>
      </c>
      <c r="S2564">
        <v>3.0641479999999999</v>
      </c>
      <c r="T2564">
        <v>-0.1216638</v>
      </c>
      <c r="U2564">
        <v>-0.26867679999999999</v>
      </c>
      <c r="V2564">
        <v>3.0427579999999999E-2</v>
      </c>
      <c r="W2564">
        <v>0.18640309999999999</v>
      </c>
      <c r="X2564">
        <v>0.98200209999999999</v>
      </c>
      <c r="Y2564">
        <v>7.8215489999999999E-2</v>
      </c>
      <c r="Z2564">
        <v>-1.1883499999999999E-3</v>
      </c>
      <c r="AA2564">
        <v>0.99693580000000004</v>
      </c>
      <c r="AB2564">
        <v>36</v>
      </c>
      <c r="AC2564">
        <v>27.561199999999999</v>
      </c>
      <c r="AD2564">
        <v>-1.1081444482437</v>
      </c>
      <c r="AE2564">
        <v>-2.44369999999997</v>
      </c>
      <c r="AF2564">
        <v>2.1889901029546399</v>
      </c>
      <c r="AG2564">
        <v>-1.1081444482437</v>
      </c>
      <c r="AH2564">
        <v>27.5381492760994</v>
      </c>
      <c r="AI2564">
        <v>92.297120274821197</v>
      </c>
      <c r="AJ2564">
        <v>85.455150878083899</v>
      </c>
      <c r="AK2564">
        <v>27.6472300120959</v>
      </c>
      <c r="AL2564">
        <v>79.257053238484701</v>
      </c>
      <c r="AM2564">
        <v>88.225243808370905</v>
      </c>
      <c r="AN2564">
        <v>1.00000003885933</v>
      </c>
    </row>
    <row r="2565" spans="1:40" x14ac:dyDescent="0.25">
      <c r="A2565" t="str">
        <f>"20190312172709859"</f>
        <v>20190312172709859</v>
      </c>
      <c r="B2565" t="str">
        <f>"1552382829851370"</f>
        <v>1552382829851370</v>
      </c>
      <c r="C2565" t="s">
        <v>40</v>
      </c>
      <c r="D2565">
        <v>3.2626149999999998</v>
      </c>
      <c r="E2565">
        <v>0.52317979999999997</v>
      </c>
      <c r="F2565" t="s">
        <v>48</v>
      </c>
      <c r="G2565">
        <v>-373.64100000000002</v>
      </c>
      <c r="H2565" s="1">
        <v>4.0076030000000003E-7</v>
      </c>
      <c r="I2565">
        <v>211.0291</v>
      </c>
      <c r="J2565">
        <v>-401.10019999999997</v>
      </c>
      <c r="K2565">
        <v>1.1081430000000001</v>
      </c>
      <c r="L2565">
        <v>213.4913</v>
      </c>
      <c r="M2565">
        <v>0.99993500000000002</v>
      </c>
      <c r="N2565">
        <v>0</v>
      </c>
      <c r="O2565">
        <v>-9.7918420000000003E-3</v>
      </c>
      <c r="P2565">
        <v>0.9827051</v>
      </c>
      <c r="Q2565">
        <v>0.18082019999999999</v>
      </c>
      <c r="R2565">
        <v>-3.9937309999999997E-2</v>
      </c>
      <c r="S2565">
        <v>3.0642399999999999</v>
      </c>
      <c r="T2565">
        <v>-0.1219478</v>
      </c>
      <c r="U2565">
        <v>-0.27140809999999999</v>
      </c>
      <c r="V2565">
        <v>3.0599990000000001E-2</v>
      </c>
      <c r="W2565">
        <v>0.18652260000000001</v>
      </c>
      <c r="X2565">
        <v>0.98197400000000001</v>
      </c>
      <c r="Y2565">
        <v>7.8415390000000001E-2</v>
      </c>
      <c r="Z2565">
        <v>-1.167958E-3</v>
      </c>
      <c r="AA2565">
        <v>0.99692009999999998</v>
      </c>
      <c r="AB2565">
        <v>36</v>
      </c>
      <c r="AC2565">
        <v>27.459199999999999</v>
      </c>
      <c r="AD2565">
        <v>-1.1081425992397</v>
      </c>
      <c r="AE2565">
        <v>-2.46219999999999</v>
      </c>
      <c r="AF2565">
        <v>2.1896635691560999</v>
      </c>
      <c r="AG2565">
        <v>-1.1081425992397</v>
      </c>
      <c r="AH2565">
        <v>27.437664731604102</v>
      </c>
      <c r="AI2565">
        <v>92.305462543812894</v>
      </c>
      <c r="AJ2565">
        <v>85.437179012996395</v>
      </c>
      <c r="AK2565">
        <v>27.547196817285201</v>
      </c>
      <c r="AL2565">
        <v>79.250083618458106</v>
      </c>
      <c r="AM2565">
        <v>88.215143057396006</v>
      </c>
      <c r="AN2565">
        <v>0.99999998818738001</v>
      </c>
    </row>
    <row r="2566" spans="1:40" x14ac:dyDescent="0.25">
      <c r="A2566" t="str">
        <f>"20190312172709880"</f>
        <v>20190312172709880</v>
      </c>
      <c r="B2566" t="str">
        <f>"1552382829871865"</f>
        <v>1552382829871865</v>
      </c>
      <c r="C2566" t="s">
        <v>40</v>
      </c>
      <c r="D2566">
        <v>3.2500360000000001</v>
      </c>
      <c r="E2566">
        <v>0.52318580000000003</v>
      </c>
      <c r="F2566" t="s">
        <v>48</v>
      </c>
      <c r="G2566">
        <v>-373.23759999999999</v>
      </c>
      <c r="H2566" s="1">
        <v>1.861292E-7</v>
      </c>
      <c r="I2566">
        <v>210.99969999999999</v>
      </c>
      <c r="J2566">
        <v>-400.75279999999998</v>
      </c>
      <c r="K2566">
        <v>1.1081350000000001</v>
      </c>
      <c r="L2566">
        <v>213.48740000000001</v>
      </c>
      <c r="M2566">
        <v>0.99992899999999996</v>
      </c>
      <c r="N2566">
        <v>0</v>
      </c>
      <c r="O2566">
        <v>-1.0391859999999999E-2</v>
      </c>
      <c r="P2566">
        <v>0.98271750000000002</v>
      </c>
      <c r="Q2566">
        <v>0.18059140000000001</v>
      </c>
      <c r="R2566">
        <v>-4.0658279999999998E-2</v>
      </c>
      <c r="S2566">
        <v>3.0640559999999999</v>
      </c>
      <c r="T2566">
        <v>-0.1218631</v>
      </c>
      <c r="U2566">
        <v>-0.27400210000000003</v>
      </c>
      <c r="V2566">
        <v>3.072838E-2</v>
      </c>
      <c r="W2566">
        <v>0.18628459999999999</v>
      </c>
      <c r="X2566">
        <v>0.98201519999999998</v>
      </c>
      <c r="Y2566">
        <v>7.8660129999999995E-2</v>
      </c>
      <c r="Z2566">
        <v>-1.148229E-3</v>
      </c>
      <c r="AA2566">
        <v>0.99690089999999998</v>
      </c>
      <c r="AB2566">
        <v>36</v>
      </c>
      <c r="AC2566">
        <v>27.5152</v>
      </c>
      <c r="AD2566">
        <v>-1.1081348138708</v>
      </c>
      <c r="AE2566">
        <v>-2.48770000000001</v>
      </c>
      <c r="AF2566">
        <v>2.1980903941349599</v>
      </c>
      <c r="AG2566">
        <v>-1.1081348138708</v>
      </c>
      <c r="AH2566">
        <v>27.495331774671101</v>
      </c>
      <c r="AI2566">
        <v>92.3005908892099</v>
      </c>
      <c r="AJ2566">
        <v>85.429259478720994</v>
      </c>
      <c r="AK2566">
        <v>27.605304445807899</v>
      </c>
      <c r="AL2566">
        <v>79.263963617261695</v>
      </c>
      <c r="AM2566">
        <v>88.207734260766699</v>
      </c>
      <c r="AN2566">
        <v>1.00000001928281</v>
      </c>
    </row>
    <row r="2567" spans="1:40" x14ac:dyDescent="0.25">
      <c r="A2567" t="str">
        <f>"20190312172709903"</f>
        <v>20190312172709903</v>
      </c>
      <c r="B2567" t="str">
        <f>"1552382829891385"</f>
        <v>1552382829891385</v>
      </c>
      <c r="C2567" t="s">
        <v>40</v>
      </c>
      <c r="D2567">
        <v>3.2789299999999999</v>
      </c>
      <c r="E2567">
        <v>0.52319059999999995</v>
      </c>
      <c r="F2567" t="s">
        <v>48</v>
      </c>
      <c r="G2567">
        <v>-373.08730000000003</v>
      </c>
      <c r="H2567" s="1">
        <v>1.0610590000000001E-7</v>
      </c>
      <c r="I2567">
        <v>210.99619999999999</v>
      </c>
      <c r="J2567">
        <v>-400.38720000000001</v>
      </c>
      <c r="K2567">
        <v>1.1081449999999999</v>
      </c>
      <c r="L2567">
        <v>213.483</v>
      </c>
      <c r="M2567">
        <v>0.99992259999999999</v>
      </c>
      <c r="N2567">
        <v>0</v>
      </c>
      <c r="O2567">
        <v>-1.0998849999999999E-2</v>
      </c>
      <c r="P2567">
        <v>0.98275259999999998</v>
      </c>
      <c r="Q2567">
        <v>0.18019170000000001</v>
      </c>
      <c r="R2567">
        <v>-4.1574659999999999E-2</v>
      </c>
      <c r="S2567">
        <v>3.063904</v>
      </c>
      <c r="T2567">
        <v>-0.12272379999999999</v>
      </c>
      <c r="U2567">
        <v>-0.27589419999999998</v>
      </c>
      <c r="V2567">
        <v>3.1041490000000001E-2</v>
      </c>
      <c r="W2567">
        <v>0.1858775</v>
      </c>
      <c r="X2567">
        <v>0.98208249999999997</v>
      </c>
      <c r="Y2567">
        <v>7.8669799999999998E-2</v>
      </c>
      <c r="Z2567">
        <v>-1.132304E-3</v>
      </c>
      <c r="AA2567">
        <v>0.99690009999999996</v>
      </c>
      <c r="AB2567">
        <v>36</v>
      </c>
      <c r="AC2567">
        <v>27.299899999999901</v>
      </c>
      <c r="AD2567">
        <v>-1.1081448938941001</v>
      </c>
      <c r="AE2567">
        <v>-2.4868000000000099</v>
      </c>
      <c r="AF2567">
        <v>2.1828100286087802</v>
      </c>
      <c r="AG2567">
        <v>-1.1081448938941001</v>
      </c>
      <c r="AH2567">
        <v>27.281020716394199</v>
      </c>
      <c r="AI2567">
        <v>92.3186525238592</v>
      </c>
      <c r="AJ2567">
        <v>85.425393478868202</v>
      </c>
      <c r="AK2567">
        <v>27.3906322682626</v>
      </c>
      <c r="AL2567">
        <v>79.287703451701404</v>
      </c>
      <c r="AM2567">
        <v>88.189607865592293</v>
      </c>
      <c r="AN2567">
        <v>1.0000000279569501</v>
      </c>
    </row>
    <row r="2568" spans="1:40" x14ac:dyDescent="0.25">
      <c r="A2568" t="str">
        <f>"20190312172709924"</f>
        <v>20190312172709924</v>
      </c>
      <c r="B2568" t="str">
        <f>"1552382829921641"</f>
        <v>1552382829921641</v>
      </c>
      <c r="C2568" t="s">
        <v>40</v>
      </c>
      <c r="D2568">
        <v>3.2703630000000001</v>
      </c>
      <c r="E2568">
        <v>0.52321930000000005</v>
      </c>
      <c r="F2568" t="s">
        <v>48</v>
      </c>
      <c r="G2568">
        <v>-373.10939999999999</v>
      </c>
      <c r="H2568" s="1">
        <v>1.17864399999999E-7</v>
      </c>
      <c r="I2568">
        <v>211.0094</v>
      </c>
      <c r="J2568">
        <v>-400.0249</v>
      </c>
      <c r="K2568">
        <v>1.1081620000000001</v>
      </c>
      <c r="L2568">
        <v>213.4786</v>
      </c>
      <c r="M2568">
        <v>0.99991640000000004</v>
      </c>
      <c r="N2568">
        <v>0</v>
      </c>
      <c r="O2568">
        <v>-1.156129E-2</v>
      </c>
      <c r="P2568">
        <v>0.98273500000000003</v>
      </c>
      <c r="Q2568">
        <v>0.1800832</v>
      </c>
      <c r="R2568">
        <v>-4.2450950000000001E-2</v>
      </c>
      <c r="S2568">
        <v>3.0637210000000001</v>
      </c>
      <c r="T2568">
        <v>-0.1244618</v>
      </c>
      <c r="U2568">
        <v>-0.27783200000000002</v>
      </c>
      <c r="V2568">
        <v>3.1354659999999999E-2</v>
      </c>
      <c r="W2568">
        <v>0.18576409999999999</v>
      </c>
      <c r="X2568">
        <v>0.98209400000000002</v>
      </c>
      <c r="Y2568">
        <v>7.8738719999999998E-2</v>
      </c>
      <c r="Z2568">
        <v>-1.126972E-3</v>
      </c>
      <c r="AA2568">
        <v>0.99689470000000002</v>
      </c>
      <c r="AB2568">
        <v>36</v>
      </c>
      <c r="AC2568">
        <v>26.915500000000002</v>
      </c>
      <c r="AD2568">
        <v>-1.1081618821356001</v>
      </c>
      <c r="AE2568">
        <v>-2.4691999999999998</v>
      </c>
      <c r="AF2568">
        <v>2.1542306380034399</v>
      </c>
      <c r="AG2568">
        <v>-1.1081618821356001</v>
      </c>
      <c r="AH2568">
        <v>26.897035389003602</v>
      </c>
      <c r="AI2568">
        <v>92.351738101090604</v>
      </c>
      <c r="AJ2568">
        <v>85.420855312342695</v>
      </c>
      <c r="AK2568">
        <v>27.005911299492301</v>
      </c>
      <c r="AL2568">
        <v>79.294315874559999</v>
      </c>
      <c r="AM2568">
        <v>88.171376999221295</v>
      </c>
      <c r="AN2568">
        <v>1.00000002019426</v>
      </c>
    </row>
    <row r="2569" spans="1:40" x14ac:dyDescent="0.25">
      <c r="A2569" t="str">
        <f>"20190312172709949"</f>
        <v>20190312172709949</v>
      </c>
      <c r="B2569" t="str">
        <f>"1552382829941161"</f>
        <v>1552382829941161</v>
      </c>
      <c r="C2569" t="s">
        <v>40</v>
      </c>
      <c r="D2569">
        <v>3.2739739999999999</v>
      </c>
      <c r="E2569">
        <v>0.523308</v>
      </c>
      <c r="F2569" t="s">
        <v>48</v>
      </c>
      <c r="G2569">
        <v>-372.84129999999999</v>
      </c>
      <c r="H2569" s="1">
        <v>-2.4787080000000001E-8</v>
      </c>
      <c r="I2569">
        <v>210.99160000000001</v>
      </c>
      <c r="J2569">
        <v>-399.62349999999998</v>
      </c>
      <c r="K2569">
        <v>1.1081970000000001</v>
      </c>
      <c r="L2569">
        <v>213.4735</v>
      </c>
      <c r="M2569">
        <v>0.99990959999999995</v>
      </c>
      <c r="N2569">
        <v>0</v>
      </c>
      <c r="O2569">
        <v>-1.212217E-2</v>
      </c>
      <c r="P2569">
        <v>0.98279680000000003</v>
      </c>
      <c r="Q2569">
        <v>0.1796616</v>
      </c>
      <c r="R2569">
        <v>-4.2804700000000001E-2</v>
      </c>
      <c r="S2569">
        <v>3.0634769999999998</v>
      </c>
      <c r="T2569">
        <v>-0.1248852</v>
      </c>
      <c r="U2569">
        <v>-0.28027340000000001</v>
      </c>
      <c r="V2569">
        <v>3.1138010000000001E-2</v>
      </c>
      <c r="W2569">
        <v>0.1853419</v>
      </c>
      <c r="X2569">
        <v>0.98218070000000002</v>
      </c>
      <c r="Y2569">
        <v>7.897448E-2</v>
      </c>
      <c r="Z2569">
        <v>-1.1128449999999999E-3</v>
      </c>
      <c r="AA2569">
        <v>0.99687599999999998</v>
      </c>
      <c r="AB2569">
        <v>37</v>
      </c>
      <c r="AC2569">
        <v>26.7821999999999</v>
      </c>
      <c r="AD2569">
        <v>-1.1081970247870701</v>
      </c>
      <c r="AE2569">
        <v>-2.4818999999999898</v>
      </c>
      <c r="AF2569">
        <v>2.15339821259859</v>
      </c>
      <c r="AG2569">
        <v>-1.1081970247870701</v>
      </c>
      <c r="AH2569">
        <v>26.764883327453202</v>
      </c>
      <c r="AI2569">
        <v>92.3633429722546</v>
      </c>
      <c r="AJ2569">
        <v>85.400113086547705</v>
      </c>
      <c r="AK2569">
        <v>26.874229366438598</v>
      </c>
      <c r="AL2569">
        <v>79.318934104916906</v>
      </c>
      <c r="AM2569">
        <v>88.184163866421002</v>
      </c>
      <c r="AN2569">
        <v>1.00000006150742</v>
      </c>
    </row>
    <row r="2570" spans="1:40" x14ac:dyDescent="0.25">
      <c r="A2570" t="str">
        <f>"20190312172709972"</f>
        <v>20190312172709972</v>
      </c>
      <c r="B2570" t="str">
        <f>"1552382829961657"</f>
        <v>1552382829961657</v>
      </c>
      <c r="C2570" t="s">
        <v>40</v>
      </c>
      <c r="D2570">
        <v>3.2625579999999998</v>
      </c>
      <c r="E2570">
        <v>0.52330129999999997</v>
      </c>
      <c r="F2570" t="s">
        <v>48</v>
      </c>
      <c r="G2570">
        <v>-372.8725</v>
      </c>
      <c r="H2570" s="1">
        <v>-8.1658980000000007E-9</v>
      </c>
      <c r="I2570">
        <v>211.01</v>
      </c>
      <c r="J2570">
        <v>-399.2423</v>
      </c>
      <c r="K2570">
        <v>1.1082379999999901</v>
      </c>
      <c r="L2570">
        <v>213.46850000000001</v>
      </c>
      <c r="M2570">
        <v>0.99990409999999996</v>
      </c>
      <c r="N2570">
        <v>0</v>
      </c>
      <c r="O2570">
        <v>-1.257639E-2</v>
      </c>
      <c r="P2570">
        <v>0.98283030000000005</v>
      </c>
      <c r="Q2570">
        <v>0.17945059999999999</v>
      </c>
      <c r="R2570">
        <v>-4.292203E-2</v>
      </c>
      <c r="S2570">
        <v>3.0634160000000001</v>
      </c>
      <c r="T2570">
        <v>-0.12690650000000001</v>
      </c>
      <c r="U2570">
        <v>-0.28210449999999998</v>
      </c>
      <c r="V2570">
        <v>3.0785960000000001E-2</v>
      </c>
      <c r="W2570">
        <v>0.1851324</v>
      </c>
      <c r="X2570">
        <v>0.98223130000000003</v>
      </c>
      <c r="Y2570">
        <v>7.9112790000000002E-2</v>
      </c>
      <c r="Z2570">
        <v>-1.1149280000000001E-3</v>
      </c>
      <c r="AA2570">
        <v>0.996865</v>
      </c>
      <c r="AB2570">
        <v>37</v>
      </c>
      <c r="AC2570">
        <v>26.369800000000001</v>
      </c>
      <c r="AD2570">
        <v>-1.10823800816589</v>
      </c>
      <c r="AE2570">
        <v>-2.4585000000000101</v>
      </c>
      <c r="AF2570">
        <v>2.1229457525937301</v>
      </c>
      <c r="AG2570">
        <v>-1.10823800816589</v>
      </c>
      <c r="AH2570">
        <v>26.3524900043437</v>
      </c>
      <c r="AI2570">
        <v>92.400353107227403</v>
      </c>
      <c r="AJ2570">
        <v>85.394221989311205</v>
      </c>
      <c r="AK2570">
        <v>26.4610812247012</v>
      </c>
      <c r="AL2570">
        <v>79.331148878770506</v>
      </c>
      <c r="AM2570">
        <v>88.204772836958497</v>
      </c>
      <c r="AN2570">
        <v>1.0000000537812801</v>
      </c>
    </row>
    <row r="2571" spans="1:40" x14ac:dyDescent="0.25">
      <c r="A2571" t="str">
        <f>"20190312172709998"</f>
        <v>20190312172709998</v>
      </c>
      <c r="B2571" t="str">
        <f>"1552382829991913"</f>
        <v>1552382829991913</v>
      </c>
      <c r="C2571" t="s">
        <v>40</v>
      </c>
      <c r="D2571">
        <v>3.2827790000000001</v>
      </c>
      <c r="E2571">
        <v>0.5233411</v>
      </c>
      <c r="F2571" t="s">
        <v>48</v>
      </c>
      <c r="G2571">
        <v>-372.67189999999999</v>
      </c>
      <c r="H2571" s="1">
        <v>-1.1492649999999999E-7</v>
      </c>
      <c r="I2571">
        <v>211.01570000000001</v>
      </c>
      <c r="J2571">
        <v>-398.81709999999998</v>
      </c>
      <c r="K2571">
        <v>1.108293</v>
      </c>
      <c r="L2571">
        <v>213.46270000000001</v>
      </c>
      <c r="M2571">
        <v>0.99989870000000003</v>
      </c>
      <c r="N2571">
        <v>0</v>
      </c>
      <c r="O2571">
        <v>-1.3005279999999999E-2</v>
      </c>
      <c r="P2571">
        <v>0.98280460000000003</v>
      </c>
      <c r="Q2571">
        <v>0.1796682</v>
      </c>
      <c r="R2571">
        <v>-4.2602899999999999E-2</v>
      </c>
      <c r="S2571">
        <v>3.0633849999999998</v>
      </c>
      <c r="T2571">
        <v>-0.1277722</v>
      </c>
      <c r="U2571">
        <v>-0.28279110000000002</v>
      </c>
      <c r="V2571">
        <v>3.00197E-2</v>
      </c>
      <c r="W2571">
        <v>0.18535219999999999</v>
      </c>
      <c r="X2571">
        <v>0.98221349999999996</v>
      </c>
      <c r="Y2571">
        <v>7.8907450000000004E-2</v>
      </c>
      <c r="Z2571">
        <v>-1.100419E-3</v>
      </c>
      <c r="AA2571">
        <v>0.99688140000000003</v>
      </c>
      <c r="AB2571">
        <v>37</v>
      </c>
      <c r="AC2571">
        <v>26.1451999999999</v>
      </c>
      <c r="AD2571">
        <v>-1.1082931149265001</v>
      </c>
      <c r="AE2571">
        <v>-2.4470000000000001</v>
      </c>
      <c r="AF2571">
        <v>2.10301560392542</v>
      </c>
      <c r="AG2571">
        <v>-1.1082931149265001</v>
      </c>
      <c r="AH2571">
        <v>26.128270868758801</v>
      </c>
      <c r="AI2571">
        <v>92.421061338184501</v>
      </c>
      <c r="AJ2571">
        <v>85.398290014576403</v>
      </c>
      <c r="AK2571">
        <v>26.236187353542402</v>
      </c>
      <c r="AL2571">
        <v>79.318332780022601</v>
      </c>
      <c r="AM2571">
        <v>88.249396030893905</v>
      </c>
      <c r="AN2571">
        <v>0.99999999000758999</v>
      </c>
    </row>
    <row r="2572" spans="1:40" x14ac:dyDescent="0.25">
      <c r="A2572" t="str">
        <f>"20190312172710036"</f>
        <v>20190312172710036</v>
      </c>
      <c r="B2572" t="str">
        <f>"1552382830031929"</f>
        <v>1552382830031929</v>
      </c>
      <c r="C2572" t="s">
        <v>40</v>
      </c>
      <c r="D2572">
        <v>3.2771530000000002</v>
      </c>
      <c r="E2572">
        <v>0.52337440000000002</v>
      </c>
      <c r="F2572" t="s">
        <v>48</v>
      </c>
      <c r="G2572">
        <v>-372.04360000000003</v>
      </c>
      <c r="H2572" s="1">
        <v>-4.4929579999999999E-7</v>
      </c>
      <c r="I2572">
        <v>210.99449999999999</v>
      </c>
      <c r="J2572">
        <v>-398.17529999999999</v>
      </c>
      <c r="K2572">
        <v>1.108382</v>
      </c>
      <c r="L2572">
        <v>213.4539</v>
      </c>
      <c r="M2572">
        <v>0.99989209999999995</v>
      </c>
      <c r="N2572">
        <v>0</v>
      </c>
      <c r="O2572">
        <v>-1.3492209999999999E-2</v>
      </c>
      <c r="P2572">
        <v>0.98265899999999995</v>
      </c>
      <c r="Q2572">
        <v>0.18073420000000001</v>
      </c>
      <c r="R2572">
        <v>-4.1432579999999997E-2</v>
      </c>
      <c r="S2572">
        <v>3.0633849999999998</v>
      </c>
      <c r="T2572">
        <v>-0.12680919999999901</v>
      </c>
      <c r="U2572">
        <v>-0.28240969999999999</v>
      </c>
      <c r="V2572">
        <v>2.833422E-2</v>
      </c>
      <c r="W2572">
        <v>0.18641530000000001</v>
      </c>
      <c r="X2572">
        <v>0.9820624</v>
      </c>
      <c r="Y2572">
        <v>7.8300670000000003E-2</v>
      </c>
      <c r="Z2572">
        <v>-1.0595139999999999E-3</v>
      </c>
      <c r="AA2572">
        <v>0.99692919999999996</v>
      </c>
      <c r="AB2572">
        <v>37</v>
      </c>
      <c r="AC2572">
        <v>26.131699999999899</v>
      </c>
      <c r="AD2572">
        <v>-1.1083824492958001</v>
      </c>
      <c r="AE2572">
        <v>-2.4594000000000098</v>
      </c>
      <c r="AF2572">
        <v>2.1028458789752902</v>
      </c>
      <c r="AG2572">
        <v>-1.1083824492958001</v>
      </c>
      <c r="AH2572">
        <v>26.1159331791307</v>
      </c>
      <c r="AI2572">
        <v>92.422392643159</v>
      </c>
      <c r="AJ2572">
        <v>85.396495378837201</v>
      </c>
      <c r="AK2572">
        <v>26.223890601156999</v>
      </c>
      <c r="AL2572">
        <v>79.256341606439605</v>
      </c>
      <c r="AM2572">
        <v>88.347374885898503</v>
      </c>
      <c r="AN2572">
        <v>1.0000000247954199</v>
      </c>
    </row>
    <row r="2573" spans="1:40" x14ac:dyDescent="0.25">
      <c r="A2573" t="str">
        <f>"20190312172710059"</f>
        <v>20190312172710059</v>
      </c>
      <c r="B2573" t="str">
        <f>"1552382830051449"</f>
        <v>1552382830051449</v>
      </c>
      <c r="C2573" t="s">
        <v>40</v>
      </c>
      <c r="D2573">
        <v>3.2610420000000002</v>
      </c>
      <c r="E2573">
        <v>0.52340529999999996</v>
      </c>
      <c r="F2573" t="s">
        <v>48</v>
      </c>
      <c r="G2573">
        <v>-370.86509999999998</v>
      </c>
      <c r="H2573" s="1">
        <v>-1.0764580000000001E-6</v>
      </c>
      <c r="I2573">
        <v>210.95679999999999</v>
      </c>
      <c r="J2573">
        <v>-397.79559999999998</v>
      </c>
      <c r="K2573">
        <v>1.1084320000000001</v>
      </c>
      <c r="L2573">
        <v>213.4486</v>
      </c>
      <c r="M2573">
        <v>0.99988940000000004</v>
      </c>
      <c r="N2573">
        <v>0</v>
      </c>
      <c r="O2573">
        <v>-1.369971E-2</v>
      </c>
      <c r="P2573">
        <v>0.98261339999999997</v>
      </c>
      <c r="Q2573">
        <v>0.18107599999999999</v>
      </c>
      <c r="R2573">
        <v>-4.1017140000000001E-2</v>
      </c>
      <c r="S2573">
        <v>3.0639949999999998</v>
      </c>
      <c r="T2573">
        <v>-0.1243517</v>
      </c>
      <c r="U2573">
        <v>-0.28015139999999999</v>
      </c>
      <c r="V2573">
        <v>2.7694280000000002E-2</v>
      </c>
      <c r="W2573">
        <v>0.1867549</v>
      </c>
      <c r="X2573">
        <v>0.98201609999999995</v>
      </c>
      <c r="Y2573">
        <v>7.7350039999999995E-2</v>
      </c>
      <c r="Z2573">
        <v>-1.0111860000000001E-3</v>
      </c>
      <c r="AA2573">
        <v>0.99700350000000004</v>
      </c>
      <c r="AB2573">
        <v>37</v>
      </c>
      <c r="AC2573">
        <v>26.930499999999899</v>
      </c>
      <c r="AD2573">
        <v>-1.1084330764579999</v>
      </c>
      <c r="AE2573">
        <v>-2.4918000000000098</v>
      </c>
      <c r="AF2573">
        <v>2.1190605727888498</v>
      </c>
      <c r="AG2573">
        <v>-1.1084330764579999</v>
      </c>
      <c r="AH2573">
        <v>26.916898210524302</v>
      </c>
      <c r="AI2573">
        <v>92.350832137647501</v>
      </c>
      <c r="AJ2573">
        <v>85.498614888433593</v>
      </c>
      <c r="AK2573">
        <v>27.022924543281</v>
      </c>
      <c r="AL2573">
        <v>79.236535808911796</v>
      </c>
      <c r="AM2573">
        <v>88.384603981343503</v>
      </c>
      <c r="AN2573">
        <v>0.99999999323896904</v>
      </c>
    </row>
    <row r="2574" spans="1:40" x14ac:dyDescent="0.25">
      <c r="A2574" t="str">
        <f>"20190312172710081"</f>
        <v>20190312172710081</v>
      </c>
      <c r="B2574" t="str">
        <f>"1552382830071945"</f>
        <v>1552382830071945</v>
      </c>
      <c r="C2574" t="s">
        <v>40</v>
      </c>
      <c r="D2574">
        <v>3.2437330000000002</v>
      </c>
      <c r="E2574">
        <v>0.52345600000000003</v>
      </c>
      <c r="F2574" t="s">
        <v>48</v>
      </c>
      <c r="G2574">
        <v>-370.19279999999998</v>
      </c>
      <c r="H2574" s="1">
        <v>-1.434172E-6</v>
      </c>
      <c r="I2574">
        <v>210.92910000000001</v>
      </c>
      <c r="J2574">
        <v>-397.42219999999998</v>
      </c>
      <c r="K2574">
        <v>1.1084700000000001</v>
      </c>
      <c r="L2574">
        <v>213.44329999999999</v>
      </c>
      <c r="M2574">
        <v>0.99988710000000003</v>
      </c>
      <c r="N2574">
        <v>0</v>
      </c>
      <c r="O2574">
        <v>-1.386329E-2</v>
      </c>
      <c r="P2574">
        <v>0.98245099999999996</v>
      </c>
      <c r="Q2574">
        <v>0.18203059999999999</v>
      </c>
      <c r="R2574">
        <v>-4.06819E-2</v>
      </c>
      <c r="S2574">
        <v>3.0640559999999999</v>
      </c>
      <c r="T2574">
        <v>-0.1230421</v>
      </c>
      <c r="U2574">
        <v>-0.27967829999999999</v>
      </c>
      <c r="V2574">
        <v>2.7183189999999999E-2</v>
      </c>
      <c r="W2574">
        <v>0.18770819999999999</v>
      </c>
      <c r="X2574">
        <v>0.98184859999999896</v>
      </c>
      <c r="Y2574">
        <v>7.7033939999999995E-2</v>
      </c>
      <c r="Z2574">
        <v>-9.8765050000000003E-4</v>
      </c>
      <c r="AA2574">
        <v>0.99702800000000003</v>
      </c>
      <c r="AB2574">
        <v>37</v>
      </c>
      <c r="AC2574">
        <v>27.229399999999998</v>
      </c>
      <c r="AD2574">
        <v>-1.1084714341719999</v>
      </c>
      <c r="AE2574">
        <v>-2.5141999999999798</v>
      </c>
      <c r="AF2574">
        <v>2.13295812647854</v>
      </c>
      <c r="AG2574">
        <v>-1.1084714341719999</v>
      </c>
      <c r="AH2574">
        <v>27.216916458848601</v>
      </c>
      <c r="AI2574">
        <v>92.325092105520199</v>
      </c>
      <c r="AJ2574">
        <v>85.518955047550506</v>
      </c>
      <c r="AK2574">
        <v>27.322861504930799</v>
      </c>
      <c r="AL2574">
        <v>79.180932334905194</v>
      </c>
      <c r="AM2574">
        <v>88.414129930741097</v>
      </c>
      <c r="AN2574">
        <v>0.99999998374388699</v>
      </c>
    </row>
    <row r="2575" spans="1:40" x14ac:dyDescent="0.25">
      <c r="A2575" t="str">
        <f>"20190312172710105"</f>
        <v>20190312172710105</v>
      </c>
      <c r="B2575" t="str">
        <f>"1552382830101226"</f>
        <v>1552382830101226</v>
      </c>
      <c r="C2575" t="s">
        <v>40</v>
      </c>
      <c r="D2575">
        <v>3.269971</v>
      </c>
      <c r="E2575">
        <v>0.52359820000000001</v>
      </c>
      <c r="F2575" t="s">
        <v>48</v>
      </c>
      <c r="G2575">
        <v>-369.14490000000001</v>
      </c>
      <c r="H2575" s="1">
        <v>3.3296829999999998E-6</v>
      </c>
      <c r="I2575">
        <v>210.8657</v>
      </c>
      <c r="J2575">
        <v>-397.03280000000001</v>
      </c>
      <c r="K2575">
        <v>1.1084989999999999</v>
      </c>
      <c r="L2575">
        <v>213.43780000000001</v>
      </c>
      <c r="M2575">
        <v>0.99988529999999998</v>
      </c>
      <c r="N2575">
        <v>0</v>
      </c>
      <c r="O2575">
        <v>-1.400535E-2</v>
      </c>
      <c r="P2575">
        <v>0.98249450000000005</v>
      </c>
      <c r="Q2575">
        <v>0.1818216</v>
      </c>
      <c r="R2575">
        <v>-4.0566329999999998E-2</v>
      </c>
      <c r="S2575">
        <v>3.06427</v>
      </c>
      <c r="T2575">
        <v>-0.1201192</v>
      </c>
      <c r="U2575">
        <v>-0.2793274</v>
      </c>
      <c r="V2575">
        <v>2.6912309999999998E-2</v>
      </c>
      <c r="W2575">
        <v>0.18749550000000001</v>
      </c>
      <c r="X2575">
        <v>0.98189669999999896</v>
      </c>
      <c r="Y2575">
        <v>7.6775419999999997E-2</v>
      </c>
      <c r="Z2575">
        <v>-9.5353729999999995E-4</v>
      </c>
      <c r="AA2575">
        <v>0.99704800000000005</v>
      </c>
      <c r="AB2575">
        <v>37</v>
      </c>
      <c r="AC2575">
        <v>27.887899999999998</v>
      </c>
      <c r="AD2575">
        <v>-1.1084956703169999</v>
      </c>
      <c r="AE2575">
        <v>-2.5720999999999998</v>
      </c>
      <c r="AF2575">
        <v>2.1778496133270999</v>
      </c>
      <c r="AG2575">
        <v>-1.1084956703169999</v>
      </c>
      <c r="AH2575">
        <v>27.877515554187202</v>
      </c>
      <c r="AI2575">
        <v>92.270147035938393</v>
      </c>
      <c r="AJ2575">
        <v>85.533006996538802</v>
      </c>
      <c r="AK2575">
        <v>27.984418254866899</v>
      </c>
      <c r="AL2575">
        <v>79.193339416772105</v>
      </c>
      <c r="AM2575">
        <v>88.4300020220779</v>
      </c>
      <c r="AN2575">
        <v>0.99999998221033704</v>
      </c>
    </row>
    <row r="2576" spans="1:40" x14ac:dyDescent="0.25">
      <c r="A2576" t="str">
        <f>"20190312172710126"</f>
        <v>20190312172710126</v>
      </c>
      <c r="B2576" t="str">
        <f>"1552382830121722"</f>
        <v>1552382830121722</v>
      </c>
      <c r="C2576" t="s">
        <v>40</v>
      </c>
      <c r="D2576">
        <v>3.2628159999999999</v>
      </c>
      <c r="E2576">
        <v>0.52353879999999997</v>
      </c>
      <c r="F2576" t="s">
        <v>48</v>
      </c>
      <c r="G2576">
        <v>-368.89350000000002</v>
      </c>
      <c r="H2576" s="1">
        <v>3.1958719999999998E-6</v>
      </c>
      <c r="I2576">
        <v>210.86359999999999</v>
      </c>
      <c r="J2576">
        <v>-396.66149999999999</v>
      </c>
      <c r="K2576">
        <v>1.1085160000000001</v>
      </c>
      <c r="L2576">
        <v>213.4325</v>
      </c>
      <c r="M2576">
        <v>0.99988359999999998</v>
      </c>
      <c r="N2576">
        <v>0</v>
      </c>
      <c r="O2576">
        <v>-1.412268E-2</v>
      </c>
      <c r="P2576">
        <v>0.98258389999999995</v>
      </c>
      <c r="Q2576">
        <v>0.1813739</v>
      </c>
      <c r="R2576">
        <v>-4.0401380000000001E-2</v>
      </c>
      <c r="S2576">
        <v>3.064209</v>
      </c>
      <c r="T2576">
        <v>-0.1207087</v>
      </c>
      <c r="U2576">
        <v>-0.28031919999999999</v>
      </c>
      <c r="V2576">
        <v>2.661987E-2</v>
      </c>
      <c r="W2576">
        <v>0.1870426</v>
      </c>
      <c r="X2576">
        <v>0.98199110000000001</v>
      </c>
      <c r="Y2576">
        <v>7.6979729999999996E-2</v>
      </c>
      <c r="Z2576">
        <v>-9.5762419999999998E-4</v>
      </c>
      <c r="AA2576">
        <v>0.99703220000000004</v>
      </c>
      <c r="AB2576">
        <v>38</v>
      </c>
      <c r="AC2576">
        <v>27.767999999999901</v>
      </c>
      <c r="AD2576">
        <v>-1.1085128041279999</v>
      </c>
      <c r="AE2576">
        <v>-2.56890000000001</v>
      </c>
      <c r="AF2576">
        <v>2.1730450002814301</v>
      </c>
      <c r="AG2576">
        <v>-1.1085128041279999</v>
      </c>
      <c r="AH2576">
        <v>27.7576504424574</v>
      </c>
      <c r="AI2576">
        <v>92.279945951604802</v>
      </c>
      <c r="AJ2576">
        <v>85.523652744454495</v>
      </c>
      <c r="AK2576">
        <v>27.8646385818266</v>
      </c>
      <c r="AL2576">
        <v>79.219756608934304</v>
      </c>
      <c r="AM2576">
        <v>88.447203066062798</v>
      </c>
      <c r="AN2576">
        <v>1.0000000360863901</v>
      </c>
    </row>
    <row r="2577" spans="1:40" x14ac:dyDescent="0.25">
      <c r="A2577" t="str">
        <f>"20190312172710151"</f>
        <v>20190312172710151</v>
      </c>
      <c r="B2577" t="str">
        <f>"1552382830141242"</f>
        <v>1552382830141242</v>
      </c>
      <c r="C2577" t="s">
        <v>40</v>
      </c>
      <c r="D2577">
        <v>3.2514460000000001</v>
      </c>
      <c r="E2577">
        <v>0.51163700000000001</v>
      </c>
      <c r="F2577" t="s">
        <v>48</v>
      </c>
      <c r="G2577">
        <v>-368.82859999999999</v>
      </c>
      <c r="H2577" s="1">
        <v>3.1613749999999999E-6</v>
      </c>
      <c r="I2577">
        <v>210.8946</v>
      </c>
      <c r="J2577">
        <v>-396.24509999999998</v>
      </c>
      <c r="K2577">
        <v>1.108528</v>
      </c>
      <c r="L2577">
        <v>213.4265</v>
      </c>
      <c r="M2577">
        <v>0.99988200000000005</v>
      </c>
      <c r="N2577">
        <v>0</v>
      </c>
      <c r="O2577">
        <v>-1.4243499999999999E-2</v>
      </c>
      <c r="P2577">
        <v>0.98271569999999997</v>
      </c>
      <c r="Q2577">
        <v>0.18067440000000001</v>
      </c>
      <c r="R2577">
        <v>-4.0336150000000001E-2</v>
      </c>
      <c r="S2577">
        <v>3.0641780000000001</v>
      </c>
      <c r="T2577">
        <v>-0.12203840000000001</v>
      </c>
      <c r="U2577">
        <v>-0.27940369999999998</v>
      </c>
      <c r="V2577">
        <v>2.642448E-2</v>
      </c>
      <c r="W2577">
        <v>0.18633620000000001</v>
      </c>
      <c r="X2577">
        <v>0.98213059999999996</v>
      </c>
      <c r="Y2577">
        <v>7.6564090000000001E-2</v>
      </c>
      <c r="Z2577">
        <v>-9.5513219999999999E-4</v>
      </c>
      <c r="AA2577">
        <v>0.99706419999999996</v>
      </c>
      <c r="AB2577">
        <v>38</v>
      </c>
      <c r="AC2577">
        <v>27.4164999999999</v>
      </c>
      <c r="AD2577">
        <v>-1.108524838625</v>
      </c>
      <c r="AE2577">
        <v>-2.5318999999999998</v>
      </c>
      <c r="AF2577">
        <v>2.1376646435744102</v>
      </c>
      <c r="AG2577">
        <v>-1.108524838625</v>
      </c>
      <c r="AH2577">
        <v>27.405358744857502</v>
      </c>
      <c r="AI2577">
        <v>92.309298822262207</v>
      </c>
      <c r="AJ2577">
        <v>85.5398625679085</v>
      </c>
      <c r="AK2577">
        <v>27.510945555915999</v>
      </c>
      <c r="AL2577">
        <v>79.260953975791793</v>
      </c>
      <c r="AM2577">
        <v>88.458813918409405</v>
      </c>
      <c r="AN2577">
        <v>0.99999997401503404</v>
      </c>
    </row>
    <row r="2578" spans="1:40" x14ac:dyDescent="0.25">
      <c r="A2578" t="str">
        <f>"20190312172710194"</f>
        <v>20190312172710194</v>
      </c>
      <c r="B2578" t="str">
        <f>"1552382830181257"</f>
        <v>1552382830181257</v>
      </c>
      <c r="C2578" t="s">
        <v>40</v>
      </c>
      <c r="D2578">
        <v>3.272624</v>
      </c>
      <c r="E2578">
        <v>0.51123260000000004</v>
      </c>
      <c r="F2578" t="s">
        <v>48</v>
      </c>
      <c r="G2578">
        <v>-368.50909999999999</v>
      </c>
      <c r="H2578" s="1">
        <v>2.991337E-6</v>
      </c>
      <c r="I2578">
        <v>211.75649999999999</v>
      </c>
      <c r="J2578">
        <v>-395.52010000000001</v>
      </c>
      <c r="K2578">
        <v>1.108535</v>
      </c>
      <c r="L2578">
        <v>213.41589999999999</v>
      </c>
      <c r="M2578">
        <v>0.99987919999999997</v>
      </c>
      <c r="N2578">
        <v>0</v>
      </c>
      <c r="O2578">
        <v>-1.4445660000000001E-2</v>
      </c>
      <c r="P2578">
        <v>0.98272760000000003</v>
      </c>
      <c r="Q2578">
        <v>0.18055470000000001</v>
      </c>
      <c r="R2578">
        <v>-4.057819E-2</v>
      </c>
      <c r="S2578">
        <v>3.0677189999999999</v>
      </c>
      <c r="T2578">
        <v>-0.12260749999999999</v>
      </c>
      <c r="U2578">
        <v>-0.1847076</v>
      </c>
      <c r="V2578">
        <v>2.6455920000000001E-2</v>
      </c>
      <c r="W2578">
        <v>0.186197</v>
      </c>
      <c r="X2578">
        <v>0.98215620000000003</v>
      </c>
      <c r="Y2578">
        <v>4.5650389999999999E-2</v>
      </c>
      <c r="Z2578">
        <v>-3.3453680000000003E-4</v>
      </c>
      <c r="AA2578">
        <v>0.9989574</v>
      </c>
      <c r="AB2578">
        <v>38</v>
      </c>
      <c r="AC2578">
        <v>27.010999999999999</v>
      </c>
      <c r="AD2578">
        <v>-1.1085320086629999</v>
      </c>
      <c r="AE2578">
        <v>-1.6594</v>
      </c>
      <c r="AF2578">
        <v>1.26690290287257</v>
      </c>
      <c r="AG2578">
        <v>-1.1085320086629999</v>
      </c>
      <c r="AH2578">
        <v>26.986870362641401</v>
      </c>
      <c r="AI2578">
        <v>92.349615335149295</v>
      </c>
      <c r="AJ2578">
        <v>87.312213888806795</v>
      </c>
      <c r="AK2578">
        <v>27.039324291659899</v>
      </c>
      <c r="AL2578">
        <v>79.269072111102304</v>
      </c>
      <c r="AM2578">
        <v>88.457021291709793</v>
      </c>
      <c r="AN2578">
        <v>1.0000000198552399</v>
      </c>
    </row>
    <row r="2579" spans="1:40" x14ac:dyDescent="0.25">
      <c r="A2579" t="str">
        <f>"20190312172710216"</f>
        <v>20190312172710216</v>
      </c>
      <c r="B2579" t="str">
        <f>"1552382830211514"</f>
        <v>1552382830211514</v>
      </c>
      <c r="C2579" t="s">
        <v>40</v>
      </c>
      <c r="D2579">
        <v>3.2770609999999998</v>
      </c>
      <c r="E2579">
        <v>0.51118949999999996</v>
      </c>
      <c r="F2579" t="s">
        <v>48</v>
      </c>
      <c r="G2579">
        <v>-367.5752</v>
      </c>
      <c r="H2579" s="1">
        <v>2.494332E-6</v>
      </c>
      <c r="I2579">
        <v>211.75620000000001</v>
      </c>
      <c r="J2579">
        <v>-395.15780000000001</v>
      </c>
      <c r="K2579">
        <v>1.108541</v>
      </c>
      <c r="L2579">
        <v>213.41059999999999</v>
      </c>
      <c r="M2579">
        <v>0.99987780000000004</v>
      </c>
      <c r="N2579">
        <v>0</v>
      </c>
      <c r="O2579">
        <v>-1.454747E-2</v>
      </c>
      <c r="P2579">
        <v>0.98278759999999998</v>
      </c>
      <c r="Q2579">
        <v>0.18020890000000001</v>
      </c>
      <c r="R2579">
        <v>-4.0666220000000003E-2</v>
      </c>
      <c r="S2579">
        <v>3.0675349999999999</v>
      </c>
      <c r="T2579">
        <v>-0.1216846</v>
      </c>
      <c r="U2579">
        <v>-0.18218989999999999</v>
      </c>
      <c r="V2579">
        <v>2.6438380000000001E-2</v>
      </c>
      <c r="W2579">
        <v>0.1858428</v>
      </c>
      <c r="X2579">
        <v>0.98222370000000003</v>
      </c>
      <c r="Y2579">
        <v>4.4736419999999999E-2</v>
      </c>
      <c r="Z2579">
        <v>-3.0990999999999999E-4</v>
      </c>
      <c r="AA2579">
        <v>0.99899879999999996</v>
      </c>
      <c r="AB2579">
        <v>38</v>
      </c>
      <c r="AC2579">
        <v>27.582599999999999</v>
      </c>
      <c r="AD2579">
        <v>-1.1085385056679999</v>
      </c>
      <c r="AE2579">
        <v>-1.6543999999999801</v>
      </c>
      <c r="AF2579">
        <v>1.25094799682649</v>
      </c>
      <c r="AG2579">
        <v>-1.1085385056679999</v>
      </c>
      <c r="AH2579">
        <v>27.559393980258498</v>
      </c>
      <c r="AI2579">
        <v>92.301035077756794</v>
      </c>
      <c r="AJ2579">
        <v>87.401072132023302</v>
      </c>
      <c r="AK2579">
        <v>27.610033050839</v>
      </c>
      <c r="AL2579">
        <v>79.289726194484501</v>
      </c>
      <c r="AM2579">
        <v>88.458149691095997</v>
      </c>
      <c r="AN2579">
        <v>0.99999996554527604</v>
      </c>
    </row>
    <row r="2580" spans="1:40" x14ac:dyDescent="0.25">
      <c r="A2580" t="str">
        <f>"20190312172710238"</f>
        <v>20190312172710238</v>
      </c>
      <c r="B2580" t="str">
        <f>"1552382830232011"</f>
        <v>1552382830232011</v>
      </c>
      <c r="C2580" t="s">
        <v>40</v>
      </c>
      <c r="D2580">
        <v>3.2725930000000001</v>
      </c>
      <c r="E2580">
        <v>0.51119239999999999</v>
      </c>
      <c r="F2580" t="s">
        <v>48</v>
      </c>
      <c r="G2580">
        <v>-367.27949999999998</v>
      </c>
      <c r="H2580" s="1">
        <v>2.3370199999999999E-6</v>
      </c>
      <c r="I2580">
        <v>211.7568</v>
      </c>
      <c r="J2580">
        <v>-394.75409999999999</v>
      </c>
      <c r="K2580">
        <v>1.1085449999999999</v>
      </c>
      <c r="L2580">
        <v>213.40450000000001</v>
      </c>
      <c r="M2580">
        <v>0.99987599999999999</v>
      </c>
      <c r="N2580">
        <v>0</v>
      </c>
      <c r="O2580">
        <v>-1.466194E-2</v>
      </c>
      <c r="P2580">
        <v>0.98273489999999997</v>
      </c>
      <c r="Q2580">
        <v>0.18043100000000001</v>
      </c>
      <c r="R2580">
        <v>-4.0952139999999998E-2</v>
      </c>
      <c r="S2580">
        <v>3.0673520000000001</v>
      </c>
      <c r="T2580">
        <v>-0.1219687</v>
      </c>
      <c r="U2580">
        <v>-0.18196109999999999</v>
      </c>
      <c r="V2580">
        <v>2.660823E-2</v>
      </c>
      <c r="W2580">
        <v>0.18605550000000001</v>
      </c>
      <c r="X2580">
        <v>0.98217889999999997</v>
      </c>
      <c r="Y2580">
        <v>4.4551420000000001E-2</v>
      </c>
      <c r="Z2580">
        <v>-3.0243480000000003E-4</v>
      </c>
      <c r="AA2580">
        <v>0.99900699999999998</v>
      </c>
      <c r="AB2580">
        <v>38</v>
      </c>
      <c r="AC2580">
        <v>27.474599999999999</v>
      </c>
      <c r="AD2580">
        <v>-1.1085426629799999</v>
      </c>
      <c r="AE2580">
        <v>-1.6477000000000099</v>
      </c>
      <c r="AF2580">
        <v>1.24266953485733</v>
      </c>
      <c r="AG2580">
        <v>-1.1085426629799999</v>
      </c>
      <c r="AH2580">
        <v>27.451276225435301</v>
      </c>
      <c r="AI2580">
        <v>92.310109453475704</v>
      </c>
      <c r="AJ2580">
        <v>87.408093363782001</v>
      </c>
      <c r="AK2580">
        <v>27.501739232522301</v>
      </c>
      <c r="AL2580">
        <v>79.277323646447002</v>
      </c>
      <c r="AM2580">
        <v>88.448178352828506</v>
      </c>
      <c r="AN2580">
        <v>1.0000000192945899</v>
      </c>
    </row>
    <row r="2581" spans="1:40" x14ac:dyDescent="0.25">
      <c r="A2581" t="str">
        <f>"20190312172710260"</f>
        <v>20190312172710260</v>
      </c>
      <c r="B2581" t="str">
        <f>"1552382830251529"</f>
        <v>1552382830251529</v>
      </c>
      <c r="C2581" t="s">
        <v>40</v>
      </c>
      <c r="D2581">
        <v>3.252853</v>
      </c>
      <c r="E2581">
        <v>0.51116879999999998</v>
      </c>
      <c r="F2581" t="s">
        <v>48</v>
      </c>
      <c r="G2581">
        <v>-366.76729999999998</v>
      </c>
      <c r="H2581" s="1">
        <v>2.0644090000000001E-6</v>
      </c>
      <c r="I2581">
        <v>211.7381</v>
      </c>
      <c r="J2581">
        <v>-394.39339999999999</v>
      </c>
      <c r="K2581">
        <v>1.1085499999999999</v>
      </c>
      <c r="L2581">
        <v>213.39920000000001</v>
      </c>
      <c r="M2581">
        <v>0.99987470000000001</v>
      </c>
      <c r="N2581">
        <v>0</v>
      </c>
      <c r="O2581">
        <v>-1.47651E-2</v>
      </c>
      <c r="P2581">
        <v>0.98267360000000004</v>
      </c>
      <c r="Q2581">
        <v>0.18074229999999999</v>
      </c>
      <c r="R2581">
        <v>-4.1046609999999997E-2</v>
      </c>
      <c r="S2581">
        <v>3.0674440000000001</v>
      </c>
      <c r="T2581">
        <v>-0.12149980000000001</v>
      </c>
      <c r="U2581">
        <v>-0.1826477</v>
      </c>
      <c r="V2581">
        <v>2.6599620000000001E-2</v>
      </c>
      <c r="W2581">
        <v>0.1863581</v>
      </c>
      <c r="X2581">
        <v>0.98212169999999999</v>
      </c>
      <c r="Y2581">
        <v>4.4669599999999997E-2</v>
      </c>
      <c r="Z2581">
        <v>-2.9951990000000003E-4</v>
      </c>
      <c r="AA2581">
        <v>0.99900169999999999</v>
      </c>
      <c r="AB2581">
        <v>38</v>
      </c>
      <c r="AC2581">
        <v>27.626100000000001</v>
      </c>
      <c r="AD2581">
        <v>-1.108547935591</v>
      </c>
      <c r="AE2581">
        <v>-1.6611</v>
      </c>
      <c r="AF2581">
        <v>1.2510030819404701</v>
      </c>
      <c r="AG2581">
        <v>-1.108547935591</v>
      </c>
      <c r="AH2581">
        <v>27.603329341414799</v>
      </c>
      <c r="AI2581">
        <v>92.297403338605605</v>
      </c>
      <c r="AJ2581">
        <v>87.405089001521603</v>
      </c>
      <c r="AK2581">
        <v>27.653890828726801</v>
      </c>
      <c r="AL2581">
        <v>79.259676647208906</v>
      </c>
      <c r="AM2581">
        <v>88.448589945560897</v>
      </c>
      <c r="AN2581">
        <v>0.99999995741532099</v>
      </c>
    </row>
    <row r="2582" spans="1:40" x14ac:dyDescent="0.25">
      <c r="A2582" t="str">
        <f>"20190312172710282"</f>
        <v>20190312172710282</v>
      </c>
      <c r="B2582" t="str">
        <f>"1552382830272026"</f>
        <v>1552382830272026</v>
      </c>
      <c r="C2582" t="s">
        <v>40</v>
      </c>
      <c r="D2582">
        <v>3.273628</v>
      </c>
      <c r="E2582">
        <v>0.51121229999999995</v>
      </c>
      <c r="F2582" t="s">
        <v>48</v>
      </c>
      <c r="G2582">
        <v>-366.32530000000003</v>
      </c>
      <c r="H2582" s="1">
        <v>1.8292340000000001E-6</v>
      </c>
      <c r="I2582">
        <v>211.72890000000001</v>
      </c>
      <c r="J2582">
        <v>-394.00380000000001</v>
      </c>
      <c r="K2582">
        <v>1.108552</v>
      </c>
      <c r="L2582">
        <v>213.39330000000001</v>
      </c>
      <c r="M2582">
        <v>0.99987309999999996</v>
      </c>
      <c r="N2582">
        <v>0</v>
      </c>
      <c r="O2582">
        <v>-1.4876840000000001E-2</v>
      </c>
      <c r="P2582">
        <v>0.98266830000000005</v>
      </c>
      <c r="Q2582">
        <v>0.1807192</v>
      </c>
      <c r="R2582">
        <v>-4.1280190000000001E-2</v>
      </c>
      <c r="S2582">
        <v>3.0675659999999998</v>
      </c>
      <c r="T2582">
        <v>-0.1211536</v>
      </c>
      <c r="U2582">
        <v>-0.18254090000000001</v>
      </c>
      <c r="V2582">
        <v>2.6720790000000001E-2</v>
      </c>
      <c r="W2582">
        <v>0.1863235</v>
      </c>
      <c r="X2582">
        <v>0.98212500000000003</v>
      </c>
      <c r="Y2582">
        <v>4.452126E-2</v>
      </c>
      <c r="Z2582">
        <v>-2.913236E-4</v>
      </c>
      <c r="AA2582">
        <v>0.99900840000000002</v>
      </c>
      <c r="AB2582">
        <v>38</v>
      </c>
      <c r="AC2582">
        <v>27.6784999999999</v>
      </c>
      <c r="AD2582">
        <v>-1.1085501707659999</v>
      </c>
      <c r="AE2582">
        <v>-1.6644000000000001</v>
      </c>
      <c r="AF2582">
        <v>1.25044192113608</v>
      </c>
      <c r="AG2582">
        <v>-1.1085501707659999</v>
      </c>
      <c r="AH2582">
        <v>27.655995687866898</v>
      </c>
      <c r="AI2582">
        <v>92.293048630961593</v>
      </c>
      <c r="AJ2582">
        <v>87.411184053505806</v>
      </c>
      <c r="AK2582">
        <v>27.706435822143401</v>
      </c>
      <c r="AL2582">
        <v>79.261694683389806</v>
      </c>
      <c r="AM2582">
        <v>88.4415314749603</v>
      </c>
      <c r="AN2582">
        <v>0.99999998144773605</v>
      </c>
    </row>
    <row r="2583" spans="1:40" x14ac:dyDescent="0.25">
      <c r="A2583" t="str">
        <f>"20190312172710305"</f>
        <v>20190312172710305</v>
      </c>
      <c r="B2583" t="str">
        <f>"1552382830301306"</f>
        <v>1552382830301306</v>
      </c>
      <c r="C2583" t="s">
        <v>40</v>
      </c>
      <c r="D2583">
        <v>3.2487110000000001</v>
      </c>
      <c r="E2583">
        <v>0.51126249999999995</v>
      </c>
      <c r="F2583" t="s">
        <v>48</v>
      </c>
      <c r="G2583">
        <v>-366.00810000000001</v>
      </c>
      <c r="H2583" s="1">
        <v>1.660444E-6</v>
      </c>
      <c r="I2583">
        <v>211.71729999999999</v>
      </c>
      <c r="J2583">
        <v>-393.61649999999997</v>
      </c>
      <c r="K2583">
        <v>1.1085430000000001</v>
      </c>
      <c r="L2583">
        <v>213.38749999999999</v>
      </c>
      <c r="M2583">
        <v>0.99987150000000002</v>
      </c>
      <c r="N2583">
        <v>0</v>
      </c>
      <c r="O2583">
        <v>-1.498729E-2</v>
      </c>
      <c r="P2583">
        <v>0.98259609999999997</v>
      </c>
      <c r="Q2583">
        <v>0.1811246</v>
      </c>
      <c r="R2583">
        <v>-4.1219659999999998E-2</v>
      </c>
      <c r="S2583">
        <v>3.0674739999999998</v>
      </c>
      <c r="T2583">
        <v>-0.1214634</v>
      </c>
      <c r="U2583">
        <v>-0.18363950000000001</v>
      </c>
      <c r="V2583">
        <v>2.655126E-2</v>
      </c>
      <c r="W2583">
        <v>0.18671750000000001</v>
      </c>
      <c r="X2583">
        <v>0.98205480000000001</v>
      </c>
      <c r="Y2583">
        <v>4.4768990000000002E-2</v>
      </c>
      <c r="Z2583">
        <v>-2.9260590000000002E-4</v>
      </c>
      <c r="AA2583">
        <v>0.99899729999999998</v>
      </c>
      <c r="AB2583">
        <v>39</v>
      </c>
      <c r="AC2583">
        <v>27.6083999999999</v>
      </c>
      <c r="AD2583">
        <v>-1.108541339556</v>
      </c>
      <c r="AE2583">
        <v>-1.6701999999999899</v>
      </c>
      <c r="AF2583">
        <v>1.25421592618268</v>
      </c>
      <c r="AG2583">
        <v>-1.108541339556</v>
      </c>
      <c r="AH2583">
        <v>27.586018966728599</v>
      </c>
      <c r="AI2583">
        <v>92.298814687797801</v>
      </c>
      <c r="AJ2583">
        <v>87.3968036061367</v>
      </c>
      <c r="AK2583">
        <v>27.636757478468901</v>
      </c>
      <c r="AL2583">
        <v>79.238717245279702</v>
      </c>
      <c r="AM2583">
        <v>88.451303702166598</v>
      </c>
      <c r="AN2583">
        <v>1.00000001220843</v>
      </c>
    </row>
    <row r="2584" spans="1:40" x14ac:dyDescent="0.25">
      <c r="A2584" t="str">
        <f>"20190312172710326"</f>
        <v>20190312172710326</v>
      </c>
      <c r="B2584" t="str">
        <f>"1552382830321802"</f>
        <v>1552382830321802</v>
      </c>
      <c r="C2584" t="s">
        <v>40</v>
      </c>
      <c r="D2584">
        <v>3.2596620000000001</v>
      </c>
      <c r="E2584">
        <v>0.51129590000000003</v>
      </c>
      <c r="F2584" t="s">
        <v>48</v>
      </c>
      <c r="G2584">
        <v>-365.54509999999999</v>
      </c>
      <c r="H2584" s="1">
        <v>1.414019E-6</v>
      </c>
      <c r="I2584">
        <v>211.70609999999999</v>
      </c>
      <c r="J2584">
        <v>-393.24020000000002</v>
      </c>
      <c r="K2584">
        <v>1.1085430000000001</v>
      </c>
      <c r="L2584">
        <v>213.3818</v>
      </c>
      <c r="M2584">
        <v>0.99986989999999998</v>
      </c>
      <c r="N2584">
        <v>0</v>
      </c>
      <c r="O2584">
        <v>-1.509429E-2</v>
      </c>
      <c r="P2584">
        <v>0.98266690000000001</v>
      </c>
      <c r="Q2584">
        <v>0.18079319999999999</v>
      </c>
      <c r="R2584">
        <v>-4.0982150000000002E-2</v>
      </c>
      <c r="S2584">
        <v>3.06778</v>
      </c>
      <c r="T2584">
        <v>-0.1211464</v>
      </c>
      <c r="U2584">
        <v>-0.1837463</v>
      </c>
      <c r="V2584">
        <v>2.620668E-2</v>
      </c>
      <c r="W2584">
        <v>0.1863773</v>
      </c>
      <c r="X2584">
        <v>0.98212869999999997</v>
      </c>
      <c r="Y2584">
        <v>4.4691080000000001E-2</v>
      </c>
      <c r="Z2584">
        <v>-2.8605850000000001E-4</v>
      </c>
      <c r="AA2584">
        <v>0.99900080000000002</v>
      </c>
      <c r="AB2584">
        <v>39</v>
      </c>
      <c r="AC2584">
        <v>27.6951</v>
      </c>
      <c r="AD2584">
        <v>-1.1085415859809999</v>
      </c>
      <c r="AE2584">
        <v>-1.6757</v>
      </c>
      <c r="AF2584">
        <v>1.2554603815923899</v>
      </c>
      <c r="AG2584">
        <v>-1.1085415859809999</v>
      </c>
      <c r="AH2584">
        <v>27.673064470654499</v>
      </c>
      <c r="AI2584">
        <v>92.291602178121707</v>
      </c>
      <c r="AJ2584">
        <v>87.402409438646004</v>
      </c>
      <c r="AK2584">
        <v>27.7237000130682</v>
      </c>
      <c r="AL2584">
        <v>79.258557802051996</v>
      </c>
      <c r="AM2584">
        <v>88.471507917786298</v>
      </c>
      <c r="AN2584">
        <v>1.0000000356978</v>
      </c>
    </row>
    <row r="2585" spans="1:40" x14ac:dyDescent="0.25">
      <c r="A2585" t="str">
        <f>"20190312172710349"</f>
        <v>20190312172710349</v>
      </c>
      <c r="B2585" t="str">
        <f>"1552382830341322"</f>
        <v>1552382830341322</v>
      </c>
      <c r="C2585" t="s">
        <v>40</v>
      </c>
      <c r="D2585">
        <v>3.2703310000000001</v>
      </c>
      <c r="E2585">
        <v>0.51135329999999901</v>
      </c>
      <c r="F2585" t="s">
        <v>48</v>
      </c>
      <c r="G2585">
        <v>-365.52670000000001</v>
      </c>
      <c r="H2585" s="1">
        <v>1.4042619999999901E-6</v>
      </c>
      <c r="I2585">
        <v>211.7217</v>
      </c>
      <c r="J2585">
        <v>-392.85860000000002</v>
      </c>
      <c r="K2585">
        <v>1.108538</v>
      </c>
      <c r="L2585">
        <v>213.3759</v>
      </c>
      <c r="M2585">
        <v>0.99986839999999999</v>
      </c>
      <c r="N2585">
        <v>0</v>
      </c>
      <c r="O2585">
        <v>-1.5202500000000001E-2</v>
      </c>
      <c r="P2585">
        <v>0.98269930000000005</v>
      </c>
      <c r="Q2585">
        <v>0.18063940000000001</v>
      </c>
      <c r="R2585">
        <v>-4.0883500000000003E-2</v>
      </c>
      <c r="S2585">
        <v>3.067841</v>
      </c>
      <c r="T2585">
        <v>-0.1227138</v>
      </c>
      <c r="U2585">
        <v>-0.1837616</v>
      </c>
      <c r="V2585">
        <v>2.6000559999999999E-2</v>
      </c>
      <c r="W2585">
        <v>0.1862171</v>
      </c>
      <c r="X2585">
        <v>0.9821645</v>
      </c>
      <c r="Y2585">
        <v>4.4586290000000001E-2</v>
      </c>
      <c r="Z2585">
        <v>-2.8333619999999999E-4</v>
      </c>
      <c r="AA2585">
        <v>0.99900549999999999</v>
      </c>
      <c r="AB2585">
        <v>39</v>
      </c>
      <c r="AC2585">
        <v>27.331900000000001</v>
      </c>
      <c r="AD2585">
        <v>-1.108536595738</v>
      </c>
      <c r="AE2585">
        <v>-1.6541999999999999</v>
      </c>
      <c r="AF2585">
        <v>1.23646242295069</v>
      </c>
      <c r="AG2585">
        <v>-1.108536595738</v>
      </c>
      <c r="AH2585">
        <v>27.309130673895901</v>
      </c>
      <c r="AI2585">
        <v>92.322107004823295</v>
      </c>
      <c r="AJ2585">
        <v>87.407616909968397</v>
      </c>
      <c r="AK2585">
        <v>27.359574391269</v>
      </c>
      <c r="AL2585">
        <v>79.267899437999304</v>
      </c>
      <c r="AM2585">
        <v>88.483579382261894</v>
      </c>
      <c r="AN2585">
        <v>0.99999997125648599</v>
      </c>
    </row>
    <row r="2586" spans="1:40" x14ac:dyDescent="0.25">
      <c r="A2586" t="str">
        <f>"20190312172710374"</f>
        <v>20190312172710374</v>
      </c>
      <c r="B2586" t="str">
        <f>"1552382830361818"</f>
        <v>1552382830361818</v>
      </c>
      <c r="C2586" t="s">
        <v>40</v>
      </c>
      <c r="D2586">
        <v>3.2773430000000001</v>
      </c>
      <c r="E2586">
        <v>0.51142279999999996</v>
      </c>
      <c r="F2586" t="s">
        <v>48</v>
      </c>
      <c r="G2586">
        <v>-365.25389999999999</v>
      </c>
      <c r="H2586" s="1">
        <v>1.2590580000000001E-6</v>
      </c>
      <c r="I2586">
        <v>211.72030000000001</v>
      </c>
      <c r="J2586">
        <v>-392.41950000000003</v>
      </c>
      <c r="K2586">
        <v>1.1085290000000001</v>
      </c>
      <c r="L2586">
        <v>213.3691</v>
      </c>
      <c r="M2586">
        <v>0.99986640000000004</v>
      </c>
      <c r="N2586">
        <v>0</v>
      </c>
      <c r="O2586">
        <v>-1.532621E-2</v>
      </c>
      <c r="P2586">
        <v>0.98262539999999998</v>
      </c>
      <c r="Q2586">
        <v>0.18105499999999999</v>
      </c>
      <c r="R2586">
        <v>-4.082645E-2</v>
      </c>
      <c r="S2586">
        <v>3.06778</v>
      </c>
      <c r="T2586">
        <v>-0.1231941</v>
      </c>
      <c r="U2586">
        <v>-0.1839905</v>
      </c>
      <c r="V2586">
        <v>2.5822359999999999E-2</v>
      </c>
      <c r="W2586">
        <v>0.18662609999999999</v>
      </c>
      <c r="X2586">
        <v>0.98209159999999995</v>
      </c>
      <c r="Y2586">
        <v>4.4538099999999997E-2</v>
      </c>
      <c r="Z2586">
        <v>-2.785229E-4</v>
      </c>
      <c r="AA2586">
        <v>0.9990076</v>
      </c>
      <c r="AB2586">
        <v>39</v>
      </c>
      <c r="AC2586">
        <v>27.165600000000001</v>
      </c>
      <c r="AD2586">
        <v>-1.108527740942</v>
      </c>
      <c r="AE2586">
        <v>-1.6487999999999901</v>
      </c>
      <c r="AF2586">
        <v>1.2302129484740401</v>
      </c>
      <c r="AG2586">
        <v>-1.108527740942</v>
      </c>
      <c r="AH2586">
        <v>27.142648654084699</v>
      </c>
      <c r="AI2586">
        <v>92.336310485466299</v>
      </c>
      <c r="AJ2586">
        <v>87.4049030903534</v>
      </c>
      <c r="AK2586">
        <v>27.1931173941149</v>
      </c>
      <c r="AL2586">
        <v>79.244047679023396</v>
      </c>
      <c r="AM2586">
        <v>88.493855928762599</v>
      </c>
      <c r="AN2586">
        <v>1.0000000031338601</v>
      </c>
    </row>
    <row r="2587" spans="1:40" x14ac:dyDescent="0.25">
      <c r="A2587" t="str">
        <f>"20190312172710395"</f>
        <v>20190312172710395</v>
      </c>
      <c r="B2587" t="str">
        <f>"1552382830391099"</f>
        <v>1552382830391099</v>
      </c>
      <c r="C2587" t="s">
        <v>40</v>
      </c>
      <c r="D2587">
        <v>3.2786819999999999</v>
      </c>
      <c r="E2587">
        <v>0.51145320000000005</v>
      </c>
      <c r="F2587" t="s">
        <v>48</v>
      </c>
      <c r="G2587">
        <v>-364.53429999999997</v>
      </c>
      <c r="H2587" s="1">
        <v>8.7615019999999995E-7</v>
      </c>
      <c r="I2587">
        <v>211.69409999999999</v>
      </c>
      <c r="J2587">
        <v>-392.03379999999999</v>
      </c>
      <c r="K2587">
        <v>1.1085210000000001</v>
      </c>
      <c r="L2587">
        <v>213.3631</v>
      </c>
      <c r="M2587">
        <v>0.9998648</v>
      </c>
      <c r="N2587">
        <v>0</v>
      </c>
      <c r="O2587">
        <v>-1.543491E-2</v>
      </c>
      <c r="P2587">
        <v>0.98260570000000003</v>
      </c>
      <c r="Q2587">
        <v>0.1812308</v>
      </c>
      <c r="R2587">
        <v>-4.051503E-2</v>
      </c>
      <c r="S2587">
        <v>3.067841</v>
      </c>
      <c r="T2587">
        <v>-0.12195689999999999</v>
      </c>
      <c r="U2587">
        <v>-0.18428040000000001</v>
      </c>
      <c r="V2587">
        <v>2.5404469999999998E-2</v>
      </c>
      <c r="W2587">
        <v>0.18679709999999999</v>
      </c>
      <c r="X2587">
        <v>0.98207</v>
      </c>
      <c r="Y2587">
        <v>4.4522949999999999E-2</v>
      </c>
      <c r="Z2587">
        <v>-2.7110680000000002E-4</v>
      </c>
      <c r="AA2587">
        <v>0.99900829999999996</v>
      </c>
      <c r="AB2587">
        <v>39</v>
      </c>
      <c r="AC2587">
        <v>27.499500000000001</v>
      </c>
      <c r="AD2587">
        <v>-1.1085201238497999</v>
      </c>
      <c r="AE2587">
        <v>-1.66900000000001</v>
      </c>
      <c r="AF2587">
        <v>1.24233073833853</v>
      </c>
      <c r="AG2587">
        <v>-1.1085201238497999</v>
      </c>
      <c r="AH2587">
        <v>27.4774998367634</v>
      </c>
      <c r="AI2587">
        <v>92.307866052878794</v>
      </c>
      <c r="AJ2587">
        <v>87.411268637891894</v>
      </c>
      <c r="AK2587">
        <v>27.5278985723163</v>
      </c>
      <c r="AL2587">
        <v>79.234074845482596</v>
      </c>
      <c r="AM2587">
        <v>88.518186719363698</v>
      </c>
      <c r="AN2587">
        <v>1.0000000142821901</v>
      </c>
    </row>
    <row r="2588" spans="1:40" x14ac:dyDescent="0.25">
      <c r="A2588" t="str">
        <f>"20190312172710416"</f>
        <v>20190312172710416</v>
      </c>
      <c r="B2588" t="str">
        <f>"1552382830411593"</f>
        <v>1552382830411593</v>
      </c>
      <c r="C2588" t="s">
        <v>40</v>
      </c>
      <c r="D2588">
        <v>3.258842</v>
      </c>
      <c r="E2588">
        <v>0.51149449999999996</v>
      </c>
      <c r="F2588" t="s">
        <v>48</v>
      </c>
      <c r="G2588">
        <v>-363.95339999999999</v>
      </c>
      <c r="H2588" s="1">
        <v>5.6700190000000004E-7</v>
      </c>
      <c r="I2588">
        <v>211.68049999999999</v>
      </c>
      <c r="J2588">
        <v>-391.6669</v>
      </c>
      <c r="K2588">
        <v>1.108517</v>
      </c>
      <c r="L2588">
        <v>213.35740000000001</v>
      </c>
      <c r="M2588">
        <v>0.99986330000000001</v>
      </c>
      <c r="N2588">
        <v>0</v>
      </c>
      <c r="O2588">
        <v>-1.553825E-2</v>
      </c>
      <c r="P2588">
        <v>0.98263630000000002</v>
      </c>
      <c r="Q2588">
        <v>0.1811624</v>
      </c>
      <c r="R2588">
        <v>-4.0078139999999998E-2</v>
      </c>
      <c r="S2588">
        <v>3.0678709999999998</v>
      </c>
      <c r="T2588">
        <v>-0.1211091</v>
      </c>
      <c r="U2588">
        <v>-0.1838379</v>
      </c>
      <c r="V2588">
        <v>2.4865419999999999E-2</v>
      </c>
      <c r="W2588">
        <v>0.18672169999999999</v>
      </c>
      <c r="X2588">
        <v>0.98209809999999997</v>
      </c>
      <c r="Y2588">
        <v>4.427611E-2</v>
      </c>
      <c r="Z2588">
        <v>-2.6028340000000002E-4</v>
      </c>
      <c r="AA2588">
        <v>0.99901930000000005</v>
      </c>
      <c r="AB2588">
        <v>39</v>
      </c>
      <c r="AC2588">
        <v>27.7135</v>
      </c>
      <c r="AD2588">
        <v>-1.1085164329981001</v>
      </c>
      <c r="AE2588">
        <v>-1.67690000000001</v>
      </c>
      <c r="AF2588">
        <v>1.24408818342073</v>
      </c>
      <c r="AG2588">
        <v>-1.1085164329981001</v>
      </c>
      <c r="AH2588">
        <v>27.692066862864198</v>
      </c>
      <c r="AI2588">
        <v>92.290024975931999</v>
      </c>
      <c r="AJ2588">
        <v>87.427671092018699</v>
      </c>
      <c r="AK2588">
        <v>27.742154408547599</v>
      </c>
      <c r="AL2588">
        <v>79.238471946488403</v>
      </c>
      <c r="AM2588">
        <v>88.549656786065995</v>
      </c>
      <c r="AN2588">
        <v>0.99999998019313796</v>
      </c>
    </row>
    <row r="2589" spans="1:40" x14ac:dyDescent="0.25">
      <c r="A2589" t="str">
        <f>"20190312172710438"</f>
        <v>20190312172710438</v>
      </c>
      <c r="B2589" t="str">
        <f>"1552382830431114"</f>
        <v>1552382830431114</v>
      </c>
      <c r="C2589" t="s">
        <v>40</v>
      </c>
      <c r="D2589">
        <v>3.284551</v>
      </c>
      <c r="E2589">
        <v>0.51090059999999904</v>
      </c>
      <c r="F2589" t="s">
        <v>48</v>
      </c>
      <c r="G2589">
        <v>-363.70069999999998</v>
      </c>
      <c r="H2589" s="1">
        <v>4.325282E-7</v>
      </c>
      <c r="I2589">
        <v>211.6902</v>
      </c>
      <c r="J2589">
        <v>-391.26780000000002</v>
      </c>
      <c r="K2589">
        <v>1.1085160000000001</v>
      </c>
      <c r="L2589">
        <v>213.3511</v>
      </c>
      <c r="M2589">
        <v>0.99986160000000002</v>
      </c>
      <c r="N2589">
        <v>0</v>
      </c>
      <c r="O2589">
        <v>-1.565064E-2</v>
      </c>
      <c r="P2589">
        <v>0.98257269999999997</v>
      </c>
      <c r="Q2589">
        <v>0.18149999999999999</v>
      </c>
      <c r="R2589">
        <v>-4.011108E-2</v>
      </c>
      <c r="S2589">
        <v>3.0679630000000002</v>
      </c>
      <c r="T2589">
        <v>-0.1216071</v>
      </c>
      <c r="U2589">
        <v>-0.18289179999999999</v>
      </c>
      <c r="V2589">
        <v>2.4789019999999998E-2</v>
      </c>
      <c r="W2589">
        <v>0.18705140000000001</v>
      </c>
      <c r="X2589">
        <v>0.9820373</v>
      </c>
      <c r="Y2589">
        <v>4.3855320000000003E-2</v>
      </c>
      <c r="Z2589">
        <v>-2.4857029999999998E-4</v>
      </c>
      <c r="AA2589">
        <v>0.99903790000000003</v>
      </c>
      <c r="AB2589">
        <v>39</v>
      </c>
      <c r="AC2589">
        <v>27.5671</v>
      </c>
      <c r="AD2589">
        <v>-1.1085155674717999</v>
      </c>
      <c r="AE2589">
        <v>-1.6608999999999901</v>
      </c>
      <c r="AF2589">
        <v>1.22726966392202</v>
      </c>
      <c r="AG2589">
        <v>-1.1085155674717999</v>
      </c>
      <c r="AH2589">
        <v>27.545339231833498</v>
      </c>
      <c r="AI2589">
        <v>92.302246644948696</v>
      </c>
      <c r="AJ2589">
        <v>87.448900604715902</v>
      </c>
      <c r="AK2589">
        <v>27.594939952609</v>
      </c>
      <c r="AL2589">
        <v>79.219242846617604</v>
      </c>
      <c r="AM2589">
        <v>88.554021649134299</v>
      </c>
      <c r="AN2589">
        <v>0.99999999017290497</v>
      </c>
    </row>
    <row r="2590" spans="1:40" x14ac:dyDescent="0.25">
      <c r="A2590" t="str">
        <f>"20190312172710461"</f>
        <v>20190312172710461</v>
      </c>
      <c r="B2590" t="str">
        <f>"1552382830451610"</f>
        <v>1552382830451610</v>
      </c>
      <c r="C2590" t="s">
        <v>40</v>
      </c>
      <c r="D2590">
        <v>3.212491</v>
      </c>
      <c r="E2590">
        <v>0.47964269999999998</v>
      </c>
      <c r="F2590" t="s">
        <v>48</v>
      </c>
      <c r="G2590">
        <v>-363.03449999999998</v>
      </c>
      <c r="H2590" s="1">
        <v>7.8052039999999897E-8</v>
      </c>
      <c r="I2590">
        <v>211.7081</v>
      </c>
      <c r="J2590">
        <v>-390.86989999999997</v>
      </c>
      <c r="K2590">
        <v>1.108509</v>
      </c>
      <c r="L2590">
        <v>213.34479999999999</v>
      </c>
      <c r="M2590">
        <v>0.99985979999999997</v>
      </c>
      <c r="N2590">
        <v>0</v>
      </c>
      <c r="O2590">
        <v>-1.5762439999999999E-2</v>
      </c>
      <c r="P2590">
        <v>0.98252450000000002</v>
      </c>
      <c r="Q2590">
        <v>0.18171580000000001</v>
      </c>
      <c r="R2590">
        <v>-4.031303E-2</v>
      </c>
      <c r="S2590">
        <v>3.0681759999999998</v>
      </c>
      <c r="T2590">
        <v>-0.120465</v>
      </c>
      <c r="U2590">
        <v>-0.17854310000000001</v>
      </c>
      <c r="V2590">
        <v>2.488193E-2</v>
      </c>
      <c r="W2590">
        <v>0.18726039999999999</v>
      </c>
      <c r="X2590">
        <v>0.98199510000000001</v>
      </c>
      <c r="Y2590">
        <v>4.2329970000000001E-2</v>
      </c>
      <c r="Z2590">
        <v>-2.119383E-4</v>
      </c>
      <c r="AA2590">
        <v>0.99910370000000004</v>
      </c>
      <c r="AB2590">
        <v>39</v>
      </c>
      <c r="AC2590">
        <v>27.8354</v>
      </c>
      <c r="AD2590">
        <v>-1.10850892194796</v>
      </c>
      <c r="AE2590">
        <v>-1.6366999999999901</v>
      </c>
      <c r="AF2590">
        <v>1.1958458408088299</v>
      </c>
      <c r="AG2590">
        <v>-1.10850892194796</v>
      </c>
      <c r="AH2590">
        <v>27.8137818831859</v>
      </c>
      <c r="AI2590">
        <v>92.280191817188495</v>
      </c>
      <c r="AJ2590">
        <v>87.538100076364103</v>
      </c>
      <c r="AK2590">
        <v>27.861538039929801</v>
      </c>
      <c r="AL2590">
        <v>79.207052433155596</v>
      </c>
      <c r="AM2590">
        <v>88.548542046975001</v>
      </c>
      <c r="AN2590">
        <v>0.99999997213634695</v>
      </c>
    </row>
    <row r="2591" spans="1:40" x14ac:dyDescent="0.25">
      <c r="A2591" t="str">
        <f>"20190312172710483"</f>
        <v>20190312172710483</v>
      </c>
      <c r="B2591" t="str">
        <f>"1552382830471129"</f>
        <v>1552382830471129</v>
      </c>
      <c r="C2591" t="s">
        <v>40</v>
      </c>
      <c r="D2591">
        <v>3.1839520000000001</v>
      </c>
      <c r="E2591">
        <v>0.47614030000000002</v>
      </c>
      <c r="F2591" t="s">
        <v>48</v>
      </c>
      <c r="G2591">
        <v>-356.81650000000002</v>
      </c>
      <c r="H2591" s="1">
        <v>2.1122509999999998E-6</v>
      </c>
      <c r="I2591">
        <v>214.12129999999999</v>
      </c>
      <c r="J2591">
        <v>-390.476</v>
      </c>
      <c r="K2591">
        <v>1.108511</v>
      </c>
      <c r="L2591">
        <v>213.33850000000001</v>
      </c>
      <c r="M2591">
        <v>0.99985829999999998</v>
      </c>
      <c r="N2591">
        <v>0</v>
      </c>
      <c r="O2591">
        <v>-1.5873040000000001E-2</v>
      </c>
      <c r="P2591">
        <v>0.98256869999999996</v>
      </c>
      <c r="Q2591">
        <v>0.18144360000000001</v>
      </c>
      <c r="R2591">
        <v>-4.0461780000000003E-2</v>
      </c>
      <c r="S2591">
        <v>3.0747070000000001</v>
      </c>
      <c r="T2591">
        <v>-0.100088</v>
      </c>
      <c r="U2591">
        <v>7.0114140000000005E-2</v>
      </c>
      <c r="V2591">
        <v>2.4921349999999998E-2</v>
      </c>
      <c r="W2591">
        <v>0.18698119999999999</v>
      </c>
      <c r="X2591">
        <v>0.98204729999999996</v>
      </c>
      <c r="Y2591">
        <v>-3.8635030000000001E-2</v>
      </c>
      <c r="Z2591">
        <v>1.1450880000000001E-3</v>
      </c>
      <c r="AA2591">
        <v>0.99925269999999999</v>
      </c>
      <c r="AB2591">
        <v>40</v>
      </c>
      <c r="AC2591">
        <v>33.659499999999902</v>
      </c>
      <c r="AD2591">
        <v>-1.1085088877489999</v>
      </c>
      <c r="AE2591">
        <v>0.78279999999997996</v>
      </c>
      <c r="AF2591">
        <v>-1.31556229546207</v>
      </c>
      <c r="AG2591">
        <v>-1.1085088877489999</v>
      </c>
      <c r="AH2591">
        <v>33.606404423593403</v>
      </c>
      <c r="AI2591">
        <v>91.887774279484205</v>
      </c>
      <c r="AJ2591">
        <v>92.241766149657806</v>
      </c>
      <c r="AK2591">
        <v>33.6504073435907</v>
      </c>
      <c r="AL2591">
        <v>79.223337041108707</v>
      </c>
      <c r="AM2591">
        <v>88.546320754119407</v>
      </c>
      <c r="AN2591">
        <v>0.99999997113827499</v>
      </c>
    </row>
    <row r="2592" spans="1:40" x14ac:dyDescent="0.25">
      <c r="A2592" t="str">
        <f>"20190312172710528"</f>
        <v>20190312172710528</v>
      </c>
      <c r="B2592" t="str">
        <f>"1552382830521882"</f>
        <v>1552382830521882</v>
      </c>
      <c r="C2592" t="s">
        <v>40</v>
      </c>
      <c r="D2592">
        <v>3.1962090000000001</v>
      </c>
      <c r="E2592">
        <v>0.47434460000000001</v>
      </c>
      <c r="F2592" t="s">
        <v>48</v>
      </c>
      <c r="G2592">
        <v>-353.22089999999997</v>
      </c>
      <c r="H2592" s="1">
        <v>1.815633E-7</v>
      </c>
      <c r="I2592">
        <v>214.51750000000001</v>
      </c>
      <c r="J2592">
        <v>-389.68630000000002</v>
      </c>
      <c r="K2592">
        <v>1.1085</v>
      </c>
      <c r="L2592">
        <v>213.32570000000001</v>
      </c>
      <c r="M2592">
        <v>0.99985489999999999</v>
      </c>
      <c r="N2592">
        <v>0</v>
      </c>
      <c r="O2592">
        <v>-1.609435E-2</v>
      </c>
      <c r="P2592">
        <v>0.98258210000000001</v>
      </c>
      <c r="Q2592">
        <v>0.18143699999999999</v>
      </c>
      <c r="R2592">
        <v>-4.0168370000000002E-2</v>
      </c>
      <c r="S2592">
        <v>3.0741269999999998</v>
      </c>
      <c r="T2592">
        <v>-9.1469529999999993E-2</v>
      </c>
      <c r="U2592">
        <v>9.7290039999999994E-2</v>
      </c>
      <c r="V2592">
        <v>2.4410479999999998E-2</v>
      </c>
      <c r="W2592">
        <v>0.1869526</v>
      </c>
      <c r="X2592">
        <v>0.98206559999999998</v>
      </c>
      <c r="Y2592">
        <v>-4.7686439999999997E-2</v>
      </c>
      <c r="Z2592">
        <v>1.18779E-3</v>
      </c>
      <c r="AA2592">
        <v>0.99886169999999996</v>
      </c>
      <c r="AB2592">
        <v>40</v>
      </c>
      <c r="AC2592">
        <v>36.465400000000002</v>
      </c>
      <c r="AD2592">
        <v>-1.1084998184366901</v>
      </c>
      <c r="AE2592">
        <v>1.1918</v>
      </c>
      <c r="AF2592">
        <v>-1.7769014361290101</v>
      </c>
      <c r="AG2592">
        <v>-1.1084998184366901</v>
      </c>
      <c r="AH2592">
        <v>36.407887340814597</v>
      </c>
      <c r="AI2592">
        <v>91.741856337319206</v>
      </c>
      <c r="AJ2592">
        <v>92.794126231376396</v>
      </c>
      <c r="AK2592">
        <v>36.468073861703203</v>
      </c>
      <c r="AL2592">
        <v>79.225005369008201</v>
      </c>
      <c r="AM2592">
        <v>88.576134273601895</v>
      </c>
      <c r="AN2592">
        <v>0.99999999444197496</v>
      </c>
    </row>
    <row r="2593" spans="1:40" x14ac:dyDescent="0.25">
      <c r="A2593" t="str">
        <f>"20190312172710550"</f>
        <v>20190312172710550</v>
      </c>
      <c r="B2593" t="str">
        <f>"1552382830541402"</f>
        <v>1552382830541402</v>
      </c>
      <c r="C2593" t="s">
        <v>40</v>
      </c>
      <c r="D2593">
        <v>3.207945</v>
      </c>
      <c r="E2593">
        <v>0.47407009999999999</v>
      </c>
      <c r="F2593" t="s">
        <v>48</v>
      </c>
      <c r="G2593">
        <v>-352.82249999999999</v>
      </c>
      <c r="H2593" s="1">
        <v>-3.7110010000000003E-8</v>
      </c>
      <c r="I2593">
        <v>214.66919999999999</v>
      </c>
      <c r="J2593">
        <v>-389.3021</v>
      </c>
      <c r="K2593">
        <v>1.108487</v>
      </c>
      <c r="L2593">
        <v>213.31950000000001</v>
      </c>
      <c r="M2593">
        <v>0.99985310000000005</v>
      </c>
      <c r="N2593">
        <v>0</v>
      </c>
      <c r="O2593">
        <v>-1.62016E-2</v>
      </c>
      <c r="P2593">
        <v>0.98261489999999996</v>
      </c>
      <c r="Q2593">
        <v>0.1812494</v>
      </c>
      <c r="R2593">
        <v>-4.0209439999999999E-2</v>
      </c>
      <c r="S2593">
        <v>3.0748600000000001</v>
      </c>
      <c r="T2593">
        <v>-9.2461349999999998E-2</v>
      </c>
      <c r="U2593">
        <v>0.11206049999999999</v>
      </c>
      <c r="V2593">
        <v>2.4345559999999999E-2</v>
      </c>
      <c r="W2593">
        <v>0.18675120000000001</v>
      </c>
      <c r="X2593">
        <v>0.98210560000000002</v>
      </c>
      <c r="Y2593">
        <v>-5.2575209999999997E-2</v>
      </c>
      <c r="Z2593">
        <v>1.2769700000000001E-3</v>
      </c>
      <c r="AA2593">
        <v>0.99861619999999995</v>
      </c>
      <c r="AB2593">
        <v>40</v>
      </c>
      <c r="AC2593">
        <v>36.479599999999998</v>
      </c>
      <c r="AD2593">
        <v>-1.10848703711001</v>
      </c>
      <c r="AE2593">
        <v>1.3496999999999799</v>
      </c>
      <c r="AF2593">
        <v>-1.9387722768643001</v>
      </c>
      <c r="AG2593">
        <v>-1.10848703711001</v>
      </c>
      <c r="AH2593">
        <v>36.419362653655298</v>
      </c>
      <c r="AI2593">
        <v>91.740895582887205</v>
      </c>
      <c r="AJ2593">
        <v>93.047244780523997</v>
      </c>
      <c r="AK2593">
        <v>36.487772712943702</v>
      </c>
      <c r="AL2593">
        <v>79.236752362508398</v>
      </c>
      <c r="AM2593">
        <v>88.579977325483497</v>
      </c>
      <c r="AN2593">
        <v>1.0000000632722501</v>
      </c>
    </row>
    <row r="2594" spans="1:40" x14ac:dyDescent="0.25">
      <c r="A2594" t="str">
        <f>"20190312172710573"</f>
        <v>20190312172710573</v>
      </c>
      <c r="B2594" t="str">
        <f>"1552382830561897"</f>
        <v>1552382830561897</v>
      </c>
      <c r="C2594" t="s">
        <v>40</v>
      </c>
      <c r="D2594">
        <v>3.1917309999999999</v>
      </c>
      <c r="E2594">
        <v>0.47369689999999998</v>
      </c>
      <c r="F2594" t="s">
        <v>48</v>
      </c>
      <c r="G2594">
        <v>-353.5686</v>
      </c>
      <c r="H2594" s="1">
        <v>3.6087750000000002E-7</v>
      </c>
      <c r="I2594">
        <v>214.6474</v>
      </c>
      <c r="J2594">
        <v>-388.87299999999999</v>
      </c>
      <c r="K2594">
        <v>1.1084750000000001</v>
      </c>
      <c r="L2594">
        <v>213.3124</v>
      </c>
      <c r="M2594">
        <v>0.9998513</v>
      </c>
      <c r="N2594">
        <v>0</v>
      </c>
      <c r="O2594">
        <v>-1.6321849999999999E-2</v>
      </c>
      <c r="P2594">
        <v>0.98261120000000002</v>
      </c>
      <c r="Q2594">
        <v>0.18129960000000001</v>
      </c>
      <c r="R2594">
        <v>-4.0075779999999998E-2</v>
      </c>
      <c r="S2594">
        <v>3.0753170000000001</v>
      </c>
      <c r="T2594">
        <v>-9.539926E-2</v>
      </c>
      <c r="U2594">
        <v>0.1142883</v>
      </c>
      <c r="V2594">
        <v>2.4094020000000001E-2</v>
      </c>
      <c r="W2594">
        <v>0.1867877</v>
      </c>
      <c r="X2594">
        <v>0.9821048</v>
      </c>
      <c r="Y2594">
        <v>-5.3409860000000003E-2</v>
      </c>
      <c r="Z2594">
        <v>1.33398E-3</v>
      </c>
      <c r="AA2594">
        <v>0.99857180000000001</v>
      </c>
      <c r="AB2594">
        <v>40</v>
      </c>
      <c r="AC2594">
        <v>35.304400000000001</v>
      </c>
      <c r="AD2594">
        <v>-1.1084746391225</v>
      </c>
      <c r="AE2594">
        <v>1.335</v>
      </c>
      <c r="AF2594">
        <v>-1.90918479572647</v>
      </c>
      <c r="AG2594">
        <v>-1.1084746391225</v>
      </c>
      <c r="AH2594">
        <v>35.243213383941601</v>
      </c>
      <c r="AI2594">
        <v>91.798845509170903</v>
      </c>
      <c r="AJ2594">
        <v>93.100779016308095</v>
      </c>
      <c r="AK2594">
        <v>35.312289535455598</v>
      </c>
      <c r="AL2594">
        <v>79.234622945816298</v>
      </c>
      <c r="AM2594">
        <v>88.5946420384725</v>
      </c>
      <c r="AN2594">
        <v>1.0000000024270399</v>
      </c>
    </row>
    <row r="2595" spans="1:40" x14ac:dyDescent="0.25">
      <c r="A2595" t="str">
        <f>"20190312172710618"</f>
        <v>20190312172710618</v>
      </c>
      <c r="B2595" t="str">
        <f>"1552382830611674"</f>
        <v>1552382830611674</v>
      </c>
      <c r="C2595" t="s">
        <v>40</v>
      </c>
      <c r="D2595">
        <v>3.2005750000000002</v>
      </c>
      <c r="E2595">
        <v>0.47327599999999997</v>
      </c>
      <c r="F2595" t="s">
        <v>48</v>
      </c>
      <c r="G2595">
        <v>-352.96499999999997</v>
      </c>
      <c r="H2595" s="1">
        <v>3.7843359999999999E-8</v>
      </c>
      <c r="I2595">
        <v>214.68979999999999</v>
      </c>
      <c r="J2595">
        <v>-388.07440000000003</v>
      </c>
      <c r="K2595">
        <v>1.1084620000000001</v>
      </c>
      <c r="L2595">
        <v>213.29920000000001</v>
      </c>
      <c r="M2595">
        <v>0.99984759999999995</v>
      </c>
      <c r="N2595">
        <v>0</v>
      </c>
      <c r="O2595">
        <v>-1.6544340000000001E-2</v>
      </c>
      <c r="P2595">
        <v>0.98258500000000004</v>
      </c>
      <c r="Q2595">
        <v>0.1814238</v>
      </c>
      <c r="R2595">
        <v>-4.0152239999999999E-2</v>
      </c>
      <c r="S2595">
        <v>3.0754389999999998</v>
      </c>
      <c r="T2595">
        <v>-9.4938640000000005E-2</v>
      </c>
      <c r="U2595">
        <v>0.11796570000000001</v>
      </c>
      <c r="V2595">
        <v>2.39527E-2</v>
      </c>
      <c r="W2595">
        <v>0.18688660000000001</v>
      </c>
      <c r="X2595">
        <v>0.98208949999999995</v>
      </c>
      <c r="Y2595">
        <v>-5.4822419999999997E-2</v>
      </c>
      <c r="Z2595">
        <v>1.356115E-3</v>
      </c>
      <c r="AA2595">
        <v>0.99849520000000003</v>
      </c>
      <c r="AB2595">
        <v>40</v>
      </c>
      <c r="AC2595">
        <v>35.109400000000001</v>
      </c>
      <c r="AD2595">
        <v>-1.1084619621566301</v>
      </c>
      <c r="AE2595">
        <v>1.3905999999999701</v>
      </c>
      <c r="AF2595">
        <v>-1.9693206548281299</v>
      </c>
      <c r="AG2595">
        <v>-1.1084619621566301</v>
      </c>
      <c r="AH2595">
        <v>35.046708840845703</v>
      </c>
      <c r="AI2595">
        <v>91.808703321841094</v>
      </c>
      <c r="AJ2595">
        <v>93.216143086084998</v>
      </c>
      <c r="AK2595">
        <v>35.1194919145778</v>
      </c>
      <c r="AL2595">
        <v>79.228855444428106</v>
      </c>
      <c r="AM2595">
        <v>88.602859929117699</v>
      </c>
      <c r="AN2595">
        <v>1.0000000595535401</v>
      </c>
    </row>
    <row r="2596" spans="1:40" x14ac:dyDescent="0.25">
      <c r="A2596" t="str">
        <f>"20190312172710639"</f>
        <v>20190312172710639</v>
      </c>
      <c r="B2596" t="str">
        <f>"1552382830631194"</f>
        <v>1552382830631194</v>
      </c>
      <c r="C2596" t="s">
        <v>40</v>
      </c>
      <c r="D2596">
        <v>3.204844</v>
      </c>
      <c r="E2596">
        <v>0.47330859999999902</v>
      </c>
      <c r="F2596" t="s">
        <v>48</v>
      </c>
      <c r="G2596">
        <v>-352.09359999999998</v>
      </c>
      <c r="H2596" s="1">
        <v>-4.2668930000000002E-7</v>
      </c>
      <c r="I2596">
        <v>214.70779999999999</v>
      </c>
      <c r="J2596">
        <v>-387.67959999999999</v>
      </c>
      <c r="K2596">
        <v>1.108457</v>
      </c>
      <c r="L2596">
        <v>213.29259999999999</v>
      </c>
      <c r="M2596">
        <v>0.99984600000000001</v>
      </c>
      <c r="N2596">
        <v>0</v>
      </c>
      <c r="O2596">
        <v>-1.6654450000000001E-2</v>
      </c>
      <c r="P2596">
        <v>0.98253080000000004</v>
      </c>
      <c r="Q2596">
        <v>0.1817281</v>
      </c>
      <c r="R2596">
        <v>-4.0105099999999998E-2</v>
      </c>
      <c r="S2596">
        <v>3.0755620000000001</v>
      </c>
      <c r="T2596">
        <v>-9.4748970000000002E-2</v>
      </c>
      <c r="U2596">
        <v>0.1204071</v>
      </c>
      <c r="V2596">
        <v>2.3798570000000002E-2</v>
      </c>
      <c r="W2596">
        <v>0.1871775</v>
      </c>
      <c r="X2596">
        <v>0.98203779999999996</v>
      </c>
      <c r="Y2596">
        <v>-5.5721920000000001E-2</v>
      </c>
      <c r="Z2596">
        <v>1.3705709999999999E-3</v>
      </c>
      <c r="AA2596">
        <v>0.99844540000000004</v>
      </c>
      <c r="AB2596">
        <v>40</v>
      </c>
      <c r="AC2596">
        <v>35.585999999999999</v>
      </c>
      <c r="AD2596">
        <v>-1.1084574266892999</v>
      </c>
      <c r="AE2596">
        <v>1.41519999999999</v>
      </c>
      <c r="AF2596">
        <v>-2.0057350663998599</v>
      </c>
      <c r="AG2596">
        <v>-1.1084574266892999</v>
      </c>
      <c r="AH2596">
        <v>35.5230829776606</v>
      </c>
      <c r="AI2596">
        <v>91.784429423140594</v>
      </c>
      <c r="AJ2596">
        <v>93.231652594405404</v>
      </c>
      <c r="AK2596">
        <v>35.596925081545002</v>
      </c>
      <c r="AL2596">
        <v>79.211888213363594</v>
      </c>
      <c r="AM2596">
        <v>88.611773616696297</v>
      </c>
      <c r="AN2596">
        <v>1.00000001453456</v>
      </c>
    </row>
    <row r="2597" spans="1:40" x14ac:dyDescent="0.25">
      <c r="A2597" t="str">
        <f>"20190312172710661"</f>
        <v>20190312172710661</v>
      </c>
      <c r="B2597" t="str">
        <f>"1552382830651690"</f>
        <v>1552382830651690</v>
      </c>
      <c r="C2597" t="s">
        <v>40</v>
      </c>
      <c r="D2597">
        <v>3.2134819999999999</v>
      </c>
      <c r="E2597">
        <v>0.47327839999999999</v>
      </c>
      <c r="F2597" t="s">
        <v>48</v>
      </c>
      <c r="G2597">
        <v>-351.74880000000002</v>
      </c>
      <c r="H2597" s="1">
        <v>-6.0958330000000004E-7</v>
      </c>
      <c r="I2597">
        <v>214.6944</v>
      </c>
      <c r="J2597">
        <v>-387.26900000000001</v>
      </c>
      <c r="K2597">
        <v>1.1084529999999999</v>
      </c>
      <c r="L2597">
        <v>213.28559999999999</v>
      </c>
      <c r="M2597">
        <v>0.99984410000000001</v>
      </c>
      <c r="N2597">
        <v>0</v>
      </c>
      <c r="O2597">
        <v>-1.6768379999999999E-2</v>
      </c>
      <c r="P2597">
        <v>0.98255289999999995</v>
      </c>
      <c r="Q2597">
        <v>0.18172769999999999</v>
      </c>
      <c r="R2597">
        <v>-3.9559459999999998E-2</v>
      </c>
      <c r="S2597">
        <v>3.075745</v>
      </c>
      <c r="T2597">
        <v>-9.4886059999999994E-2</v>
      </c>
      <c r="U2597">
        <v>0.11999509999999999</v>
      </c>
      <c r="V2597">
        <v>2.3140899999999999E-2</v>
      </c>
      <c r="W2597">
        <v>0.18716530000000001</v>
      </c>
      <c r="X2597">
        <v>0.98205580000000003</v>
      </c>
      <c r="Y2597">
        <v>-5.5699690000000003E-2</v>
      </c>
      <c r="Z2597">
        <v>1.375645E-3</v>
      </c>
      <c r="AA2597">
        <v>0.99844659999999996</v>
      </c>
      <c r="AB2597">
        <v>41</v>
      </c>
      <c r="AC2597">
        <v>35.520199999999903</v>
      </c>
      <c r="AD2597">
        <v>-1.1084536095833</v>
      </c>
      <c r="AE2597">
        <v>1.40880000000001</v>
      </c>
      <c r="AF2597">
        <v>-2.0022804182445499</v>
      </c>
      <c r="AG2597">
        <v>-1.1084536095833</v>
      </c>
      <c r="AH2597">
        <v>35.457107031927798</v>
      </c>
      <c r="AI2597">
        <v>91.787740684337194</v>
      </c>
      <c r="AJ2597">
        <v>93.232088379927106</v>
      </c>
      <c r="AK2597">
        <v>35.530891282818502</v>
      </c>
      <c r="AL2597">
        <v>79.212599339112401</v>
      </c>
      <c r="AM2597">
        <v>88.6501473861736</v>
      </c>
      <c r="AN2597">
        <v>0.99999997254526896</v>
      </c>
    </row>
    <row r="2598" spans="1:40" x14ac:dyDescent="0.25">
      <c r="A2598" t="str">
        <f>"20190312172710683"</f>
        <v>20190312172710683</v>
      </c>
      <c r="B2598" t="str">
        <f>"1552382830671210"</f>
        <v>1552382830671210</v>
      </c>
      <c r="C2598" t="s">
        <v>40</v>
      </c>
      <c r="D2598">
        <v>3.2786330000000001</v>
      </c>
      <c r="E2598">
        <v>0.47323680000000001</v>
      </c>
      <c r="F2598" t="s">
        <v>48</v>
      </c>
      <c r="G2598">
        <v>-351.47739999999999</v>
      </c>
      <c r="H2598" s="1">
        <v>-7.5448929999999998E-7</v>
      </c>
      <c r="I2598">
        <v>214.70519999999999</v>
      </c>
      <c r="J2598">
        <v>-386.86219999999997</v>
      </c>
      <c r="K2598">
        <v>1.1084499999999999</v>
      </c>
      <c r="L2598">
        <v>213.27869999999999</v>
      </c>
      <c r="M2598">
        <v>0.99984220000000001</v>
      </c>
      <c r="N2598">
        <v>0</v>
      </c>
      <c r="O2598">
        <v>-1.6881489999999999E-2</v>
      </c>
      <c r="P2598">
        <v>0.98251520000000003</v>
      </c>
      <c r="Q2598">
        <v>0.1818893</v>
      </c>
      <c r="R2598">
        <v>-3.9753410000000003E-2</v>
      </c>
      <c r="S2598">
        <v>3.0757750000000001</v>
      </c>
      <c r="T2598">
        <v>-9.5255610000000004E-2</v>
      </c>
      <c r="U2598">
        <v>0.12199400000000001</v>
      </c>
      <c r="V2598">
        <v>2.322457E-2</v>
      </c>
      <c r="W2598">
        <v>0.1873166</v>
      </c>
      <c r="X2598">
        <v>0.98202500000000004</v>
      </c>
      <c r="Y2598">
        <v>-5.6459420000000003E-2</v>
      </c>
      <c r="Z2598">
        <v>1.3962270000000001E-3</v>
      </c>
      <c r="AA2598">
        <v>0.99840390000000001</v>
      </c>
      <c r="AB2598">
        <v>41</v>
      </c>
      <c r="AC2598">
        <v>35.384799999999899</v>
      </c>
      <c r="AD2598">
        <v>-1.1084507544893001</v>
      </c>
      <c r="AE2598">
        <v>1.4265000000000001</v>
      </c>
      <c r="AF2598">
        <v>-2.02167336030486</v>
      </c>
      <c r="AG2598">
        <v>-1.1084507544893001</v>
      </c>
      <c r="AH2598">
        <v>35.321071478994099</v>
      </c>
      <c r="AI2598">
        <v>91.794538968696699</v>
      </c>
      <c r="AJ2598">
        <v>93.275866254404605</v>
      </c>
      <c r="AK2598">
        <v>35.396241561430003</v>
      </c>
      <c r="AL2598">
        <v>79.203774654718501</v>
      </c>
      <c r="AM2598">
        <v>88.645226098220405</v>
      </c>
      <c r="AN2598">
        <v>0.99999999495612202</v>
      </c>
    </row>
    <row r="2599" spans="1:40" x14ac:dyDescent="0.25">
      <c r="A2599" t="str">
        <f>"20190312172710706"</f>
        <v>20190312172710706</v>
      </c>
      <c r="B2599" t="str">
        <f>"1552382830701466"</f>
        <v>1552382830701466</v>
      </c>
      <c r="C2599" t="s">
        <v>40</v>
      </c>
      <c r="D2599">
        <v>3.1877719999999998</v>
      </c>
      <c r="E2599">
        <v>0.473269</v>
      </c>
      <c r="F2599" t="s">
        <v>48</v>
      </c>
      <c r="G2599">
        <v>-351.0881</v>
      </c>
      <c r="H2599" s="1">
        <v>-9.610802999999999E-7</v>
      </c>
      <c r="I2599">
        <v>214.69239999999999</v>
      </c>
      <c r="J2599">
        <v>-386.46730000000002</v>
      </c>
      <c r="K2599">
        <v>1.1084449999999999</v>
      </c>
      <c r="L2599">
        <v>213.27199999999999</v>
      </c>
      <c r="M2599">
        <v>0.99984039999999996</v>
      </c>
      <c r="N2599">
        <v>0</v>
      </c>
      <c r="O2599">
        <v>-1.699113E-2</v>
      </c>
      <c r="P2599">
        <v>0.98250680000000001</v>
      </c>
      <c r="Q2599">
        <v>0.18196789999999999</v>
      </c>
      <c r="R2599">
        <v>-3.9600410000000003E-2</v>
      </c>
      <c r="S2599">
        <v>3.0759280000000002</v>
      </c>
      <c r="T2599">
        <v>-9.5306870000000002E-2</v>
      </c>
      <c r="U2599">
        <v>0.12155150000000001</v>
      </c>
      <c r="V2599">
        <v>2.296434E-2</v>
      </c>
      <c r="W2599">
        <v>0.18738540000000001</v>
      </c>
      <c r="X2599">
        <v>0.98201799999999995</v>
      </c>
      <c r="Y2599">
        <v>-5.6423460000000002E-2</v>
      </c>
      <c r="Z2599">
        <v>1.3997510000000001E-3</v>
      </c>
      <c r="AA2599">
        <v>0.99840589999999996</v>
      </c>
      <c r="AB2599">
        <v>41</v>
      </c>
      <c r="AC2599">
        <v>35.379199999999997</v>
      </c>
      <c r="AD2599">
        <v>-1.1084459610802999</v>
      </c>
      <c r="AE2599">
        <v>1.4203999999999699</v>
      </c>
      <c r="AF2599">
        <v>-2.0193576873254302</v>
      </c>
      <c r="AG2599">
        <v>-1.1084459610802999</v>
      </c>
      <c r="AH2599">
        <v>35.315348306644204</v>
      </c>
      <c r="AI2599">
        <v>91.7948276010722</v>
      </c>
      <c r="AJ2599">
        <v>93.272651281379396</v>
      </c>
      <c r="AK2599">
        <v>35.390398188457702</v>
      </c>
      <c r="AL2599">
        <v>79.199761709479304</v>
      </c>
      <c r="AM2599">
        <v>88.660391155317498</v>
      </c>
      <c r="AN2599">
        <v>1.0000000006843901</v>
      </c>
    </row>
    <row r="2600" spans="1:40" x14ac:dyDescent="0.25">
      <c r="A2600" t="str">
        <f>"20190312172710728"</f>
        <v>20190312172710728</v>
      </c>
      <c r="B2600" t="str">
        <f>"1552382830721962"</f>
        <v>1552382830721962</v>
      </c>
      <c r="C2600" t="s">
        <v>40</v>
      </c>
      <c r="D2600">
        <v>3.2245189999999999</v>
      </c>
      <c r="E2600">
        <v>0.47325070000000002</v>
      </c>
      <c r="F2600" t="s">
        <v>48</v>
      </c>
      <c r="G2600">
        <v>-350.64580000000001</v>
      </c>
      <c r="H2600" s="1">
        <v>-1.1964980000000001E-6</v>
      </c>
      <c r="I2600">
        <v>214.69290000000001</v>
      </c>
      <c r="J2600">
        <v>-386.05590000000001</v>
      </c>
      <c r="K2600">
        <v>1.1084400000000001</v>
      </c>
      <c r="L2600">
        <v>213.26490000000001</v>
      </c>
      <c r="M2600">
        <v>0.99983869999999997</v>
      </c>
      <c r="N2600">
        <v>0</v>
      </c>
      <c r="O2600">
        <v>-1.7105189999999999E-2</v>
      </c>
      <c r="P2600">
        <v>0.9824929</v>
      </c>
      <c r="Q2600">
        <v>0.181974</v>
      </c>
      <c r="R2600">
        <v>-3.9919000000000003E-2</v>
      </c>
      <c r="S2600">
        <v>3.0759280000000002</v>
      </c>
      <c r="T2600">
        <v>-9.5180269999999997E-2</v>
      </c>
      <c r="U2600">
        <v>0.1220093</v>
      </c>
      <c r="V2600">
        <v>2.3171190000000001E-2</v>
      </c>
      <c r="W2600">
        <v>0.18737980000000001</v>
      </c>
      <c r="X2600">
        <v>0.98201419999999995</v>
      </c>
      <c r="Y2600">
        <v>-5.6685619999999999E-2</v>
      </c>
      <c r="Z2600">
        <v>1.40547E-3</v>
      </c>
      <c r="AA2600">
        <v>0.99839109999999998</v>
      </c>
      <c r="AB2600">
        <v>41</v>
      </c>
      <c r="AC2600">
        <v>35.4101</v>
      </c>
      <c r="AD2600">
        <v>-1.1084411964980001</v>
      </c>
      <c r="AE2600">
        <v>1.4279999999999899</v>
      </c>
      <c r="AF2600">
        <v>-2.0315092463890201</v>
      </c>
      <c r="AG2600">
        <v>-1.1084411964980001</v>
      </c>
      <c r="AH2600">
        <v>35.345914242056999</v>
      </c>
      <c r="AI2600">
        <v>91.793238665749399</v>
      </c>
      <c r="AJ2600">
        <v>93.2894605745619</v>
      </c>
      <c r="AK2600">
        <v>35.421594053784602</v>
      </c>
      <c r="AL2600">
        <v>79.200088248517105</v>
      </c>
      <c r="AM2600">
        <v>88.648323932077204</v>
      </c>
      <c r="AN2600">
        <v>0.999999991247848</v>
      </c>
    </row>
    <row r="2601" spans="1:40" x14ac:dyDescent="0.25">
      <c r="A2601" t="str">
        <f>"20190312172710751"</f>
        <v>20190312172710751</v>
      </c>
      <c r="B2601" t="str">
        <f>"1552382830741482"</f>
        <v>1552382830741482</v>
      </c>
      <c r="C2601" t="s">
        <v>40</v>
      </c>
      <c r="D2601">
        <v>3.195665</v>
      </c>
      <c r="E2601">
        <v>0.47326030000000002</v>
      </c>
      <c r="F2601" t="s">
        <v>48</v>
      </c>
      <c r="G2601">
        <v>-350.38630000000001</v>
      </c>
      <c r="H2601" s="1">
        <v>-1.333261E-6</v>
      </c>
      <c r="I2601">
        <v>214.6628</v>
      </c>
      <c r="J2601">
        <v>-385.63400000000001</v>
      </c>
      <c r="K2601">
        <v>1.1084309999999999</v>
      </c>
      <c r="L2601">
        <v>213.2576</v>
      </c>
      <c r="M2601">
        <v>0.99983659999999996</v>
      </c>
      <c r="N2601">
        <v>0</v>
      </c>
      <c r="O2601">
        <v>-1.7221750000000001E-2</v>
      </c>
      <c r="P2601">
        <v>0.9826606</v>
      </c>
      <c r="Q2601">
        <v>0.18104529999999999</v>
      </c>
      <c r="R2601">
        <v>-4.0010200000000003E-2</v>
      </c>
      <c r="S2601">
        <v>3.0760190000000001</v>
      </c>
      <c r="T2601">
        <v>-9.5587969999999994E-2</v>
      </c>
      <c r="U2601">
        <v>0.1205444</v>
      </c>
      <c r="V2601">
        <v>2.3144769999999999E-2</v>
      </c>
      <c r="W2601">
        <v>0.1864411</v>
      </c>
      <c r="X2601">
        <v>0.98219350000000005</v>
      </c>
      <c r="Y2601">
        <v>-5.6325939999999998E-2</v>
      </c>
      <c r="Z2601">
        <v>1.409492E-3</v>
      </c>
      <c r="AA2601">
        <v>0.99841139999999995</v>
      </c>
      <c r="AB2601">
        <v>41</v>
      </c>
      <c r="AC2601">
        <v>35.247700000000002</v>
      </c>
      <c r="AD2601">
        <v>-1.108432333261</v>
      </c>
      <c r="AE2601">
        <v>1.4052</v>
      </c>
      <c r="AF2601">
        <v>-2.01004323634288</v>
      </c>
      <c r="AG2601">
        <v>-1.108432333261</v>
      </c>
      <c r="AH2601">
        <v>35.183533910980202</v>
      </c>
      <c r="AI2601">
        <v>91.801530509568096</v>
      </c>
      <c r="AJ2601">
        <v>93.269766554810403</v>
      </c>
      <c r="AK2601">
        <v>35.2583317035063</v>
      </c>
      <c r="AL2601">
        <v>79.254836921329598</v>
      </c>
      <c r="AM2601">
        <v>88.650110931358</v>
      </c>
      <c r="AN2601">
        <v>1.0000000177949</v>
      </c>
    </row>
    <row r="2602" spans="1:40" x14ac:dyDescent="0.25">
      <c r="A2602" t="str">
        <f>"20190312172710774"</f>
        <v>20190312172710774</v>
      </c>
      <c r="B2602" t="str">
        <f>"1552382830761978"</f>
        <v>1552382830761978</v>
      </c>
      <c r="C2602" t="s">
        <v>40</v>
      </c>
      <c r="D2602">
        <v>3.202995</v>
      </c>
      <c r="E2602">
        <v>0.47322789999999998</v>
      </c>
      <c r="F2602" t="s">
        <v>48</v>
      </c>
      <c r="G2602">
        <v>-351.07240000000002</v>
      </c>
      <c r="H2602" s="1">
        <v>-9.6592530000000002E-7</v>
      </c>
      <c r="I2602">
        <v>214.61150000000001</v>
      </c>
      <c r="J2602">
        <v>-385.19839999999999</v>
      </c>
      <c r="K2602">
        <v>1.108428</v>
      </c>
      <c r="L2602">
        <v>213.25</v>
      </c>
      <c r="M2602">
        <v>0.99983449999999996</v>
      </c>
      <c r="N2602">
        <v>0</v>
      </c>
      <c r="O2602">
        <v>-1.7342010000000001E-2</v>
      </c>
      <c r="P2602">
        <v>0.98267969999999905</v>
      </c>
      <c r="Q2602">
        <v>0.1809463</v>
      </c>
      <c r="R2602">
        <v>-3.9986859999999999E-2</v>
      </c>
      <c r="S2602">
        <v>3.0759889999999999</v>
      </c>
      <c r="T2602">
        <v>-9.8650459999999995E-2</v>
      </c>
      <c r="U2602">
        <v>0.1204987</v>
      </c>
      <c r="V2602">
        <v>2.3003249999999999E-2</v>
      </c>
      <c r="W2602">
        <v>0.18633279999999999</v>
      </c>
      <c r="X2602">
        <v>0.98221740000000002</v>
      </c>
      <c r="Y2602">
        <v>-5.6429159999999999E-2</v>
      </c>
      <c r="Z2602">
        <v>1.460151E-3</v>
      </c>
      <c r="AA2602">
        <v>0.99840549999999995</v>
      </c>
      <c r="AB2602">
        <v>41</v>
      </c>
      <c r="AC2602">
        <v>34.125999999999898</v>
      </c>
      <c r="AD2602">
        <v>-1.1084289659252999</v>
      </c>
      <c r="AE2602">
        <v>1.3614999999999999</v>
      </c>
      <c r="AF2602">
        <v>-1.95106255958362</v>
      </c>
      <c r="AG2602">
        <v>-1.1084289659252999</v>
      </c>
      <c r="AH2602">
        <v>34.061379309526899</v>
      </c>
      <c r="AI2602">
        <v>91.860819386897901</v>
      </c>
      <c r="AJ2602">
        <v>93.278364849045204</v>
      </c>
      <c r="AK2602">
        <v>34.1352137879841</v>
      </c>
      <c r="AL2602">
        <v>79.261152985866602</v>
      </c>
      <c r="AM2602">
        <v>88.658394511760903</v>
      </c>
      <c r="AN2602">
        <v>1.00000004136458</v>
      </c>
    </row>
    <row r="2603" spans="1:40" x14ac:dyDescent="0.25">
      <c r="A2603" t="str">
        <f>"20190312172710797"</f>
        <v>20190312172710797</v>
      </c>
      <c r="B2603" t="str">
        <f>"1552382830791258"</f>
        <v>1552382830791258</v>
      </c>
      <c r="C2603" t="s">
        <v>40</v>
      </c>
      <c r="D2603">
        <v>3.222197</v>
      </c>
      <c r="E2603">
        <v>0.47319919999999999</v>
      </c>
      <c r="F2603" t="s">
        <v>48</v>
      </c>
      <c r="G2603">
        <v>-350.65660000000003</v>
      </c>
      <c r="H2603" s="1">
        <v>-1.1868400000000001E-6</v>
      </c>
      <c r="I2603">
        <v>214.60390000000001</v>
      </c>
      <c r="J2603">
        <v>-384.7808</v>
      </c>
      <c r="K2603">
        <v>1.1084210000000001</v>
      </c>
      <c r="L2603">
        <v>213.24270000000001</v>
      </c>
      <c r="M2603">
        <v>0.99983259999999996</v>
      </c>
      <c r="N2603">
        <v>0</v>
      </c>
      <c r="O2603">
        <v>-1.7457029999999998E-2</v>
      </c>
      <c r="P2603">
        <v>0.98268359999999999</v>
      </c>
      <c r="Q2603">
        <v>0.1809045</v>
      </c>
      <c r="R2603">
        <v>-4.0082109999999997E-2</v>
      </c>
      <c r="S2603">
        <v>3.075958</v>
      </c>
      <c r="T2603">
        <v>-9.8706009999999997E-2</v>
      </c>
      <c r="U2603">
        <v>0.12055970000000001</v>
      </c>
      <c r="V2603">
        <v>2.298563E-2</v>
      </c>
      <c r="W2603">
        <v>0.18628510000000001</v>
      </c>
      <c r="X2603">
        <v>0.98222679999999996</v>
      </c>
      <c r="Y2603">
        <v>-5.6564009999999998E-2</v>
      </c>
      <c r="Z2603">
        <v>1.4668379999999901E-3</v>
      </c>
      <c r="AA2603">
        <v>0.99839789999999995</v>
      </c>
      <c r="AB2603">
        <v>41</v>
      </c>
      <c r="AC2603">
        <v>34.124199999999902</v>
      </c>
      <c r="AD2603">
        <v>-1.1084221868399999</v>
      </c>
      <c r="AE2603">
        <v>1.36119999999999</v>
      </c>
      <c r="AF2603">
        <v>-1.9546496568454801</v>
      </c>
      <c r="AG2603">
        <v>-1.1084221868399999</v>
      </c>
      <c r="AH2603">
        <v>34.059358677168703</v>
      </c>
      <c r="AI2603">
        <v>91.8609067788544</v>
      </c>
      <c r="AJ2603">
        <v>93.284573480318201</v>
      </c>
      <c r="AK2603">
        <v>34.133402533666498</v>
      </c>
      <c r="AL2603">
        <v>79.263934055623594</v>
      </c>
      <c r="AM2603">
        <v>88.659434602637404</v>
      </c>
      <c r="AN2603">
        <v>0.99999998215337305</v>
      </c>
    </row>
    <row r="2604" spans="1:40" x14ac:dyDescent="0.25">
      <c r="A2604" t="str">
        <f>"20190312172710818"</f>
        <v>20190312172710818</v>
      </c>
      <c r="B2604" t="str">
        <f>"1552382830811754"</f>
        <v>1552382830811754</v>
      </c>
      <c r="C2604" t="s">
        <v>40</v>
      </c>
      <c r="D2604">
        <v>3.2686269999999999</v>
      </c>
      <c r="E2604">
        <v>0.47318280000000001</v>
      </c>
      <c r="F2604" t="s">
        <v>48</v>
      </c>
      <c r="G2604">
        <v>-350.25920000000002</v>
      </c>
      <c r="H2604" s="1">
        <v>-1.397915E-6</v>
      </c>
      <c r="I2604">
        <v>214.5942</v>
      </c>
      <c r="J2604">
        <v>-384.38830000000002</v>
      </c>
      <c r="K2604">
        <v>1.1084160000000001</v>
      </c>
      <c r="L2604">
        <v>213.23580000000001</v>
      </c>
      <c r="M2604">
        <v>0.99983080000000002</v>
      </c>
      <c r="N2604">
        <v>0</v>
      </c>
      <c r="O2604">
        <v>-1.7565379999999998E-2</v>
      </c>
      <c r="P2604">
        <v>0.98273339999999998</v>
      </c>
      <c r="Q2604">
        <v>0.18054909999999999</v>
      </c>
      <c r="R2604">
        <v>-4.0466839999999997E-2</v>
      </c>
      <c r="S2604">
        <v>3.075958</v>
      </c>
      <c r="T2604">
        <v>-9.8762989999999995E-2</v>
      </c>
      <c r="U2604">
        <v>0.1204224</v>
      </c>
      <c r="V2604">
        <v>2.326307E-2</v>
      </c>
      <c r="W2604">
        <v>0.1859257</v>
      </c>
      <c r="X2604">
        <v>0.98228839999999995</v>
      </c>
      <c r="Y2604">
        <v>-5.662756E-2</v>
      </c>
      <c r="Z2604">
        <v>1.472182E-3</v>
      </c>
      <c r="AA2604">
        <v>0.99839429999999996</v>
      </c>
      <c r="AB2604">
        <v>41</v>
      </c>
      <c r="AC2604">
        <v>34.129099999999902</v>
      </c>
      <c r="AD2604">
        <v>-1.108417397915</v>
      </c>
      <c r="AE2604">
        <v>1.3583999999999801</v>
      </c>
      <c r="AF2604">
        <v>-1.95563049314599</v>
      </c>
      <c r="AG2604">
        <v>-1.108417397915</v>
      </c>
      <c r="AH2604">
        <v>34.064100230686897</v>
      </c>
      <c r="AI2604">
        <v>91.860637685521397</v>
      </c>
      <c r="AJ2604">
        <v>93.285761633437602</v>
      </c>
      <c r="AK2604">
        <v>34.138189821371697</v>
      </c>
      <c r="AL2604">
        <v>79.284892699100396</v>
      </c>
      <c r="AM2604">
        <v>88.643344839574894</v>
      </c>
      <c r="AN2604">
        <v>1.0000000185604301</v>
      </c>
    </row>
    <row r="2605" spans="1:40" x14ac:dyDescent="0.25">
      <c r="A2605" t="str">
        <f>"20190312172710840"</f>
        <v>20190312172710840</v>
      </c>
      <c r="B2605" t="str">
        <f>"1552382830831275"</f>
        <v>1552382830831275</v>
      </c>
      <c r="C2605" t="s">
        <v>40</v>
      </c>
      <c r="D2605">
        <v>3.18466</v>
      </c>
      <c r="E2605">
        <v>0.4731783</v>
      </c>
      <c r="F2605" t="s">
        <v>48</v>
      </c>
      <c r="G2605">
        <v>-350.24619999999999</v>
      </c>
      <c r="H2605" s="1">
        <v>-1.4032570000000001E-6</v>
      </c>
      <c r="I2605">
        <v>214.5583</v>
      </c>
      <c r="J2605">
        <v>-383.98020000000002</v>
      </c>
      <c r="K2605">
        <v>1.1084080000000001</v>
      </c>
      <c r="L2605">
        <v>213.2285</v>
      </c>
      <c r="M2605">
        <v>0.99982879999999996</v>
      </c>
      <c r="N2605">
        <v>0</v>
      </c>
      <c r="O2605">
        <v>-1.76778E-2</v>
      </c>
      <c r="P2605">
        <v>0.98267020000000005</v>
      </c>
      <c r="Q2605">
        <v>0.18082529999999999</v>
      </c>
      <c r="R2605">
        <v>-4.0762189999999997E-2</v>
      </c>
      <c r="S2605">
        <v>3.075958</v>
      </c>
      <c r="T2605">
        <v>-9.9860309999999994E-2</v>
      </c>
      <c r="U2605">
        <v>0.1191559</v>
      </c>
      <c r="V2605">
        <v>2.344941E-2</v>
      </c>
      <c r="W2605">
        <v>0.18619930000000001</v>
      </c>
      <c r="X2605">
        <v>0.98223210000000005</v>
      </c>
      <c r="Y2605">
        <v>-5.6328599999999902E-2</v>
      </c>
      <c r="Z2605">
        <v>1.48734E-3</v>
      </c>
      <c r="AA2605">
        <v>0.99841120000000005</v>
      </c>
      <c r="AB2605">
        <v>42</v>
      </c>
      <c r="AC2605">
        <v>33.734000000000002</v>
      </c>
      <c r="AD2605">
        <v>-1.108409403257</v>
      </c>
      <c r="AE2605">
        <v>1.3298000000000001</v>
      </c>
      <c r="AF2605">
        <v>-1.9238702073231599</v>
      </c>
      <c r="AG2605">
        <v>-1.108409403257</v>
      </c>
      <c r="AH2605">
        <v>33.6689273944503</v>
      </c>
      <c r="AI2605">
        <v>91.882475775863497</v>
      </c>
      <c r="AJ2605">
        <v>93.270371731757393</v>
      </c>
      <c r="AK2605">
        <v>33.7420586193643</v>
      </c>
      <c r="AL2605">
        <v>79.268937511334897</v>
      </c>
      <c r="AM2605">
        <v>88.632403623870104</v>
      </c>
      <c r="AN2605">
        <v>0.99999997621012304</v>
      </c>
    </row>
    <row r="2606" spans="1:40" x14ac:dyDescent="0.25">
      <c r="A2606" t="str">
        <f>"20190312172710862"</f>
        <v>20190312172710862</v>
      </c>
      <c r="B2606" t="str">
        <f>"1552382830851774"</f>
        <v>1552382830851774</v>
      </c>
      <c r="C2606" t="s">
        <v>40</v>
      </c>
      <c r="D2606">
        <v>3.3497479999999999</v>
      </c>
      <c r="E2606">
        <v>0.47322350000000002</v>
      </c>
      <c r="F2606" t="s">
        <v>48</v>
      </c>
      <c r="G2606">
        <v>-349.54759999999999</v>
      </c>
      <c r="H2606" s="1">
        <v>3.5439489999999999E-6</v>
      </c>
      <c r="I2606">
        <v>214.55279999999999</v>
      </c>
      <c r="J2606">
        <v>-383.55489999999998</v>
      </c>
      <c r="K2606">
        <v>1.1084050000000001</v>
      </c>
      <c r="L2606">
        <v>213.2209</v>
      </c>
      <c r="M2606">
        <v>0.99982669999999996</v>
      </c>
      <c r="N2606">
        <v>0</v>
      </c>
      <c r="O2606">
        <v>-1.7794979999999998E-2</v>
      </c>
      <c r="P2606">
        <v>0.98261980000000004</v>
      </c>
      <c r="Q2606">
        <v>0.18098839999999999</v>
      </c>
      <c r="R2606">
        <v>-4.125127E-2</v>
      </c>
      <c r="S2606">
        <v>3.075958</v>
      </c>
      <c r="T2606">
        <v>-9.9016670000000001E-2</v>
      </c>
      <c r="U2606">
        <v>0.1183014</v>
      </c>
      <c r="V2606">
        <v>2.3824359999999999E-2</v>
      </c>
      <c r="W2606">
        <v>0.18636140000000001</v>
      </c>
      <c r="X2606">
        <v>0.98219230000000002</v>
      </c>
      <c r="Y2606">
        <v>-5.616935E-2</v>
      </c>
      <c r="Z2606">
        <v>1.4759969999999999E-3</v>
      </c>
      <c r="AA2606">
        <v>0.99842019999999998</v>
      </c>
      <c r="AB2606">
        <v>42</v>
      </c>
      <c r="AC2606">
        <v>34.007299999999901</v>
      </c>
      <c r="AD2606">
        <v>-1.1084014560509901</v>
      </c>
      <c r="AE2606">
        <v>1.3318999999999901</v>
      </c>
      <c r="AF2606">
        <v>-1.93480516134826</v>
      </c>
      <c r="AG2606">
        <v>-1.1084014560509901</v>
      </c>
      <c r="AH2606">
        <v>33.9422117148615</v>
      </c>
      <c r="AI2606">
        <v>91.867331132931298</v>
      </c>
      <c r="AJ2606">
        <v>93.262496117532805</v>
      </c>
      <c r="AK2606">
        <v>34.0153753602197</v>
      </c>
      <c r="AL2606">
        <v>79.259484041555496</v>
      </c>
      <c r="AM2606">
        <v>88.610488335665394</v>
      </c>
      <c r="AN2606">
        <v>0.99999994285932803</v>
      </c>
    </row>
    <row r="2607" spans="1:40" x14ac:dyDescent="0.25">
      <c r="A2607" t="str">
        <f>"20190312172710885"</f>
        <v>20190312172710885</v>
      </c>
      <c r="B2607" t="str">
        <f>"1552382830882026"</f>
        <v>1552382830882026</v>
      </c>
      <c r="C2607" t="s">
        <v>40</v>
      </c>
      <c r="D2607">
        <v>3.267814</v>
      </c>
      <c r="E2607">
        <v>0.5205514</v>
      </c>
      <c r="F2607" t="s">
        <v>48</v>
      </c>
      <c r="G2607">
        <v>-348.92720000000003</v>
      </c>
      <c r="H2607" s="1">
        <v>3.2137989999999998E-6</v>
      </c>
      <c r="I2607">
        <v>214.536</v>
      </c>
      <c r="J2607">
        <v>-383.13080000000002</v>
      </c>
      <c r="K2607">
        <v>1.1084050000000001</v>
      </c>
      <c r="L2607">
        <v>213.2133</v>
      </c>
      <c r="M2607">
        <v>0.99982459999999995</v>
      </c>
      <c r="N2607">
        <v>0</v>
      </c>
      <c r="O2607">
        <v>-1.791181E-2</v>
      </c>
      <c r="P2607">
        <v>0.98267070000000001</v>
      </c>
      <c r="Q2607">
        <v>0.18052879999999999</v>
      </c>
      <c r="R2607">
        <v>-4.204973E-2</v>
      </c>
      <c r="S2607">
        <v>3.0761409999999998</v>
      </c>
      <c r="T2607">
        <v>-9.8464490000000002E-2</v>
      </c>
      <c r="U2607">
        <v>0.1168213</v>
      </c>
      <c r="V2607">
        <v>2.450681E-2</v>
      </c>
      <c r="W2607">
        <v>0.18590280000000001</v>
      </c>
      <c r="X2607">
        <v>0.98226250000000004</v>
      </c>
      <c r="Y2607">
        <v>-5.5804600000000003E-2</v>
      </c>
      <c r="Z2607">
        <v>1.4655989999999999E-3</v>
      </c>
      <c r="AA2607">
        <v>0.99844060000000001</v>
      </c>
      <c r="AB2607">
        <v>42</v>
      </c>
      <c r="AC2607">
        <v>34.203599999999902</v>
      </c>
      <c r="AD2607">
        <v>-1.1084017862009901</v>
      </c>
      <c r="AE2607">
        <v>1.32269999999996</v>
      </c>
      <c r="AF2607">
        <v>-1.93311831839286</v>
      </c>
      <c r="AG2607">
        <v>-1.1084017862009901</v>
      </c>
      <c r="AH2607">
        <v>34.138623172248103</v>
      </c>
      <c r="AI2607">
        <v>91.856635465883102</v>
      </c>
      <c r="AJ2607">
        <v>93.240944014815696</v>
      </c>
      <c r="AK2607">
        <v>34.211271432808701</v>
      </c>
      <c r="AL2607">
        <v>79.286228142832698</v>
      </c>
      <c r="AM2607">
        <v>88.570804090818399</v>
      </c>
      <c r="AN2607">
        <v>1.00000002684523</v>
      </c>
    </row>
    <row r="2608" spans="1:40" x14ac:dyDescent="0.25">
      <c r="A2608" t="str">
        <f>"20190312172710906"</f>
        <v>20190312172710906</v>
      </c>
      <c r="B2608" t="str">
        <f>"1552382830901546"</f>
        <v>1552382830901546</v>
      </c>
      <c r="C2608" t="s">
        <v>40</v>
      </c>
      <c r="D2608">
        <v>3.2480310000000001</v>
      </c>
      <c r="E2608">
        <v>0.53014209999999995</v>
      </c>
      <c r="F2608" t="s">
        <v>44</v>
      </c>
      <c r="G2608">
        <v>-382.37479999999999</v>
      </c>
      <c r="H2608">
        <v>0.99976770000000004</v>
      </c>
      <c r="I2608">
        <v>213.1532</v>
      </c>
      <c r="J2608">
        <v>-382.73140000000001</v>
      </c>
      <c r="K2608">
        <v>1.1083989999999999</v>
      </c>
      <c r="L2608">
        <v>213.20609999999999</v>
      </c>
      <c r="M2608">
        <v>0.99982260000000001</v>
      </c>
      <c r="N2608">
        <v>0</v>
      </c>
      <c r="O2608">
        <v>-1.8021369999999998E-2</v>
      </c>
      <c r="P2608">
        <v>0.98267090000000001</v>
      </c>
      <c r="Q2608">
        <v>0.18039630000000001</v>
      </c>
      <c r="R2608">
        <v>-4.2604700000000002E-2</v>
      </c>
      <c r="S2608">
        <v>3.1247560000000001</v>
      </c>
      <c r="T2608">
        <v>-0.44901259999999998</v>
      </c>
      <c r="U2608">
        <v>-0.2481537</v>
      </c>
      <c r="V2608">
        <v>2.495435E-2</v>
      </c>
      <c r="W2608">
        <v>0.18577250000000001</v>
      </c>
      <c r="X2608">
        <v>0.98227580000000003</v>
      </c>
      <c r="Y2608">
        <v>6.0752170000000001E-2</v>
      </c>
      <c r="Z2608">
        <v>-1.764032E-3</v>
      </c>
      <c r="AA2608">
        <v>0.99815129999999996</v>
      </c>
      <c r="AB2608">
        <v>42</v>
      </c>
      <c r="AC2608">
        <v>0.35660000000001402</v>
      </c>
      <c r="AD2608">
        <v>-0.1086313</v>
      </c>
      <c r="AE2608">
        <v>-5.2899999999993903E-2</v>
      </c>
      <c r="AF2608">
        <v>4.25970134849755E-2</v>
      </c>
      <c r="AG2608">
        <v>-0.1086313</v>
      </c>
      <c r="AH2608">
        <v>0.32773642839523798</v>
      </c>
      <c r="AI2608">
        <v>108.195416769593</v>
      </c>
      <c r="AJ2608">
        <v>82.594587375080593</v>
      </c>
      <c r="AK2608">
        <v>0.34788853300273698</v>
      </c>
      <c r="AL2608">
        <v>79.293825242079194</v>
      </c>
      <c r="AM2608">
        <v>88.544735130606398</v>
      </c>
      <c r="AN2608">
        <v>0.99999994430290395</v>
      </c>
    </row>
    <row r="2609" spans="1:40" x14ac:dyDescent="0.25">
      <c r="A2609" t="str">
        <f>"20190312172710929"</f>
        <v>20190312172710929</v>
      </c>
      <c r="B2609" t="str">
        <f>"1552382830922044"</f>
        <v>1552382830922044</v>
      </c>
      <c r="C2609" t="s">
        <v>40</v>
      </c>
      <c r="D2609">
        <v>3.1461209999999999</v>
      </c>
      <c r="E2609">
        <v>0.53621509999999994</v>
      </c>
      <c r="F2609" t="s">
        <v>44</v>
      </c>
      <c r="G2609">
        <v>-382.00470000000001</v>
      </c>
      <c r="H2609">
        <v>0.98675009999999996</v>
      </c>
      <c r="I2609">
        <v>213.131</v>
      </c>
      <c r="J2609">
        <v>-382.30579999999998</v>
      </c>
      <c r="K2609">
        <v>1.1083959999999999</v>
      </c>
      <c r="L2609">
        <v>213.19829999999999</v>
      </c>
      <c r="M2609">
        <v>0.99982059999999995</v>
      </c>
      <c r="N2609">
        <v>0</v>
      </c>
      <c r="O2609">
        <v>-1.8135229999999999E-2</v>
      </c>
      <c r="P2609">
        <v>0.98260199999999998</v>
      </c>
      <c r="Q2609">
        <v>0.18068960000000001</v>
      </c>
      <c r="R2609">
        <v>-4.2953209999999999E-2</v>
      </c>
      <c r="S2609">
        <v>3.1352229999999999</v>
      </c>
      <c r="T2609">
        <v>-0.5248718</v>
      </c>
      <c r="U2609">
        <v>-0.32289119999999999</v>
      </c>
      <c r="V2609">
        <v>2.5191990000000001E-2</v>
      </c>
      <c r="W2609">
        <v>0.1860696</v>
      </c>
      <c r="X2609">
        <v>0.98221360000000002</v>
      </c>
      <c r="Y2609">
        <v>8.3489869999999994E-2</v>
      </c>
      <c r="Z2609">
        <v>-3.915852E-3</v>
      </c>
      <c r="AA2609">
        <v>0.99650090000000002</v>
      </c>
      <c r="AB2609">
        <v>42</v>
      </c>
      <c r="AC2609">
        <v>0.30109999999996201</v>
      </c>
      <c r="AD2609">
        <v>-0.121645899999999</v>
      </c>
      <c r="AE2609">
        <v>-6.7300000000017193E-2</v>
      </c>
      <c r="AF2609">
        <v>5.3509999591924998E-2</v>
      </c>
      <c r="AG2609">
        <v>-0.121645899999999</v>
      </c>
      <c r="AH2609">
        <v>0.261603709024051</v>
      </c>
      <c r="AI2609">
        <v>114.49249381084201</v>
      </c>
      <c r="AJ2609">
        <v>78.439837668526707</v>
      </c>
      <c r="AK2609">
        <v>0.29342383273735301</v>
      </c>
      <c r="AL2609">
        <v>79.276501688534793</v>
      </c>
      <c r="AM2609">
        <v>88.530789711050801</v>
      </c>
      <c r="AN2609">
        <v>1.00000004421463</v>
      </c>
    </row>
    <row r="2610" spans="1:40" x14ac:dyDescent="0.25">
      <c r="A2610" t="str">
        <f>"20190312172710952"</f>
        <v>20190312172710952</v>
      </c>
      <c r="B2610" t="str">
        <f>"1552382830941562"</f>
        <v>1552382830941562</v>
      </c>
      <c r="C2610" t="s">
        <v>40</v>
      </c>
      <c r="D2610">
        <v>3.1703899999999998</v>
      </c>
      <c r="E2610">
        <v>0.53955240000000004</v>
      </c>
      <c r="F2610" t="s">
        <v>44</v>
      </c>
      <c r="G2610">
        <v>-381.27850000000001</v>
      </c>
      <c r="H2610">
        <v>0.92311620000000005</v>
      </c>
      <c r="I2610">
        <v>213.07679999999999</v>
      </c>
      <c r="J2610">
        <v>-381.87270000000001</v>
      </c>
      <c r="K2610">
        <v>1.1083940000000001</v>
      </c>
      <c r="L2610">
        <v>213.19040000000001</v>
      </c>
      <c r="M2610">
        <v>0.9998186</v>
      </c>
      <c r="N2610">
        <v>0</v>
      </c>
      <c r="O2610">
        <v>-1.8241670000000001E-2</v>
      </c>
      <c r="P2610">
        <v>0.98257740000000005</v>
      </c>
      <c r="Q2610">
        <v>0.18071229999999999</v>
      </c>
      <c r="R2610">
        <v>-4.3412689999999997E-2</v>
      </c>
      <c r="S2610">
        <v>3.1411440000000002</v>
      </c>
      <c r="T2610">
        <v>-0.56655669999999902</v>
      </c>
      <c r="U2610">
        <v>-0.3703613</v>
      </c>
      <c r="V2610">
        <v>2.5545459999999999E-2</v>
      </c>
      <c r="W2610">
        <v>0.18609719999999999</v>
      </c>
      <c r="X2610">
        <v>0.98219920000000005</v>
      </c>
      <c r="Y2610">
        <v>9.7695509999999999E-2</v>
      </c>
      <c r="Z2610">
        <v>-5.4586239999999996E-3</v>
      </c>
      <c r="AA2610">
        <v>0.99520140000000001</v>
      </c>
      <c r="AB2610">
        <v>42</v>
      </c>
      <c r="AC2610">
        <v>0.59419999999999995</v>
      </c>
      <c r="AD2610">
        <v>-0.18527779999999999</v>
      </c>
      <c r="AE2610">
        <v>-0.11360000000001901</v>
      </c>
      <c r="AF2610">
        <v>9.3931223979698206E-2</v>
      </c>
      <c r="AG2610">
        <v>-0.18527779999999999</v>
      </c>
      <c r="AH2610">
        <v>0.54504918208339004</v>
      </c>
      <c r="AI2610">
        <v>108.52035846115299</v>
      </c>
      <c r="AJ2610">
        <v>80.221959531520795</v>
      </c>
      <c r="AK2610">
        <v>0.58329199283115196</v>
      </c>
      <c r="AL2610">
        <v>79.274891771305207</v>
      </c>
      <c r="AM2610">
        <v>88.510162546245894</v>
      </c>
      <c r="AN2610">
        <v>1.00000000342754</v>
      </c>
    </row>
    <row r="2611" spans="1:40" x14ac:dyDescent="0.25">
      <c r="A2611" t="str">
        <f>"20190312172710975"</f>
        <v>20190312172710975</v>
      </c>
      <c r="B2611" t="str">
        <f>"1552382830971818"</f>
        <v>1552382830971818</v>
      </c>
      <c r="C2611" t="s">
        <v>40</v>
      </c>
      <c r="D2611">
        <v>3.1657039999999999</v>
      </c>
      <c r="E2611">
        <v>0.54279889999999997</v>
      </c>
      <c r="F2611" t="s">
        <v>44</v>
      </c>
      <c r="G2611">
        <v>-380.8972</v>
      </c>
      <c r="H2611">
        <v>0.92599010000000004</v>
      </c>
      <c r="I2611">
        <v>213.0669</v>
      </c>
      <c r="J2611">
        <v>-381.4273</v>
      </c>
      <c r="K2611">
        <v>1.108392</v>
      </c>
      <c r="L2611">
        <v>213.18219999999999</v>
      </c>
      <c r="M2611">
        <v>0.99981679999999995</v>
      </c>
      <c r="N2611">
        <v>0</v>
      </c>
      <c r="O2611">
        <v>-1.833999E-2</v>
      </c>
      <c r="P2611">
        <v>0.98258040000000002</v>
      </c>
      <c r="Q2611">
        <v>0.18071309999999999</v>
      </c>
      <c r="R2611">
        <v>-4.334847E-2</v>
      </c>
      <c r="S2611">
        <v>3.143799</v>
      </c>
      <c r="T2611">
        <v>-0.58797049999999995</v>
      </c>
      <c r="U2611">
        <v>-0.397171</v>
      </c>
      <c r="V2611">
        <v>2.5381129999999998E-2</v>
      </c>
      <c r="W2611">
        <v>0.18610560000000001</v>
      </c>
      <c r="X2611">
        <v>0.98220189999999996</v>
      </c>
      <c r="Y2611">
        <v>0.10563259999999999</v>
      </c>
      <c r="Z2611">
        <v>-6.3689269999999999E-3</v>
      </c>
      <c r="AA2611">
        <v>0.99438479999999996</v>
      </c>
      <c r="AB2611">
        <v>42</v>
      </c>
      <c r="AC2611">
        <v>0.53010000000000401</v>
      </c>
      <c r="AD2611">
        <v>-0.18240190000000001</v>
      </c>
      <c r="AE2611">
        <v>-0.11529999999998999</v>
      </c>
      <c r="AF2611">
        <v>9.4837148490910197E-2</v>
      </c>
      <c r="AG2611">
        <v>-0.18240190000000001</v>
      </c>
      <c r="AH2611">
        <v>0.47807892976636601</v>
      </c>
      <c r="AI2611">
        <v>110.51778983038599</v>
      </c>
      <c r="AJ2611">
        <v>78.779822944204696</v>
      </c>
      <c r="AK2611">
        <v>0.52040753351969304</v>
      </c>
      <c r="AL2611">
        <v>79.274402263859102</v>
      </c>
      <c r="AM2611">
        <v>88.519746230021994</v>
      </c>
      <c r="AN2611">
        <v>1.0000000342375199</v>
      </c>
    </row>
    <row r="2612" spans="1:40" x14ac:dyDescent="0.25">
      <c r="A2612" t="str">
        <f>"20190312172711002"</f>
        <v>20190312172711002</v>
      </c>
      <c r="B2612" t="str">
        <f>"1552382830991844"</f>
        <v>1552382830991844</v>
      </c>
      <c r="C2612" t="s">
        <v>40</v>
      </c>
      <c r="D2612">
        <v>3.2345139999999999</v>
      </c>
      <c r="E2612">
        <v>0.54431989999999997</v>
      </c>
      <c r="F2612" t="s">
        <v>44</v>
      </c>
      <c r="G2612">
        <v>-380.51369999999997</v>
      </c>
      <c r="H2612">
        <v>0.93174840000000003</v>
      </c>
      <c r="I2612">
        <v>213.05930000000001</v>
      </c>
      <c r="J2612">
        <v>-380.9194</v>
      </c>
      <c r="K2612">
        <v>1.108401</v>
      </c>
      <c r="L2612">
        <v>213.1728</v>
      </c>
      <c r="M2612">
        <v>0.99981500000000001</v>
      </c>
      <c r="N2612">
        <v>0</v>
      </c>
      <c r="O2612">
        <v>-1.842908E-2</v>
      </c>
      <c r="P2612">
        <v>0.98253800000000002</v>
      </c>
      <c r="Q2612">
        <v>0.18097340000000001</v>
      </c>
      <c r="R2612">
        <v>-4.3217100000000001E-2</v>
      </c>
      <c r="S2612">
        <v>3.1464840000000001</v>
      </c>
      <c r="T2612">
        <v>-0.608396099999999</v>
      </c>
      <c r="U2612">
        <v>-0.4220428</v>
      </c>
      <c r="V2612">
        <v>2.515703E-2</v>
      </c>
      <c r="W2612">
        <v>0.18637500000000001</v>
      </c>
      <c r="X2612">
        <v>0.98215660000000005</v>
      </c>
      <c r="Y2612">
        <v>0.1129339</v>
      </c>
      <c r="Z2612">
        <v>-7.2569740000000002E-3</v>
      </c>
      <c r="AA2612">
        <v>0.99357600000000001</v>
      </c>
      <c r="AB2612">
        <v>42</v>
      </c>
      <c r="AC2612">
        <v>0.40570000000002399</v>
      </c>
      <c r="AD2612">
        <v>-0.17665259999999899</v>
      </c>
      <c r="AE2612">
        <v>-0.113499999999987</v>
      </c>
      <c r="AF2612">
        <v>9.0152103403017395E-2</v>
      </c>
      <c r="AG2612">
        <v>-0.17665259999999899</v>
      </c>
      <c r="AH2612">
        <v>0.34675195402846698</v>
      </c>
      <c r="AI2612">
        <v>116.245963428537</v>
      </c>
      <c r="AJ2612">
        <v>75.426310750185195</v>
      </c>
      <c r="AK2612">
        <v>0.39946271472730499</v>
      </c>
      <c r="AL2612">
        <v>79.258692108106999</v>
      </c>
      <c r="AM2612">
        <v>88.532742594167203</v>
      </c>
      <c r="AN2612">
        <v>1.00000005185348</v>
      </c>
    </row>
    <row r="2613" spans="1:40" x14ac:dyDescent="0.25">
      <c r="A2613" t="str">
        <f>"20190312172711042"</f>
        <v>20190312172711042</v>
      </c>
      <c r="B2613" t="str">
        <f>"1552382831031860"</f>
        <v>1552382831031860</v>
      </c>
      <c r="C2613" t="s">
        <v>40</v>
      </c>
      <c r="D2613">
        <v>3.181746</v>
      </c>
      <c r="E2613">
        <v>0.54612280000000002</v>
      </c>
      <c r="F2613" t="s">
        <v>44</v>
      </c>
      <c r="G2613">
        <v>-380.1223</v>
      </c>
      <c r="H2613">
        <v>0.95229549999999996</v>
      </c>
      <c r="I2613">
        <v>213.06319999999999</v>
      </c>
      <c r="J2613">
        <v>-380.15350000000001</v>
      </c>
      <c r="K2613">
        <v>1.108425</v>
      </c>
      <c r="L2613">
        <v>213.15860000000001</v>
      </c>
      <c r="M2613">
        <v>0.99981359999999997</v>
      </c>
      <c r="N2613">
        <v>0</v>
      </c>
      <c r="O2613">
        <v>-1.850831E-2</v>
      </c>
      <c r="P2613">
        <v>0.9826549</v>
      </c>
      <c r="Q2613">
        <v>0.18055869999999999</v>
      </c>
      <c r="R2613">
        <v>-4.2286570000000002E-2</v>
      </c>
      <c r="S2613">
        <v>3.1478579999999998</v>
      </c>
      <c r="T2613">
        <v>-0.61649330000000002</v>
      </c>
      <c r="U2613">
        <v>-0.43247989999999997</v>
      </c>
      <c r="V2613">
        <v>2.413305E-2</v>
      </c>
      <c r="W2613">
        <v>0.18597820000000001</v>
      </c>
      <c r="X2613">
        <v>0.98225739999999995</v>
      </c>
      <c r="Y2613">
        <v>0.1159347</v>
      </c>
      <c r="Z2613">
        <v>-7.6215739999999999E-3</v>
      </c>
      <c r="AA2613">
        <v>0.99322759999999999</v>
      </c>
      <c r="AB2613">
        <v>43</v>
      </c>
      <c r="AC2613">
        <v>3.1200000000012499E-2</v>
      </c>
      <c r="AD2613">
        <v>-0.1561295</v>
      </c>
      <c r="AE2613">
        <v>-9.54000000000121E-2</v>
      </c>
      <c r="AF2613">
        <v>2.77244163339391E-2</v>
      </c>
      <c r="AG2613">
        <v>-0.1561295</v>
      </c>
      <c r="AH2613">
        <v>9.6386866284755603E-3</v>
      </c>
      <c r="AI2613">
        <v>169.352748817628</v>
      </c>
      <c r="AJ2613">
        <v>19.170548122202501</v>
      </c>
      <c r="AK2613">
        <v>0.158864622591782</v>
      </c>
      <c r="AL2613">
        <v>79.281830504402194</v>
      </c>
      <c r="AM2613">
        <v>88.592585005612094</v>
      </c>
      <c r="AN2613">
        <v>0.99999994741614995</v>
      </c>
    </row>
    <row r="2614" spans="1:40" x14ac:dyDescent="0.25">
      <c r="A2614" t="str">
        <f>"20190312172711064"</f>
        <v>20190312172711064</v>
      </c>
      <c r="B2614" t="str">
        <f>"1552382831061140"</f>
        <v>1552382831061140</v>
      </c>
      <c r="C2614" t="s">
        <v>40</v>
      </c>
      <c r="D2614">
        <v>3.4558559999999998</v>
      </c>
      <c r="E2614">
        <v>0.56855080000000002</v>
      </c>
      <c r="F2614" t="s">
        <v>44</v>
      </c>
      <c r="G2614">
        <v>-379.35669999999999</v>
      </c>
      <c r="H2614">
        <v>0.94975750000000003</v>
      </c>
      <c r="I2614">
        <v>213.04640000000001</v>
      </c>
      <c r="J2614">
        <v>-379.73020000000002</v>
      </c>
      <c r="K2614">
        <v>1.1084369999999999</v>
      </c>
      <c r="L2614">
        <v>213.1508</v>
      </c>
      <c r="M2614">
        <v>0.99981339999999996</v>
      </c>
      <c r="N2614">
        <v>0</v>
      </c>
      <c r="O2614">
        <v>-1.8520849999999998E-2</v>
      </c>
      <c r="P2614">
        <v>0.98265579999999997</v>
      </c>
      <c r="Q2614">
        <v>0.18067920000000001</v>
      </c>
      <c r="R2614">
        <v>-4.1749990000000001E-2</v>
      </c>
      <c r="S2614">
        <v>3.1491090000000002</v>
      </c>
      <c r="T2614">
        <v>-0.62716079999999996</v>
      </c>
      <c r="U2614">
        <v>-0.443222</v>
      </c>
      <c r="V2614">
        <v>2.3575970000000002E-2</v>
      </c>
      <c r="W2614">
        <v>0.18610889999999999</v>
      </c>
      <c r="X2614">
        <v>0.98224619999999996</v>
      </c>
      <c r="Y2614">
        <v>0.11907189999999999</v>
      </c>
      <c r="Z2614">
        <v>-8.0516689999999991E-3</v>
      </c>
      <c r="AA2614">
        <v>0.99285299999999999</v>
      </c>
      <c r="AB2614">
        <v>43</v>
      </c>
      <c r="AC2614">
        <v>0.37350000000003503</v>
      </c>
      <c r="AD2614">
        <v>-0.1586795</v>
      </c>
      <c r="AE2614">
        <v>-0.10439999999999799</v>
      </c>
      <c r="AF2614">
        <v>8.3487549829573696E-2</v>
      </c>
      <c r="AG2614">
        <v>-0.1586795</v>
      </c>
      <c r="AH2614">
        <v>0.32153962761203297</v>
      </c>
      <c r="AI2614">
        <v>115.531951856384</v>
      </c>
      <c r="AJ2614">
        <v>75.444604949104004</v>
      </c>
      <c r="AK2614">
        <v>0.36815361850955702</v>
      </c>
      <c r="AL2614">
        <v>79.274209163550196</v>
      </c>
      <c r="AM2614">
        <v>88.6250450560036</v>
      </c>
      <c r="AN2614">
        <v>0.99999997321754497</v>
      </c>
    </row>
    <row r="2615" spans="1:40" x14ac:dyDescent="0.25">
      <c r="A2615" t="str">
        <f>"20190312172711086"</f>
        <v>20190312172711086</v>
      </c>
      <c r="B2615" t="str">
        <f>"1552382831081166"</f>
        <v>1552382831081166</v>
      </c>
      <c r="C2615" t="s">
        <v>40</v>
      </c>
      <c r="D2615">
        <v>3.1709679999999998</v>
      </c>
      <c r="E2615">
        <v>0.56875369999999903</v>
      </c>
      <c r="F2615" t="s">
        <v>44</v>
      </c>
      <c r="G2615">
        <v>-378.97539999999998</v>
      </c>
      <c r="H2615">
        <v>0.94064829999999999</v>
      </c>
      <c r="I2615">
        <v>213.0025</v>
      </c>
      <c r="J2615">
        <v>-379.30560000000003</v>
      </c>
      <c r="K2615">
        <v>1.1084620000000001</v>
      </c>
      <c r="L2615">
        <v>213.1429</v>
      </c>
      <c r="M2615">
        <v>0.99981359999999997</v>
      </c>
      <c r="N2615">
        <v>0</v>
      </c>
      <c r="O2615">
        <v>-1.8494099999999999E-2</v>
      </c>
      <c r="P2615">
        <v>0.98263160000000005</v>
      </c>
      <c r="Q2615">
        <v>0.1809702</v>
      </c>
      <c r="R2615">
        <v>-4.1049599999999999E-2</v>
      </c>
      <c r="S2615">
        <v>3.1557309999999998</v>
      </c>
      <c r="T2615">
        <v>-0.70159090000000002</v>
      </c>
      <c r="U2615">
        <v>-0.61819460000000004</v>
      </c>
      <c r="V2615">
        <v>2.288989E-2</v>
      </c>
      <c r="W2615">
        <v>0.1864111</v>
      </c>
      <c r="X2615">
        <v>0.9822052</v>
      </c>
      <c r="Y2615">
        <v>0.17048740000000001</v>
      </c>
      <c r="Z2615">
        <v>-1.452967E-2</v>
      </c>
      <c r="AA2615">
        <v>0.98525269999999998</v>
      </c>
      <c r="AB2615">
        <v>43</v>
      </c>
      <c r="AC2615">
        <v>0.33020000000004701</v>
      </c>
      <c r="AD2615">
        <v>-0.16781370000000001</v>
      </c>
      <c r="AE2615">
        <v>-0.140399999999999</v>
      </c>
      <c r="AF2615">
        <v>0.110170503511705</v>
      </c>
      <c r="AG2615">
        <v>-0.16781370000000001</v>
      </c>
      <c r="AH2615">
        <v>0.27301990628806999</v>
      </c>
      <c r="AI2615">
        <v>119.68311728977901</v>
      </c>
      <c r="AJ2615">
        <v>68.024666087045503</v>
      </c>
      <c r="AK2615">
        <v>0.33887880869310699</v>
      </c>
      <c r="AL2615">
        <v>79.256586817027994</v>
      </c>
      <c r="AM2615">
        <v>88.664986968112402</v>
      </c>
      <c r="AN2615">
        <v>1.0000000500872199</v>
      </c>
    </row>
    <row r="2616" spans="1:40" x14ac:dyDescent="0.25">
      <c r="A2616" t="str">
        <f>"20190312172711109"</f>
        <v>20190312172711109</v>
      </c>
      <c r="B2616" t="str">
        <f>"1552382831101662"</f>
        <v>1552382831101662</v>
      </c>
      <c r="C2616" t="s">
        <v>40</v>
      </c>
      <c r="D2616">
        <v>3.527596</v>
      </c>
      <c r="E2616">
        <v>0.56901849999999998</v>
      </c>
      <c r="F2616" t="s">
        <v>44</v>
      </c>
      <c r="G2616">
        <v>-378.58580000000001</v>
      </c>
      <c r="H2616">
        <v>0.94896570000000002</v>
      </c>
      <c r="I2616">
        <v>213.0018</v>
      </c>
      <c r="J2616">
        <v>-378.87439999999998</v>
      </c>
      <c r="K2616">
        <v>1.1084909999999999</v>
      </c>
      <c r="L2616">
        <v>213.13499999999999</v>
      </c>
      <c r="M2616">
        <v>0.99981520000000002</v>
      </c>
      <c r="N2616">
        <v>0</v>
      </c>
      <c r="O2616">
        <v>-1.841137E-2</v>
      </c>
      <c r="P2616">
        <v>0.98262020000000005</v>
      </c>
      <c r="Q2616">
        <v>0.18115339999999999</v>
      </c>
      <c r="R2616">
        <v>-4.0508889999999999E-2</v>
      </c>
      <c r="S2616">
        <v>3.1559750000000002</v>
      </c>
      <c r="T2616">
        <v>-0.69940089999999999</v>
      </c>
      <c r="U2616">
        <v>-0.61874390000000001</v>
      </c>
      <c r="V2616">
        <v>2.2413280000000001E-2</v>
      </c>
      <c r="W2616">
        <v>0.18660740000000001</v>
      </c>
      <c r="X2616">
        <v>0.98217889999999997</v>
      </c>
      <c r="Y2616">
        <v>0.17073459999999999</v>
      </c>
      <c r="Z2616">
        <v>-1.4528799999999901E-2</v>
      </c>
      <c r="AA2616">
        <v>0.98520989999999997</v>
      </c>
      <c r="AB2616">
        <v>43</v>
      </c>
      <c r="AC2616">
        <v>0.28859999999997399</v>
      </c>
      <c r="AD2616">
        <v>-0.15952529999999901</v>
      </c>
      <c r="AE2616">
        <v>-0.13319999999998799</v>
      </c>
      <c r="AF2616">
        <v>0.102137173176041</v>
      </c>
      <c r="AG2616">
        <v>-0.15952529999999901</v>
      </c>
      <c r="AH2616">
        <v>0.23245259181219399</v>
      </c>
      <c r="AI2616">
        <v>122.140934986237</v>
      </c>
      <c r="AJ2616">
        <v>66.279828970325894</v>
      </c>
      <c r="AK2616">
        <v>0.29985751770580799</v>
      </c>
      <c r="AL2616">
        <v>79.245138607134294</v>
      </c>
      <c r="AM2616">
        <v>88.692739677934995</v>
      </c>
      <c r="AN2616">
        <v>1.00000003423016</v>
      </c>
    </row>
    <row r="2617" spans="1:40" x14ac:dyDescent="0.25">
      <c r="A2617" t="str">
        <f>"20190312172711130"</f>
        <v>20190312172711130</v>
      </c>
      <c r="B2617" t="str">
        <f>"1552382831121183"</f>
        <v>1552382831121183</v>
      </c>
      <c r="C2617" t="s">
        <v>40</v>
      </c>
      <c r="D2617">
        <v>3.1301230000000002</v>
      </c>
      <c r="E2617">
        <v>0.56914160000000003</v>
      </c>
      <c r="F2617" t="s">
        <v>44</v>
      </c>
      <c r="G2617">
        <v>-377.83920000000001</v>
      </c>
      <c r="H2617">
        <v>0.87933890000000003</v>
      </c>
      <c r="I2617">
        <v>212.9314</v>
      </c>
      <c r="J2617">
        <v>-378.43490000000003</v>
      </c>
      <c r="K2617">
        <v>1.1085419999999999</v>
      </c>
      <c r="L2617">
        <v>213.12710000000001</v>
      </c>
      <c r="M2617">
        <v>0.99981779999999998</v>
      </c>
      <c r="N2617">
        <v>0</v>
      </c>
      <c r="O2617">
        <v>-1.8263850000000002E-2</v>
      </c>
      <c r="P2617">
        <v>0.98260860000000005</v>
      </c>
      <c r="Q2617">
        <v>0.18139440000000001</v>
      </c>
      <c r="R2617">
        <v>-3.9706470000000001E-2</v>
      </c>
      <c r="S2617">
        <v>3.1563110000000001</v>
      </c>
      <c r="T2617">
        <v>-0.6987177</v>
      </c>
      <c r="U2617">
        <v>-0.62039180000000005</v>
      </c>
      <c r="V2617">
        <v>2.1733820000000001E-2</v>
      </c>
      <c r="W2617">
        <v>0.18686220000000001</v>
      </c>
      <c r="X2617">
        <v>0.98214570000000001</v>
      </c>
      <c r="Y2617">
        <v>0.17134569999999999</v>
      </c>
      <c r="Z2617">
        <v>-1.4610929999999999E-2</v>
      </c>
      <c r="AA2617">
        <v>0.98510260000000005</v>
      </c>
      <c r="AB2617">
        <v>43</v>
      </c>
      <c r="AC2617">
        <v>0.59570000000002199</v>
      </c>
      <c r="AD2617">
        <v>-0.22920309999999899</v>
      </c>
      <c r="AE2617">
        <v>-0.195700000000016</v>
      </c>
      <c r="AF2617">
        <v>0.16300633127976999</v>
      </c>
      <c r="AG2617">
        <v>-0.22920309999999899</v>
      </c>
      <c r="AH2617">
        <v>0.52854956155889898</v>
      </c>
      <c r="AI2617">
        <v>112.508448017502</v>
      </c>
      <c r="AJ2617">
        <v>72.860074473843497</v>
      </c>
      <c r="AK2617">
        <v>0.59872344543286804</v>
      </c>
      <c r="AL2617">
        <v>79.230277972946297</v>
      </c>
      <c r="AM2617">
        <v>88.732313387233802</v>
      </c>
      <c r="AN2617">
        <v>1.0000000083745599</v>
      </c>
    </row>
    <row r="2618" spans="1:40" x14ac:dyDescent="0.25">
      <c r="A2618" t="str">
        <f>"20190312172711154"</f>
        <v>20190312172711154</v>
      </c>
      <c r="B2618" t="str">
        <f>"1552382831151439"</f>
        <v>1552382831151439</v>
      </c>
      <c r="C2618" t="s">
        <v>40</v>
      </c>
      <c r="D2618">
        <v>3.1516739999999999</v>
      </c>
      <c r="E2618">
        <v>0.56918939999999996</v>
      </c>
      <c r="F2618" t="s">
        <v>44</v>
      </c>
      <c r="G2618">
        <v>-377.44580000000002</v>
      </c>
      <c r="H2618">
        <v>0.89048300000000002</v>
      </c>
      <c r="I2618">
        <v>212.9324</v>
      </c>
      <c r="J2618">
        <v>-377.98540000000003</v>
      </c>
      <c r="K2618">
        <v>1.1085879999999999</v>
      </c>
      <c r="L2618">
        <v>213.119</v>
      </c>
      <c r="M2618">
        <v>0.99982130000000002</v>
      </c>
      <c r="N2618">
        <v>0</v>
      </c>
      <c r="O2618">
        <v>-1.806197E-2</v>
      </c>
      <c r="P2618">
        <v>0.98256739999999998</v>
      </c>
      <c r="Q2618">
        <v>0.1817175</v>
      </c>
      <c r="R2618">
        <v>-3.9245139999999998E-2</v>
      </c>
      <c r="S2618">
        <v>3.1564939999999999</v>
      </c>
      <c r="T2618">
        <v>-0.69595289999999999</v>
      </c>
      <c r="U2618">
        <v>-0.62062069999999903</v>
      </c>
      <c r="V2618">
        <v>2.144857E-2</v>
      </c>
      <c r="W2618">
        <v>0.18719949999999999</v>
      </c>
      <c r="X2618">
        <v>0.98208770000000001</v>
      </c>
      <c r="Y2618">
        <v>0.17161979999999999</v>
      </c>
      <c r="Z2618">
        <v>-1.462664E-2</v>
      </c>
      <c r="AA2618">
        <v>0.98505469999999895</v>
      </c>
      <c r="AB2618">
        <v>43</v>
      </c>
      <c r="AC2618">
        <v>0.53960000000000696</v>
      </c>
      <c r="AD2618">
        <v>-0.21810499999999899</v>
      </c>
      <c r="AE2618">
        <v>-0.186600000000026</v>
      </c>
      <c r="AF2618">
        <v>0.154306043171589</v>
      </c>
      <c r="AG2618">
        <v>-0.21810499999999899</v>
      </c>
      <c r="AH2618">
        <v>0.47375032403924699</v>
      </c>
      <c r="AI2618">
        <v>113.641160875431</v>
      </c>
      <c r="AJ2618">
        <v>71.958962184195698</v>
      </c>
      <c r="AK2618">
        <v>0.54389292651363297</v>
      </c>
      <c r="AL2618">
        <v>79.210604562617903</v>
      </c>
      <c r="AM2618">
        <v>88.748872217419901</v>
      </c>
      <c r="AN2618">
        <v>0.99999997222329196</v>
      </c>
    </row>
    <row r="2619" spans="1:40" x14ac:dyDescent="0.25">
      <c r="A2619" t="str">
        <f>"20190312172711178"</f>
        <v>20190312172711178</v>
      </c>
      <c r="B2619" t="str">
        <f>"1552382831171935"</f>
        <v>1552382831171935</v>
      </c>
      <c r="C2619" t="s">
        <v>40</v>
      </c>
      <c r="D2619">
        <v>3.1730680000000002</v>
      </c>
      <c r="E2619">
        <v>0.56916369999999905</v>
      </c>
      <c r="F2619" t="s">
        <v>44</v>
      </c>
      <c r="G2619">
        <v>-377.05070000000001</v>
      </c>
      <c r="H2619">
        <v>0.90344380000000002</v>
      </c>
      <c r="I2619">
        <v>212.93530000000001</v>
      </c>
      <c r="J2619">
        <v>-377.50869999999998</v>
      </c>
      <c r="K2619">
        <v>1.1086400000000001</v>
      </c>
      <c r="L2619">
        <v>213.11060000000001</v>
      </c>
      <c r="M2619">
        <v>0.99982599999999999</v>
      </c>
      <c r="N2619">
        <v>0</v>
      </c>
      <c r="O2619">
        <v>-1.7802410000000001E-2</v>
      </c>
      <c r="P2619">
        <v>0.98255369999999997</v>
      </c>
      <c r="Q2619">
        <v>0.1819491</v>
      </c>
      <c r="R2619">
        <v>-3.8508800000000003E-2</v>
      </c>
      <c r="S2619">
        <v>3.1565859999999999</v>
      </c>
      <c r="T2619">
        <v>-0.69284869999999898</v>
      </c>
      <c r="U2619">
        <v>-0.62037659999999994</v>
      </c>
      <c r="V2619">
        <v>2.0945660000000001E-2</v>
      </c>
      <c r="W2619">
        <v>0.18744630000000001</v>
      </c>
      <c r="X2619">
        <v>0.98205149999999997</v>
      </c>
      <c r="Y2619">
        <v>0.17181749999999901</v>
      </c>
      <c r="Z2619">
        <v>-1.4639559999999999E-2</v>
      </c>
      <c r="AA2619">
        <v>0.98502000000000001</v>
      </c>
      <c r="AB2619">
        <v>44</v>
      </c>
      <c r="AC2619">
        <v>0.45799999999996999</v>
      </c>
      <c r="AD2619">
        <v>-0.2051962</v>
      </c>
      <c r="AE2619">
        <v>-0.17529999999999199</v>
      </c>
      <c r="AF2619">
        <v>0.142219015706403</v>
      </c>
      <c r="AG2619">
        <v>-0.2051962</v>
      </c>
      <c r="AH2619">
        <v>0.39235506827101002</v>
      </c>
      <c r="AI2619">
        <v>116.182509254282</v>
      </c>
      <c r="AJ2619">
        <v>70.075670882887295</v>
      </c>
      <c r="AK2619">
        <v>0.46505293088087002</v>
      </c>
      <c r="AL2619">
        <v>79.196209361796093</v>
      </c>
      <c r="AM2619">
        <v>88.778153701309904</v>
      </c>
      <c r="AN2619">
        <v>0.99999999235438697</v>
      </c>
    </row>
    <row r="2620" spans="1:40" x14ac:dyDescent="0.25">
      <c r="A2620" t="str">
        <f>"20190312172711220"</f>
        <v>20190312172711220</v>
      </c>
      <c r="B2620" t="str">
        <f>"1552382831211482"</f>
        <v>1552382831211482</v>
      </c>
      <c r="C2620" t="s">
        <v>40</v>
      </c>
      <c r="D2620">
        <v>3.1816399999999998</v>
      </c>
      <c r="E2620">
        <v>0.56921679999999997</v>
      </c>
      <c r="F2620" t="s">
        <v>44</v>
      </c>
      <c r="G2620">
        <v>-376.65280000000001</v>
      </c>
      <c r="H2620">
        <v>0.92103369999999996</v>
      </c>
      <c r="I2620">
        <v>212.9426</v>
      </c>
      <c r="J2620">
        <v>-376.70049999999998</v>
      </c>
      <c r="K2620">
        <v>1.108697</v>
      </c>
      <c r="L2620">
        <v>213.0966</v>
      </c>
      <c r="M2620">
        <v>0.99983480000000002</v>
      </c>
      <c r="N2620">
        <v>0</v>
      </c>
      <c r="O2620">
        <v>-1.7284709999999998E-2</v>
      </c>
      <c r="P2620">
        <v>0.98266149999999997</v>
      </c>
      <c r="Q2620">
        <v>0.1816758</v>
      </c>
      <c r="R2620">
        <v>-3.7019709999999997E-2</v>
      </c>
      <c r="S2620">
        <v>3.1571349999999998</v>
      </c>
      <c r="T2620">
        <v>-0.69208999999999998</v>
      </c>
      <c r="U2620">
        <v>-0.61875919999999995</v>
      </c>
      <c r="V2620">
        <v>1.9935100000000001E-2</v>
      </c>
      <c r="W2620">
        <v>0.187199</v>
      </c>
      <c r="X2620">
        <v>0.98211970000000004</v>
      </c>
      <c r="Y2620">
        <v>0.1718056</v>
      </c>
      <c r="Z2620">
        <v>-1.4731889999999999E-2</v>
      </c>
      <c r="AA2620">
        <v>0.98502069999999997</v>
      </c>
      <c r="AB2620">
        <v>44</v>
      </c>
      <c r="AC2620">
        <v>4.7699999999963397E-2</v>
      </c>
      <c r="AD2620">
        <v>-0.18766330000000001</v>
      </c>
      <c r="AE2620">
        <v>-0.153999999999996</v>
      </c>
      <c r="AF2620">
        <v>6.5033634886809702E-2</v>
      </c>
      <c r="AG2620">
        <v>-0.18766330000000001</v>
      </c>
      <c r="AH2620">
        <v>2.1382303070222399E-2</v>
      </c>
      <c r="AI2620">
        <v>159.958298975384</v>
      </c>
      <c r="AJ2620">
        <v>18.200263854827401</v>
      </c>
      <c r="AK2620">
        <v>0.19976008289462499</v>
      </c>
      <c r="AL2620">
        <v>79.210633914379102</v>
      </c>
      <c r="AM2620">
        <v>88.837167946726296</v>
      </c>
      <c r="AN2620">
        <v>0.99999998947055002</v>
      </c>
    </row>
    <row r="2621" spans="1:40" x14ac:dyDescent="0.25">
      <c r="A2621" t="str">
        <f>"20190312172711242"</f>
        <v>20190312172711242</v>
      </c>
      <c r="B2621" t="str">
        <f>"1552382831231980"</f>
        <v>1552382831231980</v>
      </c>
      <c r="C2621" t="s">
        <v>40</v>
      </c>
      <c r="D2621">
        <v>3.2097479999999998</v>
      </c>
      <c r="E2621">
        <v>0.56929969999999996</v>
      </c>
      <c r="F2621" t="s">
        <v>44</v>
      </c>
      <c r="G2621">
        <v>-375.86610000000002</v>
      </c>
      <c r="H2621">
        <v>0.92545440000000001</v>
      </c>
      <c r="I2621">
        <v>212.93360000000001</v>
      </c>
      <c r="J2621">
        <v>-376.2534</v>
      </c>
      <c r="K2621">
        <v>1.1087229999999999</v>
      </c>
      <c r="L2621">
        <v>213.0891</v>
      </c>
      <c r="M2621">
        <v>0.99984030000000002</v>
      </c>
      <c r="N2621">
        <v>0</v>
      </c>
      <c r="O2621">
        <v>-1.6972009999999999E-2</v>
      </c>
      <c r="P2621">
        <v>0.98276980000000003</v>
      </c>
      <c r="Q2621">
        <v>0.18128749999999999</v>
      </c>
      <c r="R2621">
        <v>-3.6040660000000002E-2</v>
      </c>
      <c r="S2621">
        <v>3.1580509999999999</v>
      </c>
      <c r="T2621">
        <v>-0.69362489999999999</v>
      </c>
      <c r="U2621">
        <v>-0.61546330000000005</v>
      </c>
      <c r="V2621">
        <v>1.9249760000000001E-2</v>
      </c>
      <c r="W2621">
        <v>0.18682480000000001</v>
      </c>
      <c r="X2621">
        <v>0.98220459999999998</v>
      </c>
      <c r="Y2621">
        <v>0.17106469999999999</v>
      </c>
      <c r="Z2621">
        <v>-1.474864E-2</v>
      </c>
      <c r="AA2621">
        <v>0.98514939999999995</v>
      </c>
      <c r="AB2621">
        <v>44</v>
      </c>
      <c r="AC2621">
        <v>0.38729999999998199</v>
      </c>
      <c r="AD2621">
        <v>-0.183268599999999</v>
      </c>
      <c r="AE2621">
        <v>-0.15549999999998901</v>
      </c>
      <c r="AF2621">
        <v>0.124832769834582</v>
      </c>
      <c r="AG2621">
        <v>-0.183268599999999</v>
      </c>
      <c r="AH2621">
        <v>0.32685587207162398</v>
      </c>
      <c r="AI2621">
        <v>117.645545055795</v>
      </c>
      <c r="AJ2621">
        <v>69.097146983174895</v>
      </c>
      <c r="AK2621">
        <v>0.39497514007622703</v>
      </c>
      <c r="AL2621">
        <v>79.232458804901597</v>
      </c>
      <c r="AM2621">
        <v>88.877231052890195</v>
      </c>
      <c r="AN2621">
        <v>0.99999996770812805</v>
      </c>
    </row>
    <row r="2622" spans="1:40" x14ac:dyDescent="0.25">
      <c r="A2622" t="str">
        <f>"20190312172711264"</f>
        <v>20190312172711264</v>
      </c>
      <c r="B2622" t="str">
        <f>"1552382831261257"</f>
        <v>1552382831261257</v>
      </c>
      <c r="C2622" t="s">
        <v>40</v>
      </c>
      <c r="D2622">
        <v>3.204202</v>
      </c>
      <c r="E2622">
        <v>0.56936909999999996</v>
      </c>
      <c r="F2622" t="s">
        <v>44</v>
      </c>
      <c r="G2622">
        <v>-375.46809999999999</v>
      </c>
      <c r="H2622">
        <v>0.93578720000000004</v>
      </c>
      <c r="I2622">
        <v>212.9367</v>
      </c>
      <c r="J2622">
        <v>-375.82060000000001</v>
      </c>
      <c r="K2622">
        <v>1.1087400000000001</v>
      </c>
      <c r="L2622">
        <v>213.08189999999999</v>
      </c>
      <c r="M2622">
        <v>0.9998454</v>
      </c>
      <c r="N2622">
        <v>0</v>
      </c>
      <c r="O2622">
        <v>-1.665983E-2</v>
      </c>
      <c r="P2622">
        <v>0.98283209999999999</v>
      </c>
      <c r="Q2622">
        <v>0.18096390000000001</v>
      </c>
      <c r="R2622">
        <v>-3.5967020000000002E-2</v>
      </c>
      <c r="S2622">
        <v>3.1584469999999998</v>
      </c>
      <c r="T2622">
        <v>-0.69558940000000002</v>
      </c>
      <c r="U2622">
        <v>-0.61267090000000002</v>
      </c>
      <c r="V2622">
        <v>1.947217E-2</v>
      </c>
      <c r="W2622">
        <v>0.1865184</v>
      </c>
      <c r="X2622">
        <v>0.98225850000000003</v>
      </c>
      <c r="Y2622">
        <v>0.170495799999999</v>
      </c>
      <c r="Z2622">
        <v>-1.479478E-2</v>
      </c>
      <c r="AA2622">
        <v>0.98524730000000005</v>
      </c>
      <c r="AB2622">
        <v>44</v>
      </c>
      <c r="AC2622">
        <v>0.35250000000002002</v>
      </c>
      <c r="AD2622">
        <v>-0.17295279999999999</v>
      </c>
      <c r="AE2622">
        <v>-0.14519999999998801</v>
      </c>
      <c r="AF2622">
        <v>0.115529688338084</v>
      </c>
      <c r="AG2622">
        <v>-0.17295279999999999</v>
      </c>
      <c r="AH2622">
        <v>0.29429954071093001</v>
      </c>
      <c r="AI2622">
        <v>118.680248294062</v>
      </c>
      <c r="AJ2622">
        <v>68.567104905958502</v>
      </c>
      <c r="AK2622">
        <v>0.36037757918327701</v>
      </c>
      <c r="AL2622">
        <v>79.250328903951598</v>
      </c>
      <c r="AM2622">
        <v>88.864324365303901</v>
      </c>
      <c r="AN2622">
        <v>1.00000001988265</v>
      </c>
    </row>
    <row r="2623" spans="1:40" x14ac:dyDescent="0.25">
      <c r="A2623" t="str">
        <f>"20190312172711286"</f>
        <v>20190312172711286</v>
      </c>
      <c r="B2623" t="str">
        <f>"1552382831282113"</f>
        <v>1552382831282113</v>
      </c>
      <c r="C2623" t="s">
        <v>40</v>
      </c>
      <c r="D2623">
        <v>3.2358980000000002</v>
      </c>
      <c r="E2623">
        <v>0.56946660000000004</v>
      </c>
      <c r="F2623" t="s">
        <v>44</v>
      </c>
      <c r="G2623">
        <v>-375.07</v>
      </c>
      <c r="H2623">
        <v>0.94293859999999996</v>
      </c>
      <c r="I2623">
        <v>212.93610000000001</v>
      </c>
      <c r="J2623">
        <v>-375.37830000000002</v>
      </c>
      <c r="K2623">
        <v>1.108757</v>
      </c>
      <c r="L2623">
        <v>213.07470000000001</v>
      </c>
      <c r="M2623">
        <v>0.99985060000000003</v>
      </c>
      <c r="N2623">
        <v>0</v>
      </c>
      <c r="O2623">
        <v>-1.6336469999999999E-2</v>
      </c>
      <c r="P2623">
        <v>0.98292539999999995</v>
      </c>
      <c r="Q2623">
        <v>0.18048449999999999</v>
      </c>
      <c r="R2623">
        <v>-3.5820039999999997E-2</v>
      </c>
      <c r="S2623">
        <v>3.1584469999999998</v>
      </c>
      <c r="T2623">
        <v>-0.69767900000000005</v>
      </c>
      <c r="U2623">
        <v>-0.61184689999999997</v>
      </c>
      <c r="V2623">
        <v>1.9633040000000001E-2</v>
      </c>
      <c r="W2623">
        <v>0.18606249999999999</v>
      </c>
      <c r="X2623">
        <v>0.98234169999999998</v>
      </c>
      <c r="Y2623">
        <v>0.17053670000000001</v>
      </c>
      <c r="Z2623">
        <v>-1.491288E-2</v>
      </c>
      <c r="AA2623">
        <v>0.98523850000000002</v>
      </c>
      <c r="AB2623">
        <v>44</v>
      </c>
      <c r="AC2623">
        <v>0.30830000000003099</v>
      </c>
      <c r="AD2623">
        <v>-0.16581839999999901</v>
      </c>
      <c r="AE2623">
        <v>-0.138599999999996</v>
      </c>
      <c r="AF2623">
        <v>0.10764156059082899</v>
      </c>
      <c r="AG2623">
        <v>-0.16581839999999901</v>
      </c>
      <c r="AH2623">
        <v>0.25029182453847798</v>
      </c>
      <c r="AI2623">
        <v>121.324877525869</v>
      </c>
      <c r="AJ2623">
        <v>66.729189463467193</v>
      </c>
      <c r="AK2623">
        <v>0.31894896892103197</v>
      </c>
      <c r="AL2623">
        <v>79.276914835983206</v>
      </c>
      <c r="AM2623">
        <v>88.855041385238707</v>
      </c>
      <c r="AN2623">
        <v>0.99999996286239001</v>
      </c>
    </row>
    <row r="2624" spans="1:40" x14ac:dyDescent="0.25">
      <c r="A2624" t="str">
        <f>"20190312172711309"</f>
        <v>20190312172711309</v>
      </c>
      <c r="B2624" t="str">
        <f>"1552382831301633"</f>
        <v>1552382831301633</v>
      </c>
      <c r="C2624" t="s">
        <v>40</v>
      </c>
      <c r="D2624">
        <v>3.1986780000000001</v>
      </c>
      <c r="E2624">
        <v>0.56953569999999998</v>
      </c>
      <c r="F2624" t="s">
        <v>44</v>
      </c>
      <c r="G2624">
        <v>-374.67</v>
      </c>
      <c r="H2624">
        <v>0.95179579999999997</v>
      </c>
      <c r="I2624">
        <v>212.9375</v>
      </c>
      <c r="J2624">
        <v>-374.93669999999997</v>
      </c>
      <c r="K2624">
        <v>1.1087689999999999</v>
      </c>
      <c r="L2624">
        <v>213.0677</v>
      </c>
      <c r="M2624">
        <v>0.99985570000000001</v>
      </c>
      <c r="N2624">
        <v>0</v>
      </c>
      <c r="O2624">
        <v>-1.6012539999999999E-2</v>
      </c>
      <c r="P2624">
        <v>0.98295840000000001</v>
      </c>
      <c r="Q2624">
        <v>0.180261</v>
      </c>
      <c r="R2624">
        <v>-3.6043739999999998E-2</v>
      </c>
      <c r="S2624">
        <v>3.1583559999999999</v>
      </c>
      <c r="T2624">
        <v>-0.69998260000000001</v>
      </c>
      <c r="U2624">
        <v>-0.61186219999999902</v>
      </c>
      <c r="V2624">
        <v>2.0166300000000002E-2</v>
      </c>
      <c r="W2624">
        <v>0.18587090000000001</v>
      </c>
      <c r="X2624">
        <v>0.9823672</v>
      </c>
      <c r="Y2624">
        <v>0.1708276</v>
      </c>
      <c r="Z2624">
        <v>-1.5063190000000001E-2</v>
      </c>
      <c r="AA2624">
        <v>0.9851858</v>
      </c>
      <c r="AB2624">
        <v>44</v>
      </c>
      <c r="AC2624">
        <v>0.26669999999995703</v>
      </c>
      <c r="AD2624">
        <v>-0.15697320000000001</v>
      </c>
      <c r="AE2624">
        <v>-0.13020000000000201</v>
      </c>
      <c r="AF2624">
        <v>9.8388556027214705E-2</v>
      </c>
      <c r="AG2624">
        <v>-0.15697320000000001</v>
      </c>
      <c r="AH2624">
        <v>0.210002580286903</v>
      </c>
      <c r="AI2624">
        <v>124.093151347587</v>
      </c>
      <c r="AJ2624">
        <v>64.896384690474093</v>
      </c>
      <c r="AK2624">
        <v>0.28003924225457699</v>
      </c>
      <c r="AL2624">
        <v>79.2880879357878</v>
      </c>
      <c r="AM2624">
        <v>88.823981893679701</v>
      </c>
      <c r="AN2624">
        <v>0.99999999337916901</v>
      </c>
    </row>
    <row r="2625" spans="1:40" x14ac:dyDescent="0.25">
      <c r="A2625" t="str">
        <f>"20190312172711331"</f>
        <v>20190312172711331</v>
      </c>
      <c r="B2625" t="str">
        <f>"1552382831322129"</f>
        <v>1552382831322129</v>
      </c>
      <c r="C2625" t="s">
        <v>40</v>
      </c>
      <c r="D2625">
        <v>3.2813310000000002</v>
      </c>
      <c r="E2625">
        <v>0.5737179</v>
      </c>
      <c r="F2625" t="s">
        <v>44</v>
      </c>
      <c r="G2625">
        <v>-373.90469999999999</v>
      </c>
      <c r="H2625">
        <v>0.87952739999999996</v>
      </c>
      <c r="I2625">
        <v>212.8673</v>
      </c>
      <c r="J2625">
        <v>-374.4896</v>
      </c>
      <c r="K2625">
        <v>1.108789</v>
      </c>
      <c r="L2625">
        <v>213.0607</v>
      </c>
      <c r="M2625">
        <v>0.99986059999999999</v>
      </c>
      <c r="N2625">
        <v>0</v>
      </c>
      <c r="O2625">
        <v>-1.568495E-2</v>
      </c>
      <c r="P2625">
        <v>0.98298980000000002</v>
      </c>
      <c r="Q2625">
        <v>0.1800639</v>
      </c>
      <c r="R2625">
        <v>-3.6169439999999997E-2</v>
      </c>
      <c r="S2625">
        <v>3.1581730000000001</v>
      </c>
      <c r="T2625">
        <v>-0.70144869999999904</v>
      </c>
      <c r="U2625">
        <v>-0.61293030000000004</v>
      </c>
      <c r="V2625">
        <v>2.060646E-2</v>
      </c>
      <c r="W2625">
        <v>0.18571389999999999</v>
      </c>
      <c r="X2625">
        <v>0.98238780000000003</v>
      </c>
      <c r="Y2625">
        <v>0.1714446</v>
      </c>
      <c r="Z2625">
        <v>-1.523266E-2</v>
      </c>
      <c r="AA2625">
        <v>0.98507599999999995</v>
      </c>
      <c r="AB2625">
        <v>44</v>
      </c>
      <c r="AC2625">
        <v>0.58490000000000397</v>
      </c>
      <c r="AD2625">
        <v>-0.22926160000000001</v>
      </c>
      <c r="AE2625">
        <v>-0.19339999999999599</v>
      </c>
      <c r="AF2625">
        <v>0.16179407774669999</v>
      </c>
      <c r="AG2625">
        <v>-0.22926160000000001</v>
      </c>
      <c r="AH2625">
        <v>0.51634920162555997</v>
      </c>
      <c r="AI2625">
        <v>112.961989624713</v>
      </c>
      <c r="AJ2625">
        <v>72.602016129942299</v>
      </c>
      <c r="AK2625">
        <v>0.587668871770336</v>
      </c>
      <c r="AL2625">
        <v>79.297243210075194</v>
      </c>
      <c r="AM2625">
        <v>88.798346157005597</v>
      </c>
      <c r="AN2625">
        <v>1.0000000342178901</v>
      </c>
    </row>
    <row r="2626" spans="1:40" x14ac:dyDescent="0.25">
      <c r="A2626" t="str">
        <f>"20190312172711353"</f>
        <v>20190312172711353</v>
      </c>
      <c r="B2626" t="str">
        <f>"1552382831351409"</f>
        <v>1552382831351409</v>
      </c>
      <c r="C2626" t="s">
        <v>40</v>
      </c>
      <c r="D2626">
        <v>3.2915019999999902</v>
      </c>
      <c r="E2626">
        <v>0.57511990000000002</v>
      </c>
      <c r="F2626" t="s">
        <v>44</v>
      </c>
      <c r="G2626">
        <v>-373.50450000000001</v>
      </c>
      <c r="H2626">
        <v>0.88241209999999903</v>
      </c>
      <c r="I2626">
        <v>212.8595</v>
      </c>
      <c r="J2626">
        <v>-374.04500000000002</v>
      </c>
      <c r="K2626">
        <v>1.108808</v>
      </c>
      <c r="L2626">
        <v>213.0539</v>
      </c>
      <c r="M2626">
        <v>0.99986540000000002</v>
      </c>
      <c r="N2626">
        <v>0</v>
      </c>
      <c r="O2626">
        <v>-1.53594E-2</v>
      </c>
      <c r="P2626">
        <v>0.98288339999999996</v>
      </c>
      <c r="Q2626">
        <v>0.18054799999999999</v>
      </c>
      <c r="R2626">
        <v>-3.6642859999999999E-2</v>
      </c>
      <c r="S2626">
        <v>3.1612849999999999</v>
      </c>
      <c r="T2626">
        <v>-0.72656709999999902</v>
      </c>
      <c r="U2626">
        <v>-0.64485170000000003</v>
      </c>
      <c r="V2626">
        <v>2.139456E-2</v>
      </c>
      <c r="W2626">
        <v>0.18624009999999999</v>
      </c>
      <c r="X2626">
        <v>0.98227129999999996</v>
      </c>
      <c r="Y2626">
        <v>0.1806585</v>
      </c>
      <c r="Z2626">
        <v>-1.684327E-2</v>
      </c>
      <c r="AA2626">
        <v>0.98340170000000005</v>
      </c>
      <c r="AB2626">
        <v>45</v>
      </c>
      <c r="AC2626">
        <v>0.54050000000000797</v>
      </c>
      <c r="AD2626">
        <v>-0.22639590000000001</v>
      </c>
      <c r="AE2626">
        <v>-0.19440000000000099</v>
      </c>
      <c r="AF2626">
        <v>0.161055145412767</v>
      </c>
      <c r="AG2626">
        <v>-0.22639590000000001</v>
      </c>
      <c r="AH2626">
        <v>0.47035256089324601</v>
      </c>
      <c r="AI2626">
        <v>114.483394944239</v>
      </c>
      <c r="AJ2626">
        <v>71.098095234906793</v>
      </c>
      <c r="AK2626">
        <v>0.54628325522531995</v>
      </c>
      <c r="AL2626">
        <v>79.2665585317405</v>
      </c>
      <c r="AM2626">
        <v>88.752254895974403</v>
      </c>
      <c r="AN2626">
        <v>1.00000000442464</v>
      </c>
    </row>
    <row r="2627" spans="1:40" x14ac:dyDescent="0.25">
      <c r="A2627" t="str">
        <f>"20190312172711377"</f>
        <v>20190312172711377</v>
      </c>
      <c r="B2627" t="str">
        <f>"1552382831371905"</f>
        <v>1552382831371905</v>
      </c>
      <c r="C2627" t="s">
        <v>40</v>
      </c>
      <c r="D2627">
        <v>3.4439289999999998</v>
      </c>
      <c r="E2627">
        <v>0.57554249999999996</v>
      </c>
      <c r="F2627" t="s">
        <v>44</v>
      </c>
      <c r="G2627">
        <v>-373.1001</v>
      </c>
      <c r="H2627">
        <v>0.89386169999999998</v>
      </c>
      <c r="I2627">
        <v>212.8571</v>
      </c>
      <c r="J2627">
        <v>-373.56920000000002</v>
      </c>
      <c r="K2627">
        <v>1.108832</v>
      </c>
      <c r="L2627">
        <v>213.04679999999999</v>
      </c>
      <c r="M2627">
        <v>0.99987040000000005</v>
      </c>
      <c r="N2627">
        <v>0</v>
      </c>
      <c r="O2627">
        <v>-1.501158E-2</v>
      </c>
      <c r="P2627">
        <v>0.9827245</v>
      </c>
      <c r="Q2627">
        <v>0.1813921</v>
      </c>
      <c r="R2627">
        <v>-3.6734839999999998E-2</v>
      </c>
      <c r="S2627">
        <v>3.1597900000000001</v>
      </c>
      <c r="T2627">
        <v>-0.71877899999999995</v>
      </c>
      <c r="U2627">
        <v>-0.65679929999999997</v>
      </c>
      <c r="V2627">
        <v>2.182394E-2</v>
      </c>
      <c r="W2627">
        <v>0.1871283</v>
      </c>
      <c r="X2627">
        <v>0.98209299999999999</v>
      </c>
      <c r="Y2627">
        <v>0.18463830000000001</v>
      </c>
      <c r="Z2627">
        <v>-1.718826E-2</v>
      </c>
      <c r="AA2627">
        <v>0.98265619999999998</v>
      </c>
      <c r="AB2627">
        <v>45</v>
      </c>
      <c r="AC2627">
        <v>0.469100000000025</v>
      </c>
      <c r="AD2627">
        <v>-0.2149703</v>
      </c>
      <c r="AE2627">
        <v>-0.18969999999998699</v>
      </c>
      <c r="AF2627">
        <v>0.15471281447175</v>
      </c>
      <c r="AG2627">
        <v>-0.2149703</v>
      </c>
      <c r="AH2627">
        <v>0.39974570677064802</v>
      </c>
      <c r="AI2627">
        <v>116.634521599412</v>
      </c>
      <c r="AJ2627">
        <v>68.842163101543306</v>
      </c>
      <c r="AK2627">
        <v>0.47952571873198302</v>
      </c>
      <c r="AL2627">
        <v>79.214757415082502</v>
      </c>
      <c r="AM2627">
        <v>88.726990324243005</v>
      </c>
      <c r="AN2627">
        <v>0.99999997283350595</v>
      </c>
    </row>
    <row r="2628" spans="1:40" x14ac:dyDescent="0.25">
      <c r="A2628" t="str">
        <f>"20190312172711400"</f>
        <v>20190312172711400</v>
      </c>
      <c r="B2628" t="str">
        <f>"1552382831391932"</f>
        <v>1552382831391932</v>
      </c>
      <c r="C2628" t="s">
        <v>40</v>
      </c>
      <c r="D2628">
        <v>3.2570579999999998</v>
      </c>
      <c r="E2628">
        <v>0.57542249999999995</v>
      </c>
      <c r="F2628" t="s">
        <v>44</v>
      </c>
      <c r="G2628">
        <v>-372.69279999999998</v>
      </c>
      <c r="H2628">
        <v>0.91055299999999995</v>
      </c>
      <c r="I2628">
        <v>212.86359999999999</v>
      </c>
      <c r="J2628">
        <v>-373.11130000000003</v>
      </c>
      <c r="K2628">
        <v>1.1088519999999999</v>
      </c>
      <c r="L2628">
        <v>213.0401</v>
      </c>
      <c r="M2628">
        <v>0.99987510000000002</v>
      </c>
      <c r="N2628">
        <v>0</v>
      </c>
      <c r="O2628">
        <v>-1.467654E-2</v>
      </c>
      <c r="P2628">
        <v>0.98266290000000001</v>
      </c>
      <c r="Q2628">
        <v>0.18187449999999999</v>
      </c>
      <c r="R2628">
        <v>-3.5996460000000001E-2</v>
      </c>
      <c r="S2628">
        <v>3.160034</v>
      </c>
      <c r="T2628">
        <v>-0.71495120000000001</v>
      </c>
      <c r="U2628">
        <v>-0.65936280000000003</v>
      </c>
      <c r="V2628">
        <v>2.1410539999999999E-2</v>
      </c>
      <c r="W2628">
        <v>0.18765760000000001</v>
      </c>
      <c r="X2628">
        <v>0.98200109999999996</v>
      </c>
      <c r="Y2628">
        <v>0.18572659999999999</v>
      </c>
      <c r="Z2628">
        <v>-1.7290659999999999E-2</v>
      </c>
      <c r="AA2628">
        <v>0.98244929999999997</v>
      </c>
      <c r="AB2628">
        <v>45</v>
      </c>
      <c r="AC2628">
        <v>0.418500000000051</v>
      </c>
      <c r="AD2628">
        <v>-0.198298999999999</v>
      </c>
      <c r="AE2628">
        <v>-0.17650000000000399</v>
      </c>
      <c r="AF2628">
        <v>0.143068063442959</v>
      </c>
      <c r="AG2628">
        <v>-0.198298999999999</v>
      </c>
      <c r="AH2628">
        <v>0.35363736186684802</v>
      </c>
      <c r="AI2628">
        <v>117.466014677763</v>
      </c>
      <c r="AJ2628">
        <v>67.973639468656501</v>
      </c>
      <c r="AK2628">
        <v>0.42994226110777001</v>
      </c>
      <c r="AL2628">
        <v>79.183883837533202</v>
      </c>
      <c r="AM2628">
        <v>88.750979758964107</v>
      </c>
      <c r="AN2628">
        <v>0.99999997323102996</v>
      </c>
    </row>
    <row r="2629" spans="1:40" x14ac:dyDescent="0.25">
      <c r="A2629" t="str">
        <f>"20190312172711422"</f>
        <v>20190312172711422</v>
      </c>
      <c r="B2629" t="str">
        <f>"1552382831411453"</f>
        <v>1552382831411453</v>
      </c>
      <c r="C2629" t="s">
        <v>40</v>
      </c>
      <c r="D2629">
        <v>3.2824610000000001</v>
      </c>
      <c r="E2629">
        <v>0.57522169999999995</v>
      </c>
      <c r="F2629" t="s">
        <v>44</v>
      </c>
      <c r="G2629">
        <v>-372.28609999999998</v>
      </c>
      <c r="H2629">
        <v>0.92348529999999995</v>
      </c>
      <c r="I2629">
        <v>212.8683</v>
      </c>
      <c r="J2629">
        <v>-372.67160000000001</v>
      </c>
      <c r="K2629">
        <v>1.108862</v>
      </c>
      <c r="L2629">
        <v>213.03380000000001</v>
      </c>
      <c r="M2629">
        <v>0.99987950000000003</v>
      </c>
      <c r="N2629">
        <v>0</v>
      </c>
      <c r="O2629">
        <v>-1.4354159999999999E-2</v>
      </c>
      <c r="P2629">
        <v>0.98261299999999996</v>
      </c>
      <c r="Q2629">
        <v>0.18221290000000001</v>
      </c>
      <c r="R2629">
        <v>-3.5642670000000001E-2</v>
      </c>
      <c r="S2629">
        <v>3.1603089999999998</v>
      </c>
      <c r="T2629">
        <v>-0.70996930000000003</v>
      </c>
      <c r="U2629">
        <v>-0.65682980000000002</v>
      </c>
      <c r="V2629">
        <v>2.137039E-2</v>
      </c>
      <c r="W2629">
        <v>0.18804679999999999</v>
      </c>
      <c r="X2629">
        <v>0.98192760000000001</v>
      </c>
      <c r="Y2629">
        <v>0.18532979999999999</v>
      </c>
      <c r="Z2629">
        <v>-1.7200099999999899E-2</v>
      </c>
      <c r="AA2629">
        <v>0.9825258</v>
      </c>
      <c r="AB2629">
        <v>45</v>
      </c>
      <c r="AC2629">
        <v>0.38550000000003498</v>
      </c>
      <c r="AD2629">
        <v>-0.18537669999999901</v>
      </c>
      <c r="AE2629">
        <v>-0.165500000000008</v>
      </c>
      <c r="AF2629">
        <v>0.13382054077286401</v>
      </c>
      <c r="AG2629">
        <v>-0.18537669999999901</v>
      </c>
      <c r="AH2629">
        <v>0.324480365284471</v>
      </c>
      <c r="AI2629">
        <v>117.84080357160001</v>
      </c>
      <c r="AJ2629">
        <v>67.588018991273003</v>
      </c>
      <c r="AK2629">
        <v>0.39693823888707902</v>
      </c>
      <c r="AL2629">
        <v>79.161180997480002</v>
      </c>
      <c r="AM2629">
        <v>88.753227949661905</v>
      </c>
      <c r="AN2629">
        <v>1.00000005210037</v>
      </c>
    </row>
    <row r="2630" spans="1:40" x14ac:dyDescent="0.25">
      <c r="A2630" t="str">
        <f>"20190312172711442"</f>
        <v>20190312172711442</v>
      </c>
      <c r="B2630" t="str">
        <f>"1552382831431948"</f>
        <v>1552382831431948</v>
      </c>
      <c r="C2630" t="s">
        <v>40</v>
      </c>
      <c r="D2630">
        <v>3.2618610000000001</v>
      </c>
      <c r="E2630">
        <v>0.57511029999999996</v>
      </c>
      <c r="F2630" t="s">
        <v>44</v>
      </c>
      <c r="G2630">
        <v>-371.88029999999998</v>
      </c>
      <c r="H2630">
        <v>0.93181879999999995</v>
      </c>
      <c r="I2630">
        <v>212.86940000000001</v>
      </c>
      <c r="J2630">
        <v>-372.25630000000001</v>
      </c>
      <c r="K2630">
        <v>1.1088739999999999</v>
      </c>
      <c r="L2630">
        <v>213.02799999999999</v>
      </c>
      <c r="M2630">
        <v>0.99988350000000004</v>
      </c>
      <c r="N2630">
        <v>0</v>
      </c>
      <c r="O2630">
        <v>-1.40492E-2</v>
      </c>
      <c r="P2630">
        <v>0.98258619999999997</v>
      </c>
      <c r="Q2630">
        <v>0.18248110000000001</v>
      </c>
      <c r="R2630">
        <v>-3.4999130000000003E-2</v>
      </c>
      <c r="S2630">
        <v>3.1605219999999998</v>
      </c>
      <c r="T2630">
        <v>-0.70729449999999905</v>
      </c>
      <c r="U2630">
        <v>-0.65444950000000002</v>
      </c>
      <c r="V2630">
        <v>2.1024060000000001E-2</v>
      </c>
      <c r="W2630">
        <v>0.1883657</v>
      </c>
      <c r="X2630">
        <v>0.98187389999999997</v>
      </c>
      <c r="Y2630">
        <v>0.18493870000000001</v>
      </c>
      <c r="Z2630">
        <v>-1.716086E-2</v>
      </c>
      <c r="AA2630">
        <v>0.98260020000000003</v>
      </c>
      <c r="AB2630">
        <v>45</v>
      </c>
      <c r="AC2630">
        <v>0.37600000000003297</v>
      </c>
      <c r="AD2630">
        <v>-0.177055199999999</v>
      </c>
      <c r="AE2630">
        <v>-0.15859999999997801</v>
      </c>
      <c r="AF2630">
        <v>0.12901520038693701</v>
      </c>
      <c r="AG2630">
        <v>-0.177055199999999</v>
      </c>
      <c r="AH2630">
        <v>0.31827688653464098</v>
      </c>
      <c r="AI2630">
        <v>117.2732582846</v>
      </c>
      <c r="AJ2630">
        <v>67.934569548152496</v>
      </c>
      <c r="AK2630">
        <v>0.38638535463977702</v>
      </c>
      <c r="AL2630">
        <v>79.142576357339706</v>
      </c>
      <c r="AM2630">
        <v>88.773359936724802</v>
      </c>
      <c r="AN2630">
        <v>1.00000000176829</v>
      </c>
    </row>
    <row r="2631" spans="1:40" x14ac:dyDescent="0.25">
      <c r="A2631" t="str">
        <f>"20190312172711466"</f>
        <v>20190312172711466</v>
      </c>
      <c r="B2631" t="str">
        <f>"1552382831461229"</f>
        <v>1552382831461229</v>
      </c>
      <c r="C2631" t="s">
        <v>40</v>
      </c>
      <c r="D2631">
        <v>3.2762910000000001</v>
      </c>
      <c r="E2631">
        <v>0.57489539999999995</v>
      </c>
      <c r="F2631" t="s">
        <v>44</v>
      </c>
      <c r="G2631">
        <v>-371.47579999999999</v>
      </c>
      <c r="H2631">
        <v>0.93473320000000004</v>
      </c>
      <c r="I2631">
        <v>212.86699999999999</v>
      </c>
      <c r="J2631">
        <v>-371.7901</v>
      </c>
      <c r="K2631">
        <v>1.108887</v>
      </c>
      <c r="L2631">
        <v>213.02170000000001</v>
      </c>
      <c r="M2631">
        <v>0.99988790000000005</v>
      </c>
      <c r="N2631">
        <v>0</v>
      </c>
      <c r="O2631">
        <v>-1.370623E-2</v>
      </c>
      <c r="P2631">
        <v>0.98250349999999997</v>
      </c>
      <c r="Q2631">
        <v>0.18302289999999999</v>
      </c>
      <c r="R2631">
        <v>-3.4486179999999998E-2</v>
      </c>
      <c r="S2631">
        <v>3.1609500000000001</v>
      </c>
      <c r="T2631">
        <v>-0.70526</v>
      </c>
      <c r="U2631">
        <v>-0.65144349999999995</v>
      </c>
      <c r="V2631">
        <v>2.0846070000000001E-2</v>
      </c>
      <c r="W2631">
        <v>0.188966</v>
      </c>
      <c r="X2631">
        <v>0.98176229999999998</v>
      </c>
      <c r="Y2631">
        <v>0.18438099999999999</v>
      </c>
      <c r="Z2631">
        <v>-1.7125930000000001E-2</v>
      </c>
      <c r="AA2631">
        <v>0.98270570000000002</v>
      </c>
      <c r="AB2631">
        <v>45</v>
      </c>
      <c r="AC2631">
        <v>0.31430000000000202</v>
      </c>
      <c r="AD2631">
        <v>-0.1741538</v>
      </c>
      <c r="AE2631">
        <v>-0.15469999999999101</v>
      </c>
      <c r="AF2631">
        <v>0.120576819641712</v>
      </c>
      <c r="AG2631">
        <v>-0.1741538</v>
      </c>
      <c r="AH2631">
        <v>0.253690872198166</v>
      </c>
      <c r="AI2631">
        <v>121.799429315769</v>
      </c>
      <c r="AJ2631">
        <v>64.578710774188096</v>
      </c>
      <c r="AK2631">
        <v>0.33049564917864899</v>
      </c>
      <c r="AL2631">
        <v>79.107552270590205</v>
      </c>
      <c r="AM2631">
        <v>88.783603342378598</v>
      </c>
      <c r="AN2631">
        <v>0.99999996074586595</v>
      </c>
    </row>
    <row r="2632" spans="1:40" x14ac:dyDescent="0.25">
      <c r="A2632" t="str">
        <f>"20190312172711488"</f>
        <v>20190312172711488</v>
      </c>
      <c r="B2632" t="str">
        <f>"1552382831481724"</f>
        <v>1552382831481724</v>
      </c>
      <c r="C2632" t="s">
        <v>40</v>
      </c>
      <c r="D2632">
        <v>3.3578619999999999</v>
      </c>
      <c r="E2632">
        <v>0.57476989999999994</v>
      </c>
      <c r="F2632" t="s">
        <v>44</v>
      </c>
      <c r="G2632">
        <v>-371.06599999999997</v>
      </c>
      <c r="H2632">
        <v>0.94771090000000002</v>
      </c>
      <c r="I2632">
        <v>212.87309999999999</v>
      </c>
      <c r="J2632">
        <v>-371.33940000000001</v>
      </c>
      <c r="K2632">
        <v>1.108897</v>
      </c>
      <c r="L2632">
        <v>213.01570000000001</v>
      </c>
      <c r="M2632">
        <v>0.99989209999999995</v>
      </c>
      <c r="N2632">
        <v>0</v>
      </c>
      <c r="O2632">
        <v>-1.3373879999999999E-2</v>
      </c>
      <c r="P2632">
        <v>0.98248270000000004</v>
      </c>
      <c r="Q2632">
        <v>0.1832887</v>
      </c>
      <c r="R2632">
        <v>-3.3665309999999997E-2</v>
      </c>
      <c r="S2632">
        <v>3.161835</v>
      </c>
      <c r="T2632">
        <v>-0.70387219999999995</v>
      </c>
      <c r="U2632">
        <v>-0.64718629999999999</v>
      </c>
      <c r="V2632">
        <v>2.034971E-2</v>
      </c>
      <c r="W2632">
        <v>0.1892914</v>
      </c>
      <c r="X2632">
        <v>0.98171010000000003</v>
      </c>
      <c r="Y2632">
        <v>0.18341460000000001</v>
      </c>
      <c r="Z2632">
        <v>-1.7057739999999998E-2</v>
      </c>
      <c r="AA2632">
        <v>0.98288759999999997</v>
      </c>
      <c r="AB2632">
        <v>45</v>
      </c>
      <c r="AC2632">
        <v>0.273400000000037</v>
      </c>
      <c r="AD2632">
        <v>-0.1611861</v>
      </c>
      <c r="AE2632">
        <v>-0.14260000000001499</v>
      </c>
      <c r="AF2632">
        <v>0.109115324620405</v>
      </c>
      <c r="AG2632">
        <v>-0.1611861</v>
      </c>
      <c r="AH2632">
        <v>0.21620525941432001</v>
      </c>
      <c r="AI2632">
        <v>123.64633948766701</v>
      </c>
      <c r="AJ2632">
        <v>63.220654806817599</v>
      </c>
      <c r="AK2632">
        <v>0.29091549820977203</v>
      </c>
      <c r="AL2632">
        <v>79.0885663506578</v>
      </c>
      <c r="AM2632">
        <v>88.812495111312799</v>
      </c>
      <c r="AN2632">
        <v>1.0000000326265199</v>
      </c>
    </row>
    <row r="2633" spans="1:40" x14ac:dyDescent="0.25">
      <c r="A2633" t="str">
        <f>"20190312172711510"</f>
        <v>20190312172711510</v>
      </c>
      <c r="B2633" t="str">
        <f>"1552382831501245"</f>
        <v>1552382831501245</v>
      </c>
      <c r="C2633" t="s">
        <v>40</v>
      </c>
      <c r="D2633">
        <v>3.309104</v>
      </c>
      <c r="E2633">
        <v>0.57459490000000002</v>
      </c>
      <c r="F2633" t="s">
        <v>44</v>
      </c>
      <c r="G2633">
        <v>-370.28399999999999</v>
      </c>
      <c r="H2633">
        <v>0.87422009999999895</v>
      </c>
      <c r="I2633">
        <v>212.80109999999999</v>
      </c>
      <c r="J2633">
        <v>-370.8877</v>
      </c>
      <c r="K2633">
        <v>1.1088979999999999</v>
      </c>
      <c r="L2633">
        <v>213.00989999999999</v>
      </c>
      <c r="M2633">
        <v>0.99989609999999995</v>
      </c>
      <c r="N2633">
        <v>0</v>
      </c>
      <c r="O2633">
        <v>-1.3041189999999999E-2</v>
      </c>
      <c r="P2633">
        <v>0.98259149999999995</v>
      </c>
      <c r="Q2633">
        <v>0.1828227</v>
      </c>
      <c r="R2633">
        <v>-3.3016789999999997E-2</v>
      </c>
      <c r="S2633">
        <v>3.1626889999999999</v>
      </c>
      <c r="T2633">
        <v>-0.70331259999999995</v>
      </c>
      <c r="U2633">
        <v>-0.64259339999999998</v>
      </c>
      <c r="V2633">
        <v>2.002526E-2</v>
      </c>
      <c r="W2633">
        <v>0.18888779999999999</v>
      </c>
      <c r="X2633">
        <v>0.98179450000000001</v>
      </c>
      <c r="Y2633">
        <v>0.18234300000000001</v>
      </c>
      <c r="Z2633">
        <v>-1.699821E-2</v>
      </c>
      <c r="AA2633">
        <v>0.98308799999999996</v>
      </c>
      <c r="AB2633">
        <v>45</v>
      </c>
      <c r="AC2633">
        <v>0.60370000000000301</v>
      </c>
      <c r="AD2633">
        <v>-0.23467789999999999</v>
      </c>
      <c r="AE2633">
        <v>-0.20879999999999599</v>
      </c>
      <c r="AF2633">
        <v>0.17701748746558499</v>
      </c>
      <c r="AG2633">
        <v>-0.23467789999999999</v>
      </c>
      <c r="AH2633">
        <v>0.53426341455218995</v>
      </c>
      <c r="AI2633">
        <v>112.63437162641399</v>
      </c>
      <c r="AJ2633">
        <v>71.668418413836093</v>
      </c>
      <c r="AK2633">
        <v>0.60979201679425399</v>
      </c>
      <c r="AL2633">
        <v>79.112115690251201</v>
      </c>
      <c r="AM2633">
        <v>88.831523488488898</v>
      </c>
      <c r="AN2633">
        <v>1.00000002612857</v>
      </c>
    </row>
    <row r="2634" spans="1:40" x14ac:dyDescent="0.25">
      <c r="A2634" t="str">
        <f>"20190312172711532"</f>
        <v>20190312172711532</v>
      </c>
      <c r="B2634" t="str">
        <f>"1552382831521740"</f>
        <v>1552382831521740</v>
      </c>
      <c r="C2634" t="s">
        <v>40</v>
      </c>
      <c r="D2634">
        <v>3.4139300000000001</v>
      </c>
      <c r="E2634">
        <v>0.53811219999999904</v>
      </c>
      <c r="F2634" t="s">
        <v>44</v>
      </c>
      <c r="G2634">
        <v>-369.87369999999999</v>
      </c>
      <c r="H2634">
        <v>0.88281500000000002</v>
      </c>
      <c r="I2634">
        <v>212.80449999999999</v>
      </c>
      <c r="J2634">
        <v>-370.43349999999998</v>
      </c>
      <c r="K2634">
        <v>1.108905</v>
      </c>
      <c r="L2634">
        <v>213.00409999999999</v>
      </c>
      <c r="M2634">
        <v>0.99989989999999995</v>
      </c>
      <c r="N2634">
        <v>0</v>
      </c>
      <c r="O2634">
        <v>-1.270599E-2</v>
      </c>
      <c r="P2634">
        <v>0.98250020000000005</v>
      </c>
      <c r="Q2634">
        <v>0.18342220000000001</v>
      </c>
      <c r="R2634">
        <v>-3.2398660000000003E-2</v>
      </c>
      <c r="S2634">
        <v>3.162811</v>
      </c>
      <c r="T2634">
        <v>-0.7051866</v>
      </c>
      <c r="U2634">
        <v>-0.64028929999999995</v>
      </c>
      <c r="V2634">
        <v>1.9735849999999999E-2</v>
      </c>
      <c r="W2634">
        <v>0.18954660000000001</v>
      </c>
      <c r="X2634">
        <v>0.98167340000000003</v>
      </c>
      <c r="Y2634">
        <v>0.1819568</v>
      </c>
      <c r="Z2634">
        <v>-1.7073939999999999E-2</v>
      </c>
      <c r="AA2634">
        <v>0.98315830000000004</v>
      </c>
      <c r="AB2634">
        <v>45</v>
      </c>
      <c r="AC2634">
        <v>0.55979999999999497</v>
      </c>
      <c r="AD2634">
        <v>-0.22609000000000001</v>
      </c>
      <c r="AE2634">
        <v>-0.199600000000003</v>
      </c>
      <c r="AF2634">
        <v>0.16813832005714899</v>
      </c>
      <c r="AG2634">
        <v>-0.22609000000000001</v>
      </c>
      <c r="AH2634">
        <v>0.49120486311806899</v>
      </c>
      <c r="AI2634">
        <v>113.53174132736901</v>
      </c>
      <c r="AJ2634">
        <v>71.104039979845396</v>
      </c>
      <c r="AK2634">
        <v>0.56627678773059498</v>
      </c>
      <c r="AL2634">
        <v>79.073674968655396</v>
      </c>
      <c r="AM2634">
        <v>88.848263995223405</v>
      </c>
      <c r="AN2634">
        <v>1.0000000408071701</v>
      </c>
    </row>
    <row r="2635" spans="1:40" x14ac:dyDescent="0.25">
      <c r="A2635" t="str">
        <f>"20190312172711554"</f>
        <v>20190312172711554</v>
      </c>
      <c r="B2635" t="str">
        <f>"1552382831551998"</f>
        <v>1552382831551998</v>
      </c>
      <c r="C2635" t="s">
        <v>40</v>
      </c>
      <c r="D2635">
        <v>3.3486370000000001</v>
      </c>
      <c r="E2635">
        <v>0.51727479999999904</v>
      </c>
      <c r="F2635" t="s">
        <v>44</v>
      </c>
      <c r="G2635">
        <v>-369.44209999999998</v>
      </c>
      <c r="H2635">
        <v>0.94529750000000001</v>
      </c>
      <c r="I2635">
        <v>212.89150000000001</v>
      </c>
      <c r="J2635">
        <v>-369.99220000000003</v>
      </c>
      <c r="K2635">
        <v>1.1089100000000001</v>
      </c>
      <c r="L2635">
        <v>212.99870000000001</v>
      </c>
      <c r="M2635">
        <v>0.99990380000000001</v>
      </c>
      <c r="N2635">
        <v>0</v>
      </c>
      <c r="O2635">
        <v>-1.238034E-2</v>
      </c>
      <c r="P2635">
        <v>0.98251549999999999</v>
      </c>
      <c r="Q2635">
        <v>0.1834759</v>
      </c>
      <c r="R2635">
        <v>-3.163233E-2</v>
      </c>
      <c r="S2635">
        <v>3.1384280000000002</v>
      </c>
      <c r="T2635">
        <v>-0.5180264</v>
      </c>
      <c r="U2635">
        <v>-0.35528559999999998</v>
      </c>
      <c r="V2635">
        <v>1.928765E-2</v>
      </c>
      <c r="W2635">
        <v>0.18966269999999999</v>
      </c>
      <c r="X2635">
        <v>0.98165979999999997</v>
      </c>
      <c r="Y2635">
        <v>9.9018739999999994E-2</v>
      </c>
      <c r="Z2635">
        <v>-6.0686589999999997E-3</v>
      </c>
      <c r="AA2635">
        <v>0.99506709999999998</v>
      </c>
      <c r="AB2635">
        <v>46</v>
      </c>
      <c r="AC2635">
        <v>0.550100000000043</v>
      </c>
      <c r="AD2635">
        <v>-0.16361249999999999</v>
      </c>
      <c r="AE2635">
        <v>-0.107200000000005</v>
      </c>
      <c r="AF2635">
        <v>9.2498153061870203E-2</v>
      </c>
      <c r="AG2635">
        <v>-0.16361249999999999</v>
      </c>
      <c r="AH2635">
        <v>0.50808402901811001</v>
      </c>
      <c r="AI2635">
        <v>107.578790209144</v>
      </c>
      <c r="AJ2635">
        <v>79.682138005509501</v>
      </c>
      <c r="AK2635">
        <v>0.54173271917005605</v>
      </c>
      <c r="AL2635">
        <v>79.066899119485797</v>
      </c>
      <c r="AM2635">
        <v>88.874397455357197</v>
      </c>
      <c r="AN2635">
        <v>0.99999995807492503</v>
      </c>
    </row>
    <row r="2636" spans="1:40" x14ac:dyDescent="0.25">
      <c r="A2636" t="str">
        <f>"20190312172711577"</f>
        <v>20190312172711577</v>
      </c>
      <c r="B2636" t="str">
        <f>"1552382831571517"</f>
        <v>1552382831571517</v>
      </c>
      <c r="C2636" t="s">
        <v>40</v>
      </c>
      <c r="D2636">
        <v>3.6465399999999999</v>
      </c>
      <c r="E2636">
        <v>0.51104229999999995</v>
      </c>
      <c r="F2636" t="s">
        <v>44</v>
      </c>
      <c r="G2636">
        <v>-369.00720000000001</v>
      </c>
      <c r="H2636">
        <v>0.99920169999999997</v>
      </c>
      <c r="I2636">
        <v>212.93709999999999</v>
      </c>
      <c r="J2636">
        <v>-369.53519999999997</v>
      </c>
      <c r="K2636">
        <v>1.108911</v>
      </c>
      <c r="L2636">
        <v>212.9933</v>
      </c>
      <c r="M2636">
        <v>0.99990730000000005</v>
      </c>
      <c r="N2636">
        <v>0</v>
      </c>
      <c r="O2636">
        <v>-1.2041369999999999E-2</v>
      </c>
      <c r="P2636">
        <v>0.98255879999999995</v>
      </c>
      <c r="Q2636">
        <v>0.1833494</v>
      </c>
      <c r="R2636">
        <v>-3.1008460000000002E-2</v>
      </c>
      <c r="S2636">
        <v>3.1118769999999998</v>
      </c>
      <c r="T2636">
        <v>-0.34669410000000001</v>
      </c>
      <c r="U2636">
        <v>-0.19390869999999999</v>
      </c>
      <c r="V2636">
        <v>1.899474E-2</v>
      </c>
      <c r="W2636">
        <v>0.1896089</v>
      </c>
      <c r="X2636">
        <v>0.98167590000000005</v>
      </c>
      <c r="Y2636">
        <v>4.9935519999999997E-2</v>
      </c>
      <c r="Z2636">
        <v>-1.434432E-3</v>
      </c>
      <c r="AA2636">
        <v>0.99875139999999996</v>
      </c>
      <c r="AB2636">
        <v>46</v>
      </c>
      <c r="AC2636">
        <v>0.52799999999996305</v>
      </c>
      <c r="AD2636">
        <v>-0.1097093</v>
      </c>
      <c r="AE2636">
        <v>-5.6200000000018201E-2</v>
      </c>
      <c r="AF2636">
        <v>4.77974779127446E-2</v>
      </c>
      <c r="AG2636">
        <v>-0.1097093</v>
      </c>
      <c r="AH2636">
        <v>0.50699483377936805</v>
      </c>
      <c r="AI2636">
        <v>102.15775961129199</v>
      </c>
      <c r="AJ2636">
        <v>84.614297721043101</v>
      </c>
      <c r="AK2636">
        <v>0.520926569566459</v>
      </c>
      <c r="AL2636">
        <v>79.070038553512106</v>
      </c>
      <c r="AM2636">
        <v>88.891505185167404</v>
      </c>
      <c r="AN2636">
        <v>0.999999953873842</v>
      </c>
    </row>
    <row r="2637" spans="1:40" x14ac:dyDescent="0.25">
      <c r="A2637" t="str">
        <f>"20190312172711600"</f>
        <v>20190312172711600</v>
      </c>
      <c r="B2637" t="str">
        <f>"1552382831592013"</f>
        <v>1552382831592013</v>
      </c>
      <c r="C2637" t="s">
        <v>40</v>
      </c>
      <c r="D2637">
        <v>3.3838689999999998</v>
      </c>
      <c r="E2637">
        <v>0.50782689999999997</v>
      </c>
      <c r="F2637" t="s">
        <v>44</v>
      </c>
      <c r="G2637">
        <v>-368.58699999999999</v>
      </c>
      <c r="H2637">
        <v>1.0208649999999999</v>
      </c>
      <c r="I2637">
        <v>212.94909999999999</v>
      </c>
      <c r="J2637">
        <v>-369.05720000000002</v>
      </c>
      <c r="K2637">
        <v>1.1089260000000001</v>
      </c>
      <c r="L2637">
        <v>212.98769999999999</v>
      </c>
      <c r="M2637">
        <v>0.99991110000000005</v>
      </c>
      <c r="N2637">
        <v>0</v>
      </c>
      <c r="O2637">
        <v>-1.16849E-2</v>
      </c>
      <c r="P2637">
        <v>0.98263619999999996</v>
      </c>
      <c r="Q2637">
        <v>0.1831103</v>
      </c>
      <c r="R2637">
        <v>-2.9949590000000002E-2</v>
      </c>
      <c r="S2637">
        <v>3.1024780000000001</v>
      </c>
      <c r="T2637">
        <v>-0.288191799999999</v>
      </c>
      <c r="U2637">
        <v>-0.14379879999999901</v>
      </c>
      <c r="V2637">
        <v>1.8283779999999999E-2</v>
      </c>
      <c r="W2637">
        <v>0.18945629999999999</v>
      </c>
      <c r="X2637">
        <v>0.98171889999999995</v>
      </c>
      <c r="Y2637">
        <v>3.4526069999999999E-2</v>
      </c>
      <c r="Z2637">
        <v>-5.1683839999999996E-4</v>
      </c>
      <c r="AA2637">
        <v>0.99940370000000001</v>
      </c>
      <c r="AB2637">
        <v>46</v>
      </c>
      <c r="AC2637">
        <v>0.47020000000003298</v>
      </c>
      <c r="AD2637">
        <v>-8.8061000000000098E-2</v>
      </c>
      <c r="AE2637">
        <v>-3.8600000000002403E-2</v>
      </c>
      <c r="AF2637">
        <v>3.1988513934865702E-2</v>
      </c>
      <c r="AG2637">
        <v>-8.8061000000000098E-2</v>
      </c>
      <c r="AH2637">
        <v>0.45477435595728599</v>
      </c>
      <c r="AI2637">
        <v>100.932580613493</v>
      </c>
      <c r="AJ2637">
        <v>85.976481341662407</v>
      </c>
      <c r="AK2637">
        <v>0.46432501502840201</v>
      </c>
      <c r="AL2637">
        <v>79.078943719519302</v>
      </c>
      <c r="AM2637">
        <v>88.933032327085499</v>
      </c>
      <c r="AN2637">
        <v>0.99999999241899395</v>
      </c>
    </row>
    <row r="2638" spans="1:40" x14ac:dyDescent="0.25">
      <c r="A2638" t="str">
        <f>"20190312172711666"</f>
        <v>20190312172711666</v>
      </c>
      <c r="B2638" t="str">
        <f>"1552382831661309"</f>
        <v>1552382831661309</v>
      </c>
      <c r="C2638" t="s">
        <v>40</v>
      </c>
      <c r="D2638">
        <v>3.3907690000000001</v>
      </c>
      <c r="E2638">
        <v>0.50384969999999996</v>
      </c>
      <c r="F2638" t="s">
        <v>44</v>
      </c>
      <c r="G2638">
        <v>-367.33530000000002</v>
      </c>
      <c r="H2638">
        <v>1.0496909999999999</v>
      </c>
      <c r="I2638">
        <v>212.95359999999999</v>
      </c>
      <c r="J2638">
        <v>-367.70159999999998</v>
      </c>
      <c r="K2638">
        <v>1.1089990000000001</v>
      </c>
      <c r="L2638">
        <v>212.97290000000001</v>
      </c>
      <c r="M2638">
        <v>0.99992040000000004</v>
      </c>
      <c r="N2638">
        <v>0</v>
      </c>
      <c r="O2638">
        <v>-1.065575E-2</v>
      </c>
      <c r="P2638">
        <v>0.98248179999999996</v>
      </c>
      <c r="Q2638">
        <v>0.18414810000000001</v>
      </c>
      <c r="R2638">
        <v>-2.862336E-2</v>
      </c>
      <c r="S2638">
        <v>3.09198</v>
      </c>
      <c r="T2638">
        <v>-0.2211043</v>
      </c>
      <c r="U2638">
        <v>-8.9981080000000005E-2</v>
      </c>
      <c r="V2638">
        <v>1.7962189999999999E-2</v>
      </c>
      <c r="W2638">
        <v>0.19081480000000001</v>
      </c>
      <c r="X2638">
        <v>0.98146169999999999</v>
      </c>
      <c r="Y2638">
        <v>1.8416189999999999E-2</v>
      </c>
      <c r="Z2638">
        <v>1.033434E-4</v>
      </c>
      <c r="AA2638">
        <v>0.99983040000000001</v>
      </c>
      <c r="AB2638">
        <v>46</v>
      </c>
      <c r="AC2638">
        <v>0.36629999999996699</v>
      </c>
      <c r="AD2638">
        <v>-5.9308000000000097E-2</v>
      </c>
      <c r="AE2638">
        <v>-1.9300000000015399E-2</v>
      </c>
      <c r="AF2638">
        <v>1.50033864071721E-2</v>
      </c>
      <c r="AG2638">
        <v>-5.9308000000000097E-2</v>
      </c>
      <c r="AH2638">
        <v>0.35714808486360999</v>
      </c>
      <c r="AI2638">
        <v>99.420337714085804</v>
      </c>
      <c r="AJ2638">
        <v>87.594483592678898</v>
      </c>
      <c r="AK2638">
        <v>0.36234968606227203</v>
      </c>
      <c r="AL2638">
        <v>78.999661176394198</v>
      </c>
      <c r="AM2638">
        <v>88.9515201687515</v>
      </c>
      <c r="AN2638">
        <v>0.99999999836776299</v>
      </c>
    </row>
    <row r="2639" spans="1:40" x14ac:dyDescent="0.25">
      <c r="A2639" t="str">
        <f>"20190312172711688"</f>
        <v>20190312172711688</v>
      </c>
      <c r="B2639" t="str">
        <f>"1552382831681804"</f>
        <v>1552382831681804</v>
      </c>
      <c r="C2639" t="s">
        <v>40</v>
      </c>
      <c r="D2639">
        <v>3.427333</v>
      </c>
      <c r="E2639">
        <v>0.50341250000000004</v>
      </c>
      <c r="F2639" t="s">
        <v>48</v>
      </c>
      <c r="G2639">
        <v>-351.12580000000003</v>
      </c>
      <c r="H2639" s="1">
        <v>-8.4663289999999999E-7</v>
      </c>
      <c r="I2639">
        <v>212.53309999999999</v>
      </c>
      <c r="J2639">
        <v>-367.24099999999999</v>
      </c>
      <c r="K2639">
        <v>1.109027</v>
      </c>
      <c r="L2639">
        <v>212.9683</v>
      </c>
      <c r="M2639">
        <v>0.99992320000000001</v>
      </c>
      <c r="N2639">
        <v>0</v>
      </c>
      <c r="O2639">
        <v>-1.02948E-2</v>
      </c>
      <c r="P2639">
        <v>0.98245669999999996</v>
      </c>
      <c r="Q2639">
        <v>0.184285</v>
      </c>
      <c r="R2639">
        <v>-2.859863E-2</v>
      </c>
      <c r="S2639">
        <v>3.0898129999999999</v>
      </c>
      <c r="T2639">
        <v>-0.2067233</v>
      </c>
      <c r="U2639">
        <v>-8.1985470000000005E-2</v>
      </c>
      <c r="V2639">
        <v>1.8288570000000001E-2</v>
      </c>
      <c r="W2639">
        <v>0.19109660000000001</v>
      </c>
      <c r="X2639">
        <v>0.98140079999999996</v>
      </c>
      <c r="Y2639">
        <v>1.6218719999999999E-2</v>
      </c>
      <c r="Z2639">
        <v>1.4601109999999999E-4</v>
      </c>
      <c r="AA2639">
        <v>0.99986850000000005</v>
      </c>
      <c r="AB2639">
        <v>46</v>
      </c>
      <c r="AC2639">
        <v>16.115199999999898</v>
      </c>
      <c r="AD2639">
        <v>-1.1090278466329</v>
      </c>
      <c r="AE2639">
        <v>-0.43520000000000802</v>
      </c>
      <c r="AF2639">
        <v>0.26800188866254498</v>
      </c>
      <c r="AG2639">
        <v>-1.1090278466329</v>
      </c>
      <c r="AH2639">
        <v>16.042902242480601</v>
      </c>
      <c r="AI2639">
        <v>93.953951830007298</v>
      </c>
      <c r="AJ2639">
        <v>89.042944429162304</v>
      </c>
      <c r="AK2639">
        <v>16.0834225256542</v>
      </c>
      <c r="AL2639">
        <v>78.983212079331295</v>
      </c>
      <c r="AM2639">
        <v>88.932407021447901</v>
      </c>
      <c r="AN2639">
        <v>0.999999956282421</v>
      </c>
    </row>
    <row r="2640" spans="1:40" x14ac:dyDescent="0.25">
      <c r="A2640" t="str">
        <f>"20190312172711711"</f>
        <v>20190312172711711</v>
      </c>
      <c r="B2640" t="str">
        <f>"1552382831701325"</f>
        <v>1552382831701325</v>
      </c>
      <c r="C2640" t="s">
        <v>40</v>
      </c>
      <c r="D2640">
        <v>3.3810500000000001</v>
      </c>
      <c r="E2640">
        <v>0.50317809999999996</v>
      </c>
      <c r="F2640" t="s">
        <v>44</v>
      </c>
      <c r="G2640">
        <v>-366.10829999999999</v>
      </c>
      <c r="H2640">
        <v>1.035671</v>
      </c>
      <c r="I2640">
        <v>212.9391</v>
      </c>
      <c r="J2640">
        <v>-366.77170000000001</v>
      </c>
      <c r="K2640">
        <v>1.109062</v>
      </c>
      <c r="L2640">
        <v>212.96369999999999</v>
      </c>
      <c r="M2640">
        <v>0.99992570000000003</v>
      </c>
      <c r="N2640">
        <v>0</v>
      </c>
      <c r="O2640">
        <v>-9.9170049999999996E-3</v>
      </c>
      <c r="P2640">
        <v>0.98254109999999995</v>
      </c>
      <c r="Q2640">
        <v>0.1838611</v>
      </c>
      <c r="R2640">
        <v>-2.8431870000000001E-2</v>
      </c>
      <c r="S2640">
        <v>3.0888059999999999</v>
      </c>
      <c r="T2640">
        <v>-0.2001317</v>
      </c>
      <c r="U2640">
        <v>-7.9071039999999995E-2</v>
      </c>
      <c r="V2640">
        <v>1.8487859999999998E-2</v>
      </c>
      <c r="W2640">
        <v>0.19084899999999999</v>
      </c>
      <c r="X2640">
        <v>0.98144529999999996</v>
      </c>
      <c r="Y2640">
        <v>1.566354E-2</v>
      </c>
      <c r="Z2640">
        <v>1.349321E-4</v>
      </c>
      <c r="AA2640">
        <v>0.99987729999999997</v>
      </c>
      <c r="AB2640">
        <v>46</v>
      </c>
      <c r="AC2640">
        <v>0.66340000000002397</v>
      </c>
      <c r="AD2640">
        <v>-7.3390999999999901E-2</v>
      </c>
      <c r="AE2640">
        <v>-2.4599999999992399E-2</v>
      </c>
      <c r="AF2640">
        <v>1.7802108648397999E-2</v>
      </c>
      <c r="AG2640">
        <v>-7.3390999999999901E-2</v>
      </c>
      <c r="AH2640">
        <v>0.65559869371924395</v>
      </c>
      <c r="AI2640">
        <v>96.385049344095407</v>
      </c>
      <c r="AJ2640">
        <v>88.444574217227498</v>
      </c>
      <c r="AK2640">
        <v>0.65993393696619995</v>
      </c>
      <c r="AL2640">
        <v>78.997665098137503</v>
      </c>
      <c r="AM2640">
        <v>88.920825151198997</v>
      </c>
      <c r="AN2640">
        <v>1.0000000093302299</v>
      </c>
    </row>
    <row r="2641" spans="1:40" x14ac:dyDescent="0.25">
      <c r="A2641" t="str">
        <f>"20190312172711734"</f>
        <v>20190312172711734</v>
      </c>
      <c r="B2641" t="str">
        <f>"1552382831731581"</f>
        <v>1552382831731581</v>
      </c>
      <c r="C2641" t="s">
        <v>40</v>
      </c>
      <c r="D2641">
        <v>3.3843570000000001</v>
      </c>
      <c r="E2641">
        <v>0.50280630000000004</v>
      </c>
      <c r="F2641" t="s">
        <v>44</v>
      </c>
      <c r="G2641">
        <v>-365.69200000000001</v>
      </c>
      <c r="H2641">
        <v>1.04027</v>
      </c>
      <c r="I2641">
        <v>212.9367</v>
      </c>
      <c r="J2641">
        <v>-366.28890000000001</v>
      </c>
      <c r="K2641">
        <v>1.109102</v>
      </c>
      <c r="L2641">
        <v>212.95920000000001</v>
      </c>
      <c r="M2641">
        <v>0.99992829999999999</v>
      </c>
      <c r="N2641">
        <v>0</v>
      </c>
      <c r="O2641">
        <v>-9.5198239999999996E-3</v>
      </c>
      <c r="P2641">
        <v>0.98249039999999999</v>
      </c>
      <c r="Q2641">
        <v>0.1841112</v>
      </c>
      <c r="R2641">
        <v>-2.8562690000000002E-2</v>
      </c>
      <c r="S2641">
        <v>3.0879210000000001</v>
      </c>
      <c r="T2641">
        <v>-0.1967353</v>
      </c>
      <c r="U2641">
        <v>-7.6919559999999998E-2</v>
      </c>
      <c r="V2641">
        <v>1.9004210000000001E-2</v>
      </c>
      <c r="W2641">
        <v>0.1912857</v>
      </c>
      <c r="X2641">
        <v>0.98135039999999996</v>
      </c>
      <c r="Y2641">
        <v>1.537199E-2</v>
      </c>
      <c r="Z2641">
        <v>1.166905E-4</v>
      </c>
      <c r="AA2641">
        <v>0.99988189999999999</v>
      </c>
      <c r="AB2641">
        <v>46</v>
      </c>
      <c r="AC2641">
        <v>0.59690000000006105</v>
      </c>
      <c r="AD2641">
        <v>-6.8832000000000004E-2</v>
      </c>
      <c r="AE2641">
        <v>-2.2500000000007899E-2</v>
      </c>
      <c r="AF2641">
        <v>1.65960705062866E-2</v>
      </c>
      <c r="AG2641">
        <v>-6.8832000000000004E-2</v>
      </c>
      <c r="AH2641">
        <v>0.58926241566642701</v>
      </c>
      <c r="AI2641">
        <v>96.659934570666394</v>
      </c>
      <c r="AJ2641">
        <v>88.386739980533605</v>
      </c>
      <c r="AK2641">
        <v>0.59350102636582103</v>
      </c>
      <c r="AL2641">
        <v>78.972174235585001</v>
      </c>
      <c r="AM2641">
        <v>88.890584909680797</v>
      </c>
      <c r="AN2641">
        <v>0.99999999330118605</v>
      </c>
    </row>
    <row r="2642" spans="1:40" x14ac:dyDescent="0.25">
      <c r="A2642" t="str">
        <f>"20190312172711755"</f>
        <v>20190312172711755</v>
      </c>
      <c r="B2642" t="str">
        <f>"1552382831752077"</f>
        <v>1552382831752077</v>
      </c>
      <c r="C2642" t="s">
        <v>40</v>
      </c>
      <c r="D2642">
        <v>3.378533</v>
      </c>
      <c r="E2642">
        <v>0.49039250000000001</v>
      </c>
      <c r="F2642" t="s">
        <v>44</v>
      </c>
      <c r="G2642">
        <v>-365.2722</v>
      </c>
      <c r="H2642">
        <v>1.0460830000000001</v>
      </c>
      <c r="I2642">
        <v>212.9342</v>
      </c>
      <c r="J2642">
        <v>-365.85169999999999</v>
      </c>
      <c r="K2642">
        <v>1.109132</v>
      </c>
      <c r="L2642">
        <v>212.95519999999999</v>
      </c>
      <c r="M2642">
        <v>0.9999304</v>
      </c>
      <c r="N2642">
        <v>0</v>
      </c>
      <c r="O2642">
        <v>-9.1524269999999994E-3</v>
      </c>
      <c r="P2642">
        <v>0.98245159999999998</v>
      </c>
      <c r="Q2642">
        <v>0.18430930000000001</v>
      </c>
      <c r="R2642">
        <v>-2.862659E-2</v>
      </c>
      <c r="S2642">
        <v>3.0871580000000001</v>
      </c>
      <c r="T2642">
        <v>-0.1914835</v>
      </c>
      <c r="U2642">
        <v>-7.5012209999999996E-2</v>
      </c>
      <c r="V2642">
        <v>1.9424489999999999E-2</v>
      </c>
      <c r="W2642">
        <v>0.1916591</v>
      </c>
      <c r="X2642">
        <v>0.98126930000000001</v>
      </c>
      <c r="Y2642">
        <v>1.51285E-2</v>
      </c>
      <c r="Z2642" s="1">
        <v>9.8392950000000001E-5</v>
      </c>
      <c r="AA2642">
        <v>0.99988560000000004</v>
      </c>
      <c r="AB2642">
        <v>46</v>
      </c>
      <c r="AC2642">
        <v>0.57949999999999502</v>
      </c>
      <c r="AD2642">
        <v>-6.3048999999999897E-2</v>
      </c>
      <c r="AE2642">
        <v>-2.0999999999986502E-2</v>
      </c>
      <c r="AF2642">
        <v>1.55117666333714E-2</v>
      </c>
      <c r="AG2642">
        <v>-6.3048999999999897E-2</v>
      </c>
      <c r="AH2642">
        <v>0.57289534159808397</v>
      </c>
      <c r="AI2642">
        <v>96.278031109535306</v>
      </c>
      <c r="AJ2642">
        <v>88.4490331750455</v>
      </c>
      <c r="AK2642">
        <v>0.57656297464359696</v>
      </c>
      <c r="AL2642">
        <v>78.950376547283994</v>
      </c>
      <c r="AM2642">
        <v>88.865962727373201</v>
      </c>
      <c r="AN2642">
        <v>0.99999998027352899</v>
      </c>
    </row>
    <row r="2643" spans="1:40" x14ac:dyDescent="0.25">
      <c r="A2643" t="str">
        <f>"20190312172711777"</f>
        <v>20190312172711777</v>
      </c>
      <c r="B2643" t="str">
        <f>"1552382831771597"</f>
        <v>1552382831771597</v>
      </c>
      <c r="C2643" t="s">
        <v>40</v>
      </c>
      <c r="D2643">
        <v>3.3616830000000002</v>
      </c>
      <c r="E2643">
        <v>0.49043009999999898</v>
      </c>
      <c r="F2643" t="s">
        <v>48</v>
      </c>
      <c r="G2643">
        <v>-323.50299999999999</v>
      </c>
      <c r="H2643" s="1">
        <v>3.273375E-7</v>
      </c>
      <c r="I2643">
        <v>213.2226</v>
      </c>
      <c r="J2643">
        <v>-365.40019999999998</v>
      </c>
      <c r="K2643">
        <v>1.1091679999999999</v>
      </c>
      <c r="L2643">
        <v>212.9513</v>
      </c>
      <c r="M2643">
        <v>0.99993220000000005</v>
      </c>
      <c r="N2643">
        <v>0</v>
      </c>
      <c r="O2643">
        <v>-8.766032E-3</v>
      </c>
      <c r="P2643">
        <v>0.98253780000000002</v>
      </c>
      <c r="Q2643">
        <v>0.18394089999999999</v>
      </c>
      <c r="R2643">
        <v>-2.802255E-2</v>
      </c>
      <c r="S2643">
        <v>3.0692439999999999</v>
      </c>
      <c r="T2643">
        <v>-8.0384849999999994E-2</v>
      </c>
      <c r="U2643">
        <v>1.9378659999999999E-2</v>
      </c>
      <c r="V2643">
        <v>1.919483E-2</v>
      </c>
      <c r="W2643">
        <v>0.19148499999999999</v>
      </c>
      <c r="X2643">
        <v>0.98130779999999995</v>
      </c>
      <c r="Y2643">
        <v>-1.507139E-2</v>
      </c>
      <c r="Z2643">
        <v>4.2687809999999998E-4</v>
      </c>
      <c r="AA2643">
        <v>0.99988630000000001</v>
      </c>
      <c r="AB2643">
        <v>46</v>
      </c>
      <c r="AC2643">
        <v>41.897199999999998</v>
      </c>
      <c r="AD2643">
        <v>-1.1091676726624999</v>
      </c>
      <c r="AE2643">
        <v>0.27129999999999599</v>
      </c>
      <c r="AF2643">
        <v>-0.638125350072002</v>
      </c>
      <c r="AG2643">
        <v>-1.1091676726624999</v>
      </c>
      <c r="AH2643">
        <v>41.863872800499998</v>
      </c>
      <c r="AI2643">
        <v>91.517499025932807</v>
      </c>
      <c r="AJ2643">
        <v>90.873284186388005</v>
      </c>
      <c r="AK2643">
        <v>41.883425155363398</v>
      </c>
      <c r="AL2643">
        <v>78.960539897744795</v>
      </c>
      <c r="AM2643">
        <v>88.8794112138104</v>
      </c>
      <c r="AN2643">
        <v>0.99999997253228401</v>
      </c>
    </row>
    <row r="2644" spans="1:40" x14ac:dyDescent="0.25">
      <c r="A2644" t="str">
        <f>"20190312172711802"</f>
        <v>20190312172711802</v>
      </c>
      <c r="B2644" t="str">
        <f>"1552382831792093"</f>
        <v>1552382831792093</v>
      </c>
      <c r="C2644" t="s">
        <v>40</v>
      </c>
      <c r="D2644">
        <v>3.4032719999999999</v>
      </c>
      <c r="E2644">
        <v>0.4904133</v>
      </c>
      <c r="F2644" t="s">
        <v>48</v>
      </c>
      <c r="G2644">
        <v>-324.88760000000002</v>
      </c>
      <c r="H2644" s="1">
        <v>1.064172E-6</v>
      </c>
      <c r="I2644">
        <v>213.2234</v>
      </c>
      <c r="J2644">
        <v>-364.88920000000002</v>
      </c>
      <c r="K2644">
        <v>1.1092070000000001</v>
      </c>
      <c r="L2644">
        <v>212.94710000000001</v>
      </c>
      <c r="M2644">
        <v>0.99993410000000005</v>
      </c>
      <c r="N2644">
        <v>0</v>
      </c>
      <c r="O2644">
        <v>-8.3217380000000004E-3</v>
      </c>
      <c r="P2644">
        <v>0.98262169999999904</v>
      </c>
      <c r="Q2644">
        <v>0.183641</v>
      </c>
      <c r="R2644">
        <v>-2.7029689999999999E-2</v>
      </c>
      <c r="S2644">
        <v>3.0696409999999998</v>
      </c>
      <c r="T2644">
        <v>-8.4041599999999994E-2</v>
      </c>
      <c r="U2644">
        <v>2.061462E-2</v>
      </c>
      <c r="V2644">
        <v>1.8633380000000001E-2</v>
      </c>
      <c r="W2644">
        <v>0.19142039999999999</v>
      </c>
      <c r="X2644">
        <v>0.98133119999999996</v>
      </c>
      <c r="Y2644">
        <v>-1.502832E-2</v>
      </c>
      <c r="Z2644">
        <v>4.3348079999999998E-4</v>
      </c>
      <c r="AA2644">
        <v>0.99988699999999997</v>
      </c>
      <c r="AB2644">
        <v>46</v>
      </c>
      <c r="AC2644">
        <v>40.001600000000003</v>
      </c>
      <c r="AD2644">
        <v>-1.109205935828</v>
      </c>
      <c r="AE2644">
        <v>0.276299999999992</v>
      </c>
      <c r="AF2644">
        <v>-0.60871565849479803</v>
      </c>
      <c r="AG2644">
        <v>-1.109205935828</v>
      </c>
      <c r="AH2644">
        <v>39.967186151365397</v>
      </c>
      <c r="AI2644">
        <v>91.589532606507007</v>
      </c>
      <c r="AJ2644">
        <v>90.8725693539524</v>
      </c>
      <c r="AK2644">
        <v>39.987208472446099</v>
      </c>
      <c r="AL2644">
        <v>78.964310691524105</v>
      </c>
      <c r="AM2644">
        <v>88.912206445319399</v>
      </c>
      <c r="AN2644">
        <v>0.99999994823991001</v>
      </c>
    </row>
    <row r="2645" spans="1:40" x14ac:dyDescent="0.25">
      <c r="A2645" t="str">
        <f>"20190312172711825"</f>
        <v>20190312172711825</v>
      </c>
      <c r="B2645" t="str">
        <f>"1552382831821373"</f>
        <v>1552382831821373</v>
      </c>
      <c r="C2645" t="s">
        <v>40</v>
      </c>
      <c r="D2645">
        <v>3.3818839999999901</v>
      </c>
      <c r="E2645">
        <v>0.49048560000000002</v>
      </c>
      <c r="F2645" t="s">
        <v>48</v>
      </c>
      <c r="G2645">
        <v>-325.11590000000001</v>
      </c>
      <c r="H2645" s="1">
        <v>1.185642E-6</v>
      </c>
      <c r="I2645">
        <v>213.2516</v>
      </c>
      <c r="J2645">
        <v>-364.41210000000001</v>
      </c>
      <c r="K2645">
        <v>1.109246</v>
      </c>
      <c r="L2645">
        <v>212.9434</v>
      </c>
      <c r="M2645">
        <v>0.99993569999999998</v>
      </c>
      <c r="N2645">
        <v>0</v>
      </c>
      <c r="O2645">
        <v>-7.9022429999999998E-3</v>
      </c>
      <c r="P2645">
        <v>0.98267009999999999</v>
      </c>
      <c r="Q2645">
        <v>0.1834905</v>
      </c>
      <c r="R2645">
        <v>-2.628664E-2</v>
      </c>
      <c r="S2645">
        <v>3.0697019999999999</v>
      </c>
      <c r="T2645">
        <v>-8.5608480000000001E-2</v>
      </c>
      <c r="U2645">
        <v>2.3498539999999998E-2</v>
      </c>
      <c r="V2645">
        <v>1.829851E-2</v>
      </c>
      <c r="W2645">
        <v>0.19149440000000001</v>
      </c>
      <c r="X2645">
        <v>0.9813231</v>
      </c>
      <c r="Y2645">
        <v>-1.5547679999999999E-2</v>
      </c>
      <c r="Z2645">
        <v>4.3709370000000002E-4</v>
      </c>
      <c r="AA2645">
        <v>0.99987899999999996</v>
      </c>
      <c r="AB2645">
        <v>46</v>
      </c>
      <c r="AC2645">
        <v>39.296199999999999</v>
      </c>
      <c r="AD2645">
        <v>-1.109244814358</v>
      </c>
      <c r="AE2645">
        <v>0.30819999999999897</v>
      </c>
      <c r="AF2645">
        <v>-0.61823618378266099</v>
      </c>
      <c r="AG2645">
        <v>-1.109244814358</v>
      </c>
      <c r="AH2645">
        <v>39.261255653860502</v>
      </c>
      <c r="AI2645">
        <v>91.618141628622993</v>
      </c>
      <c r="AJ2645">
        <v>90.902146305646497</v>
      </c>
      <c r="AK2645">
        <v>39.2817875809505</v>
      </c>
      <c r="AL2645">
        <v>78.959991287099498</v>
      </c>
      <c r="AM2645">
        <v>88.931742352518</v>
      </c>
      <c r="AN2645">
        <v>0.99999998364659404</v>
      </c>
    </row>
    <row r="2646" spans="1:40" x14ac:dyDescent="0.25">
      <c r="A2646" t="str">
        <f>"20190312172711856"</f>
        <v>20190312172711856</v>
      </c>
      <c r="B2646" t="str">
        <f>"1552382831851629"</f>
        <v>1552382831851629</v>
      </c>
      <c r="C2646" t="s">
        <v>40</v>
      </c>
      <c r="D2646">
        <v>3.3525550000000002</v>
      </c>
      <c r="E2646">
        <v>0.49074790000000001</v>
      </c>
      <c r="F2646" t="s">
        <v>48</v>
      </c>
      <c r="G2646">
        <v>-325.18860000000001</v>
      </c>
      <c r="H2646" s="1">
        <v>1.2243249999999999E-6</v>
      </c>
      <c r="I2646">
        <v>213.26390000000001</v>
      </c>
      <c r="J2646">
        <v>-363.76639999999998</v>
      </c>
      <c r="K2646">
        <v>1.109289</v>
      </c>
      <c r="L2646">
        <v>212.93879999999999</v>
      </c>
      <c r="M2646">
        <v>0.99993770000000004</v>
      </c>
      <c r="N2646">
        <v>0</v>
      </c>
      <c r="O2646">
        <v>-7.3297299999999996E-3</v>
      </c>
      <c r="P2646">
        <v>0.98266710000000002</v>
      </c>
      <c r="Q2646">
        <v>0.18363070000000001</v>
      </c>
      <c r="R2646">
        <v>-2.539187E-2</v>
      </c>
      <c r="S2646">
        <v>3.0697939999999999</v>
      </c>
      <c r="T2646">
        <v>-8.6814050000000004E-2</v>
      </c>
      <c r="U2646">
        <v>2.5085449999999999E-2</v>
      </c>
      <c r="V2646">
        <v>1.7962189999999999E-2</v>
      </c>
      <c r="W2646">
        <v>0.1919324</v>
      </c>
      <c r="X2646">
        <v>0.98124370000000005</v>
      </c>
      <c r="Y2646">
        <v>-1.549183E-2</v>
      </c>
      <c r="Z2646">
        <v>4.2625589999999999E-4</v>
      </c>
      <c r="AA2646">
        <v>0.99987990000000004</v>
      </c>
      <c r="AB2646">
        <v>47</v>
      </c>
      <c r="AC2646">
        <v>38.577799999999897</v>
      </c>
      <c r="AD2646">
        <v>-1.1092877756749999</v>
      </c>
      <c r="AE2646">
        <v>0.32510000000001998</v>
      </c>
      <c r="AF2646">
        <v>-0.60736399673353303</v>
      </c>
      <c r="AG2646">
        <v>-1.1092877756749999</v>
      </c>
      <c r="AH2646">
        <v>38.542514990349702</v>
      </c>
      <c r="AI2646">
        <v>91.648363737150603</v>
      </c>
      <c r="AJ2646">
        <v>90.9028085887836</v>
      </c>
      <c r="AK2646">
        <v>38.563258059649499</v>
      </c>
      <c r="AL2646">
        <v>78.934420978908705</v>
      </c>
      <c r="AM2646">
        <v>88.951287283116102</v>
      </c>
      <c r="AN2646">
        <v>0.99999994261452096</v>
      </c>
    </row>
    <row r="2647" spans="1:40" x14ac:dyDescent="0.25">
      <c r="A2647" t="str">
        <f>"20190312172711877"</f>
        <v>20190312172711877</v>
      </c>
      <c r="B2647" t="str">
        <f>"1552382831871149"</f>
        <v>1552382831871149</v>
      </c>
      <c r="C2647" t="s">
        <v>40</v>
      </c>
      <c r="D2647">
        <v>3.3293170000000001</v>
      </c>
      <c r="E2647">
        <v>0.49081249999999998</v>
      </c>
      <c r="F2647" t="s">
        <v>48</v>
      </c>
      <c r="G2647">
        <v>-324.13189999999997</v>
      </c>
      <c r="H2647" s="1">
        <v>6.6201949999999998E-7</v>
      </c>
      <c r="I2647">
        <v>213.27879999999999</v>
      </c>
      <c r="J2647">
        <v>-363.29599999999999</v>
      </c>
      <c r="K2647">
        <v>1.1093170000000001</v>
      </c>
      <c r="L2647">
        <v>212.93559999999999</v>
      </c>
      <c r="M2647">
        <v>0.99993880000000002</v>
      </c>
      <c r="N2647">
        <v>0</v>
      </c>
      <c r="O2647">
        <v>-6.9108399999999997E-3</v>
      </c>
      <c r="P2647">
        <v>0.98275999999999997</v>
      </c>
      <c r="Q2647">
        <v>0.18317510000000001</v>
      </c>
      <c r="R2647">
        <v>-2.5094379999999999E-2</v>
      </c>
      <c r="S2647">
        <v>3.0696110000000001</v>
      </c>
      <c r="T2647">
        <v>-8.5912230000000006E-2</v>
      </c>
      <c r="U2647">
        <v>2.633667E-2</v>
      </c>
      <c r="V2647">
        <v>1.807317E-2</v>
      </c>
      <c r="W2647">
        <v>0.19168479999999999</v>
      </c>
      <c r="X2647">
        <v>0.98129010000000005</v>
      </c>
      <c r="Y2647">
        <v>-1.548137E-2</v>
      </c>
      <c r="Z2647">
        <v>4.099865E-4</v>
      </c>
      <c r="AA2647">
        <v>0.99988010000000005</v>
      </c>
      <c r="AB2647">
        <v>47</v>
      </c>
      <c r="AC2647">
        <v>39.164099999999998</v>
      </c>
      <c r="AD2647">
        <v>-1.1093163379805</v>
      </c>
      <c r="AE2647">
        <v>0.34319999999999501</v>
      </c>
      <c r="AF2647">
        <v>-0.61336666986453003</v>
      </c>
      <c r="AG2647">
        <v>-1.1093163379805</v>
      </c>
      <c r="AH2647">
        <v>39.129401853143399</v>
      </c>
      <c r="AI2647">
        <v>91.623697796409402</v>
      </c>
      <c r="AJ2647">
        <v>90.898057261511298</v>
      </c>
      <c r="AK2647">
        <v>39.149928362567799</v>
      </c>
      <c r="AL2647">
        <v>78.948876238651806</v>
      </c>
      <c r="AM2647">
        <v>88.944859119628305</v>
      </c>
      <c r="AN2647">
        <v>0.99999998119144895</v>
      </c>
    </row>
    <row r="2648" spans="1:40" x14ac:dyDescent="0.25">
      <c r="A2648" t="str">
        <f>"20190312172711900"</f>
        <v>20190312172711900</v>
      </c>
      <c r="B2648" t="str">
        <f>"1552382831891645"</f>
        <v>1552382831891645</v>
      </c>
      <c r="C2648" t="s">
        <v>40</v>
      </c>
      <c r="D2648">
        <v>3.3320569999999998</v>
      </c>
      <c r="E2648">
        <v>0.4908574</v>
      </c>
      <c r="F2648" t="s">
        <v>48</v>
      </c>
      <c r="G2648">
        <v>-324.12970000000001</v>
      </c>
      <c r="H2648" s="1">
        <v>6.6085179999999996E-7</v>
      </c>
      <c r="I2648">
        <v>213.27629999999999</v>
      </c>
      <c r="J2648">
        <v>-362.82619999999997</v>
      </c>
      <c r="K2648">
        <v>1.1093390000000001</v>
      </c>
      <c r="L2648">
        <v>212.93260000000001</v>
      </c>
      <c r="M2648">
        <v>0.99993969999999999</v>
      </c>
      <c r="N2648">
        <v>0</v>
      </c>
      <c r="O2648">
        <v>-6.4919340000000004E-3</v>
      </c>
      <c r="P2648">
        <v>0.98276350000000001</v>
      </c>
      <c r="Q2648">
        <v>0.1831651</v>
      </c>
      <c r="R2648">
        <v>-2.5022599999999999E-2</v>
      </c>
      <c r="S2648">
        <v>3.06955</v>
      </c>
      <c r="T2648">
        <v>-8.6939569999999994E-2</v>
      </c>
      <c r="U2648">
        <v>2.6702879999999998E-2</v>
      </c>
      <c r="V2648">
        <v>1.8410869999999999E-2</v>
      </c>
      <c r="W2648">
        <v>0.19187019999999999</v>
      </c>
      <c r="X2648">
        <v>0.9812476</v>
      </c>
      <c r="Y2648">
        <v>-1.5182019999999999E-2</v>
      </c>
      <c r="Z2648">
        <v>3.9879470000000003E-4</v>
      </c>
      <c r="AA2648">
        <v>0.99988469999999996</v>
      </c>
      <c r="AB2648">
        <v>47</v>
      </c>
      <c r="AC2648">
        <v>38.696499999999901</v>
      </c>
      <c r="AD2648">
        <v>-1.1093383391481999</v>
      </c>
      <c r="AE2648">
        <v>0.34369999999998402</v>
      </c>
      <c r="AF2648">
        <v>-0.59442925109787503</v>
      </c>
      <c r="AG2648">
        <v>-1.1093383391481999</v>
      </c>
      <c r="AH2648">
        <v>38.661682106090602</v>
      </c>
      <c r="AI2648">
        <v>91.643370423183796</v>
      </c>
      <c r="AJ2648">
        <v>90.880861930797195</v>
      </c>
      <c r="AK2648">
        <v>38.6821617927136</v>
      </c>
      <c r="AL2648">
        <v>78.938052832894599</v>
      </c>
      <c r="AM2648">
        <v>88.925101687313997</v>
      </c>
      <c r="AN2648">
        <v>0.99999999314397803</v>
      </c>
    </row>
    <row r="2649" spans="1:40" x14ac:dyDescent="0.25">
      <c r="A2649" t="str">
        <f>"20190312172711922"</f>
        <v>20190312172711922</v>
      </c>
      <c r="B2649" t="str">
        <f>"1552382831912141"</f>
        <v>1552382831912141</v>
      </c>
      <c r="C2649" t="s">
        <v>40</v>
      </c>
      <c r="D2649">
        <v>3.3130099999999998</v>
      </c>
      <c r="E2649">
        <v>0.4909789</v>
      </c>
      <c r="F2649" t="s">
        <v>48</v>
      </c>
      <c r="G2649">
        <v>-323.51119999999997</v>
      </c>
      <c r="H2649" s="1">
        <v>3.3171899999999998E-7</v>
      </c>
      <c r="I2649">
        <v>213.27440000000001</v>
      </c>
      <c r="J2649">
        <v>-362.36430000000001</v>
      </c>
      <c r="K2649">
        <v>1.1093580000000001</v>
      </c>
      <c r="L2649">
        <v>212.9299</v>
      </c>
      <c r="M2649">
        <v>0.99994079999999996</v>
      </c>
      <c r="N2649">
        <v>0</v>
      </c>
      <c r="O2649">
        <v>-6.0802829999999997E-3</v>
      </c>
      <c r="P2649">
        <v>0.98272199999999998</v>
      </c>
      <c r="Q2649">
        <v>0.18338670000000001</v>
      </c>
      <c r="R2649">
        <v>-2.504029E-2</v>
      </c>
      <c r="S2649">
        <v>3.0694270000000001</v>
      </c>
      <c r="T2649">
        <v>-8.6609130000000006E-2</v>
      </c>
      <c r="U2649">
        <v>2.6687619999999999E-2</v>
      </c>
      <c r="V2649">
        <v>1.8831190000000001E-2</v>
      </c>
      <c r="W2649">
        <v>0.19227639999999999</v>
      </c>
      <c r="X2649">
        <v>0.98116009999999998</v>
      </c>
      <c r="Y2649">
        <v>-1.476618E-2</v>
      </c>
      <c r="Z2649">
        <v>3.7981659999999998E-4</v>
      </c>
      <c r="AA2649">
        <v>0.99989090000000003</v>
      </c>
      <c r="AB2649">
        <v>47</v>
      </c>
      <c r="AC2649">
        <v>38.853099999999998</v>
      </c>
      <c r="AD2649">
        <v>-1.109357668281</v>
      </c>
      <c r="AE2649">
        <v>0.34450000000001002</v>
      </c>
      <c r="AF2649">
        <v>-0.58026806594756197</v>
      </c>
      <c r="AG2649">
        <v>-1.109357668281</v>
      </c>
      <c r="AH2649">
        <v>38.818642510832198</v>
      </c>
      <c r="AI2649">
        <v>91.636768284552502</v>
      </c>
      <c r="AJ2649">
        <v>90.856403857194294</v>
      </c>
      <c r="AK2649">
        <v>38.838825829938799</v>
      </c>
      <c r="AL2649">
        <v>78.914337631440205</v>
      </c>
      <c r="AM2649">
        <v>88.900469701040706</v>
      </c>
      <c r="AN2649">
        <v>0.99999998477289198</v>
      </c>
    </row>
    <row r="2650" spans="1:40" x14ac:dyDescent="0.25">
      <c r="A2650" t="str">
        <f>"20190312172711945"</f>
        <v>20190312172711945</v>
      </c>
      <c r="B2650" t="str">
        <f>"1552382831941421"</f>
        <v>1552382831941421</v>
      </c>
      <c r="C2650" t="s">
        <v>40</v>
      </c>
      <c r="D2650">
        <v>3.3132359999999998</v>
      </c>
      <c r="E2650">
        <v>0.49110939999999997</v>
      </c>
      <c r="F2650" t="s">
        <v>48</v>
      </c>
      <c r="G2650">
        <v>-322.7953</v>
      </c>
      <c r="H2650" s="1">
        <v>-4.929575E-8</v>
      </c>
      <c r="I2650">
        <v>213.25919999999999</v>
      </c>
      <c r="J2650">
        <v>-361.9051</v>
      </c>
      <c r="K2650">
        <v>1.1093770000000001</v>
      </c>
      <c r="L2650">
        <v>212.92740000000001</v>
      </c>
      <c r="M2650">
        <v>0.99994159999999999</v>
      </c>
      <c r="N2650">
        <v>0</v>
      </c>
      <c r="O2650">
        <v>-5.6707779999999996E-3</v>
      </c>
      <c r="P2650">
        <v>0.98274859999999997</v>
      </c>
      <c r="Q2650">
        <v>0.18320539999999999</v>
      </c>
      <c r="R2650">
        <v>-2.5325529999999999E-2</v>
      </c>
      <c r="S2650">
        <v>3.0694889999999999</v>
      </c>
      <c r="T2650">
        <v>-8.6056110000000005E-2</v>
      </c>
      <c r="U2650">
        <v>2.554321E-2</v>
      </c>
      <c r="V2650">
        <v>1.951729E-2</v>
      </c>
      <c r="W2650">
        <v>0.192275</v>
      </c>
      <c r="X2650">
        <v>0.98114699999999999</v>
      </c>
      <c r="Y2650">
        <v>-1.398433E-2</v>
      </c>
      <c r="Z2650">
        <v>3.5494919999999998E-4</v>
      </c>
      <c r="AA2650">
        <v>0.99990210000000002</v>
      </c>
      <c r="AB2650">
        <v>47</v>
      </c>
      <c r="AC2650">
        <v>39.1098</v>
      </c>
      <c r="AD2650">
        <v>-1.10937704929575</v>
      </c>
      <c r="AE2650">
        <v>0.33179999999998699</v>
      </c>
      <c r="AF2650">
        <v>-0.55314201094677595</v>
      </c>
      <c r="AG2650">
        <v>-1.10937704929575</v>
      </c>
      <c r="AH2650">
        <v>39.0758507735667</v>
      </c>
      <c r="AI2650">
        <v>91.626047548914499</v>
      </c>
      <c r="AJ2650">
        <v>90.811001819655303</v>
      </c>
      <c r="AK2650">
        <v>39.095508657642903</v>
      </c>
      <c r="AL2650">
        <v>78.9144197428365</v>
      </c>
      <c r="AM2650">
        <v>88.860404323072501</v>
      </c>
      <c r="AN2650">
        <v>1.0000000179214701</v>
      </c>
    </row>
    <row r="2651" spans="1:40" x14ac:dyDescent="0.25">
      <c r="A2651" t="str">
        <f>"20190312172711966"</f>
        <v>20190312172711966</v>
      </c>
      <c r="B2651" t="str">
        <f>"1552382831961917"</f>
        <v>1552382831961917</v>
      </c>
      <c r="C2651" t="s">
        <v>40</v>
      </c>
      <c r="D2651">
        <v>3.319207</v>
      </c>
      <c r="E2651">
        <v>0.49113879999999999</v>
      </c>
      <c r="F2651" t="s">
        <v>48</v>
      </c>
      <c r="G2651">
        <v>-322.83929999999998</v>
      </c>
      <c r="H2651" s="1">
        <v>-2.5875640000000001E-8</v>
      </c>
      <c r="I2651">
        <v>213.226</v>
      </c>
      <c r="J2651">
        <v>-361.44209999999998</v>
      </c>
      <c r="K2651">
        <v>1.109394</v>
      </c>
      <c r="L2651">
        <v>212.92500000000001</v>
      </c>
      <c r="M2651">
        <v>0.99994209999999994</v>
      </c>
      <c r="N2651">
        <v>0</v>
      </c>
      <c r="O2651">
        <v>-5.2581779999999996E-3</v>
      </c>
      <c r="P2651">
        <v>0.98268489999999997</v>
      </c>
      <c r="Q2651">
        <v>0.18352959999999999</v>
      </c>
      <c r="R2651">
        <v>-2.5437439999999999E-2</v>
      </c>
      <c r="S2651">
        <v>3.0694889999999999</v>
      </c>
      <c r="T2651">
        <v>-8.7166190000000005E-2</v>
      </c>
      <c r="U2651">
        <v>2.3468019999999999E-2</v>
      </c>
      <c r="V2651">
        <v>2.0033269999999999E-2</v>
      </c>
      <c r="W2651">
        <v>0.19277520000000001</v>
      </c>
      <c r="X2651">
        <v>0.98103850000000004</v>
      </c>
      <c r="Y2651">
        <v>-1.289619E-2</v>
      </c>
      <c r="Z2651">
        <v>3.3236529999999999E-4</v>
      </c>
      <c r="AA2651">
        <v>0.99991680000000005</v>
      </c>
      <c r="AB2651">
        <v>47</v>
      </c>
      <c r="AC2651">
        <v>38.602800000000002</v>
      </c>
      <c r="AD2651">
        <v>-1.1093940258756301</v>
      </c>
      <c r="AE2651">
        <v>0.300999999999987</v>
      </c>
      <c r="AF2651">
        <v>-0.50356930009604695</v>
      </c>
      <c r="AG2651">
        <v>-1.1093940258756301</v>
      </c>
      <c r="AH2651">
        <v>38.568830971900802</v>
      </c>
      <c r="AI2651">
        <v>91.647461429156493</v>
      </c>
      <c r="AJ2651">
        <v>90.748032946510406</v>
      </c>
      <c r="AK2651">
        <v>38.588068877357699</v>
      </c>
      <c r="AL2651">
        <v>78.885214646726496</v>
      </c>
      <c r="AM2651">
        <v>88.830155681799695</v>
      </c>
      <c r="AN2651">
        <v>1.00000007406208</v>
      </c>
    </row>
    <row r="2652" spans="1:40" x14ac:dyDescent="0.25">
      <c r="A2652" t="str">
        <f>"20190312172711994"</f>
        <v>20190312172711994</v>
      </c>
      <c r="B2652" t="str">
        <f>"1552382831981438"</f>
        <v>1552382831981438</v>
      </c>
      <c r="C2652" t="s">
        <v>40</v>
      </c>
      <c r="D2652">
        <v>3.2848470000000001</v>
      </c>
      <c r="E2652">
        <v>0.492253</v>
      </c>
      <c r="F2652" t="s">
        <v>48</v>
      </c>
      <c r="G2652">
        <v>-321.94639999999998</v>
      </c>
      <c r="H2652" s="1">
        <v>-5.0102299999999899E-7</v>
      </c>
      <c r="I2652">
        <v>213.2218</v>
      </c>
      <c r="J2652">
        <v>-360.8965</v>
      </c>
      <c r="K2652">
        <v>1.109418</v>
      </c>
      <c r="L2652">
        <v>212.92250000000001</v>
      </c>
      <c r="M2652">
        <v>0.99994260000000001</v>
      </c>
      <c r="N2652">
        <v>0</v>
      </c>
      <c r="O2652">
        <v>-4.7722729999999996E-3</v>
      </c>
      <c r="P2652">
        <v>0.98267839999999995</v>
      </c>
      <c r="Q2652">
        <v>0.18362290000000001</v>
      </c>
      <c r="R2652">
        <v>-2.502207E-2</v>
      </c>
      <c r="S2652">
        <v>3.0694889999999999</v>
      </c>
      <c r="T2652">
        <v>-8.6218829999999996E-2</v>
      </c>
      <c r="U2652">
        <v>2.3071290000000001E-2</v>
      </c>
      <c r="V2652">
        <v>2.009358E-2</v>
      </c>
      <c r="W2652">
        <v>0.19306989999999999</v>
      </c>
      <c r="X2652">
        <v>0.98097920000000005</v>
      </c>
      <c r="Y2652">
        <v>-1.228166E-2</v>
      </c>
      <c r="Z2652">
        <v>3.0647969999999999E-4</v>
      </c>
      <c r="AA2652">
        <v>0.99992449999999999</v>
      </c>
      <c r="AB2652">
        <v>47</v>
      </c>
      <c r="AC2652">
        <v>38.950099999999999</v>
      </c>
      <c r="AD2652">
        <v>-1.109418501023</v>
      </c>
      <c r="AE2652">
        <v>0.29929999999998802</v>
      </c>
      <c r="AF2652">
        <v>-0.48479237342932302</v>
      </c>
      <c r="AG2652">
        <v>-1.109418501023</v>
      </c>
      <c r="AH2652">
        <v>38.916657362025703</v>
      </c>
      <c r="AI2652">
        <v>91.632793351123993</v>
      </c>
      <c r="AJ2652">
        <v>90.713707757801501</v>
      </c>
      <c r="AK2652">
        <v>38.935485784680502</v>
      </c>
      <c r="AL2652">
        <v>78.868005070826001</v>
      </c>
      <c r="AM2652">
        <v>88.826563948044594</v>
      </c>
      <c r="AN2652">
        <v>0.99999996453793205</v>
      </c>
    </row>
    <row r="2653" spans="1:40" x14ac:dyDescent="0.25">
      <c r="A2653" t="str">
        <f>"20190312172712014"</f>
        <v>20190312172712014</v>
      </c>
      <c r="B2653" t="str">
        <f>"1552382832001933"</f>
        <v>1552382832001933</v>
      </c>
      <c r="C2653" t="s">
        <v>40</v>
      </c>
      <c r="D2653">
        <v>3.3148409999999999</v>
      </c>
      <c r="E2653">
        <v>0.51707360000000002</v>
      </c>
      <c r="F2653" t="s">
        <v>48</v>
      </c>
      <c r="G2653">
        <v>-321.61770000000001</v>
      </c>
      <c r="H2653" s="1">
        <v>-6.7593890000000004E-7</v>
      </c>
      <c r="I2653">
        <v>213.1224</v>
      </c>
      <c r="J2653">
        <v>-360.44990000000001</v>
      </c>
      <c r="K2653">
        <v>1.109432</v>
      </c>
      <c r="L2653">
        <v>212.92060000000001</v>
      </c>
      <c r="M2653">
        <v>0.99994289999999997</v>
      </c>
      <c r="N2653">
        <v>0</v>
      </c>
      <c r="O2653">
        <v>-4.3747819999999998E-3</v>
      </c>
      <c r="P2653">
        <v>0.98264660000000004</v>
      </c>
      <c r="Q2653">
        <v>0.18384120000000001</v>
      </c>
      <c r="R2653">
        <v>-2.466461E-2</v>
      </c>
      <c r="S2653">
        <v>3.06955</v>
      </c>
      <c r="T2653">
        <v>-8.6698650000000002E-2</v>
      </c>
      <c r="U2653">
        <v>1.5625E-2</v>
      </c>
      <c r="V2653">
        <v>2.012539E-2</v>
      </c>
      <c r="W2653">
        <v>0.19344649999999999</v>
      </c>
      <c r="X2653">
        <v>0.98090440000000001</v>
      </c>
      <c r="Y2653">
        <v>-9.4596249999999993E-3</v>
      </c>
      <c r="Z2653">
        <v>2.5711000000000001E-4</v>
      </c>
      <c r="AA2653">
        <v>0.99995520000000004</v>
      </c>
      <c r="AB2653">
        <v>47</v>
      </c>
      <c r="AC2653">
        <v>38.8322</v>
      </c>
      <c r="AD2653">
        <v>-1.1094326759388999</v>
      </c>
      <c r="AE2653">
        <v>0.20179999999999099</v>
      </c>
      <c r="AF2653">
        <v>-0.37138542173087402</v>
      </c>
      <c r="AG2653">
        <v>-1.1094326759388999</v>
      </c>
      <c r="AH2653">
        <v>38.799276821230897</v>
      </c>
      <c r="AI2653">
        <v>91.637803327327006</v>
      </c>
      <c r="AJ2653">
        <v>90.548416598029903</v>
      </c>
      <c r="AK2653">
        <v>38.816911905050098</v>
      </c>
      <c r="AL2653">
        <v>78.846013403865996</v>
      </c>
      <c r="AM2653">
        <v>88.824617212430695</v>
      </c>
      <c r="AN2653">
        <v>1.0000000108121301</v>
      </c>
    </row>
    <row r="2654" spans="1:40" x14ac:dyDescent="0.25">
      <c r="A2654" t="str">
        <f>"20190312172712057"</f>
        <v>20190312172712057</v>
      </c>
      <c r="B2654" t="str">
        <f>"1552382832051709"</f>
        <v>1552382832051709</v>
      </c>
      <c r="C2654" t="s">
        <v>40</v>
      </c>
      <c r="D2654">
        <v>3.3166600000000002</v>
      </c>
      <c r="E2654">
        <v>0.51776449999999996</v>
      </c>
      <c r="F2654" t="s">
        <v>48</v>
      </c>
      <c r="G2654">
        <v>-328.2629</v>
      </c>
      <c r="H2654" s="1">
        <v>2.8603419999999998E-6</v>
      </c>
      <c r="I2654">
        <v>211.02760000000001</v>
      </c>
      <c r="J2654">
        <v>-359.55590000000001</v>
      </c>
      <c r="K2654">
        <v>1.1094649999999999</v>
      </c>
      <c r="L2654">
        <v>212.91739999999999</v>
      </c>
      <c r="M2654">
        <v>0.99994300000000003</v>
      </c>
      <c r="N2654">
        <v>0</v>
      </c>
      <c r="O2654">
        <v>-3.5800129999999999E-3</v>
      </c>
      <c r="P2654">
        <v>0.98265769999999997</v>
      </c>
      <c r="Q2654">
        <v>0.18391650000000001</v>
      </c>
      <c r="R2654">
        <v>-2.3637539999999999E-2</v>
      </c>
      <c r="S2654">
        <v>3.0682680000000002</v>
      </c>
      <c r="T2654">
        <v>-0.10575809999999999</v>
      </c>
      <c r="U2654">
        <v>-0.18045040000000001</v>
      </c>
      <c r="V2654">
        <v>1.9877679999999998E-2</v>
      </c>
      <c r="W2654">
        <v>0.19382360000000001</v>
      </c>
      <c r="X2654">
        <v>0.98083500000000001</v>
      </c>
      <c r="Y2654">
        <v>5.5105500000000002E-2</v>
      </c>
      <c r="Z2654">
        <v>-8.2533970000000004E-4</v>
      </c>
      <c r="AA2654">
        <v>0.99848020000000004</v>
      </c>
      <c r="AB2654">
        <v>47</v>
      </c>
      <c r="AC2654">
        <v>31.292999999999999</v>
      </c>
      <c r="AD2654">
        <v>-1.109462139658</v>
      </c>
      <c r="AE2654">
        <v>-1.8897999999999799</v>
      </c>
      <c r="AF2654">
        <v>1.7755291675123399</v>
      </c>
      <c r="AG2654">
        <v>-1.109462139658</v>
      </c>
      <c r="AH2654">
        <v>31.260414166419402</v>
      </c>
      <c r="AI2654">
        <v>92.029361127132404</v>
      </c>
      <c r="AJ2654">
        <v>86.749206713922405</v>
      </c>
      <c r="AK2654">
        <v>31.3304469154223</v>
      </c>
      <c r="AL2654">
        <v>78.823990267968995</v>
      </c>
      <c r="AM2654">
        <v>88.838998111581503</v>
      </c>
      <c r="AN2654">
        <v>1.00000000365207</v>
      </c>
    </row>
    <row r="2655" spans="1:40" x14ac:dyDescent="0.25">
      <c r="A2655" t="str">
        <f>"20190312172712078"</f>
        <v>20190312172712078</v>
      </c>
      <c r="B2655" t="str">
        <f>"1552382832071230"</f>
        <v>1552382832071230</v>
      </c>
      <c r="C2655" t="s">
        <v>40</v>
      </c>
      <c r="D2655">
        <v>3.2911380000000001</v>
      </c>
      <c r="E2655">
        <v>0.51799050000000002</v>
      </c>
      <c r="F2655" t="s">
        <v>48</v>
      </c>
      <c r="G2655">
        <v>-328.38060000000002</v>
      </c>
      <c r="H2655" s="1">
        <v>2.922962E-6</v>
      </c>
      <c r="I2655">
        <v>211.06120000000001</v>
      </c>
      <c r="J2655">
        <v>-359.10489999999999</v>
      </c>
      <c r="K2655">
        <v>1.1094820000000001</v>
      </c>
      <c r="L2655">
        <v>212.9161</v>
      </c>
      <c r="M2655">
        <v>0.99994289999999997</v>
      </c>
      <c r="N2655">
        <v>0</v>
      </c>
      <c r="O2655">
        <v>-3.1796540000000001E-3</v>
      </c>
      <c r="P2655">
        <v>0.98279640000000001</v>
      </c>
      <c r="Q2655">
        <v>0.1832503</v>
      </c>
      <c r="R2655">
        <v>-2.30455E-2</v>
      </c>
      <c r="S2655">
        <v>3.0690309999999998</v>
      </c>
      <c r="T2655">
        <v>-0.1092204</v>
      </c>
      <c r="U2655">
        <v>-0.18273929999999999</v>
      </c>
      <c r="V2655">
        <v>1.9678540000000001E-2</v>
      </c>
      <c r="W2655">
        <v>0.1933048</v>
      </c>
      <c r="X2655">
        <v>0.98094139999999996</v>
      </c>
      <c r="Y2655">
        <v>5.6229759999999997E-2</v>
      </c>
      <c r="Z2655">
        <v>-8.8632439999999999E-4</v>
      </c>
      <c r="AA2655">
        <v>0.99841740000000001</v>
      </c>
      <c r="AB2655">
        <v>47</v>
      </c>
      <c r="AC2655">
        <v>30.7242999999999</v>
      </c>
      <c r="AD2655">
        <v>-1.1094790770379901</v>
      </c>
      <c r="AE2655">
        <v>-1.85489999999998</v>
      </c>
      <c r="AF2655">
        <v>1.75491281610592</v>
      </c>
      <c r="AG2655">
        <v>-1.1094790770379901</v>
      </c>
      <c r="AH2655">
        <v>30.690168580383801</v>
      </c>
      <c r="AI2655">
        <v>92.067022244049397</v>
      </c>
      <c r="AJ2655">
        <v>86.727299741665107</v>
      </c>
      <c r="AK2655">
        <v>30.7603171359935</v>
      </c>
      <c r="AL2655">
        <v>78.854288403927598</v>
      </c>
      <c r="AM2655">
        <v>88.850750844019203</v>
      </c>
      <c r="AN2655">
        <v>1.0000000104367599</v>
      </c>
    </row>
    <row r="2656" spans="1:40" x14ac:dyDescent="0.25">
      <c r="A2656" t="str">
        <f>"20190312172712101"</f>
        <v>20190312172712101</v>
      </c>
      <c r="B2656" t="str">
        <f>"1552382832091728"</f>
        <v>1552382832091728</v>
      </c>
      <c r="C2656" t="s">
        <v>40</v>
      </c>
      <c r="D2656">
        <v>3.3100130000000001</v>
      </c>
      <c r="E2656">
        <v>0.51823319999999995</v>
      </c>
      <c r="F2656" t="s">
        <v>48</v>
      </c>
      <c r="G2656">
        <v>-329.41239999999999</v>
      </c>
      <c r="H2656" s="1">
        <v>3.4720290000000001E-6</v>
      </c>
      <c r="I2656">
        <v>211.148</v>
      </c>
      <c r="J2656">
        <v>-358.61880000000002</v>
      </c>
      <c r="K2656">
        <v>1.109499</v>
      </c>
      <c r="L2656">
        <v>212.91480000000001</v>
      </c>
      <c r="M2656">
        <v>0.99994249999999996</v>
      </c>
      <c r="N2656">
        <v>0</v>
      </c>
      <c r="O2656">
        <v>-2.7476200000000001E-3</v>
      </c>
      <c r="P2656">
        <v>0.98282250000000004</v>
      </c>
      <c r="Q2656">
        <v>0.1831584</v>
      </c>
      <c r="R2656">
        <v>-2.2655560000000002E-2</v>
      </c>
      <c r="S2656">
        <v>3.0696110000000001</v>
      </c>
      <c r="T2656">
        <v>-0.1146977</v>
      </c>
      <c r="U2656">
        <v>-0.182785</v>
      </c>
      <c r="V2656">
        <v>1.9712799999999999E-2</v>
      </c>
      <c r="W2656">
        <v>0.19336519999999999</v>
      </c>
      <c r="X2656">
        <v>0.98092880000000005</v>
      </c>
      <c r="Y2656">
        <v>5.6660740000000001E-2</v>
      </c>
      <c r="Z2656">
        <v>-9.5473230000000001E-4</v>
      </c>
      <c r="AA2656">
        <v>0.99839310000000003</v>
      </c>
      <c r="AB2656">
        <v>47</v>
      </c>
      <c r="AC2656">
        <v>29.206399999999999</v>
      </c>
      <c r="AD2656">
        <v>-1.1094955279709999</v>
      </c>
      <c r="AE2656">
        <v>-1.7668000000000099</v>
      </c>
      <c r="AF2656">
        <v>1.6841194460467701</v>
      </c>
      <c r="AG2656">
        <v>-1.1094955279709999</v>
      </c>
      <c r="AH2656">
        <v>29.169204032884998</v>
      </c>
      <c r="AI2656">
        <v>92.174664893957001</v>
      </c>
      <c r="AJ2656">
        <v>86.695626953171001</v>
      </c>
      <c r="AK2656">
        <v>29.238838939794</v>
      </c>
      <c r="AL2656">
        <v>78.850761104714294</v>
      </c>
      <c r="AM2656">
        <v>88.848735775223105</v>
      </c>
      <c r="AN2656">
        <v>1.0000000028621601</v>
      </c>
    </row>
    <row r="2657" spans="1:40" x14ac:dyDescent="0.25">
      <c r="A2657" t="str">
        <f>"20190312172712123"</f>
        <v>20190312172712123</v>
      </c>
      <c r="B2657" t="str">
        <f>"1552382832121982"</f>
        <v>1552382832121982</v>
      </c>
      <c r="C2657" t="s">
        <v>40</v>
      </c>
      <c r="D2657">
        <v>3.2989459999999999</v>
      </c>
      <c r="E2657">
        <v>0.51842940000000004</v>
      </c>
      <c r="F2657" t="s">
        <v>48</v>
      </c>
      <c r="G2657">
        <v>-329.37090000000001</v>
      </c>
      <c r="H2657" s="1">
        <v>3.4499210000000002E-6</v>
      </c>
      <c r="I2657">
        <v>211.16679999999999</v>
      </c>
      <c r="J2657">
        <v>-358.1506</v>
      </c>
      <c r="K2657">
        <v>1.1095170000000001</v>
      </c>
      <c r="L2657">
        <v>212.91380000000001</v>
      </c>
      <c r="M2657">
        <v>0.999942</v>
      </c>
      <c r="N2657">
        <v>0</v>
      </c>
      <c r="O2657">
        <v>-2.331769E-3</v>
      </c>
      <c r="P2657">
        <v>0.98279689999999997</v>
      </c>
      <c r="Q2657">
        <v>0.18332499999999999</v>
      </c>
      <c r="R2657">
        <v>-2.241346E-2</v>
      </c>
      <c r="S2657">
        <v>3.0698850000000002</v>
      </c>
      <c r="T2657">
        <v>-0.1164536</v>
      </c>
      <c r="U2657">
        <v>-0.18347169999999999</v>
      </c>
      <c r="V2657">
        <v>1.9878630000000001E-2</v>
      </c>
      <c r="W2657">
        <v>0.1936735</v>
      </c>
      <c r="X2657">
        <v>0.98086459999999998</v>
      </c>
      <c r="Y2657">
        <v>5.7291250000000002E-2</v>
      </c>
      <c r="Z2657">
        <v>-9.969445E-4</v>
      </c>
      <c r="AA2657">
        <v>0.99835700000000005</v>
      </c>
      <c r="AB2657">
        <v>47</v>
      </c>
      <c r="AC2657">
        <v>28.779699999999899</v>
      </c>
      <c r="AD2657">
        <v>-1.1095135500790001</v>
      </c>
      <c r="AE2657">
        <v>-1.7470000000000101</v>
      </c>
      <c r="AF2657">
        <v>1.67740003988521</v>
      </c>
      <c r="AG2657">
        <v>-1.1095135500790001</v>
      </c>
      <c r="AH2657">
        <v>28.7411358066202</v>
      </c>
      <c r="AI2657">
        <v>92.206978333717004</v>
      </c>
      <c r="AJ2657">
        <v>86.659872936970899</v>
      </c>
      <c r="AK2657">
        <v>28.811414034479402</v>
      </c>
      <c r="AL2657">
        <v>78.832756138317805</v>
      </c>
      <c r="AM2657">
        <v>88.838977667990804</v>
      </c>
      <c r="AN2657">
        <v>0.99999997403304297</v>
      </c>
    </row>
    <row r="2658" spans="1:40" x14ac:dyDescent="0.25">
      <c r="A2658" t="str">
        <f>"20190312172712147"</f>
        <v>20190312172712147</v>
      </c>
      <c r="B2658" t="str">
        <f>"1552382832141501"</f>
        <v>1552382832141501</v>
      </c>
      <c r="C2658" t="s">
        <v>40</v>
      </c>
      <c r="D2658">
        <v>3.3549850000000001</v>
      </c>
      <c r="E2658">
        <v>0.51860200000000001</v>
      </c>
      <c r="F2658" t="s">
        <v>48</v>
      </c>
      <c r="G2658">
        <v>-329.47190000000001</v>
      </c>
      <c r="H2658" s="1">
        <v>3.5036659999999999E-6</v>
      </c>
      <c r="I2658">
        <v>211.19560000000001</v>
      </c>
      <c r="J2658">
        <v>-357.67599999999999</v>
      </c>
      <c r="K2658">
        <v>1.109534</v>
      </c>
      <c r="L2658">
        <v>212.91300000000001</v>
      </c>
      <c r="M2658">
        <v>0.99994159999999999</v>
      </c>
      <c r="N2658">
        <v>0</v>
      </c>
      <c r="O2658">
        <v>-1.9101840000000001E-3</v>
      </c>
      <c r="P2658">
        <v>0.98275179999999995</v>
      </c>
      <c r="Q2658">
        <v>0.1835775</v>
      </c>
      <c r="R2658">
        <v>-2.2331480000000001E-2</v>
      </c>
      <c r="S2658">
        <v>3.0704959999999999</v>
      </c>
      <c r="T2658">
        <v>-0.1187901</v>
      </c>
      <c r="U2658">
        <v>-0.18396000000000001</v>
      </c>
      <c r="V2658">
        <v>2.0210369999999998E-2</v>
      </c>
      <c r="W2658">
        <v>0.1940627</v>
      </c>
      <c r="X2658">
        <v>0.98078089999999996</v>
      </c>
      <c r="Y2658">
        <v>5.785622E-2</v>
      </c>
      <c r="Z2658">
        <v>-1.04393E-3</v>
      </c>
      <c r="AA2658">
        <v>0.9983244</v>
      </c>
      <c r="AB2658">
        <v>47</v>
      </c>
      <c r="AC2658">
        <v>28.204099999999901</v>
      </c>
      <c r="AD2658">
        <v>-1.109530496334</v>
      </c>
      <c r="AE2658">
        <v>-1.7173999999999601</v>
      </c>
      <c r="AF2658">
        <v>1.66095782295298</v>
      </c>
      <c r="AG2658">
        <v>-1.109530496334</v>
      </c>
      <c r="AH2658">
        <v>28.1639043019869</v>
      </c>
      <c r="AI2658">
        <v>92.252119018492294</v>
      </c>
      <c r="AJ2658">
        <v>86.624907811192102</v>
      </c>
      <c r="AK2658">
        <v>28.2346479408439</v>
      </c>
      <c r="AL2658">
        <v>78.810025455414007</v>
      </c>
      <c r="AM2658">
        <v>88.819506941169806</v>
      </c>
      <c r="AN2658">
        <v>0.99999998219581798</v>
      </c>
    </row>
    <row r="2659" spans="1:40" x14ac:dyDescent="0.25">
      <c r="A2659" t="str">
        <f>"20190312172712169"</f>
        <v>20190312172712169</v>
      </c>
      <c r="B2659" t="str">
        <f>"1552382832161997"</f>
        <v>1552382832161997</v>
      </c>
      <c r="C2659" t="s">
        <v>40</v>
      </c>
      <c r="D2659">
        <v>3.3374440000000001</v>
      </c>
      <c r="E2659">
        <v>0.51876849999999997</v>
      </c>
      <c r="F2659" t="s">
        <v>48</v>
      </c>
      <c r="G2659">
        <v>-329.08010000000002</v>
      </c>
      <c r="H2659" s="1">
        <v>3.2951750000000002E-6</v>
      </c>
      <c r="I2659">
        <v>211.1893</v>
      </c>
      <c r="J2659">
        <v>-357.21230000000003</v>
      </c>
      <c r="K2659">
        <v>1.1095459999999999</v>
      </c>
      <c r="L2659">
        <v>212.91239999999999</v>
      </c>
      <c r="M2659">
        <v>0.99994090000000002</v>
      </c>
      <c r="N2659">
        <v>0</v>
      </c>
      <c r="O2659">
        <v>-1.4989070000000001E-3</v>
      </c>
      <c r="P2659">
        <v>0.98271240000000004</v>
      </c>
      <c r="Q2659">
        <v>0.1838098</v>
      </c>
      <c r="R2659">
        <v>-2.2142390000000001E-2</v>
      </c>
      <c r="S2659">
        <v>3.0707399999999998</v>
      </c>
      <c r="T2659">
        <v>-0.1191455</v>
      </c>
      <c r="U2659">
        <v>-0.1851044</v>
      </c>
      <c r="V2659">
        <v>2.0424950000000001E-2</v>
      </c>
      <c r="W2659">
        <v>0.19441629999999999</v>
      </c>
      <c r="X2659">
        <v>0.98070650000000004</v>
      </c>
      <c r="Y2659">
        <v>5.8631660000000002E-2</v>
      </c>
      <c r="Z2659">
        <v>-1.077918E-3</v>
      </c>
      <c r="AA2659">
        <v>0.99827909999999997</v>
      </c>
      <c r="AB2659">
        <v>47</v>
      </c>
      <c r="AC2659">
        <v>28.132200000000001</v>
      </c>
      <c r="AD2659">
        <v>-1.1095427048249999</v>
      </c>
      <c r="AE2659">
        <v>-1.7230999999999801</v>
      </c>
      <c r="AF2659">
        <v>1.6783271235888</v>
      </c>
      <c r="AG2659">
        <v>-1.1095427048249999</v>
      </c>
      <c r="AH2659">
        <v>28.091217670503301</v>
      </c>
      <c r="AI2659">
        <v>92.257862363711098</v>
      </c>
      <c r="AJ2659">
        <v>86.580892665448701</v>
      </c>
      <c r="AK2659">
        <v>28.1631741314647</v>
      </c>
      <c r="AL2659">
        <v>78.789373167876093</v>
      </c>
      <c r="AM2659">
        <v>88.806886389065497</v>
      </c>
      <c r="AN2659">
        <v>1.0000000577152099</v>
      </c>
    </row>
    <row r="2660" spans="1:40" x14ac:dyDescent="0.25">
      <c r="A2660" t="str">
        <f>"20190312172712193"</f>
        <v>20190312172712193</v>
      </c>
      <c r="B2660" t="str">
        <f>"1552382832181517"</f>
        <v>1552382832181517</v>
      </c>
      <c r="C2660" t="s">
        <v>40</v>
      </c>
      <c r="D2660">
        <v>3.3451089999999901</v>
      </c>
      <c r="E2660">
        <v>0.51897819999999995</v>
      </c>
      <c r="F2660" t="s">
        <v>48</v>
      </c>
      <c r="G2660">
        <v>-328.74400000000003</v>
      </c>
      <c r="H2660" s="1">
        <v>3.1163589999999999E-6</v>
      </c>
      <c r="I2660">
        <v>211.19370000000001</v>
      </c>
      <c r="J2660">
        <v>-356.71460000000002</v>
      </c>
      <c r="K2660">
        <v>1.109556</v>
      </c>
      <c r="L2660">
        <v>212.91200000000001</v>
      </c>
      <c r="M2660">
        <v>0.9999401</v>
      </c>
      <c r="N2660">
        <v>0</v>
      </c>
      <c r="O2660">
        <v>-1.057356E-3</v>
      </c>
      <c r="P2660">
        <v>0.98268500000000003</v>
      </c>
      <c r="Q2660">
        <v>0.18396670000000001</v>
      </c>
      <c r="R2660">
        <v>-2.2060380000000001E-2</v>
      </c>
      <c r="S2660">
        <v>3.0709840000000002</v>
      </c>
      <c r="T2660">
        <v>-0.1196909</v>
      </c>
      <c r="U2660">
        <v>-0.1854095</v>
      </c>
      <c r="V2660">
        <v>2.0776550000000001E-2</v>
      </c>
      <c r="W2660">
        <v>0.1946927</v>
      </c>
      <c r="X2660">
        <v>0.98064419999999997</v>
      </c>
      <c r="Y2660">
        <v>5.9165420000000003E-2</v>
      </c>
      <c r="Z2660">
        <v>-1.1103350000000001E-3</v>
      </c>
      <c r="AA2660">
        <v>0.99824760000000001</v>
      </c>
      <c r="AB2660">
        <v>47</v>
      </c>
      <c r="AC2660">
        <v>27.970599999999902</v>
      </c>
      <c r="AD2660">
        <v>-1.109552883641</v>
      </c>
      <c r="AE2660">
        <v>-1.7182999999999899</v>
      </c>
      <c r="AF2660">
        <v>1.68607917529442</v>
      </c>
      <c r="AG2660">
        <v>-1.109552883641</v>
      </c>
      <c r="AH2660">
        <v>27.928618278018899</v>
      </c>
      <c r="AI2660">
        <v>92.270929740375294</v>
      </c>
      <c r="AJ2660">
        <v>86.545188476643702</v>
      </c>
      <c r="AK2660">
        <v>28.001458703186302</v>
      </c>
      <c r="AL2660">
        <v>78.773227223956994</v>
      </c>
      <c r="AM2660">
        <v>88.7862768560571</v>
      </c>
      <c r="AN2660">
        <v>0.99999997972841603</v>
      </c>
    </row>
    <row r="2661" spans="1:40" x14ac:dyDescent="0.25">
      <c r="A2661" t="str">
        <f>"20190312172712214"</f>
        <v>20190312172712214</v>
      </c>
      <c r="B2661" t="str">
        <f>"1552382832211773"</f>
        <v>1552382832211773</v>
      </c>
      <c r="C2661" t="s">
        <v>40</v>
      </c>
      <c r="D2661">
        <v>3.3496039999999998</v>
      </c>
      <c r="E2661">
        <v>0.51920599999999995</v>
      </c>
      <c r="F2661" t="s">
        <v>48</v>
      </c>
      <c r="G2661">
        <v>-328.36</v>
      </c>
      <c r="H2661" s="1">
        <v>2.911962E-6</v>
      </c>
      <c r="I2661">
        <v>211.19</v>
      </c>
      <c r="J2661">
        <v>-356.24270000000001</v>
      </c>
      <c r="K2661">
        <v>1.1095619999999999</v>
      </c>
      <c r="L2661">
        <v>212.9118</v>
      </c>
      <c r="M2661">
        <v>0.99993929999999998</v>
      </c>
      <c r="N2661">
        <v>0</v>
      </c>
      <c r="O2661">
        <v>-6.3850820000000005E-4</v>
      </c>
      <c r="P2661">
        <v>0.98268250000000001</v>
      </c>
      <c r="Q2661">
        <v>0.18400739999999999</v>
      </c>
      <c r="R2661">
        <v>-2.1831900000000001E-2</v>
      </c>
      <c r="S2661">
        <v>3.071167</v>
      </c>
      <c r="T2661">
        <v>-0.1201788</v>
      </c>
      <c r="U2661">
        <v>-0.18652340000000001</v>
      </c>
      <c r="V2661">
        <v>2.0959800000000001E-2</v>
      </c>
      <c r="W2661">
        <v>0.1948377</v>
      </c>
      <c r="X2661">
        <v>0.98061149999999997</v>
      </c>
      <c r="Y2661">
        <v>5.9939430000000002E-2</v>
      </c>
      <c r="Z2661">
        <v>-1.146273E-3</v>
      </c>
      <c r="AA2661">
        <v>0.99820140000000002</v>
      </c>
      <c r="AB2661">
        <v>47</v>
      </c>
      <c r="AC2661">
        <v>27.8827</v>
      </c>
      <c r="AD2661">
        <v>-1.109559088038</v>
      </c>
      <c r="AE2661">
        <v>-1.7218</v>
      </c>
      <c r="AF2661">
        <v>1.7013113654602701</v>
      </c>
      <c r="AG2661">
        <v>-1.109559088038</v>
      </c>
      <c r="AH2661">
        <v>27.839875459467599</v>
      </c>
      <c r="AI2661">
        <v>92.278071846600696</v>
      </c>
      <c r="AJ2661">
        <v>86.502969698279699</v>
      </c>
      <c r="AK2661">
        <v>27.913871951607799</v>
      </c>
      <c r="AL2661">
        <v>78.764757115720997</v>
      </c>
      <c r="AM2661">
        <v>88.775534196309096</v>
      </c>
      <c r="AN2661">
        <v>0.99999997824478903</v>
      </c>
    </row>
    <row r="2662" spans="1:40" x14ac:dyDescent="0.25">
      <c r="A2662" t="str">
        <f>"20190312172712237"</f>
        <v>20190312172712237</v>
      </c>
      <c r="B2662" t="str">
        <f>"1552382832232270"</f>
        <v>1552382832232270</v>
      </c>
      <c r="C2662" t="s">
        <v>40</v>
      </c>
      <c r="D2662">
        <v>3.401637</v>
      </c>
      <c r="E2662">
        <v>0.51910500000000004</v>
      </c>
      <c r="F2662" t="s">
        <v>48</v>
      </c>
      <c r="G2662">
        <v>-328.11739999999998</v>
      </c>
      <c r="H2662" s="1">
        <v>2.7828810000000002E-6</v>
      </c>
      <c r="I2662">
        <v>211.19280000000001</v>
      </c>
      <c r="J2662">
        <v>-355.78820000000002</v>
      </c>
      <c r="K2662">
        <v>1.1095740000000001</v>
      </c>
      <c r="L2662">
        <v>212.9118</v>
      </c>
      <c r="M2662">
        <v>0.99993840000000001</v>
      </c>
      <c r="N2662">
        <v>0</v>
      </c>
      <c r="O2662">
        <v>-2.35102E-4</v>
      </c>
      <c r="P2662">
        <v>0.98271169999999997</v>
      </c>
      <c r="Q2662">
        <v>0.18389259999999999</v>
      </c>
      <c r="R2662">
        <v>-2.148015E-2</v>
      </c>
      <c r="S2662">
        <v>3.0713810000000001</v>
      </c>
      <c r="T2662">
        <v>-0.1211677</v>
      </c>
      <c r="U2662">
        <v>-0.1877289</v>
      </c>
      <c r="V2662">
        <v>2.1004490000000001E-2</v>
      </c>
      <c r="W2662">
        <v>0.19481519999999999</v>
      </c>
      <c r="X2662">
        <v>0.98061500000000001</v>
      </c>
      <c r="Y2662">
        <v>6.0726580000000002E-2</v>
      </c>
      <c r="Z2662">
        <v>-1.1870050000000001E-3</v>
      </c>
      <c r="AA2662">
        <v>0.99815370000000003</v>
      </c>
      <c r="AB2662">
        <v>47</v>
      </c>
      <c r="AC2662">
        <v>27.6708</v>
      </c>
      <c r="AD2662">
        <v>-1.109571217119</v>
      </c>
      <c r="AE2662">
        <v>-1.7189999999999901</v>
      </c>
      <c r="AF2662">
        <v>1.7097554946850599</v>
      </c>
      <c r="AG2662">
        <v>-1.109571217119</v>
      </c>
      <c r="AH2662">
        <v>27.626951995722099</v>
      </c>
      <c r="AI2662">
        <v>92.295526399990095</v>
      </c>
      <c r="AJ2662">
        <v>86.458639556105496</v>
      </c>
      <c r="AK2662">
        <v>27.702037627427298</v>
      </c>
      <c r="AL2662">
        <v>78.766071299988795</v>
      </c>
      <c r="AM2662">
        <v>88.772928594411098</v>
      </c>
      <c r="AN2662">
        <v>0.99999996448809902</v>
      </c>
    </row>
    <row r="2663" spans="1:40" x14ac:dyDescent="0.25">
      <c r="A2663" t="str">
        <f>"20190312172712257"</f>
        <v>20190312172712257</v>
      </c>
      <c r="B2663" t="str">
        <f>"1552382832251789"</f>
        <v>1552382832251789</v>
      </c>
      <c r="C2663" t="s">
        <v>40</v>
      </c>
      <c r="D2663">
        <v>3.3804599999999998</v>
      </c>
      <c r="E2663">
        <v>0.51777289999999998</v>
      </c>
      <c r="F2663" t="s">
        <v>48</v>
      </c>
      <c r="G2663">
        <v>-327.7688</v>
      </c>
      <c r="H2663" s="1">
        <v>2.5973909999999999E-6</v>
      </c>
      <c r="I2663">
        <v>211.2191</v>
      </c>
      <c r="J2663">
        <v>-355.3476</v>
      </c>
      <c r="K2663">
        <v>1.1095809999999999</v>
      </c>
      <c r="L2663">
        <v>212.91200000000001</v>
      </c>
      <c r="M2663">
        <v>0.99993750000000003</v>
      </c>
      <c r="N2663">
        <v>0</v>
      </c>
      <c r="O2663">
        <v>1.564154E-4</v>
      </c>
      <c r="P2663">
        <v>0.98275170000000001</v>
      </c>
      <c r="Q2663">
        <v>0.1837086</v>
      </c>
      <c r="R2663">
        <v>-2.1224639999999999E-2</v>
      </c>
      <c r="S2663">
        <v>3.071472</v>
      </c>
      <c r="T2663">
        <v>-0.1216305</v>
      </c>
      <c r="U2663">
        <v>-0.18556210000000001</v>
      </c>
      <c r="V2663">
        <v>2.1134010000000002E-2</v>
      </c>
      <c r="W2663">
        <v>0.19471649999999999</v>
      </c>
      <c r="X2663">
        <v>0.98063180000000005</v>
      </c>
      <c r="Y2663">
        <v>6.041361E-2</v>
      </c>
      <c r="Z2663">
        <v>-1.200822E-3</v>
      </c>
      <c r="AA2663">
        <v>0.99817270000000002</v>
      </c>
      <c r="AB2663">
        <v>47</v>
      </c>
      <c r="AC2663">
        <v>27.578800000000001</v>
      </c>
      <c r="AD2663">
        <v>-1.1095784026090001</v>
      </c>
      <c r="AE2663">
        <v>-1.6929000000000001</v>
      </c>
      <c r="AF2663">
        <v>1.69448144406448</v>
      </c>
      <c r="AG2663">
        <v>-1.1095784026090001</v>
      </c>
      <c r="AH2663">
        <v>27.5341327707993</v>
      </c>
      <c r="AI2663">
        <v>92.303320295827007</v>
      </c>
      <c r="AJ2663">
        <v>86.478394723398907</v>
      </c>
      <c r="AK2663">
        <v>27.6085294616685</v>
      </c>
      <c r="AL2663">
        <v>78.771836576605907</v>
      </c>
      <c r="AM2663">
        <v>88.765385583094897</v>
      </c>
      <c r="AN2663">
        <v>0.99999994446108298</v>
      </c>
    </row>
    <row r="2664" spans="1:40" x14ac:dyDescent="0.25">
      <c r="A2664" t="str">
        <f>"20190312172712280"</f>
        <v>20190312172712280</v>
      </c>
      <c r="B2664" t="str">
        <f>"1552382832271309"</f>
        <v>1552382832271309</v>
      </c>
      <c r="C2664" t="s">
        <v>40</v>
      </c>
      <c r="D2664">
        <v>3.3666170000000002</v>
      </c>
      <c r="E2664">
        <v>0.49573840000000002</v>
      </c>
      <c r="F2664" t="s">
        <v>48</v>
      </c>
      <c r="G2664">
        <v>-327.67689999999999</v>
      </c>
      <c r="H2664" s="1">
        <v>2.5484780000000001E-6</v>
      </c>
      <c r="I2664">
        <v>211.345</v>
      </c>
      <c r="J2664">
        <v>-354.87900000000002</v>
      </c>
      <c r="K2664">
        <v>1.109586</v>
      </c>
      <c r="L2664">
        <v>212.91239999999999</v>
      </c>
      <c r="M2664">
        <v>0.9999363</v>
      </c>
      <c r="N2664">
        <v>0</v>
      </c>
      <c r="O2664">
        <v>5.736615E-4</v>
      </c>
      <c r="P2664">
        <v>0.9828481</v>
      </c>
      <c r="Q2664">
        <v>0.18329039999999999</v>
      </c>
      <c r="R2664">
        <v>-2.0362870000000002E-2</v>
      </c>
      <c r="S2664">
        <v>3.0719599999999998</v>
      </c>
      <c r="T2664">
        <v>-0.123184</v>
      </c>
      <c r="U2664">
        <v>-0.1739655</v>
      </c>
      <c r="V2664">
        <v>2.0682559999999999E-2</v>
      </c>
      <c r="W2664">
        <v>0.1943877</v>
      </c>
      <c r="X2664">
        <v>0.98070670000000004</v>
      </c>
      <c r="Y2664">
        <v>5.7066119999999998E-2</v>
      </c>
      <c r="Z2664">
        <v>-1.1657639999999999E-3</v>
      </c>
      <c r="AA2664">
        <v>0.99836970000000003</v>
      </c>
      <c r="AB2664">
        <v>47</v>
      </c>
      <c r="AC2664">
        <v>27.202100000000002</v>
      </c>
      <c r="AD2664">
        <v>-1.109583451522</v>
      </c>
      <c r="AE2664">
        <v>-1.5673999999999899</v>
      </c>
      <c r="AF2664">
        <v>1.5803847039815999</v>
      </c>
      <c r="AG2664">
        <v>-1.109583451522</v>
      </c>
      <c r="AH2664">
        <v>27.1561619548939</v>
      </c>
      <c r="AI2664">
        <v>92.335819765056499</v>
      </c>
      <c r="AJ2664">
        <v>86.669361565930501</v>
      </c>
      <c r="AK2664">
        <v>27.224729996253402</v>
      </c>
      <c r="AL2664">
        <v>78.7910429151909</v>
      </c>
      <c r="AM2664">
        <v>88.791842903823195</v>
      </c>
      <c r="AN2664">
        <v>0.99999998881216601</v>
      </c>
    </row>
    <row r="2665" spans="1:40" x14ac:dyDescent="0.25">
      <c r="A2665" t="str">
        <f>"20190312172712302"</f>
        <v>20190312172712302</v>
      </c>
      <c r="B2665" t="str">
        <f>"1552382832292077"</f>
        <v>1552382832292077</v>
      </c>
      <c r="C2665" t="s">
        <v>40</v>
      </c>
      <c r="D2665">
        <v>3.3628230000000001</v>
      </c>
      <c r="E2665">
        <v>0.4957608</v>
      </c>
      <c r="F2665" t="s">
        <v>48</v>
      </c>
      <c r="G2665">
        <v>-328.48099999999999</v>
      </c>
      <c r="H2665" s="1">
        <v>2.976361E-6</v>
      </c>
      <c r="I2665">
        <v>212.95529999999999</v>
      </c>
      <c r="J2665">
        <v>-354.3922</v>
      </c>
      <c r="K2665">
        <v>1.1095980000000001</v>
      </c>
      <c r="L2665">
        <v>212.91300000000001</v>
      </c>
      <c r="M2665">
        <v>0.99993500000000002</v>
      </c>
      <c r="N2665">
        <v>0</v>
      </c>
      <c r="O2665">
        <v>1.006931E-3</v>
      </c>
      <c r="P2665">
        <v>0.98284830000000001</v>
      </c>
      <c r="Q2665">
        <v>0.1833467</v>
      </c>
      <c r="R2665">
        <v>-1.983766E-2</v>
      </c>
      <c r="S2665">
        <v>3.0765989999999999</v>
      </c>
      <c r="T2665">
        <v>-0.12931790000000001</v>
      </c>
      <c r="U2665">
        <v>5.0048829999999999E-3</v>
      </c>
      <c r="V2665">
        <v>2.058279E-2</v>
      </c>
      <c r="W2665">
        <v>0.19453599999999999</v>
      </c>
      <c r="X2665">
        <v>0.98067939999999998</v>
      </c>
      <c r="Y2665">
        <v>-6.2010229999999997E-4</v>
      </c>
      <c r="Z2665" s="1">
        <v>-2.9281529999999999E-5</v>
      </c>
      <c r="AA2665">
        <v>0.99999979999999999</v>
      </c>
      <c r="AB2665">
        <v>47</v>
      </c>
      <c r="AC2665">
        <v>25.911200000000001</v>
      </c>
      <c r="AD2665">
        <v>-1.10959502363899</v>
      </c>
      <c r="AE2665">
        <v>4.2300000000011502E-2</v>
      </c>
      <c r="AF2665">
        <v>-1.6177838267688999E-2</v>
      </c>
      <c r="AG2665">
        <v>-1.10959502363899</v>
      </c>
      <c r="AH2665">
        <v>25.863800331617799</v>
      </c>
      <c r="AI2665">
        <v>92.456566224469697</v>
      </c>
      <c r="AJ2665">
        <v>90.035838574440405</v>
      </c>
      <c r="AK2665">
        <v>25.887596072882602</v>
      </c>
      <c r="AL2665">
        <v>78.782380670246795</v>
      </c>
      <c r="AM2665">
        <v>88.7976357223327</v>
      </c>
      <c r="AN2665">
        <v>0.99999999606227197</v>
      </c>
    </row>
    <row r="2666" spans="1:40" x14ac:dyDescent="0.25">
      <c r="A2666" t="str">
        <f>"20190312172712325"</f>
        <v>20190312172712325</v>
      </c>
      <c r="B2666" t="str">
        <f>"1552382832321357"</f>
        <v>1552382832321357</v>
      </c>
      <c r="C2666" t="s">
        <v>40</v>
      </c>
      <c r="D2666">
        <v>3.348951</v>
      </c>
      <c r="E2666">
        <v>0.4958147</v>
      </c>
      <c r="F2666" t="s">
        <v>48</v>
      </c>
      <c r="G2666">
        <v>-328.29759999999999</v>
      </c>
      <c r="H2666" s="1">
        <v>2.8788010000000001E-6</v>
      </c>
      <c r="I2666">
        <v>212.97210000000001</v>
      </c>
      <c r="J2666">
        <v>-353.92320000000001</v>
      </c>
      <c r="K2666">
        <v>1.1096109999999999</v>
      </c>
      <c r="L2666">
        <v>212.91370000000001</v>
      </c>
      <c r="M2666">
        <v>0.99993339999999997</v>
      </c>
      <c r="N2666">
        <v>0</v>
      </c>
      <c r="O2666">
        <v>1.4244839999999999E-3</v>
      </c>
      <c r="P2666">
        <v>0.98291709999999999</v>
      </c>
      <c r="Q2666">
        <v>0.1830089</v>
      </c>
      <c r="R2666">
        <v>-1.9545239999999998E-2</v>
      </c>
      <c r="S2666">
        <v>3.0769350000000002</v>
      </c>
      <c r="T2666">
        <v>-0.13083739999999999</v>
      </c>
      <c r="U2666">
        <v>6.9732669999999896E-3</v>
      </c>
      <c r="V2666">
        <v>2.0700389999999999E-2</v>
      </c>
      <c r="W2666">
        <v>0.19428809999999999</v>
      </c>
      <c r="X2666">
        <v>0.98072610000000005</v>
      </c>
      <c r="Y2666">
        <v>-8.4224739999999999E-4</v>
      </c>
      <c r="Z2666" s="1">
        <v>-4.2649499999999999E-5</v>
      </c>
      <c r="AA2666">
        <v>0.99999959999999999</v>
      </c>
      <c r="AB2666">
        <v>47</v>
      </c>
      <c r="AC2666">
        <v>25.625599999999999</v>
      </c>
      <c r="AD2666">
        <v>-1.1096081211990001</v>
      </c>
      <c r="AE2666">
        <v>5.8400000000005899E-2</v>
      </c>
      <c r="AF2666">
        <v>-2.18533155138874E-2</v>
      </c>
      <c r="AG2666">
        <v>-1.1096081211990001</v>
      </c>
      <c r="AH2666">
        <v>25.5777003694099</v>
      </c>
      <c r="AI2666">
        <v>92.484038838723805</v>
      </c>
      <c r="AJ2666">
        <v>90.048952893518901</v>
      </c>
      <c r="AK2666">
        <v>25.6017668128069</v>
      </c>
      <c r="AL2666">
        <v>78.796860928994306</v>
      </c>
      <c r="AM2666">
        <v>88.790825598469596</v>
      </c>
      <c r="AN2666">
        <v>1.00000002758448</v>
      </c>
    </row>
    <row r="2667" spans="1:40" x14ac:dyDescent="0.25">
      <c r="A2667" t="str">
        <f>"20190312172712347"</f>
        <v>20190312172712347</v>
      </c>
      <c r="B2667" t="str">
        <f>"1552382832341853"</f>
        <v>1552382832341853</v>
      </c>
      <c r="C2667" t="s">
        <v>40</v>
      </c>
      <c r="D2667">
        <v>3.3697970000000002</v>
      </c>
      <c r="E2667">
        <v>0.49602600000000002</v>
      </c>
      <c r="F2667" t="s">
        <v>48</v>
      </c>
      <c r="G2667">
        <v>-328.64420000000001</v>
      </c>
      <c r="H2667" s="1">
        <v>3.0632059999999999E-6</v>
      </c>
      <c r="I2667">
        <v>212.97630000000001</v>
      </c>
      <c r="J2667">
        <v>-353.45519999999999</v>
      </c>
      <c r="K2667">
        <v>1.1096250000000001</v>
      </c>
      <c r="L2667">
        <v>212.91470000000001</v>
      </c>
      <c r="M2667">
        <v>0.99993169999999998</v>
      </c>
      <c r="N2667">
        <v>0</v>
      </c>
      <c r="O2667">
        <v>1.8409640000000001E-3</v>
      </c>
      <c r="P2667">
        <v>0.98298569999999996</v>
      </c>
      <c r="Q2667">
        <v>0.18264749999999999</v>
      </c>
      <c r="R2667">
        <v>-1.9474499999999999E-2</v>
      </c>
      <c r="S2667">
        <v>3.0774539999999999</v>
      </c>
      <c r="T2667">
        <v>-0.1350828</v>
      </c>
      <c r="U2667">
        <v>7.6141359999999996E-3</v>
      </c>
      <c r="V2667">
        <v>2.1038689999999999E-2</v>
      </c>
      <c r="W2667">
        <v>0.19401589999999999</v>
      </c>
      <c r="X2667">
        <v>0.98077270000000005</v>
      </c>
      <c r="Y2667">
        <v>-6.3423690000000003E-4</v>
      </c>
      <c r="Z2667" s="1">
        <v>-6.6861219999999997E-5</v>
      </c>
      <c r="AA2667">
        <v>0.99999979999999999</v>
      </c>
      <c r="AB2667">
        <v>47</v>
      </c>
      <c r="AC2667">
        <v>24.8109999999999</v>
      </c>
      <c r="AD2667">
        <v>-1.1096219367939999</v>
      </c>
      <c r="AE2667">
        <v>6.1599999999998503E-2</v>
      </c>
      <c r="AF2667">
        <v>-1.5888915376488202E-2</v>
      </c>
      <c r="AG2667">
        <v>-1.1096219367939999</v>
      </c>
      <c r="AH2667">
        <v>24.761544980461998</v>
      </c>
      <c r="AI2667">
        <v>92.565838885423304</v>
      </c>
      <c r="AJ2667">
        <v>90.036765382284599</v>
      </c>
      <c r="AK2667">
        <v>24.786399962876601</v>
      </c>
      <c r="AL2667">
        <v>78.812758399653106</v>
      </c>
      <c r="AM2667">
        <v>88.771128823828093</v>
      </c>
      <c r="AN2667">
        <v>0.99999994249750601</v>
      </c>
    </row>
    <row r="2668" spans="1:40" x14ac:dyDescent="0.25">
      <c r="A2668" t="str">
        <f>"20190312172712370"</f>
        <v>20190312172712370</v>
      </c>
      <c r="B2668" t="str">
        <f>"1552382832361373"</f>
        <v>1552382832361373</v>
      </c>
      <c r="C2668" t="s">
        <v>40</v>
      </c>
      <c r="D2668">
        <v>3.3868529999999999</v>
      </c>
      <c r="E2668">
        <v>0.49610860000000001</v>
      </c>
      <c r="F2668" t="s">
        <v>48</v>
      </c>
      <c r="G2668">
        <v>-328.73079999999999</v>
      </c>
      <c r="H2668" s="1">
        <v>3.1092900000000002E-6</v>
      </c>
      <c r="I2668">
        <v>212.9641</v>
      </c>
      <c r="J2668">
        <v>-352.9846</v>
      </c>
      <c r="K2668">
        <v>1.10964</v>
      </c>
      <c r="L2668">
        <v>212.91589999999999</v>
      </c>
      <c r="M2668">
        <v>0.99992970000000003</v>
      </c>
      <c r="N2668">
        <v>0</v>
      </c>
      <c r="O2668">
        <v>2.260635E-3</v>
      </c>
      <c r="P2668">
        <v>0.98296870000000003</v>
      </c>
      <c r="Q2668">
        <v>0.1827587</v>
      </c>
      <c r="R2668">
        <v>-1.9281630000000001E-2</v>
      </c>
      <c r="S2668">
        <v>3.0777890000000001</v>
      </c>
      <c r="T2668">
        <v>-0.13813010000000001</v>
      </c>
      <c r="U2668">
        <v>6.1492919999999998E-3</v>
      </c>
      <c r="V2668">
        <v>2.1257209999999999E-2</v>
      </c>
      <c r="W2668">
        <v>0.19422030000000001</v>
      </c>
      <c r="X2668">
        <v>0.98072760000000003</v>
      </c>
      <c r="Y2668">
        <v>2.6029789999999997E-4</v>
      </c>
      <c r="Z2668">
        <v>-1.0725020000000001E-4</v>
      </c>
      <c r="AA2668">
        <v>0.99999990000000005</v>
      </c>
      <c r="AB2668">
        <v>47</v>
      </c>
      <c r="AC2668">
        <v>24.253799999999998</v>
      </c>
      <c r="AD2668">
        <v>-1.10963689071</v>
      </c>
      <c r="AE2668">
        <v>4.8200000000008403E-2</v>
      </c>
      <c r="AF2668">
        <v>6.6189724550282302E-3</v>
      </c>
      <c r="AG2668">
        <v>-1.10963689071</v>
      </c>
      <c r="AH2668">
        <v>24.2031860741508</v>
      </c>
      <c r="AI2668">
        <v>92.624985783150905</v>
      </c>
      <c r="AJ2668">
        <v>89.984331022545106</v>
      </c>
      <c r="AK2668">
        <v>24.228610236247299</v>
      </c>
      <c r="AL2668">
        <v>78.800820814183496</v>
      </c>
      <c r="AM2668">
        <v>88.758311952214697</v>
      </c>
      <c r="AN2668">
        <v>1.00000000965541</v>
      </c>
    </row>
    <row r="2669" spans="1:40" x14ac:dyDescent="0.25">
      <c r="A2669" t="str">
        <f>"20190312172712392"</f>
        <v>20190312172712392</v>
      </c>
      <c r="B2669" t="str">
        <f>"1552382832381872"</f>
        <v>1552382832381872</v>
      </c>
      <c r="C2669" t="s">
        <v>40</v>
      </c>
      <c r="D2669">
        <v>3.3824969999999999</v>
      </c>
      <c r="E2669">
        <v>0.4961911</v>
      </c>
      <c r="F2669" t="s">
        <v>48</v>
      </c>
      <c r="G2669">
        <v>-328.2878</v>
      </c>
      <c r="H2669" s="1">
        <v>2.8735370000000001E-6</v>
      </c>
      <c r="I2669">
        <v>212.9622</v>
      </c>
      <c r="J2669">
        <v>-352.49829999999997</v>
      </c>
      <c r="K2669">
        <v>1.1096619999999999</v>
      </c>
      <c r="L2669">
        <v>212.91730000000001</v>
      </c>
      <c r="M2669">
        <v>0.99992749999999997</v>
      </c>
      <c r="N2669">
        <v>0</v>
      </c>
      <c r="O2669">
        <v>2.6950559999999999E-3</v>
      </c>
      <c r="P2669">
        <v>0.9829348</v>
      </c>
      <c r="Q2669">
        <v>0.1829674</v>
      </c>
      <c r="R2669">
        <v>-1.9036330000000001E-2</v>
      </c>
      <c r="S2669">
        <v>3.0778500000000002</v>
      </c>
      <c r="T2669">
        <v>-0.13828850000000001</v>
      </c>
      <c r="U2669">
        <v>5.7678219999999997E-3</v>
      </c>
      <c r="V2669">
        <v>2.143726E-2</v>
      </c>
      <c r="W2669">
        <v>0.19452810000000001</v>
      </c>
      <c r="X2669">
        <v>0.98066260000000005</v>
      </c>
      <c r="Y2669">
        <v>8.1772539999999997E-4</v>
      </c>
      <c r="Z2669">
        <v>-1.3939749999999999E-4</v>
      </c>
      <c r="AA2669">
        <v>0.99999959999999999</v>
      </c>
      <c r="AB2669">
        <v>47</v>
      </c>
      <c r="AC2669">
        <v>24.2104999999999</v>
      </c>
      <c r="AD2669">
        <v>-1.109659126463</v>
      </c>
      <c r="AE2669">
        <v>4.4899999999984098E-2</v>
      </c>
      <c r="AF2669">
        <v>2.0310643061071301E-2</v>
      </c>
      <c r="AG2669">
        <v>-1.109659126463</v>
      </c>
      <c r="AH2669">
        <v>24.159779913391102</v>
      </c>
      <c r="AI2669">
        <v>92.6297470864194</v>
      </c>
      <c r="AJ2669">
        <v>89.951832597125403</v>
      </c>
      <c r="AK2669">
        <v>24.1852583480653</v>
      </c>
      <c r="AL2669">
        <v>78.782841444743198</v>
      </c>
      <c r="AM2669">
        <v>88.747715133779593</v>
      </c>
      <c r="AN2669">
        <v>0.99999993642233598</v>
      </c>
    </row>
    <row r="2670" spans="1:40" x14ac:dyDescent="0.25">
      <c r="A2670" t="str">
        <f>"20190312172712436"</f>
        <v>20190312172712436</v>
      </c>
      <c r="B2670" t="str">
        <f>"1552382832431645"</f>
        <v>1552382832431645</v>
      </c>
      <c r="C2670" t="s">
        <v>40</v>
      </c>
      <c r="D2670">
        <v>3.3641200000000002</v>
      </c>
      <c r="E2670">
        <v>0.49625419999999998</v>
      </c>
      <c r="F2670" t="s">
        <v>48</v>
      </c>
      <c r="G2670">
        <v>-327.92239999999998</v>
      </c>
      <c r="H2670" s="1">
        <v>2.6791279999999998E-6</v>
      </c>
      <c r="I2670">
        <v>212.96510000000001</v>
      </c>
      <c r="J2670">
        <v>-351.58390000000003</v>
      </c>
      <c r="K2670">
        <v>1.1096969999999999</v>
      </c>
      <c r="L2670">
        <v>212.92070000000001</v>
      </c>
      <c r="M2670">
        <v>0.9999228</v>
      </c>
      <c r="N2670">
        <v>0</v>
      </c>
      <c r="O2670">
        <v>3.5131030000000001E-3</v>
      </c>
      <c r="P2670">
        <v>0.9828538</v>
      </c>
      <c r="Q2670">
        <v>0.18349789999999999</v>
      </c>
      <c r="R2670">
        <v>-1.8083829999999999E-2</v>
      </c>
      <c r="S2670">
        <v>3.0780639999999999</v>
      </c>
      <c r="T2670">
        <v>-0.13898179999999999</v>
      </c>
      <c r="U2670">
        <v>5.9814450000000002E-3</v>
      </c>
      <c r="V2670">
        <v>2.128586E-2</v>
      </c>
      <c r="W2670">
        <v>0.19524359999999999</v>
      </c>
      <c r="X2670">
        <v>0.98052379999999995</v>
      </c>
      <c r="Y2670">
        <v>1.564939E-3</v>
      </c>
      <c r="Z2670">
        <v>-1.9386720000000001E-4</v>
      </c>
      <c r="AA2670">
        <v>0.99999870000000002</v>
      </c>
      <c r="AB2670">
        <v>47</v>
      </c>
      <c r="AC2670">
        <v>23.6615</v>
      </c>
      <c r="AD2670">
        <v>-1.109694320872</v>
      </c>
      <c r="AE2670">
        <v>4.4399999999995998E-2</v>
      </c>
      <c r="AF2670">
        <v>3.8646463109226099E-2</v>
      </c>
      <c r="AG2670">
        <v>-1.109694320872</v>
      </c>
      <c r="AH2670">
        <v>23.609581080532202</v>
      </c>
      <c r="AI2670">
        <v>92.691024356278405</v>
      </c>
      <c r="AJ2670">
        <v>89.906212768280497</v>
      </c>
      <c r="AK2670">
        <v>23.635677139297499</v>
      </c>
      <c r="AL2670">
        <v>78.741046045529103</v>
      </c>
      <c r="AM2670">
        <v>88.756380608307694</v>
      </c>
      <c r="AN2670">
        <v>1.0000000367716599</v>
      </c>
    </row>
    <row r="2671" spans="1:40" x14ac:dyDescent="0.25">
      <c r="A2671" t="str">
        <f>"20190312172712457"</f>
        <v>20190312172712457</v>
      </c>
      <c r="B2671" t="str">
        <f>"1552382832451165"</f>
        <v>1552382832451165</v>
      </c>
      <c r="C2671" t="s">
        <v>40</v>
      </c>
      <c r="D2671">
        <v>3.3492250000000001</v>
      </c>
      <c r="E2671">
        <v>0.49628820000000001</v>
      </c>
      <c r="F2671" t="s">
        <v>48</v>
      </c>
      <c r="G2671">
        <v>-326.92869999999999</v>
      </c>
      <c r="H2671" s="1">
        <v>2.150323E-6</v>
      </c>
      <c r="I2671">
        <v>212.98869999999999</v>
      </c>
      <c r="J2671">
        <v>-351.1311</v>
      </c>
      <c r="K2671">
        <v>1.1097170000000001</v>
      </c>
      <c r="L2671">
        <v>212.92259999999999</v>
      </c>
      <c r="M2671">
        <v>0.99991980000000003</v>
      </c>
      <c r="N2671">
        <v>0</v>
      </c>
      <c r="O2671">
        <v>3.9201569999999996E-3</v>
      </c>
      <c r="P2671">
        <v>0.98284850000000001</v>
      </c>
      <c r="Q2671">
        <v>0.1835918</v>
      </c>
      <c r="R2671">
        <v>-1.7407510000000001E-2</v>
      </c>
      <c r="S2671">
        <v>3.0783689999999999</v>
      </c>
      <c r="T2671">
        <v>-0.13855300000000001</v>
      </c>
      <c r="U2671">
        <v>8.4991459999999904E-3</v>
      </c>
      <c r="V2671">
        <v>2.1008280000000001E-2</v>
      </c>
      <c r="W2671">
        <v>0.195434</v>
      </c>
      <c r="X2671">
        <v>0.98049180000000002</v>
      </c>
      <c r="Y2671">
        <v>1.154396E-3</v>
      </c>
      <c r="Z2671">
        <v>-2.0232900000000001E-4</v>
      </c>
      <c r="AA2671">
        <v>0.99999930000000004</v>
      </c>
      <c r="AB2671">
        <v>47</v>
      </c>
      <c r="AC2671">
        <v>24.202400000000001</v>
      </c>
      <c r="AD2671">
        <v>-1.109714849677</v>
      </c>
      <c r="AE2671">
        <v>6.6100000000005807E-2</v>
      </c>
      <c r="AF2671">
        <v>2.8724208313944798E-2</v>
      </c>
      <c r="AG2671">
        <v>-1.109714849677</v>
      </c>
      <c r="AH2671">
        <v>24.1516980968788</v>
      </c>
      <c r="AI2671">
        <v>92.630756821153497</v>
      </c>
      <c r="AJ2671">
        <v>89.931856752942807</v>
      </c>
      <c r="AK2671">
        <v>24.177196137900602</v>
      </c>
      <c r="AL2671">
        <v>78.729922032716303</v>
      </c>
      <c r="AM2671">
        <v>88.772553088624804</v>
      </c>
      <c r="AN2671">
        <v>0.99999998302589899</v>
      </c>
    </row>
    <row r="2672" spans="1:40" x14ac:dyDescent="0.25">
      <c r="A2672" t="str">
        <f>"20190312172712480"</f>
        <v>20190312172712480</v>
      </c>
      <c r="B2672" t="str">
        <f>"1552382832471663"</f>
        <v>1552382832471663</v>
      </c>
      <c r="C2672" t="s">
        <v>40</v>
      </c>
      <c r="D2672">
        <v>3.411235</v>
      </c>
      <c r="E2672">
        <v>0.49630419999999997</v>
      </c>
      <c r="F2672" t="s">
        <v>48</v>
      </c>
      <c r="G2672">
        <v>-326.6397</v>
      </c>
      <c r="H2672" s="1">
        <v>1.9965400000000001E-6</v>
      </c>
      <c r="I2672">
        <v>213.0017</v>
      </c>
      <c r="J2672">
        <v>-350.65710000000001</v>
      </c>
      <c r="K2672">
        <v>1.109742</v>
      </c>
      <c r="L2672">
        <v>212.9248</v>
      </c>
      <c r="M2672">
        <v>0.9999169</v>
      </c>
      <c r="N2672">
        <v>0</v>
      </c>
      <c r="O2672">
        <v>4.3457089999999997E-3</v>
      </c>
      <c r="P2672">
        <v>0.9828789</v>
      </c>
      <c r="Q2672">
        <v>0.1834742</v>
      </c>
      <c r="R2672">
        <v>-1.6931979999999999E-2</v>
      </c>
      <c r="S2672">
        <v>3.0785830000000001</v>
      </c>
      <c r="T2672">
        <v>-0.139492</v>
      </c>
      <c r="U2672">
        <v>9.9487299999999994E-3</v>
      </c>
      <c r="V2672">
        <v>2.0950400000000001E-2</v>
      </c>
      <c r="W2672">
        <v>0.19541990000000001</v>
      </c>
      <c r="X2672">
        <v>0.98049589999999998</v>
      </c>
      <c r="Y2672">
        <v>1.1088630000000001E-3</v>
      </c>
      <c r="Z2672">
        <v>-2.2192699999999999E-4</v>
      </c>
      <c r="AA2672">
        <v>0.99999930000000004</v>
      </c>
      <c r="AB2672">
        <v>47</v>
      </c>
      <c r="AC2672">
        <v>24.017399999999999</v>
      </c>
      <c r="AD2672">
        <v>-1.10974000346</v>
      </c>
      <c r="AE2672">
        <v>7.6899999999994806E-2</v>
      </c>
      <c r="AF2672">
        <v>2.74225004452587E-2</v>
      </c>
      <c r="AG2672">
        <v>-1.10974000346</v>
      </c>
      <c r="AH2672">
        <v>23.966340645200901</v>
      </c>
      <c r="AI2672">
        <v>92.651134517859703</v>
      </c>
      <c r="AJ2672">
        <v>89.934441687331699</v>
      </c>
      <c r="AK2672">
        <v>23.992035319885201</v>
      </c>
      <c r="AL2672">
        <v>78.730746359991002</v>
      </c>
      <c r="AM2672">
        <v>88.775938919360996</v>
      </c>
      <c r="AN2672">
        <v>1.00000003324648</v>
      </c>
    </row>
    <row r="2673" spans="1:40" x14ac:dyDescent="0.25">
      <c r="A2673" t="str">
        <f>"20190312172712503"</f>
        <v>20190312172712503</v>
      </c>
      <c r="B2673" t="str">
        <f>"1552382832491181"</f>
        <v>1552382832491181</v>
      </c>
      <c r="C2673" t="s">
        <v>40</v>
      </c>
      <c r="D2673">
        <v>3.393354</v>
      </c>
      <c r="E2673">
        <v>0.49640220000000002</v>
      </c>
      <c r="F2673" t="s">
        <v>48</v>
      </c>
      <c r="G2673">
        <v>-326.38279999999997</v>
      </c>
      <c r="H2673" s="1">
        <v>1.8598209999999999E-6</v>
      </c>
      <c r="I2673">
        <v>213.01609999999999</v>
      </c>
      <c r="J2673">
        <v>-350.1705</v>
      </c>
      <c r="K2673">
        <v>1.1097549999999901</v>
      </c>
      <c r="L2673">
        <v>212.9273</v>
      </c>
      <c r="M2673">
        <v>0.99991359999999996</v>
      </c>
      <c r="N2673">
        <v>0</v>
      </c>
      <c r="O2673">
        <v>4.7810930000000001E-3</v>
      </c>
      <c r="P2673">
        <v>0.98287020000000003</v>
      </c>
      <c r="Q2673">
        <v>0.18356359999999999</v>
      </c>
      <c r="R2673">
        <v>-1.6449890000000002E-2</v>
      </c>
      <c r="S2673">
        <v>3.0787659999999999</v>
      </c>
      <c r="T2673">
        <v>-0.14075079999999901</v>
      </c>
      <c r="U2673">
        <v>1.158142E-2</v>
      </c>
      <c r="V2673">
        <v>2.0895739999999999E-2</v>
      </c>
      <c r="W2673">
        <v>0.1956196</v>
      </c>
      <c r="X2673">
        <v>0.98045720000000003</v>
      </c>
      <c r="Y2673">
        <v>1.013726E-3</v>
      </c>
      <c r="Z2673">
        <v>-2.4163569999999999E-4</v>
      </c>
      <c r="AA2673">
        <v>0.99999950000000004</v>
      </c>
      <c r="AB2673">
        <v>47</v>
      </c>
      <c r="AC2673">
        <v>23.787700000000001</v>
      </c>
      <c r="AD2673">
        <v>-1.10975314017899</v>
      </c>
      <c r="AE2673">
        <v>8.8799999999991996E-2</v>
      </c>
      <c r="AF2673">
        <v>2.48865845273364E-2</v>
      </c>
      <c r="AG2673">
        <v>-1.10975314017899</v>
      </c>
      <c r="AH2673">
        <v>23.736192853094899</v>
      </c>
      <c r="AI2673">
        <v>92.6768348167315</v>
      </c>
      <c r="AJ2673">
        <v>89.939927361297904</v>
      </c>
      <c r="AK2673">
        <v>23.7621342167226</v>
      </c>
      <c r="AL2673">
        <v>78.719078725336701</v>
      </c>
      <c r="AM2673">
        <v>88.779083375833594</v>
      </c>
      <c r="AN2673">
        <v>0.99999999044307297</v>
      </c>
    </row>
    <row r="2674" spans="1:40" x14ac:dyDescent="0.25">
      <c r="A2674" t="str">
        <f>"20190312172712527"</f>
        <v>20190312172712527</v>
      </c>
      <c r="B2674" t="str">
        <f>"1552382832521437"</f>
        <v>1552382832521437</v>
      </c>
      <c r="C2674" t="s">
        <v>40</v>
      </c>
      <c r="D2674">
        <v>3.3946160000000001</v>
      </c>
      <c r="E2674">
        <v>0.49654809999999999</v>
      </c>
      <c r="F2674" t="s">
        <v>48</v>
      </c>
      <c r="G2674">
        <v>-326.04520000000002</v>
      </c>
      <c r="H2674" s="1">
        <v>1.680169E-6</v>
      </c>
      <c r="I2674">
        <v>213.024</v>
      </c>
      <c r="J2674">
        <v>-349.68490000000003</v>
      </c>
      <c r="K2674">
        <v>1.109777</v>
      </c>
      <c r="L2674">
        <v>212.9299</v>
      </c>
      <c r="M2674">
        <v>0.99990990000000002</v>
      </c>
      <c r="N2674">
        <v>0</v>
      </c>
      <c r="O2674">
        <v>5.2129020000000002E-3</v>
      </c>
      <c r="P2674">
        <v>0.98291240000000002</v>
      </c>
      <c r="Q2674">
        <v>0.18338660000000001</v>
      </c>
      <c r="R2674">
        <v>-1.5908160000000001E-2</v>
      </c>
      <c r="S2674">
        <v>3.0789179999999998</v>
      </c>
      <c r="T2674">
        <v>-0.1416287</v>
      </c>
      <c r="U2674">
        <v>1.234436E-2</v>
      </c>
      <c r="V2674">
        <v>2.0779160000000001E-2</v>
      </c>
      <c r="W2674">
        <v>0.19555739999999999</v>
      </c>
      <c r="X2674">
        <v>0.98047209999999996</v>
      </c>
      <c r="Y2674">
        <v>1.19725E-3</v>
      </c>
      <c r="Z2674">
        <v>-2.6720189999999999E-4</v>
      </c>
      <c r="AA2674">
        <v>0.99999919999999998</v>
      </c>
      <c r="AB2674">
        <v>47</v>
      </c>
      <c r="AC2674">
        <v>23.639700000000001</v>
      </c>
      <c r="AD2674">
        <v>-1.1097753198309901</v>
      </c>
      <c r="AE2674">
        <v>9.4099999999997394E-2</v>
      </c>
      <c r="AF2674">
        <v>2.9078064242525001E-2</v>
      </c>
      <c r="AG2674">
        <v>-1.1097753198309901</v>
      </c>
      <c r="AH2674">
        <v>23.5878854865453</v>
      </c>
      <c r="AI2674">
        <v>92.693693729292207</v>
      </c>
      <c r="AJ2674">
        <v>89.929368424545601</v>
      </c>
      <c r="AK2674">
        <v>23.613995606857898</v>
      </c>
      <c r="AL2674">
        <v>78.722712870392996</v>
      </c>
      <c r="AM2674">
        <v>88.785911425862196</v>
      </c>
      <c r="AN2674">
        <v>1.0000000045317301</v>
      </c>
    </row>
    <row r="2675" spans="1:40" x14ac:dyDescent="0.25">
      <c r="A2675" t="str">
        <f>"20190312172712547"</f>
        <v>20190312172712547</v>
      </c>
      <c r="B2675" t="str">
        <f>"1552382832541933"</f>
        <v>1552382832541933</v>
      </c>
      <c r="C2675" t="s">
        <v>40</v>
      </c>
      <c r="D2675">
        <v>3.3751289999999998</v>
      </c>
      <c r="E2675">
        <v>0.49669180000000002</v>
      </c>
      <c r="F2675" t="s">
        <v>48</v>
      </c>
      <c r="G2675">
        <v>-325.9237</v>
      </c>
      <c r="H2675" s="1">
        <v>1.615506E-6</v>
      </c>
      <c r="I2675">
        <v>213.03100000000001</v>
      </c>
      <c r="J2675">
        <v>-349.2473</v>
      </c>
      <c r="K2675">
        <v>1.109793</v>
      </c>
      <c r="L2675">
        <v>212.93260000000001</v>
      </c>
      <c r="M2675">
        <v>0.99990650000000003</v>
      </c>
      <c r="N2675">
        <v>0</v>
      </c>
      <c r="O2675">
        <v>5.6003140000000003E-3</v>
      </c>
      <c r="P2675">
        <v>0.98290730000000004</v>
      </c>
      <c r="Q2675">
        <v>0.18344779999999999</v>
      </c>
      <c r="R2675">
        <v>-1.550201E-2</v>
      </c>
      <c r="S2675">
        <v>3.0791930000000001</v>
      </c>
      <c r="T2675">
        <v>-0.14381459999999999</v>
      </c>
      <c r="U2675">
        <v>1.3092039999999999E-2</v>
      </c>
      <c r="V2675">
        <v>2.0755200000000001E-2</v>
      </c>
      <c r="W2675">
        <v>0.19572619999999999</v>
      </c>
      <c r="X2675">
        <v>0.9804389</v>
      </c>
      <c r="Y2675">
        <v>1.34146E-3</v>
      </c>
      <c r="Z2675">
        <v>-2.927486E-4</v>
      </c>
      <c r="AA2675">
        <v>0.99999899999999997</v>
      </c>
      <c r="AB2675">
        <v>47</v>
      </c>
      <c r="AC2675">
        <v>23.323599999999999</v>
      </c>
      <c r="AD2675">
        <v>-1.1097913844939999</v>
      </c>
      <c r="AE2675">
        <v>9.8399999999969595E-2</v>
      </c>
      <c r="AF2675">
        <v>3.21583843231475E-2</v>
      </c>
      <c r="AG2675">
        <v>-1.1097913844939999</v>
      </c>
      <c r="AH2675">
        <v>23.271098636776301</v>
      </c>
      <c r="AI2675">
        <v>92.730346495821394</v>
      </c>
      <c r="AJ2675">
        <v>89.920822881911704</v>
      </c>
      <c r="AK2675">
        <v>23.297568603640801</v>
      </c>
      <c r="AL2675">
        <v>78.712850483106095</v>
      </c>
      <c r="AM2675">
        <v>88.787269894563394</v>
      </c>
      <c r="AN2675">
        <v>0.99999998016334402</v>
      </c>
    </row>
    <row r="2676" spans="1:40" x14ac:dyDescent="0.25">
      <c r="A2676" t="str">
        <f>"20190312172712571"</f>
        <v>20190312172712571</v>
      </c>
      <c r="B2676" t="str">
        <f>"1552382832561453"</f>
        <v>1552382832561453</v>
      </c>
      <c r="C2676" t="s">
        <v>40</v>
      </c>
      <c r="D2676">
        <v>3.3651300000000002</v>
      </c>
      <c r="E2676">
        <v>0.49675730000000001</v>
      </c>
      <c r="F2676" t="s">
        <v>48</v>
      </c>
      <c r="G2676">
        <v>-325.6397</v>
      </c>
      <c r="H2676" s="1">
        <v>1.4643689999999999E-6</v>
      </c>
      <c r="I2676">
        <v>213.02930000000001</v>
      </c>
      <c r="J2676">
        <v>-348.76010000000002</v>
      </c>
      <c r="K2676">
        <v>1.1097999999999999</v>
      </c>
      <c r="L2676">
        <v>212.9357</v>
      </c>
      <c r="M2676">
        <v>0.99990219999999996</v>
      </c>
      <c r="N2676">
        <v>0</v>
      </c>
      <c r="O2676">
        <v>6.0299480000000003E-3</v>
      </c>
      <c r="P2676">
        <v>0.98286220000000002</v>
      </c>
      <c r="Q2676">
        <v>0.18371119999999999</v>
      </c>
      <c r="R2676">
        <v>-1.523216E-2</v>
      </c>
      <c r="S2676">
        <v>3.0793759999999999</v>
      </c>
      <c r="T2676">
        <v>-0.1447611</v>
      </c>
      <c r="U2676">
        <v>1.261902E-2</v>
      </c>
      <c r="V2676">
        <v>2.0909580000000001E-2</v>
      </c>
      <c r="W2676">
        <v>0.19611619999999999</v>
      </c>
      <c r="X2676">
        <v>0.9803577</v>
      </c>
      <c r="Y2676">
        <v>1.9237880000000001E-3</v>
      </c>
      <c r="Z2676">
        <v>-3.2852329999999999E-4</v>
      </c>
      <c r="AA2676">
        <v>0.9999981</v>
      </c>
      <c r="AB2676">
        <v>47</v>
      </c>
      <c r="AC2676">
        <v>23.1204</v>
      </c>
      <c r="AD2676">
        <v>-1.1097985356309901</v>
      </c>
      <c r="AE2676">
        <v>9.3600000000009204E-2</v>
      </c>
      <c r="AF2676">
        <v>4.57222664872542E-2</v>
      </c>
      <c r="AG2676">
        <v>-1.1097985356309901</v>
      </c>
      <c r="AH2676">
        <v>23.067395784479501</v>
      </c>
      <c r="AI2676">
        <v>92.7544355316804</v>
      </c>
      <c r="AJ2676">
        <v>89.886433237057204</v>
      </c>
      <c r="AK2676">
        <v>23.094122446916298</v>
      </c>
      <c r="AL2676">
        <v>78.690063703916806</v>
      </c>
      <c r="AM2676">
        <v>88.778151004220504</v>
      </c>
      <c r="AN2676">
        <v>0.99999999719375299</v>
      </c>
    </row>
    <row r="2677" spans="1:40" x14ac:dyDescent="0.25">
      <c r="A2677" t="str">
        <f>"20190312172712592"</f>
        <v>20190312172712592</v>
      </c>
      <c r="B2677" t="str">
        <f>"1552382832581949"</f>
        <v>1552382832581949</v>
      </c>
      <c r="C2677" t="s">
        <v>40</v>
      </c>
      <c r="D2677">
        <v>3.3773590000000002</v>
      </c>
      <c r="E2677">
        <v>0.49685299999999999</v>
      </c>
      <c r="F2677" t="s">
        <v>48</v>
      </c>
      <c r="G2677">
        <v>-325.18090000000001</v>
      </c>
      <c r="H2677" s="1">
        <v>1.220255E-6</v>
      </c>
      <c r="I2677">
        <v>213.0341</v>
      </c>
      <c r="J2677">
        <v>-348.29230000000001</v>
      </c>
      <c r="K2677">
        <v>1.1098140000000001</v>
      </c>
      <c r="L2677">
        <v>212.93879999999999</v>
      </c>
      <c r="M2677">
        <v>0.99989799999999995</v>
      </c>
      <c r="N2677">
        <v>0</v>
      </c>
      <c r="O2677">
        <v>6.4420019999999996E-3</v>
      </c>
      <c r="P2677">
        <v>0.98283640000000005</v>
      </c>
      <c r="Q2677">
        <v>0.18389530000000001</v>
      </c>
      <c r="R2677">
        <v>-1.465878E-2</v>
      </c>
      <c r="S2677">
        <v>3.0795590000000002</v>
      </c>
      <c r="T2677">
        <v>-0.1449453</v>
      </c>
      <c r="U2677">
        <v>1.2847900000000001E-2</v>
      </c>
      <c r="V2677">
        <v>2.0743850000000001E-2</v>
      </c>
      <c r="W2677">
        <v>0.1964323</v>
      </c>
      <c r="X2677">
        <v>0.98029790000000006</v>
      </c>
      <c r="Y2677">
        <v>2.2609650000000002E-3</v>
      </c>
      <c r="Z2677">
        <v>-3.562366E-4</v>
      </c>
      <c r="AA2677">
        <v>0.99999740000000004</v>
      </c>
      <c r="AB2677">
        <v>47</v>
      </c>
      <c r="AC2677">
        <v>23.1114</v>
      </c>
      <c r="AD2677">
        <v>-1.1098127797449999</v>
      </c>
      <c r="AE2677">
        <v>9.5300000000008794E-2</v>
      </c>
      <c r="AF2677">
        <v>5.3474453873011099E-2</v>
      </c>
      <c r="AG2677">
        <v>-1.1098127797449999</v>
      </c>
      <c r="AH2677">
        <v>23.058364165848399</v>
      </c>
      <c r="AI2677">
        <v>92.755546058954593</v>
      </c>
      <c r="AJ2677">
        <v>89.867126089084095</v>
      </c>
      <c r="AK2677">
        <v>23.085118624953701</v>
      </c>
      <c r="AL2677">
        <v>78.671592861691394</v>
      </c>
      <c r="AM2677">
        <v>88.787758594996404</v>
      </c>
      <c r="AN2677">
        <v>0.99999996427025994</v>
      </c>
    </row>
    <row r="2678" spans="1:40" x14ac:dyDescent="0.25">
      <c r="A2678" t="str">
        <f>"20190312172712616"</f>
        <v>20190312172712616</v>
      </c>
      <c r="B2678" t="str">
        <f>"1552382832611229"</f>
        <v>1552382832611229</v>
      </c>
      <c r="C2678" t="s">
        <v>40</v>
      </c>
      <c r="D2678">
        <v>3.3633459999999999</v>
      </c>
      <c r="E2678">
        <v>0.49096820000000002</v>
      </c>
      <c r="F2678" t="s">
        <v>48</v>
      </c>
      <c r="G2678">
        <v>-324.75560000000002</v>
      </c>
      <c r="H2678" s="1">
        <v>9.9393309999999992E-7</v>
      </c>
      <c r="I2678">
        <v>213.042</v>
      </c>
      <c r="J2678">
        <v>-347.81240000000003</v>
      </c>
      <c r="K2678">
        <v>1.1098319999999999</v>
      </c>
      <c r="L2678">
        <v>212.94229999999999</v>
      </c>
      <c r="M2678">
        <v>0.99989349999999999</v>
      </c>
      <c r="N2678">
        <v>0</v>
      </c>
      <c r="O2678">
        <v>6.8659849999999998E-3</v>
      </c>
      <c r="P2678">
        <v>0.98287139999999995</v>
      </c>
      <c r="Q2678">
        <v>0.1837521</v>
      </c>
      <c r="R2678">
        <v>-1.4121180000000001E-2</v>
      </c>
      <c r="S2678">
        <v>3.0798030000000001</v>
      </c>
      <c r="T2678">
        <v>-0.14522060000000001</v>
      </c>
      <c r="U2678">
        <v>1.350403E-2</v>
      </c>
      <c r="V2678">
        <v>2.0626419999999999E-2</v>
      </c>
      <c r="W2678">
        <v>0.19642760000000001</v>
      </c>
      <c r="X2678">
        <v>0.98030139999999999</v>
      </c>
      <c r="Y2678">
        <v>2.4715549999999998E-3</v>
      </c>
      <c r="Z2678">
        <v>-3.8182869999999999E-4</v>
      </c>
      <c r="AA2678">
        <v>0.99999689999999997</v>
      </c>
      <c r="AB2678">
        <v>47</v>
      </c>
      <c r="AC2678">
        <v>23.056799999999999</v>
      </c>
      <c r="AD2678">
        <v>-1.1098310060669001</v>
      </c>
      <c r="AE2678">
        <v>9.9700000000012695E-2</v>
      </c>
      <c r="AF2678">
        <v>5.84876124094749E-2</v>
      </c>
      <c r="AG2678">
        <v>-1.1098310060669001</v>
      </c>
      <c r="AH2678">
        <v>23.003643858927202</v>
      </c>
      <c r="AI2678">
        <v>92.762134515342495</v>
      </c>
      <c r="AJ2678">
        <v>89.854323682613099</v>
      </c>
      <c r="AK2678">
        <v>23.030474950621301</v>
      </c>
      <c r="AL2678">
        <v>78.671868406613399</v>
      </c>
      <c r="AM2678">
        <v>88.794623310874996</v>
      </c>
      <c r="AN2678">
        <v>1.0000000430428599</v>
      </c>
    </row>
    <row r="2679" spans="1:40" x14ac:dyDescent="0.25">
      <c r="A2679" t="str">
        <f>"20190312172712638"</f>
        <v>20190312172712638</v>
      </c>
      <c r="B2679" t="str">
        <f>"1552382832631725"</f>
        <v>1552382832631725</v>
      </c>
      <c r="C2679" t="s">
        <v>40</v>
      </c>
      <c r="D2679">
        <v>3.3544200000000002</v>
      </c>
      <c r="E2679">
        <v>0.49071819999999999</v>
      </c>
      <c r="F2679" t="s">
        <v>49</v>
      </c>
      <c r="G2679">
        <v>-311.1859</v>
      </c>
      <c r="H2679" s="1">
        <v>1.431541E-6</v>
      </c>
      <c r="I2679">
        <v>213.65860000000001</v>
      </c>
      <c r="J2679">
        <v>-347.33780000000002</v>
      </c>
      <c r="K2679">
        <v>1.1098509999999999</v>
      </c>
      <c r="L2679">
        <v>212.94589999999999</v>
      </c>
      <c r="M2679">
        <v>0.99988849999999996</v>
      </c>
      <c r="N2679">
        <v>0</v>
      </c>
      <c r="O2679">
        <v>7.2849769999999998E-3</v>
      </c>
      <c r="P2679">
        <v>0.98290540000000004</v>
      </c>
      <c r="Q2679">
        <v>0.183615</v>
      </c>
      <c r="R2679">
        <v>-1.3504779999999999E-2</v>
      </c>
      <c r="S2679">
        <v>3.0704959999999999</v>
      </c>
      <c r="T2679">
        <v>-9.3039869999999997E-2</v>
      </c>
      <c r="U2679">
        <v>6.0043329999999999E-2</v>
      </c>
      <c r="V2679">
        <v>2.04247E-2</v>
      </c>
      <c r="W2679">
        <v>0.19643740000000001</v>
      </c>
      <c r="X2679">
        <v>0.98030360000000005</v>
      </c>
      <c r="Y2679">
        <v>-1.2264189999999999E-2</v>
      </c>
      <c r="Z2679" s="1">
        <v>-3.4935789999999998E-5</v>
      </c>
      <c r="AA2679">
        <v>0.99992479999999995</v>
      </c>
      <c r="AB2679">
        <v>47</v>
      </c>
      <c r="AC2679">
        <v>36.151899999999998</v>
      </c>
      <c r="AD2679">
        <v>-1.109849568459</v>
      </c>
      <c r="AE2679">
        <v>0.71270000000001199</v>
      </c>
      <c r="AF2679">
        <v>-0.44887006604015001</v>
      </c>
      <c r="AG2679">
        <v>-1.109849568459</v>
      </c>
      <c r="AH2679">
        <v>36.122102311589401</v>
      </c>
      <c r="AI2679">
        <v>91.759720197033104</v>
      </c>
      <c r="AJ2679">
        <v>90.711947395813496</v>
      </c>
      <c r="AK2679">
        <v>36.141935833733797</v>
      </c>
      <c r="AL2679">
        <v>78.671295077217394</v>
      </c>
      <c r="AM2679">
        <v>88.8064107724243</v>
      </c>
      <c r="AN2679">
        <v>0.99999998433090498</v>
      </c>
    </row>
    <row r="2680" spans="1:40" x14ac:dyDescent="0.25">
      <c r="A2680" t="str">
        <f>"20190312172712660"</f>
        <v>20190312172712660</v>
      </c>
      <c r="B2680" t="str">
        <f>"1552382832651245"</f>
        <v>1552382832651245</v>
      </c>
      <c r="C2680" t="s">
        <v>40</v>
      </c>
      <c r="D2680">
        <v>3.3242820000000002</v>
      </c>
      <c r="E2680">
        <v>0.49083890000000002</v>
      </c>
      <c r="F2680" t="s">
        <v>49</v>
      </c>
      <c r="G2680">
        <v>-310.99450000000002</v>
      </c>
      <c r="H2680" s="1">
        <v>1.346671E-6</v>
      </c>
      <c r="I2680">
        <v>213.70140000000001</v>
      </c>
      <c r="J2680">
        <v>-346.88869999999997</v>
      </c>
      <c r="K2680">
        <v>1.1098760000000001</v>
      </c>
      <c r="L2680">
        <v>212.9495</v>
      </c>
      <c r="M2680">
        <v>0.99988350000000004</v>
      </c>
      <c r="N2680">
        <v>0</v>
      </c>
      <c r="O2680">
        <v>7.6799800000000003E-3</v>
      </c>
      <c r="P2680">
        <v>0.98287100000000005</v>
      </c>
      <c r="Q2680">
        <v>0.18384130000000001</v>
      </c>
      <c r="R2680">
        <v>-1.29263E-2</v>
      </c>
      <c r="S2680">
        <v>3.0705870000000002</v>
      </c>
      <c r="T2680">
        <v>-9.3769430000000001E-2</v>
      </c>
      <c r="U2680">
        <v>6.3827510000000004E-2</v>
      </c>
      <c r="V2680">
        <v>2.0235639999999999E-2</v>
      </c>
      <c r="W2680">
        <v>0.19681570000000001</v>
      </c>
      <c r="X2680">
        <v>0.98023159999999998</v>
      </c>
      <c r="Y2680">
        <v>-1.310013E-2</v>
      </c>
      <c r="Z2680" s="1">
        <v>-3.4507520000000003E-5</v>
      </c>
      <c r="AA2680">
        <v>0.99991419999999998</v>
      </c>
      <c r="AB2680">
        <v>47</v>
      </c>
      <c r="AC2680">
        <v>35.894199999999898</v>
      </c>
      <c r="AD2680">
        <v>-1.109874653329</v>
      </c>
      <c r="AE2680">
        <v>0.75190000000000601</v>
      </c>
      <c r="AF2680">
        <v>-0.47573245254601998</v>
      </c>
      <c r="AG2680">
        <v>-1.109874653329</v>
      </c>
      <c r="AH2680">
        <v>35.864641494773302</v>
      </c>
      <c r="AI2680">
        <v>91.772365603605394</v>
      </c>
      <c r="AJ2680">
        <v>90.759964747417001</v>
      </c>
      <c r="AK2680">
        <v>35.884964158559903</v>
      </c>
      <c r="AL2680">
        <v>78.649188080028395</v>
      </c>
      <c r="AM2680">
        <v>88.817369171340303</v>
      </c>
      <c r="AN2680">
        <v>0.99999994526562797</v>
      </c>
    </row>
    <row r="2681" spans="1:40" x14ac:dyDescent="0.25">
      <c r="A2681" t="str">
        <f>"20190312172712682"</f>
        <v>20190312172712682</v>
      </c>
      <c r="B2681" t="str">
        <f>"1552382832671745"</f>
        <v>1552382832671745</v>
      </c>
      <c r="C2681" t="s">
        <v>40</v>
      </c>
      <c r="D2681">
        <v>3.3153839999999901</v>
      </c>
      <c r="E2681">
        <v>0.49085440000000002</v>
      </c>
      <c r="F2681" t="s">
        <v>49</v>
      </c>
      <c r="G2681">
        <v>-310.14269999999999</v>
      </c>
      <c r="H2681" s="1">
        <v>9.6892549999999991E-7</v>
      </c>
      <c r="I2681">
        <v>213.71889999999999</v>
      </c>
      <c r="J2681">
        <v>-346.41590000000002</v>
      </c>
      <c r="K2681">
        <v>1.109901</v>
      </c>
      <c r="L2681">
        <v>212.95349999999999</v>
      </c>
      <c r="M2681">
        <v>0.99987800000000004</v>
      </c>
      <c r="N2681">
        <v>0</v>
      </c>
      <c r="O2681">
        <v>8.0948080000000002E-3</v>
      </c>
      <c r="P2681">
        <v>0.98285840000000002</v>
      </c>
      <c r="Q2681">
        <v>0.1839653</v>
      </c>
      <c r="R2681">
        <v>-1.2096549999999999E-2</v>
      </c>
      <c r="S2681">
        <v>3.070465</v>
      </c>
      <c r="T2681">
        <v>-9.2740299999999998E-2</v>
      </c>
      <c r="U2681">
        <v>6.428528E-2</v>
      </c>
      <c r="V2681">
        <v>1.9814579999999998E-2</v>
      </c>
      <c r="W2681">
        <v>0.19710549999999999</v>
      </c>
      <c r="X2681">
        <v>0.98018209999999995</v>
      </c>
      <c r="Y2681">
        <v>-1.283547E-2</v>
      </c>
      <c r="Z2681" s="1">
        <v>-5.0651900000000002E-5</v>
      </c>
      <c r="AA2681">
        <v>0.99991759999999996</v>
      </c>
      <c r="AB2681">
        <v>47</v>
      </c>
      <c r="AC2681">
        <v>36.273200000000003</v>
      </c>
      <c r="AD2681">
        <v>-1.1099000310745</v>
      </c>
      <c r="AE2681">
        <v>0.76539999999999897</v>
      </c>
      <c r="AF2681">
        <v>-0.471283078659613</v>
      </c>
      <c r="AG2681">
        <v>-1.1099000310745</v>
      </c>
      <c r="AH2681">
        <v>36.244288732462103</v>
      </c>
      <c r="AI2681">
        <v>91.753858401036396</v>
      </c>
      <c r="AJ2681">
        <v>90.744972811610296</v>
      </c>
      <c r="AK2681">
        <v>36.264341322314003</v>
      </c>
      <c r="AL2681">
        <v>78.6322534731612</v>
      </c>
      <c r="AM2681">
        <v>88.841911929027503</v>
      </c>
      <c r="AN2681">
        <v>1.00000007243561</v>
      </c>
    </row>
    <row r="2682" spans="1:40" x14ac:dyDescent="0.25">
      <c r="A2682" t="str">
        <f>"20190312172712704"</f>
        <v>20190312172712704</v>
      </c>
      <c r="B2682" t="str">
        <f>"1552382832691734"</f>
        <v>1552382832691734</v>
      </c>
      <c r="C2682" t="s">
        <v>40</v>
      </c>
      <c r="D2682">
        <v>3.3157429999999999</v>
      </c>
      <c r="E2682">
        <v>0.49111480000000002</v>
      </c>
      <c r="F2682" t="s">
        <v>49</v>
      </c>
      <c r="G2682">
        <v>-308.9375</v>
      </c>
      <c r="H2682" s="1">
        <v>1.0679E-6</v>
      </c>
      <c r="I2682">
        <v>213.7706</v>
      </c>
      <c r="J2682">
        <v>-345.96069999999997</v>
      </c>
      <c r="K2682">
        <v>1.109926</v>
      </c>
      <c r="L2682">
        <v>212.95750000000001</v>
      </c>
      <c r="M2682">
        <v>0.9998726</v>
      </c>
      <c r="N2682">
        <v>0</v>
      </c>
      <c r="O2682">
        <v>8.493703E-3</v>
      </c>
      <c r="P2682">
        <v>0.98287069999999999</v>
      </c>
      <c r="Q2682">
        <v>0.18392420000000001</v>
      </c>
      <c r="R2682">
        <v>-1.173044E-2</v>
      </c>
      <c r="S2682">
        <v>3.07016</v>
      </c>
      <c r="T2682">
        <v>-9.0920810000000005E-2</v>
      </c>
      <c r="U2682">
        <v>6.6940310000000003E-2</v>
      </c>
      <c r="V2682">
        <v>1.9841020000000001E-2</v>
      </c>
      <c r="W2682">
        <v>0.19721630000000001</v>
      </c>
      <c r="X2682">
        <v>0.98015920000000001</v>
      </c>
      <c r="Y2682">
        <v>-1.3302990000000001E-2</v>
      </c>
      <c r="Z2682" s="1">
        <v>-5.4552210000000003E-5</v>
      </c>
      <c r="AA2682">
        <v>0.99991149999999995</v>
      </c>
      <c r="AB2682">
        <v>47</v>
      </c>
      <c r="AC2682">
        <v>37.023199999999903</v>
      </c>
      <c r="AD2682">
        <v>-1.1099249321</v>
      </c>
      <c r="AE2682">
        <v>0.81309999999999105</v>
      </c>
      <c r="AF2682">
        <v>-0.498130399272802</v>
      </c>
      <c r="AG2682">
        <v>-1.1099249321</v>
      </c>
      <c r="AH2682">
        <v>36.995537369735601</v>
      </c>
      <c r="AI2682">
        <v>91.718293342495102</v>
      </c>
      <c r="AJ2682">
        <v>90.771418580984502</v>
      </c>
      <c r="AK2682">
        <v>37.015535286215702</v>
      </c>
      <c r="AL2682">
        <v>78.625777116371097</v>
      </c>
      <c r="AM2682">
        <v>88.840339945892694</v>
      </c>
      <c r="AN2682">
        <v>0.99999999620248503</v>
      </c>
    </row>
    <row r="2683" spans="1:40" x14ac:dyDescent="0.25">
      <c r="A2683" t="str">
        <f>"20190312172712726"</f>
        <v>20190312172712726</v>
      </c>
      <c r="B2683" t="str">
        <f>"1552382832721987"</f>
        <v>1552382832721987</v>
      </c>
      <c r="C2683" t="s">
        <v>40</v>
      </c>
      <c r="D2683">
        <v>3.321072</v>
      </c>
      <c r="E2683">
        <v>0.49123709999999998</v>
      </c>
      <c r="F2683" t="s">
        <v>49</v>
      </c>
      <c r="G2683">
        <v>-308.51659999999998</v>
      </c>
      <c r="H2683" s="1">
        <v>1.1425620000000001E-6</v>
      </c>
      <c r="I2683">
        <v>213.75980000000001</v>
      </c>
      <c r="J2683">
        <v>-345.5027</v>
      </c>
      <c r="K2683">
        <v>1.1099460000000001</v>
      </c>
      <c r="L2683">
        <v>212.96170000000001</v>
      </c>
      <c r="M2683">
        <v>0.99986719999999896</v>
      </c>
      <c r="N2683">
        <v>0</v>
      </c>
      <c r="O2683">
        <v>8.8944739999999994E-3</v>
      </c>
      <c r="P2683">
        <v>0.98277150000000002</v>
      </c>
      <c r="Q2683">
        <v>0.18445529999999999</v>
      </c>
      <c r="R2683">
        <v>-1.168283E-2</v>
      </c>
      <c r="S2683">
        <v>3.0700989999999999</v>
      </c>
      <c r="T2683">
        <v>-9.1004370000000001E-2</v>
      </c>
      <c r="U2683">
        <v>6.5780640000000001E-2</v>
      </c>
      <c r="V2683">
        <v>2.0185660000000001E-2</v>
      </c>
      <c r="W2683">
        <v>0.19788620000000001</v>
      </c>
      <c r="X2683">
        <v>0.98001709999999997</v>
      </c>
      <c r="Y2683">
        <v>-1.252561E-2</v>
      </c>
      <c r="Z2683" s="1">
        <v>-7.7998029999999996E-5</v>
      </c>
      <c r="AA2683">
        <v>0.99992159999999997</v>
      </c>
      <c r="AB2683">
        <v>47</v>
      </c>
      <c r="AC2683">
        <v>36.9861</v>
      </c>
      <c r="AD2683">
        <v>-1.109944857438</v>
      </c>
      <c r="AE2683">
        <v>0.79810000000000503</v>
      </c>
      <c r="AF2683">
        <v>-0.46864398476026697</v>
      </c>
      <c r="AG2683">
        <v>-1.109944857438</v>
      </c>
      <c r="AH2683">
        <v>36.958467195409</v>
      </c>
      <c r="AI2683">
        <v>91.720064275844607</v>
      </c>
      <c r="AJ2683">
        <v>90.726488013673105</v>
      </c>
      <c r="AK2683">
        <v>36.9781003055204</v>
      </c>
      <c r="AL2683">
        <v>78.586622658183899</v>
      </c>
      <c r="AM2683">
        <v>88.8200311896166</v>
      </c>
      <c r="AN2683">
        <v>0.99999996265624203</v>
      </c>
    </row>
    <row r="2684" spans="1:40" x14ac:dyDescent="0.25">
      <c r="A2684" t="str">
        <f>"20190312172712749"</f>
        <v>20190312172712749</v>
      </c>
      <c r="B2684" t="str">
        <f>"1552382832741507"</f>
        <v>1552382832741507</v>
      </c>
      <c r="C2684" t="s">
        <v>40</v>
      </c>
      <c r="D2684">
        <v>3.3110439999999999</v>
      </c>
      <c r="E2684">
        <v>0.49135059999999903</v>
      </c>
      <c r="F2684" t="s">
        <v>49</v>
      </c>
      <c r="G2684">
        <v>-306.96780000000001</v>
      </c>
      <c r="H2684" s="1">
        <v>1.417278E-6</v>
      </c>
      <c r="I2684">
        <v>213.77010000000001</v>
      </c>
      <c r="J2684">
        <v>-345.03649999999999</v>
      </c>
      <c r="K2684">
        <v>1.109964</v>
      </c>
      <c r="L2684">
        <v>212.96610000000001</v>
      </c>
      <c r="M2684">
        <v>0.99986169999999996</v>
      </c>
      <c r="N2684">
        <v>0</v>
      </c>
      <c r="O2684">
        <v>9.3009270000000005E-3</v>
      </c>
      <c r="P2684">
        <v>0.98271260000000005</v>
      </c>
      <c r="Q2684">
        <v>0.18481539999999999</v>
      </c>
      <c r="R2684">
        <v>-1.092797E-2</v>
      </c>
      <c r="S2684">
        <v>3.0699160000000001</v>
      </c>
      <c r="T2684">
        <v>-8.8424799999999998E-2</v>
      </c>
      <c r="U2684">
        <v>6.4407350000000002E-2</v>
      </c>
      <c r="V2684">
        <v>1.982863E-2</v>
      </c>
      <c r="W2684">
        <v>0.1983722</v>
      </c>
      <c r="X2684">
        <v>0.97992619999999997</v>
      </c>
      <c r="Y2684">
        <v>-1.1673899999999999E-2</v>
      </c>
      <c r="Z2684" s="1">
        <v>-9.9759639999999995E-5</v>
      </c>
      <c r="AA2684">
        <v>0.99993189999999998</v>
      </c>
      <c r="AB2684">
        <v>47</v>
      </c>
      <c r="AC2684">
        <v>38.0686999999999</v>
      </c>
      <c r="AD2684">
        <v>-1.1099625827220001</v>
      </c>
      <c r="AE2684">
        <v>0.80400000000000205</v>
      </c>
      <c r="AF2684">
        <v>-0.449475424161694</v>
      </c>
      <c r="AG2684">
        <v>-1.1099625827220001</v>
      </c>
      <c r="AH2684">
        <v>38.042205651049798</v>
      </c>
      <c r="AI2684">
        <v>91.6711359981458</v>
      </c>
      <c r="AJ2684">
        <v>90.676928324671294</v>
      </c>
      <c r="AK2684">
        <v>38.061049064479697</v>
      </c>
      <c r="AL2684">
        <v>78.558214517876905</v>
      </c>
      <c r="AM2684">
        <v>88.840788425585103</v>
      </c>
      <c r="AN2684">
        <v>1.00000003087347</v>
      </c>
    </row>
    <row r="2685" spans="1:40" x14ac:dyDescent="0.25">
      <c r="A2685" t="str">
        <f>"20190312172712770"</f>
        <v>20190312172712770</v>
      </c>
      <c r="B2685" t="str">
        <f>"1552382832762003"</f>
        <v>1552382832762003</v>
      </c>
      <c r="C2685" t="s">
        <v>40</v>
      </c>
      <c r="D2685">
        <v>3.2879770000000001</v>
      </c>
      <c r="E2685">
        <v>0.49138270000000001</v>
      </c>
      <c r="F2685" t="s">
        <v>49</v>
      </c>
      <c r="G2685">
        <v>-306.19839999999999</v>
      </c>
      <c r="H2685" s="1">
        <v>1.5537729999999999E-6</v>
      </c>
      <c r="I2685">
        <v>213.79349999999999</v>
      </c>
      <c r="J2685">
        <v>-344.56709999999998</v>
      </c>
      <c r="K2685">
        <v>1.1099760000000001</v>
      </c>
      <c r="L2685">
        <v>212.9708</v>
      </c>
      <c r="M2685">
        <v>0.99985619999999997</v>
      </c>
      <c r="N2685">
        <v>0</v>
      </c>
      <c r="O2685">
        <v>9.7094299999999998E-3</v>
      </c>
      <c r="P2685">
        <v>0.98274220000000001</v>
      </c>
      <c r="Q2685">
        <v>0.1846566</v>
      </c>
      <c r="R2685">
        <v>-1.0935459999999999E-2</v>
      </c>
      <c r="S2685">
        <v>3.0700069999999999</v>
      </c>
      <c r="T2685">
        <v>-8.7738280000000002E-2</v>
      </c>
      <c r="U2685">
        <v>6.5399170000000006E-2</v>
      </c>
      <c r="V2685">
        <v>2.0237370000000001E-2</v>
      </c>
      <c r="W2685">
        <v>0.1983287</v>
      </c>
      <c r="X2685">
        <v>0.97992659999999998</v>
      </c>
      <c r="Y2685">
        <v>-1.158784E-2</v>
      </c>
      <c r="Z2685">
        <v>-1.118828E-4</v>
      </c>
      <c r="AA2685">
        <v>0.99993279999999995</v>
      </c>
      <c r="AB2685">
        <v>47</v>
      </c>
      <c r="AC2685">
        <v>38.368699999999897</v>
      </c>
      <c r="AD2685">
        <v>-1.109974446227</v>
      </c>
      <c r="AE2685">
        <v>0.82269999999999699</v>
      </c>
      <c r="AF2685">
        <v>-0.449710804847268</v>
      </c>
      <c r="AG2685">
        <v>-1.109974446227</v>
      </c>
      <c r="AH2685">
        <v>38.342805544735903</v>
      </c>
      <c r="AI2685">
        <v>91.658061368089506</v>
      </c>
      <c r="AJ2685">
        <v>90.671973512398495</v>
      </c>
      <c r="AK2685">
        <v>38.361504403773097</v>
      </c>
      <c r="AL2685">
        <v>78.5607568521513</v>
      </c>
      <c r="AM2685">
        <v>88.816900075636099</v>
      </c>
      <c r="AN2685">
        <v>0.99999998288788305</v>
      </c>
    </row>
    <row r="2686" spans="1:40" x14ac:dyDescent="0.25">
      <c r="A2686" t="str">
        <f>"20190312172712794"</f>
        <v>20190312172712794</v>
      </c>
      <c r="B2686" t="str">
        <f>"1552382832781522"</f>
        <v>1552382832781522</v>
      </c>
      <c r="C2686" t="s">
        <v>40</v>
      </c>
      <c r="D2686">
        <v>3.2995199999999998</v>
      </c>
      <c r="E2686">
        <v>0.49321989999999999</v>
      </c>
      <c r="F2686" t="s">
        <v>49</v>
      </c>
      <c r="G2686">
        <v>-305.9126</v>
      </c>
      <c r="H2686" s="1">
        <v>1.6044649999999999E-6</v>
      </c>
      <c r="I2686">
        <v>213.79640000000001</v>
      </c>
      <c r="J2686">
        <v>-344.08909999999997</v>
      </c>
      <c r="K2686">
        <v>1.1099840000000001</v>
      </c>
      <c r="L2686">
        <v>212.97579999999999</v>
      </c>
      <c r="M2686">
        <v>0.99985060000000003</v>
      </c>
      <c r="N2686">
        <v>0</v>
      </c>
      <c r="O2686">
        <v>1.0125439999999999E-2</v>
      </c>
      <c r="P2686">
        <v>0.98282009999999997</v>
      </c>
      <c r="Q2686">
        <v>0.18426500000000001</v>
      </c>
      <c r="R2686">
        <v>-1.054429E-2</v>
      </c>
      <c r="S2686">
        <v>3.0699459999999998</v>
      </c>
      <c r="T2686">
        <v>-8.8154199999999905E-2</v>
      </c>
      <c r="U2686">
        <v>6.5567020000000004E-2</v>
      </c>
      <c r="V2686">
        <v>2.0255769999999999E-2</v>
      </c>
      <c r="W2686">
        <v>0.19804079999999999</v>
      </c>
      <c r="X2686">
        <v>0.97998450000000004</v>
      </c>
      <c r="Y2686">
        <v>-1.122717E-2</v>
      </c>
      <c r="Z2686">
        <v>-1.295344E-4</v>
      </c>
      <c r="AA2686">
        <v>0.99993690000000002</v>
      </c>
      <c r="AB2686">
        <v>47</v>
      </c>
      <c r="AC2686">
        <v>38.176499999999898</v>
      </c>
      <c r="AD2686">
        <v>-1.1099823955349899</v>
      </c>
      <c r="AE2686">
        <v>0.82060000000001299</v>
      </c>
      <c r="AF2686">
        <v>-0.43359975075267998</v>
      </c>
      <c r="AG2686">
        <v>-1.1099823955349899</v>
      </c>
      <c r="AH2686">
        <v>38.150616320893803</v>
      </c>
      <c r="AI2686">
        <v>91.666428305092097</v>
      </c>
      <c r="AJ2686">
        <v>90.651165524608501</v>
      </c>
      <c r="AK2686">
        <v>38.169223142818801</v>
      </c>
      <c r="AL2686">
        <v>78.577586753085697</v>
      </c>
      <c r="AM2686">
        <v>88.815894640830095</v>
      </c>
      <c r="AN2686">
        <v>1.0000000374615901</v>
      </c>
    </row>
    <row r="2687" spans="1:40" x14ac:dyDescent="0.25">
      <c r="A2687" t="str">
        <f>"20190312172712817"</f>
        <v>20190312172712817</v>
      </c>
      <c r="B2687" t="str">
        <f>"1552382832811779"</f>
        <v>1552382832811779</v>
      </c>
      <c r="C2687" t="s">
        <v>40</v>
      </c>
      <c r="D2687">
        <v>3.3046639999999998</v>
      </c>
      <c r="E2687">
        <v>0.4932628</v>
      </c>
      <c r="F2687" t="s">
        <v>49</v>
      </c>
      <c r="G2687">
        <v>-306.35930000000002</v>
      </c>
      <c r="H2687" s="1">
        <v>1.525223E-6</v>
      </c>
      <c r="I2687">
        <v>213.61789999999999</v>
      </c>
      <c r="J2687">
        <v>-343.6105</v>
      </c>
      <c r="K2687">
        <v>1.1099909999999999</v>
      </c>
      <c r="L2687">
        <v>212.98099999999999</v>
      </c>
      <c r="M2687">
        <v>0.99984499999999998</v>
      </c>
      <c r="N2687">
        <v>0</v>
      </c>
      <c r="O2687">
        <v>1.0542879999999999E-2</v>
      </c>
      <c r="P2687">
        <v>0.98287809999999998</v>
      </c>
      <c r="Q2687">
        <v>0.18399779999999999</v>
      </c>
      <c r="R2687">
        <v>-9.7648730000000003E-3</v>
      </c>
      <c r="S2687">
        <v>3.0699160000000001</v>
      </c>
      <c r="T2687">
        <v>-9.0314749999999999E-2</v>
      </c>
      <c r="U2687">
        <v>5.2246090000000002E-2</v>
      </c>
      <c r="V2687">
        <v>1.9887450000000001E-2</v>
      </c>
      <c r="W2687">
        <v>0.19786509999999999</v>
      </c>
      <c r="X2687">
        <v>0.98002750000000005</v>
      </c>
      <c r="Y2687">
        <v>-6.4746860000000003E-3</v>
      </c>
      <c r="Z2687">
        <v>-2.1488130000000001E-4</v>
      </c>
      <c r="AA2687">
        <v>0.99997899999999995</v>
      </c>
      <c r="AB2687">
        <v>47</v>
      </c>
      <c r="AC2687">
        <v>37.251199999999898</v>
      </c>
      <c r="AD2687">
        <v>-1.1099894747770001</v>
      </c>
      <c r="AE2687">
        <v>0.63689999999999702</v>
      </c>
      <c r="AF2687">
        <v>-0.24387414659374601</v>
      </c>
      <c r="AG2687">
        <v>-1.1099894747770001</v>
      </c>
      <c r="AH2687">
        <v>37.222804732788703</v>
      </c>
      <c r="AI2687">
        <v>91.708025705326804</v>
      </c>
      <c r="AJ2687">
        <v>90.375381691586</v>
      </c>
      <c r="AK2687">
        <v>37.240149615822098</v>
      </c>
      <c r="AL2687">
        <v>78.587856470827006</v>
      </c>
      <c r="AM2687">
        <v>88.837470805909504</v>
      </c>
      <c r="AN2687">
        <v>1.0000000046108799</v>
      </c>
    </row>
    <row r="2688" spans="1:40" x14ac:dyDescent="0.25">
      <c r="A2688" t="str">
        <f>"20190312172712840"</f>
        <v>20190312172712840</v>
      </c>
      <c r="B2688" t="str">
        <f>"1552382832832274"</f>
        <v>1552382832832274</v>
      </c>
      <c r="C2688" t="s">
        <v>40</v>
      </c>
      <c r="D2688">
        <v>3.3038340000000002</v>
      </c>
      <c r="E2688">
        <v>0.49341499999999999</v>
      </c>
      <c r="F2688" t="s">
        <v>49</v>
      </c>
      <c r="G2688">
        <v>-306.98649999999998</v>
      </c>
      <c r="H2688" s="1">
        <v>1.4139619999999999E-6</v>
      </c>
      <c r="I2688">
        <v>213.6259</v>
      </c>
      <c r="J2688">
        <v>-343.14080000000001</v>
      </c>
      <c r="K2688">
        <v>1.109985</v>
      </c>
      <c r="L2688">
        <v>212.9862</v>
      </c>
      <c r="M2688">
        <v>0.99983940000000004</v>
      </c>
      <c r="N2688">
        <v>0</v>
      </c>
      <c r="O2688">
        <v>1.095348E-2</v>
      </c>
      <c r="P2688">
        <v>0.9829947</v>
      </c>
      <c r="Q2688">
        <v>0.1833987</v>
      </c>
      <c r="R2688">
        <v>-9.2802160000000009E-3</v>
      </c>
      <c r="S2688">
        <v>3.0701900000000002</v>
      </c>
      <c r="T2688">
        <v>-9.3050599999999997E-2</v>
      </c>
      <c r="U2688">
        <v>5.4061890000000001E-2</v>
      </c>
      <c r="V2688">
        <v>1.9808739999999998E-2</v>
      </c>
      <c r="W2688">
        <v>0.1973462</v>
      </c>
      <c r="X2688">
        <v>0.9801337</v>
      </c>
      <c r="Y2688">
        <v>-6.6539440000000002E-3</v>
      </c>
      <c r="Z2688">
        <v>-2.3109190000000001E-4</v>
      </c>
      <c r="AA2688">
        <v>0.99997780000000003</v>
      </c>
      <c r="AB2688">
        <v>47</v>
      </c>
      <c r="AC2688">
        <v>36.154299999999999</v>
      </c>
      <c r="AD2688">
        <v>-1.1099835860380001</v>
      </c>
      <c r="AE2688">
        <v>0.63970000000000404</v>
      </c>
      <c r="AF2688">
        <v>-0.24337704181426201</v>
      </c>
      <c r="AG2688">
        <v>-1.1099835860380001</v>
      </c>
      <c r="AH2688">
        <v>36.125098526193703</v>
      </c>
      <c r="AI2688">
        <v>91.759882544433097</v>
      </c>
      <c r="AJ2688">
        <v>90.385999400147796</v>
      </c>
      <c r="AK2688">
        <v>36.142966666738303</v>
      </c>
      <c r="AL2688">
        <v>78.618185110959999</v>
      </c>
      <c r="AM2688">
        <v>88.842196007107603</v>
      </c>
      <c r="AN2688">
        <v>0.99999998935525802</v>
      </c>
    </row>
    <row r="2689" spans="1:40" x14ac:dyDescent="0.25">
      <c r="A2689" t="str">
        <f>"20190312172712860"</f>
        <v>20190312172712860</v>
      </c>
      <c r="B2689" t="str">
        <f>"1552382832851794"</f>
        <v>1552382832851794</v>
      </c>
      <c r="C2689" t="s">
        <v>40</v>
      </c>
      <c r="D2689">
        <v>3.3299859999999999</v>
      </c>
      <c r="E2689">
        <v>0.49365330000000002</v>
      </c>
      <c r="F2689" t="s">
        <v>49</v>
      </c>
      <c r="G2689">
        <v>-307.55919999999998</v>
      </c>
      <c r="H2689" s="1">
        <v>1.3123849999999999E-6</v>
      </c>
      <c r="I2689">
        <v>213.61609999999999</v>
      </c>
      <c r="J2689">
        <v>-342.69810000000001</v>
      </c>
      <c r="K2689">
        <v>1.1099859999999999</v>
      </c>
      <c r="L2689">
        <v>212.9914</v>
      </c>
      <c r="M2689">
        <v>0.99983420000000001</v>
      </c>
      <c r="N2689">
        <v>0</v>
      </c>
      <c r="O2689">
        <v>1.134158E-2</v>
      </c>
      <c r="P2689">
        <v>0.98307420000000001</v>
      </c>
      <c r="Q2689">
        <v>0.18300230000000001</v>
      </c>
      <c r="R2689">
        <v>-8.68212199999999E-3</v>
      </c>
      <c r="S2689">
        <v>3.0703130000000001</v>
      </c>
      <c r="T2689">
        <v>-9.5779660000000003E-2</v>
      </c>
      <c r="U2689">
        <v>5.435181E-2</v>
      </c>
      <c r="V2689">
        <v>1.959381E-2</v>
      </c>
      <c r="W2689">
        <v>0.19701479999999999</v>
      </c>
      <c r="X2689">
        <v>0.98020469999999904</v>
      </c>
      <c r="Y2689">
        <v>-6.3599269999999996E-3</v>
      </c>
      <c r="Z2689">
        <v>-2.545445E-4</v>
      </c>
      <c r="AA2689">
        <v>0.99997970000000003</v>
      </c>
      <c r="AB2689">
        <v>47</v>
      </c>
      <c r="AC2689">
        <v>35.1389</v>
      </c>
      <c r="AD2689">
        <v>-1.1099846876149999</v>
      </c>
      <c r="AE2689">
        <v>0.62469999999999004</v>
      </c>
      <c r="AF2689">
        <v>-0.22586341913131899</v>
      </c>
      <c r="AG2689">
        <v>-1.1099846876149999</v>
      </c>
      <c r="AH2689">
        <v>35.108703751718799</v>
      </c>
      <c r="AI2689">
        <v>91.810803007141899</v>
      </c>
      <c r="AJ2689">
        <v>90.368593560994796</v>
      </c>
      <c r="AK2689">
        <v>35.126971964813499</v>
      </c>
      <c r="AL2689">
        <v>78.637553320203395</v>
      </c>
      <c r="AM2689">
        <v>88.854838050927299</v>
      </c>
      <c r="AN2689">
        <v>1.00000000135572</v>
      </c>
    </row>
    <row r="2690" spans="1:40" x14ac:dyDescent="0.25">
      <c r="A2690" t="str">
        <f>"20190312172712883"</f>
        <v>20190312172712883</v>
      </c>
      <c r="B2690" t="str">
        <f>"1552382832871314"</f>
        <v>1552382832871314</v>
      </c>
      <c r="C2690" t="s">
        <v>40</v>
      </c>
      <c r="D2690">
        <v>3.330511</v>
      </c>
      <c r="E2690">
        <v>0.49377720000000003</v>
      </c>
      <c r="F2690" t="s">
        <v>49</v>
      </c>
      <c r="G2690">
        <v>-307.37869999999998</v>
      </c>
      <c r="H2690" s="1">
        <v>1.3444040000000001E-6</v>
      </c>
      <c r="I2690">
        <v>213.61349999999999</v>
      </c>
      <c r="J2690">
        <v>-342.22949999999997</v>
      </c>
      <c r="K2690">
        <v>1.10999</v>
      </c>
      <c r="L2690">
        <v>212.99700000000001</v>
      </c>
      <c r="M2690">
        <v>0.99982850000000001</v>
      </c>
      <c r="N2690">
        <v>0</v>
      </c>
      <c r="O2690">
        <v>1.1752830000000001E-2</v>
      </c>
      <c r="P2690">
        <v>0.98316749999999997</v>
      </c>
      <c r="Q2690">
        <v>0.18254780000000001</v>
      </c>
      <c r="R2690">
        <v>-7.6084689999999996E-3</v>
      </c>
      <c r="S2690">
        <v>3.0700989999999999</v>
      </c>
      <c r="T2690">
        <v>-9.6484180000000003E-2</v>
      </c>
      <c r="U2690">
        <v>5.4077149999999997E-2</v>
      </c>
      <c r="V2690">
        <v>1.8926599999999998E-2</v>
      </c>
      <c r="W2690">
        <v>0.19662070000000001</v>
      </c>
      <c r="X2690">
        <v>0.98029699999999997</v>
      </c>
      <c r="Y2690">
        <v>-5.8608870000000004E-3</v>
      </c>
      <c r="Z2690">
        <v>-2.7719369999999998E-4</v>
      </c>
      <c r="AA2690">
        <v>0.99998279999999995</v>
      </c>
      <c r="AB2690">
        <v>47</v>
      </c>
      <c r="AC2690">
        <v>34.8507999999999</v>
      </c>
      <c r="AD2690">
        <v>-1.1099886555959999</v>
      </c>
      <c r="AE2690">
        <v>0.61649999999997296</v>
      </c>
      <c r="AF2690">
        <v>-0.20661040507263401</v>
      </c>
      <c r="AG2690">
        <v>-1.1099886555959999</v>
      </c>
      <c r="AH2690">
        <v>34.820327951284398</v>
      </c>
      <c r="AI2690">
        <v>91.825801808231901</v>
      </c>
      <c r="AJ2690">
        <v>90.339967082012095</v>
      </c>
      <c r="AK2690">
        <v>34.8386280055635</v>
      </c>
      <c r="AL2690">
        <v>78.660584763497496</v>
      </c>
      <c r="AM2690">
        <v>88.893927464435905</v>
      </c>
      <c r="AN2690">
        <v>1.00000006203252</v>
      </c>
    </row>
    <row r="2691" spans="1:40" x14ac:dyDescent="0.25">
      <c r="A2691" t="str">
        <f>"20190312172712905"</f>
        <v>20190312172712905</v>
      </c>
      <c r="B2691" t="str">
        <f>"1552382832902079"</f>
        <v>1552382832902079</v>
      </c>
      <c r="C2691" t="s">
        <v>40</v>
      </c>
      <c r="D2691">
        <v>3.3739370000000002</v>
      </c>
      <c r="E2691">
        <v>0.49403249999999999</v>
      </c>
      <c r="F2691" t="s">
        <v>49</v>
      </c>
      <c r="G2691">
        <v>-307.47320000000002</v>
      </c>
      <c r="H2691" s="1">
        <v>1.32764E-6</v>
      </c>
      <c r="I2691">
        <v>213.63640000000001</v>
      </c>
      <c r="J2691">
        <v>-341.7808</v>
      </c>
      <c r="K2691">
        <v>1.109998</v>
      </c>
      <c r="L2691">
        <v>213.0026</v>
      </c>
      <c r="M2691">
        <v>0.99982320000000002</v>
      </c>
      <c r="N2691">
        <v>0</v>
      </c>
      <c r="O2691">
        <v>1.214639E-2</v>
      </c>
      <c r="P2691">
        <v>0.98307670000000003</v>
      </c>
      <c r="Q2691">
        <v>0.1830445</v>
      </c>
      <c r="R2691">
        <v>-7.447108E-3</v>
      </c>
      <c r="S2691">
        <v>3.0700069999999999</v>
      </c>
      <c r="T2691">
        <v>-9.804475E-2</v>
      </c>
      <c r="U2691">
        <v>5.647278E-2</v>
      </c>
      <c r="V2691">
        <v>1.9150770000000001E-2</v>
      </c>
      <c r="W2691">
        <v>0.19716529999999999</v>
      </c>
      <c r="X2691">
        <v>0.98018320000000003</v>
      </c>
      <c r="Y2691">
        <v>-6.247949E-3</v>
      </c>
      <c r="Z2691">
        <v>-2.8806699999999998E-4</v>
      </c>
      <c r="AA2691">
        <v>0.99998039999999999</v>
      </c>
      <c r="AB2691">
        <v>47</v>
      </c>
      <c r="AC2691">
        <v>34.307599999999901</v>
      </c>
      <c r="AD2691">
        <v>-1.1099966723600001</v>
      </c>
      <c r="AE2691">
        <v>0.63380000000000702</v>
      </c>
      <c r="AF2691">
        <v>-0.216769973253262</v>
      </c>
      <c r="AG2691">
        <v>-1.1099966723600001</v>
      </c>
      <c r="AH2691">
        <v>34.276899047288602</v>
      </c>
      <c r="AI2691">
        <v>91.854737117966707</v>
      </c>
      <c r="AJ2691">
        <v>90.362338466033805</v>
      </c>
      <c r="AK2691">
        <v>34.295552045884399</v>
      </c>
      <c r="AL2691">
        <v>78.628757844107298</v>
      </c>
      <c r="AM2691">
        <v>88.880700354737399</v>
      </c>
      <c r="AN2691">
        <v>1.00000000653896</v>
      </c>
    </row>
    <row r="2692" spans="1:40" x14ac:dyDescent="0.25">
      <c r="A2692" t="str">
        <f>"20190312172712926"</f>
        <v>20190312172712926</v>
      </c>
      <c r="B2692" t="str">
        <f>"1552382832921598"</f>
        <v>1552382832921598</v>
      </c>
      <c r="C2692" t="s">
        <v>40</v>
      </c>
      <c r="D2692">
        <v>3.3933010000000001</v>
      </c>
      <c r="E2692">
        <v>0.49575960000000002</v>
      </c>
      <c r="F2692" t="s">
        <v>49</v>
      </c>
      <c r="G2692">
        <v>-306.37580000000003</v>
      </c>
      <c r="H2692" s="1">
        <v>1.522293E-6</v>
      </c>
      <c r="I2692">
        <v>213.6379</v>
      </c>
      <c r="J2692">
        <v>-341.32580000000002</v>
      </c>
      <c r="K2692">
        <v>1.110007</v>
      </c>
      <c r="L2692">
        <v>213.00839999999999</v>
      </c>
      <c r="M2692">
        <v>0.99981759999999997</v>
      </c>
      <c r="N2692">
        <v>0</v>
      </c>
      <c r="O2692">
        <v>1.2545829999999999E-2</v>
      </c>
      <c r="P2692">
        <v>0.98301210000000006</v>
      </c>
      <c r="Q2692">
        <v>0.18339859999999999</v>
      </c>
      <c r="R2692">
        <v>-7.2534899999999996E-3</v>
      </c>
      <c r="S2692">
        <v>3.0699459999999998</v>
      </c>
      <c r="T2692">
        <v>-9.6247200000000005E-2</v>
      </c>
      <c r="U2692">
        <v>5.5084229999999998E-2</v>
      </c>
      <c r="V2692">
        <v>1.9348710000000002E-2</v>
      </c>
      <c r="W2692">
        <v>0.19756219999999999</v>
      </c>
      <c r="X2692">
        <v>0.98009939999999995</v>
      </c>
      <c r="Y2692">
        <v>-5.3971569999999996E-3</v>
      </c>
      <c r="Z2692">
        <v>-3.0864670000000001E-4</v>
      </c>
      <c r="AA2692">
        <v>0.99998540000000002</v>
      </c>
      <c r="AB2692">
        <v>46</v>
      </c>
      <c r="AC2692">
        <v>34.949999999999903</v>
      </c>
      <c r="AD2692">
        <v>-1.1100054777070001</v>
      </c>
      <c r="AE2692">
        <v>0.62950000000000705</v>
      </c>
      <c r="AF2692">
        <v>-0.19073588783466999</v>
      </c>
      <c r="AG2692">
        <v>-1.1100054777070001</v>
      </c>
      <c r="AH2692">
        <v>34.919935394812697</v>
      </c>
      <c r="AI2692">
        <v>91.820629766847802</v>
      </c>
      <c r="AJ2692">
        <v>90.312951687122606</v>
      </c>
      <c r="AK2692">
        <v>34.938093541539203</v>
      </c>
      <c r="AL2692">
        <v>78.605560966171396</v>
      </c>
      <c r="AM2692">
        <v>88.869037734787995</v>
      </c>
      <c r="AN2692">
        <v>1.0000000146639301</v>
      </c>
    </row>
    <row r="2693" spans="1:40" x14ac:dyDescent="0.25">
      <c r="A2693" t="str">
        <f>"20190312172712950"</f>
        <v>20190312172712950</v>
      </c>
      <c r="B2693" t="str">
        <f>"1552382832942094"</f>
        <v>1552382832942094</v>
      </c>
      <c r="C2693" t="s">
        <v>40</v>
      </c>
      <c r="D2693">
        <v>3.4048069999999999</v>
      </c>
      <c r="E2693">
        <v>0.52023660000000005</v>
      </c>
      <c r="F2693" t="s">
        <v>49</v>
      </c>
      <c r="G2693">
        <v>-306.44630000000001</v>
      </c>
      <c r="H2693" s="1">
        <v>1.509788E-6</v>
      </c>
      <c r="I2693">
        <v>213.4872</v>
      </c>
      <c r="J2693">
        <v>-340.83620000000002</v>
      </c>
      <c r="K2693">
        <v>1.1100159999999999</v>
      </c>
      <c r="L2693">
        <v>213.01490000000001</v>
      </c>
      <c r="M2693">
        <v>0.99981140000000002</v>
      </c>
      <c r="N2693">
        <v>0</v>
      </c>
      <c r="O2693">
        <v>1.2975510000000001E-2</v>
      </c>
      <c r="P2693">
        <v>0.98291589999999995</v>
      </c>
      <c r="Q2693">
        <v>0.18391460000000001</v>
      </c>
      <c r="R2693">
        <v>-7.2014189999999997E-3</v>
      </c>
      <c r="S2693">
        <v>3.0703429999999998</v>
      </c>
      <c r="T2693">
        <v>-9.7710729999999996E-2</v>
      </c>
      <c r="U2693">
        <v>4.214478E-2</v>
      </c>
      <c r="V2693">
        <v>1.971761E-2</v>
      </c>
      <c r="W2693">
        <v>0.19811699999999999</v>
      </c>
      <c r="X2693">
        <v>0.97998010000000002</v>
      </c>
      <c r="Y2693">
        <v>-7.5450229999999999E-4</v>
      </c>
      <c r="Z2693">
        <v>-4.0083239999999997E-4</v>
      </c>
      <c r="AA2693">
        <v>0.99999959999999999</v>
      </c>
      <c r="AB2693">
        <v>46</v>
      </c>
      <c r="AC2693">
        <v>34.389899999999997</v>
      </c>
      <c r="AD2693">
        <v>-1.1100144902119999</v>
      </c>
      <c r="AE2693">
        <v>0.47229999999999001</v>
      </c>
      <c r="AF2693">
        <v>-2.5960105248397199E-2</v>
      </c>
      <c r="AG2693">
        <v>-1.1100144902119999</v>
      </c>
      <c r="AH2693">
        <v>34.3573455897534</v>
      </c>
      <c r="AI2693">
        <v>91.850463468731405</v>
      </c>
      <c r="AJ2693">
        <v>90.043292173998097</v>
      </c>
      <c r="AK2693">
        <v>34.375281847125102</v>
      </c>
      <c r="AL2693">
        <v>78.573132856904493</v>
      </c>
      <c r="AM2693">
        <v>88.847340449756402</v>
      </c>
      <c r="AN2693">
        <v>1.00000006311455</v>
      </c>
    </row>
    <row r="2694" spans="1:40" x14ac:dyDescent="0.25">
      <c r="A2694" t="str">
        <f>"20190312172712972"</f>
        <v>20190312172712972</v>
      </c>
      <c r="B2694" t="str">
        <f>"1552382832961614"</f>
        <v>1552382832961614</v>
      </c>
      <c r="C2694" t="s">
        <v>40</v>
      </c>
      <c r="D2694">
        <v>3.3931990000000001</v>
      </c>
      <c r="E2694">
        <v>0.52048919999999999</v>
      </c>
      <c r="F2694" t="s">
        <v>49</v>
      </c>
      <c r="G2694">
        <v>-314.14429999999999</v>
      </c>
      <c r="H2694" s="1">
        <v>2.743498E-6</v>
      </c>
      <c r="I2694">
        <v>211.6986</v>
      </c>
      <c r="J2694">
        <v>-340.38189999999997</v>
      </c>
      <c r="K2694">
        <v>1.11002</v>
      </c>
      <c r="L2694">
        <v>213.02109999999999</v>
      </c>
      <c r="M2694">
        <v>0.99980579999999997</v>
      </c>
      <c r="N2694">
        <v>0</v>
      </c>
      <c r="O2694">
        <v>1.337402E-2</v>
      </c>
      <c r="P2694">
        <v>0.98287270000000004</v>
      </c>
      <c r="Q2694">
        <v>0.18414649999999999</v>
      </c>
      <c r="R2694">
        <v>-7.1737700000000003E-3</v>
      </c>
      <c r="S2694">
        <v>3.0749819999999999</v>
      </c>
      <c r="T2694">
        <v>-0.12787689999999999</v>
      </c>
      <c r="U2694">
        <v>-0.15164179999999999</v>
      </c>
      <c r="V2694">
        <v>2.0081040000000001E-2</v>
      </c>
      <c r="W2694">
        <v>0.1983811</v>
      </c>
      <c r="X2694">
        <v>0.97991930000000005</v>
      </c>
      <c r="Y2694">
        <v>6.2544169999999996E-2</v>
      </c>
      <c r="Z2694">
        <v>-1.8548270000000001E-3</v>
      </c>
      <c r="AA2694">
        <v>0.9980405</v>
      </c>
      <c r="AB2694">
        <v>46</v>
      </c>
      <c r="AC2694">
        <v>26.237599999999901</v>
      </c>
      <c r="AD2694">
        <v>-1.1100172565019999</v>
      </c>
      <c r="AE2694">
        <v>-1.32249999999999</v>
      </c>
      <c r="AF2694">
        <v>1.6703386032360801</v>
      </c>
      <c r="AG2694">
        <v>-1.1100172565019999</v>
      </c>
      <c r="AH2694">
        <v>26.170841328613498</v>
      </c>
      <c r="AI2694">
        <v>92.423777468241397</v>
      </c>
      <c r="AJ2694">
        <v>86.348083852633906</v>
      </c>
      <c r="AK2694">
        <v>26.247573320340599</v>
      </c>
      <c r="AL2694">
        <v>78.557694719630305</v>
      </c>
      <c r="AM2694">
        <v>88.826027996495498</v>
      </c>
      <c r="AN2694">
        <v>1.00000007175858</v>
      </c>
    </row>
    <row r="2695" spans="1:40" x14ac:dyDescent="0.25">
      <c r="A2695" t="str">
        <f>"20190312172712995"</f>
        <v>20190312172712995</v>
      </c>
      <c r="B2695" t="str">
        <f>"1552382832991400"</f>
        <v>1552382832991400</v>
      </c>
      <c r="C2695" t="s">
        <v>40</v>
      </c>
      <c r="D2695">
        <v>3.4293420000000001</v>
      </c>
      <c r="E2695">
        <v>0.52099329999999999</v>
      </c>
      <c r="F2695" t="s">
        <v>49</v>
      </c>
      <c r="G2695">
        <v>-314.19619999999998</v>
      </c>
      <c r="H2695" s="1">
        <v>2.7664939999999999E-6</v>
      </c>
      <c r="I2695">
        <v>211.70859999999999</v>
      </c>
      <c r="J2695">
        <v>-339.90260000000001</v>
      </c>
      <c r="K2695">
        <v>1.110028</v>
      </c>
      <c r="L2695">
        <v>213.02789999999999</v>
      </c>
      <c r="M2695">
        <v>0.99979949999999995</v>
      </c>
      <c r="N2695">
        <v>0</v>
      </c>
      <c r="O2695">
        <v>1.3794539999999999E-2</v>
      </c>
      <c r="P2695">
        <v>0.98290529999999998</v>
      </c>
      <c r="Q2695">
        <v>0.1839903</v>
      </c>
      <c r="R2695">
        <v>-6.6890020000000003E-3</v>
      </c>
      <c r="S2695">
        <v>3.0755919999999999</v>
      </c>
      <c r="T2695">
        <v>-0.1303753</v>
      </c>
      <c r="U2695">
        <v>-0.1541595</v>
      </c>
      <c r="V2695">
        <v>2.0010610000000002E-2</v>
      </c>
      <c r="W2695">
        <v>0.1982535</v>
      </c>
      <c r="X2695">
        <v>0.97994650000000005</v>
      </c>
      <c r="Y2695">
        <v>6.3765139999999998E-2</v>
      </c>
      <c r="Z2695">
        <v>-1.934283E-3</v>
      </c>
      <c r="AA2695">
        <v>0.99796309999999999</v>
      </c>
      <c r="AB2695">
        <v>46</v>
      </c>
      <c r="AC2695">
        <v>25.706399999999999</v>
      </c>
      <c r="AD2695">
        <v>-1.1100252335059999</v>
      </c>
      <c r="AE2695">
        <v>-1.3192999999999899</v>
      </c>
      <c r="AF2695">
        <v>1.67071275546204</v>
      </c>
      <c r="AG2695">
        <v>-1.1100252335059999</v>
      </c>
      <c r="AH2695">
        <v>25.638073593448802</v>
      </c>
      <c r="AI2695">
        <v>92.473887380982703</v>
      </c>
      <c r="AJ2695">
        <v>86.271574985802104</v>
      </c>
      <c r="AK2695">
        <v>25.716419943557099</v>
      </c>
      <c r="AL2695">
        <v>78.565153084622295</v>
      </c>
      <c r="AM2695">
        <v>88.830176770914306</v>
      </c>
      <c r="AN2695">
        <v>1.0000000088185299</v>
      </c>
    </row>
    <row r="2696" spans="1:40" x14ac:dyDescent="0.25">
      <c r="A2696" t="str">
        <f>"20190312172713016"</f>
        <v>20190312172713016</v>
      </c>
      <c r="B2696" t="str">
        <f>"1552382833011895"</f>
        <v>1552382833011895</v>
      </c>
      <c r="C2696" t="s">
        <v>40</v>
      </c>
      <c r="D2696">
        <v>3.4362849999999998</v>
      </c>
      <c r="E2696">
        <v>0.52117959999999997</v>
      </c>
      <c r="F2696" t="s">
        <v>49</v>
      </c>
      <c r="G2696">
        <v>-313.30619999999999</v>
      </c>
      <c r="H2696" s="1">
        <v>2.3718100000000002E-6</v>
      </c>
      <c r="I2696">
        <v>211.66980000000001</v>
      </c>
      <c r="J2696">
        <v>-339.47340000000003</v>
      </c>
      <c r="K2696">
        <v>1.1100319999999999</v>
      </c>
      <c r="L2696">
        <v>213.0341</v>
      </c>
      <c r="M2696">
        <v>0.99979410000000002</v>
      </c>
      <c r="N2696">
        <v>0</v>
      </c>
      <c r="O2696">
        <v>1.4171359999999999E-2</v>
      </c>
      <c r="P2696">
        <v>0.98290529999999998</v>
      </c>
      <c r="Q2696">
        <v>0.18400839999999999</v>
      </c>
      <c r="R2696">
        <v>-6.1902729999999996E-3</v>
      </c>
      <c r="S2696">
        <v>3.0751040000000001</v>
      </c>
      <c r="T2696">
        <v>-0.12834219999999999</v>
      </c>
      <c r="U2696">
        <v>-0.15702820000000001</v>
      </c>
      <c r="V2696">
        <v>1.9882529999999999E-2</v>
      </c>
      <c r="W2696">
        <v>0.19829279999999999</v>
      </c>
      <c r="X2696">
        <v>0.97994110000000001</v>
      </c>
      <c r="Y2696">
        <v>6.5078380000000005E-2</v>
      </c>
      <c r="Z2696">
        <v>-1.947491E-3</v>
      </c>
      <c r="AA2696">
        <v>0.9978783</v>
      </c>
      <c r="AB2696">
        <v>46</v>
      </c>
      <c r="AC2696">
        <v>26.167200000000001</v>
      </c>
      <c r="AD2696">
        <v>-1.11002962819</v>
      </c>
      <c r="AE2696">
        <v>-1.3642999999999801</v>
      </c>
      <c r="AF2696">
        <v>1.73191873774344</v>
      </c>
      <c r="AG2696">
        <v>-1.11002962819</v>
      </c>
      <c r="AH2696">
        <v>26.098398691933401</v>
      </c>
      <c r="AI2696">
        <v>92.430125144946004</v>
      </c>
      <c r="AJ2696">
        <v>86.203355092515906</v>
      </c>
      <c r="AK2696">
        <v>26.179345342706998</v>
      </c>
      <c r="AL2696">
        <v>78.562855121463201</v>
      </c>
      <c r="AM2696">
        <v>88.837655882598298</v>
      </c>
      <c r="AN2696">
        <v>0.99999995450012402</v>
      </c>
    </row>
    <row r="2697" spans="1:40" x14ac:dyDescent="0.25">
      <c r="A2697" t="str">
        <f>"20190312172713062"</f>
        <v>20190312172713062</v>
      </c>
      <c r="B2697" t="str">
        <f>"1552382833051914"</f>
        <v>1552382833051914</v>
      </c>
      <c r="C2697" t="s">
        <v>40</v>
      </c>
      <c r="D2697">
        <v>3.4580199999999999</v>
      </c>
      <c r="E2697">
        <v>0.5216075</v>
      </c>
      <c r="F2697" t="s">
        <v>49</v>
      </c>
      <c r="G2697">
        <v>-312.91500000000002</v>
      </c>
      <c r="H2697" s="1">
        <v>2.1983409999999998E-6</v>
      </c>
      <c r="I2697">
        <v>211.67320000000001</v>
      </c>
      <c r="J2697">
        <v>-338.51650000000001</v>
      </c>
      <c r="K2697">
        <v>1.1100380000000001</v>
      </c>
      <c r="L2697">
        <v>213.04859999999999</v>
      </c>
      <c r="M2697">
        <v>0.99978120000000004</v>
      </c>
      <c r="N2697">
        <v>0</v>
      </c>
      <c r="O2697">
        <v>1.5012289999999999E-2</v>
      </c>
      <c r="P2697">
        <v>0.9828616</v>
      </c>
      <c r="Q2697">
        <v>0.18427289999999999</v>
      </c>
      <c r="R2697">
        <v>-5.1363900000000002E-3</v>
      </c>
      <c r="S2697">
        <v>3.0752869999999999</v>
      </c>
      <c r="T2697">
        <v>-0.12853399999999901</v>
      </c>
      <c r="U2697">
        <v>-0.15759279999999901</v>
      </c>
      <c r="V2697">
        <v>1.965515E-2</v>
      </c>
      <c r="W2697">
        <v>0.19859370000000001</v>
      </c>
      <c r="X2697">
        <v>0.9798848</v>
      </c>
      <c r="Y2697">
        <v>6.6095550000000003E-2</v>
      </c>
      <c r="Z2697">
        <v>-2.0066250000000002E-3</v>
      </c>
      <c r="AA2697">
        <v>0.99781129999999996</v>
      </c>
      <c r="AB2697">
        <v>46</v>
      </c>
      <c r="AC2697">
        <v>25.601499999999898</v>
      </c>
      <c r="AD2697">
        <v>-1.110035801659</v>
      </c>
      <c r="AE2697">
        <v>-1.37539999999998</v>
      </c>
      <c r="AF2697">
        <v>1.7563306085274999</v>
      </c>
      <c r="AG2697">
        <v>-1.110035801659</v>
      </c>
      <c r="AH2697">
        <v>25.530107387575399</v>
      </c>
      <c r="AI2697">
        <v>92.4837595536452</v>
      </c>
      <c r="AJ2697">
        <v>86.064566881140294</v>
      </c>
      <c r="AK2697">
        <v>25.614512681457501</v>
      </c>
      <c r="AL2697">
        <v>78.545265545475004</v>
      </c>
      <c r="AM2697">
        <v>88.850879061328797</v>
      </c>
      <c r="AN2697">
        <v>1.0000000019361199</v>
      </c>
    </row>
    <row r="2698" spans="1:40" x14ac:dyDescent="0.25">
      <c r="A2698" t="str">
        <f>"20190312172713083"</f>
        <v>20190312172713083</v>
      </c>
      <c r="B2698" t="str">
        <f>"1552382833071432"</f>
        <v>1552382833071432</v>
      </c>
      <c r="C2698" t="s">
        <v>40</v>
      </c>
      <c r="D2698">
        <v>3.4499330000000001</v>
      </c>
      <c r="E2698">
        <v>0.52180000000000004</v>
      </c>
      <c r="F2698" t="s">
        <v>49</v>
      </c>
      <c r="G2698">
        <v>-311.88279999999997</v>
      </c>
      <c r="H2698" s="1">
        <v>1.7405929999999999E-6</v>
      </c>
      <c r="I2698">
        <v>211.68209999999999</v>
      </c>
      <c r="J2698">
        <v>-338.08850000000001</v>
      </c>
      <c r="K2698">
        <v>1.1100449999999999</v>
      </c>
      <c r="L2698">
        <v>213.05529999999999</v>
      </c>
      <c r="M2698">
        <v>0.99977530000000003</v>
      </c>
      <c r="N2698">
        <v>0</v>
      </c>
      <c r="O2698">
        <v>1.5388570000000001E-2</v>
      </c>
      <c r="P2698">
        <v>0.98278279999999996</v>
      </c>
      <c r="Q2698">
        <v>0.18471570000000001</v>
      </c>
      <c r="R2698">
        <v>-4.301231E-3</v>
      </c>
      <c r="S2698">
        <v>3.0754999999999999</v>
      </c>
      <c r="T2698">
        <v>-0.1281803</v>
      </c>
      <c r="U2698">
        <v>-0.15779109999999999</v>
      </c>
      <c r="V2698">
        <v>1.9188190000000001E-2</v>
      </c>
      <c r="W2698">
        <v>0.199048</v>
      </c>
      <c r="X2698">
        <v>0.9798019</v>
      </c>
      <c r="Y2698">
        <v>6.6531430000000003E-2</v>
      </c>
      <c r="Z2698">
        <v>-2.0257080000000002E-3</v>
      </c>
      <c r="AA2698">
        <v>0.99778230000000001</v>
      </c>
      <c r="AB2698">
        <v>46</v>
      </c>
      <c r="AC2698">
        <v>26.2057</v>
      </c>
      <c r="AD2698">
        <v>-1.110043259407</v>
      </c>
      <c r="AE2698">
        <v>-1.37319999999999</v>
      </c>
      <c r="AF2698">
        <v>1.7731756274391299</v>
      </c>
      <c r="AG2698">
        <v>-1.110043259407</v>
      </c>
      <c r="AH2698">
        <v>26.134698116202301</v>
      </c>
      <c r="AI2698">
        <v>92.426542979297594</v>
      </c>
      <c r="AJ2698">
        <v>86.118569371965094</v>
      </c>
      <c r="AK2698">
        <v>26.218291200391501</v>
      </c>
      <c r="AL2698">
        <v>78.518706134914297</v>
      </c>
      <c r="AM2698">
        <v>88.878077510237702</v>
      </c>
      <c r="AN2698">
        <v>1.00000002809154</v>
      </c>
    </row>
    <row r="2699" spans="1:40" x14ac:dyDescent="0.25">
      <c r="A2699" t="str">
        <f>"20190312172713105"</f>
        <v>20190312172713105</v>
      </c>
      <c r="B2699" t="str">
        <f>"1552382833102086"</f>
        <v>1552382833102086</v>
      </c>
      <c r="C2699" t="s">
        <v>40</v>
      </c>
      <c r="D2699">
        <v>3.4642469999999999</v>
      </c>
      <c r="E2699">
        <v>0.52223160000000002</v>
      </c>
      <c r="F2699" t="s">
        <v>49</v>
      </c>
      <c r="G2699">
        <v>-311.33479999999997</v>
      </c>
      <c r="H2699" s="1">
        <v>1.497598E-6</v>
      </c>
      <c r="I2699">
        <v>211.68960000000001</v>
      </c>
      <c r="J2699">
        <v>-337.62459999999999</v>
      </c>
      <c r="K2699">
        <v>1.1100479999999999</v>
      </c>
      <c r="L2699">
        <v>213.06270000000001</v>
      </c>
      <c r="M2699">
        <v>0.99976869999999995</v>
      </c>
      <c r="N2699">
        <v>0</v>
      </c>
      <c r="O2699">
        <v>1.5796930000000001E-2</v>
      </c>
      <c r="P2699">
        <v>0.98274819999999996</v>
      </c>
      <c r="Q2699">
        <v>0.18491299999999999</v>
      </c>
      <c r="R2699">
        <v>-3.6706780000000001E-3</v>
      </c>
      <c r="S2699">
        <v>3.0758670000000001</v>
      </c>
      <c r="T2699">
        <v>-0.1276215</v>
      </c>
      <c r="U2699">
        <v>-0.15701289999999901</v>
      </c>
      <c r="V2699">
        <v>1.895873E-2</v>
      </c>
      <c r="W2699">
        <v>0.19925680000000001</v>
      </c>
      <c r="X2699">
        <v>0.97976390000000002</v>
      </c>
      <c r="Y2699">
        <v>6.6681260000000006E-2</v>
      </c>
      <c r="Z2699">
        <v>-2.036693E-3</v>
      </c>
      <c r="AA2699">
        <v>0.99777229999999995</v>
      </c>
      <c r="AB2699">
        <v>46</v>
      </c>
      <c r="AC2699">
        <v>26.2898</v>
      </c>
      <c r="AD2699">
        <v>-1.1100465024020001</v>
      </c>
      <c r="AE2699">
        <v>-1.37309999999999</v>
      </c>
      <c r="AF2699">
        <v>1.7850971454232001</v>
      </c>
      <c r="AG2699">
        <v>-1.1100465024020001</v>
      </c>
      <c r="AH2699">
        <v>26.2182105849168</v>
      </c>
      <c r="AI2699">
        <v>92.418791004601005</v>
      </c>
      <c r="AJ2699">
        <v>86.104962036513498</v>
      </c>
      <c r="AK2699">
        <v>26.302344787701699</v>
      </c>
      <c r="AL2699">
        <v>78.506497939248902</v>
      </c>
      <c r="AM2699">
        <v>88.891447554547099</v>
      </c>
      <c r="AN2699">
        <v>1.0000000027663301</v>
      </c>
    </row>
    <row r="2700" spans="1:40" x14ac:dyDescent="0.25">
      <c r="A2700" t="str">
        <f>"20190312172713129"</f>
        <v>20190312172713129</v>
      </c>
      <c r="B2700" t="str">
        <f>"1552382833121607"</f>
        <v>1552382833121607</v>
      </c>
      <c r="C2700" t="s">
        <v>40</v>
      </c>
      <c r="D2700">
        <v>3.4907089999999998</v>
      </c>
      <c r="E2700">
        <v>0.52247730000000003</v>
      </c>
      <c r="F2700" t="s">
        <v>49</v>
      </c>
      <c r="G2700">
        <v>-310.81079999999997</v>
      </c>
      <c r="H2700" s="1">
        <v>1.265216E-6</v>
      </c>
      <c r="I2700">
        <v>211.67920000000001</v>
      </c>
      <c r="J2700">
        <v>-337.15690000000001</v>
      </c>
      <c r="K2700">
        <v>1.1100509999999999</v>
      </c>
      <c r="L2700">
        <v>213.07050000000001</v>
      </c>
      <c r="M2700">
        <v>0.99976189999999998</v>
      </c>
      <c r="N2700">
        <v>0</v>
      </c>
      <c r="O2700">
        <v>1.6208509999999999E-2</v>
      </c>
      <c r="P2700">
        <v>0.98270270000000004</v>
      </c>
      <c r="Q2700">
        <v>0.1851604</v>
      </c>
      <c r="R2700">
        <v>-3.3445329999999998E-3</v>
      </c>
      <c r="S2700">
        <v>3.0760190000000001</v>
      </c>
      <c r="T2700">
        <v>-0.12734210000000001</v>
      </c>
      <c r="U2700">
        <v>-0.1587219</v>
      </c>
      <c r="V2700">
        <v>1.9036419999999998E-2</v>
      </c>
      <c r="W2700">
        <v>0.19951289999999999</v>
      </c>
      <c r="X2700">
        <v>0.97971030000000003</v>
      </c>
      <c r="Y2700">
        <v>6.7641519999999997E-2</v>
      </c>
      <c r="Z2700">
        <v>-2.0689879999999999E-3</v>
      </c>
      <c r="AA2700">
        <v>0.99770749999999997</v>
      </c>
      <c r="AB2700">
        <v>46</v>
      </c>
      <c r="AC2700">
        <v>26.3461</v>
      </c>
      <c r="AD2700">
        <v>-1.1100497347839999</v>
      </c>
      <c r="AE2700">
        <v>-1.3913</v>
      </c>
      <c r="AF2700">
        <v>1.8149807634410799</v>
      </c>
      <c r="AG2700">
        <v>-1.1100497347839999</v>
      </c>
      <c r="AH2700">
        <v>26.2735732928125</v>
      </c>
      <c r="AI2700">
        <v>92.413543705888003</v>
      </c>
      <c r="AJ2700">
        <v>86.048280457613799</v>
      </c>
      <c r="AK2700">
        <v>26.359571680096501</v>
      </c>
      <c r="AL2700">
        <v>78.491524114384703</v>
      </c>
      <c r="AM2700">
        <v>88.886845133222394</v>
      </c>
      <c r="AN2700">
        <v>1.00000002723945</v>
      </c>
    </row>
    <row r="2701" spans="1:40" x14ac:dyDescent="0.25">
      <c r="A2701" t="str">
        <f>"20190312172713151"</f>
        <v>20190312172713151</v>
      </c>
      <c r="B2701" t="str">
        <f>"1552382833142102"</f>
        <v>1552382833142102</v>
      </c>
      <c r="C2701" t="s">
        <v>40</v>
      </c>
      <c r="D2701">
        <v>3.4687619999999999</v>
      </c>
      <c r="E2701">
        <v>0.52266009999999996</v>
      </c>
      <c r="F2701" t="s">
        <v>49</v>
      </c>
      <c r="G2701">
        <v>-310.26979999999998</v>
      </c>
      <c r="H2701" s="1">
        <v>1.0252900000000001E-6</v>
      </c>
      <c r="I2701">
        <v>211.67679999999999</v>
      </c>
      <c r="J2701">
        <v>-336.68599999999998</v>
      </c>
      <c r="K2701">
        <v>1.11005</v>
      </c>
      <c r="L2701">
        <v>213.07839999999999</v>
      </c>
      <c r="M2701">
        <v>0.99975499999999995</v>
      </c>
      <c r="N2701">
        <v>0</v>
      </c>
      <c r="O2701">
        <v>1.6623389999999998E-2</v>
      </c>
      <c r="P2701">
        <v>0.98272870000000001</v>
      </c>
      <c r="Q2701">
        <v>0.18502479999999999</v>
      </c>
      <c r="R2701">
        <v>-3.2308240000000002E-3</v>
      </c>
      <c r="S2701">
        <v>3.0762019999999999</v>
      </c>
      <c r="T2701">
        <v>-0.1270027</v>
      </c>
      <c r="U2701">
        <v>-0.15945429999999999</v>
      </c>
      <c r="V2701">
        <v>1.9331319999999999E-2</v>
      </c>
      <c r="W2701">
        <v>0.19938629999999999</v>
      </c>
      <c r="X2701">
        <v>0.9797302</v>
      </c>
      <c r="Y2701">
        <v>6.8288879999999996E-2</v>
      </c>
      <c r="Z2701">
        <v>-2.0938049999999998E-3</v>
      </c>
      <c r="AA2701">
        <v>0.99766339999999998</v>
      </c>
      <c r="AB2701">
        <v>46</v>
      </c>
      <c r="AC2701">
        <v>26.4162</v>
      </c>
      <c r="AD2701">
        <v>-1.11004897471</v>
      </c>
      <c r="AE2701">
        <v>-1.4016</v>
      </c>
      <c r="AF2701">
        <v>1.8373446991586999</v>
      </c>
      <c r="AG2701">
        <v>-1.11004897471</v>
      </c>
      <c r="AH2701">
        <v>26.342861385284401</v>
      </c>
      <c r="AI2701">
        <v>92.407090507355406</v>
      </c>
      <c r="AJ2701">
        <v>86.010232665675403</v>
      </c>
      <c r="AK2701">
        <v>26.430179534654801</v>
      </c>
      <c r="AL2701">
        <v>78.498925361978905</v>
      </c>
      <c r="AM2701">
        <v>88.869628247095704</v>
      </c>
      <c r="AN2701">
        <v>0.99999993067633297</v>
      </c>
    </row>
    <row r="2702" spans="1:40" x14ac:dyDescent="0.25">
      <c r="A2702" t="str">
        <f>"20190312172713174"</f>
        <v>20190312172713174</v>
      </c>
      <c r="B2702" t="str">
        <f>"1552382833161622"</f>
        <v>1552382833161622</v>
      </c>
      <c r="C2702" t="s">
        <v>40</v>
      </c>
      <c r="D2702">
        <v>3.4853459999999998</v>
      </c>
      <c r="E2702">
        <v>0.52280309999999997</v>
      </c>
      <c r="F2702" t="s">
        <v>49</v>
      </c>
      <c r="G2702">
        <v>-309.85570000000001</v>
      </c>
      <c r="H2702" s="1">
        <v>9.050171E-7</v>
      </c>
      <c r="I2702">
        <v>211.67920000000001</v>
      </c>
      <c r="J2702">
        <v>-336.22840000000002</v>
      </c>
      <c r="K2702">
        <v>1.1100570000000001</v>
      </c>
      <c r="L2702">
        <v>213.0864</v>
      </c>
      <c r="M2702">
        <v>0.99974810000000003</v>
      </c>
      <c r="N2702">
        <v>0</v>
      </c>
      <c r="O2702">
        <v>1.7026179999999998E-2</v>
      </c>
      <c r="P2702">
        <v>0.98272309999999996</v>
      </c>
      <c r="Q2702">
        <v>0.18505569999999999</v>
      </c>
      <c r="R2702">
        <v>-3.1590519999999999E-3</v>
      </c>
      <c r="S2702">
        <v>3.0762019999999999</v>
      </c>
      <c r="T2702">
        <v>-0.12727189999999999</v>
      </c>
      <c r="U2702">
        <v>-0.16043089999999999</v>
      </c>
      <c r="V2702">
        <v>1.9655410000000002E-2</v>
      </c>
      <c r="W2702">
        <v>0.19942370000000001</v>
      </c>
      <c r="X2702">
        <v>0.97971620000000004</v>
      </c>
      <c r="Y2702">
        <v>6.9005440000000001E-2</v>
      </c>
      <c r="Z2702">
        <v>-2.1296800000000001E-3</v>
      </c>
      <c r="AA2702">
        <v>0.997614</v>
      </c>
      <c r="AB2702">
        <v>46</v>
      </c>
      <c r="AC2702">
        <v>26.372699999999998</v>
      </c>
      <c r="AD2702">
        <v>-1.1100560949828999</v>
      </c>
      <c r="AE2702">
        <v>-1.40719999999998</v>
      </c>
      <c r="AF2702">
        <v>1.85279712105095</v>
      </c>
      <c r="AG2702">
        <v>-1.1100560949828999</v>
      </c>
      <c r="AH2702">
        <v>26.298454825344098</v>
      </c>
      <c r="AI2702">
        <v>92.411047188109194</v>
      </c>
      <c r="AJ2702">
        <v>85.970016610075305</v>
      </c>
      <c r="AK2702">
        <v>26.387000737227599</v>
      </c>
      <c r="AL2702">
        <v>78.496739273549196</v>
      </c>
      <c r="AM2702">
        <v>88.850666162188901</v>
      </c>
      <c r="AN2702">
        <v>0.99999998990319905</v>
      </c>
    </row>
    <row r="2703" spans="1:40" x14ac:dyDescent="0.25">
      <c r="A2703" t="str">
        <f>"20190312172713198"</f>
        <v>20190312172713198</v>
      </c>
      <c r="B2703" t="str">
        <f>"1552382833191409"</f>
        <v>1552382833191409</v>
      </c>
      <c r="C2703" t="s">
        <v>40</v>
      </c>
      <c r="D2703">
        <v>3.4712360000000002</v>
      </c>
      <c r="E2703">
        <v>0.52299649999999998</v>
      </c>
      <c r="F2703" t="s">
        <v>49</v>
      </c>
      <c r="G2703">
        <v>-309.2953</v>
      </c>
      <c r="H2703" s="1">
        <v>1.004428E-6</v>
      </c>
      <c r="I2703">
        <v>211.67410000000001</v>
      </c>
      <c r="J2703">
        <v>-335.7473</v>
      </c>
      <c r="K2703">
        <v>1.110058</v>
      </c>
      <c r="L2703">
        <v>213.0949</v>
      </c>
      <c r="M2703">
        <v>0.99974079999999999</v>
      </c>
      <c r="N2703">
        <v>0</v>
      </c>
      <c r="O2703">
        <v>1.7449780000000002E-2</v>
      </c>
      <c r="P2703">
        <v>0.98275800000000002</v>
      </c>
      <c r="Q2703">
        <v>0.18487519999999999</v>
      </c>
      <c r="R2703">
        <v>-2.8488849999999998E-3</v>
      </c>
      <c r="S2703">
        <v>3.0761409999999998</v>
      </c>
      <c r="T2703">
        <v>-0.12678399999999901</v>
      </c>
      <c r="U2703">
        <v>-0.16130069999999999</v>
      </c>
      <c r="V2703">
        <v>1.9762809999999999E-2</v>
      </c>
      <c r="W2703">
        <v>0.19924939999999999</v>
      </c>
      <c r="X2703">
        <v>0.97974950000000005</v>
      </c>
      <c r="Y2703">
        <v>6.9710019999999998E-2</v>
      </c>
      <c r="Z2703">
        <v>-2.1534950000000001E-3</v>
      </c>
      <c r="AA2703">
        <v>0.99756500000000004</v>
      </c>
      <c r="AB2703">
        <v>46</v>
      </c>
      <c r="AC2703">
        <v>26.452000000000002</v>
      </c>
      <c r="AD2703">
        <v>-1.1100569955720001</v>
      </c>
      <c r="AE2703">
        <v>-1.4207999999999801</v>
      </c>
      <c r="AF2703">
        <v>1.8789152055173199</v>
      </c>
      <c r="AG2703">
        <v>-1.1100569955720001</v>
      </c>
      <c r="AH2703">
        <v>26.376858747701299</v>
      </c>
      <c r="AI2703">
        <v>92.403758694225203</v>
      </c>
      <c r="AJ2703">
        <v>85.925505055781002</v>
      </c>
      <c r="AK2703">
        <v>26.466983701947001</v>
      </c>
      <c r="AL2703">
        <v>78.506930424821704</v>
      </c>
      <c r="AM2703">
        <v>88.844427001067402</v>
      </c>
      <c r="AN2703">
        <v>0.99999998740485296</v>
      </c>
    </row>
    <row r="2704" spans="1:40" x14ac:dyDescent="0.25">
      <c r="A2704" t="str">
        <f>"20190312172713218"</f>
        <v>20190312172713218</v>
      </c>
      <c r="B2704" t="str">
        <f>"1552382833211906"</f>
        <v>1552382833211906</v>
      </c>
      <c r="C2704" t="s">
        <v>40</v>
      </c>
      <c r="D2704">
        <v>3.4416579999999999</v>
      </c>
      <c r="E2704">
        <v>0.52318719999999996</v>
      </c>
      <c r="F2704" t="s">
        <v>49</v>
      </c>
      <c r="G2704">
        <v>-308.88389999999998</v>
      </c>
      <c r="H2704" s="1">
        <v>1.077398E-6</v>
      </c>
      <c r="I2704">
        <v>211.6788</v>
      </c>
      <c r="J2704">
        <v>-335.32769999999999</v>
      </c>
      <c r="K2704">
        <v>1.110055</v>
      </c>
      <c r="L2704">
        <v>213.10249999999999</v>
      </c>
      <c r="M2704">
        <v>0.99973429999999996</v>
      </c>
      <c r="N2704">
        <v>0</v>
      </c>
      <c r="O2704">
        <v>1.7819339999999999E-2</v>
      </c>
      <c r="P2704">
        <v>0.98282709999999995</v>
      </c>
      <c r="Q2704">
        <v>0.18450920000000001</v>
      </c>
      <c r="R2704">
        <v>-2.6814679999999998E-3</v>
      </c>
      <c r="S2704">
        <v>3.0760800000000001</v>
      </c>
      <c r="T2704">
        <v>-0.1271111</v>
      </c>
      <c r="U2704">
        <v>-0.1621552</v>
      </c>
      <c r="V2704">
        <v>1.9960760000000001E-2</v>
      </c>
      <c r="W2704">
        <v>0.19888810000000001</v>
      </c>
      <c r="X2704">
        <v>0.97981890000000005</v>
      </c>
      <c r="Y2704">
        <v>7.0354890000000003E-2</v>
      </c>
      <c r="Z2704">
        <v>-2.1876399999999998E-3</v>
      </c>
      <c r="AA2704">
        <v>0.99751959999999995</v>
      </c>
      <c r="AB2704">
        <v>46</v>
      </c>
      <c r="AC2704">
        <v>26.4438</v>
      </c>
      <c r="AD2704">
        <v>-1.1100539226019901</v>
      </c>
      <c r="AE2704">
        <v>-1.42369999999999</v>
      </c>
      <c r="AF2704">
        <v>1.89141204454384</v>
      </c>
      <c r="AG2704">
        <v>-1.1100539226019901</v>
      </c>
      <c r="AH2704">
        <v>26.367898687732598</v>
      </c>
      <c r="AI2704">
        <v>92.404482819605093</v>
      </c>
      <c r="AJ2704">
        <v>85.8971084233836</v>
      </c>
      <c r="AK2704">
        <v>26.458944431701301</v>
      </c>
      <c r="AL2704">
        <v>78.528054230600404</v>
      </c>
      <c r="AM2704">
        <v>88.832938280029893</v>
      </c>
      <c r="AN2704">
        <v>0.99999999252929805</v>
      </c>
    </row>
    <row r="2705" spans="1:40" x14ac:dyDescent="0.25">
      <c r="A2705" t="str">
        <f>"20190312172713243"</f>
        <v>20190312172713243</v>
      </c>
      <c r="B2705" t="str">
        <f>"1552382833232401"</f>
        <v>1552382833232401</v>
      </c>
      <c r="C2705" t="s">
        <v>40</v>
      </c>
      <c r="D2705">
        <v>3.450161</v>
      </c>
      <c r="E2705">
        <v>0.52334389999999997</v>
      </c>
      <c r="F2705" t="s">
        <v>49</v>
      </c>
      <c r="G2705">
        <v>-308.6506</v>
      </c>
      <c r="H2705" s="1">
        <v>1.1187829999999999E-6</v>
      </c>
      <c r="I2705">
        <v>211.68629999999999</v>
      </c>
      <c r="J2705">
        <v>-334.81819999999999</v>
      </c>
      <c r="K2705">
        <v>1.1100589999999999</v>
      </c>
      <c r="L2705">
        <v>213.11199999999999</v>
      </c>
      <c r="M2705">
        <v>0.999726</v>
      </c>
      <c r="N2705">
        <v>0</v>
      </c>
      <c r="O2705">
        <v>1.826852E-2</v>
      </c>
      <c r="P2705">
        <v>0.98284669999999996</v>
      </c>
      <c r="Q2705">
        <v>0.18441179999999999</v>
      </c>
      <c r="R2705">
        <v>-2.1782300000000002E-3</v>
      </c>
      <c r="S2705">
        <v>3.0760190000000001</v>
      </c>
      <c r="T2705">
        <v>-0.12799559999999999</v>
      </c>
      <c r="U2705">
        <v>-0.16329959999999999</v>
      </c>
      <c r="V2705">
        <v>1.989987E-2</v>
      </c>
      <c r="W2705">
        <v>0.19879469999999999</v>
      </c>
      <c r="X2705">
        <v>0.97983909999999996</v>
      </c>
      <c r="Y2705">
        <v>7.1172040000000006E-2</v>
      </c>
      <c r="Z2705">
        <v>-2.238529E-3</v>
      </c>
      <c r="AA2705">
        <v>0.99746159999999995</v>
      </c>
      <c r="AB2705">
        <v>46</v>
      </c>
      <c r="AC2705">
        <v>26.1676</v>
      </c>
      <c r="AD2705">
        <v>-1.1100578812170001</v>
      </c>
      <c r="AE2705">
        <v>-1.4257</v>
      </c>
      <c r="AF2705">
        <v>1.9001472645765201</v>
      </c>
      <c r="AG2705">
        <v>-1.1100578812170001</v>
      </c>
      <c r="AH2705">
        <v>26.090371987891199</v>
      </c>
      <c r="AI2705">
        <v>92.429846187013098</v>
      </c>
      <c r="AJ2705">
        <v>85.834534612931705</v>
      </c>
      <c r="AK2705">
        <v>26.1830154602801</v>
      </c>
      <c r="AL2705">
        <v>78.533514776398505</v>
      </c>
      <c r="AM2705">
        <v>88.836521383964893</v>
      </c>
      <c r="AN2705">
        <v>0.99999999973145803</v>
      </c>
    </row>
    <row r="2706" spans="1:40" x14ac:dyDescent="0.25">
      <c r="A2706" t="str">
        <f>"20190312172713264"</f>
        <v>20190312172713264</v>
      </c>
      <c r="B2706" t="str">
        <f>"1552382833251922"</f>
        <v>1552382833251922</v>
      </c>
      <c r="C2706" t="s">
        <v>40</v>
      </c>
      <c r="D2706">
        <v>3.4613079999999998</v>
      </c>
      <c r="E2706">
        <v>0.52349559999999995</v>
      </c>
      <c r="F2706" t="s">
        <v>49</v>
      </c>
      <c r="G2706">
        <v>-308.19080000000002</v>
      </c>
      <c r="H2706" s="1">
        <v>1.2003510000000001E-6</v>
      </c>
      <c r="I2706">
        <v>211.69909999999999</v>
      </c>
      <c r="J2706">
        <v>-334.37819999999999</v>
      </c>
      <c r="K2706">
        <v>1.1100639999999999</v>
      </c>
      <c r="L2706">
        <v>213.12029999999999</v>
      </c>
      <c r="M2706">
        <v>0.99971889999999997</v>
      </c>
      <c r="N2706">
        <v>0</v>
      </c>
      <c r="O2706">
        <v>1.8656610000000001E-2</v>
      </c>
      <c r="P2706">
        <v>0.98285069999999997</v>
      </c>
      <c r="Q2706">
        <v>0.18439130000000001</v>
      </c>
      <c r="R2706">
        <v>-2.080906E-3</v>
      </c>
      <c r="S2706">
        <v>3.07605</v>
      </c>
      <c r="T2706">
        <v>-0.12823579999999901</v>
      </c>
      <c r="U2706">
        <v>-0.16322329999999999</v>
      </c>
      <c r="V2706">
        <v>2.0184299999999999E-2</v>
      </c>
      <c r="W2706">
        <v>0.19877649999999999</v>
      </c>
      <c r="X2706">
        <v>0.97983699999999996</v>
      </c>
      <c r="Y2706">
        <v>7.1533109999999997E-2</v>
      </c>
      <c r="Z2706">
        <v>-2.2663879999999998E-3</v>
      </c>
      <c r="AA2706">
        <v>0.99743559999999998</v>
      </c>
      <c r="AB2706">
        <v>46</v>
      </c>
      <c r="AC2706">
        <v>26.187399999999901</v>
      </c>
      <c r="AD2706">
        <v>-1.110062799649</v>
      </c>
      <c r="AE2706">
        <v>-1.42119999999999</v>
      </c>
      <c r="AF2706">
        <v>1.90615798409894</v>
      </c>
      <c r="AG2706">
        <v>-1.110062799649</v>
      </c>
      <c r="AH2706">
        <v>26.109546496161901</v>
      </c>
      <c r="AI2706">
        <v>92.428043535182695</v>
      </c>
      <c r="AJ2706">
        <v>85.824462479604705</v>
      </c>
      <c r="AK2706">
        <v>26.2025589573757</v>
      </c>
      <c r="AL2706">
        <v>78.534579084855196</v>
      </c>
      <c r="AM2706">
        <v>88.819893857512199</v>
      </c>
      <c r="AN2706">
        <v>1.0000000247438601</v>
      </c>
    </row>
    <row r="2707" spans="1:40" x14ac:dyDescent="0.25">
      <c r="A2707" t="str">
        <f>"20190312172713286"</f>
        <v>20190312172713286</v>
      </c>
      <c r="B2707" t="str">
        <f>"1552382833282178"</f>
        <v>1552382833282178</v>
      </c>
      <c r="C2707" t="s">
        <v>40</v>
      </c>
      <c r="D2707">
        <v>3.46055</v>
      </c>
      <c r="E2707">
        <v>0.52368379999999903</v>
      </c>
      <c r="F2707" t="s">
        <v>49</v>
      </c>
      <c r="G2707">
        <v>-307.76119999999997</v>
      </c>
      <c r="H2707" s="1">
        <v>1.2765509999999999E-6</v>
      </c>
      <c r="I2707">
        <v>211.69829999999999</v>
      </c>
      <c r="J2707">
        <v>-333.93180000000001</v>
      </c>
      <c r="K2707">
        <v>1.1100680000000001</v>
      </c>
      <c r="L2707">
        <v>213.12899999999999</v>
      </c>
      <c r="M2707">
        <v>0.99971149999999998</v>
      </c>
      <c r="N2707">
        <v>0</v>
      </c>
      <c r="O2707">
        <v>1.905014E-2</v>
      </c>
      <c r="P2707">
        <v>0.9828479</v>
      </c>
      <c r="Q2707">
        <v>0.1844113</v>
      </c>
      <c r="R2707">
        <v>-1.6627180000000001E-3</v>
      </c>
      <c r="S2707">
        <v>3.07605</v>
      </c>
      <c r="T2707">
        <v>-0.1282867</v>
      </c>
      <c r="U2707">
        <v>-0.16433719999999999</v>
      </c>
      <c r="V2707">
        <v>2.0153290000000001E-2</v>
      </c>
      <c r="W2707">
        <v>0.19879849999999999</v>
      </c>
      <c r="X2707">
        <v>0.97983319999999996</v>
      </c>
      <c r="Y2707">
        <v>7.2284840000000003E-2</v>
      </c>
      <c r="Z2707">
        <v>-2.2993190000000002E-3</v>
      </c>
      <c r="AA2707">
        <v>0.99738139999999997</v>
      </c>
      <c r="AB2707">
        <v>46</v>
      </c>
      <c r="AC2707">
        <v>26.1706</v>
      </c>
      <c r="AD2707">
        <v>-1.110066723449</v>
      </c>
      <c r="AE2707">
        <v>-1.4307000000000301</v>
      </c>
      <c r="AF2707">
        <v>1.92559312944411</v>
      </c>
      <c r="AG2707">
        <v>-1.110066723449</v>
      </c>
      <c r="AH2707">
        <v>26.091788307746</v>
      </c>
      <c r="AI2707">
        <v>92.429561893902402</v>
      </c>
      <c r="AJ2707">
        <v>85.779181280979401</v>
      </c>
      <c r="AK2707">
        <v>26.186285993376501</v>
      </c>
      <c r="AL2707">
        <v>78.533293193980995</v>
      </c>
      <c r="AM2707">
        <v>88.821701824935104</v>
      </c>
      <c r="AN2707">
        <v>1.00000004926115</v>
      </c>
    </row>
    <row r="2708" spans="1:40" x14ac:dyDescent="0.25">
      <c r="A2708" t="str">
        <f>"20190312172713307"</f>
        <v>20190312172713307</v>
      </c>
      <c r="B2708" t="str">
        <f>"1552382833302205"</f>
        <v>1552382833302205</v>
      </c>
      <c r="C2708" t="s">
        <v>40</v>
      </c>
      <c r="D2708">
        <v>3.5344129999999998</v>
      </c>
      <c r="E2708">
        <v>0.53873780000000004</v>
      </c>
      <c r="F2708" t="s">
        <v>49</v>
      </c>
      <c r="G2708">
        <v>-307.13600000000002</v>
      </c>
      <c r="H2708" s="1">
        <v>1.387443E-6</v>
      </c>
      <c r="I2708">
        <v>211.69200000000001</v>
      </c>
      <c r="J2708">
        <v>-333.50850000000003</v>
      </c>
      <c r="K2708">
        <v>1.1100669999999999</v>
      </c>
      <c r="L2708">
        <v>213.13730000000001</v>
      </c>
      <c r="M2708">
        <v>0.99970420000000004</v>
      </c>
      <c r="N2708">
        <v>0</v>
      </c>
      <c r="O2708">
        <v>1.9423590000000001E-2</v>
      </c>
      <c r="P2708">
        <v>0.9828017</v>
      </c>
      <c r="Q2708">
        <v>0.18465039999999999</v>
      </c>
      <c r="R2708">
        <v>-2.2491270000000001E-3</v>
      </c>
      <c r="S2708">
        <v>3.0759889999999999</v>
      </c>
      <c r="T2708">
        <v>-0.12742880000000001</v>
      </c>
      <c r="U2708">
        <v>-0.16496279999999999</v>
      </c>
      <c r="V2708">
        <v>2.1105889999999999E-2</v>
      </c>
      <c r="W2708">
        <v>0.19903860000000001</v>
      </c>
      <c r="X2708">
        <v>0.97976430000000003</v>
      </c>
      <c r="Y2708">
        <v>7.2860960000000002E-2</v>
      </c>
      <c r="Z2708">
        <v>-2.3113650000000001E-3</v>
      </c>
      <c r="AA2708">
        <v>0.99733939999999999</v>
      </c>
      <c r="AB2708">
        <v>46</v>
      </c>
      <c r="AC2708">
        <v>26.372499999999999</v>
      </c>
      <c r="AD2708">
        <v>-1.1100656125570001</v>
      </c>
      <c r="AE2708">
        <v>-1.4453</v>
      </c>
      <c r="AF2708">
        <v>1.953879426439</v>
      </c>
      <c r="AG2708">
        <v>-1.1100656125570001</v>
      </c>
      <c r="AH2708">
        <v>26.293003381466999</v>
      </c>
      <c r="AI2708">
        <v>92.410897922802803</v>
      </c>
      <c r="AJ2708">
        <v>85.750061203342796</v>
      </c>
      <c r="AK2708">
        <v>26.388859719492999</v>
      </c>
      <c r="AL2708">
        <v>78.519254840588502</v>
      </c>
      <c r="AM2708">
        <v>88.765936443083007</v>
      </c>
      <c r="AN2708">
        <v>0.99999995321856905</v>
      </c>
    </row>
    <row r="2709" spans="1:40" x14ac:dyDescent="0.25">
      <c r="A2709" t="str">
        <f>"20190312172713330"</f>
        <v>20190312172713330</v>
      </c>
      <c r="B2709" t="str">
        <f>"1552382833321725"</f>
        <v>1552382833321725</v>
      </c>
      <c r="C2709" t="s">
        <v>40</v>
      </c>
      <c r="D2709">
        <v>3.4853450000000001</v>
      </c>
      <c r="E2709">
        <v>0.54698849999999999</v>
      </c>
      <c r="F2709" t="s">
        <v>49</v>
      </c>
      <c r="G2709">
        <v>-306.71039999999999</v>
      </c>
      <c r="H2709" s="1">
        <v>1.4629359999999999E-6</v>
      </c>
      <c r="I2709">
        <v>210.6395</v>
      </c>
      <c r="J2709">
        <v>-333.03710000000001</v>
      </c>
      <c r="K2709">
        <v>1.1100719999999999</v>
      </c>
      <c r="L2709">
        <v>213.14689999999999</v>
      </c>
      <c r="M2709">
        <v>0.99969600000000003</v>
      </c>
      <c r="N2709">
        <v>0</v>
      </c>
      <c r="O2709">
        <v>1.983917E-2</v>
      </c>
      <c r="P2709">
        <v>0.98279780000000005</v>
      </c>
      <c r="Q2709">
        <v>0.1846653</v>
      </c>
      <c r="R2709">
        <v>-2.6520929999999999E-3</v>
      </c>
      <c r="S2709">
        <v>3.075806</v>
      </c>
      <c r="T2709">
        <v>-0.127410199999999</v>
      </c>
      <c r="U2709">
        <v>-0.28669739999999999</v>
      </c>
      <c r="V2709">
        <v>2.1917599999999999E-2</v>
      </c>
      <c r="W2709">
        <v>0.19905500000000001</v>
      </c>
      <c r="X2709">
        <v>0.97974320000000004</v>
      </c>
      <c r="Y2709">
        <v>0.11243309999999999</v>
      </c>
      <c r="Z2709">
        <v>-3.1425670000000002E-3</v>
      </c>
      <c r="AA2709">
        <v>0.99365429999999999</v>
      </c>
      <c r="AB2709">
        <v>46</v>
      </c>
      <c r="AC2709">
        <v>26.326699999999999</v>
      </c>
      <c r="AD2709">
        <v>-1.1100705370640001</v>
      </c>
      <c r="AE2709">
        <v>-2.5073999999999899</v>
      </c>
      <c r="AF2709">
        <v>3.0239343174259701</v>
      </c>
      <c r="AG2709">
        <v>-1.1100705370640001</v>
      </c>
      <c r="AH2709">
        <v>26.2255599339674</v>
      </c>
      <c r="AI2709">
        <v>92.407823652750494</v>
      </c>
      <c r="AJ2709">
        <v>83.422565422991596</v>
      </c>
      <c r="AK2709">
        <v>26.422649927732099</v>
      </c>
      <c r="AL2709">
        <v>78.518296618614997</v>
      </c>
      <c r="AM2709">
        <v>88.718463620337303</v>
      </c>
      <c r="AN2709">
        <v>1.0000000060805001</v>
      </c>
    </row>
    <row r="2710" spans="1:40" x14ac:dyDescent="0.25">
      <c r="A2710" t="str">
        <f>"20190312172713351"</f>
        <v>20190312172713351</v>
      </c>
      <c r="B2710" t="str">
        <f>"1552382833341244"</f>
        <v>1552382833341244</v>
      </c>
      <c r="C2710" t="s">
        <v>40</v>
      </c>
      <c r="D2710">
        <v>3.476791</v>
      </c>
      <c r="E2710">
        <v>0.55012019999999995</v>
      </c>
      <c r="F2710" t="s">
        <v>49</v>
      </c>
      <c r="G2710">
        <v>-306.26900000000001</v>
      </c>
      <c r="H2710" s="1">
        <v>1.5412529999999999E-6</v>
      </c>
      <c r="I2710">
        <v>210.06319999999999</v>
      </c>
      <c r="J2710">
        <v>-332.57859999999999</v>
      </c>
      <c r="K2710">
        <v>1.110074</v>
      </c>
      <c r="L2710">
        <v>213.15629999999999</v>
      </c>
      <c r="M2710">
        <v>0.99968800000000002</v>
      </c>
      <c r="N2710">
        <v>0</v>
      </c>
      <c r="O2710">
        <v>2.0242650000000001E-2</v>
      </c>
      <c r="P2710">
        <v>0.98281110000000005</v>
      </c>
      <c r="Q2710">
        <v>0.1845879</v>
      </c>
      <c r="R2710">
        <v>-3.1566400000000001E-3</v>
      </c>
      <c r="S2710">
        <v>3.0755309999999998</v>
      </c>
      <c r="T2710">
        <v>-0.12754180000000001</v>
      </c>
      <c r="U2710">
        <v>-0.35429379999999999</v>
      </c>
      <c r="V2710">
        <v>2.281946E-2</v>
      </c>
      <c r="W2710">
        <v>0.19897790000000001</v>
      </c>
      <c r="X2710">
        <v>0.97973829999999995</v>
      </c>
      <c r="Y2710">
        <v>0.13439789999999999</v>
      </c>
      <c r="Z2710">
        <v>-3.61299E-3</v>
      </c>
      <c r="AA2710">
        <v>0.99092080000000005</v>
      </c>
      <c r="AB2710">
        <v>46</v>
      </c>
      <c r="AC2710">
        <v>26.3095999999999</v>
      </c>
      <c r="AD2710">
        <v>-1.1100724587469999</v>
      </c>
      <c r="AE2710">
        <v>-3.09309999999999</v>
      </c>
      <c r="AF2710">
        <v>3.6187447916409599</v>
      </c>
      <c r="AG2710">
        <v>-1.1100724587469999</v>
      </c>
      <c r="AH2710">
        <v>26.1955904759409</v>
      </c>
      <c r="AI2710">
        <v>92.403731583448703</v>
      </c>
      <c r="AJ2710">
        <v>82.134753303817703</v>
      </c>
      <c r="AK2710">
        <v>26.4676507290296</v>
      </c>
      <c r="AL2710">
        <v>78.5228046242581</v>
      </c>
      <c r="AM2710">
        <v>88.665743292293996</v>
      </c>
      <c r="AN2710">
        <v>1.00000003446499</v>
      </c>
    </row>
    <row r="2711" spans="1:40" x14ac:dyDescent="0.25">
      <c r="A2711" t="str">
        <f>"20190312172713373"</f>
        <v>20190312172713373</v>
      </c>
      <c r="B2711" t="str">
        <f>"1552382833361740"</f>
        <v>1552382833361740</v>
      </c>
      <c r="C2711" t="s">
        <v>40</v>
      </c>
      <c r="D2711">
        <v>3.5123169999999999</v>
      </c>
      <c r="E2711">
        <v>0.5512106</v>
      </c>
      <c r="F2711" t="s">
        <v>49</v>
      </c>
      <c r="G2711">
        <v>-305.84050000000002</v>
      </c>
      <c r="H2711" s="1">
        <v>1.6172459999999999E-6</v>
      </c>
      <c r="I2711">
        <v>209.84010000000001</v>
      </c>
      <c r="J2711">
        <v>-332.1429</v>
      </c>
      <c r="K2711">
        <v>1.1100749999999999</v>
      </c>
      <c r="L2711">
        <v>213.16540000000001</v>
      </c>
      <c r="M2711">
        <v>0.99968000000000001</v>
      </c>
      <c r="N2711">
        <v>0</v>
      </c>
      <c r="O2711">
        <v>2.0624839999999998E-2</v>
      </c>
      <c r="P2711">
        <v>0.98281660000000004</v>
      </c>
      <c r="Q2711">
        <v>0.18456330000000001</v>
      </c>
      <c r="R2711">
        <v>-2.8098279999999999E-3</v>
      </c>
      <c r="S2711">
        <v>3.0752259999999998</v>
      </c>
      <c r="T2711">
        <v>-0.12767300000000001</v>
      </c>
      <c r="U2711">
        <v>-0.38140869999999999</v>
      </c>
      <c r="V2711">
        <v>2.2849399999999999E-2</v>
      </c>
      <c r="W2711">
        <v>0.19895360000000001</v>
      </c>
      <c r="X2711">
        <v>0.97974249999999996</v>
      </c>
      <c r="Y2711">
        <v>0.14338799999999999</v>
      </c>
      <c r="Z2711">
        <v>-3.8168329999999999E-3</v>
      </c>
      <c r="AA2711">
        <v>0.98965919999999996</v>
      </c>
      <c r="AB2711">
        <v>46</v>
      </c>
      <c r="AC2711">
        <v>26.302399999999899</v>
      </c>
      <c r="AD2711">
        <v>-1.1100733827539999</v>
      </c>
      <c r="AE2711">
        <v>-3.3252999999999902</v>
      </c>
      <c r="AF2711">
        <v>3.8603655866165401</v>
      </c>
      <c r="AG2711">
        <v>-1.1100733827539999</v>
      </c>
      <c r="AH2711">
        <v>26.182310508600299</v>
      </c>
      <c r="AI2711">
        <v>92.401827745679498</v>
      </c>
      <c r="AJ2711">
        <v>81.612639629373902</v>
      </c>
      <c r="AK2711">
        <v>26.488640375568501</v>
      </c>
      <c r="AL2711">
        <v>78.524224894160795</v>
      </c>
      <c r="AM2711">
        <v>88.663999055951905</v>
      </c>
      <c r="AN2711">
        <v>0.99999999816978402</v>
      </c>
    </row>
    <row r="2712" spans="1:40" x14ac:dyDescent="0.25">
      <c r="A2712" t="str">
        <f>"20190312172713396"</f>
        <v>20190312172713396</v>
      </c>
      <c r="B2712" t="str">
        <f>"1552382833391520"</f>
        <v>1552382833391520</v>
      </c>
      <c r="C2712" t="s">
        <v>40</v>
      </c>
      <c r="D2712">
        <v>3.5375220000000001</v>
      </c>
      <c r="E2712">
        <v>0.55199809999999905</v>
      </c>
      <c r="F2712" t="s">
        <v>49</v>
      </c>
      <c r="G2712">
        <v>-305.3929</v>
      </c>
      <c r="H2712" s="1">
        <v>1.6966509999999999E-6</v>
      </c>
      <c r="I2712">
        <v>209.7765</v>
      </c>
      <c r="J2712">
        <v>-331.69490000000002</v>
      </c>
      <c r="K2712">
        <v>1.1100749999999999</v>
      </c>
      <c r="L2712">
        <v>213.17500000000001</v>
      </c>
      <c r="M2712">
        <v>0.99967209999999995</v>
      </c>
      <c r="N2712">
        <v>0</v>
      </c>
      <c r="O2712">
        <v>2.1012800000000002E-2</v>
      </c>
      <c r="P2712">
        <v>0.98269960000000001</v>
      </c>
      <c r="Q2712">
        <v>0.18518989999999999</v>
      </c>
      <c r="R2712">
        <v>-2.5026279999999998E-3</v>
      </c>
      <c r="S2712">
        <v>3.0752869999999999</v>
      </c>
      <c r="T2712">
        <v>-0.12761839999999999</v>
      </c>
      <c r="U2712">
        <v>-0.38960270000000002</v>
      </c>
      <c r="V2712">
        <v>2.2922049999999999E-2</v>
      </c>
      <c r="W2712">
        <v>0.19957739999999999</v>
      </c>
      <c r="X2712">
        <v>0.97961390000000004</v>
      </c>
      <c r="Y2712">
        <v>0.1463624</v>
      </c>
      <c r="Z2712">
        <v>-3.891987E-3</v>
      </c>
      <c r="AA2712">
        <v>0.98922339999999997</v>
      </c>
      <c r="AB2712">
        <v>46</v>
      </c>
      <c r="AC2712">
        <v>26.302</v>
      </c>
      <c r="AD2712">
        <v>-1.110073303349</v>
      </c>
      <c r="AE2712">
        <v>-3.3985000000000101</v>
      </c>
      <c r="AF2712">
        <v>3.9435781660743099</v>
      </c>
      <c r="AG2712">
        <v>-1.110073303349</v>
      </c>
      <c r="AH2712">
        <v>26.1789062741111</v>
      </c>
      <c r="AI2712">
        <v>92.401021128793602</v>
      </c>
      <c r="AJ2712">
        <v>81.433401635819706</v>
      </c>
      <c r="AK2712">
        <v>26.497532058654802</v>
      </c>
      <c r="AL2712">
        <v>78.487752090458301</v>
      </c>
      <c r="AM2712">
        <v>88.659576890016496</v>
      </c>
      <c r="AN2712">
        <v>0.99999997602008595</v>
      </c>
    </row>
    <row r="2713" spans="1:40" x14ac:dyDescent="0.25">
      <c r="A2713" t="str">
        <f>"20190312172713417"</f>
        <v>20190312172713417</v>
      </c>
      <c r="B2713" t="str">
        <f>"1552382833412016"</f>
        <v>1552382833412016</v>
      </c>
      <c r="C2713" t="s">
        <v>40</v>
      </c>
      <c r="D2713">
        <v>3.531304</v>
      </c>
      <c r="E2713">
        <v>0.55242060000000004</v>
      </c>
      <c r="F2713" t="s">
        <v>49</v>
      </c>
      <c r="G2713">
        <v>-305.0258</v>
      </c>
      <c r="H2713" s="1">
        <v>1.7617659999999999E-6</v>
      </c>
      <c r="I2713">
        <v>209.75059999999999</v>
      </c>
      <c r="J2713">
        <v>-331.24419999999998</v>
      </c>
      <c r="K2713">
        <v>1.1100719999999999</v>
      </c>
      <c r="L2713">
        <v>213.1848</v>
      </c>
      <c r="M2713">
        <v>0.99966410000000006</v>
      </c>
      <c r="N2713">
        <v>0</v>
      </c>
      <c r="O2713">
        <v>2.139247E-2</v>
      </c>
      <c r="P2713">
        <v>0.98261889999999996</v>
      </c>
      <c r="Q2713">
        <v>0.1856285</v>
      </c>
      <c r="R2713">
        <v>-1.470746E-3</v>
      </c>
      <c r="S2713">
        <v>3.075958</v>
      </c>
      <c r="T2713">
        <v>-0.12803349999999999</v>
      </c>
      <c r="U2713">
        <v>-0.39495849999999999</v>
      </c>
      <c r="V2713">
        <v>2.226471E-2</v>
      </c>
      <c r="W2713">
        <v>0.20001279999999999</v>
      </c>
      <c r="X2713">
        <v>0.97954030000000003</v>
      </c>
      <c r="Y2713">
        <v>0.148402799999999</v>
      </c>
      <c r="Z2713">
        <v>-3.9613820000000003E-3</v>
      </c>
      <c r="AA2713">
        <v>0.98891910000000005</v>
      </c>
      <c r="AB2713">
        <v>46</v>
      </c>
      <c r="AC2713">
        <v>26.2183999999999</v>
      </c>
      <c r="AD2713">
        <v>-1.110070238234</v>
      </c>
      <c r="AE2713">
        <v>-3.4342000000000001</v>
      </c>
      <c r="AF2713">
        <v>3.9873231093030399</v>
      </c>
      <c r="AG2713">
        <v>-1.110070238234</v>
      </c>
      <c r="AH2713">
        <v>26.092939094778</v>
      </c>
      <c r="AI2713">
        <v>92.408140472217397</v>
      </c>
      <c r="AJ2713">
        <v>81.311710264904704</v>
      </c>
      <c r="AK2713">
        <v>26.419168649213599</v>
      </c>
      <c r="AL2713">
        <v>78.462292672463903</v>
      </c>
      <c r="AM2713">
        <v>88.697905237414304</v>
      </c>
      <c r="AN2713">
        <v>1.00000001839965</v>
      </c>
    </row>
    <row r="2714" spans="1:40" x14ac:dyDescent="0.25">
      <c r="A2714" t="str">
        <f>"20190312172713442"</f>
        <v>20190312172713442</v>
      </c>
      <c r="B2714" t="str">
        <f>"1552382833431536"</f>
        <v>1552382833431536</v>
      </c>
      <c r="C2714" t="s">
        <v>40</v>
      </c>
      <c r="D2714">
        <v>3.5484140000000002</v>
      </c>
      <c r="E2714">
        <v>0.5527474</v>
      </c>
      <c r="F2714" t="s">
        <v>49</v>
      </c>
      <c r="G2714">
        <v>-304.53039999999999</v>
      </c>
      <c r="H2714" s="1">
        <v>1.849644E-6</v>
      </c>
      <c r="I2714">
        <v>209.7603</v>
      </c>
      <c r="J2714">
        <v>-330.74540000000002</v>
      </c>
      <c r="K2714">
        <v>1.110063</v>
      </c>
      <c r="L2714">
        <v>213.19579999999999</v>
      </c>
      <c r="M2714">
        <v>0.99965550000000003</v>
      </c>
      <c r="N2714">
        <v>0</v>
      </c>
      <c r="O2714">
        <v>2.179211E-2</v>
      </c>
      <c r="P2714">
        <v>0.98269150000000005</v>
      </c>
      <c r="Q2714">
        <v>0.1852483</v>
      </c>
      <c r="R2714">
        <v>-8.0980359999999999E-4</v>
      </c>
      <c r="S2714">
        <v>3.07666</v>
      </c>
      <c r="T2714">
        <v>-0.12784799999999999</v>
      </c>
      <c r="U2714">
        <v>-0.39439390000000002</v>
      </c>
      <c r="V2714">
        <v>2.2005429999999999E-2</v>
      </c>
      <c r="W2714">
        <v>0.19963210000000001</v>
      </c>
      <c r="X2714">
        <v>0.97962380000000004</v>
      </c>
      <c r="Y2714">
        <v>0.1485911</v>
      </c>
      <c r="Z2714">
        <v>-3.9752349999999997E-3</v>
      </c>
      <c r="AA2714">
        <v>0.98889070000000001</v>
      </c>
      <c r="AB2714">
        <v>46</v>
      </c>
      <c r="AC2714">
        <v>26.215</v>
      </c>
      <c r="AD2714">
        <v>-1.1100611503560001</v>
      </c>
      <c r="AE2714">
        <v>-3.43549999999999</v>
      </c>
      <c r="AF2714">
        <v>3.9989759479299898</v>
      </c>
      <c r="AG2714">
        <v>-1.1100611503560001</v>
      </c>
      <c r="AH2714">
        <v>26.087911114355201</v>
      </c>
      <c r="AI2714">
        <v>92.408413064544007</v>
      </c>
      <c r="AJ2714">
        <v>81.285054554630506</v>
      </c>
      <c r="AK2714">
        <v>26.4159639366076</v>
      </c>
      <c r="AL2714">
        <v>78.484553949602699</v>
      </c>
      <c r="AM2714">
        <v>88.713173094672896</v>
      </c>
      <c r="AN2714">
        <v>1.0000000019131601</v>
      </c>
    </row>
    <row r="2715" spans="1:40" x14ac:dyDescent="0.25">
      <c r="A2715" t="str">
        <f>"20190312172713465"</f>
        <v>20190312172713465</v>
      </c>
      <c r="B2715" t="str">
        <f>"1552382833461791"</f>
        <v>1552382833461791</v>
      </c>
      <c r="C2715" t="s">
        <v>40</v>
      </c>
      <c r="D2715">
        <v>3.5385409999999999</v>
      </c>
      <c r="E2715">
        <v>0.55337510000000001</v>
      </c>
      <c r="F2715" t="s">
        <v>49</v>
      </c>
      <c r="G2715">
        <v>-304.37700000000001</v>
      </c>
      <c r="H2715" s="1">
        <v>1.8768509999999999E-6</v>
      </c>
      <c r="I2715">
        <v>209.80670000000001</v>
      </c>
      <c r="J2715">
        <v>-330.28449999999998</v>
      </c>
      <c r="K2715">
        <v>1.110047</v>
      </c>
      <c r="L2715">
        <v>213.20609999999999</v>
      </c>
      <c r="M2715">
        <v>0.99964799999999998</v>
      </c>
      <c r="N2715">
        <v>0</v>
      </c>
      <c r="O2715">
        <v>2.2134020000000001E-2</v>
      </c>
      <c r="P2715">
        <v>0.98265590000000003</v>
      </c>
      <c r="Q2715">
        <v>0.18543860000000001</v>
      </c>
      <c r="R2715">
        <v>4.7255030000000001E-4</v>
      </c>
      <c r="S2715">
        <v>3.076965</v>
      </c>
      <c r="T2715">
        <v>-0.1295345</v>
      </c>
      <c r="U2715">
        <v>-0.39547729999999998</v>
      </c>
      <c r="V2715">
        <v>2.1068280000000002E-2</v>
      </c>
      <c r="W2715">
        <v>0.19981850000000001</v>
      </c>
      <c r="X2715">
        <v>0.97960639999999999</v>
      </c>
      <c r="Y2715">
        <v>0.14925479999999899</v>
      </c>
      <c r="Z2715">
        <v>-4.055388E-3</v>
      </c>
      <c r="AA2715">
        <v>0.98879050000000002</v>
      </c>
      <c r="AB2715">
        <v>46</v>
      </c>
      <c r="AC2715">
        <v>25.907499999999899</v>
      </c>
      <c r="AD2715">
        <v>-1.1100451231490001</v>
      </c>
      <c r="AE2715">
        <v>-3.39939999999998</v>
      </c>
      <c r="AF2715">
        <v>3.9649098257433999</v>
      </c>
      <c r="AG2715">
        <v>-1.1100451231490001</v>
      </c>
      <c r="AH2715">
        <v>25.7793758991541</v>
      </c>
      <c r="AI2715">
        <v>92.436980594126993</v>
      </c>
      <c r="AJ2715">
        <v>81.256330250726293</v>
      </c>
      <c r="AK2715">
        <v>26.106109090624599</v>
      </c>
      <c r="AL2715">
        <v>78.473654414331705</v>
      </c>
      <c r="AM2715">
        <v>88.7679363257391</v>
      </c>
      <c r="AN2715">
        <v>1.00000000214268</v>
      </c>
    </row>
    <row r="2716" spans="1:40" x14ac:dyDescent="0.25">
      <c r="A2716" t="str">
        <f>"20190312172713486"</f>
        <v>20190312172713486</v>
      </c>
      <c r="B2716" t="str">
        <f>"1552382833481313"</f>
        <v>1552382833481313</v>
      </c>
      <c r="C2716" t="s">
        <v>40</v>
      </c>
      <c r="D2716">
        <v>3.4924200000000001</v>
      </c>
      <c r="E2716">
        <v>0.55401369999999905</v>
      </c>
      <c r="F2716" t="s">
        <v>49</v>
      </c>
      <c r="G2716">
        <v>-303.928</v>
      </c>
      <c r="H2716" s="1">
        <v>1.9564960000000001E-6</v>
      </c>
      <c r="I2716">
        <v>209.80520000000001</v>
      </c>
      <c r="J2716">
        <v>-329.8535</v>
      </c>
      <c r="K2716">
        <v>1.1100219999999901</v>
      </c>
      <c r="L2716">
        <v>213.2159</v>
      </c>
      <c r="M2716">
        <v>0.99964169999999997</v>
      </c>
      <c r="N2716">
        <v>0</v>
      </c>
      <c r="O2716">
        <v>2.2421119999999999E-2</v>
      </c>
      <c r="P2716">
        <v>0.98261069999999995</v>
      </c>
      <c r="Q2716">
        <v>0.18567810000000001</v>
      </c>
      <c r="R2716">
        <v>5.5962239999999999E-4</v>
      </c>
      <c r="S2716">
        <v>3.0776669999999999</v>
      </c>
      <c r="T2716">
        <v>-0.12962069999999901</v>
      </c>
      <c r="U2716">
        <v>-0.39712520000000001</v>
      </c>
      <c r="V2716">
        <v>2.1274769999999998E-2</v>
      </c>
      <c r="W2716">
        <v>0.2000545</v>
      </c>
      <c r="X2716">
        <v>0.97955380000000003</v>
      </c>
      <c r="Y2716">
        <v>0.15003</v>
      </c>
      <c r="Z2716">
        <v>-4.0853219999999997E-3</v>
      </c>
      <c r="AA2716">
        <v>0.98867300000000002</v>
      </c>
      <c r="AB2716">
        <v>46</v>
      </c>
      <c r="AC2716">
        <v>25.9255</v>
      </c>
      <c r="AD2716">
        <v>-1.11002004350399</v>
      </c>
      <c r="AE2716">
        <v>-3.4106999999999901</v>
      </c>
      <c r="AF2716">
        <v>3.9840041219220699</v>
      </c>
      <c r="AG2716">
        <v>-1.11002004350399</v>
      </c>
      <c r="AH2716">
        <v>25.796016977684101</v>
      </c>
      <c r="AI2716">
        <v>92.435120714883894</v>
      </c>
      <c r="AJ2716">
        <v>81.2204566201723</v>
      </c>
      <c r="AK2716">
        <v>26.125445934059002</v>
      </c>
      <c r="AL2716">
        <v>78.459854323908104</v>
      </c>
      <c r="AM2716">
        <v>88.755797872622907</v>
      </c>
      <c r="AN2716">
        <v>1.0000000329516201</v>
      </c>
    </row>
    <row r="2717" spans="1:40" x14ac:dyDescent="0.25">
      <c r="A2717" t="str">
        <f>"20190312172713507"</f>
        <v>20190312172713507</v>
      </c>
      <c r="B2717" t="str">
        <f>"1552382833501808"</f>
        <v>1552382833501808</v>
      </c>
      <c r="C2717" t="s">
        <v>40</v>
      </c>
      <c r="D2717">
        <v>3.4902669999999998</v>
      </c>
      <c r="E2717">
        <v>0.55441669999999998</v>
      </c>
      <c r="F2717" t="s">
        <v>49</v>
      </c>
      <c r="G2717">
        <v>-303.45260000000002</v>
      </c>
      <c r="H2717" s="1">
        <v>2.040832E-6</v>
      </c>
      <c r="I2717">
        <v>209.77260000000001</v>
      </c>
      <c r="J2717">
        <v>-329.41930000000002</v>
      </c>
      <c r="K2717">
        <v>1.109988</v>
      </c>
      <c r="L2717">
        <v>213.22579999999999</v>
      </c>
      <c r="M2717">
        <v>0.99963590000000002</v>
      </c>
      <c r="N2717">
        <v>0</v>
      </c>
      <c r="O2717">
        <v>2.2672939999999999E-2</v>
      </c>
      <c r="P2717">
        <v>0.982595</v>
      </c>
      <c r="Q2717">
        <v>0.1857606</v>
      </c>
      <c r="R2717">
        <v>6.1710919999999998E-4</v>
      </c>
      <c r="S2717">
        <v>3.0777890000000001</v>
      </c>
      <c r="T2717">
        <v>-0.12940489999999999</v>
      </c>
      <c r="U2717">
        <v>-0.40141300000000002</v>
      </c>
      <c r="V2717">
        <v>2.148013E-2</v>
      </c>
      <c r="W2717">
        <v>0.2001329</v>
      </c>
      <c r="X2717">
        <v>0.97953330000000005</v>
      </c>
      <c r="Y2717">
        <v>0.1516274</v>
      </c>
      <c r="Z2717">
        <v>-4.1219780000000001E-3</v>
      </c>
      <c r="AA2717">
        <v>0.98842909999999995</v>
      </c>
      <c r="AB2717">
        <v>45</v>
      </c>
      <c r="AC2717">
        <v>25.966699999999999</v>
      </c>
      <c r="AD2717">
        <v>-1.1099859591679999</v>
      </c>
      <c r="AE2717">
        <v>-3.4531999999999798</v>
      </c>
      <c r="AF2717">
        <v>4.0338736908692496</v>
      </c>
      <c r="AG2717">
        <v>-1.1099859591679999</v>
      </c>
      <c r="AH2717">
        <v>25.8353332713695</v>
      </c>
      <c r="AI2717">
        <v>92.4307206564241</v>
      </c>
      <c r="AJ2717">
        <v>81.125612890058903</v>
      </c>
      <c r="AK2717">
        <v>26.171905758392398</v>
      </c>
      <c r="AL2717">
        <v>78.455269579626602</v>
      </c>
      <c r="AM2717">
        <v>88.743765450801206</v>
      </c>
      <c r="AN2717">
        <v>1.00000002972805</v>
      </c>
    </row>
    <row r="2718" spans="1:40" x14ac:dyDescent="0.25">
      <c r="A2718" t="str">
        <f>"20190312172713530"</f>
        <v>20190312172713530</v>
      </c>
      <c r="B2718" t="str">
        <f>"1552382833521328"</f>
        <v>1552382833521328</v>
      </c>
      <c r="C2718" t="s">
        <v>40</v>
      </c>
      <c r="D2718">
        <v>3.480486</v>
      </c>
      <c r="E2718">
        <v>0.56275620000000004</v>
      </c>
      <c r="F2718" t="s">
        <v>49</v>
      </c>
      <c r="G2718">
        <v>-303.04419999999999</v>
      </c>
      <c r="H2718" s="1">
        <v>2.1132759999999999E-6</v>
      </c>
      <c r="I2718">
        <v>209.76439999999999</v>
      </c>
      <c r="J2718">
        <v>-328.96850000000001</v>
      </c>
      <c r="K2718">
        <v>1.1099479999999999</v>
      </c>
      <c r="L2718">
        <v>213.2362</v>
      </c>
      <c r="M2718">
        <v>0.99963089999999999</v>
      </c>
      <c r="N2718">
        <v>0</v>
      </c>
      <c r="O2718">
        <v>2.289128E-2</v>
      </c>
      <c r="P2718">
        <v>0.98272099999999996</v>
      </c>
      <c r="Q2718">
        <v>0.18509059999999999</v>
      </c>
      <c r="R2718">
        <v>8.5510869999999995E-4</v>
      </c>
      <c r="S2718">
        <v>3.0778500000000002</v>
      </c>
      <c r="T2718">
        <v>-0.1295298</v>
      </c>
      <c r="U2718">
        <v>-0.40393069999999998</v>
      </c>
      <c r="V2718">
        <v>2.1479310000000001E-2</v>
      </c>
      <c r="W2718">
        <v>0.1994611</v>
      </c>
      <c r="X2718">
        <v>0.97967029999999999</v>
      </c>
      <c r="Y2718">
        <v>0.152634299999999</v>
      </c>
      <c r="Z2718">
        <v>-4.1558970000000004E-3</v>
      </c>
      <c r="AA2718">
        <v>0.98827399999999999</v>
      </c>
      <c r="AB2718">
        <v>45</v>
      </c>
      <c r="AC2718">
        <v>25.924299999999999</v>
      </c>
      <c r="AD2718">
        <v>-1.109945886724</v>
      </c>
      <c r="AE2718">
        <v>-3.4718</v>
      </c>
      <c r="AF2718">
        <v>4.0570879168905103</v>
      </c>
      <c r="AG2718">
        <v>-1.109945886724</v>
      </c>
      <c r="AH2718">
        <v>25.791576985282099</v>
      </c>
      <c r="AI2718">
        <v>92.434318397543095</v>
      </c>
      <c r="AJ2718">
        <v>81.060465521899104</v>
      </c>
      <c r="AK2718">
        <v>26.1323054020224</v>
      </c>
      <c r="AL2718">
        <v>78.494552524703593</v>
      </c>
      <c r="AM2718">
        <v>88.7439890045396</v>
      </c>
      <c r="AN2718">
        <v>0.99999999393668704</v>
      </c>
    </row>
    <row r="2719" spans="1:40" x14ac:dyDescent="0.25">
      <c r="A2719" t="str">
        <f>"20190312172713552"</f>
        <v>20190312172713552</v>
      </c>
      <c r="B2719" t="str">
        <f>"1552382833541824"</f>
        <v>1552382833541824</v>
      </c>
      <c r="C2719" t="s">
        <v>40</v>
      </c>
      <c r="D2719">
        <v>3.5352640000000002</v>
      </c>
      <c r="E2719">
        <v>0.56225449999999999</v>
      </c>
      <c r="F2719" t="s">
        <v>49</v>
      </c>
      <c r="G2719">
        <v>-304.08030000000002</v>
      </c>
      <c r="H2719" s="1">
        <v>1.9605000000000001E-6</v>
      </c>
      <c r="I2719">
        <v>209.44149999999999</v>
      </c>
      <c r="J2719">
        <v>-328.50049999999999</v>
      </c>
      <c r="K2719">
        <v>1.1099049999999999</v>
      </c>
      <c r="L2719">
        <v>213.24709999999999</v>
      </c>
      <c r="M2719">
        <v>0.99962689999999998</v>
      </c>
      <c r="N2719">
        <v>0</v>
      </c>
      <c r="O2719">
        <v>2.3073030000000001E-2</v>
      </c>
      <c r="P2719">
        <v>0.98274510000000004</v>
      </c>
      <c r="Q2719">
        <v>0.18496389999999999</v>
      </c>
      <c r="R2719">
        <v>9.0964599999999996E-4</v>
      </c>
      <c r="S2719">
        <v>3.0790099999999998</v>
      </c>
      <c r="T2719">
        <v>-0.13731550000000001</v>
      </c>
      <c r="U2719">
        <v>-0.46946719999999997</v>
      </c>
      <c r="V2719">
        <v>2.1624170000000002E-2</v>
      </c>
      <c r="W2719">
        <v>0.1993297</v>
      </c>
      <c r="X2719">
        <v>0.97969379999999995</v>
      </c>
      <c r="Y2719">
        <v>0.1733122</v>
      </c>
      <c r="Z2719">
        <v>-4.8636189999999996E-3</v>
      </c>
      <c r="AA2719">
        <v>0.98485489999999998</v>
      </c>
      <c r="AB2719">
        <v>45</v>
      </c>
      <c r="AC2719">
        <v>24.420199999999902</v>
      </c>
      <c r="AD2719">
        <v>-1.1099030395</v>
      </c>
      <c r="AE2719">
        <v>-3.8055999999999899</v>
      </c>
      <c r="AF2719">
        <v>4.35930328982709</v>
      </c>
      <c r="AG2719">
        <v>-1.1099030395</v>
      </c>
      <c r="AH2719">
        <v>24.2769210961285</v>
      </c>
      <c r="AI2719">
        <v>92.576499354063799</v>
      </c>
      <c r="AJ2719">
        <v>79.820128540380594</v>
      </c>
      <c r="AK2719">
        <v>24.690166217290599</v>
      </c>
      <c r="AL2719">
        <v>78.5022348173745</v>
      </c>
      <c r="AM2719">
        <v>88.735551322095404</v>
      </c>
      <c r="AN2719">
        <v>0.99999993789435704</v>
      </c>
    </row>
    <row r="2720" spans="1:40" x14ac:dyDescent="0.25">
      <c r="A2720" t="str">
        <f>"20190312172713575"</f>
        <v>20190312172713575</v>
      </c>
      <c r="B2720" t="str">
        <f>"1552382833572080"</f>
        <v>1552382833572080</v>
      </c>
      <c r="C2720" t="s">
        <v>40</v>
      </c>
      <c r="D2720">
        <v>3.5352610000000002</v>
      </c>
      <c r="E2720">
        <v>0.56256189999999995</v>
      </c>
      <c r="F2720" t="s">
        <v>49</v>
      </c>
      <c r="G2720">
        <v>-304.09739999999999</v>
      </c>
      <c r="H2720" s="1">
        <v>1.936636E-6</v>
      </c>
      <c r="I2720">
        <v>209.55889999999999</v>
      </c>
      <c r="J2720">
        <v>-328.05739999999997</v>
      </c>
      <c r="K2720">
        <v>1.109872</v>
      </c>
      <c r="L2720">
        <v>213.25739999999999</v>
      </c>
      <c r="M2720">
        <v>0.99962379999999995</v>
      </c>
      <c r="N2720">
        <v>0</v>
      </c>
      <c r="O2720">
        <v>2.3212179999999999E-2</v>
      </c>
      <c r="P2720">
        <v>0.98264119999999999</v>
      </c>
      <c r="Q2720">
        <v>0.18551609999999999</v>
      </c>
      <c r="R2720">
        <v>6.9389590000000002E-4</v>
      </c>
      <c r="S2720">
        <v>3.0794980000000001</v>
      </c>
      <c r="T2720">
        <v>-0.14006189999999999</v>
      </c>
      <c r="U2720">
        <v>-0.46542359999999999</v>
      </c>
      <c r="V2720">
        <v>2.1991920000000002E-2</v>
      </c>
      <c r="W2720">
        <v>0.19987640000000001</v>
      </c>
      <c r="X2720">
        <v>0.97957430000000001</v>
      </c>
      <c r="Y2720">
        <v>0.17215510000000001</v>
      </c>
      <c r="Z2720">
        <v>-4.9406429999999998E-3</v>
      </c>
      <c r="AA2720">
        <v>0.98505750000000003</v>
      </c>
      <c r="AB2720">
        <v>45</v>
      </c>
      <c r="AC2720">
        <v>23.959999999999901</v>
      </c>
      <c r="AD2720">
        <v>-1.109870063364</v>
      </c>
      <c r="AE2720">
        <v>-3.6984999999999899</v>
      </c>
      <c r="AF2720">
        <v>4.2448302738216599</v>
      </c>
      <c r="AG2720">
        <v>-1.109870063364</v>
      </c>
      <c r="AH2720">
        <v>23.817766861775102</v>
      </c>
      <c r="AI2720">
        <v>92.626633087145507</v>
      </c>
      <c r="AJ2720">
        <v>79.894777709014804</v>
      </c>
      <c r="AK2720">
        <v>24.218513866316801</v>
      </c>
      <c r="AL2720">
        <v>78.470268833220302</v>
      </c>
      <c r="AM2720">
        <v>88.713897898578296</v>
      </c>
      <c r="AN2720">
        <v>1.0000000145213599</v>
      </c>
    </row>
    <row r="2721" spans="1:40" x14ac:dyDescent="0.25">
      <c r="A2721" t="str">
        <f>"20190312172713596"</f>
        <v>20190312172713596</v>
      </c>
      <c r="B2721" t="str">
        <f>"1552382833591601"</f>
        <v>1552382833591601</v>
      </c>
      <c r="C2721" t="s">
        <v>40</v>
      </c>
      <c r="D2721">
        <v>3.5242110000000002</v>
      </c>
      <c r="E2721">
        <v>0.56260980000000005</v>
      </c>
      <c r="F2721" t="s">
        <v>49</v>
      </c>
      <c r="G2721">
        <v>-303.70670000000001</v>
      </c>
      <c r="H2721" s="1">
        <v>2.0065000000000002E-6</v>
      </c>
      <c r="I2721">
        <v>209.5557</v>
      </c>
      <c r="J2721">
        <v>-327.61419999999998</v>
      </c>
      <c r="K2721">
        <v>1.1098440000000001</v>
      </c>
      <c r="L2721">
        <v>213.26779999999999</v>
      </c>
      <c r="M2721">
        <v>0.99962110000000004</v>
      </c>
      <c r="N2721">
        <v>0</v>
      </c>
      <c r="O2721">
        <v>2.3323429999999999E-2</v>
      </c>
      <c r="P2721">
        <v>0.98259929999999995</v>
      </c>
      <c r="Q2721">
        <v>0.18573580000000001</v>
      </c>
      <c r="R2721">
        <v>1.033281E-3</v>
      </c>
      <c r="S2721">
        <v>3.079834</v>
      </c>
      <c r="T2721">
        <v>-0.14037439999999901</v>
      </c>
      <c r="U2721">
        <v>-0.46818539999999997</v>
      </c>
      <c r="V2721">
        <v>2.1777370000000001E-2</v>
      </c>
      <c r="W2721">
        <v>0.2000913</v>
      </c>
      <c r="X2721">
        <v>0.97953520000000005</v>
      </c>
      <c r="Y2721">
        <v>0.1731105</v>
      </c>
      <c r="Z2721">
        <v>-4.9774759999999998E-3</v>
      </c>
      <c r="AA2721">
        <v>0.98488989999999998</v>
      </c>
      <c r="AB2721">
        <v>45</v>
      </c>
      <c r="AC2721">
        <v>23.907499999999899</v>
      </c>
      <c r="AD2721">
        <v>-1.1098419934999999</v>
      </c>
      <c r="AE2721">
        <v>-3.7120999999999902</v>
      </c>
      <c r="AF2721">
        <v>4.2597905892203096</v>
      </c>
      <c r="AG2721">
        <v>-1.1098419934999999</v>
      </c>
      <c r="AH2721">
        <v>23.7643994759134</v>
      </c>
      <c r="AI2721">
        <v>92.631988092933597</v>
      </c>
      <c r="AJ2721">
        <v>79.837603604774898</v>
      </c>
      <c r="AK2721">
        <v>24.168662510890801</v>
      </c>
      <c r="AL2721">
        <v>78.457701885328802</v>
      </c>
      <c r="AM2721">
        <v>88.726389952706398</v>
      </c>
      <c r="AN2721">
        <v>0.99999999510942295</v>
      </c>
    </row>
    <row r="2722" spans="1:40" x14ac:dyDescent="0.25">
      <c r="A2722" t="str">
        <f>"20190312172713619"</f>
        <v>20190312172713619</v>
      </c>
      <c r="B2722" t="str">
        <f>"1552382833612096"</f>
        <v>1552382833612096</v>
      </c>
      <c r="C2722" t="s">
        <v>40</v>
      </c>
      <c r="D2722">
        <v>3.5994280000000001</v>
      </c>
      <c r="E2722">
        <v>0.53839289999999995</v>
      </c>
      <c r="F2722" t="s">
        <v>49</v>
      </c>
      <c r="G2722">
        <v>-303.2269</v>
      </c>
      <c r="H2722" s="1">
        <v>2.0899609999999999E-6</v>
      </c>
      <c r="I2722">
        <v>209.565</v>
      </c>
      <c r="J2722">
        <v>-327.1438</v>
      </c>
      <c r="K2722">
        <v>1.1098159999999999</v>
      </c>
      <c r="L2722">
        <v>213.27889999999999</v>
      </c>
      <c r="M2722">
        <v>0.99961889999999998</v>
      </c>
      <c r="N2722">
        <v>0</v>
      </c>
      <c r="O2722">
        <v>2.3416530000000001E-2</v>
      </c>
      <c r="P2722">
        <v>0.98244319999999896</v>
      </c>
      <c r="Q2722">
        <v>0.186554</v>
      </c>
      <c r="R2722">
        <v>1.7861450000000001E-3</v>
      </c>
      <c r="S2722">
        <v>3.080139</v>
      </c>
      <c r="T2722">
        <v>-0.1401742</v>
      </c>
      <c r="U2722">
        <v>-0.46766659999999999</v>
      </c>
      <c r="V2722">
        <v>2.1127900000000002E-2</v>
      </c>
      <c r="W2722">
        <v>0.20090279999999999</v>
      </c>
      <c r="X2722">
        <v>0.97938329999999996</v>
      </c>
      <c r="Y2722">
        <v>0.17302609999999999</v>
      </c>
      <c r="Z2722">
        <v>-4.9722639999999997E-3</v>
      </c>
      <c r="AA2722">
        <v>0.98490469999999997</v>
      </c>
      <c r="AB2722">
        <v>45</v>
      </c>
      <c r="AC2722">
        <v>23.916899999999998</v>
      </c>
      <c r="AD2722">
        <v>-1.1098139100390001</v>
      </c>
      <c r="AE2722">
        <v>-3.71389999999999</v>
      </c>
      <c r="AF2722">
        <v>4.2640268229371996</v>
      </c>
      <c r="AG2722">
        <v>-1.1098139100390001</v>
      </c>
      <c r="AH2722">
        <v>23.7733802288592</v>
      </c>
      <c r="AI2722">
        <v>92.630878313834003</v>
      </c>
      <c r="AJ2722">
        <v>79.831470877371203</v>
      </c>
      <c r="AK2722">
        <v>24.178238545592102</v>
      </c>
      <c r="AL2722">
        <v>78.410242556301995</v>
      </c>
      <c r="AM2722">
        <v>88.764169487447305</v>
      </c>
      <c r="AN2722">
        <v>0.99999998576256899</v>
      </c>
    </row>
    <row r="2723" spans="1:40" x14ac:dyDescent="0.25">
      <c r="A2723" t="str">
        <f>"20190312172713643"</f>
        <v>20190312172713643</v>
      </c>
      <c r="B2723" t="str">
        <f>"1552382833631616"</f>
        <v>1552382833631616</v>
      </c>
      <c r="C2723" t="s">
        <v>40</v>
      </c>
      <c r="D2723">
        <v>3.5004529999999998</v>
      </c>
      <c r="E2723">
        <v>0.52481369999999905</v>
      </c>
      <c r="F2723" t="s">
        <v>49</v>
      </c>
      <c r="G2723">
        <v>-299.39839999999998</v>
      </c>
      <c r="H2723" s="1">
        <v>2.5615349999999999E-6</v>
      </c>
      <c r="I2723">
        <v>210.81829999999999</v>
      </c>
      <c r="J2723">
        <v>-326.67759999999998</v>
      </c>
      <c r="K2723">
        <v>1.1097900000000001</v>
      </c>
      <c r="L2723">
        <v>213.28989999999999</v>
      </c>
      <c r="M2723">
        <v>0.99961730000000004</v>
      </c>
      <c r="N2723">
        <v>0</v>
      </c>
      <c r="O2723">
        <v>2.3489010000000001E-2</v>
      </c>
      <c r="P2723">
        <v>0.98248489999999999</v>
      </c>
      <c r="Q2723">
        <v>0.1863351</v>
      </c>
      <c r="R2723">
        <v>1.732347E-3</v>
      </c>
      <c r="S2723">
        <v>3.0774840000000001</v>
      </c>
      <c r="T2723">
        <v>-0.1230991</v>
      </c>
      <c r="U2723">
        <v>-0.27293400000000001</v>
      </c>
      <c r="V2723">
        <v>2.1267970000000001E-2</v>
      </c>
      <c r="W2723">
        <v>0.2006809</v>
      </c>
      <c r="X2723">
        <v>0.97942580000000001</v>
      </c>
      <c r="Y2723">
        <v>0.11160870000000001</v>
      </c>
      <c r="Z2723">
        <v>-3.164535E-3</v>
      </c>
      <c r="AA2723">
        <v>0.99374720000000005</v>
      </c>
      <c r="AB2723">
        <v>45</v>
      </c>
      <c r="AC2723">
        <v>27.279199999999999</v>
      </c>
      <c r="AD2723">
        <v>-1.1097874384649999</v>
      </c>
      <c r="AE2723">
        <v>-2.4715999999999898</v>
      </c>
      <c r="AF2723">
        <v>3.10664789357106</v>
      </c>
      <c r="AG2723">
        <v>-1.1097874384649999</v>
      </c>
      <c r="AH2723">
        <v>27.169009808962102</v>
      </c>
      <c r="AI2723">
        <v>92.323965119523905</v>
      </c>
      <c r="AJ2723">
        <v>83.476829700597406</v>
      </c>
      <c r="AK2723">
        <v>27.368558297665</v>
      </c>
      <c r="AL2723">
        <v>78.423221254038097</v>
      </c>
      <c r="AM2723">
        <v>88.756032928524505</v>
      </c>
      <c r="AN2723">
        <v>1.00000002393918</v>
      </c>
    </row>
    <row r="2724" spans="1:40" x14ac:dyDescent="0.25">
      <c r="A2724" t="str">
        <f>"20190312172713664"</f>
        <v>20190312172713664</v>
      </c>
      <c r="B2724" t="str">
        <f>"1552382833661872"</f>
        <v>1552382833661872</v>
      </c>
      <c r="C2724" t="s">
        <v>40</v>
      </c>
      <c r="D2724">
        <v>3.5544699999999998</v>
      </c>
      <c r="E2724">
        <v>0.51612159999999996</v>
      </c>
      <c r="F2724" t="s">
        <v>49</v>
      </c>
      <c r="G2724">
        <v>-295.2165</v>
      </c>
      <c r="H2724" s="1">
        <v>1.819734E-6</v>
      </c>
      <c r="I2724">
        <v>211.60069999999999</v>
      </c>
      <c r="J2724">
        <v>-326.23399999999998</v>
      </c>
      <c r="K2724">
        <v>1.109761</v>
      </c>
      <c r="L2724">
        <v>213.3004</v>
      </c>
      <c r="M2724">
        <v>0.99961599999999995</v>
      </c>
      <c r="N2724">
        <v>0</v>
      </c>
      <c r="O2724">
        <v>2.3543060000000001E-2</v>
      </c>
      <c r="P2724">
        <v>0.98238639999999999</v>
      </c>
      <c r="Q2724">
        <v>0.18684819999999999</v>
      </c>
      <c r="R2724">
        <v>2.2318110000000002E-3</v>
      </c>
      <c r="S2724">
        <v>3.074341</v>
      </c>
      <c r="T2724">
        <v>-0.1084474</v>
      </c>
      <c r="U2724">
        <v>-0.16506960000000001</v>
      </c>
      <c r="V2724">
        <v>2.083171E-2</v>
      </c>
      <c r="W2724">
        <v>0.2011887</v>
      </c>
      <c r="X2724">
        <v>0.97933099999999995</v>
      </c>
      <c r="Y2724">
        <v>7.7049889999999996E-2</v>
      </c>
      <c r="Z2724">
        <v>-2.1873579999999999E-3</v>
      </c>
      <c r="AA2724">
        <v>0.99702480000000004</v>
      </c>
      <c r="AB2724">
        <v>45</v>
      </c>
      <c r="AC2724">
        <v>31.017499999999998</v>
      </c>
      <c r="AD2724">
        <v>-1.1097591802660001</v>
      </c>
      <c r="AE2724">
        <v>-1.6997</v>
      </c>
      <c r="AF2724">
        <v>2.4264568325426499</v>
      </c>
      <c r="AG2724">
        <v>-1.1097591802660001</v>
      </c>
      <c r="AH2724">
        <v>30.929406236029099</v>
      </c>
      <c r="AI2724">
        <v>92.048624220295295</v>
      </c>
      <c r="AJ2724">
        <v>85.5142505512122</v>
      </c>
      <c r="AK2724">
        <v>31.044281732900401</v>
      </c>
      <c r="AL2724">
        <v>78.393520778965396</v>
      </c>
      <c r="AM2724">
        <v>88.781424162619899</v>
      </c>
      <c r="AN2724">
        <v>1.0000000303551</v>
      </c>
    </row>
    <row r="2725" spans="1:40" x14ac:dyDescent="0.25">
      <c r="A2725" t="str">
        <f>"20190312172713686"</f>
        <v>20190312172713686</v>
      </c>
      <c r="B2725" t="str">
        <f>"1552382833681392"</f>
        <v>1552382833681392</v>
      </c>
      <c r="C2725" t="s">
        <v>40</v>
      </c>
      <c r="D2725">
        <v>3.547339</v>
      </c>
      <c r="E2725">
        <v>0.51307550000000002</v>
      </c>
      <c r="F2725" t="s">
        <v>49</v>
      </c>
      <c r="G2725">
        <v>-290.37720000000002</v>
      </c>
      <c r="H2725" s="1">
        <v>9.6131950000000002E-7</v>
      </c>
      <c r="I2725">
        <v>212.19</v>
      </c>
      <c r="J2725">
        <v>-325.8075</v>
      </c>
      <c r="K2725">
        <v>1.1097399999999999</v>
      </c>
      <c r="L2725">
        <v>213.31049999999999</v>
      </c>
      <c r="M2725">
        <v>0.99961509999999998</v>
      </c>
      <c r="N2725">
        <v>0</v>
      </c>
      <c r="O2725">
        <v>2.3582659999999998E-2</v>
      </c>
      <c r="P2725">
        <v>0.9824079</v>
      </c>
      <c r="Q2725">
        <v>0.18673300000000001</v>
      </c>
      <c r="R2725">
        <v>2.4052069999999999E-3</v>
      </c>
      <c r="S2725">
        <v>3.0721129999999999</v>
      </c>
      <c r="T2725">
        <v>-9.5081209999999999E-2</v>
      </c>
      <c r="U2725">
        <v>-9.5138550000000002E-2</v>
      </c>
      <c r="V2725">
        <v>2.070926E-2</v>
      </c>
      <c r="W2725">
        <v>0.20107050000000001</v>
      </c>
      <c r="X2725">
        <v>0.97935779999999995</v>
      </c>
      <c r="Y2725">
        <v>5.4481519999999999E-2</v>
      </c>
      <c r="Z2725">
        <v>-1.572314E-3</v>
      </c>
      <c r="AA2725">
        <v>0.99851350000000005</v>
      </c>
      <c r="AB2725">
        <v>45</v>
      </c>
      <c r="AC2725">
        <v>35.430299999999903</v>
      </c>
      <c r="AD2725">
        <v>-1.1097390386804999</v>
      </c>
      <c r="AE2725">
        <v>-1.1204999999999901</v>
      </c>
      <c r="AF2725">
        <v>1.95390327706225</v>
      </c>
      <c r="AG2725">
        <v>-1.1097390386804999</v>
      </c>
      <c r="AH2725">
        <v>35.359362481052301</v>
      </c>
      <c r="AI2725">
        <v>91.794877959781601</v>
      </c>
      <c r="AJ2725">
        <v>86.837141138196998</v>
      </c>
      <c r="AK2725">
        <v>35.430689716918302</v>
      </c>
      <c r="AL2725">
        <v>78.400433594332497</v>
      </c>
      <c r="AM2725">
        <v>88.788618021620195</v>
      </c>
      <c r="AN2725">
        <v>0.99999995992041801</v>
      </c>
    </row>
    <row r="2726" spans="1:40" x14ac:dyDescent="0.25">
      <c r="A2726" t="str">
        <f>"20190312172713709"</f>
        <v>20190312172713709</v>
      </c>
      <c r="B2726" t="str">
        <f>"1552382833701889"</f>
        <v>1552382833701889</v>
      </c>
      <c r="C2726" t="s">
        <v>40</v>
      </c>
      <c r="D2726">
        <v>3.5281769999999999</v>
      </c>
      <c r="E2726">
        <v>0.5111985</v>
      </c>
      <c r="F2726" t="s">
        <v>49</v>
      </c>
      <c r="G2726">
        <v>-289.51760000000002</v>
      </c>
      <c r="H2726" s="1">
        <v>3.1252039999999999E-6</v>
      </c>
      <c r="I2726">
        <v>212.4776</v>
      </c>
      <c r="J2726">
        <v>-325.35289999999998</v>
      </c>
      <c r="K2726">
        <v>1.1097220000000001</v>
      </c>
      <c r="L2726">
        <v>213.32130000000001</v>
      </c>
      <c r="M2726">
        <v>0.99961449999999996</v>
      </c>
      <c r="N2726">
        <v>0</v>
      </c>
      <c r="O2726">
        <v>2.3613559999999999E-2</v>
      </c>
      <c r="P2726">
        <v>0.98244509999999996</v>
      </c>
      <c r="Q2726">
        <v>0.18653149999999999</v>
      </c>
      <c r="R2726">
        <v>2.7611739999999999E-3</v>
      </c>
      <c r="S2726">
        <v>3.0717159999999999</v>
      </c>
      <c r="T2726">
        <v>-9.3932269999999998E-2</v>
      </c>
      <c r="U2726">
        <v>-7.049561E-2</v>
      </c>
      <c r="V2726">
        <v>2.0396419999999998E-2</v>
      </c>
      <c r="W2726">
        <v>0.20086589999999999</v>
      </c>
      <c r="X2726">
        <v>0.97940640000000001</v>
      </c>
      <c r="Y2726">
        <v>4.6514560000000003E-2</v>
      </c>
      <c r="Z2726">
        <v>-1.4328500000000001E-3</v>
      </c>
      <c r="AA2726">
        <v>0.99891660000000004</v>
      </c>
      <c r="AB2726">
        <v>45</v>
      </c>
      <c r="AC2726">
        <v>35.835299999999897</v>
      </c>
      <c r="AD2726">
        <v>-1.1097188747959901</v>
      </c>
      <c r="AE2726">
        <v>-0.843700000000012</v>
      </c>
      <c r="AF2726">
        <v>1.68813597037956</v>
      </c>
      <c r="AG2726">
        <v>-1.1097188747959901</v>
      </c>
      <c r="AH2726">
        <v>35.7710963924388</v>
      </c>
      <c r="AI2726">
        <v>91.774930347015001</v>
      </c>
      <c r="AJ2726">
        <v>87.298059993733105</v>
      </c>
      <c r="AK2726">
        <v>35.828098137533203</v>
      </c>
      <c r="AL2726">
        <v>78.412401051065402</v>
      </c>
      <c r="AM2726">
        <v>88.806971360166003</v>
      </c>
      <c r="AN2726">
        <v>1.00000001004629</v>
      </c>
    </row>
    <row r="2727" spans="1:40" x14ac:dyDescent="0.25">
      <c r="A2727" t="str">
        <f>"20190312172713732"</f>
        <v>20190312172713732</v>
      </c>
      <c r="B2727" t="str">
        <f>"1552382833721408"</f>
        <v>1552382833721408</v>
      </c>
      <c r="C2727" t="s">
        <v>40</v>
      </c>
      <c r="D2727">
        <v>3.5516139999999998</v>
      </c>
      <c r="E2727">
        <v>0.50978349999999995</v>
      </c>
      <c r="F2727" t="s">
        <v>49</v>
      </c>
      <c r="G2727">
        <v>-289.27199999999999</v>
      </c>
      <c r="H2727" s="1">
        <v>3.209801E-6</v>
      </c>
      <c r="I2727">
        <v>212.6816</v>
      </c>
      <c r="J2727">
        <v>-324.8732</v>
      </c>
      <c r="K2727">
        <v>1.109702</v>
      </c>
      <c r="L2727">
        <v>213.33269999999999</v>
      </c>
      <c r="M2727">
        <v>0.99961390000000006</v>
      </c>
      <c r="N2727">
        <v>0</v>
      </c>
      <c r="O2727">
        <v>2.3636190000000001E-2</v>
      </c>
      <c r="P2727">
        <v>0.98237070000000004</v>
      </c>
      <c r="Q2727">
        <v>0.1869229</v>
      </c>
      <c r="R2727">
        <v>2.7723090000000001E-3</v>
      </c>
      <c r="S2727">
        <v>3.0716860000000001</v>
      </c>
      <c r="T2727">
        <v>-9.4474080000000002E-2</v>
      </c>
      <c r="U2727">
        <v>-5.4458619999999999E-2</v>
      </c>
      <c r="V2727">
        <v>2.0416500000000001E-2</v>
      </c>
      <c r="W2727">
        <v>0.20125170000000001</v>
      </c>
      <c r="X2727">
        <v>0.97932680000000005</v>
      </c>
      <c r="Y2727">
        <v>4.1325779999999999E-2</v>
      </c>
      <c r="Z2727">
        <v>-1.3621169999999999E-3</v>
      </c>
      <c r="AA2727">
        <v>0.99914480000000006</v>
      </c>
      <c r="AB2727">
        <v>45</v>
      </c>
      <c r="AC2727">
        <v>35.601199999999999</v>
      </c>
      <c r="AD2727">
        <v>-1.1096987901990001</v>
      </c>
      <c r="AE2727">
        <v>-0.65109999999998502</v>
      </c>
      <c r="AF2727">
        <v>1.4910363957614401</v>
      </c>
      <c r="AG2727">
        <v>-1.1096987901990001</v>
      </c>
      <c r="AH2727">
        <v>35.541340770818998</v>
      </c>
      <c r="AI2727">
        <v>91.786780810487201</v>
      </c>
      <c r="AJ2727">
        <v>87.5977263368747</v>
      </c>
      <c r="AK2727">
        <v>35.589907624577201</v>
      </c>
      <c r="AL2727">
        <v>78.389835776156104</v>
      </c>
      <c r="AM2727">
        <v>88.805700142464801</v>
      </c>
      <c r="AN2727">
        <v>1.0000000307116801</v>
      </c>
    </row>
    <row r="2728" spans="1:40" x14ac:dyDescent="0.25">
      <c r="A2728" t="str">
        <f>"20190312172713754"</f>
        <v>20190312172713754</v>
      </c>
      <c r="B2728" t="str">
        <f>"1552382833741905"</f>
        <v>1552382833741905</v>
      </c>
      <c r="C2728" t="s">
        <v>40</v>
      </c>
      <c r="D2728">
        <v>3.5462050000000001</v>
      </c>
      <c r="E2728">
        <v>0.50882850000000002</v>
      </c>
      <c r="F2728" t="s">
        <v>49</v>
      </c>
      <c r="G2728">
        <v>-288.18709999999999</v>
      </c>
      <c r="H2728" s="1">
        <v>3.6753889999999999E-6</v>
      </c>
      <c r="I2728">
        <v>212.81180000000001</v>
      </c>
      <c r="J2728">
        <v>-324.44</v>
      </c>
      <c r="K2728">
        <v>1.1096900000000001</v>
      </c>
      <c r="L2728">
        <v>213.34289999999999</v>
      </c>
      <c r="M2728">
        <v>0.99961359999999999</v>
      </c>
      <c r="N2728">
        <v>0</v>
      </c>
      <c r="O2728">
        <v>2.365022E-2</v>
      </c>
      <c r="P2728">
        <v>0.98233570000000003</v>
      </c>
      <c r="Q2728">
        <v>0.18710570000000001</v>
      </c>
      <c r="R2728">
        <v>2.848986E-3</v>
      </c>
      <c r="S2728">
        <v>3.0716860000000001</v>
      </c>
      <c r="T2728">
        <v>-9.2913869999999996E-2</v>
      </c>
      <c r="U2728">
        <v>-4.3609620000000002E-2</v>
      </c>
      <c r="V2728">
        <v>2.0361170000000001E-2</v>
      </c>
      <c r="W2728">
        <v>0.20143059999999999</v>
      </c>
      <c r="X2728">
        <v>0.97929109999999997</v>
      </c>
      <c r="Y2728">
        <v>3.7814149999999998E-2</v>
      </c>
      <c r="Z2728">
        <v>-1.2869909999999999E-3</v>
      </c>
      <c r="AA2728">
        <v>0.99928399999999995</v>
      </c>
      <c r="AB2728">
        <v>45</v>
      </c>
      <c r="AC2728">
        <v>36.252899999999997</v>
      </c>
      <c r="AD2728">
        <v>-1.109686324611</v>
      </c>
      <c r="AE2728">
        <v>-0.53109999999998003</v>
      </c>
      <c r="AF2728">
        <v>1.38713254949357</v>
      </c>
      <c r="AG2728">
        <v>-1.109686324611</v>
      </c>
      <c r="AH2728">
        <v>36.196289003872501</v>
      </c>
      <c r="AI2728">
        <v>91.754705918006096</v>
      </c>
      <c r="AJ2728">
        <v>87.805356013105694</v>
      </c>
      <c r="AK2728">
        <v>36.2398520706246</v>
      </c>
      <c r="AL2728">
        <v>78.379370441543699</v>
      </c>
      <c r="AM2728">
        <v>88.808892428943295</v>
      </c>
      <c r="AN2728">
        <v>0.99999996119966805</v>
      </c>
    </row>
    <row r="2729" spans="1:40" x14ac:dyDescent="0.25">
      <c r="A2729" t="str">
        <f>"20190312172713776"</f>
        <v>20190312172713776</v>
      </c>
      <c r="B2729" t="str">
        <f>"1552382833772161"</f>
        <v>1552382833772161</v>
      </c>
      <c r="C2729" t="s">
        <v>40</v>
      </c>
      <c r="D2729">
        <v>3.5344199999999999</v>
      </c>
      <c r="E2729">
        <v>0.50770590000000004</v>
      </c>
      <c r="F2729" t="s">
        <v>49</v>
      </c>
      <c r="G2729">
        <v>-287.60879999999997</v>
      </c>
      <c r="H2729" s="1">
        <v>3.9201900000000003E-6</v>
      </c>
      <c r="I2729">
        <v>212.90969999999999</v>
      </c>
      <c r="J2729">
        <v>-323.99709999999999</v>
      </c>
      <c r="K2729">
        <v>1.1096839999999999</v>
      </c>
      <c r="L2729">
        <v>213.35339999999999</v>
      </c>
      <c r="M2729">
        <v>0.99961350000000004</v>
      </c>
      <c r="N2729">
        <v>0</v>
      </c>
      <c r="O2729">
        <v>2.365917E-2</v>
      </c>
      <c r="P2729">
        <v>0.98241279999999997</v>
      </c>
      <c r="Q2729">
        <v>0.1866999</v>
      </c>
      <c r="R2729">
        <v>2.9000409999999999E-3</v>
      </c>
      <c r="S2729">
        <v>3.0716549999999998</v>
      </c>
      <c r="T2729">
        <v>-9.2545630000000004E-2</v>
      </c>
      <c r="U2729">
        <v>-3.6132810000000001E-2</v>
      </c>
      <c r="V2729">
        <v>2.032747E-2</v>
      </c>
      <c r="W2729">
        <v>0.20102329999999999</v>
      </c>
      <c r="X2729">
        <v>0.97937549999999995</v>
      </c>
      <c r="Y2729">
        <v>3.5392460000000001E-2</v>
      </c>
      <c r="Z2729">
        <v>-1.2457189999999999E-3</v>
      </c>
      <c r="AA2729">
        <v>0.9993727</v>
      </c>
      <c r="AB2729">
        <v>45</v>
      </c>
      <c r="AC2729">
        <v>36.388300000000001</v>
      </c>
      <c r="AD2729">
        <v>-1.1096800798099999</v>
      </c>
      <c r="AE2729">
        <v>-0.44370000000000598</v>
      </c>
      <c r="AF2729">
        <v>1.3033725669515901</v>
      </c>
      <c r="AG2729">
        <v>-1.1096800798099999</v>
      </c>
      <c r="AH2729">
        <v>36.333828830716101</v>
      </c>
      <c r="AI2729">
        <v>91.748216458981602</v>
      </c>
      <c r="AJ2729">
        <v>87.945558112712902</v>
      </c>
      <c r="AK2729">
        <v>36.374129370028697</v>
      </c>
      <c r="AL2729">
        <v>78.403194462100402</v>
      </c>
      <c r="AM2729">
        <v>88.810965725106996</v>
      </c>
      <c r="AN2729">
        <v>0.99999997158986997</v>
      </c>
    </row>
    <row r="2730" spans="1:40" x14ac:dyDescent="0.25">
      <c r="A2730" t="str">
        <f>"20190312172713797"</f>
        <v>20190312172713797</v>
      </c>
      <c r="B2730" t="str">
        <f>"1552382833791682"</f>
        <v>1552382833791682</v>
      </c>
      <c r="C2730" t="s">
        <v>40</v>
      </c>
      <c r="D2730">
        <v>3.500543</v>
      </c>
      <c r="E2730">
        <v>0.50743130000000003</v>
      </c>
      <c r="F2730" t="s">
        <v>49</v>
      </c>
      <c r="G2730">
        <v>-287.15789999999998</v>
      </c>
      <c r="H2730" s="1">
        <v>4.106063E-6</v>
      </c>
      <c r="I2730">
        <v>213.02780000000001</v>
      </c>
      <c r="J2730">
        <v>-323.56220000000002</v>
      </c>
      <c r="K2730">
        <v>1.109674</v>
      </c>
      <c r="L2730">
        <v>213.36369999999999</v>
      </c>
      <c r="M2730">
        <v>0.99961359999999999</v>
      </c>
      <c r="N2730">
        <v>0</v>
      </c>
      <c r="O2730">
        <v>2.365896E-2</v>
      </c>
      <c r="P2730">
        <v>0.9823305</v>
      </c>
      <c r="Q2730">
        <v>0.18713360000000001</v>
      </c>
      <c r="R2730">
        <v>2.8934939999999999E-3</v>
      </c>
      <c r="S2730">
        <v>3.0713499999999998</v>
      </c>
      <c r="T2730">
        <v>-9.251595E-2</v>
      </c>
      <c r="U2730">
        <v>-2.7145389999999998E-2</v>
      </c>
      <c r="V2730">
        <v>2.0338249999999999E-2</v>
      </c>
      <c r="W2730">
        <v>0.2014521</v>
      </c>
      <c r="X2730">
        <v>0.97928720000000002</v>
      </c>
      <c r="Y2730">
        <v>3.2470539999999999E-2</v>
      </c>
      <c r="Z2730">
        <v>-1.201452E-3</v>
      </c>
      <c r="AA2730">
        <v>0.99947200000000003</v>
      </c>
      <c r="AB2730">
        <v>45</v>
      </c>
      <c r="AC2730">
        <v>36.404299999999999</v>
      </c>
      <c r="AD2730">
        <v>-1.109669893937</v>
      </c>
      <c r="AE2730">
        <v>-0.33589999999998099</v>
      </c>
      <c r="AF2730">
        <v>1.19607430688936</v>
      </c>
      <c r="AG2730">
        <v>-1.109669893937</v>
      </c>
      <c r="AH2730">
        <v>36.352386260230098</v>
      </c>
      <c r="AI2730">
        <v>91.747486676814006</v>
      </c>
      <c r="AJ2730">
        <v>88.115521326949207</v>
      </c>
      <c r="AK2730">
        <v>36.388981132124002</v>
      </c>
      <c r="AL2730">
        <v>78.378113335691694</v>
      </c>
      <c r="AM2730">
        <v>88.810228102956003</v>
      </c>
      <c r="AN2730">
        <v>1.00000000654565</v>
      </c>
    </row>
    <row r="2731" spans="1:40" x14ac:dyDescent="0.25">
      <c r="A2731" t="str">
        <f>"20190312172713820"</f>
        <v>20190312172713820</v>
      </c>
      <c r="B2731" t="str">
        <f>"1552382833812176"</f>
        <v>1552382833812176</v>
      </c>
      <c r="C2731" t="s">
        <v>40</v>
      </c>
      <c r="D2731">
        <v>3.4974919999999998</v>
      </c>
      <c r="E2731">
        <v>0.50725730000000002</v>
      </c>
      <c r="F2731" t="s">
        <v>49</v>
      </c>
      <c r="G2731">
        <v>-286.17160000000001</v>
      </c>
      <c r="H2731" s="1">
        <v>4.5389800000000004E-6</v>
      </c>
      <c r="I2731">
        <v>213.065</v>
      </c>
      <c r="J2731">
        <v>-323.10270000000003</v>
      </c>
      <c r="K2731">
        <v>1.109659</v>
      </c>
      <c r="L2731">
        <v>213.37459999999999</v>
      </c>
      <c r="M2731">
        <v>0.99961409999999995</v>
      </c>
      <c r="N2731">
        <v>0</v>
      </c>
      <c r="O2731">
        <v>2.36385E-2</v>
      </c>
      <c r="P2731">
        <v>0.98231259999999998</v>
      </c>
      <c r="Q2731">
        <v>0.18723190000000001</v>
      </c>
      <c r="R2731">
        <v>2.457557E-3</v>
      </c>
      <c r="S2731">
        <v>3.0713810000000001</v>
      </c>
      <c r="T2731">
        <v>-9.1151830000000003E-2</v>
      </c>
      <c r="U2731">
        <v>-2.453613E-2</v>
      </c>
      <c r="V2731">
        <v>2.0762760000000002E-2</v>
      </c>
      <c r="W2731">
        <v>0.20154639999999999</v>
      </c>
      <c r="X2731">
        <v>0.97925890000000004</v>
      </c>
      <c r="Y2731">
        <v>3.1602089999999999E-2</v>
      </c>
      <c r="Z2731">
        <v>-1.1702450000000001E-3</v>
      </c>
      <c r="AA2731">
        <v>0.9994999</v>
      </c>
      <c r="AB2731">
        <v>45</v>
      </c>
      <c r="AC2731">
        <v>36.931100000000001</v>
      </c>
      <c r="AD2731">
        <v>-1.1096544610200001</v>
      </c>
      <c r="AE2731">
        <v>-0.309599999999989</v>
      </c>
      <c r="AF2731">
        <v>1.18153559696979</v>
      </c>
      <c r="AG2731">
        <v>-1.1096544610200001</v>
      </c>
      <c r="AH2731">
        <v>36.880165911397</v>
      </c>
      <c r="AI2731">
        <v>91.722518517825193</v>
      </c>
      <c r="AJ2731">
        <v>88.165033841450196</v>
      </c>
      <c r="AK2731">
        <v>36.915768948268401</v>
      </c>
      <c r="AL2731">
        <v>78.372597340111497</v>
      </c>
      <c r="AM2731">
        <v>88.785366868801603</v>
      </c>
      <c r="AN2731">
        <v>1.00000001839249</v>
      </c>
    </row>
    <row r="2732" spans="1:40" x14ac:dyDescent="0.25">
      <c r="A2732" t="str">
        <f>"20190312172713843"</f>
        <v>20190312172713843</v>
      </c>
      <c r="B2732" t="str">
        <f>"1552382833831696"</f>
        <v>1552382833831696</v>
      </c>
      <c r="C2732" t="s">
        <v>40</v>
      </c>
      <c r="D2732">
        <v>3.502437</v>
      </c>
      <c r="E2732">
        <v>0.50710329999999904</v>
      </c>
      <c r="F2732" t="s">
        <v>49</v>
      </c>
      <c r="G2732">
        <v>-285.661</v>
      </c>
      <c r="H2732" s="1">
        <v>4.76420399999999E-6</v>
      </c>
      <c r="I2732">
        <v>213.0753</v>
      </c>
      <c r="J2732">
        <v>-322.65089999999998</v>
      </c>
      <c r="K2732">
        <v>1.1096269999999999</v>
      </c>
      <c r="L2732">
        <v>213.3853</v>
      </c>
      <c r="M2732">
        <v>0.99961540000000004</v>
      </c>
      <c r="N2732">
        <v>0</v>
      </c>
      <c r="O2732">
        <v>2.35871E-2</v>
      </c>
      <c r="P2732">
        <v>0.98228340000000003</v>
      </c>
      <c r="Q2732">
        <v>0.18738850000000001</v>
      </c>
      <c r="R2732">
        <v>2.2822049999999998E-3</v>
      </c>
      <c r="S2732">
        <v>3.0714419999999998</v>
      </c>
      <c r="T2732">
        <v>-9.1027739999999996E-2</v>
      </c>
      <c r="U2732">
        <v>-2.4551389999999999E-2</v>
      </c>
      <c r="V2732">
        <v>2.089978E-2</v>
      </c>
      <c r="W2732">
        <v>0.2016992</v>
      </c>
      <c r="X2732">
        <v>0.97922450000000005</v>
      </c>
      <c r="Y2732">
        <v>3.1555600000000003E-2</v>
      </c>
      <c r="Z2732">
        <v>-1.1664170000000001E-3</v>
      </c>
      <c r="AA2732">
        <v>0.99950130000000004</v>
      </c>
      <c r="AB2732">
        <v>45</v>
      </c>
      <c r="AC2732">
        <v>36.989899999999899</v>
      </c>
      <c r="AD2732">
        <v>-1.1096222357959999</v>
      </c>
      <c r="AE2732">
        <v>-0.310000000000002</v>
      </c>
      <c r="AF2732">
        <v>1.1814279421545699</v>
      </c>
      <c r="AG2732">
        <v>-1.1096222357959999</v>
      </c>
      <c r="AH2732">
        <v>36.939055574779601</v>
      </c>
      <c r="AI2732">
        <v>91.719727116584707</v>
      </c>
      <c r="AJ2732">
        <v>88.168124031545403</v>
      </c>
      <c r="AK2732">
        <v>36.974597499436499</v>
      </c>
      <c r="AL2732">
        <v>78.363658701198005</v>
      </c>
      <c r="AM2732">
        <v>88.777310608626394</v>
      </c>
      <c r="AN2732">
        <v>0.99999999474246903</v>
      </c>
    </row>
    <row r="2733" spans="1:40" x14ac:dyDescent="0.25">
      <c r="A2733" t="str">
        <f>"20190312172713866"</f>
        <v>20190312172713866</v>
      </c>
      <c r="B2733" t="str">
        <f>"1552382833861953"</f>
        <v>1552382833861953</v>
      </c>
      <c r="C2733" t="s">
        <v>40</v>
      </c>
      <c r="D2733">
        <v>3.493827</v>
      </c>
      <c r="E2733">
        <v>0.50694349999999999</v>
      </c>
      <c r="F2733" t="s">
        <v>49</v>
      </c>
      <c r="G2733">
        <v>-284.99520000000001</v>
      </c>
      <c r="H2733" s="1">
        <v>5.0576350000000004E-6</v>
      </c>
      <c r="I2733">
        <v>213.09039999999999</v>
      </c>
      <c r="J2733">
        <v>-322.18759999999997</v>
      </c>
      <c r="K2733">
        <v>1.109591</v>
      </c>
      <c r="L2733">
        <v>213.39609999999999</v>
      </c>
      <c r="M2733">
        <v>0.99961770000000005</v>
      </c>
      <c r="N2733">
        <v>0</v>
      </c>
      <c r="O2733">
        <v>2.3493960000000001E-2</v>
      </c>
      <c r="P2733">
        <v>0.98233539999999997</v>
      </c>
      <c r="Q2733">
        <v>0.18712139999999999</v>
      </c>
      <c r="R2733">
        <v>1.7011140000000001E-3</v>
      </c>
      <c r="S2733">
        <v>3.0714109999999999</v>
      </c>
      <c r="T2733">
        <v>-9.0507030000000002E-2</v>
      </c>
      <c r="U2733">
        <v>-2.4047849999999999E-2</v>
      </c>
      <c r="V2733">
        <v>2.1408509999999999E-2</v>
      </c>
      <c r="W2733">
        <v>0.20142779999999999</v>
      </c>
      <c r="X2733">
        <v>0.97926939999999996</v>
      </c>
      <c r="Y2733">
        <v>3.1299130000000001E-2</v>
      </c>
      <c r="Z2733">
        <v>-1.1532389999999999E-3</v>
      </c>
      <c r="AA2733">
        <v>0.99950939999999999</v>
      </c>
      <c r="AB2733">
        <v>45</v>
      </c>
      <c r="AC2733">
        <v>37.1923999999999</v>
      </c>
      <c r="AD2733">
        <v>-1.1095859423649901</v>
      </c>
      <c r="AE2733">
        <v>-0.30570000000000103</v>
      </c>
      <c r="AF2733">
        <v>1.17845639858319</v>
      </c>
      <c r="AG2733">
        <v>-1.1095859423649901</v>
      </c>
      <c r="AH2733">
        <v>37.141893222505601</v>
      </c>
      <c r="AI2733">
        <v>91.710298957590098</v>
      </c>
      <c r="AJ2733">
        <v>88.182700767222698</v>
      </c>
      <c r="AK2733">
        <v>37.177145837178898</v>
      </c>
      <c r="AL2733">
        <v>78.379534923702593</v>
      </c>
      <c r="AM2733">
        <v>88.747615405542106</v>
      </c>
      <c r="AN2733">
        <v>1.0000000203448001</v>
      </c>
    </row>
    <row r="2734" spans="1:40" x14ac:dyDescent="0.25">
      <c r="A2734" t="str">
        <f>"20190312172713910"</f>
        <v>20190312172713910</v>
      </c>
      <c r="B2734" t="str">
        <f>"1552382833901968"</f>
        <v>1552382833901968</v>
      </c>
      <c r="C2734" t="s">
        <v>40</v>
      </c>
      <c r="D2734">
        <v>3.4569489999999998</v>
      </c>
      <c r="E2734">
        <v>0.50679640000000004</v>
      </c>
      <c r="F2734" t="s">
        <v>49</v>
      </c>
      <c r="G2734">
        <v>-284.95830000000001</v>
      </c>
      <c r="H2734" s="1">
        <v>5.0733329999999996E-6</v>
      </c>
      <c r="I2734">
        <v>213.0959</v>
      </c>
      <c r="J2734">
        <v>-321.32209999999998</v>
      </c>
      <c r="K2734">
        <v>1.109502</v>
      </c>
      <c r="L2734">
        <v>213.4162</v>
      </c>
      <c r="M2734">
        <v>0.99962499999999999</v>
      </c>
      <c r="N2734">
        <v>0</v>
      </c>
      <c r="O2734">
        <v>2.3182080000000001E-2</v>
      </c>
      <c r="P2734">
        <v>0.98216990000000004</v>
      </c>
      <c r="Q2734">
        <v>0.18799299999999999</v>
      </c>
      <c r="R2734">
        <v>1.1371059999999999E-3</v>
      </c>
      <c r="S2734">
        <v>3.0714419999999998</v>
      </c>
      <c r="T2734">
        <v>-9.1541650000000002E-2</v>
      </c>
      <c r="U2734">
        <v>-2.476501E-2</v>
      </c>
      <c r="V2734">
        <v>2.170505E-2</v>
      </c>
      <c r="W2734">
        <v>0.20228760000000001</v>
      </c>
      <c r="X2734">
        <v>0.9790856</v>
      </c>
      <c r="Y2734">
        <v>3.12202E-2</v>
      </c>
      <c r="Z2734">
        <v>-1.1559350000000001E-3</v>
      </c>
      <c r="AA2734">
        <v>0.99951179999999995</v>
      </c>
      <c r="AB2734">
        <v>45</v>
      </c>
      <c r="AC2734">
        <v>36.363799999999898</v>
      </c>
      <c r="AD2734">
        <v>-1.1094969266670001</v>
      </c>
      <c r="AE2734">
        <v>-0.32030000000000303</v>
      </c>
      <c r="AF2734">
        <v>1.16221014174186</v>
      </c>
      <c r="AG2734">
        <v>-1.1094969266670001</v>
      </c>
      <c r="AH2734">
        <v>36.312797696946802</v>
      </c>
      <c r="AI2734">
        <v>91.749168924885197</v>
      </c>
      <c r="AJ2734">
        <v>88.166844278881698</v>
      </c>
      <c r="AK2734">
        <v>36.348328605635203</v>
      </c>
      <c r="AL2734">
        <v>78.329236340316996</v>
      </c>
      <c r="AM2734">
        <v>88.730035356393302</v>
      </c>
      <c r="AN2734">
        <v>0.99999999721831101</v>
      </c>
    </row>
    <row r="2735" spans="1:40" x14ac:dyDescent="0.25">
      <c r="A2735" t="str">
        <f>"20190312172713932"</f>
        <v>20190312172713932</v>
      </c>
      <c r="B2735" t="str">
        <f>"1552382833921492"</f>
        <v>1552382833921492</v>
      </c>
      <c r="C2735" t="s">
        <v>40</v>
      </c>
      <c r="D2735">
        <v>3.4857849999999999</v>
      </c>
      <c r="E2735">
        <v>0.50675040000000005</v>
      </c>
      <c r="F2735" t="s">
        <v>49</v>
      </c>
      <c r="G2735">
        <v>-283.7688</v>
      </c>
      <c r="H2735" s="1">
        <v>5.5995390000000004E-6</v>
      </c>
      <c r="I2735">
        <v>213.1071</v>
      </c>
      <c r="J2735">
        <v>-320.87079999999997</v>
      </c>
      <c r="K2735">
        <v>1.1094580000000001</v>
      </c>
      <c r="L2735">
        <v>213.4265</v>
      </c>
      <c r="M2735">
        <v>0.99963029999999997</v>
      </c>
      <c r="N2735">
        <v>0</v>
      </c>
      <c r="O2735">
        <v>2.29515E-2</v>
      </c>
      <c r="P2735">
        <v>0.98216630000000005</v>
      </c>
      <c r="Q2735">
        <v>0.18801129999999999</v>
      </c>
      <c r="R2735">
        <v>1.1208500000000001E-3</v>
      </c>
      <c r="S2735">
        <v>3.071869</v>
      </c>
      <c r="T2735">
        <v>-9.0757009999999999E-2</v>
      </c>
      <c r="U2735">
        <v>-2.528381E-2</v>
      </c>
      <c r="V2735">
        <v>2.15172E-2</v>
      </c>
      <c r="W2735">
        <v>0.20230110000000001</v>
      </c>
      <c r="X2735">
        <v>0.97908689999999998</v>
      </c>
      <c r="Y2735">
        <v>3.1157859999999999E-2</v>
      </c>
      <c r="Z2735">
        <v>-1.1381399999999999E-3</v>
      </c>
      <c r="AA2735">
        <v>0.99951380000000001</v>
      </c>
      <c r="AB2735">
        <v>45</v>
      </c>
      <c r="AC2735">
        <v>37.101999999999897</v>
      </c>
      <c r="AD2735">
        <v>-1.109452400461</v>
      </c>
      <c r="AE2735">
        <v>-0.31940000000000102</v>
      </c>
      <c r="AF2735">
        <v>1.1699068620842299</v>
      </c>
      <c r="AG2735">
        <v>-1.109452400461</v>
      </c>
      <c r="AH2735">
        <v>37.051764691308897</v>
      </c>
      <c r="AI2735">
        <v>91.714258887429196</v>
      </c>
      <c r="AJ2735">
        <v>88.191490648757295</v>
      </c>
      <c r="AK2735">
        <v>37.086828301095899</v>
      </c>
      <c r="AL2735">
        <v>78.328445856328997</v>
      </c>
      <c r="AM2735">
        <v>88.7410245967924</v>
      </c>
      <c r="AN2735">
        <v>0.99999994135432801</v>
      </c>
    </row>
    <row r="2736" spans="1:40" x14ac:dyDescent="0.25">
      <c r="A2736" t="str">
        <f>"20190312172713953"</f>
        <v>20190312172713953</v>
      </c>
      <c r="B2736" t="str">
        <f>"1552382833941985"</f>
        <v>1552382833941985</v>
      </c>
      <c r="C2736" t="s">
        <v>40</v>
      </c>
      <c r="D2736">
        <v>3.4692180000000001</v>
      </c>
      <c r="E2736">
        <v>0.50673919999999995</v>
      </c>
      <c r="F2736" t="s">
        <v>49</v>
      </c>
      <c r="G2736">
        <v>-283.27190000000002</v>
      </c>
      <c r="H2736" s="1">
        <v>5.8180809999999999E-6</v>
      </c>
      <c r="I2736">
        <v>213.12219999999999</v>
      </c>
      <c r="J2736">
        <v>-320.43689999999998</v>
      </c>
      <c r="K2736">
        <v>1.109421</v>
      </c>
      <c r="L2736">
        <v>213.43620000000001</v>
      </c>
      <c r="M2736">
        <v>0.99963610000000003</v>
      </c>
      <c r="N2736">
        <v>0</v>
      </c>
      <c r="O2736">
        <v>2.2696009999999999E-2</v>
      </c>
      <c r="P2736">
        <v>0.98213030000000001</v>
      </c>
      <c r="Q2736">
        <v>0.188198</v>
      </c>
      <c r="R2736">
        <v>1.266487E-3</v>
      </c>
      <c r="S2736">
        <v>3.0718380000000001</v>
      </c>
      <c r="T2736">
        <v>-9.0642449999999999E-2</v>
      </c>
      <c r="U2736">
        <v>-2.4856570000000001E-2</v>
      </c>
      <c r="V2736">
        <v>2.1139140000000001E-2</v>
      </c>
      <c r="W2736">
        <v>0.2024823</v>
      </c>
      <c r="X2736">
        <v>0.97905770000000003</v>
      </c>
      <c r="Y2736">
        <v>3.0763820000000001E-2</v>
      </c>
      <c r="Z2736">
        <v>-1.1233669999999999E-3</v>
      </c>
      <c r="AA2736">
        <v>0.99952600000000003</v>
      </c>
      <c r="AB2736">
        <v>45</v>
      </c>
      <c r="AC2736">
        <v>37.1649999999999</v>
      </c>
      <c r="AD2736">
        <v>-1.1094151819189999</v>
      </c>
      <c r="AE2736">
        <v>-0.31400000000002098</v>
      </c>
      <c r="AF2736">
        <v>1.1564755262323601</v>
      </c>
      <c r="AG2736">
        <v>-1.1094151819189999</v>
      </c>
      <c r="AH2736">
        <v>37.115226893825302</v>
      </c>
      <c r="AI2736">
        <v>91.711294384953803</v>
      </c>
      <c r="AJ2736">
        <v>88.215294886855006</v>
      </c>
      <c r="AK2736">
        <v>37.149808950636299</v>
      </c>
      <c r="AL2736">
        <v>78.317844711256498</v>
      </c>
      <c r="AM2736">
        <v>88.763101147759699</v>
      </c>
      <c r="AN2736">
        <v>0.999999962491259</v>
      </c>
    </row>
    <row r="2737" spans="1:40" x14ac:dyDescent="0.25">
      <c r="A2737" t="str">
        <f>"20190312172713976"</f>
        <v>20190312172713976</v>
      </c>
      <c r="B2737" t="str">
        <f>"1552382833972241"</f>
        <v>1552382833972241</v>
      </c>
      <c r="C2737" t="s">
        <v>40</v>
      </c>
      <c r="D2737">
        <v>3.4540649999999999</v>
      </c>
      <c r="E2737">
        <v>0.50672429999999902</v>
      </c>
      <c r="F2737" t="s">
        <v>49</v>
      </c>
      <c r="G2737">
        <v>-282.57920000000001</v>
      </c>
      <c r="H2737" s="1">
        <v>6.1233649999999998E-6</v>
      </c>
      <c r="I2737">
        <v>213.13800000000001</v>
      </c>
      <c r="J2737">
        <v>-320.0027</v>
      </c>
      <c r="K2737">
        <v>1.109391</v>
      </c>
      <c r="L2737">
        <v>213.44579999999999</v>
      </c>
      <c r="M2737">
        <v>0.99964260000000005</v>
      </c>
      <c r="N2737">
        <v>0</v>
      </c>
      <c r="O2737">
        <v>2.2408230000000001E-2</v>
      </c>
      <c r="P2737">
        <v>0.98207940000000005</v>
      </c>
      <c r="Q2737">
        <v>0.18846270000000001</v>
      </c>
      <c r="R2737">
        <v>1.423162E-3</v>
      </c>
      <c r="S2737">
        <v>3.0718380000000001</v>
      </c>
      <c r="T2737">
        <v>-9.001982E-2</v>
      </c>
      <c r="U2737">
        <v>-2.420044E-2</v>
      </c>
      <c r="V2737">
        <v>2.071597E-2</v>
      </c>
      <c r="W2737">
        <v>0.20274239999999999</v>
      </c>
      <c r="X2737">
        <v>0.97901300000000002</v>
      </c>
      <c r="Y2737">
        <v>3.0263249999999998E-2</v>
      </c>
      <c r="Z2737">
        <v>-1.0998900000000001E-3</v>
      </c>
      <c r="AA2737">
        <v>0.99954129999999997</v>
      </c>
      <c r="AB2737">
        <v>45</v>
      </c>
      <c r="AC2737">
        <v>37.423499999999898</v>
      </c>
      <c r="AD2737">
        <v>-1.1093848766349901</v>
      </c>
      <c r="AE2737">
        <v>-0.30779999999998597</v>
      </c>
      <c r="AF2737">
        <v>1.14539974884227</v>
      </c>
      <c r="AG2737">
        <v>-1.1093848766349901</v>
      </c>
      <c r="AH2737">
        <v>37.374361847150603</v>
      </c>
      <c r="AI2737">
        <v>91.699416587893296</v>
      </c>
      <c r="AJ2737">
        <v>88.244624552836996</v>
      </c>
      <c r="AK2737">
        <v>37.408362686315201</v>
      </c>
      <c r="AL2737">
        <v>78.302627393559902</v>
      </c>
      <c r="AM2737">
        <v>88.787798989949195</v>
      </c>
      <c r="AN2737">
        <v>1.0000000431698901</v>
      </c>
    </row>
    <row r="2738" spans="1:40" x14ac:dyDescent="0.25">
      <c r="A2738" t="str">
        <f>"20190312172714000"</f>
        <v>20190312172714000</v>
      </c>
      <c r="B2738" t="str">
        <f>"1552382833991760"</f>
        <v>1552382833991760</v>
      </c>
      <c r="C2738" t="s">
        <v>40</v>
      </c>
      <c r="D2738">
        <v>3.490726</v>
      </c>
      <c r="E2738">
        <v>0.50667629999999997</v>
      </c>
      <c r="F2738" t="s">
        <v>49</v>
      </c>
      <c r="G2738">
        <v>-281.80180000000001</v>
      </c>
      <c r="H2738" s="1">
        <v>6.4658909999999998E-6</v>
      </c>
      <c r="I2738">
        <v>213.1568</v>
      </c>
      <c r="J2738">
        <v>-319.51799999999997</v>
      </c>
      <c r="K2738">
        <v>1.109361</v>
      </c>
      <c r="L2738">
        <v>213.4564</v>
      </c>
      <c r="M2738">
        <v>0.9996505</v>
      </c>
      <c r="N2738">
        <v>0</v>
      </c>
      <c r="O2738">
        <v>2.2058040000000001E-2</v>
      </c>
      <c r="P2738">
        <v>0.98206439999999995</v>
      </c>
      <c r="Q2738">
        <v>0.1885442</v>
      </c>
      <c r="R2738">
        <v>9.1592870000000001E-4</v>
      </c>
      <c r="S2738">
        <v>3.071869</v>
      </c>
      <c r="T2738">
        <v>-8.9209559999999993E-2</v>
      </c>
      <c r="U2738">
        <v>-2.3239139999999998E-2</v>
      </c>
      <c r="V2738">
        <v>2.08962E-2</v>
      </c>
      <c r="W2738">
        <v>0.20281850000000001</v>
      </c>
      <c r="X2738">
        <v>0.97899340000000001</v>
      </c>
      <c r="Y2738">
        <v>2.960107E-2</v>
      </c>
      <c r="Z2738">
        <v>-1.0702039999999999E-3</v>
      </c>
      <c r="AA2738">
        <v>0.99956120000000004</v>
      </c>
      <c r="AB2738">
        <v>45</v>
      </c>
      <c r="AC2738">
        <v>37.716199999999901</v>
      </c>
      <c r="AD2738">
        <v>-1.1093545341089901</v>
      </c>
      <c r="AE2738">
        <v>-0.29959999999999798</v>
      </c>
      <c r="AF2738">
        <v>1.13058282406388</v>
      </c>
      <c r="AG2738">
        <v>-1.1093545341089901</v>
      </c>
      <c r="AH2738">
        <v>37.667826328572197</v>
      </c>
      <c r="AI2738">
        <v>91.686170544960305</v>
      </c>
      <c r="AJ2738">
        <v>88.280809144372896</v>
      </c>
      <c r="AK2738">
        <v>37.701114377746102</v>
      </c>
      <c r="AL2738">
        <v>78.298174593346502</v>
      </c>
      <c r="AM2738">
        <v>88.777231494462995</v>
      </c>
      <c r="AN2738">
        <v>1.00000003618012</v>
      </c>
    </row>
    <row r="2739" spans="1:40" x14ac:dyDescent="0.25">
      <c r="A2739" t="str">
        <f>"20190312172714021"</f>
        <v>20190312172714021</v>
      </c>
      <c r="B2739" t="str">
        <f>"1552382834012256"</f>
        <v>1552382834012256</v>
      </c>
      <c r="C2739" t="s">
        <v>40</v>
      </c>
      <c r="D2739">
        <v>3.4635820000000002</v>
      </c>
      <c r="E2739">
        <v>0.50664979999999904</v>
      </c>
      <c r="F2739" t="s">
        <v>49</v>
      </c>
      <c r="G2739">
        <v>-281.2971</v>
      </c>
      <c r="H2739" s="1">
        <v>6.6906769999999997E-6</v>
      </c>
      <c r="I2739">
        <v>213.14869999999999</v>
      </c>
      <c r="J2739">
        <v>-319.09269999999998</v>
      </c>
      <c r="K2739">
        <v>1.1093379999999999</v>
      </c>
      <c r="L2739">
        <v>213.46559999999999</v>
      </c>
      <c r="M2739">
        <v>0.99965769999999998</v>
      </c>
      <c r="N2739">
        <v>0</v>
      </c>
      <c r="O2739">
        <v>2.1733619999999999E-2</v>
      </c>
      <c r="P2739">
        <v>0.98202400000000001</v>
      </c>
      <c r="Q2739">
        <v>0.18875400000000001</v>
      </c>
      <c r="R2739">
        <v>1.0764679999999999E-3</v>
      </c>
      <c r="S2739">
        <v>3.0718990000000002</v>
      </c>
      <c r="T2739">
        <v>-8.9161160000000003E-2</v>
      </c>
      <c r="U2739">
        <v>-2.47345E-2</v>
      </c>
      <c r="V2739">
        <v>2.0429719999999998E-2</v>
      </c>
      <c r="W2739">
        <v>0.20302439999999999</v>
      </c>
      <c r="X2739">
        <v>0.97896050000000001</v>
      </c>
      <c r="Y2739">
        <v>2.9763230000000002E-2</v>
      </c>
      <c r="Z2739">
        <v>-1.0625509999999999E-3</v>
      </c>
      <c r="AA2739">
        <v>0.99955640000000001</v>
      </c>
      <c r="AB2739">
        <v>45</v>
      </c>
      <c r="AC2739">
        <v>37.795599999999901</v>
      </c>
      <c r="AD2739">
        <v>-1.1093313093229999</v>
      </c>
      <c r="AE2739">
        <v>-0.31690000000000401</v>
      </c>
      <c r="AF2739">
        <v>1.13736774083339</v>
      </c>
      <c r="AG2739">
        <v>-1.1093313093229999</v>
      </c>
      <c r="AH2739">
        <v>37.747266712009598</v>
      </c>
      <c r="AI2739">
        <v>91.682582888463401</v>
      </c>
      <c r="AJ2739">
        <v>88.274135678518604</v>
      </c>
      <c r="AK2739">
        <v>37.780687732746699</v>
      </c>
      <c r="AL2739">
        <v>78.286125957167798</v>
      </c>
      <c r="AM2739">
        <v>88.804480005445299</v>
      </c>
      <c r="AN2739">
        <v>0.99999997050744305</v>
      </c>
    </row>
    <row r="2740" spans="1:40" x14ac:dyDescent="0.25">
      <c r="A2740" t="str">
        <f>"20190312172714043"</f>
        <v>20190312172714043</v>
      </c>
      <c r="B2740" t="str">
        <f>"1552382834031777"</f>
        <v>1552382834031777</v>
      </c>
      <c r="C2740" t="s">
        <v>40</v>
      </c>
      <c r="D2740">
        <v>3.454942</v>
      </c>
      <c r="E2740">
        <v>0.50662429999999903</v>
      </c>
      <c r="F2740" t="s">
        <v>49</v>
      </c>
      <c r="G2740">
        <v>-280.6771</v>
      </c>
      <c r="H2740" s="1">
        <v>6.9647340000000001E-6</v>
      </c>
      <c r="I2740">
        <v>213.1559</v>
      </c>
      <c r="J2740">
        <v>-318.64980000000003</v>
      </c>
      <c r="K2740">
        <v>1.1093150000000001</v>
      </c>
      <c r="L2740">
        <v>213.47489999999999</v>
      </c>
      <c r="M2740">
        <v>0.99966520000000003</v>
      </c>
      <c r="N2740">
        <v>0</v>
      </c>
      <c r="O2740">
        <v>2.138553E-2</v>
      </c>
      <c r="P2740">
        <v>0.98193649999999999</v>
      </c>
      <c r="Q2740">
        <v>0.18920790000000001</v>
      </c>
      <c r="R2740">
        <v>1.1658370000000001E-3</v>
      </c>
      <c r="S2740">
        <v>3.0719910000000001</v>
      </c>
      <c r="T2740">
        <v>-8.8710189999999994E-2</v>
      </c>
      <c r="U2740">
        <v>-2.476501E-2</v>
      </c>
      <c r="V2740">
        <v>2.0009280000000001E-2</v>
      </c>
      <c r="W2740">
        <v>0.2034726</v>
      </c>
      <c r="X2740">
        <v>0.97887619999999997</v>
      </c>
      <c r="Y2740">
        <v>2.9425369999999999E-2</v>
      </c>
      <c r="Z2740">
        <v>-1.0422210000000001E-3</v>
      </c>
      <c r="AA2740">
        <v>0.99956639999999997</v>
      </c>
      <c r="AB2740">
        <v>45</v>
      </c>
      <c r="AC2740">
        <v>37.972700000000003</v>
      </c>
      <c r="AD2740">
        <v>-1.1093080352660001</v>
      </c>
      <c r="AE2740">
        <v>-0.31899999999998802</v>
      </c>
      <c r="AF2740">
        <v>1.13011510622234</v>
      </c>
      <c r="AG2740">
        <v>-1.1093080352660001</v>
      </c>
      <c r="AH2740">
        <v>37.924827807829701</v>
      </c>
      <c r="AI2740">
        <v>91.674691198390803</v>
      </c>
      <c r="AJ2740">
        <v>88.293158484632201</v>
      </c>
      <c r="AK2740">
        <v>37.957875187159097</v>
      </c>
      <c r="AL2740">
        <v>78.259899406126706</v>
      </c>
      <c r="AM2740">
        <v>88.828975861399002</v>
      </c>
      <c r="AN2740">
        <v>1.00000004258165</v>
      </c>
    </row>
    <row r="2741" spans="1:40" x14ac:dyDescent="0.25">
      <c r="A2741" t="str">
        <f>"20190312172714067"</f>
        <v>20190312172714067</v>
      </c>
      <c r="B2741" t="str">
        <f>"1552382834062033"</f>
        <v>1552382834062033</v>
      </c>
      <c r="C2741" t="s">
        <v>40</v>
      </c>
      <c r="D2741">
        <v>3.4260890000000002</v>
      </c>
      <c r="E2741">
        <v>0.48126590000000002</v>
      </c>
      <c r="F2741" t="s">
        <v>48</v>
      </c>
      <c r="G2741">
        <v>-279.62479999999999</v>
      </c>
      <c r="H2741" s="1">
        <v>3.648757E-6</v>
      </c>
      <c r="I2741">
        <v>213.1584</v>
      </c>
      <c r="J2741">
        <v>-318.18759999999997</v>
      </c>
      <c r="K2741">
        <v>1.1092919999999999</v>
      </c>
      <c r="L2741">
        <v>213.4845</v>
      </c>
      <c r="M2741">
        <v>0.99967309999999998</v>
      </c>
      <c r="N2741">
        <v>0</v>
      </c>
      <c r="O2741">
        <v>2.1015740000000002E-2</v>
      </c>
      <c r="P2741">
        <v>0.9818192</v>
      </c>
      <c r="Q2741">
        <v>0.1898183</v>
      </c>
      <c r="R2741">
        <v>7.5605789999999996E-4</v>
      </c>
      <c r="S2741">
        <v>3.0720830000000001</v>
      </c>
      <c r="T2741">
        <v>-8.7325810000000004E-2</v>
      </c>
      <c r="U2741">
        <v>-2.4917600000000002E-2</v>
      </c>
      <c r="V2741">
        <v>2.006457E-2</v>
      </c>
      <c r="W2741">
        <v>0.2040776</v>
      </c>
      <c r="X2741">
        <v>0.97874910000000004</v>
      </c>
      <c r="Y2741">
        <v>2.9105949999999998E-2</v>
      </c>
      <c r="Z2741">
        <v>-1.0108840000000001E-3</v>
      </c>
      <c r="AA2741">
        <v>0.99957580000000001</v>
      </c>
      <c r="AB2741">
        <v>45</v>
      </c>
      <c r="AC2741">
        <v>38.562799999999903</v>
      </c>
      <c r="AD2741">
        <v>-1.1092883512429901</v>
      </c>
      <c r="AE2741">
        <v>-0.326099999999996</v>
      </c>
      <c r="AF2741">
        <v>1.1356000672765001</v>
      </c>
      <c r="AG2741">
        <v>-1.1092883512429901</v>
      </c>
      <c r="AH2741">
        <v>38.5155592885991</v>
      </c>
      <c r="AI2741">
        <v>91.649006065864896</v>
      </c>
      <c r="AJ2741">
        <v>88.311169614931003</v>
      </c>
      <c r="AK2741">
        <v>38.548260861841598</v>
      </c>
      <c r="AL2741">
        <v>78.2244923610955</v>
      </c>
      <c r="AM2741">
        <v>88.825588525201795</v>
      </c>
      <c r="AN2741">
        <v>1.00000002727092</v>
      </c>
    </row>
    <row r="2742" spans="1:40" x14ac:dyDescent="0.25">
      <c r="A2742" t="str">
        <f>"20190312172714111"</f>
        <v>20190312172714111</v>
      </c>
      <c r="B2742" t="str">
        <f>"1552382834102052"</f>
        <v>1552382834102052</v>
      </c>
      <c r="C2742" t="s">
        <v>40</v>
      </c>
      <c r="D2742">
        <v>3.4211450000000001</v>
      </c>
      <c r="E2742">
        <v>0.4731148</v>
      </c>
      <c r="F2742" t="s">
        <v>49</v>
      </c>
      <c r="G2742">
        <v>-279.9769</v>
      </c>
      <c r="H2742" s="1">
        <v>6.9749129999999996E-6</v>
      </c>
      <c r="I2742">
        <v>215.67519999999999</v>
      </c>
      <c r="J2742">
        <v>-317.31569999999999</v>
      </c>
      <c r="K2742">
        <v>1.109267</v>
      </c>
      <c r="L2742">
        <v>213.50210000000001</v>
      </c>
      <c r="M2742">
        <v>0.99968789999999996</v>
      </c>
      <c r="N2742">
        <v>0</v>
      </c>
      <c r="O2742">
        <v>2.030858E-2</v>
      </c>
      <c r="P2742">
        <v>0.98165119999999895</v>
      </c>
      <c r="Q2742">
        <v>0.1906825</v>
      </c>
      <c r="R2742">
        <v>1.16938E-3</v>
      </c>
      <c r="S2742">
        <v>3.0726619999999998</v>
      </c>
      <c r="T2742">
        <v>-8.920169E-2</v>
      </c>
      <c r="U2742">
        <v>0.17616270000000001</v>
      </c>
      <c r="V2742">
        <v>1.8969199999999999E-2</v>
      </c>
      <c r="W2742">
        <v>0.20493410000000001</v>
      </c>
      <c r="X2742">
        <v>0.97859189999999996</v>
      </c>
      <c r="Y2742">
        <v>-3.694207E-2</v>
      </c>
      <c r="Z2742" s="1">
        <v>-5.3236779999999997E-5</v>
      </c>
      <c r="AA2742">
        <v>0.99931740000000002</v>
      </c>
      <c r="AB2742">
        <v>45</v>
      </c>
      <c r="AC2742">
        <v>37.3387999999999</v>
      </c>
      <c r="AD2742">
        <v>-1.1092600250869999</v>
      </c>
      <c r="AE2742">
        <v>2.1730999999999701</v>
      </c>
      <c r="AF2742">
        <v>-1.4130305725275001</v>
      </c>
      <c r="AG2742">
        <v>-1.1092600250869999</v>
      </c>
      <c r="AH2742">
        <v>37.342389065443498</v>
      </c>
      <c r="AI2742">
        <v>91.700261363719903</v>
      </c>
      <c r="AJ2742">
        <v>92.167030069746204</v>
      </c>
      <c r="AK2742">
        <v>37.3855738797348</v>
      </c>
      <c r="AL2742">
        <v>78.174358182360905</v>
      </c>
      <c r="AM2742">
        <v>88.8895074605324</v>
      </c>
      <c r="AN2742">
        <v>0.99999996131852897</v>
      </c>
    </row>
    <row r="2743" spans="1:40" x14ac:dyDescent="0.25">
      <c r="A2743" t="str">
        <f>"20190312172714133"</f>
        <v>20190312172714133</v>
      </c>
      <c r="B2743" t="str">
        <f>"1552382834121568"</f>
        <v>1552382834121568</v>
      </c>
      <c r="C2743" t="s">
        <v>40</v>
      </c>
      <c r="D2743">
        <v>3.3644759999999998</v>
      </c>
      <c r="E2743">
        <v>0.47210259999999998</v>
      </c>
      <c r="F2743" t="s">
        <v>48</v>
      </c>
      <c r="G2743">
        <v>-275.0772</v>
      </c>
      <c r="H2743" s="1">
        <v>1.0682899999999999E-6</v>
      </c>
      <c r="I2743">
        <v>216.8304</v>
      </c>
      <c r="J2743">
        <v>-316.86700000000002</v>
      </c>
      <c r="K2743">
        <v>1.1092580000000001</v>
      </c>
      <c r="L2743">
        <v>213.511</v>
      </c>
      <c r="M2743">
        <v>0.99969509999999995</v>
      </c>
      <c r="N2743">
        <v>0</v>
      </c>
      <c r="O2743">
        <v>1.994226E-2</v>
      </c>
      <c r="P2743">
        <v>0.98169919999999999</v>
      </c>
      <c r="Q2743">
        <v>0.1904334</v>
      </c>
      <c r="R2743">
        <v>1.3879859999999999E-3</v>
      </c>
      <c r="S2743">
        <v>3.0714419999999998</v>
      </c>
      <c r="T2743">
        <v>-8.0662129999999999E-2</v>
      </c>
      <c r="U2743">
        <v>0.2420197</v>
      </c>
      <c r="V2743">
        <v>1.8397170000000001E-2</v>
      </c>
      <c r="W2743">
        <v>0.204683</v>
      </c>
      <c r="X2743">
        <v>0.97865539999999995</v>
      </c>
      <c r="Y2743">
        <v>-5.8641649999999997E-2</v>
      </c>
      <c r="Z2743">
        <v>2.4594930000000002E-4</v>
      </c>
      <c r="AA2743">
        <v>0.99827909999999997</v>
      </c>
      <c r="AB2743">
        <v>44</v>
      </c>
      <c r="AC2743">
        <v>41.7898</v>
      </c>
      <c r="AD2743">
        <v>-1.1092569317100001</v>
      </c>
      <c r="AE2743">
        <v>3.3193999999999999</v>
      </c>
      <c r="AF2743">
        <v>-2.4835294791446798</v>
      </c>
      <c r="AG2743">
        <v>-1.1092569317100001</v>
      </c>
      <c r="AH2743">
        <v>41.818411757765801</v>
      </c>
      <c r="AI2743">
        <v>91.516775318751201</v>
      </c>
      <c r="AJ2743">
        <v>93.398713938620503</v>
      </c>
      <c r="AK2743">
        <v>41.906776678198199</v>
      </c>
      <c r="AL2743">
        <v>78.189057065778897</v>
      </c>
      <c r="AM2743">
        <v>88.923057024417005</v>
      </c>
      <c r="AN2743">
        <v>0.99999998915108401</v>
      </c>
    </row>
    <row r="2744" spans="1:40" x14ac:dyDescent="0.25">
      <c r="A2744" t="str">
        <f>"20190312172714155"</f>
        <v>20190312172714155</v>
      </c>
      <c r="B2744" t="str">
        <f>"1552382834151825"</f>
        <v>1552382834151825</v>
      </c>
      <c r="C2744" t="s">
        <v>40</v>
      </c>
      <c r="D2744">
        <v>3.4010570000000002</v>
      </c>
      <c r="E2744">
        <v>0.47171390000000002</v>
      </c>
      <c r="F2744" t="s">
        <v>48</v>
      </c>
      <c r="G2744">
        <v>-274.59019999999998</v>
      </c>
      <c r="H2744" s="1">
        <v>8.0375799999999898E-7</v>
      </c>
      <c r="I2744">
        <v>216.9528</v>
      </c>
      <c r="J2744">
        <v>-316.42720000000003</v>
      </c>
      <c r="K2744">
        <v>1.109251</v>
      </c>
      <c r="L2744">
        <v>213.51949999999999</v>
      </c>
      <c r="M2744">
        <v>0.99970250000000005</v>
      </c>
      <c r="N2744">
        <v>0</v>
      </c>
      <c r="O2744">
        <v>1.9581830000000001E-2</v>
      </c>
      <c r="P2744">
        <v>0.98173200000000005</v>
      </c>
      <c r="Q2744">
        <v>0.1902633</v>
      </c>
      <c r="R2744">
        <v>1.6406470000000001E-3</v>
      </c>
      <c r="S2744">
        <v>3.0711979999999999</v>
      </c>
      <c r="T2744">
        <v>-8.0582020000000004E-2</v>
      </c>
      <c r="U2744">
        <v>0.25003049999999999</v>
      </c>
      <c r="V2744">
        <v>1.7795390000000001E-2</v>
      </c>
      <c r="W2744">
        <v>0.20451079999999999</v>
      </c>
      <c r="X2744">
        <v>0.97870250000000003</v>
      </c>
      <c r="Y2744">
        <v>-6.1593719999999998E-2</v>
      </c>
      <c r="Z2744">
        <v>2.937959E-4</v>
      </c>
      <c r="AA2744">
        <v>0.99810120000000002</v>
      </c>
      <c r="AB2744">
        <v>44</v>
      </c>
      <c r="AC2744">
        <v>41.837000000000003</v>
      </c>
      <c r="AD2744">
        <v>-1.1092501962420001</v>
      </c>
      <c r="AE2744">
        <v>3.4333</v>
      </c>
      <c r="AF2744">
        <v>-2.6114863747938202</v>
      </c>
      <c r="AG2744">
        <v>-1.1092501962420001</v>
      </c>
      <c r="AH2744">
        <v>41.866979350538301</v>
      </c>
      <c r="AI2744">
        <v>91.514733040710098</v>
      </c>
      <c r="AJ2744">
        <v>93.569245933934099</v>
      </c>
      <c r="AK2744">
        <v>41.963010581010501</v>
      </c>
      <c r="AL2744">
        <v>78.199136310140304</v>
      </c>
      <c r="AM2744">
        <v>88.9583265585986</v>
      </c>
      <c r="AN2744">
        <v>0.99999996336407004</v>
      </c>
    </row>
    <row r="2745" spans="1:40" x14ac:dyDescent="0.25">
      <c r="A2745" t="str">
        <f>"20190312172714179"</f>
        <v>20190312172714179</v>
      </c>
      <c r="B2745" t="str">
        <f>"1552382834171345"</f>
        <v>1552382834171345</v>
      </c>
      <c r="C2745" t="s">
        <v>40</v>
      </c>
      <c r="D2745">
        <v>3.3785699999999999</v>
      </c>
      <c r="E2745">
        <v>0.47138819999999998</v>
      </c>
      <c r="F2745" t="s">
        <v>48</v>
      </c>
      <c r="G2745">
        <v>-275.81310000000002</v>
      </c>
      <c r="H2745" s="1">
        <v>1.4581399999999999E-6</v>
      </c>
      <c r="I2745">
        <v>216.8699</v>
      </c>
      <c r="J2745">
        <v>-315.97320000000002</v>
      </c>
      <c r="K2745">
        <v>1.109245</v>
      </c>
      <c r="L2745">
        <v>213.52799999999999</v>
      </c>
      <c r="M2745">
        <v>0.99970959999999998</v>
      </c>
      <c r="N2745">
        <v>0</v>
      </c>
      <c r="O2745">
        <v>1.9208240000000001E-2</v>
      </c>
      <c r="P2745">
        <v>0.98171509999999995</v>
      </c>
      <c r="Q2745">
        <v>0.19035199999999999</v>
      </c>
      <c r="R2745">
        <v>1.3793869999999999E-3</v>
      </c>
      <c r="S2745">
        <v>3.0715940000000002</v>
      </c>
      <c r="T2745">
        <v>-8.3891149999999998E-2</v>
      </c>
      <c r="U2745">
        <v>0.25338749999999999</v>
      </c>
      <c r="V2745">
        <v>1.7693449999999999E-2</v>
      </c>
      <c r="W2745">
        <v>0.20459669999999999</v>
      </c>
      <c r="X2745">
        <v>0.97868650000000001</v>
      </c>
      <c r="Y2745">
        <v>-6.3037880000000004E-2</v>
      </c>
      <c r="Z2745">
        <v>3.3566880000000001E-4</v>
      </c>
      <c r="AA2745">
        <v>0.99801110000000004</v>
      </c>
      <c r="AB2745">
        <v>44</v>
      </c>
      <c r="AC2745">
        <v>40.1601</v>
      </c>
      <c r="AD2745">
        <v>-1.10924354186</v>
      </c>
      <c r="AE2745">
        <v>3.3418999999999999</v>
      </c>
      <c r="AF2745">
        <v>-2.56785125000496</v>
      </c>
      <c r="AG2745">
        <v>-1.10924354186</v>
      </c>
      <c r="AH2745">
        <v>40.186440735181499</v>
      </c>
      <c r="AI2745">
        <v>91.577885109712</v>
      </c>
      <c r="AJ2745">
        <v>93.656140852450704</v>
      </c>
      <c r="AK2745">
        <v>40.283672874249802</v>
      </c>
      <c r="AL2745">
        <v>78.194109522384394</v>
      </c>
      <c r="AM2745">
        <v>88.9642755006508</v>
      </c>
      <c r="AN2745">
        <v>1.00000006655301</v>
      </c>
    </row>
    <row r="2746" spans="1:40" x14ac:dyDescent="0.25">
      <c r="A2746" t="str">
        <f>"20190312172714201"</f>
        <v>20190312172714201</v>
      </c>
      <c r="B2746" t="str">
        <f>"1552382834191841"</f>
        <v>1552382834191841</v>
      </c>
      <c r="C2746" t="s">
        <v>40</v>
      </c>
      <c r="D2746">
        <v>3.4009160000000001</v>
      </c>
      <c r="E2746">
        <v>0.4712056</v>
      </c>
      <c r="F2746" t="s">
        <v>48</v>
      </c>
      <c r="G2746">
        <v>-275.4581</v>
      </c>
      <c r="H2746" s="1">
        <v>1.2681429999999999E-6</v>
      </c>
      <c r="I2746">
        <v>216.8946</v>
      </c>
      <c r="J2746">
        <v>-315.53109999999998</v>
      </c>
      <c r="K2746">
        <v>1.109237</v>
      </c>
      <c r="L2746">
        <v>213.53630000000001</v>
      </c>
      <c r="M2746">
        <v>0.99971679999999996</v>
      </c>
      <c r="N2746">
        <v>0</v>
      </c>
      <c r="O2746">
        <v>1.884183E-2</v>
      </c>
      <c r="P2746">
        <v>0.98164830000000003</v>
      </c>
      <c r="Q2746">
        <v>0.1906997</v>
      </c>
      <c r="R2746">
        <v>6.4612369999999999E-4</v>
      </c>
      <c r="S2746">
        <v>3.0718380000000001</v>
      </c>
      <c r="T2746">
        <v>-8.4102270000000007E-2</v>
      </c>
      <c r="U2746">
        <v>0.255249</v>
      </c>
      <c r="V2746">
        <v>1.8069579999999998E-2</v>
      </c>
      <c r="W2746">
        <v>0.20493980000000001</v>
      </c>
      <c r="X2746">
        <v>0.97860780000000003</v>
      </c>
      <c r="Y2746">
        <v>-6.3997269999999995E-2</v>
      </c>
      <c r="Z2746">
        <v>3.5959579999999999E-4</v>
      </c>
      <c r="AA2746">
        <v>0.99795</v>
      </c>
      <c r="AB2746">
        <v>44</v>
      </c>
      <c r="AC2746">
        <v>40.072999999999901</v>
      </c>
      <c r="AD2746">
        <v>-1.1092357318570001</v>
      </c>
      <c r="AE2746">
        <v>3.3582999999999799</v>
      </c>
      <c r="AF2746">
        <v>-2.6005965704644001</v>
      </c>
      <c r="AG2746">
        <v>-1.1092357318570001</v>
      </c>
      <c r="AH2746">
        <v>40.098658371538697</v>
      </c>
      <c r="AI2746">
        <v>91.581229553394607</v>
      </c>
      <c r="AJ2746">
        <v>93.710718231281305</v>
      </c>
      <c r="AK2746">
        <v>40.198207791249999</v>
      </c>
      <c r="AL2746">
        <v>78.174025323720997</v>
      </c>
      <c r="AM2746">
        <v>88.942177820563103</v>
      </c>
      <c r="AN2746">
        <v>1.0000000287831201</v>
      </c>
    </row>
    <row r="2747" spans="1:40" x14ac:dyDescent="0.25">
      <c r="A2747" t="str">
        <f>"20190312172714222"</f>
        <v>20190312172714222</v>
      </c>
      <c r="B2747" t="str">
        <f>"1552382834211360"</f>
        <v>1552382834211360</v>
      </c>
      <c r="C2747" t="s">
        <v>40</v>
      </c>
      <c r="D2747">
        <v>3.3736039999999998</v>
      </c>
      <c r="E2747">
        <v>0.47109699999999999</v>
      </c>
      <c r="F2747" t="s">
        <v>48</v>
      </c>
      <c r="G2747">
        <v>-274.83980000000003</v>
      </c>
      <c r="H2747" s="1">
        <v>9.3840579999999996E-7</v>
      </c>
      <c r="I2747">
        <v>216.91120000000001</v>
      </c>
      <c r="J2747">
        <v>-315.10579999999999</v>
      </c>
      <c r="K2747">
        <v>1.109232</v>
      </c>
      <c r="L2747">
        <v>213.54400000000001</v>
      </c>
      <c r="M2747">
        <v>0.99972340000000004</v>
      </c>
      <c r="N2747">
        <v>0</v>
      </c>
      <c r="O2747">
        <v>1.8487409999999999E-2</v>
      </c>
      <c r="P2747">
        <v>0.98166010000000004</v>
      </c>
      <c r="Q2747">
        <v>0.19064010000000001</v>
      </c>
      <c r="R2747">
        <v>5.4742769999999998E-4</v>
      </c>
      <c r="S2747">
        <v>3.072174</v>
      </c>
      <c r="T2747">
        <v>-8.3746790000000002E-2</v>
      </c>
      <c r="U2747">
        <v>0.25480649999999999</v>
      </c>
      <c r="V2747">
        <v>1.7822930000000001E-2</v>
      </c>
      <c r="W2747">
        <v>0.20487759999999999</v>
      </c>
      <c r="X2747">
        <v>0.97862530000000003</v>
      </c>
      <c r="Y2747">
        <v>-6.4199240000000005E-2</v>
      </c>
      <c r="Z2747">
        <v>3.704259E-4</v>
      </c>
      <c r="AA2747">
        <v>0.99793699999999996</v>
      </c>
      <c r="AB2747">
        <v>44</v>
      </c>
      <c r="AC2747">
        <v>40.265999999999899</v>
      </c>
      <c r="AD2747">
        <v>-1.1092310615942</v>
      </c>
      <c r="AE2747">
        <v>3.3671999999999902</v>
      </c>
      <c r="AF2747">
        <v>-2.6201571263729</v>
      </c>
      <c r="AG2747">
        <v>-1.1092310615942</v>
      </c>
      <c r="AH2747">
        <v>40.291010911328598</v>
      </c>
      <c r="AI2747">
        <v>91.573659930348796</v>
      </c>
      <c r="AJ2747">
        <v>93.720751898024005</v>
      </c>
      <c r="AK2747">
        <v>40.391350276658102</v>
      </c>
      <c r="AL2747">
        <v>78.177665828965601</v>
      </c>
      <c r="AM2747">
        <v>88.956632546760105</v>
      </c>
      <c r="AN2747">
        <v>0.99999998280781699</v>
      </c>
    </row>
    <row r="2748" spans="1:40" x14ac:dyDescent="0.25">
      <c r="A2748" t="str">
        <f>"20190312172714244"</f>
        <v>20190312172714244</v>
      </c>
      <c r="B2748" t="str">
        <f>"1552382834241617"</f>
        <v>1552382834241617</v>
      </c>
      <c r="C2748" t="s">
        <v>40</v>
      </c>
      <c r="D2748">
        <v>3.3763990000000002</v>
      </c>
      <c r="E2748">
        <v>0.47094659999999999</v>
      </c>
      <c r="F2748" t="s">
        <v>48</v>
      </c>
      <c r="G2748">
        <v>-274.96929999999998</v>
      </c>
      <c r="H2748" s="1">
        <v>1.0089110000000001E-6</v>
      </c>
      <c r="I2748">
        <v>216.87479999999999</v>
      </c>
      <c r="J2748">
        <v>-314.66629999999998</v>
      </c>
      <c r="K2748">
        <v>1.1092249999999999</v>
      </c>
      <c r="L2748">
        <v>213.55179999999999</v>
      </c>
      <c r="M2748">
        <v>0.99973020000000001</v>
      </c>
      <c r="N2748">
        <v>0</v>
      </c>
      <c r="O2748">
        <v>1.8117500000000002E-2</v>
      </c>
      <c r="P2748">
        <v>0.98171039999999998</v>
      </c>
      <c r="Q2748">
        <v>0.19038060000000001</v>
      </c>
      <c r="R2748">
        <v>-1.6520919999999899E-4</v>
      </c>
      <c r="S2748">
        <v>3.0724179999999999</v>
      </c>
      <c r="T2748">
        <v>-8.4910869999999999E-2</v>
      </c>
      <c r="U2748">
        <v>0.25497439999999999</v>
      </c>
      <c r="V2748">
        <v>1.8175819999999999E-2</v>
      </c>
      <c r="W2748">
        <v>0.20461579999999999</v>
      </c>
      <c r="X2748">
        <v>0.97867360000000003</v>
      </c>
      <c r="Y2748">
        <v>-6.4615329999999999E-2</v>
      </c>
      <c r="Z2748">
        <v>3.9148059999999997E-4</v>
      </c>
      <c r="AA2748">
        <v>0.99791010000000002</v>
      </c>
      <c r="AB2748">
        <v>44</v>
      </c>
      <c r="AC2748">
        <v>39.696999999999903</v>
      </c>
      <c r="AD2748">
        <v>-1.1092239910889901</v>
      </c>
      <c r="AE2748">
        <v>3.323</v>
      </c>
      <c r="AF2748">
        <v>-2.6011513056803799</v>
      </c>
      <c r="AG2748">
        <v>-1.1092239910889901</v>
      </c>
      <c r="AH2748">
        <v>39.719897445451402</v>
      </c>
      <c r="AI2748">
        <v>91.596217710115198</v>
      </c>
      <c r="AJ2748">
        <v>93.746799402311893</v>
      </c>
      <c r="AK2748">
        <v>39.820429669387401</v>
      </c>
      <c r="AL2748">
        <v>78.192990732191006</v>
      </c>
      <c r="AM2748">
        <v>88.936031309448595</v>
      </c>
      <c r="AN2748">
        <v>1.0000000006896299</v>
      </c>
    </row>
    <row r="2749" spans="1:40" x14ac:dyDescent="0.25">
      <c r="A2749" t="str">
        <f>"20190312172714267"</f>
        <v>20190312172714267</v>
      </c>
      <c r="B2749" t="str">
        <f>"1552382834262113"</f>
        <v>1552382834262113</v>
      </c>
      <c r="C2749" t="s">
        <v>40</v>
      </c>
      <c r="D2749">
        <v>3.3827379999999998</v>
      </c>
      <c r="E2749">
        <v>0.47085339999999998</v>
      </c>
      <c r="F2749" t="s">
        <v>48</v>
      </c>
      <c r="G2749">
        <v>-275.68990000000002</v>
      </c>
      <c r="H2749" s="1">
        <v>1.3969159999999999E-6</v>
      </c>
      <c r="I2749">
        <v>216.77099999999999</v>
      </c>
      <c r="J2749">
        <v>-314.20359999999999</v>
      </c>
      <c r="K2749">
        <v>1.109219</v>
      </c>
      <c r="L2749">
        <v>213.5598</v>
      </c>
      <c r="M2749">
        <v>0.9997374</v>
      </c>
      <c r="N2749">
        <v>0</v>
      </c>
      <c r="O2749">
        <v>1.7722669999999999E-2</v>
      </c>
      <c r="P2749">
        <v>0.98165729999999995</v>
      </c>
      <c r="Q2749">
        <v>0.1906525</v>
      </c>
      <c r="R2749">
        <v>-1.0709630000000001E-3</v>
      </c>
      <c r="S2749">
        <v>3.0729060000000001</v>
      </c>
      <c r="T2749">
        <v>-8.7451340000000002E-2</v>
      </c>
      <c r="U2749">
        <v>0.25379940000000001</v>
      </c>
      <c r="V2749">
        <v>1.8695779999999999E-2</v>
      </c>
      <c r="W2749">
        <v>0.20488329999999999</v>
      </c>
      <c r="X2749">
        <v>0.97860780000000003</v>
      </c>
      <c r="Y2749">
        <v>-6.4616199999999999E-2</v>
      </c>
      <c r="Z2749">
        <v>4.1435400000000002E-4</v>
      </c>
      <c r="AA2749">
        <v>0.99791010000000002</v>
      </c>
      <c r="AB2749">
        <v>44</v>
      </c>
      <c r="AC2749">
        <v>38.513699999999901</v>
      </c>
      <c r="AD2749">
        <v>-1.109217603084</v>
      </c>
      <c r="AE2749">
        <v>3.2111999999999901</v>
      </c>
      <c r="AF2749">
        <v>-2.5259771473099599</v>
      </c>
      <c r="AG2749">
        <v>-1.109217603084</v>
      </c>
      <c r="AH2749">
        <v>38.532825517881697</v>
      </c>
      <c r="AI2749">
        <v>91.645348787065799</v>
      </c>
      <c r="AJ2749">
        <v>93.750595680063995</v>
      </c>
      <c r="AK2749">
        <v>38.631458251420398</v>
      </c>
      <c r="AL2749">
        <v>78.177331921622496</v>
      </c>
      <c r="AM2749">
        <v>88.905527836465197</v>
      </c>
      <c r="AN2749">
        <v>0.99999996251476797</v>
      </c>
    </row>
    <row r="2750" spans="1:40" x14ac:dyDescent="0.25">
      <c r="A2750" t="str">
        <f>"20190312172714291"</f>
        <v>20190312172714291</v>
      </c>
      <c r="B2750" t="str">
        <f>"1552382834281632"</f>
        <v>1552382834281632</v>
      </c>
      <c r="C2750" t="s">
        <v>40</v>
      </c>
      <c r="D2750">
        <v>3.3764720000000001</v>
      </c>
      <c r="E2750">
        <v>0.47078520000000001</v>
      </c>
      <c r="F2750" t="s">
        <v>48</v>
      </c>
      <c r="G2750">
        <v>-274.75130000000001</v>
      </c>
      <c r="H2750" s="1">
        <v>8.9650249999999998E-7</v>
      </c>
      <c r="I2750">
        <v>216.79300000000001</v>
      </c>
      <c r="J2750">
        <v>-313.7595</v>
      </c>
      <c r="K2750">
        <v>1.109213</v>
      </c>
      <c r="L2750">
        <v>213.56739999999999</v>
      </c>
      <c r="M2750">
        <v>0.99974399999999997</v>
      </c>
      <c r="N2750">
        <v>0</v>
      </c>
      <c r="O2750">
        <v>1.7335940000000001E-2</v>
      </c>
      <c r="P2750">
        <v>0.98167289999999996</v>
      </c>
      <c r="Q2750">
        <v>0.1905656</v>
      </c>
      <c r="R2750">
        <v>-1.66562E-3</v>
      </c>
      <c r="S2750">
        <v>3.0731510000000002</v>
      </c>
      <c r="T2750">
        <v>-8.6403129999999995E-2</v>
      </c>
      <c r="U2750">
        <v>0.25184630000000002</v>
      </c>
      <c r="V2750">
        <v>1.891431E-2</v>
      </c>
      <c r="W2750">
        <v>0.20479320000000001</v>
      </c>
      <c r="X2750">
        <v>0.97862249999999995</v>
      </c>
      <c r="Y2750">
        <v>-6.4366149999999997E-2</v>
      </c>
      <c r="Z2750">
        <v>4.1670699999999999E-4</v>
      </c>
      <c r="AA2750">
        <v>0.99792619999999999</v>
      </c>
      <c r="AB2750">
        <v>44</v>
      </c>
      <c r="AC2750">
        <v>39.008199999999903</v>
      </c>
      <c r="AD2750">
        <v>-1.1092121034975</v>
      </c>
      <c r="AE2750">
        <v>3.2256000000000098</v>
      </c>
      <c r="AF2750">
        <v>-2.54675461015063</v>
      </c>
      <c r="AG2750">
        <v>-1.1092121034975</v>
      </c>
      <c r="AH2750">
        <v>39.026919704348899</v>
      </c>
      <c r="AI2750">
        <v>91.624552754473697</v>
      </c>
      <c r="AJ2750">
        <v>93.733620115617697</v>
      </c>
      <c r="AK2750">
        <v>39.125653632170298</v>
      </c>
      <c r="AL2750">
        <v>78.182606575947503</v>
      </c>
      <c r="AM2750">
        <v>88.892754637172899</v>
      </c>
      <c r="AN2750">
        <v>1.00000000169763</v>
      </c>
    </row>
    <row r="2751" spans="1:40" x14ac:dyDescent="0.25">
      <c r="A2751" t="str">
        <f>"20190312172714311"</f>
        <v>20190312172714311</v>
      </c>
      <c r="B2751" t="str">
        <f>"1552382834302129"</f>
        <v>1552382834302129</v>
      </c>
      <c r="C2751" t="s">
        <v>40</v>
      </c>
      <c r="D2751">
        <v>3.3595969999999999</v>
      </c>
      <c r="E2751">
        <v>0.47070309999999999</v>
      </c>
      <c r="F2751" t="s">
        <v>48</v>
      </c>
      <c r="G2751">
        <v>-274.63490000000002</v>
      </c>
      <c r="H2751" s="1">
        <v>8.3609709999999904E-7</v>
      </c>
      <c r="I2751">
        <v>216.75739999999999</v>
      </c>
      <c r="J2751">
        <v>-313.33819999999997</v>
      </c>
      <c r="K2751">
        <v>1.1092040000000001</v>
      </c>
      <c r="L2751">
        <v>213.5744</v>
      </c>
      <c r="M2751">
        <v>0.99975069999999999</v>
      </c>
      <c r="N2751">
        <v>0</v>
      </c>
      <c r="O2751">
        <v>1.695847E-2</v>
      </c>
      <c r="P2751">
        <v>0.98170230000000003</v>
      </c>
      <c r="Q2751">
        <v>0.1904081</v>
      </c>
      <c r="R2751">
        <v>-2.3825610000000001E-3</v>
      </c>
      <c r="S2751">
        <v>3.0733030000000001</v>
      </c>
      <c r="T2751">
        <v>-8.7130550000000001E-2</v>
      </c>
      <c r="U2751">
        <v>0.25057980000000002</v>
      </c>
      <c r="V2751">
        <v>1.926464E-2</v>
      </c>
      <c r="W2751">
        <v>0.20463310000000001</v>
      </c>
      <c r="X2751">
        <v>0.97864910000000005</v>
      </c>
      <c r="Y2751">
        <v>-6.4329940000000002E-2</v>
      </c>
      <c r="Z2751">
        <v>4.303655E-4</v>
      </c>
      <c r="AA2751">
        <v>0.99792860000000005</v>
      </c>
      <c r="AB2751">
        <v>44</v>
      </c>
      <c r="AC2751">
        <v>38.703299999999899</v>
      </c>
      <c r="AD2751">
        <v>-1.1092031639028901</v>
      </c>
      <c r="AE2751">
        <v>3.1829999999999901</v>
      </c>
      <c r="AF2751">
        <v>-2.5240649774530302</v>
      </c>
      <c r="AG2751">
        <v>-1.1092031639028901</v>
      </c>
      <c r="AH2751">
        <v>38.720128622042601</v>
      </c>
      <c r="AI2751">
        <v>91.63741172716</v>
      </c>
      <c r="AJ2751">
        <v>93.729686583536406</v>
      </c>
      <c r="AK2751">
        <v>38.818160649066598</v>
      </c>
      <c r="AL2751">
        <v>78.191977438540505</v>
      </c>
      <c r="AM2751">
        <v>88.8722821812771</v>
      </c>
      <c r="AN2751">
        <v>0.99999994645037305</v>
      </c>
    </row>
    <row r="2752" spans="1:40" x14ac:dyDescent="0.25">
      <c r="A2752" t="str">
        <f>"20190312172714334"</f>
        <v>20190312172714334</v>
      </c>
      <c r="B2752" t="str">
        <f>"1552382834321649"</f>
        <v>1552382834321649</v>
      </c>
      <c r="C2752" t="s">
        <v>40</v>
      </c>
      <c r="D2752">
        <v>3.3829389999999999</v>
      </c>
      <c r="E2752">
        <v>0.47061190000000003</v>
      </c>
      <c r="F2752" t="s">
        <v>48</v>
      </c>
      <c r="G2752">
        <v>-274.40609999999998</v>
      </c>
      <c r="H2752" s="1">
        <v>7.1525409999999905E-7</v>
      </c>
      <c r="I2752">
        <v>216.73589999999999</v>
      </c>
      <c r="J2752">
        <v>-312.89909999999998</v>
      </c>
      <c r="K2752">
        <v>1.109191</v>
      </c>
      <c r="L2752">
        <v>213.58150000000001</v>
      </c>
      <c r="M2752">
        <v>0.99975729999999996</v>
      </c>
      <c r="N2752">
        <v>0</v>
      </c>
      <c r="O2752">
        <v>1.6555759999999999E-2</v>
      </c>
      <c r="P2752">
        <v>0.98174669999999997</v>
      </c>
      <c r="Q2752">
        <v>0.1901668</v>
      </c>
      <c r="R2752">
        <v>-3.168639E-3</v>
      </c>
      <c r="S2752">
        <v>3.0735169999999998</v>
      </c>
      <c r="T2752">
        <v>-8.7566610000000003E-2</v>
      </c>
      <c r="U2752">
        <v>0.249588</v>
      </c>
      <c r="V2752">
        <v>1.9660569999999999E-2</v>
      </c>
      <c r="W2752">
        <v>0.20438899999999999</v>
      </c>
      <c r="X2752">
        <v>0.97869229999999996</v>
      </c>
      <c r="Y2752">
        <v>-6.4405999999999894E-2</v>
      </c>
      <c r="Z2752">
        <v>4.4502369999999998E-4</v>
      </c>
      <c r="AA2752">
        <v>0.99792369999999997</v>
      </c>
      <c r="AB2752">
        <v>44</v>
      </c>
      <c r="AC2752">
        <v>38.493000000000002</v>
      </c>
      <c r="AD2752">
        <v>-1.1091902847458901</v>
      </c>
      <c r="AE2752">
        <v>3.1543999999999799</v>
      </c>
      <c r="AF2752">
        <v>-2.5145454219752001</v>
      </c>
      <c r="AG2752">
        <v>-1.1091902847458901</v>
      </c>
      <c r="AH2752">
        <v>38.508191133517798</v>
      </c>
      <c r="AI2752">
        <v>91.646387569121501</v>
      </c>
      <c r="AJ2752">
        <v>93.736051596022705</v>
      </c>
      <c r="AK2752">
        <v>38.6061397467099</v>
      </c>
      <c r="AL2752">
        <v>78.206266080990005</v>
      </c>
      <c r="AM2752">
        <v>88.849162100339797</v>
      </c>
      <c r="AN2752">
        <v>1.0000000097065</v>
      </c>
    </row>
    <row r="2753" spans="1:40" x14ac:dyDescent="0.25">
      <c r="A2753" t="str">
        <f>"20190312172714355"</f>
        <v>20190312172714355</v>
      </c>
      <c r="B2753" t="str">
        <f>"1552382834351905"</f>
        <v>1552382834351905</v>
      </c>
      <c r="C2753" t="s">
        <v>40</v>
      </c>
      <c r="D2753">
        <v>3.374514</v>
      </c>
      <c r="E2753">
        <v>0.47042060000000002</v>
      </c>
      <c r="F2753" t="s">
        <v>48</v>
      </c>
      <c r="G2753">
        <v>-274.3485</v>
      </c>
      <c r="H2753" s="1">
        <v>6.8666950000000003E-7</v>
      </c>
      <c r="I2753">
        <v>216.6891</v>
      </c>
      <c r="J2753">
        <v>-312.48500000000001</v>
      </c>
      <c r="K2753">
        <v>1.1091839999999999</v>
      </c>
      <c r="L2753">
        <v>213.58799999999999</v>
      </c>
      <c r="M2753">
        <v>0.99976379999999998</v>
      </c>
      <c r="N2753">
        <v>0</v>
      </c>
      <c r="O2753">
        <v>1.616706E-2</v>
      </c>
      <c r="P2753">
        <v>0.9818519</v>
      </c>
      <c r="Q2753">
        <v>0.18961639999999999</v>
      </c>
      <c r="R2753">
        <v>-3.5427840000000002E-3</v>
      </c>
      <c r="S2753">
        <v>3.0737000000000001</v>
      </c>
      <c r="T2753">
        <v>-8.8437559999999998E-2</v>
      </c>
      <c r="U2753">
        <v>0.2477722</v>
      </c>
      <c r="V2753">
        <v>1.9658680000000001E-2</v>
      </c>
      <c r="W2753">
        <v>0.2038372</v>
      </c>
      <c r="X2753">
        <v>0.97880739999999999</v>
      </c>
      <c r="Y2753">
        <v>-6.4203049999999998E-2</v>
      </c>
      <c r="Z2753">
        <v>4.5767680000000002E-4</v>
      </c>
      <c r="AA2753">
        <v>0.99793670000000001</v>
      </c>
      <c r="AB2753">
        <v>44</v>
      </c>
      <c r="AC2753">
        <v>38.136499999999998</v>
      </c>
      <c r="AD2753">
        <v>-1.1091833133305</v>
      </c>
      <c r="AE2753">
        <v>3.1011000000000002</v>
      </c>
      <c r="AF2753">
        <v>-2.4819887318112102</v>
      </c>
      <c r="AG2753">
        <v>-1.1091833133305</v>
      </c>
      <c r="AH2753">
        <v>38.149596437096498</v>
      </c>
      <c r="AI2753">
        <v>91.661869868057195</v>
      </c>
      <c r="AJ2753">
        <v>93.722381331751706</v>
      </c>
      <c r="AK2753">
        <v>38.246336608892797</v>
      </c>
      <c r="AL2753">
        <v>78.238561653015907</v>
      </c>
      <c r="AM2753">
        <v>88.8494079823992</v>
      </c>
      <c r="AN2753">
        <v>0.99999999704897102</v>
      </c>
    </row>
    <row r="2754" spans="1:40" x14ac:dyDescent="0.25">
      <c r="A2754" t="str">
        <f>"20190312172714378"</f>
        <v>20190312172714378</v>
      </c>
      <c r="B2754" t="str">
        <f>"1552382834371425"</f>
        <v>1552382834371425</v>
      </c>
      <c r="C2754" t="s">
        <v>40</v>
      </c>
      <c r="D2754">
        <v>3.41628</v>
      </c>
      <c r="E2754">
        <v>0.47029530000000003</v>
      </c>
      <c r="F2754" t="s">
        <v>48</v>
      </c>
      <c r="G2754">
        <v>-274.72059999999999</v>
      </c>
      <c r="H2754" s="1">
        <v>8.8710139999999899E-7</v>
      </c>
      <c r="I2754">
        <v>216.63310000000001</v>
      </c>
      <c r="J2754">
        <v>-312.03480000000002</v>
      </c>
      <c r="K2754">
        <v>1.1091709999999999</v>
      </c>
      <c r="L2754">
        <v>213.5949</v>
      </c>
      <c r="M2754">
        <v>0.99977070000000001</v>
      </c>
      <c r="N2754">
        <v>0</v>
      </c>
      <c r="O2754">
        <v>1.573227E-2</v>
      </c>
      <c r="P2754">
        <v>0.98185409999999995</v>
      </c>
      <c r="Q2754">
        <v>0.18959200000000001</v>
      </c>
      <c r="R2754">
        <v>-4.1722240000000004E-3</v>
      </c>
      <c r="S2754">
        <v>3.0737920000000001</v>
      </c>
      <c r="T2754">
        <v>-9.0280650000000004E-2</v>
      </c>
      <c r="U2754">
        <v>0.2478485</v>
      </c>
      <c r="V2754">
        <v>1.9866269999999998E-2</v>
      </c>
      <c r="W2754">
        <v>0.2038092</v>
      </c>
      <c r="X2754">
        <v>0.97880909999999999</v>
      </c>
      <c r="Y2754">
        <v>-6.465804E-2</v>
      </c>
      <c r="Z2754">
        <v>4.866095E-4</v>
      </c>
      <c r="AA2754">
        <v>0.99790730000000005</v>
      </c>
      <c r="AB2754">
        <v>44</v>
      </c>
      <c r="AC2754">
        <v>37.3142</v>
      </c>
      <c r="AD2754">
        <v>-1.1091701128986</v>
      </c>
      <c r="AE2754">
        <v>3.03820000000001</v>
      </c>
      <c r="AF2754">
        <v>-2.4485756149237301</v>
      </c>
      <c r="AG2754">
        <v>-1.1091701128986</v>
      </c>
      <c r="AH2754">
        <v>37.324621598964697</v>
      </c>
      <c r="AI2754">
        <v>91.698500247592094</v>
      </c>
      <c r="AJ2754">
        <v>93.753348422282599</v>
      </c>
      <c r="AK2754">
        <v>37.421292847618801</v>
      </c>
      <c r="AL2754">
        <v>78.240201043225994</v>
      </c>
      <c r="AM2754">
        <v>88.8372633990206</v>
      </c>
      <c r="AN2754">
        <v>1.00000005646557</v>
      </c>
    </row>
    <row r="2755" spans="1:40" x14ac:dyDescent="0.25">
      <c r="A2755" t="str">
        <f>"20190312172714401"</f>
        <v>20190312172714401</v>
      </c>
      <c r="B2755" t="str">
        <f>"1552382834391921"</f>
        <v>1552382834391921</v>
      </c>
      <c r="C2755" t="s">
        <v>40</v>
      </c>
      <c r="D2755">
        <v>3.3856799999999998</v>
      </c>
      <c r="E2755">
        <v>0.47021059999999998</v>
      </c>
      <c r="F2755" t="s">
        <v>48</v>
      </c>
      <c r="G2755">
        <v>-274.2466</v>
      </c>
      <c r="H2755" s="1">
        <v>6.3517209999999998E-7</v>
      </c>
      <c r="I2755">
        <v>216.62710000000001</v>
      </c>
      <c r="J2755">
        <v>-311.58100000000002</v>
      </c>
      <c r="K2755">
        <v>1.109167</v>
      </c>
      <c r="L2755">
        <v>213.60169999999999</v>
      </c>
      <c r="M2755">
        <v>0.9997779</v>
      </c>
      <c r="N2755">
        <v>0</v>
      </c>
      <c r="O2755">
        <v>1.527944E-2</v>
      </c>
      <c r="P2755">
        <v>0.98177510000000001</v>
      </c>
      <c r="Q2755">
        <v>0.18997639999999999</v>
      </c>
      <c r="R2755">
        <v>-5.1761480000000002E-3</v>
      </c>
      <c r="S2755">
        <v>3.0739139999999998</v>
      </c>
      <c r="T2755">
        <v>-9.0226650000000005E-2</v>
      </c>
      <c r="U2755">
        <v>0.2466583</v>
      </c>
      <c r="V2755">
        <v>2.0430779999999999E-2</v>
      </c>
      <c r="W2755">
        <v>0.20418829999999999</v>
      </c>
      <c r="X2755">
        <v>0.97871839999999999</v>
      </c>
      <c r="Y2755">
        <v>-6.4722760000000004E-2</v>
      </c>
      <c r="Z2755">
        <v>5.0051800000000003E-4</v>
      </c>
      <c r="AA2755">
        <v>0.99790319999999999</v>
      </c>
      <c r="AB2755">
        <v>44</v>
      </c>
      <c r="AC2755">
        <v>37.334399999999903</v>
      </c>
      <c r="AD2755">
        <v>-1.1091663648279</v>
      </c>
      <c r="AE2755">
        <v>3.0254000000000101</v>
      </c>
      <c r="AF2755">
        <v>-2.4523875086248701</v>
      </c>
      <c r="AG2755">
        <v>-1.1091663648279</v>
      </c>
      <c r="AH2755">
        <v>37.343526835126603</v>
      </c>
      <c r="AI2755">
        <v>91.6976275124007</v>
      </c>
      <c r="AJ2755">
        <v>93.7572771818989</v>
      </c>
      <c r="AK2755">
        <v>37.440398649094902</v>
      </c>
      <c r="AL2755">
        <v>78.218012875019696</v>
      </c>
      <c r="AM2755">
        <v>88.804122335219802</v>
      </c>
      <c r="AN2755">
        <v>0.99999999256342897</v>
      </c>
    </row>
    <row r="2756" spans="1:40" x14ac:dyDescent="0.25">
      <c r="A2756" t="str">
        <f>"20190312172714535"</f>
        <v>20190312172714535</v>
      </c>
      <c r="B2756" t="str">
        <f>"1552382834531489"</f>
        <v>1552382834531489</v>
      </c>
      <c r="C2756" t="s">
        <v>40</v>
      </c>
      <c r="D2756">
        <v>3.5697589999999901</v>
      </c>
      <c r="E2756">
        <v>0.57114319999999996</v>
      </c>
      <c r="F2756" t="s">
        <v>48</v>
      </c>
      <c r="G2756">
        <v>-273.13200000000001</v>
      </c>
      <c r="H2756" s="1">
        <v>4.0176429999999901E-8</v>
      </c>
      <c r="I2756">
        <v>216.66849999999999</v>
      </c>
      <c r="J2756">
        <v>-308.9633</v>
      </c>
      <c r="K2756">
        <v>1.1091219999999999</v>
      </c>
      <c r="L2756">
        <v>213.6362</v>
      </c>
      <c r="M2756">
        <v>0.99981719999999996</v>
      </c>
      <c r="N2756">
        <v>0</v>
      </c>
      <c r="O2756">
        <v>1.245272E-2</v>
      </c>
      <c r="P2756">
        <v>0.9816452</v>
      </c>
      <c r="Q2756">
        <v>0.19043660000000001</v>
      </c>
      <c r="R2756">
        <v>-1.033129E-2</v>
      </c>
      <c r="S2756">
        <v>3.0741580000000002</v>
      </c>
      <c r="T2756">
        <v>-8.8682529999999996E-2</v>
      </c>
      <c r="U2756">
        <v>0.2452087</v>
      </c>
      <c r="V2756">
        <v>2.283845E-2</v>
      </c>
      <c r="W2756">
        <v>0.20462520000000001</v>
      </c>
      <c r="X2756">
        <v>0.9785739</v>
      </c>
      <c r="Y2756">
        <v>-6.7068660000000002E-2</v>
      </c>
      <c r="Z2756">
        <v>6.0708069999999999E-4</v>
      </c>
      <c r="AA2756">
        <v>0.99774819999999997</v>
      </c>
      <c r="AB2756">
        <v>44</v>
      </c>
      <c r="AC2756">
        <v>35.831299999999999</v>
      </c>
      <c r="AD2756">
        <v>-1.10912195982357</v>
      </c>
      <c r="AE2756">
        <v>3.03229999999999</v>
      </c>
      <c r="AF2756">
        <v>-2.58336306854441</v>
      </c>
      <c r="AG2756">
        <v>-1.10912195982357</v>
      </c>
      <c r="AH2756">
        <v>35.832196996686903</v>
      </c>
      <c r="AI2756">
        <v>91.768336038519607</v>
      </c>
      <c r="AJ2756">
        <v>94.123669638108098</v>
      </c>
      <c r="AK2756">
        <v>35.942318482188398</v>
      </c>
      <c r="AL2756">
        <v>78.192440172484297</v>
      </c>
      <c r="AM2756">
        <v>88.663044977000993</v>
      </c>
      <c r="AN2756">
        <v>0.99999997251732597</v>
      </c>
    </row>
    <row r="2757" spans="1:40" x14ac:dyDescent="0.25">
      <c r="A2757" t="str">
        <f>"20190312172714555"</f>
        <v>20190312172714555</v>
      </c>
      <c r="B2757" t="str">
        <f>"1552382834551985"</f>
        <v>1552382834551985</v>
      </c>
      <c r="C2757" t="s">
        <v>40</v>
      </c>
      <c r="D2757">
        <v>3.7085870000000001</v>
      </c>
      <c r="E2757">
        <v>0.57277699999999998</v>
      </c>
      <c r="F2757" t="s">
        <v>44</v>
      </c>
      <c r="G2757">
        <v>-308.05410000000001</v>
      </c>
      <c r="H2757">
        <v>0.86664769999999902</v>
      </c>
      <c r="I2757">
        <v>213.4811</v>
      </c>
      <c r="J2757">
        <v>-308.55059999999997</v>
      </c>
      <c r="K2757">
        <v>1.1091169999999999</v>
      </c>
      <c r="L2757">
        <v>213.64099999999999</v>
      </c>
      <c r="M2757">
        <v>0.99982300000000002</v>
      </c>
      <c r="N2757">
        <v>0</v>
      </c>
      <c r="O2757">
        <v>1.1991099999999999E-2</v>
      </c>
      <c r="P2757">
        <v>0.98152669999999997</v>
      </c>
      <c r="Q2757">
        <v>0.1910268</v>
      </c>
      <c r="R2757">
        <v>-1.0701169999999999E-2</v>
      </c>
      <c r="S2757">
        <v>3.2167659999999998</v>
      </c>
      <c r="T2757">
        <v>-0.85788659999999906</v>
      </c>
      <c r="U2757">
        <v>-0.54820249999999904</v>
      </c>
      <c r="V2757">
        <v>2.2757019999999999E-2</v>
      </c>
      <c r="W2757">
        <v>0.20521130000000001</v>
      </c>
      <c r="X2757">
        <v>0.97845309999999996</v>
      </c>
      <c r="Y2757">
        <v>0.1735015</v>
      </c>
      <c r="Z2757">
        <v>-2.5706389999999999E-2</v>
      </c>
      <c r="AA2757">
        <v>0.98449799999999998</v>
      </c>
      <c r="AB2757">
        <v>44</v>
      </c>
      <c r="AC2757">
        <v>0.49649999999996902</v>
      </c>
      <c r="AD2757">
        <v>-0.242469299999999</v>
      </c>
      <c r="AE2757">
        <v>-0.15989999999999299</v>
      </c>
      <c r="AF2757">
        <v>0.13637472749215601</v>
      </c>
      <c r="AG2757">
        <v>-0.242469299999999</v>
      </c>
      <c r="AH2757">
        <v>0.40667253049363</v>
      </c>
      <c r="AI2757">
        <v>119.479009296781</v>
      </c>
      <c r="AJ2757">
        <v>71.4614903145482</v>
      </c>
      <c r="AK2757">
        <v>0.49271896127421599</v>
      </c>
      <c r="AL2757">
        <v>78.158131545104794</v>
      </c>
      <c r="AM2757">
        <v>88.667645727209702</v>
      </c>
      <c r="AN2757">
        <v>1.0000000142532901</v>
      </c>
    </row>
    <row r="2758" spans="1:40" x14ac:dyDescent="0.25">
      <c r="A2758" t="str">
        <f>"20190312172714580"</f>
        <v>20190312172714580</v>
      </c>
      <c r="B2758" t="str">
        <f>"1552382834571508"</f>
        <v>1552382834571508</v>
      </c>
      <c r="C2758" t="s">
        <v>40</v>
      </c>
      <c r="D2758">
        <v>3.4929890000000001</v>
      </c>
      <c r="E2758">
        <v>0.57333179999999995</v>
      </c>
      <c r="F2758" t="s">
        <v>44</v>
      </c>
      <c r="G2758">
        <v>-307.65379999999999</v>
      </c>
      <c r="H2758">
        <v>0.88933809999999902</v>
      </c>
      <c r="I2758">
        <v>213.48269999999999</v>
      </c>
      <c r="J2758">
        <v>-308.08539999999999</v>
      </c>
      <c r="K2758">
        <v>1.1091169999999999</v>
      </c>
      <c r="L2758">
        <v>213.64609999999999</v>
      </c>
      <c r="M2758">
        <v>0.99982910000000003</v>
      </c>
      <c r="N2758">
        <v>0</v>
      </c>
      <c r="O2758">
        <v>1.146983E-2</v>
      </c>
      <c r="P2758">
        <v>0.98153509999999999</v>
      </c>
      <c r="Q2758">
        <v>0.19094800000000001</v>
      </c>
      <c r="R2758">
        <v>-1.1321370000000001E-2</v>
      </c>
      <c r="S2758">
        <v>3.2030940000000001</v>
      </c>
      <c r="T2758">
        <v>-0.78501690000000002</v>
      </c>
      <c r="U2758">
        <v>-0.56538389999999905</v>
      </c>
      <c r="V2758">
        <v>2.2867470000000001E-2</v>
      </c>
      <c r="W2758">
        <v>0.20512920000000001</v>
      </c>
      <c r="X2758">
        <v>0.97846770000000005</v>
      </c>
      <c r="Y2758">
        <v>0.1796201</v>
      </c>
      <c r="Z2758">
        <v>-2.4281049999999998E-2</v>
      </c>
      <c r="AA2758">
        <v>0.98343630000000004</v>
      </c>
      <c r="AB2758">
        <v>44</v>
      </c>
      <c r="AC2758">
        <v>0.43160000000000298</v>
      </c>
      <c r="AD2758">
        <v>-0.219778899999999</v>
      </c>
      <c r="AE2758">
        <v>-0.16339999999999499</v>
      </c>
      <c r="AF2758">
        <v>0.137219254679564</v>
      </c>
      <c r="AG2758">
        <v>-0.219778899999999</v>
      </c>
      <c r="AH2758">
        <v>0.35025948990386602</v>
      </c>
      <c r="AI2758">
        <v>120.295173216313</v>
      </c>
      <c r="AJ2758">
        <v>68.606514478435003</v>
      </c>
      <c r="AK2758">
        <v>0.43567602528454802</v>
      </c>
      <c r="AL2758">
        <v>78.162937302379007</v>
      </c>
      <c r="AM2758">
        <v>88.661201533331393</v>
      </c>
      <c r="AN2758">
        <v>0.99999997491006498</v>
      </c>
    </row>
    <row r="2759" spans="1:40" x14ac:dyDescent="0.25">
      <c r="A2759" t="str">
        <f>"20190312172714600"</f>
        <v>20190312172714600</v>
      </c>
      <c r="B2759" t="str">
        <f>"1552382834592004"</f>
        <v>1552382834592004</v>
      </c>
      <c r="C2759" t="s">
        <v>40</v>
      </c>
      <c r="D2759">
        <v>3.4887860000000002</v>
      </c>
      <c r="E2759">
        <v>0.57374449999999999</v>
      </c>
      <c r="F2759" t="s">
        <v>44</v>
      </c>
      <c r="G2759">
        <v>-307.25439999999998</v>
      </c>
      <c r="H2759">
        <v>0.91249899999999995</v>
      </c>
      <c r="I2759">
        <v>213.49680000000001</v>
      </c>
      <c r="J2759">
        <v>-307.67140000000001</v>
      </c>
      <c r="K2759">
        <v>1.1091120000000001</v>
      </c>
      <c r="L2759">
        <v>213.65049999999999</v>
      </c>
      <c r="M2759">
        <v>0.99983440000000001</v>
      </c>
      <c r="N2759">
        <v>0</v>
      </c>
      <c r="O2759">
        <v>1.1006149999999999E-2</v>
      </c>
      <c r="P2759">
        <v>0.98150870000000001</v>
      </c>
      <c r="Q2759">
        <v>0.19105739999999999</v>
      </c>
      <c r="R2759">
        <v>-1.17417999999999E-2</v>
      </c>
      <c r="S2759">
        <v>3.1969910000000001</v>
      </c>
      <c r="T2759">
        <v>-0.75643530000000003</v>
      </c>
      <c r="U2759">
        <v>-0.57339479999999998</v>
      </c>
      <c r="V2759">
        <v>2.2834110000000001E-2</v>
      </c>
      <c r="W2759">
        <v>0.2052361</v>
      </c>
      <c r="X2759">
        <v>0.97844609999999999</v>
      </c>
      <c r="Y2759">
        <v>0.1821885</v>
      </c>
      <c r="Z2759">
        <v>-2.3648530000000001E-2</v>
      </c>
      <c r="AA2759">
        <v>0.98297920000000005</v>
      </c>
      <c r="AB2759">
        <v>44</v>
      </c>
      <c r="AC2759">
        <v>0.41700000000003001</v>
      </c>
      <c r="AD2759">
        <v>-0.19661300000000001</v>
      </c>
      <c r="AE2759">
        <v>-0.15369999999998599</v>
      </c>
      <c r="AF2759">
        <v>0.13237302898217501</v>
      </c>
      <c r="AG2759">
        <v>-0.19661300000000001</v>
      </c>
      <c r="AH2759">
        <v>0.34730857929597903</v>
      </c>
      <c r="AI2759">
        <v>117.878164597794</v>
      </c>
      <c r="AJ2759">
        <v>69.136178584571695</v>
      </c>
      <c r="AK2759">
        <v>0.42047894099884098</v>
      </c>
      <c r="AL2759">
        <v>78.156679680060606</v>
      </c>
      <c r="AM2759">
        <v>88.663124416715505</v>
      </c>
      <c r="AN2759">
        <v>1.0000000119639501</v>
      </c>
    </row>
    <row r="2760" spans="1:40" x14ac:dyDescent="0.25">
      <c r="A2760" t="str">
        <f>"20190312172714623"</f>
        <v>20190312172714623</v>
      </c>
      <c r="B2760" t="str">
        <f>"1552382834611521"</f>
        <v>1552382834611521</v>
      </c>
      <c r="C2760" t="s">
        <v>40</v>
      </c>
      <c r="D2760">
        <v>3.5251420000000002</v>
      </c>
      <c r="E2760">
        <v>0.57403439999999994</v>
      </c>
      <c r="F2760" t="s">
        <v>44</v>
      </c>
      <c r="G2760">
        <v>-306.86110000000002</v>
      </c>
      <c r="H2760">
        <v>0.92134879999999997</v>
      </c>
      <c r="I2760">
        <v>213.50389999999999</v>
      </c>
      <c r="J2760">
        <v>-307.2328</v>
      </c>
      <c r="K2760">
        <v>1.1091120000000001</v>
      </c>
      <c r="L2760">
        <v>213.6549</v>
      </c>
      <c r="M2760">
        <v>0.99983960000000005</v>
      </c>
      <c r="N2760">
        <v>0</v>
      </c>
      <c r="O2760">
        <v>1.051471E-2</v>
      </c>
      <c r="P2760">
        <v>0.98160650000000005</v>
      </c>
      <c r="Q2760">
        <v>0.1905365</v>
      </c>
      <c r="R2760">
        <v>-1.203719E-2</v>
      </c>
      <c r="S2760">
        <v>3.193695</v>
      </c>
      <c r="T2760">
        <v>-0.74000690000000002</v>
      </c>
      <c r="U2760">
        <v>-0.5773315</v>
      </c>
      <c r="V2760">
        <v>2.264859E-2</v>
      </c>
      <c r="W2760">
        <v>0.20471429999999999</v>
      </c>
      <c r="X2760">
        <v>0.97855970000000003</v>
      </c>
      <c r="Y2760">
        <v>0.18325179999999999</v>
      </c>
      <c r="Z2760">
        <v>-2.3177570000000002E-2</v>
      </c>
      <c r="AA2760">
        <v>0.98279269999999996</v>
      </c>
      <c r="AB2760">
        <v>44</v>
      </c>
      <c r="AC2760">
        <v>0.37169999999997499</v>
      </c>
      <c r="AD2760">
        <v>-0.18776319999999999</v>
      </c>
      <c r="AE2760">
        <v>-0.15100000000000999</v>
      </c>
      <c r="AF2760">
        <v>0.127068854140194</v>
      </c>
      <c r="AG2760">
        <v>-0.18776319999999999</v>
      </c>
      <c r="AH2760">
        <v>0.30359583750138502</v>
      </c>
      <c r="AI2760">
        <v>119.705136719018</v>
      </c>
      <c r="AJ2760">
        <v>67.288442180497199</v>
      </c>
      <c r="AK2760">
        <v>0.37890888814451001</v>
      </c>
      <c r="AL2760">
        <v>78.187224980477694</v>
      </c>
      <c r="AM2760">
        <v>88.674136099763203</v>
      </c>
      <c r="AN2760">
        <v>0.99999999485878399</v>
      </c>
    </row>
    <row r="2761" spans="1:40" x14ac:dyDescent="0.25">
      <c r="A2761" t="str">
        <f>"20190312172714646"</f>
        <v>20190312172714646</v>
      </c>
      <c r="B2761" t="str">
        <f>"1552382834641777"</f>
        <v>1552382834641777</v>
      </c>
      <c r="C2761" t="s">
        <v>40</v>
      </c>
      <c r="D2761">
        <v>3.4777640000000001</v>
      </c>
      <c r="E2761">
        <v>0.5745441</v>
      </c>
      <c r="F2761" t="s">
        <v>44</v>
      </c>
      <c r="G2761">
        <v>-306.4667</v>
      </c>
      <c r="H2761">
        <v>0.93367120000000003</v>
      </c>
      <c r="I2761">
        <v>213.51519999999999</v>
      </c>
      <c r="J2761">
        <v>-306.79689999999999</v>
      </c>
      <c r="K2761">
        <v>1.1091059999999999</v>
      </c>
      <c r="L2761">
        <v>213.6591</v>
      </c>
      <c r="M2761">
        <v>0.99984470000000003</v>
      </c>
      <c r="N2761">
        <v>0</v>
      </c>
      <c r="O2761">
        <v>1.002632E-2</v>
      </c>
      <c r="P2761">
        <v>0.98157850000000002</v>
      </c>
      <c r="Q2761">
        <v>0.19064510000000001</v>
      </c>
      <c r="R2761">
        <v>-1.257729E-2</v>
      </c>
      <c r="S2761">
        <v>3.1909179999999999</v>
      </c>
      <c r="T2761">
        <v>-0.73078719999999997</v>
      </c>
      <c r="U2761">
        <v>-0.58113099999999995</v>
      </c>
      <c r="V2761">
        <v>2.2710210000000002E-2</v>
      </c>
      <c r="W2761">
        <v>0.20482030000000001</v>
      </c>
      <c r="X2761">
        <v>0.97853610000000002</v>
      </c>
      <c r="Y2761">
        <v>0.18415899999999999</v>
      </c>
      <c r="Z2761">
        <v>-2.2904890000000001E-2</v>
      </c>
      <c r="AA2761">
        <v>0.98262950000000004</v>
      </c>
      <c r="AB2761">
        <v>44</v>
      </c>
      <c r="AC2761">
        <v>0.33019999999999</v>
      </c>
      <c r="AD2761">
        <v>-0.1754348</v>
      </c>
      <c r="AE2761">
        <v>-0.143900000000002</v>
      </c>
      <c r="AF2761">
        <v>0.11897902684803401</v>
      </c>
      <c r="AG2761">
        <v>-0.1754348</v>
      </c>
      <c r="AH2761">
        <v>0.26570794343085302</v>
      </c>
      <c r="AI2761">
        <v>121.073140578909</v>
      </c>
      <c r="AJ2761">
        <v>65.878061148836906</v>
      </c>
      <c r="AK2761">
        <v>0.33990305836076001</v>
      </c>
      <c r="AL2761">
        <v>78.1810202609295</v>
      </c>
      <c r="AM2761">
        <v>88.670498063654904</v>
      </c>
      <c r="AN2761">
        <v>1.00000000396677</v>
      </c>
    </row>
    <row r="2762" spans="1:40" x14ac:dyDescent="0.25">
      <c r="A2762" t="str">
        <f>"20190312172714670"</f>
        <v>20190312172714670</v>
      </c>
      <c r="B2762" t="str">
        <f>"1552382834662273"</f>
        <v>1552382834662273</v>
      </c>
      <c r="C2762" t="s">
        <v>40</v>
      </c>
      <c r="D2762">
        <v>3.4835639999999999</v>
      </c>
      <c r="E2762">
        <v>0.57487519999999903</v>
      </c>
      <c r="F2762" t="s">
        <v>44</v>
      </c>
      <c r="G2762">
        <v>-306.07240000000002</v>
      </c>
      <c r="H2762">
        <v>0.94530320000000001</v>
      </c>
      <c r="I2762">
        <v>213.52539999999999</v>
      </c>
      <c r="J2762">
        <v>-306.34469999999999</v>
      </c>
      <c r="K2762">
        <v>1.1091089999999999</v>
      </c>
      <c r="L2762">
        <v>213.66309999999999</v>
      </c>
      <c r="M2762">
        <v>0.99984980000000001</v>
      </c>
      <c r="N2762">
        <v>0</v>
      </c>
      <c r="O2762">
        <v>9.5192230000000003E-3</v>
      </c>
      <c r="P2762">
        <v>0.98154249999999998</v>
      </c>
      <c r="Q2762">
        <v>0.19076499999999999</v>
      </c>
      <c r="R2762">
        <v>-1.3545130000000001E-2</v>
      </c>
      <c r="S2762">
        <v>3.188812</v>
      </c>
      <c r="T2762">
        <v>-0.72097230000000001</v>
      </c>
      <c r="U2762">
        <v>-0.58731080000000002</v>
      </c>
      <c r="V2762">
        <v>2.3180599999999999E-2</v>
      </c>
      <c r="W2762">
        <v>0.20493600000000001</v>
      </c>
      <c r="X2762">
        <v>0.97850079999999995</v>
      </c>
      <c r="Y2762">
        <v>0.1857163</v>
      </c>
      <c r="Z2762">
        <v>-2.267535E-2</v>
      </c>
      <c r="AA2762">
        <v>0.98234180000000004</v>
      </c>
      <c r="AB2762">
        <v>44</v>
      </c>
      <c r="AC2762">
        <v>0.27229999999997201</v>
      </c>
      <c r="AD2762">
        <v>-0.1638058</v>
      </c>
      <c r="AE2762">
        <v>-0.13769999999999499</v>
      </c>
      <c r="AF2762">
        <v>0.108902291572058</v>
      </c>
      <c r="AG2762">
        <v>-0.1638058</v>
      </c>
      <c r="AH2762">
        <v>0.21035571582099999</v>
      </c>
      <c r="AI2762">
        <v>124.66508712421</v>
      </c>
      <c r="AJ2762">
        <v>62.629153008940499</v>
      </c>
      <c r="AK2762">
        <v>0.28799579233358702</v>
      </c>
      <c r="AL2762">
        <v>78.174246943399496</v>
      </c>
      <c r="AM2762">
        <v>88.642921730685998</v>
      </c>
      <c r="AN2762">
        <v>0.99999995995649904</v>
      </c>
    </row>
    <row r="2763" spans="1:40" x14ac:dyDescent="0.25">
      <c r="A2763" t="str">
        <f>"20190312172714713"</f>
        <v>20190312172714713</v>
      </c>
      <c r="B2763" t="str">
        <f>"1552382834701752"</f>
        <v>1552382834701752</v>
      </c>
      <c r="C2763" t="s">
        <v>40</v>
      </c>
      <c r="D2763">
        <v>3.4677099999999998</v>
      </c>
      <c r="E2763">
        <v>0.57571049999999901</v>
      </c>
      <c r="F2763" t="s">
        <v>44</v>
      </c>
      <c r="G2763">
        <v>-305.32060000000001</v>
      </c>
      <c r="H2763">
        <v>0.87902769999999997</v>
      </c>
      <c r="I2763">
        <v>213.4727</v>
      </c>
      <c r="J2763">
        <v>-305.49509999999998</v>
      </c>
      <c r="K2763">
        <v>1.109102</v>
      </c>
      <c r="L2763">
        <v>213.67019999999999</v>
      </c>
      <c r="M2763">
        <v>0.99985840000000004</v>
      </c>
      <c r="N2763">
        <v>0</v>
      </c>
      <c r="O2763">
        <v>8.5660919999999904E-3</v>
      </c>
      <c r="P2763">
        <v>0.98163350000000005</v>
      </c>
      <c r="Q2763">
        <v>0.19016720000000001</v>
      </c>
      <c r="R2763">
        <v>-1.524844E-2</v>
      </c>
      <c r="S2763">
        <v>3.187408</v>
      </c>
      <c r="T2763">
        <v>-0.71613400000000005</v>
      </c>
      <c r="U2763">
        <v>-0.59257510000000002</v>
      </c>
      <c r="V2763">
        <v>2.3948730000000001E-2</v>
      </c>
      <c r="W2763">
        <v>0.20433390000000001</v>
      </c>
      <c r="X2763">
        <v>0.97860829999999999</v>
      </c>
      <c r="Y2763">
        <v>0.1864914</v>
      </c>
      <c r="Z2763">
        <v>-2.2408520000000001E-2</v>
      </c>
      <c r="AA2763">
        <v>0.98220099999999999</v>
      </c>
      <c r="AB2763">
        <v>43</v>
      </c>
      <c r="AC2763">
        <v>0.17449999999996599</v>
      </c>
      <c r="AD2763">
        <v>-0.23007430000000001</v>
      </c>
      <c r="AE2763">
        <v>-0.19749999999998999</v>
      </c>
      <c r="AF2763">
        <v>0.112925169162052</v>
      </c>
      <c r="AG2763">
        <v>-0.23007430000000001</v>
      </c>
      <c r="AH2763">
        <v>9.8064616290910595E-2</v>
      </c>
      <c r="AI2763">
        <v>146.973750225853</v>
      </c>
      <c r="AJ2763">
        <v>40.9711642099249</v>
      </c>
      <c r="AK2763">
        <v>0.27441382311948398</v>
      </c>
      <c r="AL2763">
        <v>78.209491558947093</v>
      </c>
      <c r="AM2763">
        <v>88.598124165228</v>
      </c>
      <c r="AN2763">
        <v>1.0000000445933499</v>
      </c>
    </row>
    <row r="2764" spans="1:40" x14ac:dyDescent="0.25">
      <c r="A2764" t="str">
        <f>"20190312172714735"</f>
        <v>20190312172714735</v>
      </c>
      <c r="B2764" t="str">
        <f>"1552382834732009"</f>
        <v>1552382834732009</v>
      </c>
      <c r="C2764" t="s">
        <v>40</v>
      </c>
      <c r="D2764">
        <v>3.5707779999999998</v>
      </c>
      <c r="E2764">
        <v>0.57647709999999996</v>
      </c>
      <c r="F2764" t="s">
        <v>44</v>
      </c>
      <c r="G2764">
        <v>-304.53840000000002</v>
      </c>
      <c r="H2764">
        <v>0.89458919999999997</v>
      </c>
      <c r="I2764">
        <v>213.4888</v>
      </c>
      <c r="J2764">
        <v>-305.06209999999999</v>
      </c>
      <c r="K2764">
        <v>1.1091</v>
      </c>
      <c r="L2764">
        <v>213.67349999999999</v>
      </c>
      <c r="M2764">
        <v>0.99986260000000005</v>
      </c>
      <c r="N2764">
        <v>0</v>
      </c>
      <c r="O2764">
        <v>8.0796449999999999E-3</v>
      </c>
      <c r="P2764">
        <v>0.98172170000000003</v>
      </c>
      <c r="Q2764">
        <v>0.1896911</v>
      </c>
      <c r="R2764">
        <v>-1.54962E-2</v>
      </c>
      <c r="S2764">
        <v>3.1851500000000001</v>
      </c>
      <c r="T2764">
        <v>-0.71419449999999995</v>
      </c>
      <c r="U2764">
        <v>-0.60375979999999996</v>
      </c>
      <c r="V2764">
        <v>2.3719049999999998E-2</v>
      </c>
      <c r="W2764">
        <v>0.20385729999999999</v>
      </c>
      <c r="X2764">
        <v>0.97871319999999995</v>
      </c>
      <c r="Y2764">
        <v>0.1894332</v>
      </c>
      <c r="Z2764">
        <v>-2.257369E-2</v>
      </c>
      <c r="AA2764">
        <v>0.98163409999999995</v>
      </c>
      <c r="AB2764">
        <v>43</v>
      </c>
      <c r="AC2764">
        <v>0.52369999999996197</v>
      </c>
      <c r="AD2764">
        <v>-0.214510799999999</v>
      </c>
      <c r="AE2764">
        <v>-0.18469999999999201</v>
      </c>
      <c r="AF2764">
        <v>0.16439518117292801</v>
      </c>
      <c r="AG2764">
        <v>-0.214510799999999</v>
      </c>
      <c r="AH2764">
        <v>0.45438805127152299</v>
      </c>
      <c r="AI2764">
        <v>113.93770181612</v>
      </c>
      <c r="AJ2764">
        <v>70.110145492967902</v>
      </c>
      <c r="AK2764">
        <v>0.52868625861455099</v>
      </c>
      <c r="AL2764">
        <v>78.237384865461607</v>
      </c>
      <c r="AM2764">
        <v>88.611712306442101</v>
      </c>
      <c r="AN2764">
        <v>0.99999995997521496</v>
      </c>
    </row>
    <row r="2765" spans="1:40" x14ac:dyDescent="0.25">
      <c r="A2765" t="str">
        <f>"20190312172714758"</f>
        <v>20190312172714758</v>
      </c>
      <c r="B2765" t="str">
        <f>"1552382834751529"</f>
        <v>1552382834751529</v>
      </c>
      <c r="C2765" t="s">
        <v>40</v>
      </c>
      <c r="D2765">
        <v>3.5460449999999999</v>
      </c>
      <c r="E2765">
        <v>0.57682009999999995</v>
      </c>
      <c r="F2765" t="s">
        <v>44</v>
      </c>
      <c r="G2765">
        <v>-304.14789999999999</v>
      </c>
      <c r="H2765">
        <v>0.90193000000000001</v>
      </c>
      <c r="I2765">
        <v>213.49770000000001</v>
      </c>
      <c r="J2765">
        <v>-304.62650000000002</v>
      </c>
      <c r="K2765">
        <v>1.109097</v>
      </c>
      <c r="L2765">
        <v>213.67660000000001</v>
      </c>
      <c r="M2765">
        <v>0.99986640000000004</v>
      </c>
      <c r="N2765">
        <v>0</v>
      </c>
      <c r="O2765">
        <v>7.59022E-3</v>
      </c>
      <c r="P2765">
        <v>0.98173869999999996</v>
      </c>
      <c r="Q2765">
        <v>0.1895529</v>
      </c>
      <c r="R2765">
        <v>-1.6104360000000002E-2</v>
      </c>
      <c r="S2765">
        <v>3.1856990000000001</v>
      </c>
      <c r="T2765">
        <v>-0.72195019999999999</v>
      </c>
      <c r="U2765">
        <v>-0.6112976</v>
      </c>
      <c r="V2765">
        <v>2.3846510000000001E-2</v>
      </c>
      <c r="W2765">
        <v>0.20371629999999999</v>
      </c>
      <c r="X2765">
        <v>0.97873949999999998</v>
      </c>
      <c r="Y2765">
        <v>0.19103780000000001</v>
      </c>
      <c r="Z2765">
        <v>-2.2873689999999999E-2</v>
      </c>
      <c r="AA2765">
        <v>0.98131610000000002</v>
      </c>
      <c r="AB2765">
        <v>43</v>
      </c>
      <c r="AC2765">
        <v>0.478600000000028</v>
      </c>
      <c r="AD2765">
        <v>-0.20716699999999999</v>
      </c>
      <c r="AE2765">
        <v>-0.17889999999999801</v>
      </c>
      <c r="AF2765">
        <v>0.15675736632124801</v>
      </c>
      <c r="AG2765">
        <v>-0.20716699999999999</v>
      </c>
      <c r="AH2765">
        <v>0.40984983684077703</v>
      </c>
      <c r="AI2765">
        <v>115.27276431963</v>
      </c>
      <c r="AJ2765">
        <v>69.069390948694206</v>
      </c>
      <c r="AK2765">
        <v>0.48525037510895902</v>
      </c>
      <c r="AL2765">
        <v>78.245637185826894</v>
      </c>
      <c r="AM2765">
        <v>88.604292443622697</v>
      </c>
      <c r="AN2765">
        <v>0.99999999789256</v>
      </c>
    </row>
    <row r="2766" spans="1:40" x14ac:dyDescent="0.25">
      <c r="A2766" t="str">
        <f>"20190312172714780"</f>
        <v>20190312172714780</v>
      </c>
      <c r="B2766" t="str">
        <f>"1552382834772027"</f>
        <v>1552382834772027</v>
      </c>
      <c r="C2766" t="s">
        <v>40</v>
      </c>
      <c r="D2766">
        <v>3.5576129999999999</v>
      </c>
      <c r="E2766">
        <v>0.57731290000000002</v>
      </c>
      <c r="F2766" t="s">
        <v>44</v>
      </c>
      <c r="G2766">
        <v>-303.75709999999998</v>
      </c>
      <c r="H2766">
        <v>0.91103489999999998</v>
      </c>
      <c r="I2766">
        <v>213.50829999999999</v>
      </c>
      <c r="J2766">
        <v>-304.18720000000002</v>
      </c>
      <c r="K2766">
        <v>1.1091070000000001</v>
      </c>
      <c r="L2766">
        <v>213.67949999999999</v>
      </c>
      <c r="M2766">
        <v>0.99987000000000004</v>
      </c>
      <c r="N2766">
        <v>0</v>
      </c>
      <c r="O2766">
        <v>7.0967460000000001E-3</v>
      </c>
      <c r="P2766">
        <v>0.98177959999999997</v>
      </c>
      <c r="Q2766">
        <v>0.18934860000000001</v>
      </c>
      <c r="R2766">
        <v>-1.6004910000000001E-2</v>
      </c>
      <c r="S2766">
        <v>3.1858219999999999</v>
      </c>
      <c r="T2766">
        <v>-0.72576649999999998</v>
      </c>
      <c r="U2766">
        <v>-0.61585999999999996</v>
      </c>
      <c r="V2766">
        <v>2.3262689999999999E-2</v>
      </c>
      <c r="W2766">
        <v>0.20351089999999999</v>
      </c>
      <c r="X2766">
        <v>0.97879629999999995</v>
      </c>
      <c r="Y2766">
        <v>0.19184519999999999</v>
      </c>
      <c r="Z2766">
        <v>-2.29678E-2</v>
      </c>
      <c r="AA2766">
        <v>0.98115640000000004</v>
      </c>
      <c r="AB2766">
        <v>43</v>
      </c>
      <c r="AC2766">
        <v>0.43010000000003801</v>
      </c>
      <c r="AD2766">
        <v>-0.1980721</v>
      </c>
      <c r="AE2766">
        <v>-0.17119999999999799</v>
      </c>
      <c r="AF2766">
        <v>0.147284011170845</v>
      </c>
      <c r="AG2766">
        <v>-0.1980721</v>
      </c>
      <c r="AH2766">
        <v>0.36250733950469599</v>
      </c>
      <c r="AI2766">
        <v>116.848941285075</v>
      </c>
      <c r="AJ2766">
        <v>67.8884618480445</v>
      </c>
      <c r="AK2766">
        <v>0.438562091316334</v>
      </c>
      <c r="AL2766">
        <v>78.257657789473299</v>
      </c>
      <c r="AM2766">
        <v>88.638528683913293</v>
      </c>
      <c r="AN2766">
        <v>1.0000000180292601</v>
      </c>
    </row>
    <row r="2767" spans="1:40" x14ac:dyDescent="0.25">
      <c r="A2767" t="str">
        <f>"20190312172714803"</f>
        <v>20190312172714803</v>
      </c>
      <c r="B2767" t="str">
        <f>"1552382834791545"</f>
        <v>1552382834791545</v>
      </c>
      <c r="C2767" t="s">
        <v>40</v>
      </c>
      <c r="D2767">
        <v>3.4585750000000002</v>
      </c>
      <c r="E2767">
        <v>0.57756949999999996</v>
      </c>
      <c r="F2767" t="s">
        <v>44</v>
      </c>
      <c r="G2767">
        <v>-303.36619999999999</v>
      </c>
      <c r="H2767">
        <v>0.92113420000000001</v>
      </c>
      <c r="I2767">
        <v>213.5196</v>
      </c>
      <c r="J2767">
        <v>-303.75310000000002</v>
      </c>
      <c r="K2767">
        <v>1.1091059999999999</v>
      </c>
      <c r="L2767">
        <v>213.68219999999999</v>
      </c>
      <c r="M2767">
        <v>0.99987329999999996</v>
      </c>
      <c r="N2767">
        <v>0</v>
      </c>
      <c r="O2767">
        <v>6.6091129999999998E-3</v>
      </c>
      <c r="P2767">
        <v>0.9817129</v>
      </c>
      <c r="Q2767">
        <v>0.18969839999999999</v>
      </c>
      <c r="R2767">
        <v>-1.595508E-2</v>
      </c>
      <c r="S2767">
        <v>3.1862180000000002</v>
      </c>
      <c r="T2767">
        <v>-0.72947309999999999</v>
      </c>
      <c r="U2767">
        <v>-0.61975100000000005</v>
      </c>
      <c r="V2767">
        <v>2.2733960000000001E-2</v>
      </c>
      <c r="W2767">
        <v>0.20385819999999999</v>
      </c>
      <c r="X2767">
        <v>0.97873639999999995</v>
      </c>
      <c r="Y2767">
        <v>0.19244910000000001</v>
      </c>
      <c r="Z2767">
        <v>-2.303527E-2</v>
      </c>
      <c r="AA2767">
        <v>0.98103649999999998</v>
      </c>
      <c r="AB2767">
        <v>43</v>
      </c>
      <c r="AC2767">
        <v>0.386900000000025</v>
      </c>
      <c r="AD2767">
        <v>-0.18797179999999999</v>
      </c>
      <c r="AE2767">
        <v>-0.162599999999997</v>
      </c>
      <c r="AF2767">
        <v>0.137558301628911</v>
      </c>
      <c r="AG2767">
        <v>-0.18797179999999999</v>
      </c>
      <c r="AH2767">
        <v>0.32135081767851498</v>
      </c>
      <c r="AI2767">
        <v>118.268969776671</v>
      </c>
      <c r="AJ2767">
        <v>66.826038609039301</v>
      </c>
      <c r="AK2767">
        <v>0.39689045335573497</v>
      </c>
      <c r="AL2767">
        <v>78.237332308770405</v>
      </c>
      <c r="AM2767">
        <v>88.6693804613531</v>
      </c>
      <c r="AN2767">
        <v>0.99999996966474003</v>
      </c>
    </row>
    <row r="2768" spans="1:40" x14ac:dyDescent="0.25">
      <c r="A2768" t="str">
        <f>"20190312172714824"</f>
        <v>20190312172714824</v>
      </c>
      <c r="B2768" t="str">
        <f>"1552382834821801"</f>
        <v>1552382834821801</v>
      </c>
      <c r="C2768" t="s">
        <v>40</v>
      </c>
      <c r="D2768">
        <v>3.5364960000000001</v>
      </c>
      <c r="E2768">
        <v>0.57796700000000001</v>
      </c>
      <c r="F2768" t="s">
        <v>44</v>
      </c>
      <c r="G2768">
        <v>-302.97570000000002</v>
      </c>
      <c r="H2768">
        <v>0.93091429999999997</v>
      </c>
      <c r="I2768">
        <v>213.53049999999999</v>
      </c>
      <c r="J2768">
        <v>-303.33730000000003</v>
      </c>
      <c r="K2768">
        <v>1.1091089999999999</v>
      </c>
      <c r="L2768">
        <v>213.68450000000001</v>
      </c>
      <c r="M2768">
        <v>0.9998764</v>
      </c>
      <c r="N2768">
        <v>0</v>
      </c>
      <c r="O2768">
        <v>6.1416889999999997E-3</v>
      </c>
      <c r="P2768">
        <v>0.98163400000000001</v>
      </c>
      <c r="Q2768">
        <v>0.1900637</v>
      </c>
      <c r="R2768">
        <v>-1.644557E-2</v>
      </c>
      <c r="S2768">
        <v>3.1869510000000001</v>
      </c>
      <c r="T2768">
        <v>-0.73053819999999903</v>
      </c>
      <c r="U2768">
        <v>-0.62188719999999997</v>
      </c>
      <c r="V2768">
        <v>2.2765290000000001E-2</v>
      </c>
      <c r="W2768">
        <v>0.20422000000000001</v>
      </c>
      <c r="X2768">
        <v>0.97866030000000004</v>
      </c>
      <c r="Y2768">
        <v>0.19257930000000001</v>
      </c>
      <c r="Z2768">
        <v>-2.2971330000000002E-2</v>
      </c>
      <c r="AA2768">
        <v>0.98101249999999995</v>
      </c>
      <c r="AB2768">
        <v>43</v>
      </c>
      <c r="AC2768">
        <v>0.36160000000000903</v>
      </c>
      <c r="AD2768">
        <v>-0.17819470000000001</v>
      </c>
      <c r="AE2768">
        <v>-0.15400000000002401</v>
      </c>
      <c r="AF2768">
        <v>0.12958114167160101</v>
      </c>
      <c r="AG2768">
        <v>-0.17819470000000001</v>
      </c>
      <c r="AH2768">
        <v>0.29915269099598701</v>
      </c>
      <c r="AI2768">
        <v>118.66057295481799</v>
      </c>
      <c r="AJ2768">
        <v>66.579642805653805</v>
      </c>
      <c r="AK2768">
        <v>0.37153325008018601</v>
      </c>
      <c r="AL2768">
        <v>78.216157888465901</v>
      </c>
      <c r="AM2768">
        <v>88.667443802593596</v>
      </c>
      <c r="AN2768">
        <v>1.0000000248124301</v>
      </c>
    </row>
    <row r="2769" spans="1:40" x14ac:dyDescent="0.25">
      <c r="A2769" t="str">
        <f>"20190312172714847"</f>
        <v>20190312172714847</v>
      </c>
      <c r="B2769" t="str">
        <f>"1552382834841322"</f>
        <v>1552382834841322</v>
      </c>
      <c r="C2769" t="s">
        <v>40</v>
      </c>
      <c r="D2769">
        <v>3.4856560000000001</v>
      </c>
      <c r="E2769">
        <v>0.57816979999999996</v>
      </c>
      <c r="F2769" t="s">
        <v>44</v>
      </c>
      <c r="G2769">
        <v>-302.58679999999998</v>
      </c>
      <c r="H2769">
        <v>0.93678939999999999</v>
      </c>
      <c r="I2769">
        <v>213.5367</v>
      </c>
      <c r="J2769">
        <v>-302.89670000000001</v>
      </c>
      <c r="K2769">
        <v>1.109113</v>
      </c>
      <c r="L2769">
        <v>213.68680000000001</v>
      </c>
      <c r="M2769">
        <v>0.99987939999999997</v>
      </c>
      <c r="N2769">
        <v>0</v>
      </c>
      <c r="O2769">
        <v>5.6457209999999898E-3</v>
      </c>
      <c r="P2769">
        <v>0.98157950000000005</v>
      </c>
      <c r="Q2769">
        <v>0.19029550000000001</v>
      </c>
      <c r="R2769">
        <v>-1.7019949999999999E-2</v>
      </c>
      <c r="S2769">
        <v>3.1873170000000002</v>
      </c>
      <c r="T2769">
        <v>-0.73176809999999903</v>
      </c>
      <c r="U2769">
        <v>-0.62622069999999996</v>
      </c>
      <c r="V2769">
        <v>2.2852290000000001E-2</v>
      </c>
      <c r="W2769">
        <v>0.2044483</v>
      </c>
      <c r="X2769">
        <v>0.9786106</v>
      </c>
      <c r="Y2769">
        <v>0.19333610000000001</v>
      </c>
      <c r="Z2769">
        <v>-2.29772E-2</v>
      </c>
      <c r="AA2769">
        <v>0.9808635</v>
      </c>
      <c r="AB2769">
        <v>43</v>
      </c>
      <c r="AC2769">
        <v>0.30990000000002699</v>
      </c>
      <c r="AD2769">
        <v>-0.17232359999999999</v>
      </c>
      <c r="AE2769">
        <v>-0.150100000000009</v>
      </c>
      <c r="AF2769">
        <v>0.121434152007795</v>
      </c>
      <c r="AG2769">
        <v>-0.17232359999999999</v>
      </c>
      <c r="AH2769">
        <v>0.24714896101921899</v>
      </c>
      <c r="AI2769">
        <v>122.037853775511</v>
      </c>
      <c r="AJ2769">
        <v>63.833270818674102</v>
      </c>
      <c r="AK2769">
        <v>0.324845017390897</v>
      </c>
      <c r="AL2769">
        <v>78.202795276470397</v>
      </c>
      <c r="AM2769">
        <v>88.662285233307799</v>
      </c>
      <c r="AN2769">
        <v>1.0000000204817401</v>
      </c>
    </row>
    <row r="2770" spans="1:40" x14ac:dyDescent="0.25">
      <c r="A2770" t="str">
        <f>"20190312172714882"</f>
        <v>20190312172714882</v>
      </c>
      <c r="B2770" t="str">
        <f>"1552382834871576"</f>
        <v>1552382834871576</v>
      </c>
      <c r="C2770" t="s">
        <v>40</v>
      </c>
      <c r="D2770">
        <v>3.4841850000000001</v>
      </c>
      <c r="E2770">
        <v>0.57850239999999997</v>
      </c>
      <c r="F2770" t="s">
        <v>44</v>
      </c>
      <c r="G2770">
        <v>-302.19569999999999</v>
      </c>
      <c r="H2770">
        <v>0.94793079999999996</v>
      </c>
      <c r="I2770">
        <v>213.54859999999999</v>
      </c>
      <c r="J2770">
        <v>-302.22890000000001</v>
      </c>
      <c r="K2770">
        <v>1.1091150000000001</v>
      </c>
      <c r="L2770">
        <v>213.68979999999999</v>
      </c>
      <c r="M2770">
        <v>0.99988350000000004</v>
      </c>
      <c r="N2770">
        <v>0</v>
      </c>
      <c r="O2770">
        <v>4.8950970000000002E-3</v>
      </c>
      <c r="P2770">
        <v>0.98153380000000001</v>
      </c>
      <c r="Q2770">
        <v>0.1904448</v>
      </c>
      <c r="R2770">
        <v>-1.7968479999999998E-2</v>
      </c>
      <c r="S2770">
        <v>3.1875309999999999</v>
      </c>
      <c r="T2770">
        <v>-0.73295089999999996</v>
      </c>
      <c r="U2770">
        <v>-0.62919619999999998</v>
      </c>
      <c r="V2770">
        <v>2.306335E-2</v>
      </c>
      <c r="W2770">
        <v>0.204593</v>
      </c>
      <c r="X2770">
        <v>0.97857539999999998</v>
      </c>
      <c r="Y2770">
        <v>0.1934707</v>
      </c>
      <c r="Z2770">
        <v>-2.2856230000000002E-2</v>
      </c>
      <c r="AA2770">
        <v>0.98083980000000004</v>
      </c>
      <c r="AB2770">
        <v>43</v>
      </c>
      <c r="AC2770">
        <v>3.3200000000022101E-2</v>
      </c>
      <c r="AD2770">
        <v>-0.1611842</v>
      </c>
      <c r="AE2770">
        <v>-0.14119999999999699</v>
      </c>
      <c r="AF2770">
        <v>6.32536201079726E-2</v>
      </c>
      <c r="AG2770">
        <v>-0.1611842</v>
      </c>
      <c r="AH2770">
        <v>1.45462512596663E-2</v>
      </c>
      <c r="AI2770">
        <v>158.06664626269699</v>
      </c>
      <c r="AJ2770">
        <v>12.9509739012359</v>
      </c>
      <c r="AK2770">
        <v>0.17376121607572001</v>
      </c>
      <c r="AL2770">
        <v>78.194325464171897</v>
      </c>
      <c r="AM2770">
        <v>88.649886326210705</v>
      </c>
      <c r="AN2770">
        <v>1.00000001362369</v>
      </c>
    </row>
    <row r="2771" spans="1:40" x14ac:dyDescent="0.25">
      <c r="A2771" t="str">
        <f>"20190312172714904"</f>
        <v>20190312172714904</v>
      </c>
      <c r="B2771" t="str">
        <f>"1552382834901364"</f>
        <v>1552382834901364</v>
      </c>
      <c r="C2771" t="s">
        <v>40</v>
      </c>
      <c r="D2771">
        <v>3.673324</v>
      </c>
      <c r="E2771">
        <v>0.57869720000000002</v>
      </c>
      <c r="F2771" t="s">
        <v>44</v>
      </c>
      <c r="G2771">
        <v>-301.43329999999997</v>
      </c>
      <c r="H2771">
        <v>0.92573859999999997</v>
      </c>
      <c r="I2771">
        <v>213.53129999999999</v>
      </c>
      <c r="J2771">
        <v>-301.80309999999997</v>
      </c>
      <c r="K2771">
        <v>1.109118</v>
      </c>
      <c r="L2771">
        <v>213.69149999999999</v>
      </c>
      <c r="M2771">
        <v>0.99988560000000004</v>
      </c>
      <c r="N2771">
        <v>0</v>
      </c>
      <c r="O2771">
        <v>4.4168360000000004E-3</v>
      </c>
      <c r="P2771">
        <v>0.98133859999999995</v>
      </c>
      <c r="Q2771">
        <v>0.1913368</v>
      </c>
      <c r="R2771">
        <v>-1.9101630000000001E-2</v>
      </c>
      <c r="S2771">
        <v>3.1873469999999999</v>
      </c>
      <c r="T2771">
        <v>-0.73463669999999903</v>
      </c>
      <c r="U2771">
        <v>-0.63482669999999997</v>
      </c>
      <c r="V2771">
        <v>2.3727089999999999E-2</v>
      </c>
      <c r="W2771">
        <v>0.20547879999999999</v>
      </c>
      <c r="X2771">
        <v>0.97837390000000002</v>
      </c>
      <c r="Y2771">
        <v>0.19464110000000001</v>
      </c>
      <c r="Z2771">
        <v>-2.2929069999999999E-2</v>
      </c>
      <c r="AA2771">
        <v>0.98060650000000005</v>
      </c>
      <c r="AB2771">
        <v>43</v>
      </c>
      <c r="AC2771">
        <v>0.36979999999999702</v>
      </c>
      <c r="AD2771">
        <v>-0.1833794</v>
      </c>
      <c r="AE2771">
        <v>-0.16020000000000301</v>
      </c>
      <c r="AF2771">
        <v>0.134072454489534</v>
      </c>
      <c r="AG2771">
        <v>-0.1833794</v>
      </c>
      <c r="AH2771">
        <v>0.30577789008885198</v>
      </c>
      <c r="AI2771">
        <v>118.777273064154</v>
      </c>
      <c r="AJ2771">
        <v>66.324301438531094</v>
      </c>
      <c r="AK2771">
        <v>0.38092459288473102</v>
      </c>
      <c r="AL2771">
        <v>78.142471026629593</v>
      </c>
      <c r="AM2771">
        <v>88.610760473037899</v>
      </c>
      <c r="AN2771">
        <v>1.00000000012525</v>
      </c>
    </row>
    <row r="2772" spans="1:40" x14ac:dyDescent="0.25">
      <c r="A2772" t="str">
        <f>"20190312172714924"</f>
        <v>20190312172714924</v>
      </c>
      <c r="B2772" t="str">
        <f>"1552382834921861"</f>
        <v>1552382834921861</v>
      </c>
      <c r="C2772" t="s">
        <v>40</v>
      </c>
      <c r="D2772">
        <v>3.5858500000000002</v>
      </c>
      <c r="E2772">
        <v>0.57881519999999897</v>
      </c>
      <c r="F2772" t="s">
        <v>44</v>
      </c>
      <c r="G2772">
        <v>-301.0446</v>
      </c>
      <c r="H2772">
        <v>0.93442080000000005</v>
      </c>
      <c r="I2772">
        <v>213.53899999999999</v>
      </c>
      <c r="J2772">
        <v>-301.4015</v>
      </c>
      <c r="K2772">
        <v>1.109116</v>
      </c>
      <c r="L2772">
        <v>213.69290000000001</v>
      </c>
      <c r="M2772">
        <v>0.99988759999999999</v>
      </c>
      <c r="N2772">
        <v>0</v>
      </c>
      <c r="O2772">
        <v>3.9663479999999997E-3</v>
      </c>
      <c r="P2772">
        <v>0.98124990000000001</v>
      </c>
      <c r="Q2772">
        <v>0.19172810000000001</v>
      </c>
      <c r="R2772">
        <v>-1.9721659999999998E-2</v>
      </c>
      <c r="S2772">
        <v>3.1877439999999999</v>
      </c>
      <c r="T2772">
        <v>-0.73430629999999997</v>
      </c>
      <c r="U2772">
        <v>-0.639190699999999</v>
      </c>
      <c r="V2772">
        <v>2.39048E-2</v>
      </c>
      <c r="W2772">
        <v>0.20586650000000001</v>
      </c>
      <c r="X2772">
        <v>0.97828809999999999</v>
      </c>
      <c r="Y2772">
        <v>0.1954651</v>
      </c>
      <c r="Z2772">
        <v>-2.290466E-2</v>
      </c>
      <c r="AA2772">
        <v>0.98044319999999896</v>
      </c>
      <c r="AB2772">
        <v>43</v>
      </c>
      <c r="AC2772">
        <v>0.356899999999996</v>
      </c>
      <c r="AD2772">
        <v>-0.174695199999999</v>
      </c>
      <c r="AE2772">
        <v>-0.15389999999999299</v>
      </c>
      <c r="AF2772">
        <v>0.12921076713058399</v>
      </c>
      <c r="AG2772">
        <v>-0.174695199999999</v>
      </c>
      <c r="AH2772">
        <v>0.29640549228568303</v>
      </c>
      <c r="AI2772">
        <v>118.381281451753</v>
      </c>
      <c r="AJ2772">
        <v>66.446376240397598</v>
      </c>
      <c r="AK2772">
        <v>0.36751877653071302</v>
      </c>
      <c r="AL2772">
        <v>78.119772541883606</v>
      </c>
      <c r="AM2772">
        <v>88.600236832689205</v>
      </c>
      <c r="AN2772">
        <v>1.00000003094344</v>
      </c>
    </row>
    <row r="2773" spans="1:40" x14ac:dyDescent="0.25">
      <c r="A2773" t="str">
        <f>"20190312172714947"</f>
        <v>20190312172714947</v>
      </c>
      <c r="B2773" t="str">
        <f>"1552382834941382"</f>
        <v>1552382834941382</v>
      </c>
      <c r="C2773" t="s">
        <v>40</v>
      </c>
      <c r="D2773">
        <v>3.9124050000000001</v>
      </c>
      <c r="E2773">
        <v>0.57875180000000004</v>
      </c>
      <c r="F2773" t="s">
        <v>44</v>
      </c>
      <c r="G2773">
        <v>-300.65809999999999</v>
      </c>
      <c r="H2773">
        <v>0.93781230000000004</v>
      </c>
      <c r="I2773">
        <v>213.54320000000001</v>
      </c>
      <c r="J2773">
        <v>-300.97609999999997</v>
      </c>
      <c r="K2773">
        <v>1.1091219999999999</v>
      </c>
      <c r="L2773">
        <v>213.6942</v>
      </c>
      <c r="M2773">
        <v>0.99988940000000004</v>
      </c>
      <c r="N2773">
        <v>0</v>
      </c>
      <c r="O2773">
        <v>3.4916230000000001E-3</v>
      </c>
      <c r="P2773">
        <v>0.98127960000000003</v>
      </c>
      <c r="Q2773">
        <v>0.19150010000000001</v>
      </c>
      <c r="R2773">
        <v>-2.045398E-2</v>
      </c>
      <c r="S2773">
        <v>3.1880190000000002</v>
      </c>
      <c r="T2773">
        <v>-0.73460439999999905</v>
      </c>
      <c r="U2773">
        <v>-0.64163210000000004</v>
      </c>
      <c r="V2773">
        <v>2.416977E-2</v>
      </c>
      <c r="W2773">
        <v>0.20563600000000001</v>
      </c>
      <c r="X2773">
        <v>0.97833000000000003</v>
      </c>
      <c r="Y2773">
        <v>0.19570899999999999</v>
      </c>
      <c r="Z2773">
        <v>-2.2830690000000001E-2</v>
      </c>
      <c r="AA2773">
        <v>0.98039620000000005</v>
      </c>
      <c r="AB2773">
        <v>43</v>
      </c>
      <c r="AC2773">
        <v>0.31799999999998302</v>
      </c>
      <c r="AD2773">
        <v>-0.17130970000000001</v>
      </c>
      <c r="AE2773">
        <v>-0.15099999999998201</v>
      </c>
      <c r="AF2773">
        <v>0.122985098747248</v>
      </c>
      <c r="AG2773">
        <v>-0.17130970000000001</v>
      </c>
      <c r="AH2773">
        <v>0.25668459911464903</v>
      </c>
      <c r="AI2773">
        <v>121.042690580543</v>
      </c>
      <c r="AJ2773">
        <v>64.399556110164696</v>
      </c>
      <c r="AK2773">
        <v>0.33220374960347498</v>
      </c>
      <c r="AL2773">
        <v>78.133267175483496</v>
      </c>
      <c r="AM2773">
        <v>88.584788183802402</v>
      </c>
      <c r="AN2773">
        <v>0.99999996558892501</v>
      </c>
    </row>
    <row r="2774" spans="1:40" x14ac:dyDescent="0.25">
      <c r="A2774" t="str">
        <f>"20190312172714970"</f>
        <v>20190312172714970</v>
      </c>
      <c r="B2774" t="str">
        <f>"1552382834961877"</f>
        <v>1552382834961877</v>
      </c>
      <c r="C2774" t="s">
        <v>40</v>
      </c>
      <c r="D2774">
        <v>3.6614819999999999</v>
      </c>
      <c r="E2774">
        <v>0.57858639999999995</v>
      </c>
      <c r="F2774" t="s">
        <v>44</v>
      </c>
      <c r="G2774">
        <v>-300.26960000000003</v>
      </c>
      <c r="H2774">
        <v>0.94612779999999996</v>
      </c>
      <c r="I2774">
        <v>213.55109999999999</v>
      </c>
      <c r="J2774">
        <v>-300.52800000000002</v>
      </c>
      <c r="K2774">
        <v>1.109124</v>
      </c>
      <c r="L2774">
        <v>213.6953</v>
      </c>
      <c r="M2774">
        <v>0.99989110000000003</v>
      </c>
      <c r="N2774">
        <v>0</v>
      </c>
      <c r="O2774">
        <v>2.997572E-3</v>
      </c>
      <c r="P2774">
        <v>0.98126449999999998</v>
      </c>
      <c r="Q2774">
        <v>0.19154570000000001</v>
      </c>
      <c r="R2774">
        <v>-2.0749989999999999E-2</v>
      </c>
      <c r="S2774">
        <v>3.1873469999999999</v>
      </c>
      <c r="T2774">
        <v>-0.73544409999999905</v>
      </c>
      <c r="U2774">
        <v>-0.64393619999999996</v>
      </c>
      <c r="V2774">
        <v>2.397881E-2</v>
      </c>
      <c r="W2774">
        <v>0.20567940000000001</v>
      </c>
      <c r="X2774">
        <v>0.97832560000000002</v>
      </c>
      <c r="Y2774">
        <v>0.19594020000000001</v>
      </c>
      <c r="Z2774">
        <v>-2.2773789999999999E-2</v>
      </c>
      <c r="AA2774">
        <v>0.98035139999999998</v>
      </c>
      <c r="AB2774">
        <v>43</v>
      </c>
      <c r="AC2774">
        <v>0.25839999999999402</v>
      </c>
      <c r="AD2774">
        <v>-0.16299619999999901</v>
      </c>
      <c r="AE2774">
        <v>-0.14420000000001201</v>
      </c>
      <c r="AF2774">
        <v>0.111226799899596</v>
      </c>
      <c r="AG2774">
        <v>-0.16299619999999901</v>
      </c>
      <c r="AH2774">
        <v>0.1979168130991</v>
      </c>
      <c r="AI2774">
        <v>125.67649941645099</v>
      </c>
      <c r="AJ2774">
        <v>60.664552114291901</v>
      </c>
      <c r="AK2774">
        <v>0.27948206943853998</v>
      </c>
      <c r="AL2774">
        <v>78.130726508236194</v>
      </c>
      <c r="AM2774">
        <v>88.595958653364505</v>
      </c>
      <c r="AN2774">
        <v>0.99999998926436795</v>
      </c>
    </row>
    <row r="2775" spans="1:40" x14ac:dyDescent="0.25">
      <c r="A2775" t="str">
        <f>"20190312172715014"</f>
        <v>20190312172715014</v>
      </c>
      <c r="B2775" t="str">
        <f>"1552382835011653"</f>
        <v>1552382835011653</v>
      </c>
      <c r="C2775" t="s">
        <v>40</v>
      </c>
      <c r="D2775">
        <v>3.6389269999999998</v>
      </c>
      <c r="E2775">
        <v>0.57856249999999998</v>
      </c>
      <c r="F2775" t="s">
        <v>44</v>
      </c>
      <c r="G2775">
        <v>-299.52749999999997</v>
      </c>
      <c r="H2775">
        <v>0.8784708</v>
      </c>
      <c r="I2775">
        <v>213.49299999999999</v>
      </c>
      <c r="J2775">
        <v>-299.68720000000002</v>
      </c>
      <c r="K2775">
        <v>1.1091489999999999</v>
      </c>
      <c r="L2775">
        <v>213.6968</v>
      </c>
      <c r="M2775">
        <v>0.99989340000000004</v>
      </c>
      <c r="N2775">
        <v>0</v>
      </c>
      <c r="O2775">
        <v>2.0937780000000001E-3</v>
      </c>
      <c r="P2775">
        <v>0.98110169999999997</v>
      </c>
      <c r="Q2775">
        <v>0.1922616</v>
      </c>
      <c r="R2775">
        <v>-2.179683E-2</v>
      </c>
      <c r="S2775">
        <v>3.187103</v>
      </c>
      <c r="T2775">
        <v>-0.7347629</v>
      </c>
      <c r="U2775">
        <v>-0.64353939999999998</v>
      </c>
      <c r="V2775">
        <v>2.413272E-2</v>
      </c>
      <c r="W2775">
        <v>0.20638870000000001</v>
      </c>
      <c r="X2775">
        <v>0.97817240000000005</v>
      </c>
      <c r="Y2775">
        <v>0.19500680000000001</v>
      </c>
      <c r="Z2775">
        <v>-2.2446239999999999E-2</v>
      </c>
      <c r="AA2775">
        <v>0.980545</v>
      </c>
      <c r="AB2775">
        <v>43</v>
      </c>
      <c r="AC2775">
        <v>0.159700000000043</v>
      </c>
      <c r="AD2775">
        <v>-0.230678199999999</v>
      </c>
      <c r="AE2775">
        <v>-0.20380000000000101</v>
      </c>
      <c r="AF2775">
        <v>0.113802340348472</v>
      </c>
      <c r="AG2775">
        <v>-0.230678199999999</v>
      </c>
      <c r="AH2775">
        <v>8.8792808523038003E-2</v>
      </c>
      <c r="AI2775">
        <v>147.96427471325899</v>
      </c>
      <c r="AJ2775">
        <v>37.962676241510103</v>
      </c>
      <c r="AK2775">
        <v>0.27211682687668998</v>
      </c>
      <c r="AL2775">
        <v>78.089195249799005</v>
      </c>
      <c r="AM2775">
        <v>88.586729118437006</v>
      </c>
      <c r="AN2775">
        <v>0.99999996389202295</v>
      </c>
    </row>
    <row r="2776" spans="1:40" x14ac:dyDescent="0.25">
      <c r="A2776" t="str">
        <f>"20190312172715037"</f>
        <v>20190312172715037</v>
      </c>
      <c r="B2776" t="str">
        <f>"1552382835032149"</f>
        <v>1552382835032149</v>
      </c>
      <c r="C2776" t="s">
        <v>40</v>
      </c>
      <c r="D2776">
        <v>3.5868540000000002</v>
      </c>
      <c r="E2776">
        <v>0.57880989999999999</v>
      </c>
      <c r="F2776" t="s">
        <v>44</v>
      </c>
      <c r="G2776">
        <v>-298.75420000000003</v>
      </c>
      <c r="H2776">
        <v>0.89413880000000001</v>
      </c>
      <c r="I2776">
        <v>213.50790000000001</v>
      </c>
      <c r="J2776">
        <v>-299.25389999999999</v>
      </c>
      <c r="K2776">
        <v>1.109151</v>
      </c>
      <c r="L2776">
        <v>213.69730000000001</v>
      </c>
      <c r="M2776">
        <v>0.99989430000000001</v>
      </c>
      <c r="N2776">
        <v>0</v>
      </c>
      <c r="O2776">
        <v>1.6400919999999999E-3</v>
      </c>
      <c r="P2776">
        <v>0.98116760000000003</v>
      </c>
      <c r="Q2776">
        <v>0.19188939999999999</v>
      </c>
      <c r="R2776">
        <v>-2.211494E-2</v>
      </c>
      <c r="S2776">
        <v>3.1873779999999998</v>
      </c>
      <c r="T2776">
        <v>-0.73454770000000003</v>
      </c>
      <c r="U2776">
        <v>-0.64456179999999996</v>
      </c>
      <c r="V2776">
        <v>2.4001020000000001E-2</v>
      </c>
      <c r="W2776">
        <v>0.2060159</v>
      </c>
      <c r="X2776">
        <v>0.97825430000000002</v>
      </c>
      <c r="Y2776">
        <v>0.19486719999999999</v>
      </c>
      <c r="Z2776">
        <v>-2.2319350000000002E-2</v>
      </c>
      <c r="AA2776">
        <v>0.98057570000000005</v>
      </c>
      <c r="AB2776">
        <v>43</v>
      </c>
      <c r="AC2776">
        <v>0.49969999999996101</v>
      </c>
      <c r="AD2776">
        <v>-0.21501219999999899</v>
      </c>
      <c r="AE2776">
        <v>-0.18940000000000601</v>
      </c>
      <c r="AF2776">
        <v>0.16371601666329699</v>
      </c>
      <c r="AG2776">
        <v>-0.21501219999999899</v>
      </c>
      <c r="AH2776">
        <v>0.42980857403671202</v>
      </c>
      <c r="AI2776">
        <v>115.055427671152</v>
      </c>
      <c r="AJ2776">
        <v>69.147938086816197</v>
      </c>
      <c r="AK2776">
        <v>0.50770915943718098</v>
      </c>
      <c r="AL2776">
        <v>78.111025126555305</v>
      </c>
      <c r="AM2776">
        <v>88.594556316051793</v>
      </c>
      <c r="AN2776">
        <v>1.00000003774116</v>
      </c>
    </row>
    <row r="2777" spans="1:40" x14ac:dyDescent="0.25">
      <c r="A2777" t="str">
        <f>"20190312172715059"</f>
        <v>20190312172715059</v>
      </c>
      <c r="B2777" t="str">
        <f>"1552382835051669"</f>
        <v>1552382835051669</v>
      </c>
      <c r="C2777" t="s">
        <v>40</v>
      </c>
      <c r="D2777">
        <v>3.6365460000000001</v>
      </c>
      <c r="E2777">
        <v>0.57906449999999998</v>
      </c>
      <c r="F2777" t="s">
        <v>44</v>
      </c>
      <c r="G2777">
        <v>-298.36700000000002</v>
      </c>
      <c r="H2777">
        <v>0.90402760000000004</v>
      </c>
      <c r="I2777">
        <v>213.51679999999999</v>
      </c>
      <c r="J2777">
        <v>-298.82229999999998</v>
      </c>
      <c r="K2777">
        <v>1.109162</v>
      </c>
      <c r="L2777">
        <v>213.6977</v>
      </c>
      <c r="M2777">
        <v>0.99989490000000003</v>
      </c>
      <c r="N2777">
        <v>0</v>
      </c>
      <c r="O2777">
        <v>1.198106E-3</v>
      </c>
      <c r="P2777">
        <v>0.98124699999999998</v>
      </c>
      <c r="Q2777">
        <v>0.1914757</v>
      </c>
      <c r="R2777">
        <v>-2.2166930000000001E-2</v>
      </c>
      <c r="S2777">
        <v>3.1871640000000001</v>
      </c>
      <c r="T2777">
        <v>-0.73724889999999998</v>
      </c>
      <c r="U2777">
        <v>-0.64825440000000001</v>
      </c>
      <c r="V2777">
        <v>2.3614260000000001E-2</v>
      </c>
      <c r="W2777">
        <v>0.20560200000000001</v>
      </c>
      <c r="X2777">
        <v>0.97835079999999996</v>
      </c>
      <c r="Y2777">
        <v>0.19549800000000001</v>
      </c>
      <c r="Z2777">
        <v>-2.2369719999999999E-2</v>
      </c>
      <c r="AA2777">
        <v>0.98044900000000001</v>
      </c>
      <c r="AB2777">
        <v>43</v>
      </c>
      <c r="AC2777">
        <v>0.45529999999996501</v>
      </c>
      <c r="AD2777">
        <v>-0.20513439999999999</v>
      </c>
      <c r="AE2777">
        <v>-0.180900000000008</v>
      </c>
      <c r="AF2777">
        <v>0.154379973387608</v>
      </c>
      <c r="AG2777">
        <v>-0.20513439999999999</v>
      </c>
      <c r="AH2777">
        <v>0.38720010780236602</v>
      </c>
      <c r="AI2777">
        <v>116.20252276036901</v>
      </c>
      <c r="AJ2777">
        <v>68.262409957893098</v>
      </c>
      <c r="AK2777">
        <v>0.46458284700221397</v>
      </c>
      <c r="AL2777">
        <v>78.135258804159207</v>
      </c>
      <c r="AM2777">
        <v>88.617331553582304</v>
      </c>
      <c r="AN2777">
        <v>1.0000000517699901</v>
      </c>
    </row>
    <row r="2778" spans="1:40" x14ac:dyDescent="0.25">
      <c r="A2778" t="str">
        <f>"20190312172715082"</f>
        <v>20190312172715082</v>
      </c>
      <c r="B2778" t="str">
        <f>"1552382835072165"</f>
        <v>1552382835072165</v>
      </c>
      <c r="C2778" t="s">
        <v>40</v>
      </c>
      <c r="D2778">
        <v>3.607097</v>
      </c>
      <c r="E2778">
        <v>0.57920799999999995</v>
      </c>
      <c r="F2778" t="s">
        <v>44</v>
      </c>
      <c r="G2778">
        <v>-297.98039999999997</v>
      </c>
      <c r="H2778">
        <v>0.91358070000000002</v>
      </c>
      <c r="I2778">
        <v>213.52549999999999</v>
      </c>
      <c r="J2778">
        <v>-298.38159999999999</v>
      </c>
      <c r="K2778">
        <v>1.1091850000000001</v>
      </c>
      <c r="L2778">
        <v>213.6978</v>
      </c>
      <c r="M2778">
        <v>0.99989539999999999</v>
      </c>
      <c r="N2778">
        <v>0</v>
      </c>
      <c r="O2778">
        <v>7.6213679999999904E-4</v>
      </c>
      <c r="P2778">
        <v>0.98114579999999996</v>
      </c>
      <c r="Q2778">
        <v>0.19196160000000001</v>
      </c>
      <c r="R2778">
        <v>-2.244722E-2</v>
      </c>
      <c r="S2778">
        <v>3.1871339999999999</v>
      </c>
      <c r="T2778">
        <v>-0.74044080000000001</v>
      </c>
      <c r="U2778">
        <v>-0.65072629999999998</v>
      </c>
      <c r="V2778">
        <v>2.3461139999999998E-2</v>
      </c>
      <c r="W2778">
        <v>0.20608489999999999</v>
      </c>
      <c r="X2778">
        <v>0.97825280000000003</v>
      </c>
      <c r="Y2778">
        <v>0.1957653</v>
      </c>
      <c r="Z2778">
        <v>-2.239404E-2</v>
      </c>
      <c r="AA2778">
        <v>0.98039500000000002</v>
      </c>
      <c r="AB2778">
        <v>43</v>
      </c>
      <c r="AC2778">
        <v>0.40120000000001699</v>
      </c>
      <c r="AD2778">
        <v>-0.19560430000000001</v>
      </c>
      <c r="AE2778">
        <v>-0.172300000000007</v>
      </c>
      <c r="AF2778">
        <v>0.14375562445718401</v>
      </c>
      <c r="AG2778">
        <v>-0.19560430000000001</v>
      </c>
      <c r="AH2778">
        <v>0.33403209332930001</v>
      </c>
      <c r="AI2778">
        <v>118.275274623386</v>
      </c>
      <c r="AJ2778">
        <v>66.714662065860196</v>
      </c>
      <c r="AK2778">
        <v>0.41292149509987902</v>
      </c>
      <c r="AL2778">
        <v>78.1069842766844</v>
      </c>
      <c r="AM2778">
        <v>88.626156066791395</v>
      </c>
      <c r="AN2778">
        <v>0.99999997590297396</v>
      </c>
    </row>
    <row r="2779" spans="1:40" x14ac:dyDescent="0.25">
      <c r="A2779" t="str">
        <f>"20190312172715115"</f>
        <v>20190312172715115</v>
      </c>
      <c r="B2779" t="str">
        <f>"1552382835112181"</f>
        <v>1552382835112181</v>
      </c>
      <c r="C2779" t="s">
        <v>40</v>
      </c>
      <c r="D2779">
        <v>3.6524540000000001</v>
      </c>
      <c r="E2779">
        <v>0.57950239999999997</v>
      </c>
      <c r="F2779" t="s">
        <v>44</v>
      </c>
      <c r="G2779">
        <v>-297.59289999999999</v>
      </c>
      <c r="H2779">
        <v>0.92605079999999995</v>
      </c>
      <c r="I2779">
        <v>213.5361</v>
      </c>
      <c r="J2779">
        <v>-297.7586</v>
      </c>
      <c r="K2779">
        <v>1.1092120000000001</v>
      </c>
      <c r="L2779">
        <v>213.6977</v>
      </c>
      <c r="M2779">
        <v>0.99989589999999995</v>
      </c>
      <c r="N2779">
        <v>0</v>
      </c>
      <c r="O2779">
        <v>1.7814529999999999E-4</v>
      </c>
      <c r="P2779">
        <v>0.98099579999999997</v>
      </c>
      <c r="Q2779">
        <v>0.1926793</v>
      </c>
      <c r="R2779">
        <v>-2.2849660000000001E-2</v>
      </c>
      <c r="S2779">
        <v>3.1874690000000001</v>
      </c>
      <c r="T2779">
        <v>-0.74010189999999998</v>
      </c>
      <c r="U2779">
        <v>-0.65306090000000006</v>
      </c>
      <c r="V2779">
        <v>2.3280120000000001E-2</v>
      </c>
      <c r="W2779">
        <v>0.20679829999999999</v>
      </c>
      <c r="X2779">
        <v>0.97810660000000005</v>
      </c>
      <c r="Y2779">
        <v>0.19588069999999999</v>
      </c>
      <c r="Z2779">
        <v>-2.2260809999999999E-2</v>
      </c>
      <c r="AA2779">
        <v>0.98037510000000005</v>
      </c>
      <c r="AB2779">
        <v>43</v>
      </c>
      <c r="AC2779">
        <v>0.165700000000015</v>
      </c>
      <c r="AD2779">
        <v>-0.1831612</v>
      </c>
      <c r="AE2779">
        <v>-0.161599999999992</v>
      </c>
      <c r="AF2779">
        <v>9.9388831151621101E-2</v>
      </c>
      <c r="AG2779">
        <v>-0.1831612</v>
      </c>
      <c r="AH2779">
        <v>0.101874135443646</v>
      </c>
      <c r="AI2779">
        <v>142.15103656958701</v>
      </c>
      <c r="AJ2779">
        <v>45.7074834079691</v>
      </c>
      <c r="AK2779">
        <v>0.23195797984875599</v>
      </c>
      <c r="AL2779">
        <v>78.065210017938298</v>
      </c>
      <c r="AM2779">
        <v>88.636548579286298</v>
      </c>
      <c r="AN2779">
        <v>1.0000000109168301</v>
      </c>
    </row>
    <row r="2780" spans="1:40" x14ac:dyDescent="0.25">
      <c r="A2780" t="str">
        <f>"20190312172715138"</f>
        <v>20190312172715138</v>
      </c>
      <c r="B2780" t="str">
        <f>"1552382835131702"</f>
        <v>1552382835131702</v>
      </c>
      <c r="C2780" t="s">
        <v>40</v>
      </c>
      <c r="D2780">
        <v>3.6519020000000002</v>
      </c>
      <c r="E2780">
        <v>0.57965549999999999</v>
      </c>
      <c r="F2780" t="s">
        <v>44</v>
      </c>
      <c r="G2780">
        <v>-296.83999999999997</v>
      </c>
      <c r="H2780">
        <v>0.89582669999999998</v>
      </c>
      <c r="I2780">
        <v>213.50829999999999</v>
      </c>
      <c r="J2780">
        <v>-297.30869999999999</v>
      </c>
      <c r="K2780">
        <v>1.109232</v>
      </c>
      <c r="L2780">
        <v>213.69739999999999</v>
      </c>
      <c r="M2780">
        <v>0.9998958</v>
      </c>
      <c r="N2780">
        <v>0</v>
      </c>
      <c r="O2780">
        <v>-2.2189320000000001E-4</v>
      </c>
      <c r="P2780">
        <v>0.98084899999999997</v>
      </c>
      <c r="Q2780">
        <v>0.19338459999999999</v>
      </c>
      <c r="R2780">
        <v>-2.3194739999999998E-2</v>
      </c>
      <c r="S2780">
        <v>3.1883240000000002</v>
      </c>
      <c r="T2780">
        <v>-0.74065939999999997</v>
      </c>
      <c r="U2780">
        <v>-0.65652469999999996</v>
      </c>
      <c r="V2780">
        <v>2.3224459999999999E-2</v>
      </c>
      <c r="W2780">
        <v>0.2074994</v>
      </c>
      <c r="X2780">
        <v>0.97795940000000003</v>
      </c>
      <c r="Y2780">
        <v>0.1964513</v>
      </c>
      <c r="Z2780">
        <v>-2.2243079999999998E-2</v>
      </c>
      <c r="AA2780">
        <v>0.9802613</v>
      </c>
      <c r="AB2780">
        <v>43</v>
      </c>
      <c r="AC2780">
        <v>0.468700000000012</v>
      </c>
      <c r="AD2780">
        <v>-0.21340529999999999</v>
      </c>
      <c r="AE2780">
        <v>-0.18909999999999599</v>
      </c>
      <c r="AF2780">
        <v>0.16039869355599601</v>
      </c>
      <c r="AG2780">
        <v>-0.21340529999999999</v>
      </c>
      <c r="AH2780">
        <v>0.39781584555585098</v>
      </c>
      <c r="AI2780">
        <v>116.451433406983</v>
      </c>
      <c r="AJ2780">
        <v>68.040788997620695</v>
      </c>
      <c r="AK2780">
        <v>0.47908977231608302</v>
      </c>
      <c r="AL2780">
        <v>78.024148968819503</v>
      </c>
      <c r="AM2780">
        <v>88.639602547579898</v>
      </c>
      <c r="AN2780">
        <v>0.99999998229550502</v>
      </c>
    </row>
    <row r="2781" spans="1:40" x14ac:dyDescent="0.25">
      <c r="A2781" t="str">
        <f>"20190312172715160"</f>
        <v>20190312172715160</v>
      </c>
      <c r="B2781" t="str">
        <f>"1552382835152197"</f>
        <v>1552382835152197</v>
      </c>
      <c r="C2781" t="s">
        <v>40</v>
      </c>
      <c r="D2781">
        <v>3.784878</v>
      </c>
      <c r="E2781">
        <v>0.57990489999999995</v>
      </c>
      <c r="F2781" t="s">
        <v>44</v>
      </c>
      <c r="G2781">
        <v>-296.45240000000001</v>
      </c>
      <c r="H2781">
        <v>0.91064829999999997</v>
      </c>
      <c r="I2781">
        <v>213.52019999999999</v>
      </c>
      <c r="J2781">
        <v>-296.89350000000002</v>
      </c>
      <c r="K2781">
        <v>1.1092519999999999</v>
      </c>
      <c r="L2781">
        <v>213.697</v>
      </c>
      <c r="M2781">
        <v>0.9998958</v>
      </c>
      <c r="N2781">
        <v>0</v>
      </c>
      <c r="O2781">
        <v>-5.7618529999999999E-4</v>
      </c>
      <c r="P2781">
        <v>0.9808827</v>
      </c>
      <c r="Q2781">
        <v>0.1931668</v>
      </c>
      <c r="R2781">
        <v>-2.3583550000000002E-2</v>
      </c>
      <c r="S2781">
        <v>3.188812</v>
      </c>
      <c r="T2781">
        <v>-0.73952929999999995</v>
      </c>
      <c r="U2781">
        <v>-0.65881350000000005</v>
      </c>
      <c r="V2781">
        <v>2.325706E-2</v>
      </c>
      <c r="W2781">
        <v>0.20728070000000001</v>
      </c>
      <c r="X2781">
        <v>0.97800509999999996</v>
      </c>
      <c r="Y2781">
        <v>0.196768</v>
      </c>
      <c r="Z2781">
        <v>-2.216081E-2</v>
      </c>
      <c r="AA2781">
        <v>0.98019959999999995</v>
      </c>
      <c r="AB2781">
        <v>43</v>
      </c>
      <c r="AC2781">
        <v>0.44110000000000499</v>
      </c>
      <c r="AD2781">
        <v>-0.19860369999999999</v>
      </c>
      <c r="AE2781">
        <v>-0.176800000000014</v>
      </c>
      <c r="AF2781">
        <v>0.15029499415859199</v>
      </c>
      <c r="AG2781">
        <v>-0.19860369999999999</v>
      </c>
      <c r="AH2781">
        <v>0.37559900703473498</v>
      </c>
      <c r="AI2781">
        <v>116.147401851523</v>
      </c>
      <c r="AJ2781">
        <v>68.191306679825999</v>
      </c>
      <c r="AK2781">
        <v>0.45067352818675799</v>
      </c>
      <c r="AL2781">
        <v>78.036959202894394</v>
      </c>
      <c r="AM2781">
        <v>88.637757320563296</v>
      </c>
      <c r="AN2781">
        <v>1.00000007752916</v>
      </c>
    </row>
    <row r="2782" spans="1:40" x14ac:dyDescent="0.25">
      <c r="A2782" t="str">
        <f>"20190312172715182"</f>
        <v>20190312172715182</v>
      </c>
      <c r="B2782" t="str">
        <f>"1552382835171717"</f>
        <v>1552382835171717</v>
      </c>
      <c r="C2782" t="s">
        <v>40</v>
      </c>
      <c r="D2782">
        <v>3.6583380000000001</v>
      </c>
      <c r="E2782">
        <v>0.58005739999999995</v>
      </c>
      <c r="F2782" t="s">
        <v>44</v>
      </c>
      <c r="G2782">
        <v>-296.06819999999999</v>
      </c>
      <c r="H2782">
        <v>0.91740580000000005</v>
      </c>
      <c r="I2782">
        <v>213.52520000000001</v>
      </c>
      <c r="J2782">
        <v>-296.47289999999998</v>
      </c>
      <c r="K2782">
        <v>1.1092759999999999</v>
      </c>
      <c r="L2782">
        <v>213.69640000000001</v>
      </c>
      <c r="M2782">
        <v>0.99989550000000005</v>
      </c>
      <c r="N2782">
        <v>0</v>
      </c>
      <c r="O2782">
        <v>-9.1746920000000004E-4</v>
      </c>
      <c r="P2782">
        <v>0.98082499999999995</v>
      </c>
      <c r="Q2782">
        <v>0.19342719999999999</v>
      </c>
      <c r="R2782">
        <v>-2.3838640000000001E-2</v>
      </c>
      <c r="S2782">
        <v>3.188507</v>
      </c>
      <c r="T2782">
        <v>-0.74131610000000003</v>
      </c>
      <c r="U2782">
        <v>-0.66346740000000004</v>
      </c>
      <c r="V2782">
        <v>2.316901E-2</v>
      </c>
      <c r="W2782">
        <v>0.2075391</v>
      </c>
      <c r="X2782">
        <v>0.9779523</v>
      </c>
      <c r="Y2782">
        <v>0.19778370000000001</v>
      </c>
      <c r="Z2782">
        <v>-2.2249720000000001E-2</v>
      </c>
      <c r="AA2782">
        <v>0.97999320000000001</v>
      </c>
      <c r="AB2782">
        <v>43</v>
      </c>
      <c r="AC2782">
        <v>0.40469999999999101</v>
      </c>
      <c r="AD2782">
        <v>-0.19187019999999899</v>
      </c>
      <c r="AE2782">
        <v>-0.17119999999999799</v>
      </c>
      <c r="AF2782">
        <v>0.143474273105866</v>
      </c>
      <c r="AG2782">
        <v>-0.19187019999999899</v>
      </c>
      <c r="AH2782">
        <v>0.34002828219896097</v>
      </c>
      <c r="AI2782">
        <v>117.46952294612601</v>
      </c>
      <c r="AJ2782">
        <v>67.122781462508797</v>
      </c>
      <c r="AK2782">
        <v>0.41595465304101698</v>
      </c>
      <c r="AL2782">
        <v>78.021823814156505</v>
      </c>
      <c r="AM2782">
        <v>88.642839524782602</v>
      </c>
      <c r="AN2782">
        <v>0.99999999106423998</v>
      </c>
    </row>
    <row r="2783" spans="1:40" x14ac:dyDescent="0.25">
      <c r="A2783" t="str">
        <f>"20190312172715204"</f>
        <v>20190312172715204</v>
      </c>
      <c r="B2783" t="str">
        <f>"1552382835201972"</f>
        <v>1552382835201972</v>
      </c>
      <c r="C2783" t="s">
        <v>40</v>
      </c>
      <c r="D2783">
        <v>3.7034690000000001</v>
      </c>
      <c r="E2783">
        <v>0.58027869999999904</v>
      </c>
      <c r="F2783" t="s">
        <v>44</v>
      </c>
      <c r="G2783">
        <v>-295.68369999999999</v>
      </c>
      <c r="H2783">
        <v>0.92576970000000003</v>
      </c>
      <c r="I2783">
        <v>213.53139999999999</v>
      </c>
      <c r="J2783">
        <v>-296.048</v>
      </c>
      <c r="K2783">
        <v>1.1092979999999999</v>
      </c>
      <c r="L2783">
        <v>213.69579999999999</v>
      </c>
      <c r="M2783">
        <v>0.99989510000000004</v>
      </c>
      <c r="N2783">
        <v>0</v>
      </c>
      <c r="O2783">
        <v>-1.242031E-3</v>
      </c>
      <c r="P2783">
        <v>0.98072870000000001</v>
      </c>
      <c r="Q2783">
        <v>0.19382250000000001</v>
      </c>
      <c r="R2783">
        <v>-2.4584970000000001E-2</v>
      </c>
      <c r="S2783">
        <v>3.1887210000000001</v>
      </c>
      <c r="T2783">
        <v>-0.7415562</v>
      </c>
      <c r="U2783">
        <v>-0.66584779999999999</v>
      </c>
      <c r="V2783">
        <v>2.358743E-2</v>
      </c>
      <c r="W2783">
        <v>0.2079309</v>
      </c>
      <c r="X2783">
        <v>0.97785909999999998</v>
      </c>
      <c r="Y2783">
        <v>0.1981512</v>
      </c>
      <c r="Z2783">
        <v>-2.222172E-2</v>
      </c>
      <c r="AA2783">
        <v>0.9799196</v>
      </c>
      <c r="AB2783">
        <v>43</v>
      </c>
      <c r="AC2783">
        <v>0.364300000000014</v>
      </c>
      <c r="AD2783">
        <v>-0.18352829999999901</v>
      </c>
      <c r="AE2783">
        <v>-0.16439999999999999</v>
      </c>
      <c r="AF2783">
        <v>0.13539781893665201</v>
      </c>
      <c r="AG2783">
        <v>-0.18352829999999901</v>
      </c>
      <c r="AH2783">
        <v>0.30102978718443402</v>
      </c>
      <c r="AI2783">
        <v>119.074711523451</v>
      </c>
      <c r="AJ2783">
        <v>65.782636417696907</v>
      </c>
      <c r="AK2783">
        <v>0.37766935147824499</v>
      </c>
      <c r="AL2783">
        <v>77.998875081386998</v>
      </c>
      <c r="AM2783">
        <v>88.6182077093261</v>
      </c>
      <c r="AN2783">
        <v>1.0000000227408099</v>
      </c>
    </row>
    <row r="2784" spans="1:40" x14ac:dyDescent="0.25">
      <c r="A2784" t="str">
        <f>"20190312172715226"</f>
        <v>20190312172715226</v>
      </c>
      <c r="B2784" t="str">
        <f>"1552382835221493"</f>
        <v>1552382835221493</v>
      </c>
      <c r="C2784" t="s">
        <v>40</v>
      </c>
      <c r="D2784">
        <v>3.6771560000000001</v>
      </c>
      <c r="E2784">
        <v>0.5804009</v>
      </c>
      <c r="F2784" t="s">
        <v>44</v>
      </c>
      <c r="G2784">
        <v>-295.29919999999998</v>
      </c>
      <c r="H2784">
        <v>0.93494940000000004</v>
      </c>
      <c r="I2784">
        <v>213.5385</v>
      </c>
      <c r="J2784">
        <v>-295.63049999999998</v>
      </c>
      <c r="K2784">
        <v>1.109321</v>
      </c>
      <c r="L2784">
        <v>213.69499999999999</v>
      </c>
      <c r="M2784">
        <v>0.99989490000000003</v>
      </c>
      <c r="N2784">
        <v>0</v>
      </c>
      <c r="O2784">
        <v>-1.5376960000000001E-3</v>
      </c>
      <c r="P2784">
        <v>0.98072479999999995</v>
      </c>
      <c r="Q2784">
        <v>0.19377440000000001</v>
      </c>
      <c r="R2784">
        <v>-2.511797E-2</v>
      </c>
      <c r="S2784">
        <v>3.188965</v>
      </c>
      <c r="T2784">
        <v>-0.7425387</v>
      </c>
      <c r="U2784">
        <v>-0.66865540000000001</v>
      </c>
      <c r="V2784">
        <v>2.3819440000000001E-2</v>
      </c>
      <c r="W2784">
        <v>0.20788139999999999</v>
      </c>
      <c r="X2784">
        <v>0.97786399999999996</v>
      </c>
      <c r="Y2784">
        <v>0.19865650000000001</v>
      </c>
      <c r="Z2784">
        <v>-2.2237110000000001E-2</v>
      </c>
      <c r="AA2784">
        <v>0.97981689999999999</v>
      </c>
      <c r="AB2784">
        <v>43</v>
      </c>
      <c r="AC2784">
        <v>0.33129999999999798</v>
      </c>
      <c r="AD2784">
        <v>-0.17437159999999899</v>
      </c>
      <c r="AE2784">
        <v>-0.15649999999999401</v>
      </c>
      <c r="AF2784">
        <v>0.12718532040325001</v>
      </c>
      <c r="AG2784">
        <v>-0.17437159999999899</v>
      </c>
      <c r="AH2784">
        <v>0.27031841580814198</v>
      </c>
      <c r="AI2784">
        <v>120.271330746736</v>
      </c>
      <c r="AJ2784">
        <v>64.802927654971896</v>
      </c>
      <c r="AK2784">
        <v>0.34590982428612999</v>
      </c>
      <c r="AL2784">
        <v>78.0017745751353</v>
      </c>
      <c r="AM2784">
        <v>88.604628500579693</v>
      </c>
      <c r="AN2784">
        <v>1.0000000223419301</v>
      </c>
    </row>
    <row r="2785" spans="1:40" x14ac:dyDescent="0.25">
      <c r="A2785" t="str">
        <f>"20190312172715249"</f>
        <v>20190312172715249</v>
      </c>
      <c r="B2785" t="str">
        <f>"1552382835241989"</f>
        <v>1552382835241989</v>
      </c>
      <c r="C2785" t="s">
        <v>40</v>
      </c>
      <c r="D2785">
        <v>3.6753230000000001</v>
      </c>
      <c r="E2785">
        <v>0.58051699999999995</v>
      </c>
      <c r="F2785" t="s">
        <v>44</v>
      </c>
      <c r="G2785">
        <v>-294.9153</v>
      </c>
      <c r="H2785">
        <v>0.94244000000000006</v>
      </c>
      <c r="I2785">
        <v>213.54419999999999</v>
      </c>
      <c r="J2785">
        <v>-295.20299999999997</v>
      </c>
      <c r="K2785">
        <v>1.1093459999999999</v>
      </c>
      <c r="L2785">
        <v>213.69409999999999</v>
      </c>
      <c r="M2785">
        <v>0.99989430000000001</v>
      </c>
      <c r="N2785">
        <v>0</v>
      </c>
      <c r="O2785">
        <v>-1.8100150000000001E-3</v>
      </c>
      <c r="P2785">
        <v>0.9807498</v>
      </c>
      <c r="Q2785">
        <v>0.19359370000000001</v>
      </c>
      <c r="R2785">
        <v>-2.552488E-2</v>
      </c>
      <c r="S2785">
        <v>3.188812</v>
      </c>
      <c r="T2785">
        <v>-0.74404879999999995</v>
      </c>
      <c r="U2785">
        <v>-0.67091369999999995</v>
      </c>
      <c r="V2785">
        <v>2.3945069999999999E-2</v>
      </c>
      <c r="W2785">
        <v>0.2077</v>
      </c>
      <c r="X2785">
        <v>0.97789939999999997</v>
      </c>
      <c r="Y2785">
        <v>0.1990412</v>
      </c>
      <c r="Z2785">
        <v>-2.226243E-2</v>
      </c>
      <c r="AA2785">
        <v>0.9797382</v>
      </c>
      <c r="AB2785">
        <v>43</v>
      </c>
      <c r="AC2785">
        <v>0.28769999999997198</v>
      </c>
      <c r="AD2785">
        <v>-0.166906</v>
      </c>
      <c r="AE2785">
        <v>-0.149900000000002</v>
      </c>
      <c r="AF2785">
        <v>0.11811393114575</v>
      </c>
      <c r="AG2785">
        <v>-0.166906</v>
      </c>
      <c r="AH2785">
        <v>0.22769855086661001</v>
      </c>
      <c r="AI2785">
        <v>123.05122973409</v>
      </c>
      <c r="AJ2785">
        <v>62.582903275512201</v>
      </c>
      <c r="AK2785">
        <v>0.30603127884818798</v>
      </c>
      <c r="AL2785">
        <v>78.012399022697807</v>
      </c>
      <c r="AM2785">
        <v>88.597322635033095</v>
      </c>
      <c r="AN2785">
        <v>0.99999994644883095</v>
      </c>
    </row>
    <row r="2786" spans="1:40" x14ac:dyDescent="0.25">
      <c r="A2786" t="str">
        <f>"20190312172715271"</f>
        <v>20190312172715271</v>
      </c>
      <c r="B2786" t="str">
        <f>"1552382835261509"</f>
        <v>1552382835261509</v>
      </c>
      <c r="C2786" t="s">
        <v>40</v>
      </c>
      <c r="D2786">
        <v>3.6955339999999999</v>
      </c>
      <c r="E2786">
        <v>0.58054380000000005</v>
      </c>
      <c r="F2786" t="s">
        <v>44</v>
      </c>
      <c r="G2786">
        <v>-294.18270000000001</v>
      </c>
      <c r="H2786">
        <v>0.87081149999999996</v>
      </c>
      <c r="I2786">
        <v>213.47819999999999</v>
      </c>
      <c r="J2786">
        <v>-294.77249999999998</v>
      </c>
      <c r="K2786">
        <v>1.10937</v>
      </c>
      <c r="L2786">
        <v>213.69300000000001</v>
      </c>
      <c r="M2786">
        <v>0.99989399999999995</v>
      </c>
      <c r="N2786">
        <v>0</v>
      </c>
      <c r="O2786">
        <v>-2.044312E-3</v>
      </c>
      <c r="P2786">
        <v>0.98072599999999999</v>
      </c>
      <c r="Q2786">
        <v>0.19374649999999999</v>
      </c>
      <c r="R2786">
        <v>-2.5278269999999999E-2</v>
      </c>
      <c r="S2786">
        <v>3.188507</v>
      </c>
      <c r="T2786">
        <v>-0.7454807</v>
      </c>
      <c r="U2786">
        <v>-0.67395019999999894</v>
      </c>
      <c r="V2786">
        <v>2.3451659999999999E-2</v>
      </c>
      <c r="W2786">
        <v>0.2078525</v>
      </c>
      <c r="X2786">
        <v>0.97787900000000005</v>
      </c>
      <c r="Y2786">
        <v>0.19969419999999999</v>
      </c>
      <c r="Z2786">
        <v>-2.232518E-2</v>
      </c>
      <c r="AA2786">
        <v>0.97960389999999997</v>
      </c>
      <c r="AB2786">
        <v>43</v>
      </c>
      <c r="AC2786">
        <v>0.58979999999996802</v>
      </c>
      <c r="AD2786">
        <v>-0.23855850000000001</v>
      </c>
      <c r="AE2786">
        <v>-0.21479999999999599</v>
      </c>
      <c r="AF2786">
        <v>0.186635842250189</v>
      </c>
      <c r="AG2786">
        <v>-0.23855850000000001</v>
      </c>
      <c r="AH2786">
        <v>0.51574348066433495</v>
      </c>
      <c r="AI2786">
        <v>113.506588787124</v>
      </c>
      <c r="AJ2786">
        <v>70.105961485869898</v>
      </c>
      <c r="AK2786">
        <v>0.59810904806937204</v>
      </c>
      <c r="AL2786">
        <v>78.003467010125107</v>
      </c>
      <c r="AM2786">
        <v>88.626186239966302</v>
      </c>
      <c r="AN2786">
        <v>0.99999999037700205</v>
      </c>
    </row>
    <row r="2787" spans="1:40" x14ac:dyDescent="0.25">
      <c r="A2787" t="str">
        <f>"20190312172715294"</f>
        <v>20190312172715294</v>
      </c>
      <c r="B2787" t="str">
        <f>"1552382835291766"</f>
        <v>1552382835291766</v>
      </c>
      <c r="C2787" t="s">
        <v>40</v>
      </c>
      <c r="D2787">
        <v>3.600025</v>
      </c>
      <c r="E2787">
        <v>0.5401241</v>
      </c>
      <c r="F2787" t="s">
        <v>44</v>
      </c>
      <c r="G2787">
        <v>-293.7989</v>
      </c>
      <c r="H2787">
        <v>0.88173819999999903</v>
      </c>
      <c r="I2787">
        <v>213.48750000000001</v>
      </c>
      <c r="J2787">
        <v>-294.3374</v>
      </c>
      <c r="K2787">
        <v>1.1094059999999999</v>
      </c>
      <c r="L2787">
        <v>213.69200000000001</v>
      </c>
      <c r="M2787">
        <v>0.99989360000000005</v>
      </c>
      <c r="N2787">
        <v>0</v>
      </c>
      <c r="O2787">
        <v>-2.2448139999999999E-3</v>
      </c>
      <c r="P2787">
        <v>0.98084070000000001</v>
      </c>
      <c r="Q2787">
        <v>0.19316150000000001</v>
      </c>
      <c r="R2787">
        <v>-2.5310590000000001E-2</v>
      </c>
      <c r="S2787">
        <v>3.1889340000000002</v>
      </c>
      <c r="T2787">
        <v>-0.74565509999999902</v>
      </c>
      <c r="U2787">
        <v>-0.67289730000000003</v>
      </c>
      <c r="V2787">
        <v>2.3267639999999999E-2</v>
      </c>
      <c r="W2787">
        <v>0.20726810000000001</v>
      </c>
      <c r="X2787">
        <v>0.97800739999999997</v>
      </c>
      <c r="Y2787">
        <v>0.19917869999999999</v>
      </c>
      <c r="Z2787">
        <v>-2.2223529999999998E-2</v>
      </c>
      <c r="AA2787">
        <v>0.9797112</v>
      </c>
      <c r="AB2787">
        <v>43</v>
      </c>
      <c r="AC2787">
        <v>0.53849999999999898</v>
      </c>
      <c r="AD2787">
        <v>-0.2276678</v>
      </c>
      <c r="AE2787">
        <v>-0.20449999999999499</v>
      </c>
      <c r="AF2787">
        <v>0.17582411049892599</v>
      </c>
      <c r="AG2787">
        <v>-0.2276678</v>
      </c>
      <c r="AH2787">
        <v>0.46613961513889501</v>
      </c>
      <c r="AI2787">
        <v>114.559617461857</v>
      </c>
      <c r="AJ2787">
        <v>69.333928346474295</v>
      </c>
      <c r="AK2787">
        <v>0.54775257716547099</v>
      </c>
      <c r="AL2787">
        <v>78.037695746204506</v>
      </c>
      <c r="AM2787">
        <v>88.637141052615505</v>
      </c>
      <c r="AN2787">
        <v>0.99999996140176906</v>
      </c>
    </row>
    <row r="2788" spans="1:40" x14ac:dyDescent="0.25">
      <c r="A2788" t="str">
        <f>"20190312172715317"</f>
        <v>20190312172715317</v>
      </c>
      <c r="B2788" t="str">
        <f>"1552382835312261"</f>
        <v>1552382835312261</v>
      </c>
      <c r="C2788" t="s">
        <v>40</v>
      </c>
      <c r="D2788">
        <v>3.6300460000000001</v>
      </c>
      <c r="E2788">
        <v>0.53096880000000002</v>
      </c>
      <c r="F2788" t="s">
        <v>44</v>
      </c>
      <c r="G2788">
        <v>-293.37540000000001</v>
      </c>
      <c r="H2788">
        <v>0.98666600000000004</v>
      </c>
      <c r="I2788">
        <v>213.5804</v>
      </c>
      <c r="J2788">
        <v>-293.91739999999999</v>
      </c>
      <c r="K2788">
        <v>1.1094440000000001</v>
      </c>
      <c r="L2788">
        <v>213.6909</v>
      </c>
      <c r="M2788">
        <v>0.99989320000000004</v>
      </c>
      <c r="N2788">
        <v>0</v>
      </c>
      <c r="O2788">
        <v>-2.3966399999999998E-3</v>
      </c>
      <c r="P2788">
        <v>0.98092970000000002</v>
      </c>
      <c r="Q2788">
        <v>0.1928028</v>
      </c>
      <c r="R2788">
        <v>-2.4576890000000001E-2</v>
      </c>
      <c r="S2788">
        <v>3.1278990000000002</v>
      </c>
      <c r="T2788">
        <v>-0.39921869999999998</v>
      </c>
      <c r="U2788">
        <v>-0.36172490000000002</v>
      </c>
      <c r="V2788">
        <v>2.2364740000000001E-2</v>
      </c>
      <c r="W2788">
        <v>0.20691119999999999</v>
      </c>
      <c r="X2788">
        <v>0.97810410000000003</v>
      </c>
      <c r="Y2788">
        <v>0.1116234</v>
      </c>
      <c r="Z2788">
        <v>-6.7676050000000003E-3</v>
      </c>
      <c r="AA2788">
        <v>0.99372760000000004</v>
      </c>
      <c r="AB2788">
        <v>42</v>
      </c>
      <c r="AC2788">
        <v>0.54199999999997295</v>
      </c>
      <c r="AD2788">
        <v>-0.122778</v>
      </c>
      <c r="AE2788">
        <v>-0.110500000000001</v>
      </c>
      <c r="AF2788">
        <v>0.10407319334387501</v>
      </c>
      <c r="AG2788">
        <v>-0.122778</v>
      </c>
      <c r="AH2788">
        <v>0.51680200818744004</v>
      </c>
      <c r="AI2788">
        <v>103.110317802498</v>
      </c>
      <c r="AJ2788">
        <v>78.614102741859497</v>
      </c>
      <c r="AK2788">
        <v>0.541285490774843</v>
      </c>
      <c r="AL2788">
        <v>78.058598535923693</v>
      </c>
      <c r="AM2788">
        <v>88.690137415410604</v>
      </c>
      <c r="AN2788">
        <v>1.00000002835875</v>
      </c>
    </row>
    <row r="2789" spans="1:40" x14ac:dyDescent="0.25">
      <c r="A2789" t="str">
        <f>"20190312172715338"</f>
        <v>20190312172715338</v>
      </c>
      <c r="B2789" t="str">
        <f>"1552382835331783"</f>
        <v>1552382835331783</v>
      </c>
      <c r="C2789" t="s">
        <v>40</v>
      </c>
      <c r="D2789">
        <v>3.6904129999999999</v>
      </c>
      <c r="E2789">
        <v>0.52656530000000001</v>
      </c>
      <c r="F2789" t="s">
        <v>44</v>
      </c>
      <c r="G2789">
        <v>-292.9794</v>
      </c>
      <c r="H2789">
        <v>1.021061</v>
      </c>
      <c r="I2789">
        <v>213.60319999999999</v>
      </c>
      <c r="J2789">
        <v>-293.50850000000003</v>
      </c>
      <c r="K2789">
        <v>1.1094850000000001</v>
      </c>
      <c r="L2789">
        <v>213.68979999999999</v>
      </c>
      <c r="M2789">
        <v>0.99989300000000003</v>
      </c>
      <c r="N2789">
        <v>0</v>
      </c>
      <c r="O2789">
        <v>-2.5018369999999998E-3</v>
      </c>
      <c r="P2789">
        <v>0.98101380000000005</v>
      </c>
      <c r="Q2789">
        <v>0.1924197</v>
      </c>
      <c r="R2789">
        <v>-2.422535E-2</v>
      </c>
      <c r="S2789">
        <v>3.108673</v>
      </c>
      <c r="T2789">
        <v>-0.29303499999999999</v>
      </c>
      <c r="U2789">
        <v>-0.28956599999999999</v>
      </c>
      <c r="V2789">
        <v>2.1888600000000001E-2</v>
      </c>
      <c r="W2789">
        <v>0.20652960000000001</v>
      </c>
      <c r="X2789">
        <v>0.9781955</v>
      </c>
      <c r="Y2789">
        <v>8.9870749999999999E-2</v>
      </c>
      <c r="Z2789">
        <v>-3.9825160000000002E-3</v>
      </c>
      <c r="AA2789">
        <v>0.99594550000000004</v>
      </c>
      <c r="AB2789">
        <v>42</v>
      </c>
      <c r="AC2789">
        <v>0.52910000000002799</v>
      </c>
      <c r="AD2789">
        <v>-8.8424000000000003E-2</v>
      </c>
      <c r="AE2789">
        <v>-8.6600000000004201E-2</v>
      </c>
      <c r="AF2789">
        <v>8.3017711874942599E-2</v>
      </c>
      <c r="AG2789">
        <v>-8.8424000000000003E-2</v>
      </c>
      <c r="AH2789">
        <v>0.51529843728277902</v>
      </c>
      <c r="AI2789">
        <v>99.615363039507201</v>
      </c>
      <c r="AJ2789">
        <v>80.847941852651601</v>
      </c>
      <c r="AK2789">
        <v>0.52938003714441795</v>
      </c>
      <c r="AL2789">
        <v>78.080945087866695</v>
      </c>
      <c r="AM2789">
        <v>88.718134416332902</v>
      </c>
      <c r="AN2789">
        <v>1.00000001135318</v>
      </c>
    </row>
    <row r="2790" spans="1:40" x14ac:dyDescent="0.25">
      <c r="A2790" t="str">
        <f>"20190312172715361"</f>
        <v>20190312172715361</v>
      </c>
      <c r="B2790" t="str">
        <f>"1552382835352277"</f>
        <v>1552382835352277</v>
      </c>
      <c r="C2790" t="s">
        <v>40</v>
      </c>
      <c r="D2790">
        <v>3.6445660000000002</v>
      </c>
      <c r="E2790">
        <v>0.52399770000000001</v>
      </c>
      <c r="F2790" t="s">
        <v>44</v>
      </c>
      <c r="G2790">
        <v>-292.59160000000003</v>
      </c>
      <c r="H2790">
        <v>1.038983</v>
      </c>
      <c r="I2790">
        <v>213.61359999999999</v>
      </c>
      <c r="J2790">
        <v>-293.07859999999999</v>
      </c>
      <c r="K2790">
        <v>1.1095349999999999</v>
      </c>
      <c r="L2790">
        <v>213.68870000000001</v>
      </c>
      <c r="M2790">
        <v>0.99989300000000003</v>
      </c>
      <c r="N2790">
        <v>0</v>
      </c>
      <c r="O2790">
        <v>-2.5753170000000001E-3</v>
      </c>
      <c r="P2790">
        <v>0.9808732</v>
      </c>
      <c r="Q2790">
        <v>0.1931909</v>
      </c>
      <c r="R2790">
        <v>-2.3776519999999999E-2</v>
      </c>
      <c r="S2790">
        <v>3.0985109999999998</v>
      </c>
      <c r="T2790">
        <v>-0.2385139</v>
      </c>
      <c r="U2790">
        <v>-0.25581359999999997</v>
      </c>
      <c r="V2790">
        <v>2.134718E-2</v>
      </c>
      <c r="W2790">
        <v>0.20729839999999999</v>
      </c>
      <c r="X2790">
        <v>0.97804480000000005</v>
      </c>
      <c r="Y2790">
        <v>7.9487139999999998E-2</v>
      </c>
      <c r="Z2790">
        <v>-2.8520289999999998E-3</v>
      </c>
      <c r="AA2790">
        <v>0.99683180000000005</v>
      </c>
      <c r="AB2790">
        <v>42</v>
      </c>
      <c r="AC2790">
        <v>0.48699999999996602</v>
      </c>
      <c r="AD2790">
        <v>-7.0551999999999906E-2</v>
      </c>
      <c r="AE2790">
        <v>-7.5100000000020303E-2</v>
      </c>
      <c r="AF2790">
        <v>7.23620200654191E-2</v>
      </c>
      <c r="AG2790">
        <v>-7.0551999999999906E-2</v>
      </c>
      <c r="AH2790">
        <v>0.47740500839921601</v>
      </c>
      <c r="AI2790">
        <v>98.312854793034603</v>
      </c>
      <c r="AJ2790">
        <v>81.381075297409794</v>
      </c>
      <c r="AK2790">
        <v>0.48798502917262099</v>
      </c>
      <c r="AL2790">
        <v>78.0359213643478</v>
      </c>
      <c r="AM2790">
        <v>88.749638923620793</v>
      </c>
      <c r="AN2790">
        <v>0.99999997977177602</v>
      </c>
    </row>
    <row r="2791" spans="1:40" x14ac:dyDescent="0.25">
      <c r="A2791" t="str">
        <f>"20190312172715383"</f>
        <v>20190312172715383</v>
      </c>
      <c r="B2791" t="str">
        <f>"1552382835371797"</f>
        <v>1552382835371797</v>
      </c>
      <c r="C2791" t="s">
        <v>40</v>
      </c>
      <c r="D2791">
        <v>3.6273420000000001</v>
      </c>
      <c r="E2791">
        <v>0.52248220000000001</v>
      </c>
      <c r="F2791" t="s">
        <v>44</v>
      </c>
      <c r="G2791">
        <v>-292.20209999999997</v>
      </c>
      <c r="H2791">
        <v>1.0525629999999999</v>
      </c>
      <c r="I2791">
        <v>213.6217</v>
      </c>
      <c r="J2791">
        <v>-292.64359999999999</v>
      </c>
      <c r="K2791">
        <v>1.1095759999999999</v>
      </c>
      <c r="L2791">
        <v>213.6875</v>
      </c>
      <c r="M2791">
        <v>0.99989280000000003</v>
      </c>
      <c r="N2791">
        <v>0</v>
      </c>
      <c r="O2791">
        <v>-2.6201620000000001E-3</v>
      </c>
      <c r="P2791">
        <v>0.98066379999999997</v>
      </c>
      <c r="Q2791">
        <v>0.1942509</v>
      </c>
      <c r="R2791">
        <v>-2.3773599999999999E-2</v>
      </c>
      <c r="S2791">
        <v>3.0924070000000001</v>
      </c>
      <c r="T2791">
        <v>-0.20113220000000001</v>
      </c>
      <c r="U2791">
        <v>-0.23544309999999999</v>
      </c>
      <c r="V2791">
        <v>2.1282559999999999E-2</v>
      </c>
      <c r="W2791">
        <v>0.2083544</v>
      </c>
      <c r="X2791">
        <v>0.97782179999999996</v>
      </c>
      <c r="Y2791">
        <v>7.3154849999999993E-2</v>
      </c>
      <c r="Z2791">
        <v>-2.2030800000000001E-3</v>
      </c>
      <c r="AA2791">
        <v>0.99731809999999999</v>
      </c>
      <c r="AB2791">
        <v>42</v>
      </c>
      <c r="AC2791">
        <v>0.44150000000001899</v>
      </c>
      <c r="AD2791">
        <v>-5.7013000000000202E-2</v>
      </c>
      <c r="AE2791">
        <v>-6.5799999999995806E-2</v>
      </c>
      <c r="AF2791">
        <v>6.3605232868113995E-2</v>
      </c>
      <c r="AG2791">
        <v>-5.7013000000000202E-2</v>
      </c>
      <c r="AH2791">
        <v>0.43458139467705598</v>
      </c>
      <c r="AI2791">
        <v>97.396074967489099</v>
      </c>
      <c r="AJ2791">
        <v>81.6733227873667</v>
      </c>
      <c r="AK2791">
        <v>0.44289625920373499</v>
      </c>
      <c r="AL2791">
        <v>77.974066559538002</v>
      </c>
      <c r="AM2791">
        <v>88.7531384905691</v>
      </c>
      <c r="AN2791">
        <v>0.99999998795737599</v>
      </c>
    </row>
    <row r="2792" spans="1:40" x14ac:dyDescent="0.25">
      <c r="A2792" t="str">
        <f>"20190312172715405"</f>
        <v>20190312172715405</v>
      </c>
      <c r="B2792" t="str">
        <f>"1552382835402053"</f>
        <v>1552382835402053</v>
      </c>
      <c r="C2792" t="s">
        <v>40</v>
      </c>
      <c r="D2792">
        <v>3.6363310000000002</v>
      </c>
      <c r="E2792">
        <v>0.52108089999999996</v>
      </c>
      <c r="F2792" t="s">
        <v>48</v>
      </c>
      <c r="G2792">
        <v>-273.05579999999998</v>
      </c>
      <c r="H2792" s="1">
        <v>1.9216439999999999E-7</v>
      </c>
      <c r="I2792">
        <v>212.26410000000001</v>
      </c>
      <c r="J2792">
        <v>-292.23649999999998</v>
      </c>
      <c r="K2792">
        <v>1.109605</v>
      </c>
      <c r="L2792">
        <v>213.68639999999999</v>
      </c>
      <c r="M2792">
        <v>0.99989280000000003</v>
      </c>
      <c r="N2792">
        <v>0</v>
      </c>
      <c r="O2792">
        <v>-2.6427569999999999E-3</v>
      </c>
      <c r="P2792">
        <v>0.98053610000000002</v>
      </c>
      <c r="Q2792">
        <v>0.19487470000000001</v>
      </c>
      <c r="R2792">
        <v>-2.3941629999999998E-2</v>
      </c>
      <c r="S2792">
        <v>3.088409</v>
      </c>
      <c r="T2792">
        <v>-0.17494709999999999</v>
      </c>
      <c r="U2792">
        <v>-0.2244263</v>
      </c>
      <c r="V2792">
        <v>2.1414389999999998E-2</v>
      </c>
      <c r="W2792">
        <v>0.20897560000000001</v>
      </c>
      <c r="X2792">
        <v>0.97768630000000001</v>
      </c>
      <c r="Y2792">
        <v>6.9732840000000004E-2</v>
      </c>
      <c r="Z2792">
        <v>-1.821484E-3</v>
      </c>
      <c r="AA2792">
        <v>0.99756400000000001</v>
      </c>
      <c r="AB2792">
        <v>42</v>
      </c>
      <c r="AC2792">
        <v>19.180700000000002</v>
      </c>
      <c r="AD2792">
        <v>-1.1096048078356</v>
      </c>
      <c r="AE2792">
        <v>-1.4222999999999699</v>
      </c>
      <c r="AF2792">
        <v>1.3670498535501201</v>
      </c>
      <c r="AG2792">
        <v>-1.1096048078356</v>
      </c>
      <c r="AH2792">
        <v>19.120752031045299</v>
      </c>
      <c r="AI2792">
        <v>93.312794607357603</v>
      </c>
      <c r="AJ2792">
        <v>85.910561638772805</v>
      </c>
      <c r="AK2792">
        <v>19.201645928523501</v>
      </c>
      <c r="AL2792">
        <v>77.937672706700994</v>
      </c>
      <c r="AM2792">
        <v>88.745243729944306</v>
      </c>
      <c r="AN2792">
        <v>0.99999993935105902</v>
      </c>
    </row>
    <row r="2793" spans="1:40" x14ac:dyDescent="0.25">
      <c r="A2793" t="str">
        <f>"20190312172715427"</f>
        <v>20190312172715427</v>
      </c>
      <c r="B2793" t="str">
        <f>"1552382835421574"</f>
        <v>1552382835421574</v>
      </c>
      <c r="C2793" t="s">
        <v>40</v>
      </c>
      <c r="D2793">
        <v>3.6612170000000002</v>
      </c>
      <c r="E2793">
        <v>0.52038620000000002</v>
      </c>
      <c r="F2793" t="s">
        <v>48</v>
      </c>
      <c r="G2793">
        <v>-270.34179999999998</v>
      </c>
      <c r="H2793" s="1">
        <v>-1.2474140000000001E-6</v>
      </c>
      <c r="I2793">
        <v>212.15729999999999</v>
      </c>
      <c r="J2793">
        <v>-291.81299999999999</v>
      </c>
      <c r="K2793">
        <v>1.1096360000000001</v>
      </c>
      <c r="L2793">
        <v>213.68520000000001</v>
      </c>
      <c r="M2793">
        <v>0.99989280000000003</v>
      </c>
      <c r="N2793">
        <v>0</v>
      </c>
      <c r="O2793">
        <v>-2.6532819999999999E-3</v>
      </c>
      <c r="P2793">
        <v>0.98039989999999999</v>
      </c>
      <c r="Q2793">
        <v>0.1955749</v>
      </c>
      <c r="R2793">
        <v>-2.3802460000000001E-2</v>
      </c>
      <c r="S2793">
        <v>3.0853269999999999</v>
      </c>
      <c r="T2793">
        <v>-0.1563619</v>
      </c>
      <c r="U2793">
        <v>-0.21546940000000001</v>
      </c>
      <c r="V2793">
        <v>2.1253520000000001E-2</v>
      </c>
      <c r="W2793">
        <v>0.2096721</v>
      </c>
      <c r="X2793">
        <v>0.97754070000000004</v>
      </c>
      <c r="Y2793">
        <v>6.6937679999999999E-2</v>
      </c>
      <c r="Z2793">
        <v>-1.5588010000000001E-3</v>
      </c>
      <c r="AA2793">
        <v>0.99775590000000003</v>
      </c>
      <c r="AB2793">
        <v>42</v>
      </c>
      <c r="AC2793">
        <v>21.4712</v>
      </c>
      <c r="AD2793">
        <v>-1.1096372474139999</v>
      </c>
      <c r="AE2793">
        <v>-1.52790000000001</v>
      </c>
      <c r="AF2793">
        <v>1.46702111349525</v>
      </c>
      <c r="AG2793">
        <v>-1.1096372474139999</v>
      </c>
      <c r="AH2793">
        <v>21.418262037297701</v>
      </c>
      <c r="AI2793">
        <v>92.9588080203159</v>
      </c>
      <c r="AJ2793">
        <v>86.081706232893495</v>
      </c>
      <c r="AK2793">
        <v>21.497102001586999</v>
      </c>
      <c r="AL2793">
        <v>77.896862354199897</v>
      </c>
      <c r="AM2793">
        <v>88.754481350396603</v>
      </c>
      <c r="AN2793">
        <v>0.99999996089364396</v>
      </c>
    </row>
    <row r="2794" spans="1:40" x14ac:dyDescent="0.25">
      <c r="A2794" t="str">
        <f>"20190312172715449"</f>
        <v>20190312172715449</v>
      </c>
      <c r="B2794" t="str">
        <f>"1552382835442073"</f>
        <v>1552382835442073</v>
      </c>
      <c r="C2794" t="s">
        <v>40</v>
      </c>
      <c r="D2794">
        <v>4.0465900000000001</v>
      </c>
      <c r="E2794">
        <v>0.5198663</v>
      </c>
      <c r="F2794" t="s">
        <v>48</v>
      </c>
      <c r="G2794">
        <v>-267.66160000000002</v>
      </c>
      <c r="H2794" s="1">
        <v>2.653059E-6</v>
      </c>
      <c r="I2794">
        <v>212.0368</v>
      </c>
      <c r="J2794">
        <v>-291.4067</v>
      </c>
      <c r="K2794">
        <v>1.1096600000000001</v>
      </c>
      <c r="L2794">
        <v>213.6841</v>
      </c>
      <c r="M2794">
        <v>0.99989280000000003</v>
      </c>
      <c r="N2794">
        <v>0</v>
      </c>
      <c r="O2794">
        <v>-2.6556940000000001E-3</v>
      </c>
      <c r="P2794">
        <v>0.98029840000000001</v>
      </c>
      <c r="Q2794">
        <v>0.19609860000000001</v>
      </c>
      <c r="R2794">
        <v>-2.3676039999999999E-2</v>
      </c>
      <c r="S2794">
        <v>3.0831300000000001</v>
      </c>
      <c r="T2794">
        <v>-0.141653799999999</v>
      </c>
      <c r="U2794">
        <v>-0.21043400000000001</v>
      </c>
      <c r="V2794">
        <v>2.111642E-2</v>
      </c>
      <c r="W2794">
        <v>0.2101925</v>
      </c>
      <c r="X2794">
        <v>0.97743199999999997</v>
      </c>
      <c r="Y2794">
        <v>6.5379019999999996E-2</v>
      </c>
      <c r="Z2794">
        <v>-1.377561E-3</v>
      </c>
      <c r="AA2794">
        <v>0.99785950000000001</v>
      </c>
      <c r="AB2794">
        <v>42</v>
      </c>
      <c r="AC2794">
        <v>23.745099999999901</v>
      </c>
      <c r="AD2794">
        <v>-1.109657346941</v>
      </c>
      <c r="AE2794">
        <v>-1.6473</v>
      </c>
      <c r="AF2794">
        <v>1.58079219892692</v>
      </c>
      <c r="AG2794">
        <v>-1.109657346941</v>
      </c>
      <c r="AH2794">
        <v>23.697885853729002</v>
      </c>
      <c r="AI2794">
        <v>92.674989736714906</v>
      </c>
      <c r="AJ2794">
        <v>86.1836790417765</v>
      </c>
      <c r="AK2794">
        <v>23.7764597310066</v>
      </c>
      <c r="AL2794">
        <v>77.866367174573796</v>
      </c>
      <c r="AM2794">
        <v>88.762375728451204</v>
      </c>
      <c r="AN2794">
        <v>1.0000000524369299</v>
      </c>
    </row>
    <row r="2795" spans="1:40" x14ac:dyDescent="0.25">
      <c r="A2795" t="str">
        <f>"20190312172715471"</f>
        <v>20190312172715471</v>
      </c>
      <c r="B2795" t="str">
        <f>"1552382835461589"</f>
        <v>1552382835461589</v>
      </c>
      <c r="C2795" t="s">
        <v>40</v>
      </c>
      <c r="D2795">
        <v>3.638881</v>
      </c>
      <c r="E2795">
        <v>0.51960980000000001</v>
      </c>
      <c r="F2795" t="s">
        <v>48</v>
      </c>
      <c r="G2795">
        <v>-265.33069999999998</v>
      </c>
      <c r="H2795" s="1">
        <v>1.417293E-6</v>
      </c>
      <c r="I2795">
        <v>211.9323</v>
      </c>
      <c r="J2795">
        <v>-290.98379999999997</v>
      </c>
      <c r="K2795">
        <v>1.109677</v>
      </c>
      <c r="L2795">
        <v>213.68299999999999</v>
      </c>
      <c r="M2795">
        <v>0.99989280000000003</v>
      </c>
      <c r="N2795">
        <v>0</v>
      </c>
      <c r="O2795">
        <v>-2.655054E-3</v>
      </c>
      <c r="P2795">
        <v>0.98030379999999995</v>
      </c>
      <c r="Q2795">
        <v>0.19609889999999999</v>
      </c>
      <c r="R2795">
        <v>-2.3444820000000002E-2</v>
      </c>
      <c r="S2795">
        <v>3.0815429999999999</v>
      </c>
      <c r="T2795">
        <v>-0.13113449999999999</v>
      </c>
      <c r="U2795">
        <v>-0.20701600000000001</v>
      </c>
      <c r="V2795">
        <v>2.08781E-2</v>
      </c>
      <c r="W2795">
        <v>0.21019099999999999</v>
      </c>
      <c r="X2795">
        <v>0.97743740000000001</v>
      </c>
      <c r="Y2795">
        <v>6.4323089999999999E-2</v>
      </c>
      <c r="Z2795">
        <v>-1.2536559999999999E-3</v>
      </c>
      <c r="AA2795">
        <v>0.99792829999999999</v>
      </c>
      <c r="AB2795">
        <v>42</v>
      </c>
      <c r="AC2795">
        <v>25.653099999999899</v>
      </c>
      <c r="AD2795">
        <v>-1.109675582707</v>
      </c>
      <c r="AE2795">
        <v>-1.7506999999999899</v>
      </c>
      <c r="AF2795">
        <v>1.6794484413485999</v>
      </c>
      <c r="AG2795">
        <v>-1.109675582707</v>
      </c>
      <c r="AH2795">
        <v>25.6099599080828</v>
      </c>
      <c r="AI2795">
        <v>92.475754185691201</v>
      </c>
      <c r="AJ2795">
        <v>86.248032996792304</v>
      </c>
      <c r="AK2795">
        <v>25.688946522962201</v>
      </c>
      <c r="AL2795">
        <v>77.866454574475299</v>
      </c>
      <c r="AM2795">
        <v>88.776346047983196</v>
      </c>
      <c r="AN2795">
        <v>1.0000000112296801</v>
      </c>
    </row>
    <row r="2796" spans="1:40" x14ac:dyDescent="0.25">
      <c r="A2796" t="str">
        <f>"20190312172715494"</f>
        <v>20190312172715494</v>
      </c>
      <c r="B2796" t="str">
        <f>"1552382835491845"</f>
        <v>1552382835491845</v>
      </c>
      <c r="C2796" t="s">
        <v>40</v>
      </c>
      <c r="D2796">
        <v>3.673365</v>
      </c>
      <c r="E2796">
        <v>0.51932100000000003</v>
      </c>
      <c r="F2796" t="s">
        <v>48</v>
      </c>
      <c r="G2796">
        <v>-263.84870000000001</v>
      </c>
      <c r="H2796" s="1">
        <v>6.3072550000000002E-7</v>
      </c>
      <c r="I2796">
        <v>211.88460000000001</v>
      </c>
      <c r="J2796">
        <v>-290.55360000000002</v>
      </c>
      <c r="K2796">
        <v>1.1096870000000001</v>
      </c>
      <c r="L2796">
        <v>213.68180000000001</v>
      </c>
      <c r="M2796">
        <v>0.99989309999999998</v>
      </c>
      <c r="N2796">
        <v>0</v>
      </c>
      <c r="O2796">
        <v>-2.6539810000000001E-3</v>
      </c>
      <c r="P2796">
        <v>0.98023950000000004</v>
      </c>
      <c r="Q2796">
        <v>0.19637850000000001</v>
      </c>
      <c r="R2796">
        <v>-2.3807849999999998E-2</v>
      </c>
      <c r="S2796">
        <v>3.0805660000000001</v>
      </c>
      <c r="T2796">
        <v>-0.12597849999999999</v>
      </c>
      <c r="U2796">
        <v>-0.2041626</v>
      </c>
      <c r="V2796">
        <v>2.1235919999999998E-2</v>
      </c>
      <c r="W2796">
        <v>0.2104675</v>
      </c>
      <c r="X2796">
        <v>0.97737019999999997</v>
      </c>
      <c r="Y2796">
        <v>6.3430050000000002E-2</v>
      </c>
      <c r="Z2796">
        <v>-1.186634E-3</v>
      </c>
      <c r="AA2796">
        <v>0.99798560000000003</v>
      </c>
      <c r="AB2796">
        <v>42</v>
      </c>
      <c r="AC2796">
        <v>26.704899999999999</v>
      </c>
      <c r="AD2796">
        <v>-1.1096863692745</v>
      </c>
      <c r="AE2796">
        <v>-1.7971999999999999</v>
      </c>
      <c r="AF2796">
        <v>1.72334974136959</v>
      </c>
      <c r="AG2796">
        <v>-1.1096863692745</v>
      </c>
      <c r="AH2796">
        <v>26.6637432739698</v>
      </c>
      <c r="AI2796">
        <v>92.378192674877795</v>
      </c>
      <c r="AJ2796">
        <v>86.301962678068705</v>
      </c>
      <c r="AK2796">
        <v>26.7424109524441</v>
      </c>
      <c r="AL2796">
        <v>77.8502499131516</v>
      </c>
      <c r="AM2796">
        <v>88.755295407829195</v>
      </c>
      <c r="AN2796">
        <v>1.00000002035126</v>
      </c>
    </row>
    <row r="2797" spans="1:40" x14ac:dyDescent="0.25">
      <c r="A2797" t="str">
        <f>"20190312172715518"</f>
        <v>20190312172715518</v>
      </c>
      <c r="B2797" t="str">
        <f>"1552382835511366"</f>
        <v>1552382835511366</v>
      </c>
      <c r="C2797" t="s">
        <v>40</v>
      </c>
      <c r="D2797">
        <v>3.6797170000000001</v>
      </c>
      <c r="E2797">
        <v>0.51915109999999998</v>
      </c>
      <c r="F2797" t="s">
        <v>48</v>
      </c>
      <c r="G2797">
        <v>-261.96289999999999</v>
      </c>
      <c r="H2797" s="1">
        <v>-3.69434E-7</v>
      </c>
      <c r="I2797">
        <v>211.80699999999999</v>
      </c>
      <c r="J2797">
        <v>-290.1103</v>
      </c>
      <c r="K2797">
        <v>1.109694</v>
      </c>
      <c r="L2797">
        <v>213.6806</v>
      </c>
      <c r="M2797">
        <v>0.99989300000000003</v>
      </c>
      <c r="N2797">
        <v>0</v>
      </c>
      <c r="O2797">
        <v>-2.6537729999999999E-3</v>
      </c>
      <c r="P2797">
        <v>0.98039189999999998</v>
      </c>
      <c r="Q2797">
        <v>0.19558970000000001</v>
      </c>
      <c r="R2797">
        <v>-2.400712E-2</v>
      </c>
      <c r="S2797">
        <v>3.079529</v>
      </c>
      <c r="T2797">
        <v>-0.1195254</v>
      </c>
      <c r="U2797">
        <v>-0.2019348</v>
      </c>
      <c r="V2797">
        <v>2.142966E-2</v>
      </c>
      <c r="W2797">
        <v>0.20967910000000001</v>
      </c>
      <c r="X2797">
        <v>0.97753540000000005</v>
      </c>
      <c r="Y2797">
        <v>6.2739119999999995E-2</v>
      </c>
      <c r="Z2797">
        <v>-1.1129219999999999E-3</v>
      </c>
      <c r="AA2797">
        <v>0.99802939999999996</v>
      </c>
      <c r="AB2797">
        <v>42</v>
      </c>
      <c r="AC2797">
        <v>28.147400000000001</v>
      </c>
      <c r="AD2797">
        <v>-1.109694369434</v>
      </c>
      <c r="AE2797">
        <v>-1.8735999999999799</v>
      </c>
      <c r="AF2797">
        <v>1.79610951223828</v>
      </c>
      <c r="AG2797">
        <v>-1.109694369434</v>
      </c>
      <c r="AH2797">
        <v>28.108777205463799</v>
      </c>
      <c r="AI2797">
        <v>92.256184929334495</v>
      </c>
      <c r="AJ2797">
        <v>86.343854611978799</v>
      </c>
      <c r="AK2797">
        <v>28.187954643072398</v>
      </c>
      <c r="AL2797">
        <v>77.896452729433705</v>
      </c>
      <c r="AM2797">
        <v>88.744155514861305</v>
      </c>
      <c r="AN2797">
        <v>1.0000000067788399</v>
      </c>
    </row>
    <row r="2798" spans="1:40" x14ac:dyDescent="0.25">
      <c r="A2798" t="str">
        <f>"20190312172715541"</f>
        <v>20190312172715541</v>
      </c>
      <c r="B2798" t="str">
        <f>"1552382835531861"</f>
        <v>1552382835531861</v>
      </c>
      <c r="C2798" t="s">
        <v>40</v>
      </c>
      <c r="D2798">
        <v>3.6569989999999999</v>
      </c>
      <c r="E2798">
        <v>0.5192291</v>
      </c>
      <c r="F2798" t="s">
        <v>48</v>
      </c>
      <c r="G2798">
        <v>-261.41660000000002</v>
      </c>
      <c r="H2798" s="1">
        <v>-6.5991939999999999E-7</v>
      </c>
      <c r="I2798">
        <v>211.8013</v>
      </c>
      <c r="J2798">
        <v>-289.6671</v>
      </c>
      <c r="K2798">
        <v>1.1097030000000001</v>
      </c>
      <c r="L2798">
        <v>213.67939999999999</v>
      </c>
      <c r="M2798">
        <v>0.99989300000000003</v>
      </c>
      <c r="N2798">
        <v>0</v>
      </c>
      <c r="O2798">
        <v>-2.6547929999999999E-3</v>
      </c>
      <c r="P2798">
        <v>0.98053869999999999</v>
      </c>
      <c r="Q2798">
        <v>0.1948221</v>
      </c>
      <c r="R2798">
        <v>-2.4256119999999999E-2</v>
      </c>
      <c r="S2798">
        <v>3.078827</v>
      </c>
      <c r="T2798">
        <v>-0.1190697</v>
      </c>
      <c r="U2798">
        <v>-0.20164489999999999</v>
      </c>
      <c r="V2798">
        <v>2.1672799999999999E-2</v>
      </c>
      <c r="W2798">
        <v>0.20891119999999999</v>
      </c>
      <c r="X2798">
        <v>0.97769450000000002</v>
      </c>
      <c r="Y2798">
        <v>6.265975E-2</v>
      </c>
      <c r="Z2798">
        <v>-1.107364E-3</v>
      </c>
      <c r="AA2798">
        <v>0.99803439999999999</v>
      </c>
      <c r="AB2798">
        <v>42</v>
      </c>
      <c r="AC2798">
        <v>28.250499999999899</v>
      </c>
      <c r="AD2798">
        <v>-1.1097036599193999</v>
      </c>
      <c r="AE2798">
        <v>-1.8780999999999799</v>
      </c>
      <c r="AF2798">
        <v>1.8003207440690501</v>
      </c>
      <c r="AG2798">
        <v>-1.1097036599193999</v>
      </c>
      <c r="AH2798">
        <v>28.212047679312398</v>
      </c>
      <c r="AI2798">
        <v>92.247965517905499</v>
      </c>
      <c r="AJ2798">
        <v>86.348683890145594</v>
      </c>
      <c r="AK2798">
        <v>28.291204132276899</v>
      </c>
      <c r="AL2798">
        <v>77.941447405639707</v>
      </c>
      <c r="AM2798">
        <v>88.730118012061297</v>
      </c>
      <c r="AN2798">
        <v>1.0000000675377601</v>
      </c>
    </row>
    <row r="2799" spans="1:40" x14ac:dyDescent="0.25">
      <c r="A2799" t="str">
        <f>"20190312172715562"</f>
        <v>20190312172715562</v>
      </c>
      <c r="B2799" t="str">
        <f>"1552382835551382"</f>
        <v>1552382835551382</v>
      </c>
      <c r="C2799" t="s">
        <v>40</v>
      </c>
      <c r="D2799">
        <v>3.6780729999999999</v>
      </c>
      <c r="E2799">
        <v>0.51921519999999999</v>
      </c>
      <c r="F2799" t="s">
        <v>48</v>
      </c>
      <c r="G2799">
        <v>-261.77080000000001</v>
      </c>
      <c r="H2799" s="1">
        <v>-4.7303429999999998E-7</v>
      </c>
      <c r="I2799">
        <v>211.83799999999999</v>
      </c>
      <c r="J2799">
        <v>-289.28570000000002</v>
      </c>
      <c r="K2799">
        <v>1.1097090000000001</v>
      </c>
      <c r="L2799">
        <v>213.67830000000001</v>
      </c>
      <c r="M2799">
        <v>0.99989300000000003</v>
      </c>
      <c r="N2799">
        <v>0</v>
      </c>
      <c r="O2799">
        <v>-2.6563419999999999E-3</v>
      </c>
      <c r="P2799">
        <v>0.9805256</v>
      </c>
      <c r="Q2799">
        <v>0.1948211</v>
      </c>
      <c r="R2799">
        <v>-2.478814E-2</v>
      </c>
      <c r="S2799">
        <v>3.0788570000000002</v>
      </c>
      <c r="T2799">
        <v>-0.12247570000000001</v>
      </c>
      <c r="U2799">
        <v>-0.20323179999999999</v>
      </c>
      <c r="V2799">
        <v>2.2200359999999999E-2</v>
      </c>
      <c r="W2799">
        <v>0.20890790000000001</v>
      </c>
      <c r="X2799">
        <v>0.97768330000000003</v>
      </c>
      <c r="Y2799">
        <v>6.316679E-2</v>
      </c>
      <c r="Z2799">
        <v>-1.1489950000000001E-3</v>
      </c>
      <c r="AA2799">
        <v>0.99800239999999996</v>
      </c>
      <c r="AB2799">
        <v>42</v>
      </c>
      <c r="AC2799">
        <v>27.514900000000001</v>
      </c>
      <c r="AD2799">
        <v>-1.1097094730343</v>
      </c>
      <c r="AE2799">
        <v>-1.84030000000001</v>
      </c>
      <c r="AF2799">
        <v>1.7643398510755399</v>
      </c>
      <c r="AG2799">
        <v>-1.1097094730343</v>
      </c>
      <c r="AH2799">
        <v>27.475199551392901</v>
      </c>
      <c r="AI2799">
        <v>92.308141603651507</v>
      </c>
      <c r="AJ2799">
        <v>86.325754898329606</v>
      </c>
      <c r="AK2799">
        <v>27.5541456157417</v>
      </c>
      <c r="AL2799">
        <v>77.941639931968595</v>
      </c>
      <c r="AM2799">
        <v>88.699202101822294</v>
      </c>
      <c r="AN2799">
        <v>1.0000000008827099</v>
      </c>
    </row>
    <row r="2800" spans="1:40" x14ac:dyDescent="0.25">
      <c r="A2800" t="str">
        <f>"20190312172715583"</f>
        <v>20190312172715583</v>
      </c>
      <c r="B2800" t="str">
        <f>"1552382835571878"</f>
        <v>1552382835571878</v>
      </c>
      <c r="C2800" t="s">
        <v>40</v>
      </c>
      <c r="D2800">
        <v>3.6394899999999999</v>
      </c>
      <c r="E2800">
        <v>0.51921709999999999</v>
      </c>
      <c r="F2800" t="s">
        <v>48</v>
      </c>
      <c r="G2800">
        <v>-261.44779999999997</v>
      </c>
      <c r="H2800" s="1">
        <v>-6.444795E-7</v>
      </c>
      <c r="I2800">
        <v>211.8288</v>
      </c>
      <c r="J2800">
        <v>-288.87880000000001</v>
      </c>
      <c r="K2800">
        <v>1.1097140000000001</v>
      </c>
      <c r="L2800">
        <v>213.6772</v>
      </c>
      <c r="M2800">
        <v>0.99989309999999998</v>
      </c>
      <c r="N2800">
        <v>0</v>
      </c>
      <c r="O2800">
        <v>-2.657792E-3</v>
      </c>
      <c r="P2800">
        <v>0.98055409999999998</v>
      </c>
      <c r="Q2800">
        <v>0.19463659999999999</v>
      </c>
      <c r="R2800">
        <v>-2.511383E-2</v>
      </c>
      <c r="S2800">
        <v>3.0787960000000001</v>
      </c>
      <c r="T2800">
        <v>-0.12273100000000001</v>
      </c>
      <c r="U2800">
        <v>-0.2045593</v>
      </c>
      <c r="V2800">
        <v>2.2522250000000001E-2</v>
      </c>
      <c r="W2800">
        <v>0.2087214</v>
      </c>
      <c r="X2800">
        <v>0.97771580000000002</v>
      </c>
      <c r="Y2800">
        <v>6.3594529999999996E-2</v>
      </c>
      <c r="Z2800">
        <v>-1.1598489999999999E-3</v>
      </c>
      <c r="AA2800">
        <v>0.99797519999999995</v>
      </c>
      <c r="AB2800">
        <v>42</v>
      </c>
      <c r="AC2800">
        <v>27.431000000000001</v>
      </c>
      <c r="AD2800">
        <v>-1.1097146444795001</v>
      </c>
      <c r="AE2800">
        <v>-1.8483999999999901</v>
      </c>
      <c r="AF2800">
        <v>1.77259215060326</v>
      </c>
      <c r="AG2800">
        <v>-1.1097146444795001</v>
      </c>
      <c r="AH2800">
        <v>27.391190796978801</v>
      </c>
      <c r="AI2800">
        <v>92.315149786715907</v>
      </c>
      <c r="AJ2800">
        <v>86.297326834417404</v>
      </c>
      <c r="AK2800">
        <v>27.470909755613299</v>
      </c>
      <c r="AL2800">
        <v>77.952566824631205</v>
      </c>
      <c r="AM2800">
        <v>88.680391896662798</v>
      </c>
      <c r="AN2800">
        <v>1.0000000300663301</v>
      </c>
    </row>
    <row r="2801" spans="1:40" x14ac:dyDescent="0.25">
      <c r="A2801" t="str">
        <f>"20190312172715605"</f>
        <v>20190312172715605</v>
      </c>
      <c r="B2801" t="str">
        <f>"1552382835602134"</f>
        <v>1552382835602134</v>
      </c>
      <c r="C2801" t="s">
        <v>40</v>
      </c>
      <c r="D2801">
        <v>3.6202540000000001</v>
      </c>
      <c r="E2801">
        <v>0.51914729999999998</v>
      </c>
      <c r="F2801" t="s">
        <v>48</v>
      </c>
      <c r="G2801">
        <v>-261.31810000000002</v>
      </c>
      <c r="H2801" s="1">
        <v>-7.1421809999999904E-7</v>
      </c>
      <c r="I2801">
        <v>211.84460000000001</v>
      </c>
      <c r="J2801">
        <v>-288.47219999999999</v>
      </c>
      <c r="K2801">
        <v>1.1097109999999999</v>
      </c>
      <c r="L2801">
        <v>213.67619999999999</v>
      </c>
      <c r="M2801">
        <v>0.99989309999999998</v>
      </c>
      <c r="N2801">
        <v>0</v>
      </c>
      <c r="O2801">
        <v>-2.6586689999999998E-3</v>
      </c>
      <c r="P2801">
        <v>0.98040649999999996</v>
      </c>
      <c r="Q2801">
        <v>0.1952631</v>
      </c>
      <c r="R2801">
        <v>-2.5996849999999998E-2</v>
      </c>
      <c r="S2801">
        <v>3.078827</v>
      </c>
      <c r="T2801">
        <v>-0.1239671</v>
      </c>
      <c r="U2801">
        <v>-0.2047272</v>
      </c>
      <c r="V2801">
        <v>2.340306E-2</v>
      </c>
      <c r="W2801">
        <v>0.209343</v>
      </c>
      <c r="X2801">
        <v>0.97756220000000005</v>
      </c>
      <c r="Y2801">
        <v>6.3646149999999999E-2</v>
      </c>
      <c r="Z2801">
        <v>-1.1725100000000001E-3</v>
      </c>
      <c r="AA2801">
        <v>0.99797179999999996</v>
      </c>
      <c r="AB2801">
        <v>42</v>
      </c>
      <c r="AC2801">
        <v>27.1540999999999</v>
      </c>
      <c r="AD2801">
        <v>-1.1097117142181001</v>
      </c>
      <c r="AE2801">
        <v>-1.8315999999999799</v>
      </c>
      <c r="AF2801">
        <v>1.7564720532517399</v>
      </c>
      <c r="AG2801">
        <v>-1.1097117142181001</v>
      </c>
      <c r="AH2801">
        <v>27.113795744427701</v>
      </c>
      <c r="AI2801">
        <v>92.338793043609002</v>
      </c>
      <c r="AJ2801">
        <v>86.293473303432094</v>
      </c>
      <c r="AK2801">
        <v>27.193281777547099</v>
      </c>
      <c r="AL2801">
        <v>77.916147150332307</v>
      </c>
      <c r="AM2801">
        <v>88.628588050538198</v>
      </c>
      <c r="AN2801">
        <v>1.0000000248676</v>
      </c>
    </row>
    <row r="2802" spans="1:40" x14ac:dyDescent="0.25">
      <c r="A2802" t="str">
        <f>"20190312172715628"</f>
        <v>20190312172715628</v>
      </c>
      <c r="B2802" t="str">
        <f>"1552382835621653"</f>
        <v>1552382835621653</v>
      </c>
      <c r="C2802" t="s">
        <v>40</v>
      </c>
      <c r="D2802">
        <v>3.6492119999999999</v>
      </c>
      <c r="E2802">
        <v>0.51905950000000001</v>
      </c>
      <c r="F2802" t="s">
        <v>48</v>
      </c>
      <c r="G2802">
        <v>-260.60840000000002</v>
      </c>
      <c r="H2802" s="1">
        <v>-1.0904190000000001E-6</v>
      </c>
      <c r="I2802">
        <v>211.8117</v>
      </c>
      <c r="J2802">
        <v>-288.04140000000001</v>
      </c>
      <c r="K2802">
        <v>1.109715</v>
      </c>
      <c r="L2802">
        <v>213.67500000000001</v>
      </c>
      <c r="M2802">
        <v>0.99989320000000004</v>
      </c>
      <c r="N2802">
        <v>0</v>
      </c>
      <c r="O2802">
        <v>-2.6593210000000001E-3</v>
      </c>
      <c r="P2802">
        <v>0.98041520000000004</v>
      </c>
      <c r="Q2802">
        <v>0.19514690000000001</v>
      </c>
      <c r="R2802">
        <v>-2.6532429999999999E-2</v>
      </c>
      <c r="S2802">
        <v>3.0788880000000001</v>
      </c>
      <c r="T2802">
        <v>-0.12262089999999901</v>
      </c>
      <c r="U2802">
        <v>-0.20602419999999999</v>
      </c>
      <c r="V2802">
        <v>2.3936909999999999E-2</v>
      </c>
      <c r="W2802">
        <v>0.20922499999999999</v>
      </c>
      <c r="X2802">
        <v>0.97757450000000001</v>
      </c>
      <c r="Y2802">
        <v>6.4063469999999997E-2</v>
      </c>
      <c r="Z2802">
        <v>-1.1680200000000001E-3</v>
      </c>
      <c r="AA2802">
        <v>0.99794510000000003</v>
      </c>
      <c r="AB2802">
        <v>42</v>
      </c>
      <c r="AC2802">
        <v>27.433</v>
      </c>
      <c r="AD2802">
        <v>-1.109716090419</v>
      </c>
      <c r="AE2802">
        <v>-1.8633</v>
      </c>
      <c r="AF2802">
        <v>1.78742130101635</v>
      </c>
      <c r="AG2802">
        <v>-1.109716090419</v>
      </c>
      <c r="AH2802">
        <v>27.393239420272</v>
      </c>
      <c r="AI2802">
        <v>92.314899568637799</v>
      </c>
      <c r="AJ2802">
        <v>86.266716691122198</v>
      </c>
      <c r="AK2802">
        <v>27.473913275050599</v>
      </c>
      <c r="AL2802">
        <v>77.923060732137898</v>
      </c>
      <c r="AM2802">
        <v>88.597334609158594</v>
      </c>
      <c r="AN2802">
        <v>0.99999998966779902</v>
      </c>
    </row>
    <row r="2803" spans="1:40" x14ac:dyDescent="0.25">
      <c r="A2803" t="str">
        <f>"20190312172715650"</f>
        <v>20190312172715650</v>
      </c>
      <c r="B2803" t="str">
        <f>"1552382835642157"</f>
        <v>1552382835642157</v>
      </c>
      <c r="C2803" t="s">
        <v>40</v>
      </c>
      <c r="D2803">
        <v>3.629051</v>
      </c>
      <c r="E2803">
        <v>0.51902170000000003</v>
      </c>
      <c r="F2803" t="s">
        <v>48</v>
      </c>
      <c r="G2803">
        <v>-260.25630000000001</v>
      </c>
      <c r="H2803" s="1">
        <v>-1.2775959999999999E-6</v>
      </c>
      <c r="I2803">
        <v>211.8066</v>
      </c>
      <c r="J2803">
        <v>-287.62279999999998</v>
      </c>
      <c r="K2803">
        <v>1.1097189999999999</v>
      </c>
      <c r="L2803">
        <v>213.6739</v>
      </c>
      <c r="M2803">
        <v>0.99989320000000004</v>
      </c>
      <c r="N2803">
        <v>0</v>
      </c>
      <c r="O2803">
        <v>-2.6593910000000001E-3</v>
      </c>
      <c r="P2803">
        <v>0.98043049999999998</v>
      </c>
      <c r="Q2803">
        <v>0.19503380000000001</v>
      </c>
      <c r="R2803">
        <v>-2.6801999999999999E-2</v>
      </c>
      <c r="S2803">
        <v>3.0787960000000001</v>
      </c>
      <c r="T2803">
        <v>-0.12296459999999999</v>
      </c>
      <c r="U2803">
        <v>-0.2070313</v>
      </c>
      <c r="V2803">
        <v>2.4205379999999999E-2</v>
      </c>
      <c r="W2803">
        <v>0.2091094</v>
      </c>
      <c r="X2803">
        <v>0.97759260000000003</v>
      </c>
      <c r="Y2803">
        <v>6.4389790000000002E-2</v>
      </c>
      <c r="Z2803">
        <v>-1.1778170000000001E-3</v>
      </c>
      <c r="AA2803">
        <v>0.99792409999999998</v>
      </c>
      <c r="AB2803">
        <v>42</v>
      </c>
      <c r="AC2803">
        <v>27.366499999999899</v>
      </c>
      <c r="AD2803">
        <v>-1.109720277596</v>
      </c>
      <c r="AE2803">
        <v>-1.8673</v>
      </c>
      <c r="AF2803">
        <v>1.7915753695348899</v>
      </c>
      <c r="AG2803">
        <v>-1.109720277596</v>
      </c>
      <c r="AH2803">
        <v>27.3266438589398</v>
      </c>
      <c r="AI2803">
        <v>92.320496655679506</v>
      </c>
      <c r="AJ2803">
        <v>86.248971785343002</v>
      </c>
      <c r="AK2803">
        <v>27.407785134748899</v>
      </c>
      <c r="AL2803">
        <v>77.929833665762303</v>
      </c>
      <c r="AM2803">
        <v>88.581635329760601</v>
      </c>
      <c r="AN2803">
        <v>0.99999996658203105</v>
      </c>
    </row>
    <row r="2804" spans="1:40" x14ac:dyDescent="0.25">
      <c r="A2804" t="str">
        <f>"20190312172715673"</f>
        <v>20190312172715673</v>
      </c>
      <c r="B2804" t="str">
        <f>"1552382835661670"</f>
        <v>1552382835661670</v>
      </c>
      <c r="C2804" t="s">
        <v>40</v>
      </c>
      <c r="D2804">
        <v>3.6200860000000001</v>
      </c>
      <c r="E2804">
        <v>0.51892989999999894</v>
      </c>
      <c r="F2804" t="s">
        <v>48</v>
      </c>
      <c r="G2804">
        <v>-259.94650000000001</v>
      </c>
      <c r="H2804" s="1">
        <v>3.8791260000000001E-6</v>
      </c>
      <c r="I2804">
        <v>211.8057</v>
      </c>
      <c r="J2804">
        <v>-287.20049999999998</v>
      </c>
      <c r="K2804">
        <v>1.109723</v>
      </c>
      <c r="L2804">
        <v>213.6728</v>
      </c>
      <c r="M2804">
        <v>0.99989320000000004</v>
      </c>
      <c r="N2804">
        <v>0</v>
      </c>
      <c r="O2804">
        <v>-2.6592270000000001E-3</v>
      </c>
      <c r="P2804">
        <v>0.98045000000000004</v>
      </c>
      <c r="Q2804">
        <v>0.19497149999999999</v>
      </c>
      <c r="R2804">
        <v>-2.652943E-2</v>
      </c>
      <c r="S2804">
        <v>3.078735</v>
      </c>
      <c r="T2804">
        <v>-0.123446</v>
      </c>
      <c r="U2804">
        <v>-0.2078247</v>
      </c>
      <c r="V2804">
        <v>2.393226E-2</v>
      </c>
      <c r="W2804">
        <v>0.2090446</v>
      </c>
      <c r="X2804">
        <v>0.97761319999999996</v>
      </c>
      <c r="Y2804">
        <v>6.4646720000000005E-2</v>
      </c>
      <c r="Z2804">
        <v>-1.1875869999999999E-3</v>
      </c>
      <c r="AA2804">
        <v>0.99790749999999995</v>
      </c>
      <c r="AB2804">
        <v>42</v>
      </c>
      <c r="AC2804">
        <v>27.253999999999898</v>
      </c>
      <c r="AD2804">
        <v>-1.109719120874</v>
      </c>
      <c r="AE2804">
        <v>-1.86709999999999</v>
      </c>
      <c r="AF2804">
        <v>1.79165478108376</v>
      </c>
      <c r="AG2804">
        <v>-1.109719120874</v>
      </c>
      <c r="AH2804">
        <v>27.213961152324401</v>
      </c>
      <c r="AI2804">
        <v>92.330050182082999</v>
      </c>
      <c r="AJ2804">
        <v>86.233318344033705</v>
      </c>
      <c r="AK2804">
        <v>27.295442567982601</v>
      </c>
      <c r="AL2804">
        <v>77.933630547264102</v>
      </c>
      <c r="AM2804">
        <v>88.5976624762949</v>
      </c>
      <c r="AN2804">
        <v>0.999999983336053</v>
      </c>
    </row>
    <row r="2805" spans="1:40" x14ac:dyDescent="0.25">
      <c r="A2805" t="str">
        <f>"20190312172715695"</f>
        <v>20190312172715695</v>
      </c>
      <c r="B2805" t="str">
        <f>"1552382835691925"</f>
        <v>1552382835691925</v>
      </c>
      <c r="C2805" t="s">
        <v>40</v>
      </c>
      <c r="D2805">
        <v>3.601683</v>
      </c>
      <c r="E2805">
        <v>0.518849</v>
      </c>
      <c r="F2805" t="s">
        <v>48</v>
      </c>
      <c r="G2805">
        <v>-259.6114</v>
      </c>
      <c r="H2805" s="1">
        <v>3.6998929999999999E-6</v>
      </c>
      <c r="I2805">
        <v>211.8253</v>
      </c>
      <c r="J2805">
        <v>-286.78050000000002</v>
      </c>
      <c r="K2805">
        <v>1.1097269999999999</v>
      </c>
      <c r="L2805">
        <v>213.67169999999999</v>
      </c>
      <c r="M2805">
        <v>0.99989320000000004</v>
      </c>
      <c r="N2805">
        <v>0</v>
      </c>
      <c r="O2805">
        <v>-2.657866E-3</v>
      </c>
      <c r="P2805">
        <v>0.98049070000000005</v>
      </c>
      <c r="Q2805">
        <v>0.1947981</v>
      </c>
      <c r="R2805">
        <v>-2.6301910000000001E-2</v>
      </c>
      <c r="S2805">
        <v>3.0788570000000002</v>
      </c>
      <c r="T2805">
        <v>-0.1238412</v>
      </c>
      <c r="U2805">
        <v>-0.20617679999999999</v>
      </c>
      <c r="V2805">
        <v>2.3705029999999998E-2</v>
      </c>
      <c r="W2805">
        <v>0.20886969999999999</v>
      </c>
      <c r="X2805">
        <v>0.97765610000000003</v>
      </c>
      <c r="Y2805">
        <v>6.4113790000000004E-2</v>
      </c>
      <c r="Z2805">
        <v>-1.1807129999999999E-3</v>
      </c>
      <c r="AA2805">
        <v>0.99794190000000005</v>
      </c>
      <c r="AB2805">
        <v>42</v>
      </c>
      <c r="AC2805">
        <v>27.1691</v>
      </c>
      <c r="AD2805">
        <v>-1.1097233001069999</v>
      </c>
      <c r="AE2805">
        <v>-1.8463999999999801</v>
      </c>
      <c r="AF2805">
        <v>1.7712327966874699</v>
      </c>
      <c r="AG2805">
        <v>-1.1097233001069999</v>
      </c>
      <c r="AH2805">
        <v>27.128860502854</v>
      </c>
      <c r="AI2805">
        <v>92.337443287404994</v>
      </c>
      <c r="AJ2805">
        <v>86.264482561499506</v>
      </c>
      <c r="AK2805">
        <v>27.209259887144501</v>
      </c>
      <c r="AL2805">
        <v>77.943877564192505</v>
      </c>
      <c r="AM2805">
        <v>88.611032958066801</v>
      </c>
      <c r="AN2805">
        <v>0.99999996494629895</v>
      </c>
    </row>
    <row r="2806" spans="1:40" x14ac:dyDescent="0.25">
      <c r="A2806" t="str">
        <f>"20190312172715718"</f>
        <v>20190312172715718</v>
      </c>
      <c r="B2806" t="str">
        <f>"1552382835711445"</f>
        <v>1552382835711445</v>
      </c>
      <c r="C2806" t="s">
        <v>40</v>
      </c>
      <c r="D2806">
        <v>3.6002100000000001</v>
      </c>
      <c r="E2806">
        <v>0.5187929</v>
      </c>
      <c r="F2806" t="s">
        <v>48</v>
      </c>
      <c r="G2806">
        <v>-259.37599999999998</v>
      </c>
      <c r="H2806" s="1">
        <v>3.5736279999999999E-6</v>
      </c>
      <c r="I2806">
        <v>211.84889999999999</v>
      </c>
      <c r="J2806">
        <v>-286.36450000000002</v>
      </c>
      <c r="K2806">
        <v>1.109731</v>
      </c>
      <c r="L2806">
        <v>213.67060000000001</v>
      </c>
      <c r="M2806">
        <v>0.99989320000000004</v>
      </c>
      <c r="N2806">
        <v>0</v>
      </c>
      <c r="O2806">
        <v>-2.6549519999999999E-3</v>
      </c>
      <c r="P2806">
        <v>0.98044379999999998</v>
      </c>
      <c r="Q2806">
        <v>0.19511629999999999</v>
      </c>
      <c r="R2806">
        <v>-2.5687069999999999E-2</v>
      </c>
      <c r="S2806">
        <v>3.0789789999999999</v>
      </c>
      <c r="T2806">
        <v>-0.1246811</v>
      </c>
      <c r="U2806">
        <v>-0.2048035</v>
      </c>
      <c r="V2806">
        <v>2.3092000000000001E-2</v>
      </c>
      <c r="W2806">
        <v>0.20918490000000001</v>
      </c>
      <c r="X2806">
        <v>0.97760340000000001</v>
      </c>
      <c r="Y2806">
        <v>6.3670640000000001E-2</v>
      </c>
      <c r="Z2806">
        <v>-1.179844E-3</v>
      </c>
      <c r="AA2806">
        <v>0.99797029999999998</v>
      </c>
      <c r="AB2806">
        <v>42</v>
      </c>
      <c r="AC2806">
        <v>26.988499999999998</v>
      </c>
      <c r="AD2806">
        <v>-1.1097274263720001</v>
      </c>
      <c r="AE2806">
        <v>-1.8217000000000201</v>
      </c>
      <c r="AF2806">
        <v>1.7470925348614701</v>
      </c>
      <c r="AG2806">
        <v>-1.1097274263720001</v>
      </c>
      <c r="AH2806">
        <v>26.9478868378811</v>
      </c>
      <c r="AI2806">
        <v>92.353201631785097</v>
      </c>
      <c r="AJ2806">
        <v>86.290576216953895</v>
      </c>
      <c r="AK2806">
        <v>27.0272535103636</v>
      </c>
      <c r="AL2806">
        <v>77.925410230362203</v>
      </c>
      <c r="AM2806">
        <v>88.646866252964003</v>
      </c>
      <c r="AN2806">
        <v>0.99999998527178502</v>
      </c>
    </row>
    <row r="2807" spans="1:40" x14ac:dyDescent="0.25">
      <c r="A2807" t="str">
        <f>"20190312172715742"</f>
        <v>20190312172715742</v>
      </c>
      <c r="B2807" t="str">
        <f>"1552382835731941"</f>
        <v>1552382835731941</v>
      </c>
      <c r="C2807" t="s">
        <v>40</v>
      </c>
      <c r="D2807">
        <v>3.6189330000000002</v>
      </c>
      <c r="E2807">
        <v>0.51876840000000002</v>
      </c>
      <c r="F2807" t="s">
        <v>48</v>
      </c>
      <c r="G2807">
        <v>-258.80680000000001</v>
      </c>
      <c r="H2807" s="1">
        <v>3.2704469999999999E-6</v>
      </c>
      <c r="I2807">
        <v>211.85499999999999</v>
      </c>
      <c r="J2807">
        <v>-285.90129999999999</v>
      </c>
      <c r="K2807">
        <v>1.1097379999999999</v>
      </c>
      <c r="L2807">
        <v>213.6694</v>
      </c>
      <c r="M2807">
        <v>0.99989320000000004</v>
      </c>
      <c r="N2807">
        <v>0</v>
      </c>
      <c r="O2807">
        <v>-2.6497640000000002E-3</v>
      </c>
      <c r="P2807">
        <v>0.9804602</v>
      </c>
      <c r="Q2807">
        <v>0.19511139999999999</v>
      </c>
      <c r="R2807">
        <v>-2.5085449999999999E-2</v>
      </c>
      <c r="S2807">
        <v>3.0791930000000001</v>
      </c>
      <c r="T2807">
        <v>-0.1239967</v>
      </c>
      <c r="U2807">
        <v>-0.20286560000000001</v>
      </c>
      <c r="V2807">
        <v>2.2494409999999999E-2</v>
      </c>
      <c r="W2807">
        <v>0.20917749999999999</v>
      </c>
      <c r="X2807">
        <v>0.97761889999999996</v>
      </c>
      <c r="Y2807">
        <v>6.3046939999999996E-2</v>
      </c>
      <c r="Z2807">
        <v>-1.1609859999999999E-3</v>
      </c>
      <c r="AA2807">
        <v>0.99800990000000001</v>
      </c>
      <c r="AB2807">
        <v>42</v>
      </c>
      <c r="AC2807">
        <v>27.094499999999901</v>
      </c>
      <c r="AD2807">
        <v>-1.10973472955299</v>
      </c>
      <c r="AE2807">
        <v>-1.8144</v>
      </c>
      <c r="AF2807">
        <v>1.7396867952816299</v>
      </c>
      <c r="AG2807">
        <v>-1.10973472955299</v>
      </c>
      <c r="AH2807">
        <v>27.0540311509723</v>
      </c>
      <c r="AI2807">
        <v>92.344074269288399</v>
      </c>
      <c r="AJ2807">
        <v>86.320708667145396</v>
      </c>
      <c r="AK2807">
        <v>27.1326117952812</v>
      </c>
      <c r="AL2807">
        <v>77.925843615692003</v>
      </c>
      <c r="AM2807">
        <v>88.681891913280197</v>
      </c>
      <c r="AN2807">
        <v>0.99999996931235302</v>
      </c>
    </row>
    <row r="2808" spans="1:40" x14ac:dyDescent="0.25">
      <c r="A2808" t="str">
        <f>"20190312172715762"</f>
        <v>20190312172715762</v>
      </c>
      <c r="B2808" t="str">
        <f>"1552382835751464"</f>
        <v>1552382835751464</v>
      </c>
      <c r="C2808" t="s">
        <v>40</v>
      </c>
      <c r="D2808">
        <v>3.6533060000000002</v>
      </c>
      <c r="E2808">
        <v>0.51875530000000003</v>
      </c>
      <c r="F2808" t="s">
        <v>48</v>
      </c>
      <c r="G2808">
        <v>-258.3972</v>
      </c>
      <c r="H2808" s="1">
        <v>3.0517890000000001E-6</v>
      </c>
      <c r="I2808">
        <v>211.8708</v>
      </c>
      <c r="J2808">
        <v>-285.53890000000001</v>
      </c>
      <c r="K2808">
        <v>1.109745</v>
      </c>
      <c r="L2808">
        <v>213.66839999999999</v>
      </c>
      <c r="M2808">
        <v>0.99989340000000004</v>
      </c>
      <c r="N2808">
        <v>0</v>
      </c>
      <c r="O2808">
        <v>-2.6444749999999999E-3</v>
      </c>
      <c r="P2808">
        <v>0.98047740000000005</v>
      </c>
      <c r="Q2808">
        <v>0.19511829999999999</v>
      </c>
      <c r="R2808">
        <v>-2.4354480000000001E-2</v>
      </c>
      <c r="S2808">
        <v>3.0793460000000001</v>
      </c>
      <c r="T2808">
        <v>-0.1242453</v>
      </c>
      <c r="U2808">
        <v>-0.2013702</v>
      </c>
      <c r="V2808">
        <v>2.1767559999999998E-2</v>
      </c>
      <c r="W2808">
        <v>0.20918210000000001</v>
      </c>
      <c r="X2808">
        <v>0.97763440000000001</v>
      </c>
      <c r="Y2808">
        <v>6.2566579999999997E-2</v>
      </c>
      <c r="Z2808">
        <v>-1.1538080000000001E-3</v>
      </c>
      <c r="AA2808">
        <v>0.99804009999999999</v>
      </c>
      <c r="AB2808">
        <v>42</v>
      </c>
      <c r="AC2808">
        <v>27.1417</v>
      </c>
      <c r="AD2808">
        <v>-1.109741948211</v>
      </c>
      <c r="AE2808">
        <v>-1.7975999999999801</v>
      </c>
      <c r="AF2808">
        <v>1.7229430235935901</v>
      </c>
      <c r="AG2808">
        <v>-1.109741948211</v>
      </c>
      <c r="AH2808">
        <v>27.101250772019799</v>
      </c>
      <c r="AI2808">
        <v>92.3401184787256</v>
      </c>
      <c r="AJ2808">
        <v>86.362356447454502</v>
      </c>
      <c r="AK2808">
        <v>27.178628612608001</v>
      </c>
      <c r="AL2808">
        <v>77.925574454465902</v>
      </c>
      <c r="AM2808">
        <v>88.724489154913599</v>
      </c>
      <c r="AN2808">
        <v>0.99999999884606094</v>
      </c>
    </row>
    <row r="2809" spans="1:40" x14ac:dyDescent="0.25">
      <c r="A2809" t="str">
        <f>"20190312172715784"</f>
        <v>20190312172715784</v>
      </c>
      <c r="B2809" t="str">
        <f>"1552382835771958"</f>
        <v>1552382835771958</v>
      </c>
      <c r="C2809" t="s">
        <v>40</v>
      </c>
      <c r="D2809">
        <v>3.5970840000000002</v>
      </c>
      <c r="E2809">
        <v>0.5187524</v>
      </c>
      <c r="F2809" t="s">
        <v>48</v>
      </c>
      <c r="G2809">
        <v>-258.08589999999998</v>
      </c>
      <c r="H2809" s="1">
        <v>2.8850980000000001E-6</v>
      </c>
      <c r="I2809">
        <v>211.89510000000001</v>
      </c>
      <c r="J2809">
        <v>-285.12509999999997</v>
      </c>
      <c r="K2809">
        <v>1.1097570000000001</v>
      </c>
      <c r="L2809">
        <v>213.66739999999999</v>
      </c>
      <c r="M2809">
        <v>0.99989349999999999</v>
      </c>
      <c r="N2809">
        <v>0</v>
      </c>
      <c r="O2809">
        <v>-2.636556E-3</v>
      </c>
      <c r="P2809">
        <v>0.98050060000000006</v>
      </c>
      <c r="Q2809">
        <v>0.19500519999999999</v>
      </c>
      <c r="R2809">
        <v>-2.4324720000000001E-2</v>
      </c>
      <c r="S2809">
        <v>3.0795590000000002</v>
      </c>
      <c r="T2809">
        <v>-0.12448620000000001</v>
      </c>
      <c r="U2809">
        <v>-0.19892879999999999</v>
      </c>
      <c r="V2809">
        <v>2.1744900000000001E-2</v>
      </c>
      <c r="W2809">
        <v>0.2090669</v>
      </c>
      <c r="X2809">
        <v>0.97765950000000001</v>
      </c>
      <c r="Y2809">
        <v>6.1782499999999997E-2</v>
      </c>
      <c r="Z2809">
        <v>-1.140488E-3</v>
      </c>
      <c r="AA2809">
        <v>0.998089</v>
      </c>
      <c r="AB2809">
        <v>42</v>
      </c>
      <c r="AC2809">
        <v>27.039199999999902</v>
      </c>
      <c r="AD2809">
        <v>-1.1097541149019901</v>
      </c>
      <c r="AE2809">
        <v>-1.77229999999997</v>
      </c>
      <c r="AF2809">
        <v>1.6981478690284599</v>
      </c>
      <c r="AG2809">
        <v>-1.1097541149019901</v>
      </c>
      <c r="AH2809">
        <v>26.9984953744789</v>
      </c>
      <c r="AI2809">
        <v>92.349140629747495</v>
      </c>
      <c r="AJ2809">
        <v>86.400958582851999</v>
      </c>
      <c r="AK2809">
        <v>27.0746008810174</v>
      </c>
      <c r="AL2809">
        <v>77.932323617427798</v>
      </c>
      <c r="AM2809">
        <v>88.725849224019299</v>
      </c>
      <c r="AN2809">
        <v>0.99999995364593397</v>
      </c>
    </row>
    <row r="2810" spans="1:40" x14ac:dyDescent="0.25">
      <c r="A2810" t="str">
        <f>"20190312172715807"</f>
        <v>20190312172715807</v>
      </c>
      <c r="B2810" t="str">
        <f>"1552382835802214"</f>
        <v>1552382835802214</v>
      </c>
      <c r="C2810" t="s">
        <v>40</v>
      </c>
      <c r="D2810">
        <v>3.628441</v>
      </c>
      <c r="E2810">
        <v>0.51878939999999996</v>
      </c>
      <c r="F2810" t="s">
        <v>48</v>
      </c>
      <c r="G2810">
        <v>-257.73599999999999</v>
      </c>
      <c r="H2810" s="1">
        <v>2.698795E-6</v>
      </c>
      <c r="I2810">
        <v>211.8973</v>
      </c>
      <c r="J2810">
        <v>-284.71359999999999</v>
      </c>
      <c r="K2810">
        <v>1.1097619999999999</v>
      </c>
      <c r="L2810">
        <v>213.66630000000001</v>
      </c>
      <c r="M2810">
        <v>0.99989349999999999</v>
      </c>
      <c r="N2810">
        <v>0</v>
      </c>
      <c r="O2810">
        <v>-2.6263649999999999E-3</v>
      </c>
      <c r="P2810">
        <v>0.98034710000000003</v>
      </c>
      <c r="Q2810">
        <v>0.1957556</v>
      </c>
      <c r="R2810">
        <v>-2.4489919999999998E-2</v>
      </c>
      <c r="S2810">
        <v>3.0795590000000002</v>
      </c>
      <c r="T2810">
        <v>-0.12477829999999999</v>
      </c>
      <c r="U2810">
        <v>-0.19902039999999999</v>
      </c>
      <c r="V2810">
        <v>2.1919029999999999E-2</v>
      </c>
      <c r="W2810">
        <v>0.2098129</v>
      </c>
      <c r="X2810">
        <v>0.97749580000000003</v>
      </c>
      <c r="Y2810">
        <v>6.1821960000000002E-2</v>
      </c>
      <c r="Z2810">
        <v>-1.1443709999999999E-3</v>
      </c>
      <c r="AA2810">
        <v>0.99808649999999999</v>
      </c>
      <c r="AB2810">
        <v>42</v>
      </c>
      <c r="AC2810">
        <v>26.977599999999899</v>
      </c>
      <c r="AD2810">
        <v>-1.109759301205</v>
      </c>
      <c r="AE2810">
        <v>-1.7689999999999999</v>
      </c>
      <c r="AF2810">
        <v>1.6952771101000199</v>
      </c>
      <c r="AG2810">
        <v>-1.109759301205</v>
      </c>
      <c r="AH2810">
        <v>26.936766292527</v>
      </c>
      <c r="AI2810">
        <v>92.354523392025001</v>
      </c>
      <c r="AJ2810">
        <v>86.398814776018497</v>
      </c>
      <c r="AK2810">
        <v>27.0128656103876</v>
      </c>
      <c r="AL2810">
        <v>77.888611670155299</v>
      </c>
      <c r="AM2810">
        <v>88.715434397249396</v>
      </c>
      <c r="AN2810">
        <v>0.99999996795009505</v>
      </c>
    </row>
    <row r="2811" spans="1:40" x14ac:dyDescent="0.25">
      <c r="A2811" t="str">
        <f>"20190312172715830"</f>
        <v>20190312172715830</v>
      </c>
      <c r="B2811" t="str">
        <f>"1552382835821733"</f>
        <v>1552382835821733</v>
      </c>
      <c r="C2811" t="s">
        <v>40</v>
      </c>
      <c r="D2811">
        <v>3.6134629999999999</v>
      </c>
      <c r="E2811">
        <v>0.51883290000000004</v>
      </c>
      <c r="F2811" t="s">
        <v>48</v>
      </c>
      <c r="G2811">
        <v>-256.85969999999998</v>
      </c>
      <c r="H2811" s="1">
        <v>2.2341209999999999E-6</v>
      </c>
      <c r="I2811">
        <v>211.8595</v>
      </c>
      <c r="J2811">
        <v>-284.28640000000001</v>
      </c>
      <c r="K2811">
        <v>1.109769</v>
      </c>
      <c r="L2811">
        <v>213.6652</v>
      </c>
      <c r="M2811">
        <v>0.99989349999999999</v>
      </c>
      <c r="N2811">
        <v>0</v>
      </c>
      <c r="O2811">
        <v>-2.613434E-3</v>
      </c>
      <c r="P2811">
        <v>0.98028800000000005</v>
      </c>
      <c r="Q2811">
        <v>0.19599179999999999</v>
      </c>
      <c r="R2811">
        <v>-2.4955729999999999E-2</v>
      </c>
      <c r="S2811">
        <v>3.0796809999999999</v>
      </c>
      <c r="T2811">
        <v>-0.1227012</v>
      </c>
      <c r="U2811">
        <v>-0.1997681</v>
      </c>
      <c r="V2811">
        <v>2.2396739999999998E-2</v>
      </c>
      <c r="W2811">
        <v>0.2100456</v>
      </c>
      <c r="X2811">
        <v>0.9774351</v>
      </c>
      <c r="Y2811">
        <v>6.2075020000000002E-2</v>
      </c>
      <c r="Z2811">
        <v>-1.130832E-3</v>
      </c>
      <c r="AA2811">
        <v>0.99807080000000004</v>
      </c>
      <c r="AB2811">
        <v>42</v>
      </c>
      <c r="AC2811">
        <v>27.4267</v>
      </c>
      <c r="AD2811">
        <v>-1.109766765879</v>
      </c>
      <c r="AE2811">
        <v>-1.8057000000000001</v>
      </c>
      <c r="AF2811">
        <v>1.731186411525</v>
      </c>
      <c r="AG2811">
        <v>-1.109766765879</v>
      </c>
      <c r="AH2811">
        <v>27.386680421495001</v>
      </c>
      <c r="AI2811">
        <v>92.315860517525294</v>
      </c>
      <c r="AJ2811">
        <v>86.382990794953102</v>
      </c>
      <c r="AK2811">
        <v>27.4637734693395</v>
      </c>
      <c r="AL2811">
        <v>77.874976344839496</v>
      </c>
      <c r="AM2811">
        <v>88.687366390882303</v>
      </c>
      <c r="AN2811">
        <v>1.0000000713769901</v>
      </c>
    </row>
    <row r="2812" spans="1:40" x14ac:dyDescent="0.25">
      <c r="A2812" t="str">
        <f>"20190312172715851"</f>
        <v>20190312172715851</v>
      </c>
      <c r="B2812" t="str">
        <f>"1552382835842230"</f>
        <v>1552382835842230</v>
      </c>
      <c r="C2812" t="s">
        <v>40</v>
      </c>
      <c r="D2812">
        <v>3.620606</v>
      </c>
      <c r="E2812">
        <v>0.51891799999999999</v>
      </c>
      <c r="F2812" t="s">
        <v>48</v>
      </c>
      <c r="G2812">
        <v>-256.3723</v>
      </c>
      <c r="H2812" s="1">
        <v>1.975794E-6</v>
      </c>
      <c r="I2812">
        <v>211.83539999999999</v>
      </c>
      <c r="J2812">
        <v>-283.87580000000003</v>
      </c>
      <c r="K2812">
        <v>1.109774</v>
      </c>
      <c r="L2812">
        <v>213.66409999999999</v>
      </c>
      <c r="M2812">
        <v>0.9998937</v>
      </c>
      <c r="N2812">
        <v>0</v>
      </c>
      <c r="O2812">
        <v>-2.5999119999999998E-3</v>
      </c>
      <c r="P2812">
        <v>0.9802305</v>
      </c>
      <c r="Q2812">
        <v>0.19625339999999999</v>
      </c>
      <c r="R2812">
        <v>-2.516173E-2</v>
      </c>
      <c r="S2812">
        <v>3.0796809999999999</v>
      </c>
      <c r="T2812">
        <v>-0.1224372</v>
      </c>
      <c r="U2812">
        <v>-0.20187379999999999</v>
      </c>
      <c r="V2812">
        <v>2.261496E-2</v>
      </c>
      <c r="W2812">
        <v>0.21030389999999999</v>
      </c>
      <c r="X2812">
        <v>0.97737450000000003</v>
      </c>
      <c r="Y2812">
        <v>6.2767690000000001E-2</v>
      </c>
      <c r="Z2812">
        <v>-1.142662E-3</v>
      </c>
      <c r="AA2812">
        <v>0.99802749999999996</v>
      </c>
      <c r="AB2812">
        <v>42</v>
      </c>
      <c r="AC2812">
        <v>27.503499999999999</v>
      </c>
      <c r="AD2812">
        <v>-1.1097720242060001</v>
      </c>
      <c r="AE2812">
        <v>-1.82869999999999</v>
      </c>
      <c r="AF2812">
        <v>1.7543360461865201</v>
      </c>
      <c r="AG2812">
        <v>-1.1097720242060001</v>
      </c>
      <c r="AH2812">
        <v>27.463644137486501</v>
      </c>
      <c r="AI2812">
        <v>92.309291348050095</v>
      </c>
      <c r="AJ2812">
        <v>86.3449982362133</v>
      </c>
      <c r="AK2812">
        <v>27.541986824104701</v>
      </c>
      <c r="AL2812">
        <v>77.8598383431857</v>
      </c>
      <c r="AM2812">
        <v>88.674499289632394</v>
      </c>
      <c r="AN2812">
        <v>1.0000000400106299</v>
      </c>
    </row>
    <row r="2813" spans="1:40" x14ac:dyDescent="0.25">
      <c r="A2813" t="str">
        <f>"20190312172715873"</f>
        <v>20190312172715873</v>
      </c>
      <c r="B2813" t="str">
        <f>"1552382835861750"</f>
        <v>1552382835861750</v>
      </c>
      <c r="C2813" t="s">
        <v>40</v>
      </c>
      <c r="D2813">
        <v>3.622617</v>
      </c>
      <c r="E2813">
        <v>0.51894039999999997</v>
      </c>
      <c r="F2813" t="s">
        <v>48</v>
      </c>
      <c r="G2813">
        <v>-256.0016</v>
      </c>
      <c r="H2813" s="1">
        <v>1.77909E-6</v>
      </c>
      <c r="I2813">
        <v>211.82310000000001</v>
      </c>
      <c r="J2813">
        <v>-283.46499999999997</v>
      </c>
      <c r="K2813">
        <v>1.109783</v>
      </c>
      <c r="L2813">
        <v>213.66300000000001</v>
      </c>
      <c r="M2813">
        <v>0.9998937</v>
      </c>
      <c r="N2813">
        <v>0</v>
      </c>
      <c r="O2813">
        <v>-2.5852039999999998E-3</v>
      </c>
      <c r="P2813">
        <v>0.98032850000000005</v>
      </c>
      <c r="Q2813">
        <v>0.19568650000000001</v>
      </c>
      <c r="R2813">
        <v>-2.5748190000000001E-2</v>
      </c>
      <c r="S2813">
        <v>3.0798649999999999</v>
      </c>
      <c r="T2813">
        <v>-0.1226208</v>
      </c>
      <c r="U2813">
        <v>-0.20341490000000001</v>
      </c>
      <c r="V2813">
        <v>2.3215019999999999E-2</v>
      </c>
      <c r="W2813">
        <v>0.20973649999999999</v>
      </c>
      <c r="X2813">
        <v>0.97748230000000003</v>
      </c>
      <c r="Y2813">
        <v>6.3275189999999995E-2</v>
      </c>
      <c r="Z2813">
        <v>-1.15496E-3</v>
      </c>
      <c r="AA2813">
        <v>0.99799539999999998</v>
      </c>
      <c r="AB2813">
        <v>42</v>
      </c>
      <c r="AC2813">
        <v>27.463399999999901</v>
      </c>
      <c r="AD2813">
        <v>-1.10978122091</v>
      </c>
      <c r="AE2813">
        <v>-1.8398999999999699</v>
      </c>
      <c r="AF2813">
        <v>1.76601716072351</v>
      </c>
      <c r="AG2813">
        <v>-1.10978122091</v>
      </c>
      <c r="AH2813">
        <v>27.4234848203238</v>
      </c>
      <c r="AI2813">
        <v>92.312611922543994</v>
      </c>
      <c r="AJ2813">
        <v>86.3153551674786</v>
      </c>
      <c r="AK2813">
        <v>27.502689880460501</v>
      </c>
      <c r="AL2813">
        <v>77.893088974388405</v>
      </c>
      <c r="AM2813">
        <v>88.639491819830795</v>
      </c>
      <c r="AN2813">
        <v>0.99999999169956999</v>
      </c>
    </row>
    <row r="2814" spans="1:40" x14ac:dyDescent="0.25">
      <c r="A2814" t="str">
        <f>"20190312172715907"</f>
        <v>20190312172715907</v>
      </c>
      <c r="B2814" t="str">
        <f>"1552382835901766"</f>
        <v>1552382835901766</v>
      </c>
      <c r="C2814" t="s">
        <v>40</v>
      </c>
      <c r="D2814">
        <v>3.5755750000000002</v>
      </c>
      <c r="E2814">
        <v>0.56384029999999996</v>
      </c>
      <c r="F2814" t="s">
        <v>48</v>
      </c>
      <c r="G2814">
        <v>-256.22680000000003</v>
      </c>
      <c r="H2814" s="1">
        <v>1.898097E-6</v>
      </c>
      <c r="I2814">
        <v>211.84110000000001</v>
      </c>
      <c r="J2814">
        <v>-282.83789999999999</v>
      </c>
      <c r="K2814">
        <v>1.109791</v>
      </c>
      <c r="L2814">
        <v>213.66139999999999</v>
      </c>
      <c r="M2814">
        <v>0.99989380000000005</v>
      </c>
      <c r="N2814">
        <v>0</v>
      </c>
      <c r="O2814">
        <v>-2.5616620000000001E-3</v>
      </c>
      <c r="P2814">
        <v>0.98045579999999999</v>
      </c>
      <c r="Q2814">
        <v>0.19494040000000001</v>
      </c>
      <c r="R2814">
        <v>-2.6546009999999998E-2</v>
      </c>
      <c r="S2814">
        <v>3.079834</v>
      </c>
      <c r="T2814">
        <v>-0.12548329999999999</v>
      </c>
      <c r="U2814">
        <v>-0.20600889999999999</v>
      </c>
      <c r="V2814">
        <v>2.4034570000000002E-2</v>
      </c>
      <c r="W2814">
        <v>0.2089886</v>
      </c>
      <c r="X2814">
        <v>0.97762269999999896</v>
      </c>
      <c r="Y2814">
        <v>6.4133190000000007E-2</v>
      </c>
      <c r="Z2814">
        <v>-1.2002880000000001E-3</v>
      </c>
      <c r="AA2814">
        <v>0.99794059999999996</v>
      </c>
      <c r="AB2814">
        <v>42</v>
      </c>
      <c r="AC2814">
        <v>26.611099999999901</v>
      </c>
      <c r="AD2814">
        <v>-1.109789101903</v>
      </c>
      <c r="AE2814">
        <v>-1.8202999999999701</v>
      </c>
      <c r="AF2814">
        <v>1.7490904755019701</v>
      </c>
      <c r="AG2814">
        <v>-1.109789101903</v>
      </c>
      <c r="AH2814">
        <v>26.569680760097601</v>
      </c>
      <c r="AI2814">
        <v>92.386637521497306</v>
      </c>
      <c r="AJ2814">
        <v>86.233635144512704</v>
      </c>
      <c r="AK2814">
        <v>26.650307409778499</v>
      </c>
      <c r="AL2814">
        <v>77.936912025226405</v>
      </c>
      <c r="AM2814">
        <v>88.591683596610693</v>
      </c>
      <c r="AN2814">
        <v>1.0000000195201599</v>
      </c>
    </row>
    <row r="2815" spans="1:40" x14ac:dyDescent="0.25">
      <c r="A2815" t="str">
        <f>"20190312172715931"</f>
        <v>20190312172715931</v>
      </c>
      <c r="B2815" t="str">
        <f>"1552382835922262"</f>
        <v>1552382835922262</v>
      </c>
      <c r="C2815" t="s">
        <v>40</v>
      </c>
      <c r="D2815">
        <v>3.5848390000000001</v>
      </c>
      <c r="E2815">
        <v>0.56811480000000003</v>
      </c>
      <c r="F2815" t="s">
        <v>44</v>
      </c>
      <c r="G2815">
        <v>-282.12509999999997</v>
      </c>
      <c r="H2815">
        <v>0.98525260000000003</v>
      </c>
      <c r="I2815">
        <v>213.53639999999999</v>
      </c>
      <c r="J2815">
        <v>-282.41070000000002</v>
      </c>
      <c r="K2815">
        <v>1.109799</v>
      </c>
      <c r="L2815">
        <v>213.66040000000001</v>
      </c>
      <c r="M2815">
        <v>0.9998939</v>
      </c>
      <c r="N2815">
        <v>0</v>
      </c>
      <c r="O2815">
        <v>-2.5454150000000001E-3</v>
      </c>
      <c r="P2815">
        <v>0.98051239999999995</v>
      </c>
      <c r="Q2815">
        <v>0.19461890000000001</v>
      </c>
      <c r="R2815">
        <v>-2.6814689999999999E-2</v>
      </c>
      <c r="S2815">
        <v>3.1544189999999999</v>
      </c>
      <c r="T2815">
        <v>-0.55119680000000004</v>
      </c>
      <c r="U2815">
        <v>-0.55236819999999998</v>
      </c>
      <c r="V2815">
        <v>2.4318550000000001E-2</v>
      </c>
      <c r="W2815">
        <v>0.2086654</v>
      </c>
      <c r="X2815">
        <v>0.97768469999999996</v>
      </c>
      <c r="Y2815">
        <v>0.1675507</v>
      </c>
      <c r="Z2815">
        <v>-1.398318E-2</v>
      </c>
      <c r="AA2815">
        <v>0.98576430000000004</v>
      </c>
      <c r="AB2815">
        <v>42</v>
      </c>
      <c r="AC2815">
        <v>0.28560000000004399</v>
      </c>
      <c r="AD2815">
        <v>-0.124546399999999</v>
      </c>
      <c r="AE2815">
        <v>-0.12400000000002299</v>
      </c>
      <c r="AF2815">
        <v>0.106268621757889</v>
      </c>
      <c r="AG2815">
        <v>-0.124546399999999</v>
      </c>
      <c r="AH2815">
        <v>0.24647632004925099</v>
      </c>
      <c r="AI2815">
        <v>114.892081187011</v>
      </c>
      <c r="AJ2815">
        <v>66.676640357401197</v>
      </c>
      <c r="AK2815">
        <v>0.29589762092369398</v>
      </c>
      <c r="AL2815">
        <v>77.955847343657595</v>
      </c>
      <c r="AM2815">
        <v>88.575140807851795</v>
      </c>
      <c r="AN2815">
        <v>1.00000000682267</v>
      </c>
    </row>
    <row r="2816" spans="1:40" x14ac:dyDescent="0.25">
      <c r="A2816" t="str">
        <f>"20190312172715952"</f>
        <v>20190312172715952</v>
      </c>
      <c r="B2816" t="str">
        <f>"1552382835941782"</f>
        <v>1552382835941782</v>
      </c>
      <c r="C2816" t="s">
        <v>40</v>
      </c>
      <c r="D2816">
        <v>3.6039720000000002</v>
      </c>
      <c r="E2816">
        <v>0.57090779999999997</v>
      </c>
      <c r="F2816" t="s">
        <v>44</v>
      </c>
      <c r="G2816">
        <v>-281.411</v>
      </c>
      <c r="H2816">
        <v>0.92269889999999999</v>
      </c>
      <c r="I2816">
        <v>213.47450000000001</v>
      </c>
      <c r="J2816">
        <v>-282.00209999999998</v>
      </c>
      <c r="K2816">
        <v>1.109809</v>
      </c>
      <c r="L2816">
        <v>213.6593</v>
      </c>
      <c r="M2816">
        <v>0.99989399999999995</v>
      </c>
      <c r="N2816">
        <v>0</v>
      </c>
      <c r="O2816">
        <v>-2.5295339999999999E-3</v>
      </c>
      <c r="P2816">
        <v>0.98055179999999997</v>
      </c>
      <c r="Q2816">
        <v>0.1943463</v>
      </c>
      <c r="R2816">
        <v>-2.73482E-2</v>
      </c>
      <c r="S2816">
        <v>3.161041</v>
      </c>
      <c r="T2816">
        <v>-0.59166070000000004</v>
      </c>
      <c r="U2816">
        <v>-0.58676149999999905</v>
      </c>
      <c r="V2816">
        <v>2.4867340000000002E-2</v>
      </c>
      <c r="W2816">
        <v>0.2083912</v>
      </c>
      <c r="X2816">
        <v>0.97772939999999997</v>
      </c>
      <c r="Y2816">
        <v>0.17708650000000001</v>
      </c>
      <c r="Z2816">
        <v>-1.5829030000000001E-2</v>
      </c>
      <c r="AA2816">
        <v>0.98406800000000005</v>
      </c>
      <c r="AB2816">
        <v>41</v>
      </c>
      <c r="AC2816">
        <v>0.59109999999998297</v>
      </c>
      <c r="AD2816">
        <v>-0.1871101</v>
      </c>
      <c r="AE2816">
        <v>-0.184799999999995</v>
      </c>
      <c r="AF2816">
        <v>0.16797171103723599</v>
      </c>
      <c r="AG2816">
        <v>-0.1871101</v>
      </c>
      <c r="AH2816">
        <v>0.54208453043814198</v>
      </c>
      <c r="AI2816">
        <v>108.24750777893701</v>
      </c>
      <c r="AJ2816">
        <v>72.783747375198203</v>
      </c>
      <c r="AK2816">
        <v>0.597561982869667</v>
      </c>
      <c r="AL2816">
        <v>77.971911245406602</v>
      </c>
      <c r="AM2816">
        <v>88.543066694010506</v>
      </c>
      <c r="AN2816">
        <v>1.0000000282302299</v>
      </c>
    </row>
    <row r="2817" spans="1:40" x14ac:dyDescent="0.25">
      <c r="A2817" t="str">
        <f>"20190312172715973"</f>
        <v>20190312172715973</v>
      </c>
      <c r="B2817" t="str">
        <f>"1552382835972037"</f>
        <v>1552382835972037</v>
      </c>
      <c r="C2817" t="s">
        <v>40</v>
      </c>
      <c r="D2817">
        <v>3.6144189999999998</v>
      </c>
      <c r="E2817">
        <v>0.57398099999999996</v>
      </c>
      <c r="F2817" t="s">
        <v>44</v>
      </c>
      <c r="G2817">
        <v>-281.04129999999998</v>
      </c>
      <c r="H2817">
        <v>0.92182229999999998</v>
      </c>
      <c r="I2817">
        <v>213.47399999999999</v>
      </c>
      <c r="J2817">
        <v>-281.59980000000002</v>
      </c>
      <c r="K2817">
        <v>1.109815</v>
      </c>
      <c r="L2817">
        <v>213.6583</v>
      </c>
      <c r="M2817">
        <v>0.9998939</v>
      </c>
      <c r="N2817">
        <v>0</v>
      </c>
      <c r="O2817">
        <v>-2.5140100000000001E-3</v>
      </c>
      <c r="P2817">
        <v>0.98052980000000001</v>
      </c>
      <c r="Q2817">
        <v>0.19437969999999999</v>
      </c>
      <c r="R2817">
        <v>-2.7882819999999999E-2</v>
      </c>
      <c r="S2817">
        <v>3.165222</v>
      </c>
      <c r="T2817">
        <v>-0.6192858</v>
      </c>
      <c r="U2817">
        <v>-0.61041259999999997</v>
      </c>
      <c r="V2817">
        <v>2.5417140000000001E-2</v>
      </c>
      <c r="W2817">
        <v>0.208422</v>
      </c>
      <c r="X2817">
        <v>0.97770869999999999</v>
      </c>
      <c r="Y2817">
        <v>0.18358070000000001</v>
      </c>
      <c r="Z2817">
        <v>-1.714949E-2</v>
      </c>
      <c r="AA2817">
        <v>0.98285500000000003</v>
      </c>
      <c r="AB2817">
        <v>41</v>
      </c>
      <c r="AC2817">
        <v>0.55850000000003697</v>
      </c>
      <c r="AD2817">
        <v>-0.18799270000000001</v>
      </c>
      <c r="AE2817">
        <v>-0.18429999999997901</v>
      </c>
      <c r="AF2817">
        <v>0.165940221103754</v>
      </c>
      <c r="AG2817">
        <v>-0.18799270000000001</v>
      </c>
      <c r="AH2817">
        <v>0.50714406247437505</v>
      </c>
      <c r="AI2817">
        <v>109.40780613163901</v>
      </c>
      <c r="AJ2817">
        <v>71.881629772221501</v>
      </c>
      <c r="AK2817">
        <v>0.56574951377466198</v>
      </c>
      <c r="AL2817">
        <v>77.970106957300302</v>
      </c>
      <c r="AM2817">
        <v>88.510837721579705</v>
      </c>
      <c r="AN2817">
        <v>1.00000003157273</v>
      </c>
    </row>
    <row r="2818" spans="1:40" x14ac:dyDescent="0.25">
      <c r="A2818" t="str">
        <f>"20190312172715997"</f>
        <v>20190312172715997</v>
      </c>
      <c r="B2818" t="str">
        <f>"1552382835991558"</f>
        <v>1552382835991558</v>
      </c>
      <c r="C2818" t="s">
        <v>40</v>
      </c>
      <c r="D2818">
        <v>3.6144910000000001</v>
      </c>
      <c r="E2818">
        <v>0.57537839999999996</v>
      </c>
      <c r="F2818" t="s">
        <v>44</v>
      </c>
      <c r="G2818">
        <v>-280.67160000000001</v>
      </c>
      <c r="H2818">
        <v>0.9215392</v>
      </c>
      <c r="I2818">
        <v>213.4716</v>
      </c>
      <c r="J2818">
        <v>-281.1782</v>
      </c>
      <c r="K2818">
        <v>1.109829</v>
      </c>
      <c r="L2818">
        <v>213.65729999999999</v>
      </c>
      <c r="M2818">
        <v>0.99989430000000001</v>
      </c>
      <c r="N2818">
        <v>0</v>
      </c>
      <c r="O2818">
        <v>-2.4978919999999998E-3</v>
      </c>
      <c r="P2818">
        <v>0.98066050000000005</v>
      </c>
      <c r="Q2818">
        <v>0.19374330000000001</v>
      </c>
      <c r="R2818">
        <v>-2.772672E-2</v>
      </c>
      <c r="S2818">
        <v>3.1689449999999999</v>
      </c>
      <c r="T2818">
        <v>-0.64284839999999999</v>
      </c>
      <c r="U2818">
        <v>-0.63632200000000005</v>
      </c>
      <c r="V2818">
        <v>2.5276199999999999E-2</v>
      </c>
      <c r="W2818">
        <v>0.20778440000000001</v>
      </c>
      <c r="X2818">
        <v>0.97784800000000005</v>
      </c>
      <c r="Y2818">
        <v>0.19073329999999999</v>
      </c>
      <c r="Z2818">
        <v>-1.847039E-2</v>
      </c>
      <c r="AA2818">
        <v>0.98146809999999995</v>
      </c>
      <c r="AB2818">
        <v>41</v>
      </c>
      <c r="AC2818">
        <v>0.50659999999999095</v>
      </c>
      <c r="AD2818">
        <v>-0.18828980000000001</v>
      </c>
      <c r="AE2818">
        <v>-0.18569999999999701</v>
      </c>
      <c r="AF2818">
        <v>0.16441205513430601</v>
      </c>
      <c r="AG2818">
        <v>-0.18828980000000001</v>
      </c>
      <c r="AH2818">
        <v>0.45201656359440501</v>
      </c>
      <c r="AI2818">
        <v>111.378551599408</v>
      </c>
      <c r="AJ2818">
        <v>70.0121473303427</v>
      </c>
      <c r="AK2818">
        <v>0.51653010214431905</v>
      </c>
      <c r="AL2818">
        <v>78.007455780289106</v>
      </c>
      <c r="AM2818">
        <v>88.519302423668904</v>
      </c>
      <c r="AN2818">
        <v>0.99999997713689903</v>
      </c>
    </row>
    <row r="2819" spans="1:40" x14ac:dyDescent="0.25">
      <c r="A2819" t="str">
        <f>"20190312172716018"</f>
        <v>20190312172716018</v>
      </c>
      <c r="B2819" t="str">
        <f>"1552382836012054"</f>
        <v>1552382836012054</v>
      </c>
      <c r="C2819" t="s">
        <v>40</v>
      </c>
      <c r="D2819">
        <v>3.6127829999999999</v>
      </c>
      <c r="E2819">
        <v>0.57640859999999905</v>
      </c>
      <c r="F2819" t="s">
        <v>44</v>
      </c>
      <c r="G2819">
        <v>-280.2996</v>
      </c>
      <c r="H2819">
        <v>0.92824079999999998</v>
      </c>
      <c r="I2819">
        <v>213.47790000000001</v>
      </c>
      <c r="J2819">
        <v>-280.7722</v>
      </c>
      <c r="K2819">
        <v>1.109836</v>
      </c>
      <c r="L2819">
        <v>213.65629999999999</v>
      </c>
      <c r="M2819">
        <v>0.99989430000000001</v>
      </c>
      <c r="N2819">
        <v>0</v>
      </c>
      <c r="O2819">
        <v>-2.482134E-3</v>
      </c>
      <c r="P2819">
        <v>0.98083849999999995</v>
      </c>
      <c r="Q2819">
        <v>0.1928494</v>
      </c>
      <c r="R2819">
        <v>-2.7658439999999999E-2</v>
      </c>
      <c r="S2819">
        <v>3.1702880000000002</v>
      </c>
      <c r="T2819">
        <v>-0.65529539999999997</v>
      </c>
      <c r="U2819">
        <v>-0.64666749999999995</v>
      </c>
      <c r="V2819">
        <v>2.5222620000000001E-2</v>
      </c>
      <c r="W2819">
        <v>0.20689109999999999</v>
      </c>
      <c r="X2819">
        <v>0.97803879999999999</v>
      </c>
      <c r="Y2819">
        <v>0.19355040000000001</v>
      </c>
      <c r="Z2819">
        <v>-1.9095819999999999E-2</v>
      </c>
      <c r="AA2819">
        <v>0.98090449999999996</v>
      </c>
      <c r="AB2819">
        <v>41</v>
      </c>
      <c r="AC2819">
        <v>0.47259999999999902</v>
      </c>
      <c r="AD2819">
        <v>-0.18159520000000001</v>
      </c>
      <c r="AE2819">
        <v>-0.17839999999998199</v>
      </c>
      <c r="AF2819">
        <v>0.15694421744334899</v>
      </c>
      <c r="AG2819">
        <v>-0.18159520000000001</v>
      </c>
      <c r="AH2819">
        <v>0.41890579330717198</v>
      </c>
      <c r="AI2819">
        <v>112.094397363657</v>
      </c>
      <c r="AJ2819">
        <v>69.461398606225401</v>
      </c>
      <c r="AK2819">
        <v>0.48279433273212402</v>
      </c>
      <c r="AL2819">
        <v>78.0597753209328</v>
      </c>
      <c r="AM2819">
        <v>88.5227279059133</v>
      </c>
      <c r="AN2819">
        <v>1.0000000010621499</v>
      </c>
    </row>
    <row r="2820" spans="1:40" x14ac:dyDescent="0.25">
      <c r="A2820" t="str">
        <f>"20190312172716041"</f>
        <v>20190312172716041</v>
      </c>
      <c r="B2820" t="str">
        <f>"1552382836031574"</f>
        <v>1552382836031574</v>
      </c>
      <c r="C2820" t="s">
        <v>40</v>
      </c>
      <c r="D2820">
        <v>3.6256200000000001</v>
      </c>
      <c r="E2820">
        <v>0.57637119999999997</v>
      </c>
      <c r="F2820" t="s">
        <v>44</v>
      </c>
      <c r="G2820">
        <v>-279.92880000000002</v>
      </c>
      <c r="H2820">
        <v>0.9323401</v>
      </c>
      <c r="I2820">
        <v>213.48249999999999</v>
      </c>
      <c r="J2820">
        <v>-280.3723</v>
      </c>
      <c r="K2820">
        <v>1.1098460000000001</v>
      </c>
      <c r="L2820">
        <v>213.65530000000001</v>
      </c>
      <c r="M2820">
        <v>0.99989430000000001</v>
      </c>
      <c r="N2820">
        <v>0</v>
      </c>
      <c r="O2820">
        <v>-2.4662619999999999E-3</v>
      </c>
      <c r="P2820">
        <v>0.98089820000000005</v>
      </c>
      <c r="Q2820">
        <v>0.19259080000000001</v>
      </c>
      <c r="R2820">
        <v>-2.7342749999999999E-2</v>
      </c>
      <c r="S2820">
        <v>3.1714169999999999</v>
      </c>
      <c r="T2820">
        <v>-0.66746079999999997</v>
      </c>
      <c r="U2820">
        <v>-0.65299989999999997</v>
      </c>
      <c r="V2820">
        <v>2.492231E-2</v>
      </c>
      <c r="W2820">
        <v>0.2066308</v>
      </c>
      <c r="X2820">
        <v>0.97810160000000002</v>
      </c>
      <c r="Y2820">
        <v>0.19520280000000001</v>
      </c>
      <c r="Z2820">
        <v>-1.9606169999999999E-2</v>
      </c>
      <c r="AA2820">
        <v>0.98056690000000002</v>
      </c>
      <c r="AB2820">
        <v>41</v>
      </c>
      <c r="AC2820">
        <v>0.44349999999997097</v>
      </c>
      <c r="AD2820">
        <v>-0.177505899999999</v>
      </c>
      <c r="AE2820">
        <v>-0.17280000000002299</v>
      </c>
      <c r="AF2820">
        <v>0.15074087944629799</v>
      </c>
      <c r="AG2820">
        <v>-0.177505899999999</v>
      </c>
      <c r="AH2820">
        <v>0.38972307435280601</v>
      </c>
      <c r="AI2820">
        <v>113.015671335506</v>
      </c>
      <c r="AJ2820">
        <v>68.854041941477305</v>
      </c>
      <c r="AK2820">
        <v>0.45399915413363501</v>
      </c>
      <c r="AL2820">
        <v>78.075019689668906</v>
      </c>
      <c r="AM2820">
        <v>88.540402887906595</v>
      </c>
      <c r="AN2820">
        <v>1.0000000744834601</v>
      </c>
    </row>
    <row r="2821" spans="1:40" x14ac:dyDescent="0.25">
      <c r="A2821" t="str">
        <f>"20190312172716063"</f>
        <v>20190312172716063</v>
      </c>
      <c r="B2821" t="str">
        <f>"1552382836052070"</f>
        <v>1552382836052070</v>
      </c>
      <c r="C2821" t="s">
        <v>40</v>
      </c>
      <c r="D2821">
        <v>3.6533350000000002</v>
      </c>
      <c r="E2821">
        <v>0.57685850000000005</v>
      </c>
      <c r="F2821" t="s">
        <v>44</v>
      </c>
      <c r="G2821">
        <v>-279.55810000000002</v>
      </c>
      <c r="H2821">
        <v>0.93733109999999997</v>
      </c>
      <c r="I2821">
        <v>213.48830000000001</v>
      </c>
      <c r="J2821">
        <v>-279.95100000000002</v>
      </c>
      <c r="K2821">
        <v>1.109864</v>
      </c>
      <c r="L2821">
        <v>213.65430000000001</v>
      </c>
      <c r="M2821">
        <v>0.99989439999999996</v>
      </c>
      <c r="N2821">
        <v>0</v>
      </c>
      <c r="O2821">
        <v>-2.4500289999999998E-3</v>
      </c>
      <c r="P2821">
        <v>0.98093410000000003</v>
      </c>
      <c r="Q2821">
        <v>0.19243660000000001</v>
      </c>
      <c r="R2821">
        <v>-2.714039E-2</v>
      </c>
      <c r="S2821">
        <v>3.172272</v>
      </c>
      <c r="T2821">
        <v>-0.6721374</v>
      </c>
      <c r="U2821">
        <v>-0.65025330000000003</v>
      </c>
      <c r="V2821">
        <v>2.473554E-2</v>
      </c>
      <c r="W2821">
        <v>0.20647499999999999</v>
      </c>
      <c r="X2821">
        <v>0.97813919999999999</v>
      </c>
      <c r="Y2821">
        <v>0.1943153</v>
      </c>
      <c r="Z2821">
        <v>-1.9648499999999999E-2</v>
      </c>
      <c r="AA2821">
        <v>0.98074229999999996</v>
      </c>
      <c r="AB2821">
        <v>41</v>
      </c>
      <c r="AC2821">
        <v>0.39289999999994002</v>
      </c>
      <c r="AD2821">
        <v>-0.17253289999999999</v>
      </c>
      <c r="AE2821">
        <v>-0.16599999999999601</v>
      </c>
      <c r="AF2821">
        <v>0.14182994532238299</v>
      </c>
      <c r="AG2821">
        <v>-0.17253289999999999</v>
      </c>
      <c r="AH2821">
        <v>0.33800044374190302</v>
      </c>
      <c r="AI2821">
        <v>115.20599356161701</v>
      </c>
      <c r="AJ2821">
        <v>67.236363996993305</v>
      </c>
      <c r="AK2821">
        <v>0.40512668999003698</v>
      </c>
      <c r="AL2821">
        <v>78.084142619450205</v>
      </c>
      <c r="AM2821">
        <v>88.551392222656403</v>
      </c>
      <c r="AN2821">
        <v>1.00000003357036</v>
      </c>
    </row>
    <row r="2822" spans="1:40" x14ac:dyDescent="0.25">
      <c r="A2822" t="str">
        <f>"20190312172716085"</f>
        <v>20190312172716085</v>
      </c>
      <c r="B2822" t="str">
        <f>"1552382836081350"</f>
        <v>1552382836081350</v>
      </c>
      <c r="C2822" t="s">
        <v>40</v>
      </c>
      <c r="D2822">
        <v>3.6562709999999998</v>
      </c>
      <c r="E2822">
        <v>0.57804719999999998</v>
      </c>
      <c r="F2822" t="s">
        <v>44</v>
      </c>
      <c r="G2822">
        <v>-279.18599999999998</v>
      </c>
      <c r="H2822">
        <v>0.94565449999999995</v>
      </c>
      <c r="I2822">
        <v>213.4967</v>
      </c>
      <c r="J2822">
        <v>-279.55250000000001</v>
      </c>
      <c r="K2822">
        <v>1.109872</v>
      </c>
      <c r="L2822">
        <v>213.6533</v>
      </c>
      <c r="M2822">
        <v>0.99989450000000002</v>
      </c>
      <c r="N2822">
        <v>0</v>
      </c>
      <c r="O2822">
        <v>-2.4345149999999999E-3</v>
      </c>
      <c r="P2822">
        <v>0.9807901</v>
      </c>
      <c r="Q2822">
        <v>0.1930569</v>
      </c>
      <c r="R2822">
        <v>-2.7927319999999999E-2</v>
      </c>
      <c r="S2822">
        <v>3.1738590000000002</v>
      </c>
      <c r="T2822">
        <v>-0.68129960000000001</v>
      </c>
      <c r="U2822">
        <v>-0.65245059999999999</v>
      </c>
      <c r="V2822">
        <v>2.5538189999999999E-2</v>
      </c>
      <c r="W2822">
        <v>0.20709130000000001</v>
      </c>
      <c r="X2822">
        <v>0.97798819999999997</v>
      </c>
      <c r="Y2822">
        <v>0.194769</v>
      </c>
      <c r="Z2822">
        <v>-1.995063E-2</v>
      </c>
      <c r="AA2822">
        <v>0.98064629999999997</v>
      </c>
      <c r="AB2822">
        <v>41</v>
      </c>
      <c r="AC2822">
        <v>0.36650000000003002</v>
      </c>
      <c r="AD2822">
        <v>-0.16421749999999999</v>
      </c>
      <c r="AE2822">
        <v>-0.15659999999999699</v>
      </c>
      <c r="AF2822">
        <v>0.133109142974706</v>
      </c>
      <c r="AG2822">
        <v>-0.16421749999999999</v>
      </c>
      <c r="AH2822">
        <v>0.31363424687220498</v>
      </c>
      <c r="AI2822">
        <v>115.733308647887</v>
      </c>
      <c r="AJ2822">
        <v>67.003203722037</v>
      </c>
      <c r="AK2822">
        <v>0.37822198780716798</v>
      </c>
      <c r="AL2822">
        <v>78.0480503177494</v>
      </c>
      <c r="AM2822">
        <v>88.504176172057399</v>
      </c>
      <c r="AN2822">
        <v>0.99999996251170198</v>
      </c>
    </row>
    <row r="2823" spans="1:40" x14ac:dyDescent="0.25">
      <c r="A2823" t="str">
        <f>"20190312172716108"</f>
        <v>20190312172716108</v>
      </c>
      <c r="B2823" t="str">
        <f>"1552382836101849"</f>
        <v>1552382836101849</v>
      </c>
      <c r="C2823" t="s">
        <v>40</v>
      </c>
      <c r="D2823">
        <v>3.6405959999999999</v>
      </c>
      <c r="E2823">
        <v>0.57862819999999904</v>
      </c>
      <c r="F2823" t="s">
        <v>44</v>
      </c>
      <c r="G2823">
        <v>-278.8159</v>
      </c>
      <c r="H2823">
        <v>0.94945800000000002</v>
      </c>
      <c r="I2823">
        <v>213.49940000000001</v>
      </c>
      <c r="J2823">
        <v>-279.12819999999999</v>
      </c>
      <c r="K2823">
        <v>1.109877</v>
      </c>
      <c r="L2823">
        <v>213.6523</v>
      </c>
      <c r="M2823">
        <v>0.99989450000000002</v>
      </c>
      <c r="N2823">
        <v>0</v>
      </c>
      <c r="O2823">
        <v>-2.4185209999999999E-3</v>
      </c>
      <c r="P2823">
        <v>0.98079360000000004</v>
      </c>
      <c r="Q2823">
        <v>0.19290940000000001</v>
      </c>
      <c r="R2823">
        <v>-2.8810349999999998E-2</v>
      </c>
      <c r="S2823">
        <v>3.1761170000000001</v>
      </c>
      <c r="T2823">
        <v>-0.69182239999999995</v>
      </c>
      <c r="U2823">
        <v>-0.66313169999999899</v>
      </c>
      <c r="V2823">
        <v>2.6436660000000001E-2</v>
      </c>
      <c r="W2823">
        <v>0.2069415</v>
      </c>
      <c r="X2823">
        <v>0.97799610000000003</v>
      </c>
      <c r="Y2823">
        <v>0.19762399999999999</v>
      </c>
      <c r="Z2823">
        <v>-2.0539149999999999E-2</v>
      </c>
      <c r="AA2823">
        <v>0.98006269999999995</v>
      </c>
      <c r="AB2823">
        <v>41</v>
      </c>
      <c r="AC2823">
        <v>0.31229999999999303</v>
      </c>
      <c r="AD2823">
        <v>-0.16041899999999901</v>
      </c>
      <c r="AE2823">
        <v>-0.15289999999998799</v>
      </c>
      <c r="AF2823">
        <v>0.12544469370772701</v>
      </c>
      <c r="AG2823">
        <v>-0.16041899999999901</v>
      </c>
      <c r="AH2823">
        <v>0.25779927115475498</v>
      </c>
      <c r="AI2823">
        <v>119.22859636690799</v>
      </c>
      <c r="AJ2823">
        <v>64.052523146456195</v>
      </c>
      <c r="AK2823">
        <v>0.328528675990922</v>
      </c>
      <c r="AL2823">
        <v>78.056824045855706</v>
      </c>
      <c r="AM2823">
        <v>88.451588639660798</v>
      </c>
      <c r="AN2823">
        <v>1.0000000265147</v>
      </c>
    </row>
    <row r="2824" spans="1:40" x14ac:dyDescent="0.25">
      <c r="A2824" t="str">
        <f>"20190312172716133"</f>
        <v>20190312172716133</v>
      </c>
      <c r="B2824" t="str">
        <f>"1552382836122342"</f>
        <v>1552382836122342</v>
      </c>
      <c r="C2824" t="s">
        <v>40</v>
      </c>
      <c r="D2824">
        <v>3.6610879999999999</v>
      </c>
      <c r="E2824">
        <v>0.57921309999999904</v>
      </c>
      <c r="F2824" t="s">
        <v>44</v>
      </c>
      <c r="G2824">
        <v>-278.1053</v>
      </c>
      <c r="H2824">
        <v>0.88475729999999997</v>
      </c>
      <c r="I2824">
        <v>213.43629999999999</v>
      </c>
      <c r="J2824">
        <v>-278.6789</v>
      </c>
      <c r="K2824">
        <v>1.1098809999999999</v>
      </c>
      <c r="L2824">
        <v>213.65119999999999</v>
      </c>
      <c r="M2824">
        <v>0.99989450000000002</v>
      </c>
      <c r="N2824">
        <v>0</v>
      </c>
      <c r="O2824">
        <v>-2.400859E-3</v>
      </c>
      <c r="P2824">
        <v>0.98097219999999996</v>
      </c>
      <c r="Q2824">
        <v>0.19185469999999999</v>
      </c>
      <c r="R2824">
        <v>-2.975949E-2</v>
      </c>
      <c r="S2824">
        <v>3.1765750000000001</v>
      </c>
      <c r="T2824">
        <v>-0.69916219999999996</v>
      </c>
      <c r="U2824">
        <v>-0.67042539999999995</v>
      </c>
      <c r="V2824">
        <v>2.7402590000000001E-2</v>
      </c>
      <c r="W2824">
        <v>0.20588709999999999</v>
      </c>
      <c r="X2824">
        <v>0.97819199999999995</v>
      </c>
      <c r="Y2824">
        <v>0.1996327</v>
      </c>
      <c r="Z2824">
        <v>-2.0964549999999998E-2</v>
      </c>
      <c r="AA2824">
        <v>0.97964649999999998</v>
      </c>
      <c r="AB2824">
        <v>41</v>
      </c>
      <c r="AC2824">
        <v>0.573599999999999</v>
      </c>
      <c r="AD2824">
        <v>-0.22512369999999901</v>
      </c>
      <c r="AE2824">
        <v>-0.21490000000000001</v>
      </c>
      <c r="AF2824">
        <v>0.18811247346512899</v>
      </c>
      <c r="AG2824">
        <v>-0.22512369999999901</v>
      </c>
      <c r="AH2824">
        <v>0.50579338646458005</v>
      </c>
      <c r="AI2824">
        <v>112.644554324955</v>
      </c>
      <c r="AJ2824">
        <v>69.5990447405498</v>
      </c>
      <c r="AK2824">
        <v>0.58471696808470197</v>
      </c>
      <c r="AL2824">
        <v>78.118565970202795</v>
      </c>
      <c r="AM2824">
        <v>88.395363849960205</v>
      </c>
      <c r="AN2824">
        <v>0.999999994374559</v>
      </c>
    </row>
    <row r="2825" spans="1:40" x14ac:dyDescent="0.25">
      <c r="A2825" t="str">
        <f>"20190312172716157"</f>
        <v>20190312172716157</v>
      </c>
      <c r="B2825" t="str">
        <f>"1552382836151622"</f>
        <v>1552382836151622</v>
      </c>
      <c r="C2825" t="s">
        <v>40</v>
      </c>
      <c r="D2825">
        <v>3.6401569999999999</v>
      </c>
      <c r="E2825">
        <v>0.57987200000000005</v>
      </c>
      <c r="F2825" t="s">
        <v>44</v>
      </c>
      <c r="G2825">
        <v>-277.73250000000002</v>
      </c>
      <c r="H2825">
        <v>0.89874949999999998</v>
      </c>
      <c r="I2825">
        <v>213.44880000000001</v>
      </c>
      <c r="J2825">
        <v>-278.23849999999999</v>
      </c>
      <c r="K2825">
        <v>1.1098809999999999</v>
      </c>
      <c r="L2825">
        <v>213.65020000000001</v>
      </c>
      <c r="M2825">
        <v>0.99989459999999997</v>
      </c>
      <c r="N2825">
        <v>0</v>
      </c>
      <c r="O2825">
        <v>-2.3840319999999999E-3</v>
      </c>
      <c r="P2825">
        <v>0.98119610000000002</v>
      </c>
      <c r="Q2825">
        <v>0.1905733</v>
      </c>
      <c r="R2825">
        <v>-3.0592959999999999E-2</v>
      </c>
      <c r="S2825">
        <v>3.1762079999999999</v>
      </c>
      <c r="T2825">
        <v>-0.70860990000000001</v>
      </c>
      <c r="U2825">
        <v>-0.67796330000000005</v>
      </c>
      <c r="V2825">
        <v>2.825223E-2</v>
      </c>
      <c r="W2825">
        <v>0.2046065</v>
      </c>
      <c r="X2825">
        <v>0.97843650000000004</v>
      </c>
      <c r="Y2825">
        <v>0.20172670000000001</v>
      </c>
      <c r="Z2825">
        <v>-2.147058E-2</v>
      </c>
      <c r="AA2825">
        <v>0.97920649999999998</v>
      </c>
      <c r="AB2825">
        <v>41</v>
      </c>
      <c r="AC2825">
        <v>0.50599999999997103</v>
      </c>
      <c r="AD2825">
        <v>-0.211131499999999</v>
      </c>
      <c r="AE2825">
        <v>-0.20140000000000599</v>
      </c>
      <c r="AF2825">
        <v>0.17403655817844299</v>
      </c>
      <c r="AG2825">
        <v>-0.211131499999999</v>
      </c>
      <c r="AH2825">
        <v>0.44030423906052901</v>
      </c>
      <c r="AI2825">
        <v>114.034047676494</v>
      </c>
      <c r="AJ2825">
        <v>68.432880551314796</v>
      </c>
      <c r="AK2825">
        <v>0.51839469211163802</v>
      </c>
      <c r="AL2825">
        <v>78.193535049016802</v>
      </c>
      <c r="AM2825">
        <v>88.346051186521805</v>
      </c>
      <c r="AN2825">
        <v>0.99999999643723603</v>
      </c>
    </row>
    <row r="2826" spans="1:40" x14ac:dyDescent="0.25">
      <c r="A2826" t="str">
        <f>"20190312172716177"</f>
        <v>20190312172716177</v>
      </c>
      <c r="B2826" t="str">
        <f>"1552382836172118"</f>
        <v>1552382836172118</v>
      </c>
      <c r="C2826" t="s">
        <v>40</v>
      </c>
      <c r="D2826">
        <v>3.6269779999999998</v>
      </c>
      <c r="E2826">
        <v>0.58030680000000001</v>
      </c>
      <c r="F2826" t="s">
        <v>44</v>
      </c>
      <c r="G2826">
        <v>-277.36059999999998</v>
      </c>
      <c r="H2826">
        <v>0.91090859999999996</v>
      </c>
      <c r="I2826">
        <v>213.4605</v>
      </c>
      <c r="J2826">
        <v>-277.83960000000002</v>
      </c>
      <c r="K2826">
        <v>1.1098809999999999</v>
      </c>
      <c r="L2826">
        <v>213.64920000000001</v>
      </c>
      <c r="M2826">
        <v>0.99989470000000003</v>
      </c>
      <c r="N2826">
        <v>0</v>
      </c>
      <c r="O2826">
        <v>-2.3686380000000002E-3</v>
      </c>
      <c r="P2826">
        <v>0.98141560000000005</v>
      </c>
      <c r="Q2826">
        <v>0.18942300000000001</v>
      </c>
      <c r="R2826">
        <v>-3.0698550000000002E-2</v>
      </c>
      <c r="S2826">
        <v>3.175964</v>
      </c>
      <c r="T2826">
        <v>-0.71996930000000003</v>
      </c>
      <c r="U2826">
        <v>-0.68531799999999998</v>
      </c>
      <c r="V2826">
        <v>2.8372319999999999E-2</v>
      </c>
      <c r="W2826">
        <v>0.2034572</v>
      </c>
      <c r="X2826">
        <v>0.97867269999999895</v>
      </c>
      <c r="Y2826">
        <v>0.20372789999999999</v>
      </c>
      <c r="Z2826">
        <v>-2.2028059999999999E-2</v>
      </c>
      <c r="AA2826">
        <v>0.97877970000000003</v>
      </c>
      <c r="AB2826">
        <v>41</v>
      </c>
      <c r="AC2826">
        <v>0.479000000000041</v>
      </c>
      <c r="AD2826">
        <v>-0.19897239999999899</v>
      </c>
      <c r="AE2826">
        <v>-0.188700000000011</v>
      </c>
      <c r="AF2826">
        <v>0.163189369461442</v>
      </c>
      <c r="AG2826">
        <v>-0.19897239999999899</v>
      </c>
      <c r="AH2826">
        <v>0.41713821204177098</v>
      </c>
      <c r="AI2826">
        <v>113.95132467185501</v>
      </c>
      <c r="AJ2826">
        <v>68.633978898918301</v>
      </c>
      <c r="AK2826">
        <v>0.49012761013065598</v>
      </c>
      <c r="AL2826">
        <v>78.260800548821507</v>
      </c>
      <c r="AM2826">
        <v>88.339425426204599</v>
      </c>
      <c r="AN2826">
        <v>1.00000003724965</v>
      </c>
    </row>
    <row r="2827" spans="1:40" x14ac:dyDescent="0.25">
      <c r="A2827" t="str">
        <f>"20190312172716200"</f>
        <v>20190312172716200</v>
      </c>
      <c r="B2827" t="str">
        <f>"1552382836191639"</f>
        <v>1552382836191639</v>
      </c>
      <c r="C2827" t="s">
        <v>40</v>
      </c>
      <c r="D2827">
        <v>3.675719</v>
      </c>
      <c r="E2827">
        <v>0.58070310000000003</v>
      </c>
      <c r="F2827" t="s">
        <v>44</v>
      </c>
      <c r="G2827">
        <v>-276.99189999999999</v>
      </c>
      <c r="H2827">
        <v>0.91554579999999997</v>
      </c>
      <c r="I2827">
        <v>213.465</v>
      </c>
      <c r="J2827">
        <v>-277.4547</v>
      </c>
      <c r="K2827">
        <v>1.1098779999999999</v>
      </c>
      <c r="L2827">
        <v>213.64830000000001</v>
      </c>
      <c r="M2827">
        <v>0.99989490000000003</v>
      </c>
      <c r="N2827">
        <v>0</v>
      </c>
      <c r="O2827">
        <v>-2.3537229999999998E-3</v>
      </c>
      <c r="P2827">
        <v>0.9815258</v>
      </c>
      <c r="Q2827">
        <v>0.18879319999999999</v>
      </c>
      <c r="R2827">
        <v>-3.1058209999999999E-2</v>
      </c>
      <c r="S2827">
        <v>3.1758120000000001</v>
      </c>
      <c r="T2827">
        <v>-0.72817589999999999</v>
      </c>
      <c r="U2827">
        <v>-0.68888850000000001</v>
      </c>
      <c r="V2827">
        <v>2.8746319999999999E-2</v>
      </c>
      <c r="W2827">
        <v>0.2028269</v>
      </c>
      <c r="X2827">
        <v>0.97879249999999995</v>
      </c>
      <c r="Y2827">
        <v>0.20466989999999999</v>
      </c>
      <c r="Z2827">
        <v>-2.238031E-2</v>
      </c>
      <c r="AA2827">
        <v>0.97857519999999998</v>
      </c>
      <c r="AB2827">
        <v>41</v>
      </c>
      <c r="AC2827">
        <v>0.46280000000001498</v>
      </c>
      <c r="AD2827">
        <v>-0.19433220000000001</v>
      </c>
      <c r="AE2827">
        <v>-0.18330000000000199</v>
      </c>
      <c r="AF2827">
        <v>0.15811195505849199</v>
      </c>
      <c r="AG2827">
        <v>-0.19433220000000001</v>
      </c>
      <c r="AH2827">
        <v>0.40196587037987203</v>
      </c>
      <c r="AI2827">
        <v>114.223026907948</v>
      </c>
      <c r="AJ2827">
        <v>68.527967642557499</v>
      </c>
      <c r="AK2827">
        <v>0.47364644539942202</v>
      </c>
      <c r="AL2827">
        <v>78.297681835075196</v>
      </c>
      <c r="AM2827">
        <v>88.317754267297801</v>
      </c>
      <c r="AN2827">
        <v>0.99999993016669797</v>
      </c>
    </row>
    <row r="2828" spans="1:40" x14ac:dyDescent="0.25">
      <c r="A2828" t="str">
        <f>"20190312172716222"</f>
        <v>20190312172716222</v>
      </c>
      <c r="B2828" t="str">
        <f>"1552382836212134"</f>
        <v>1552382836212134</v>
      </c>
      <c r="C2828" t="s">
        <v>40</v>
      </c>
      <c r="D2828">
        <v>3.6399020000000002</v>
      </c>
      <c r="E2828">
        <v>0.58103359999999904</v>
      </c>
      <c r="F2828" t="s">
        <v>44</v>
      </c>
      <c r="G2828">
        <v>-276.62439999999998</v>
      </c>
      <c r="H2828">
        <v>0.91789569999999998</v>
      </c>
      <c r="I2828">
        <v>213.46709999999999</v>
      </c>
      <c r="J2828">
        <v>-277.02769999999998</v>
      </c>
      <c r="K2828">
        <v>1.10988</v>
      </c>
      <c r="L2828">
        <v>213.6473</v>
      </c>
      <c r="M2828">
        <v>0.99989499999999998</v>
      </c>
      <c r="N2828">
        <v>0</v>
      </c>
      <c r="O2828">
        <v>-2.337015E-3</v>
      </c>
      <c r="P2828">
        <v>0.98135170000000005</v>
      </c>
      <c r="Q2828">
        <v>0.18963070000000001</v>
      </c>
      <c r="R2828">
        <v>-3.1454839999999998E-2</v>
      </c>
      <c r="S2828">
        <v>3.1757810000000002</v>
      </c>
      <c r="T2828">
        <v>-0.73425229999999997</v>
      </c>
      <c r="U2828">
        <v>-0.69288640000000001</v>
      </c>
      <c r="V2828">
        <v>2.9159600000000001E-2</v>
      </c>
      <c r="W2828">
        <v>0.2036589</v>
      </c>
      <c r="X2828">
        <v>0.97860760000000002</v>
      </c>
      <c r="Y2828">
        <v>0.2057551</v>
      </c>
      <c r="Z2828">
        <v>-2.268597E-2</v>
      </c>
      <c r="AA2828">
        <v>0.9783406</v>
      </c>
      <c r="AB2828">
        <v>41</v>
      </c>
      <c r="AC2828">
        <v>0.40330000000000099</v>
      </c>
      <c r="AD2828">
        <v>-0.1919843</v>
      </c>
      <c r="AE2828">
        <v>-0.18020000000001299</v>
      </c>
      <c r="AF2828">
        <v>0.15077590446706299</v>
      </c>
      <c r="AG2828">
        <v>-0.1919843</v>
      </c>
      <c r="AH2828">
        <v>0.33957555463005801</v>
      </c>
      <c r="AI2828">
        <v>117.326314559401</v>
      </c>
      <c r="AJ2828">
        <v>66.058164690232402</v>
      </c>
      <c r="AK2828">
        <v>0.41821394299647902</v>
      </c>
      <c r="AL2828">
        <v>78.248996796154501</v>
      </c>
      <c r="AM2828">
        <v>88.293260937160099</v>
      </c>
      <c r="AN2828">
        <v>1.0000000322995599</v>
      </c>
    </row>
    <row r="2829" spans="1:40" x14ac:dyDescent="0.25">
      <c r="A2829" t="str">
        <f>"20190312172716242"</f>
        <v>20190312172716242</v>
      </c>
      <c r="B2829" t="str">
        <f>"1552382836231654"</f>
        <v>1552382836231654</v>
      </c>
      <c r="C2829" t="s">
        <v>40</v>
      </c>
      <c r="D2829">
        <v>3.662728</v>
      </c>
      <c r="E2829">
        <v>0.58120240000000001</v>
      </c>
      <c r="F2829" t="s">
        <v>44</v>
      </c>
      <c r="G2829">
        <v>-276.25299999999999</v>
      </c>
      <c r="H2829">
        <v>0.93062500000000004</v>
      </c>
      <c r="I2829">
        <v>213.47720000000001</v>
      </c>
      <c r="J2829">
        <v>-276.66829999999999</v>
      </c>
      <c r="K2829">
        <v>1.10988</v>
      </c>
      <c r="L2829">
        <v>213.6465</v>
      </c>
      <c r="M2829">
        <v>0.99989499999999998</v>
      </c>
      <c r="N2829">
        <v>0</v>
      </c>
      <c r="O2829">
        <v>-2.3230540000000002E-3</v>
      </c>
      <c r="P2829">
        <v>0.98112180000000004</v>
      </c>
      <c r="Q2829">
        <v>0.1908483</v>
      </c>
      <c r="R2829">
        <v>-3.1258719999999997E-2</v>
      </c>
      <c r="S2829">
        <v>3.1766969999999999</v>
      </c>
      <c r="T2829">
        <v>-0.73508189999999995</v>
      </c>
      <c r="U2829">
        <v>-0.69628909999999999</v>
      </c>
      <c r="V2829">
        <v>2.8977969999999999E-2</v>
      </c>
      <c r="W2829">
        <v>0.2048711</v>
      </c>
      <c r="X2829">
        <v>0.97835989999999995</v>
      </c>
      <c r="Y2829">
        <v>0.2066791</v>
      </c>
      <c r="Z2829">
        <v>-2.280973E-2</v>
      </c>
      <c r="AA2829">
        <v>0.97814290000000004</v>
      </c>
      <c r="AB2829">
        <v>41</v>
      </c>
      <c r="AC2829">
        <v>0.415300000000002</v>
      </c>
      <c r="AD2829">
        <v>-0.179254999999999</v>
      </c>
      <c r="AE2829">
        <v>-0.16929999999999201</v>
      </c>
      <c r="AF2829">
        <v>0.14514689595291799</v>
      </c>
      <c r="AG2829">
        <v>-0.179254999999999</v>
      </c>
      <c r="AH2829">
        <v>0.35843139565879001</v>
      </c>
      <c r="AI2829">
        <v>114.869829675387</v>
      </c>
      <c r="AJ2829">
        <v>67.9544996389467</v>
      </c>
      <c r="AK2829">
        <v>0.42623120700351802</v>
      </c>
      <c r="AL2829">
        <v>78.178046434428396</v>
      </c>
      <c r="AM2829">
        <v>88.303456515010694</v>
      </c>
      <c r="AN2829">
        <v>0.99999999214427004</v>
      </c>
    </row>
    <row r="2830" spans="1:40" x14ac:dyDescent="0.25">
      <c r="A2830" t="str">
        <f>"20190312172716263"</f>
        <v>20190312172716263</v>
      </c>
      <c r="B2830" t="str">
        <f>"1552382836252150"</f>
        <v>1552382836252150</v>
      </c>
      <c r="C2830" t="s">
        <v>40</v>
      </c>
      <c r="D2830">
        <v>3.8540410000000001</v>
      </c>
      <c r="E2830">
        <v>0.58127740000000006</v>
      </c>
      <c r="F2830" t="s">
        <v>44</v>
      </c>
      <c r="G2830">
        <v>-275.88729999999998</v>
      </c>
      <c r="H2830">
        <v>0.92945730000000004</v>
      </c>
      <c r="I2830">
        <v>213.4752</v>
      </c>
      <c r="J2830">
        <v>-276.27429999999998</v>
      </c>
      <c r="K2830">
        <v>1.109885</v>
      </c>
      <c r="L2830">
        <v>213.6456</v>
      </c>
      <c r="M2830">
        <v>0.99989499999999998</v>
      </c>
      <c r="N2830">
        <v>0</v>
      </c>
      <c r="O2830">
        <v>-2.3077779999999999E-3</v>
      </c>
      <c r="P2830">
        <v>0.98103340000000006</v>
      </c>
      <c r="Q2830">
        <v>0.19130459999999999</v>
      </c>
      <c r="R2830">
        <v>-3.124714E-2</v>
      </c>
      <c r="S2830">
        <v>3.1783450000000002</v>
      </c>
      <c r="T2830">
        <v>-0.73422109999999996</v>
      </c>
      <c r="U2830">
        <v>-0.69665529999999998</v>
      </c>
      <c r="V2830">
        <v>2.898148E-2</v>
      </c>
      <c r="W2830">
        <v>0.2053239</v>
      </c>
      <c r="X2830">
        <v>0.97826489999999999</v>
      </c>
      <c r="Y2830">
        <v>0.20671149999999999</v>
      </c>
      <c r="Z2830">
        <v>-2.2779259999999999E-2</v>
      </c>
      <c r="AA2830">
        <v>0.97813669999999997</v>
      </c>
      <c r="AB2830">
        <v>41</v>
      </c>
      <c r="AC2830">
        <v>0.38700000000000001</v>
      </c>
      <c r="AD2830">
        <v>-0.1804277</v>
      </c>
      <c r="AE2830">
        <v>-0.1704</v>
      </c>
      <c r="AF2830">
        <v>0.14339850167887599</v>
      </c>
      <c r="AG2830">
        <v>-0.1804277</v>
      </c>
      <c r="AH2830">
        <v>0.32772501243305302</v>
      </c>
      <c r="AI2830">
        <v>116.765287365398</v>
      </c>
      <c r="AJ2830">
        <v>66.367862303506499</v>
      </c>
      <c r="AK2830">
        <v>0.40065068199777398</v>
      </c>
      <c r="AL2830">
        <v>78.151539769458907</v>
      </c>
      <c r="AM2830">
        <v>88.303086462600604</v>
      </c>
      <c r="AN2830">
        <v>1.0000000223331</v>
      </c>
    </row>
    <row r="2831" spans="1:40" x14ac:dyDescent="0.25">
      <c r="A2831" t="str">
        <f>"20190312172716287"</f>
        <v>20190312172716287</v>
      </c>
      <c r="B2831" t="str">
        <f>"1552382836281430"</f>
        <v>1552382836281430</v>
      </c>
      <c r="C2831" t="s">
        <v>40</v>
      </c>
      <c r="D2831">
        <v>3.6379980000000001</v>
      </c>
      <c r="E2831">
        <v>0.58092460000000001</v>
      </c>
      <c r="F2831" t="s">
        <v>44</v>
      </c>
      <c r="G2831">
        <v>-275.51909999999998</v>
      </c>
      <c r="H2831">
        <v>0.93553839999999999</v>
      </c>
      <c r="I2831">
        <v>213.47980000000001</v>
      </c>
      <c r="J2831">
        <v>-275.85340000000002</v>
      </c>
      <c r="K2831">
        <v>1.109888</v>
      </c>
      <c r="L2831">
        <v>213.6446</v>
      </c>
      <c r="M2831">
        <v>0.99989499999999998</v>
      </c>
      <c r="N2831">
        <v>0</v>
      </c>
      <c r="O2831">
        <v>-2.2914300000000001E-3</v>
      </c>
      <c r="P2831">
        <v>0.98088070000000005</v>
      </c>
      <c r="Q2831">
        <v>0.1921137</v>
      </c>
      <c r="R2831">
        <v>-3.1069949999999999E-2</v>
      </c>
      <c r="S2831">
        <v>3.1789550000000002</v>
      </c>
      <c r="T2831">
        <v>-0.7339871</v>
      </c>
      <c r="U2831">
        <v>-0.69627380000000005</v>
      </c>
      <c r="V2831">
        <v>2.8820789999999999E-2</v>
      </c>
      <c r="W2831">
        <v>0.2061278</v>
      </c>
      <c r="X2831">
        <v>0.97810050000000004</v>
      </c>
      <c r="Y2831">
        <v>0.20658389999999999</v>
      </c>
      <c r="Z2831">
        <v>-2.2757590000000001E-2</v>
      </c>
      <c r="AA2831">
        <v>0.97816420000000004</v>
      </c>
      <c r="AB2831">
        <v>41</v>
      </c>
      <c r="AC2831">
        <v>0.33430000000004101</v>
      </c>
      <c r="AD2831">
        <v>-0.17434959999999999</v>
      </c>
      <c r="AE2831">
        <v>-0.16479999999998499</v>
      </c>
      <c r="AF2831">
        <v>0.13458360215211601</v>
      </c>
      <c r="AG2831">
        <v>-0.17434959999999999</v>
      </c>
      <c r="AH2831">
        <v>0.27459035928060999</v>
      </c>
      <c r="AI2831">
        <v>119.68944117695</v>
      </c>
      <c r="AJ2831">
        <v>63.8893705690895</v>
      </c>
      <c r="AK2831">
        <v>0.35200908283488003</v>
      </c>
      <c r="AL2831">
        <v>78.104472018767694</v>
      </c>
      <c r="AM2831">
        <v>88.312206198124102</v>
      </c>
      <c r="AN2831">
        <v>0.99999994798465497</v>
      </c>
    </row>
    <row r="2832" spans="1:40" x14ac:dyDescent="0.25">
      <c r="A2832" t="str">
        <f>"20190312172716309"</f>
        <v>20190312172716309</v>
      </c>
      <c r="B2832" t="str">
        <f>"1552382836301926"</f>
        <v>1552382836301926</v>
      </c>
      <c r="C2832" t="s">
        <v>40</v>
      </c>
      <c r="D2832">
        <v>3.64974</v>
      </c>
      <c r="E2832">
        <v>0.58076260000000002</v>
      </c>
      <c r="F2832" t="s">
        <v>44</v>
      </c>
      <c r="G2832">
        <v>-275.14839999999998</v>
      </c>
      <c r="H2832">
        <v>0.9477141</v>
      </c>
      <c r="I2832">
        <v>213.49109999999999</v>
      </c>
      <c r="J2832">
        <v>-275.4504</v>
      </c>
      <c r="K2832">
        <v>1.10989</v>
      </c>
      <c r="L2832">
        <v>213.6437</v>
      </c>
      <c r="M2832">
        <v>0.99989510000000004</v>
      </c>
      <c r="N2832">
        <v>0</v>
      </c>
      <c r="O2832">
        <v>-2.2756790000000001E-3</v>
      </c>
      <c r="P2832">
        <v>0.9807323</v>
      </c>
      <c r="Q2832">
        <v>0.1928542</v>
      </c>
      <c r="R2832">
        <v>-3.116354E-2</v>
      </c>
      <c r="S2832">
        <v>3.17984</v>
      </c>
      <c r="T2832">
        <v>-0.73154350000000001</v>
      </c>
      <c r="U2832">
        <v>-0.69212340000000006</v>
      </c>
      <c r="V2832">
        <v>2.8930270000000001E-2</v>
      </c>
      <c r="W2832">
        <v>0.20686450000000001</v>
      </c>
      <c r="X2832">
        <v>0.97794179999999997</v>
      </c>
      <c r="Y2832">
        <v>0.20538780000000001</v>
      </c>
      <c r="Z2832">
        <v>-2.2549920000000001E-2</v>
      </c>
      <c r="AA2832">
        <v>0.97842090000000004</v>
      </c>
      <c r="AB2832">
        <v>41</v>
      </c>
      <c r="AC2832">
        <v>0.30200000000001997</v>
      </c>
      <c r="AD2832">
        <v>-0.16217590000000001</v>
      </c>
      <c r="AE2832">
        <v>-0.15260000000000601</v>
      </c>
      <c r="AF2832">
        <v>0.12353385977817399</v>
      </c>
      <c r="AG2832">
        <v>-0.16217590000000001</v>
      </c>
      <c r="AH2832">
        <v>0.245865791757026</v>
      </c>
      <c r="AI2832">
        <v>120.51497254821901</v>
      </c>
      <c r="AJ2832">
        <v>63.323021030893202</v>
      </c>
      <c r="AK2832">
        <v>0.31939258696596701</v>
      </c>
      <c r="AL2832">
        <v>78.061333354360599</v>
      </c>
      <c r="AM2832">
        <v>88.305523821094795</v>
      </c>
      <c r="AN2832">
        <v>1.00000002303488</v>
      </c>
    </row>
    <row r="2833" spans="1:40" x14ac:dyDescent="0.25">
      <c r="A2833" t="str">
        <f>"20190312172716334"</f>
        <v>20190312172716334</v>
      </c>
      <c r="B2833" t="str">
        <f>"1552382836321446"</f>
        <v>1552382836321446</v>
      </c>
      <c r="C2833" t="s">
        <v>40</v>
      </c>
      <c r="D2833">
        <v>3.6598440000000001</v>
      </c>
      <c r="E2833">
        <v>0.58059249999999996</v>
      </c>
      <c r="F2833" t="s">
        <v>44</v>
      </c>
      <c r="G2833">
        <v>-274.44479999999999</v>
      </c>
      <c r="H2833">
        <v>0.8791215</v>
      </c>
      <c r="I2833">
        <v>213.42529999999999</v>
      </c>
      <c r="J2833">
        <v>-274.9991</v>
      </c>
      <c r="K2833">
        <v>1.1098889999999999</v>
      </c>
      <c r="L2833">
        <v>213.64269999999999</v>
      </c>
      <c r="M2833">
        <v>0.99989519999999998</v>
      </c>
      <c r="N2833">
        <v>0</v>
      </c>
      <c r="O2833">
        <v>-2.258136E-3</v>
      </c>
      <c r="P2833">
        <v>0.98060190000000003</v>
      </c>
      <c r="Q2833">
        <v>0.19353809999999999</v>
      </c>
      <c r="R2833">
        <v>-3.1032219999999999E-2</v>
      </c>
      <c r="S2833">
        <v>3.180542</v>
      </c>
      <c r="T2833">
        <v>-0.72989479999999995</v>
      </c>
      <c r="U2833">
        <v>-0.69047550000000002</v>
      </c>
      <c r="V2833">
        <v>2.881628E-2</v>
      </c>
      <c r="W2833">
        <v>0.20754329999999999</v>
      </c>
      <c r="X2833">
        <v>0.97780129999999998</v>
      </c>
      <c r="Y2833">
        <v>0.20491139999999999</v>
      </c>
      <c r="Z2833">
        <v>-2.244736E-2</v>
      </c>
      <c r="AA2833">
        <v>0.97852309999999998</v>
      </c>
      <c r="AB2833">
        <v>41</v>
      </c>
      <c r="AC2833">
        <v>0.55430000000001201</v>
      </c>
      <c r="AD2833">
        <v>-0.23076749999999899</v>
      </c>
      <c r="AE2833">
        <v>-0.21739999999999701</v>
      </c>
      <c r="AF2833">
        <v>0.18791899340270099</v>
      </c>
      <c r="AG2833">
        <v>-0.23076749999999899</v>
      </c>
      <c r="AH2833">
        <v>0.48233465917375201</v>
      </c>
      <c r="AI2833">
        <v>114.02728220121099</v>
      </c>
      <c r="AJ2833">
        <v>68.713966278247995</v>
      </c>
      <c r="AK2833">
        <v>0.56675736482024996</v>
      </c>
      <c r="AL2833">
        <v>78.021577812664901</v>
      </c>
      <c r="AM2833">
        <v>88.311954085564494</v>
      </c>
      <c r="AN2833">
        <v>0.99999999082480895</v>
      </c>
    </row>
    <row r="2834" spans="1:40" x14ac:dyDescent="0.25">
      <c r="A2834" t="str">
        <f>"20190312172716356"</f>
        <v>20190312172716356</v>
      </c>
      <c r="B2834" t="str">
        <f>"1552382836351702"</f>
        <v>1552382836351702</v>
      </c>
      <c r="C2834" t="s">
        <v>40</v>
      </c>
      <c r="D2834">
        <v>3.5978940000000001</v>
      </c>
      <c r="E2834">
        <v>0.54473389999999999</v>
      </c>
      <c r="F2834" t="s">
        <v>44</v>
      </c>
      <c r="G2834">
        <v>-274.0729</v>
      </c>
      <c r="H2834">
        <v>0.89808849999999996</v>
      </c>
      <c r="I2834">
        <v>213.4419</v>
      </c>
      <c r="J2834">
        <v>-274.59410000000003</v>
      </c>
      <c r="K2834">
        <v>1.10989</v>
      </c>
      <c r="L2834">
        <v>213.64179999999999</v>
      </c>
      <c r="M2834">
        <v>0.99989519999999998</v>
      </c>
      <c r="N2834">
        <v>0</v>
      </c>
      <c r="O2834">
        <v>-2.242384E-3</v>
      </c>
      <c r="P2834">
        <v>0.98035550000000005</v>
      </c>
      <c r="Q2834">
        <v>0.1946929</v>
      </c>
      <c r="R2834">
        <v>-3.158743E-2</v>
      </c>
      <c r="S2834">
        <v>3.1810610000000001</v>
      </c>
      <c r="T2834">
        <v>-0.72741369999999905</v>
      </c>
      <c r="U2834">
        <v>-0.68926999999999905</v>
      </c>
      <c r="V2834">
        <v>2.9387400000000001E-2</v>
      </c>
      <c r="W2834">
        <v>0.20869199999999999</v>
      </c>
      <c r="X2834">
        <v>0.97753979999999996</v>
      </c>
      <c r="Y2834">
        <v>0.20458209999999999</v>
      </c>
      <c r="Z2834">
        <v>-2.2337050000000001E-2</v>
      </c>
      <c r="AA2834">
        <v>0.97859450000000003</v>
      </c>
      <c r="AB2834">
        <v>41</v>
      </c>
      <c r="AC2834">
        <v>0.52120000000002098</v>
      </c>
      <c r="AD2834">
        <v>-0.2118015</v>
      </c>
      <c r="AE2834">
        <v>-0.19989999999998501</v>
      </c>
      <c r="AF2834">
        <v>0.17372139274288201</v>
      </c>
      <c r="AG2834">
        <v>-0.2118015</v>
      </c>
      <c r="AH2834">
        <v>0.45600033262694201</v>
      </c>
      <c r="AI2834">
        <v>113.46303761838701</v>
      </c>
      <c r="AJ2834">
        <v>69.144776051011803</v>
      </c>
      <c r="AK2834">
        <v>0.53195422834550199</v>
      </c>
      <c r="AL2834">
        <v>77.9542890715326</v>
      </c>
      <c r="AM2834">
        <v>88.278057811206494</v>
      </c>
      <c r="AN2834">
        <v>1.0000000153633899</v>
      </c>
    </row>
    <row r="2835" spans="1:40" x14ac:dyDescent="0.25">
      <c r="A2835" t="str">
        <f>"20190312172716488"</f>
        <v>20190312172716488</v>
      </c>
      <c r="B2835" t="str">
        <f>"1552382836481623"</f>
        <v>1552382836481623</v>
      </c>
      <c r="C2835" t="s">
        <v>40</v>
      </c>
      <c r="D2835">
        <v>3.645508</v>
      </c>
      <c r="E2835">
        <v>0.53415069999999998</v>
      </c>
      <c r="F2835" t="s">
        <v>44</v>
      </c>
      <c r="G2835">
        <v>-271.84980000000002</v>
      </c>
      <c r="H2835">
        <v>0.99383999999999995</v>
      </c>
      <c r="I2835">
        <v>213.54480000000001</v>
      </c>
      <c r="J2835">
        <v>-272.19290000000001</v>
      </c>
      <c r="K2835">
        <v>1.109896</v>
      </c>
      <c r="L2835">
        <v>213.63659999999999</v>
      </c>
      <c r="M2835">
        <v>0.99989570000000005</v>
      </c>
      <c r="N2835">
        <v>0</v>
      </c>
      <c r="O2835">
        <v>-2.148825E-3</v>
      </c>
      <c r="P2835">
        <v>0.98000620000000005</v>
      </c>
      <c r="Q2835">
        <v>0.19602449999999999</v>
      </c>
      <c r="R2835">
        <v>-3.4096210000000002E-2</v>
      </c>
      <c r="S2835">
        <v>3.142395</v>
      </c>
      <c r="T2835">
        <v>-0.47926400000000002</v>
      </c>
      <c r="U2835">
        <v>-0.38253779999999998</v>
      </c>
      <c r="V2835">
        <v>3.198873E-2</v>
      </c>
      <c r="W2835">
        <v>0.2100041</v>
      </c>
      <c r="X2835">
        <v>0.97717710000000002</v>
      </c>
      <c r="Y2835">
        <v>0.1173956</v>
      </c>
      <c r="Z2835">
        <v>-8.5439929999999997E-3</v>
      </c>
      <c r="AA2835">
        <v>0.9930485</v>
      </c>
      <c r="AB2835">
        <v>41</v>
      </c>
      <c r="AC2835">
        <v>0.34309999999999202</v>
      </c>
      <c r="AD2835">
        <v>-0.11605600000000001</v>
      </c>
      <c r="AE2835">
        <v>-9.1799999999977899E-2</v>
      </c>
      <c r="AF2835">
        <v>8.2277364435650605E-2</v>
      </c>
      <c r="AG2835">
        <v>-0.11605600000000001</v>
      </c>
      <c r="AH2835">
        <v>0.31017757723544798</v>
      </c>
      <c r="AI2835">
        <v>109.882664411671</v>
      </c>
      <c r="AJ2835">
        <v>75.143913050960606</v>
      </c>
      <c r="AK2835">
        <v>0.34124579008997202</v>
      </c>
      <c r="AL2835">
        <v>77.877408011613895</v>
      </c>
      <c r="AM2835">
        <v>88.125043110001201</v>
      </c>
      <c r="AN2835">
        <v>1.00000004281411</v>
      </c>
    </row>
    <row r="2836" spans="1:40" x14ac:dyDescent="0.25">
      <c r="A2836" t="str">
        <f>"20190312172716510"</f>
        <v>20190312172716510</v>
      </c>
      <c r="B2836" t="str">
        <f>"1552382836502115"</f>
        <v>1552382836502115</v>
      </c>
      <c r="C2836" t="s">
        <v>40</v>
      </c>
      <c r="D2836">
        <v>3.6533289999999998</v>
      </c>
      <c r="E2836">
        <v>0.5320589</v>
      </c>
      <c r="F2836" t="s">
        <v>44</v>
      </c>
      <c r="G2836">
        <v>-271.47969999999998</v>
      </c>
      <c r="H2836">
        <v>1.008632</v>
      </c>
      <c r="I2836">
        <v>213.55959999999999</v>
      </c>
      <c r="J2836">
        <v>-271.78829999999999</v>
      </c>
      <c r="K2836">
        <v>1.1099000000000001</v>
      </c>
      <c r="L2836">
        <v>213.63579999999999</v>
      </c>
      <c r="M2836">
        <v>0.9998958</v>
      </c>
      <c r="N2836">
        <v>0</v>
      </c>
      <c r="O2836">
        <v>-2.132718E-3</v>
      </c>
      <c r="P2836">
        <v>0.979823</v>
      </c>
      <c r="Q2836">
        <v>0.1968366</v>
      </c>
      <c r="R2836">
        <v>-3.4675449999999997E-2</v>
      </c>
      <c r="S2836">
        <v>3.1385800000000001</v>
      </c>
      <c r="T2836">
        <v>-0.44569160000000002</v>
      </c>
      <c r="U2836">
        <v>-0.33862300000000001</v>
      </c>
      <c r="V2836">
        <v>3.2584349999999998E-2</v>
      </c>
      <c r="W2836">
        <v>0.210811</v>
      </c>
      <c r="X2836">
        <v>0.97698359999999995</v>
      </c>
      <c r="Y2836">
        <v>0.10413559999999999</v>
      </c>
      <c r="Z2836">
        <v>-7.035464E-3</v>
      </c>
      <c r="AA2836">
        <v>0.99453820000000004</v>
      </c>
      <c r="AB2836">
        <v>41</v>
      </c>
      <c r="AC2836">
        <v>0.30860000000001198</v>
      </c>
      <c r="AD2836">
        <v>-0.101268</v>
      </c>
      <c r="AE2836">
        <v>-7.6200000000000004E-2</v>
      </c>
      <c r="AF2836">
        <v>6.8580907306603295E-2</v>
      </c>
      <c r="AG2836">
        <v>-0.101268</v>
      </c>
      <c r="AH2836">
        <v>0.28031131853020602</v>
      </c>
      <c r="AI2836">
        <v>109.336973871125</v>
      </c>
      <c r="AJ2836">
        <v>76.252089765491704</v>
      </c>
      <c r="AK2836">
        <v>0.30583162682616599</v>
      </c>
      <c r="AL2836">
        <v>77.830116688005305</v>
      </c>
      <c r="AM2836">
        <v>88.089779645144503</v>
      </c>
      <c r="AN2836">
        <v>0.99999998612744101</v>
      </c>
    </row>
    <row r="2837" spans="1:40" x14ac:dyDescent="0.25">
      <c r="A2837" t="str">
        <f>"20190312172716534"</f>
        <v>20190312172716534</v>
      </c>
      <c r="B2837" t="str">
        <f>"1552382836521636"</f>
        <v>1552382836521636</v>
      </c>
      <c r="C2837" t="s">
        <v>40</v>
      </c>
      <c r="D2837">
        <v>3.6696249999999999</v>
      </c>
      <c r="E2837">
        <v>0.5312365</v>
      </c>
      <c r="F2837" t="s">
        <v>44</v>
      </c>
      <c r="G2837">
        <v>-270.76609999999999</v>
      </c>
      <c r="H2837">
        <v>0.98575190000000001</v>
      </c>
      <c r="I2837">
        <v>213.52930000000001</v>
      </c>
      <c r="J2837">
        <v>-271.36930000000001</v>
      </c>
      <c r="K2837">
        <v>1.1099079999999999</v>
      </c>
      <c r="L2837">
        <v>213.63489999999999</v>
      </c>
      <c r="M2837">
        <v>0.99989589999999995</v>
      </c>
      <c r="N2837">
        <v>0</v>
      </c>
      <c r="O2837">
        <v>-2.1167260000000002E-3</v>
      </c>
      <c r="P2837">
        <v>0.97954200000000002</v>
      </c>
      <c r="Q2837">
        <v>0.19822339999999999</v>
      </c>
      <c r="R2837">
        <v>-3.4715509999999998E-2</v>
      </c>
      <c r="S2837">
        <v>3.1265869999999998</v>
      </c>
      <c r="T2837">
        <v>-0.37978089999999998</v>
      </c>
      <c r="U2837">
        <v>-0.32516479999999998</v>
      </c>
      <c r="V2837">
        <v>3.2640679999999998E-2</v>
      </c>
      <c r="W2837">
        <v>0.2121914</v>
      </c>
      <c r="X2837">
        <v>0.97668279999999996</v>
      </c>
      <c r="Y2837">
        <v>0.1006199</v>
      </c>
      <c r="Z2837">
        <v>-5.8169769999999897E-3</v>
      </c>
      <c r="AA2837">
        <v>0.99490789999999996</v>
      </c>
      <c r="AB2837">
        <v>41</v>
      </c>
      <c r="AC2837">
        <v>0.60320000000001495</v>
      </c>
      <c r="AD2837">
        <v>-0.12415609999999901</v>
      </c>
      <c r="AE2837">
        <v>-0.105599999999981</v>
      </c>
      <c r="AF2837">
        <v>0.100203865111978</v>
      </c>
      <c r="AG2837">
        <v>-0.12415609999999901</v>
      </c>
      <c r="AH2837">
        <v>0.57959738866034405</v>
      </c>
      <c r="AI2837">
        <v>101.91901280279301</v>
      </c>
      <c r="AJ2837">
        <v>80.191359892215601</v>
      </c>
      <c r="AK2837">
        <v>0.60115612339265101</v>
      </c>
      <c r="AL2837">
        <v>77.749194478516401</v>
      </c>
      <c r="AM2837">
        <v>88.085890925959902</v>
      </c>
      <c r="AN2837">
        <v>0.99999994802032999</v>
      </c>
    </row>
    <row r="2838" spans="1:40" x14ac:dyDescent="0.25">
      <c r="A2838" t="str">
        <f>"20190312172716557"</f>
        <v>20190312172716557</v>
      </c>
      <c r="B2838" t="str">
        <f>"1552382836551891"</f>
        <v>1552382836551891</v>
      </c>
      <c r="C2838" t="s">
        <v>40</v>
      </c>
      <c r="D2838">
        <v>3.689953</v>
      </c>
      <c r="E2838">
        <v>0.52968789999999999</v>
      </c>
      <c r="F2838" t="s">
        <v>44</v>
      </c>
      <c r="G2838">
        <v>-270.3938</v>
      </c>
      <c r="H2838">
        <v>1.0068360000000001</v>
      </c>
      <c r="I2838">
        <v>213.53440000000001</v>
      </c>
      <c r="J2838">
        <v>-270.93819999999999</v>
      </c>
      <c r="K2838">
        <v>1.109915</v>
      </c>
      <c r="L2838">
        <v>213.63399999999999</v>
      </c>
      <c r="M2838">
        <v>0.99989589999999995</v>
      </c>
      <c r="N2838">
        <v>0</v>
      </c>
      <c r="O2838">
        <v>-2.0997820000000001E-3</v>
      </c>
      <c r="P2838">
        <v>0.97921800000000003</v>
      </c>
      <c r="Q2838">
        <v>0.1997197</v>
      </c>
      <c r="R2838">
        <v>-3.527607E-2</v>
      </c>
      <c r="S2838">
        <v>3.1180110000000001</v>
      </c>
      <c r="T2838">
        <v>-0.32960460000000003</v>
      </c>
      <c r="U2838">
        <v>-0.32034299999999999</v>
      </c>
      <c r="V2838">
        <v>3.3218259999999999E-2</v>
      </c>
      <c r="W2838">
        <v>0.2136805</v>
      </c>
      <c r="X2838">
        <v>0.9763387</v>
      </c>
      <c r="Y2838">
        <v>9.9574919999999997E-2</v>
      </c>
      <c r="Z2838">
        <v>-5.0139520000000003E-3</v>
      </c>
      <c r="AA2838">
        <v>0.99501740000000005</v>
      </c>
      <c r="AB2838">
        <v>41</v>
      </c>
      <c r="AC2838">
        <v>0.544399999999996</v>
      </c>
      <c r="AD2838">
        <v>-0.103078999999999</v>
      </c>
      <c r="AE2838">
        <v>-9.9600000000009403E-2</v>
      </c>
      <c r="AF2838">
        <v>9.5155586750794399E-2</v>
      </c>
      <c r="AG2838">
        <v>-0.103078999999999</v>
      </c>
      <c r="AH2838">
        <v>0.52634886980075302</v>
      </c>
      <c r="AI2838">
        <v>100.907968317393</v>
      </c>
      <c r="AJ2838">
        <v>79.752508086341905</v>
      </c>
      <c r="AK2838">
        <v>0.54472286409826598</v>
      </c>
      <c r="AL2838">
        <v>77.661873760342999</v>
      </c>
      <c r="AM2838">
        <v>88.0513604415884</v>
      </c>
      <c r="AN2838">
        <v>1.0000000329976799</v>
      </c>
    </row>
    <row r="2839" spans="1:40" x14ac:dyDescent="0.25">
      <c r="A2839" t="str">
        <f>"20190312172716577"</f>
        <v>20190312172716577</v>
      </c>
      <c r="B2839" t="str">
        <f>"1552382836572388"</f>
        <v>1552382836572388</v>
      </c>
      <c r="C2839" t="s">
        <v>40</v>
      </c>
      <c r="D2839">
        <v>3.6815000000000002</v>
      </c>
      <c r="E2839">
        <v>0.5289606</v>
      </c>
      <c r="F2839" t="s">
        <v>44</v>
      </c>
      <c r="G2839">
        <v>-270.02300000000002</v>
      </c>
      <c r="H2839">
        <v>1.0254909999999999</v>
      </c>
      <c r="I2839">
        <v>213.54239999999999</v>
      </c>
      <c r="J2839">
        <v>-270.5763</v>
      </c>
      <c r="K2839">
        <v>1.1099239999999999</v>
      </c>
      <c r="L2839">
        <v>213.63319999999999</v>
      </c>
      <c r="M2839">
        <v>0.99989600000000001</v>
      </c>
      <c r="N2839">
        <v>0</v>
      </c>
      <c r="O2839">
        <v>-2.0859400000000001E-3</v>
      </c>
      <c r="P2839">
        <v>0.97903620000000002</v>
      </c>
      <c r="Q2839">
        <v>0.20044600000000001</v>
      </c>
      <c r="R2839">
        <v>-3.6192189999999999E-2</v>
      </c>
      <c r="S2839">
        <v>3.1110229999999999</v>
      </c>
      <c r="T2839">
        <v>-0.28702820000000001</v>
      </c>
      <c r="U2839">
        <v>-0.31088259999999901</v>
      </c>
      <c r="V2839">
        <v>3.4148390000000001E-2</v>
      </c>
      <c r="W2839">
        <v>0.2144025</v>
      </c>
      <c r="X2839">
        <v>0.97614829999999997</v>
      </c>
      <c r="Y2839">
        <v>9.6959160000000003E-2</v>
      </c>
      <c r="Z2839">
        <v>-4.2607269999999997E-3</v>
      </c>
      <c r="AA2839">
        <v>0.99527929999999998</v>
      </c>
      <c r="AB2839">
        <v>40</v>
      </c>
      <c r="AC2839">
        <v>0.55330000000003499</v>
      </c>
      <c r="AD2839">
        <v>-8.4432999999999897E-2</v>
      </c>
      <c r="AE2839">
        <v>-9.0800000000001505E-2</v>
      </c>
      <c r="AF2839">
        <v>8.7657826267609901E-2</v>
      </c>
      <c r="AG2839">
        <v>-8.4432999999999897E-2</v>
      </c>
      <c r="AH2839">
        <v>0.54121573929465405</v>
      </c>
      <c r="AI2839">
        <v>98.754737035187802</v>
      </c>
      <c r="AJ2839">
        <v>80.799999578822906</v>
      </c>
      <c r="AK2839">
        <v>0.55473173918140095</v>
      </c>
      <c r="AL2839">
        <v>77.619524639010606</v>
      </c>
      <c r="AM2839">
        <v>87.996450880312096</v>
      </c>
      <c r="AN2839">
        <v>1.0000000240693601</v>
      </c>
    </row>
    <row r="2840" spans="1:40" x14ac:dyDescent="0.25">
      <c r="A2840" t="str">
        <f>"20190312172716599"</f>
        <v>20190312172716599</v>
      </c>
      <c r="B2840" t="str">
        <f>"1552382836591908"</f>
        <v>1552382836591908</v>
      </c>
      <c r="C2840" t="s">
        <v>40</v>
      </c>
      <c r="D2840">
        <v>3.7090160000000001</v>
      </c>
      <c r="E2840">
        <v>0.52850369999999902</v>
      </c>
      <c r="F2840" t="s">
        <v>44</v>
      </c>
      <c r="G2840">
        <v>-269.65910000000002</v>
      </c>
      <c r="H2840">
        <v>1.030465</v>
      </c>
      <c r="I2840">
        <v>213.54220000000001</v>
      </c>
      <c r="J2840">
        <v>-270.17849999999999</v>
      </c>
      <c r="K2840">
        <v>1.109937</v>
      </c>
      <c r="L2840">
        <v>213.63239999999999</v>
      </c>
      <c r="M2840">
        <v>0.99989600000000001</v>
      </c>
      <c r="N2840">
        <v>0</v>
      </c>
      <c r="O2840">
        <v>-2.0704260000000002E-3</v>
      </c>
      <c r="P2840">
        <v>0.97902120000000004</v>
      </c>
      <c r="Q2840">
        <v>0.20040649999999999</v>
      </c>
      <c r="R2840">
        <v>-3.6810379999999997E-2</v>
      </c>
      <c r="S2840">
        <v>3.1080019999999999</v>
      </c>
      <c r="T2840">
        <v>-0.26928390000000002</v>
      </c>
      <c r="U2840">
        <v>-0.30812070000000003</v>
      </c>
      <c r="V2840">
        <v>3.4781869999999999E-2</v>
      </c>
      <c r="W2840">
        <v>0.2143601</v>
      </c>
      <c r="X2840">
        <v>0.97613530000000004</v>
      </c>
      <c r="Y2840">
        <v>9.6244179999999999E-2</v>
      </c>
      <c r="Z2840">
        <v>-3.9728569999999998E-3</v>
      </c>
      <c r="AA2840">
        <v>0.99534979999999995</v>
      </c>
      <c r="AB2840">
        <v>40</v>
      </c>
      <c r="AC2840">
        <v>0.519399999999961</v>
      </c>
      <c r="AD2840">
        <v>-7.9472000000000195E-2</v>
      </c>
      <c r="AE2840">
        <v>-9.01999999999816E-2</v>
      </c>
      <c r="AF2840">
        <v>8.7143897650673999E-2</v>
      </c>
      <c r="AG2840">
        <v>-7.9472000000000195E-2</v>
      </c>
      <c r="AH2840">
        <v>0.50804001091738904</v>
      </c>
      <c r="AI2840">
        <v>98.764675712625703</v>
      </c>
      <c r="AJ2840">
        <v>80.266798529014096</v>
      </c>
      <c r="AK2840">
        <v>0.52155010341739105</v>
      </c>
      <c r="AL2840">
        <v>77.622012477484404</v>
      </c>
      <c r="AM2840">
        <v>87.959287422735798</v>
      </c>
      <c r="AN2840">
        <v>1.00000007742939</v>
      </c>
    </row>
    <row r="2841" spans="1:40" x14ac:dyDescent="0.25">
      <c r="A2841" t="str">
        <f>"20190312172716621"</f>
        <v>20190312172716621</v>
      </c>
      <c r="B2841" t="str">
        <f>"1552382836611933"</f>
        <v>1552382836611933</v>
      </c>
      <c r="C2841" t="s">
        <v>40</v>
      </c>
      <c r="D2841">
        <v>3.6988370000000002</v>
      </c>
      <c r="E2841">
        <v>0.52823799999999999</v>
      </c>
      <c r="F2841" t="s">
        <v>44</v>
      </c>
      <c r="G2841">
        <v>-269.29500000000002</v>
      </c>
      <c r="H2841">
        <v>1.0365180000000001</v>
      </c>
      <c r="I2841">
        <v>213.54509999999999</v>
      </c>
      <c r="J2841">
        <v>-269.77659999999997</v>
      </c>
      <c r="K2841">
        <v>1.1099490000000001</v>
      </c>
      <c r="L2841">
        <v>213.63159999999999</v>
      </c>
      <c r="M2841">
        <v>0.99989620000000001</v>
      </c>
      <c r="N2841">
        <v>0</v>
      </c>
      <c r="O2841">
        <v>-2.0546729999999999E-3</v>
      </c>
      <c r="P2841">
        <v>0.97868460000000002</v>
      </c>
      <c r="Q2841">
        <v>0.2019328</v>
      </c>
      <c r="R2841">
        <v>-3.7414269999999999E-2</v>
      </c>
      <c r="S2841">
        <v>3.1055600000000001</v>
      </c>
      <c r="T2841">
        <v>-0.25807259999999999</v>
      </c>
      <c r="U2841">
        <v>-0.30688480000000001</v>
      </c>
      <c r="V2841">
        <v>3.5401879999999997E-2</v>
      </c>
      <c r="W2841">
        <v>0.21587909999999999</v>
      </c>
      <c r="X2841">
        <v>0.97577809999999998</v>
      </c>
      <c r="Y2841">
        <v>9.5973180000000005E-2</v>
      </c>
      <c r="Z2841">
        <v>-3.8011609999999999E-3</v>
      </c>
      <c r="AA2841">
        <v>0.99537659999999994</v>
      </c>
      <c r="AB2841">
        <v>40</v>
      </c>
      <c r="AC2841">
        <v>0.48159999999995701</v>
      </c>
      <c r="AD2841">
        <v>-7.3430999999999996E-2</v>
      </c>
      <c r="AE2841">
        <v>-8.6500000000000896E-2</v>
      </c>
      <c r="AF2841">
        <v>8.3626786942623793E-2</v>
      </c>
      <c r="AG2841">
        <v>-7.3430999999999996E-2</v>
      </c>
      <c r="AH2841">
        <v>0.47116538712871497</v>
      </c>
      <c r="AI2841">
        <v>98.724067778562898</v>
      </c>
      <c r="AJ2841">
        <v>79.935428265488895</v>
      </c>
      <c r="AK2841">
        <v>0.484130533310489</v>
      </c>
      <c r="AL2841">
        <v>77.532892599570602</v>
      </c>
      <c r="AM2841">
        <v>87.922182269515702</v>
      </c>
      <c r="AN2841">
        <v>0.99999998968197701</v>
      </c>
    </row>
    <row r="2842" spans="1:40" x14ac:dyDescent="0.25">
      <c r="A2842" t="str">
        <f>"20190312172716644"</f>
        <v>20190312172716644</v>
      </c>
      <c r="B2842" t="str">
        <f>"1552382836631454"</f>
        <v>1552382836631454</v>
      </c>
      <c r="C2842" t="s">
        <v>40</v>
      </c>
      <c r="D2842">
        <v>3.7447550000000001</v>
      </c>
      <c r="E2842">
        <v>0.52801849999999995</v>
      </c>
      <c r="F2842" t="s">
        <v>44</v>
      </c>
      <c r="G2842">
        <v>-268.93049999999999</v>
      </c>
      <c r="H2842">
        <v>1.0433030000000001</v>
      </c>
      <c r="I2842">
        <v>213.54769999999999</v>
      </c>
      <c r="J2842">
        <v>-269.37049999999999</v>
      </c>
      <c r="K2842">
        <v>1.1099429999999999</v>
      </c>
      <c r="L2842">
        <v>213.63079999999999</v>
      </c>
      <c r="M2842">
        <v>0.99989629999999996</v>
      </c>
      <c r="N2842">
        <v>0</v>
      </c>
      <c r="O2842">
        <v>-2.038677E-3</v>
      </c>
      <c r="P2842">
        <v>0.97854240000000003</v>
      </c>
      <c r="Q2842">
        <v>0.20244699999999999</v>
      </c>
      <c r="R2842">
        <v>-3.8349380000000002E-2</v>
      </c>
      <c r="S2842">
        <v>3.1041259999999999</v>
      </c>
      <c r="T2842">
        <v>-0.2446952</v>
      </c>
      <c r="U2842">
        <v>-0.3065948</v>
      </c>
      <c r="V2842">
        <v>3.63529E-2</v>
      </c>
      <c r="W2842">
        <v>0.216388</v>
      </c>
      <c r="X2842">
        <v>0.97563040000000001</v>
      </c>
      <c r="Y2842">
        <v>9.5974050000000005E-2</v>
      </c>
      <c r="Z2842">
        <v>-3.6077050000000001E-3</v>
      </c>
      <c r="AA2842">
        <v>0.99537730000000002</v>
      </c>
      <c r="AB2842">
        <v>40</v>
      </c>
      <c r="AC2842">
        <v>0.439999999999997</v>
      </c>
      <c r="AD2842">
        <v>-6.6640000000000005E-2</v>
      </c>
      <c r="AE2842">
        <v>-8.31000000000017E-2</v>
      </c>
      <c r="AF2842">
        <v>8.0421506072438198E-2</v>
      </c>
      <c r="AG2842">
        <v>-6.6640000000000005E-2</v>
      </c>
      <c r="AH2842">
        <v>0.43063071153191601</v>
      </c>
      <c r="AI2842">
        <v>98.649510611705196</v>
      </c>
      <c r="AJ2842">
        <v>79.421705829739295</v>
      </c>
      <c r="AK2842">
        <v>0.44311546796906498</v>
      </c>
      <c r="AL2842">
        <v>77.503028899705598</v>
      </c>
      <c r="AM2842">
        <v>87.866092928343804</v>
      </c>
      <c r="AN2842">
        <v>0.99999998864328499</v>
      </c>
    </row>
    <row r="2843" spans="1:40" x14ac:dyDescent="0.25">
      <c r="A2843" t="str">
        <f>"20190312172716666"</f>
        <v>20190312172716666</v>
      </c>
      <c r="B2843" t="str">
        <f>"1552382836661710"</f>
        <v>1552382836661710</v>
      </c>
      <c r="C2843" t="s">
        <v>40</v>
      </c>
      <c r="D2843">
        <v>3.6958479999999998</v>
      </c>
      <c r="E2843">
        <v>0.52778349999999996</v>
      </c>
      <c r="F2843" t="s">
        <v>44</v>
      </c>
      <c r="G2843">
        <v>-268.56529999999998</v>
      </c>
      <c r="H2843">
        <v>1.048611</v>
      </c>
      <c r="I2843">
        <v>213.55109999999999</v>
      </c>
      <c r="J2843">
        <v>-268.976</v>
      </c>
      <c r="K2843">
        <v>1.1099270000000001</v>
      </c>
      <c r="L2843">
        <v>213.63</v>
      </c>
      <c r="M2843">
        <v>0.99989629999999996</v>
      </c>
      <c r="N2843">
        <v>0</v>
      </c>
      <c r="O2843">
        <v>-2.019921E-3</v>
      </c>
      <c r="P2843">
        <v>0.97868180000000005</v>
      </c>
      <c r="Q2843">
        <v>0.20165169999999999</v>
      </c>
      <c r="R2843">
        <v>-3.8970209999999998E-2</v>
      </c>
      <c r="S2843">
        <v>3.1026310000000001</v>
      </c>
      <c r="T2843">
        <v>-0.23629629999999999</v>
      </c>
      <c r="U2843">
        <v>-0.3072357</v>
      </c>
      <c r="V2843">
        <v>3.6991139999999999E-2</v>
      </c>
      <c r="W2843">
        <v>0.21559229999999999</v>
      </c>
      <c r="X2843">
        <v>0.97578260000000006</v>
      </c>
      <c r="Y2843">
        <v>9.6261550000000001E-2</v>
      </c>
      <c r="Z2843">
        <v>-3.498195E-3</v>
      </c>
      <c r="AA2843">
        <v>0.99534990000000001</v>
      </c>
      <c r="AB2843">
        <v>40</v>
      </c>
      <c r="AC2843">
        <v>0.41070000000001899</v>
      </c>
      <c r="AD2843">
        <v>-6.13160000000001E-2</v>
      </c>
      <c r="AE2843">
        <v>-7.8900000000004397E-2</v>
      </c>
      <c r="AF2843">
        <v>7.64272886583693E-2</v>
      </c>
      <c r="AG2843">
        <v>-6.13160000000001E-2</v>
      </c>
      <c r="AH2843">
        <v>0.40221257036342101</v>
      </c>
      <c r="AI2843">
        <v>98.517705964379203</v>
      </c>
      <c r="AJ2843">
        <v>79.241084206470404</v>
      </c>
      <c r="AK2843">
        <v>0.41397552351077399</v>
      </c>
      <c r="AL2843">
        <v>77.549721867964394</v>
      </c>
      <c r="AM2843">
        <v>87.829002290107198</v>
      </c>
      <c r="AN2843">
        <v>1.0000000333602701</v>
      </c>
    </row>
    <row r="2844" spans="1:40" x14ac:dyDescent="0.25">
      <c r="A2844" t="str">
        <f>"20190312172716689"</f>
        <v>20190312172716689</v>
      </c>
      <c r="B2844" t="str">
        <f>"1552382836682205"</f>
        <v>1552382836682205</v>
      </c>
      <c r="C2844" t="s">
        <v>40</v>
      </c>
      <c r="D2844">
        <v>3.6839680000000001</v>
      </c>
      <c r="E2844">
        <v>0.52776979999999996</v>
      </c>
      <c r="F2844" t="s">
        <v>44</v>
      </c>
      <c r="G2844">
        <v>-268.20179999999999</v>
      </c>
      <c r="H2844">
        <v>1.052268</v>
      </c>
      <c r="I2844">
        <v>213.553</v>
      </c>
      <c r="J2844">
        <v>-268.56389999999999</v>
      </c>
      <c r="K2844">
        <v>1.1099159999999999</v>
      </c>
      <c r="L2844">
        <v>213.6292</v>
      </c>
      <c r="M2844">
        <v>0.99989629999999996</v>
      </c>
      <c r="N2844">
        <v>0</v>
      </c>
      <c r="O2844">
        <v>-1.9902380000000001E-3</v>
      </c>
      <c r="P2844">
        <v>0.97920229999999997</v>
      </c>
      <c r="Q2844">
        <v>0.19917470000000001</v>
      </c>
      <c r="R2844">
        <v>-3.8632489999999998E-2</v>
      </c>
      <c r="S2844">
        <v>3.100708</v>
      </c>
      <c r="T2844">
        <v>-0.23102339999999999</v>
      </c>
      <c r="U2844">
        <v>-0.30764770000000002</v>
      </c>
      <c r="V2844">
        <v>3.6678379999999997E-2</v>
      </c>
      <c r="W2844">
        <v>0.21312149999999999</v>
      </c>
      <c r="X2844">
        <v>0.97633700000000001</v>
      </c>
      <c r="Y2844">
        <v>9.6493449999999995E-2</v>
      </c>
      <c r="Z2844">
        <v>-3.433242E-3</v>
      </c>
      <c r="AA2844">
        <v>0.99532770000000004</v>
      </c>
      <c r="AB2844">
        <v>40</v>
      </c>
      <c r="AC2844">
        <v>0.36209999999999798</v>
      </c>
      <c r="AD2844">
        <v>-5.7647999999999901E-2</v>
      </c>
      <c r="AE2844">
        <v>-7.6200000000000004E-2</v>
      </c>
      <c r="AF2844">
        <v>7.3690547155840405E-2</v>
      </c>
      <c r="AG2844">
        <v>-5.7647999999999901E-2</v>
      </c>
      <c r="AH2844">
        <v>0.35366700573995902</v>
      </c>
      <c r="AI2844">
        <v>99.066458946947193</v>
      </c>
      <c r="AJ2844">
        <v>78.230170689774695</v>
      </c>
      <c r="AK2844">
        <v>0.36583321280768899</v>
      </c>
      <c r="AL2844">
        <v>77.694656959510297</v>
      </c>
      <c r="AM2844">
        <v>87.848561938117399</v>
      </c>
      <c r="AN2844">
        <v>1.0000000074453299</v>
      </c>
    </row>
    <row r="2845" spans="1:40" x14ac:dyDescent="0.25">
      <c r="A2845" t="str">
        <f>"20190312172716711"</f>
        <v>20190312172716711</v>
      </c>
      <c r="B2845" t="str">
        <f>"1552382836701726"</f>
        <v>1552382836701726</v>
      </c>
      <c r="C2845" t="s">
        <v>40</v>
      </c>
      <c r="D2845">
        <v>3.6914530000000001</v>
      </c>
      <c r="E2845">
        <v>0.52777229999999997</v>
      </c>
      <c r="F2845" t="s">
        <v>44</v>
      </c>
      <c r="G2845">
        <v>-267.49689999999998</v>
      </c>
      <c r="H2845">
        <v>1.0291619999999999</v>
      </c>
      <c r="I2845">
        <v>213.5232</v>
      </c>
      <c r="J2845">
        <v>-268.1705</v>
      </c>
      <c r="K2845">
        <v>1.109923</v>
      </c>
      <c r="L2845">
        <v>213.6284</v>
      </c>
      <c r="M2845">
        <v>0.99989649999999997</v>
      </c>
      <c r="N2845">
        <v>0</v>
      </c>
      <c r="O2845">
        <v>-1.9425759999999999E-3</v>
      </c>
      <c r="P2845">
        <v>0.97948820000000003</v>
      </c>
      <c r="Q2845">
        <v>0.19783010000000001</v>
      </c>
      <c r="R2845">
        <v>-3.8293870000000001E-2</v>
      </c>
      <c r="S2845">
        <v>3.0992739999999999</v>
      </c>
      <c r="T2845">
        <v>-0.2346135</v>
      </c>
      <c r="U2845">
        <v>-0.30746459999999998</v>
      </c>
      <c r="V2845">
        <v>3.6379790000000002E-2</v>
      </c>
      <c r="W2845">
        <v>0.21177950000000001</v>
      </c>
      <c r="X2845">
        <v>0.97664010000000001</v>
      </c>
      <c r="Y2845">
        <v>9.6519369999999993E-2</v>
      </c>
      <c r="Z2845">
        <v>-3.4926279999999998E-3</v>
      </c>
      <c r="AA2845">
        <v>0.99532500000000002</v>
      </c>
      <c r="AB2845">
        <v>40</v>
      </c>
      <c r="AC2845">
        <v>0.67360000000002096</v>
      </c>
      <c r="AD2845">
        <v>-8.0760999999999805E-2</v>
      </c>
      <c r="AE2845">
        <v>-0.10519999999999601</v>
      </c>
      <c r="AF2845">
        <v>0.102453475968527</v>
      </c>
      <c r="AG2845">
        <v>-8.0760999999999805E-2</v>
      </c>
      <c r="AH2845">
        <v>0.66447884209605301</v>
      </c>
      <c r="AI2845">
        <v>96.849602591081506</v>
      </c>
      <c r="AJ2845">
        <v>81.234805278946794</v>
      </c>
      <c r="AK2845">
        <v>0.67716407572489001</v>
      </c>
      <c r="AL2845">
        <v>77.773343664505603</v>
      </c>
      <c r="AM2845">
        <v>87.866721682907993</v>
      </c>
      <c r="AN2845">
        <v>0.99999996533435098</v>
      </c>
    </row>
    <row r="2846" spans="1:40" x14ac:dyDescent="0.25">
      <c r="A2846" t="str">
        <f>"20190312172716734"</f>
        <v>20190312172716734</v>
      </c>
      <c r="B2846" t="str">
        <f>"1552382836721753"</f>
        <v>1552382836721753</v>
      </c>
      <c r="C2846" t="s">
        <v>40</v>
      </c>
      <c r="D2846">
        <v>3.6791879999999999</v>
      </c>
      <c r="E2846">
        <v>0.52772240000000004</v>
      </c>
      <c r="F2846" t="s">
        <v>44</v>
      </c>
      <c r="G2846">
        <v>-267.13630000000001</v>
      </c>
      <c r="H2846">
        <v>1.031461</v>
      </c>
      <c r="I2846">
        <v>213.5257</v>
      </c>
      <c r="J2846">
        <v>-267.75</v>
      </c>
      <c r="K2846">
        <v>1.109945</v>
      </c>
      <c r="L2846">
        <v>213.6277</v>
      </c>
      <c r="M2846">
        <v>0.99989660000000002</v>
      </c>
      <c r="N2846">
        <v>0</v>
      </c>
      <c r="O2846">
        <v>-1.870982E-3</v>
      </c>
      <c r="P2846">
        <v>0.97954629999999998</v>
      </c>
      <c r="Q2846">
        <v>0.19753309999999999</v>
      </c>
      <c r="R2846">
        <v>-3.8334890000000003E-2</v>
      </c>
      <c r="S2846">
        <v>3.0982970000000001</v>
      </c>
      <c r="T2846">
        <v>-0.2351627</v>
      </c>
      <c r="U2846">
        <v>-0.30741879999999999</v>
      </c>
      <c r="V2846">
        <v>3.6482550000000002E-2</v>
      </c>
      <c r="W2846">
        <v>0.21148220000000001</v>
      </c>
      <c r="X2846">
        <v>0.97670069999999998</v>
      </c>
      <c r="Y2846">
        <v>9.6605010000000005E-2</v>
      </c>
      <c r="Z2846">
        <v>-3.5105280000000002E-3</v>
      </c>
      <c r="AA2846">
        <v>0.9953166</v>
      </c>
      <c r="AB2846">
        <v>40</v>
      </c>
      <c r="AC2846">
        <v>0.61369999999999403</v>
      </c>
      <c r="AD2846">
        <v>-7.8484000000000206E-2</v>
      </c>
      <c r="AE2846">
        <v>-0.102000000000003</v>
      </c>
      <c r="AF2846">
        <v>9.9271543375380397E-2</v>
      </c>
      <c r="AG2846">
        <v>-7.8484000000000206E-2</v>
      </c>
      <c r="AH2846">
        <v>0.604272585725942</v>
      </c>
      <c r="AI2846">
        <v>97.303429971980094</v>
      </c>
      <c r="AJ2846">
        <v>80.670627466719907</v>
      </c>
      <c r="AK2846">
        <v>0.61738151530479601</v>
      </c>
      <c r="AL2846">
        <v>77.790772617843402</v>
      </c>
      <c r="AM2846">
        <v>87.860834130231297</v>
      </c>
      <c r="AN2846">
        <v>0.99999997737591595</v>
      </c>
    </row>
    <row r="2847" spans="1:40" x14ac:dyDescent="0.25">
      <c r="A2847" t="str">
        <f>"20190312172716760"</f>
        <v>20190312172716760</v>
      </c>
      <c r="B2847" t="str">
        <f>"1552382836752009"</f>
        <v>1552382836752009</v>
      </c>
      <c r="C2847" t="s">
        <v>40</v>
      </c>
      <c r="D2847">
        <v>3.6416249999999999</v>
      </c>
      <c r="E2847">
        <v>0.52773950000000003</v>
      </c>
      <c r="F2847" t="s">
        <v>44</v>
      </c>
      <c r="G2847">
        <v>-266.7747</v>
      </c>
      <c r="H2847">
        <v>1.036599</v>
      </c>
      <c r="I2847">
        <v>213.5309</v>
      </c>
      <c r="J2847">
        <v>-267.27080000000001</v>
      </c>
      <c r="K2847">
        <v>1.1099840000000001</v>
      </c>
      <c r="L2847">
        <v>213.62690000000001</v>
      </c>
      <c r="M2847">
        <v>0.99989700000000004</v>
      </c>
      <c r="N2847">
        <v>0</v>
      </c>
      <c r="O2847">
        <v>-1.753824E-3</v>
      </c>
      <c r="P2847">
        <v>0.97936860000000003</v>
      </c>
      <c r="Q2847">
        <v>0.19838800000000001</v>
      </c>
      <c r="R2847">
        <v>-3.8467929999999997E-2</v>
      </c>
      <c r="S2847">
        <v>3.0976870000000001</v>
      </c>
      <c r="T2847">
        <v>-0.23311009999999999</v>
      </c>
      <c r="U2847">
        <v>-0.306610099999999</v>
      </c>
      <c r="V2847">
        <v>3.6717239999999998E-2</v>
      </c>
      <c r="W2847">
        <v>0.21233399999999999</v>
      </c>
      <c r="X2847">
        <v>0.97650709999999996</v>
      </c>
      <c r="Y2847">
        <v>9.6488149999999995E-2</v>
      </c>
      <c r="Z2847">
        <v>-3.4850990000000002E-3</v>
      </c>
      <c r="AA2847">
        <v>0.99532799999999999</v>
      </c>
      <c r="AB2847">
        <v>40</v>
      </c>
      <c r="AC2847">
        <v>0.49610000000001198</v>
      </c>
      <c r="AD2847">
        <v>-7.3385000000000006E-2</v>
      </c>
      <c r="AE2847">
        <v>-9.6000000000003596E-2</v>
      </c>
      <c r="AF2847">
        <v>9.3164694205927295E-2</v>
      </c>
      <c r="AG2847">
        <v>-7.3385000000000006E-2</v>
      </c>
      <c r="AH2847">
        <v>0.48601672318279399</v>
      </c>
      <c r="AI2847">
        <v>98.435078969835203</v>
      </c>
      <c r="AJ2847">
        <v>79.148588956131405</v>
      </c>
      <c r="AK2847">
        <v>0.500277196846733</v>
      </c>
      <c r="AL2847">
        <v>77.740834221808498</v>
      </c>
      <c r="AM2847">
        <v>87.846659485899707</v>
      </c>
      <c r="AN2847">
        <v>0.99999999980981302</v>
      </c>
    </row>
    <row r="2848" spans="1:40" x14ac:dyDescent="0.25">
      <c r="A2848" t="str">
        <f>"20190312172716782"</f>
        <v>20190312172716782</v>
      </c>
      <c r="B2848" t="str">
        <f>"1552382836771530"</f>
        <v>1552382836771530</v>
      </c>
      <c r="C2848" t="s">
        <v>40</v>
      </c>
      <c r="D2848">
        <v>3.648695</v>
      </c>
      <c r="E2848">
        <v>0.52775109999999903</v>
      </c>
      <c r="F2848" t="s">
        <v>44</v>
      </c>
      <c r="G2848">
        <v>-266.40890000000002</v>
      </c>
      <c r="H2848">
        <v>1.0469409999999999</v>
      </c>
      <c r="I2848">
        <v>213.54140000000001</v>
      </c>
      <c r="J2848">
        <v>-266.88819999999998</v>
      </c>
      <c r="K2848">
        <v>1.1100179999999999</v>
      </c>
      <c r="L2848">
        <v>213.62629999999999</v>
      </c>
      <c r="M2848">
        <v>0.99989709999999998</v>
      </c>
      <c r="N2848">
        <v>0</v>
      </c>
      <c r="O2848">
        <v>-1.620785E-3</v>
      </c>
      <c r="P2848">
        <v>0.97904349999999996</v>
      </c>
      <c r="Q2848">
        <v>0.20002739999999999</v>
      </c>
      <c r="R2848">
        <v>-3.824487E-2</v>
      </c>
      <c r="S2848">
        <v>3.0970149999999999</v>
      </c>
      <c r="T2848">
        <v>-0.22651060000000001</v>
      </c>
      <c r="U2848">
        <v>-0.30699159999999998</v>
      </c>
      <c r="V2848">
        <v>3.6610549999999999E-2</v>
      </c>
      <c r="W2848">
        <v>0.2139684</v>
      </c>
      <c r="X2848">
        <v>0.97615430000000003</v>
      </c>
      <c r="Y2848">
        <v>9.6776689999999999E-2</v>
      </c>
      <c r="Z2848">
        <v>-3.4076140000000002E-3</v>
      </c>
      <c r="AA2848">
        <v>0.99530030000000003</v>
      </c>
      <c r="AB2848">
        <v>40</v>
      </c>
      <c r="AC2848">
        <v>0.47929999999996598</v>
      </c>
      <c r="AD2848">
        <v>-6.3076999999999994E-2</v>
      </c>
      <c r="AE2848">
        <v>-8.4899999999976203E-2</v>
      </c>
      <c r="AF2848">
        <v>8.2733678833550303E-2</v>
      </c>
      <c r="AG2848">
        <v>-6.3076999999999994E-2</v>
      </c>
      <c r="AH2848">
        <v>0.471519100471677</v>
      </c>
      <c r="AI2848">
        <v>97.506117738543594</v>
      </c>
      <c r="AJ2848">
        <v>80.048073091450107</v>
      </c>
      <c r="AK2848">
        <v>0.48286005389962899</v>
      </c>
      <c r="AL2848">
        <v>77.644987517323202</v>
      </c>
      <c r="AM2848">
        <v>87.852135354129899</v>
      </c>
      <c r="AN2848">
        <v>1.00000001298917</v>
      </c>
    </row>
    <row r="2849" spans="1:40" x14ac:dyDescent="0.25">
      <c r="A2849" t="str">
        <f>"20190312172716801"</f>
        <v>20190312172716801</v>
      </c>
      <c r="B2849" t="str">
        <f>"1552382836792025"</f>
        <v>1552382836792025</v>
      </c>
      <c r="C2849" t="s">
        <v>40</v>
      </c>
      <c r="D2849">
        <v>3.6207250000000002</v>
      </c>
      <c r="E2849">
        <v>0.52779960000000004</v>
      </c>
      <c r="F2849" t="s">
        <v>44</v>
      </c>
      <c r="G2849">
        <v>-266.04700000000003</v>
      </c>
      <c r="H2849">
        <v>1.050691</v>
      </c>
      <c r="I2849">
        <v>213.54259999999999</v>
      </c>
      <c r="J2849">
        <v>-266.53879999999998</v>
      </c>
      <c r="K2849">
        <v>1.1100570000000001</v>
      </c>
      <c r="L2849">
        <v>213.6259</v>
      </c>
      <c r="M2849">
        <v>0.99989749999999999</v>
      </c>
      <c r="N2849">
        <v>0</v>
      </c>
      <c r="O2849">
        <v>-1.4589430000000001E-3</v>
      </c>
      <c r="P2849">
        <v>0.97872840000000005</v>
      </c>
      <c r="Q2849">
        <v>0.20158870000000001</v>
      </c>
      <c r="R2849">
        <v>-3.8114339999999997E-2</v>
      </c>
      <c r="S2849">
        <v>3.096832</v>
      </c>
      <c r="T2849">
        <v>-0.21847430000000001</v>
      </c>
      <c r="U2849">
        <v>-0.30760189999999998</v>
      </c>
      <c r="V2849">
        <v>3.6621939999999999E-2</v>
      </c>
      <c r="W2849">
        <v>0.21552569999999999</v>
      </c>
      <c r="X2849">
        <v>0.97581119999999999</v>
      </c>
      <c r="Y2849">
        <v>9.7153980000000001E-2</v>
      </c>
      <c r="Z2849">
        <v>-3.3118150000000001E-3</v>
      </c>
      <c r="AA2849">
        <v>0.99526389999999998</v>
      </c>
      <c r="AB2849">
        <v>40</v>
      </c>
      <c r="AC2849">
        <v>0.491799999999955</v>
      </c>
      <c r="AD2849">
        <v>-5.9366000000000002E-2</v>
      </c>
      <c r="AE2849">
        <v>-8.3300000000008298E-2</v>
      </c>
      <c r="AF2849">
        <v>8.1428895590588801E-2</v>
      </c>
      <c r="AG2849">
        <v>-5.9366000000000002E-2</v>
      </c>
      <c r="AH2849">
        <v>0.48505031397377302</v>
      </c>
      <c r="AI2849">
        <v>96.882442327906404</v>
      </c>
      <c r="AJ2849">
        <v>80.470206362927101</v>
      </c>
      <c r="AK2849">
        <v>0.49540770490491898</v>
      </c>
      <c r="AL2849">
        <v>77.553629162040806</v>
      </c>
      <c r="AM2849">
        <v>87.850713026617299</v>
      </c>
      <c r="AN2849">
        <v>0.99999999594764599</v>
      </c>
    </row>
    <row r="2850" spans="1:40" x14ac:dyDescent="0.25">
      <c r="A2850" t="str">
        <f>"20190312172716822"</f>
        <v>20190312172716822</v>
      </c>
      <c r="B2850" t="str">
        <f>"1552382836812051"</f>
        <v>1552382836812051</v>
      </c>
      <c r="C2850" t="s">
        <v>40</v>
      </c>
      <c r="D2850">
        <v>3.602287</v>
      </c>
      <c r="E2850">
        <v>0.52782189999999995</v>
      </c>
      <c r="F2850" t="s">
        <v>44</v>
      </c>
      <c r="G2850">
        <v>-265.68529999999998</v>
      </c>
      <c r="H2850">
        <v>1.051968</v>
      </c>
      <c r="I2850">
        <v>213.5411</v>
      </c>
      <c r="J2850">
        <v>-266.15929999999997</v>
      </c>
      <c r="K2850">
        <v>1.1101030000000001</v>
      </c>
      <c r="L2850">
        <v>213.62549999999999</v>
      </c>
      <c r="M2850">
        <v>0.9998977</v>
      </c>
      <c r="N2850">
        <v>0</v>
      </c>
      <c r="O2850">
        <v>-1.2365029999999999E-3</v>
      </c>
      <c r="P2850">
        <v>0.97853950000000001</v>
      </c>
      <c r="Q2850">
        <v>0.20250399999999999</v>
      </c>
      <c r="R2850">
        <v>-3.8113620000000001E-2</v>
      </c>
      <c r="S2850">
        <v>3.0966800000000001</v>
      </c>
      <c r="T2850">
        <v>-0.21088190000000001</v>
      </c>
      <c r="U2850">
        <v>-0.30737300000000001</v>
      </c>
      <c r="V2850">
        <v>3.6816729999999999E-2</v>
      </c>
      <c r="W2850">
        <v>0.2164401</v>
      </c>
      <c r="X2850">
        <v>0.97560139999999995</v>
      </c>
      <c r="Y2850">
        <v>9.7322510000000001E-2</v>
      </c>
      <c r="Z2850">
        <v>-3.2179740000000002E-3</v>
      </c>
      <c r="AA2850">
        <v>0.99524769999999896</v>
      </c>
      <c r="AB2850">
        <v>40</v>
      </c>
      <c r="AC2850">
        <v>0.47399999999998899</v>
      </c>
      <c r="AD2850">
        <v>-5.8134999999999999E-2</v>
      </c>
      <c r="AE2850">
        <v>-8.4399999999987999E-2</v>
      </c>
      <c r="AF2850">
        <v>8.2609314203616405E-2</v>
      </c>
      <c r="AG2850">
        <v>-5.8134999999999999E-2</v>
      </c>
      <c r="AH2850">
        <v>0.467290821041211</v>
      </c>
      <c r="AI2850">
        <v>96.984444591502395</v>
      </c>
      <c r="AJ2850">
        <v>79.974633199200895</v>
      </c>
      <c r="AK2850">
        <v>0.47808439469152397</v>
      </c>
      <c r="AL2850">
        <v>77.499970713533401</v>
      </c>
      <c r="AM2850">
        <v>87.838827686439103</v>
      </c>
      <c r="AN2850">
        <v>0.99999994008892901</v>
      </c>
    </row>
    <row r="2851" spans="1:40" x14ac:dyDescent="0.25">
      <c r="A2851" t="str">
        <f>"20190312172716845"</f>
        <v>20190312172716845</v>
      </c>
      <c r="B2851" t="str">
        <f>"1552382836842307"</f>
        <v>1552382836842307</v>
      </c>
      <c r="C2851" t="s">
        <v>40</v>
      </c>
      <c r="D2851">
        <v>3.5769850000000001</v>
      </c>
      <c r="E2851">
        <v>0.52786409999999995</v>
      </c>
      <c r="F2851" t="s">
        <v>48</v>
      </c>
      <c r="G2851">
        <v>-249.4803</v>
      </c>
      <c r="H2851" s="1">
        <v>3.6234910000000001E-6</v>
      </c>
      <c r="I2851">
        <v>211.97730000000001</v>
      </c>
      <c r="J2851">
        <v>-265.77089999999998</v>
      </c>
      <c r="K2851">
        <v>1.110152</v>
      </c>
      <c r="L2851">
        <v>213.62530000000001</v>
      </c>
      <c r="M2851">
        <v>0.99989810000000001</v>
      </c>
      <c r="N2851">
        <v>0</v>
      </c>
      <c r="O2851">
        <v>-9.5758859999999998E-4</v>
      </c>
      <c r="P2851">
        <v>0.97861220000000004</v>
      </c>
      <c r="Q2851">
        <v>0.2022929</v>
      </c>
      <c r="R2851">
        <v>-3.736254E-2</v>
      </c>
      <c r="S2851">
        <v>3.096527</v>
      </c>
      <c r="T2851">
        <v>-0.2060941</v>
      </c>
      <c r="U2851">
        <v>-0.30599979999999999</v>
      </c>
      <c r="V2851">
        <v>3.6313560000000002E-2</v>
      </c>
      <c r="W2851">
        <v>0.2162316</v>
      </c>
      <c r="X2851">
        <v>0.97566660000000005</v>
      </c>
      <c r="Y2851">
        <v>9.7177410000000006E-2</v>
      </c>
      <c r="Z2851">
        <v>-3.1589859999999999E-3</v>
      </c>
      <c r="AA2851">
        <v>0.99526210000000004</v>
      </c>
      <c r="AB2851">
        <v>40</v>
      </c>
      <c r="AC2851">
        <v>16.290599999999898</v>
      </c>
      <c r="AD2851">
        <v>-1.1101483765089999</v>
      </c>
      <c r="AE2851">
        <v>-1.6479999999999899</v>
      </c>
      <c r="AF2851">
        <v>1.6249283201289</v>
      </c>
      <c r="AG2851">
        <v>-1.1101483765089999</v>
      </c>
      <c r="AH2851">
        <v>16.2176198624006</v>
      </c>
      <c r="AI2851">
        <v>93.896522579229796</v>
      </c>
      <c r="AJ2851">
        <v>84.278331385213704</v>
      </c>
      <c r="AK2851">
        <v>16.336585183714298</v>
      </c>
      <c r="AL2851">
        <v>77.512207998907996</v>
      </c>
      <c r="AM2851">
        <v>87.868479061593206</v>
      </c>
      <c r="AN2851">
        <v>1.0000000469169901</v>
      </c>
    </row>
    <row r="2852" spans="1:40" x14ac:dyDescent="0.25">
      <c r="A2852" t="str">
        <f>"20190312172716866"</f>
        <v>20190312172716866</v>
      </c>
      <c r="B2852" t="str">
        <f>"1552382836861827"</f>
        <v>1552382836861827</v>
      </c>
      <c r="C2852" t="s">
        <v>40</v>
      </c>
      <c r="D2852">
        <v>3.5629010000000001</v>
      </c>
      <c r="E2852">
        <v>0.52791080000000001</v>
      </c>
      <c r="F2852" t="s">
        <v>48</v>
      </c>
      <c r="G2852">
        <v>-248.8946</v>
      </c>
      <c r="H2852" s="1">
        <v>3.3122549999999999E-6</v>
      </c>
      <c r="I2852">
        <v>211.96799999999999</v>
      </c>
      <c r="J2852">
        <v>-265.37200000000001</v>
      </c>
      <c r="K2852">
        <v>1.110201</v>
      </c>
      <c r="L2852">
        <v>213.62520000000001</v>
      </c>
      <c r="M2852">
        <v>0.99989839999999997</v>
      </c>
      <c r="N2852">
        <v>0</v>
      </c>
      <c r="O2852">
        <v>-6.1987489999999995E-4</v>
      </c>
      <c r="P2852">
        <v>0.97875599999999996</v>
      </c>
      <c r="Q2852">
        <v>0.20166339999999999</v>
      </c>
      <c r="R2852">
        <v>-3.6996759999999997E-2</v>
      </c>
      <c r="S2852">
        <v>3.096069</v>
      </c>
      <c r="T2852">
        <v>-0.20366429999999999</v>
      </c>
      <c r="U2852">
        <v>-0.30403140000000001</v>
      </c>
      <c r="V2852">
        <v>3.6252340000000001E-2</v>
      </c>
      <c r="W2852">
        <v>0.21560670000000001</v>
      </c>
      <c r="X2852">
        <v>0.97580710000000004</v>
      </c>
      <c r="Y2852">
        <v>9.6905980000000003E-2</v>
      </c>
      <c r="Z2852">
        <v>-3.13562E-3</v>
      </c>
      <c r="AA2852">
        <v>0.99528859999999997</v>
      </c>
      <c r="AB2852">
        <v>40</v>
      </c>
      <c r="AC2852">
        <v>16.477399999999999</v>
      </c>
      <c r="AD2852">
        <v>-1.1101976877449999</v>
      </c>
      <c r="AE2852">
        <v>-1.65720000000001</v>
      </c>
      <c r="AF2852">
        <v>1.6396159571990201</v>
      </c>
      <c r="AG2852">
        <v>-1.1101976877449999</v>
      </c>
      <c r="AH2852">
        <v>16.4046982022716</v>
      </c>
      <c r="AI2852">
        <v>93.852486094291706</v>
      </c>
      <c r="AJ2852">
        <v>84.292359590623704</v>
      </c>
      <c r="AK2852">
        <v>16.523770831762</v>
      </c>
      <c r="AL2852">
        <v>77.548876374185298</v>
      </c>
      <c r="AM2852">
        <v>87.872375331018105</v>
      </c>
      <c r="AN2852">
        <v>0.99999998882538699</v>
      </c>
    </row>
    <row r="2853" spans="1:40" x14ac:dyDescent="0.25">
      <c r="A2853" t="str">
        <f>"20190312172716890"</f>
        <v>20190312172716890</v>
      </c>
      <c r="B2853" t="str">
        <f>"1552382836882322"</f>
        <v>1552382836882322</v>
      </c>
      <c r="C2853" t="s">
        <v>40</v>
      </c>
      <c r="D2853">
        <v>3.5476679999999998</v>
      </c>
      <c r="E2853">
        <v>0.52796860000000001</v>
      </c>
      <c r="F2853" t="s">
        <v>48</v>
      </c>
      <c r="G2853">
        <v>-248.47970000000001</v>
      </c>
      <c r="H2853" s="1">
        <v>3.0914909999999999E-6</v>
      </c>
      <c r="I2853">
        <v>211.96729999999999</v>
      </c>
      <c r="J2853">
        <v>-264.96420000000001</v>
      </c>
      <c r="K2853">
        <v>1.1102529999999999</v>
      </c>
      <c r="L2853">
        <v>213.62530000000001</v>
      </c>
      <c r="M2853">
        <v>0.99989870000000003</v>
      </c>
      <c r="N2853">
        <v>0</v>
      </c>
      <c r="O2853">
        <v>-2.2428150000000001E-4</v>
      </c>
      <c r="P2853">
        <v>0.97887650000000004</v>
      </c>
      <c r="Q2853">
        <v>0.20118420000000001</v>
      </c>
      <c r="R2853">
        <v>-3.6418590000000001E-2</v>
      </c>
      <c r="S2853">
        <v>3.0955810000000001</v>
      </c>
      <c r="T2853">
        <v>-0.2034484</v>
      </c>
      <c r="U2853">
        <v>-0.30381770000000002</v>
      </c>
      <c r="V2853">
        <v>3.6036730000000003E-2</v>
      </c>
      <c r="W2853">
        <v>0.21513080000000001</v>
      </c>
      <c r="X2853">
        <v>0.97592009999999996</v>
      </c>
      <c r="Y2853">
        <v>9.7245769999999995E-2</v>
      </c>
      <c r="Z2853">
        <v>-3.1698439999999998E-3</v>
      </c>
      <c r="AA2853">
        <v>0.99525540000000001</v>
      </c>
      <c r="AB2853">
        <v>40</v>
      </c>
      <c r="AC2853">
        <v>16.484499999999901</v>
      </c>
      <c r="AD2853">
        <v>-1.1102499085089901</v>
      </c>
      <c r="AE2853">
        <v>-1.6580000000000099</v>
      </c>
      <c r="AF2853">
        <v>1.6469065745276901</v>
      </c>
      <c r="AG2853">
        <v>-1.1102499085089901</v>
      </c>
      <c r="AH2853">
        <v>16.411173054052998</v>
      </c>
      <c r="AI2853">
        <v>93.850997190505197</v>
      </c>
      <c r="AJ2853">
        <v>84.269395798252603</v>
      </c>
      <c r="AK2853">
        <v>16.530927292037799</v>
      </c>
      <c r="AL2853">
        <v>77.576798511764096</v>
      </c>
      <c r="AM2853">
        <v>87.8852624737155</v>
      </c>
      <c r="AN2853">
        <v>0.99999997430087095</v>
      </c>
    </row>
    <row r="2854" spans="1:40" x14ac:dyDescent="0.25">
      <c r="A2854" t="str">
        <f>"20190312172716912"</f>
        <v>20190312172716912</v>
      </c>
      <c r="B2854" t="str">
        <f>"1552382836901843"</f>
        <v>1552382836901843</v>
      </c>
      <c r="C2854" t="s">
        <v>40</v>
      </c>
      <c r="D2854">
        <v>3.54453</v>
      </c>
      <c r="E2854">
        <v>0.52804830000000003</v>
      </c>
      <c r="F2854" t="s">
        <v>44</v>
      </c>
      <c r="G2854">
        <v>-263.90890000000002</v>
      </c>
      <c r="H2854">
        <v>1.0411509999999999</v>
      </c>
      <c r="I2854">
        <v>213.5215</v>
      </c>
      <c r="J2854">
        <v>-264.56259999999997</v>
      </c>
      <c r="K2854">
        <v>1.1102970000000001</v>
      </c>
      <c r="L2854">
        <v>213.62559999999999</v>
      </c>
      <c r="M2854">
        <v>0.99989870000000003</v>
      </c>
      <c r="N2854">
        <v>0</v>
      </c>
      <c r="O2854">
        <v>2.0198890000000001E-4</v>
      </c>
      <c r="P2854">
        <v>0.97886030000000002</v>
      </c>
      <c r="Q2854">
        <v>0.20128889999999999</v>
      </c>
      <c r="R2854">
        <v>-3.6268950000000001E-2</v>
      </c>
      <c r="S2854">
        <v>3.0951840000000002</v>
      </c>
      <c r="T2854">
        <v>-0.20288909999999999</v>
      </c>
      <c r="U2854">
        <v>-0.30364989999999997</v>
      </c>
      <c r="V2854">
        <v>3.6284169999999998E-2</v>
      </c>
      <c r="W2854">
        <v>0.21523610000000001</v>
      </c>
      <c r="X2854">
        <v>0.97588779999999997</v>
      </c>
      <c r="Y2854">
        <v>9.7628350000000003E-2</v>
      </c>
      <c r="Z2854">
        <v>-3.201902E-3</v>
      </c>
      <c r="AA2854">
        <v>0.99521780000000004</v>
      </c>
      <c r="AB2854">
        <v>40</v>
      </c>
      <c r="AC2854">
        <v>0.65369999999995798</v>
      </c>
      <c r="AD2854">
        <v>-6.9145999999999902E-2</v>
      </c>
      <c r="AE2854">
        <v>-0.10409999999998799</v>
      </c>
      <c r="AF2854">
        <v>0.103106957233067</v>
      </c>
      <c r="AG2854">
        <v>-6.9145999999999902E-2</v>
      </c>
      <c r="AH2854">
        <v>0.64662306279412096</v>
      </c>
      <c r="AI2854">
        <v>96.028091299648295</v>
      </c>
      <c r="AJ2854">
        <v>80.940200359713302</v>
      </c>
      <c r="AK2854">
        <v>0.65843268394203502</v>
      </c>
      <c r="AL2854">
        <v>77.570621607732306</v>
      </c>
      <c r="AM2854">
        <v>87.870684903396196</v>
      </c>
      <c r="AN2854">
        <v>1.0000000589623099</v>
      </c>
    </row>
    <row r="2855" spans="1:40" x14ac:dyDescent="0.25">
      <c r="A2855" t="str">
        <f>"20190312172716935"</f>
        <v>20190312172716935</v>
      </c>
      <c r="B2855" t="str">
        <f>"1552382836931631"</f>
        <v>1552382836931631</v>
      </c>
      <c r="C2855" t="s">
        <v>40</v>
      </c>
      <c r="D2855">
        <v>3.5364779999999998</v>
      </c>
      <c r="E2855">
        <v>0.52825359999999999</v>
      </c>
      <c r="F2855" t="s">
        <v>44</v>
      </c>
      <c r="G2855">
        <v>-263.54969999999997</v>
      </c>
      <c r="H2855">
        <v>1.044567</v>
      </c>
      <c r="I2855">
        <v>213.5257</v>
      </c>
      <c r="J2855">
        <v>-264.15230000000003</v>
      </c>
      <c r="K2855">
        <v>1.1103229999999999</v>
      </c>
      <c r="L2855">
        <v>213.62610000000001</v>
      </c>
      <c r="M2855">
        <v>0.99989839999999997</v>
      </c>
      <c r="N2855">
        <v>0</v>
      </c>
      <c r="O2855">
        <v>6.624663E-4</v>
      </c>
      <c r="P2855">
        <v>0.97892749999999995</v>
      </c>
      <c r="Q2855">
        <v>0.20104939999999999</v>
      </c>
      <c r="R2855">
        <v>-3.5779560000000002E-2</v>
      </c>
      <c r="S2855">
        <v>3.094849</v>
      </c>
      <c r="T2855">
        <v>-0.20095209999999999</v>
      </c>
      <c r="U2855">
        <v>-0.30491639999999998</v>
      </c>
      <c r="V2855">
        <v>3.6229119999999997E-2</v>
      </c>
      <c r="W2855">
        <v>0.2149981</v>
      </c>
      <c r="X2855">
        <v>0.97594230000000004</v>
      </c>
      <c r="Y2855">
        <v>9.8501630000000007E-2</v>
      </c>
      <c r="Z2855">
        <v>-3.2297279999999999E-3</v>
      </c>
      <c r="AA2855">
        <v>0.99513169999999995</v>
      </c>
      <c r="AB2855">
        <v>40</v>
      </c>
      <c r="AC2855">
        <v>0.60260000000005198</v>
      </c>
      <c r="AD2855">
        <v>-6.5755999999999898E-2</v>
      </c>
      <c r="AE2855">
        <v>-0.100400000000007</v>
      </c>
      <c r="AF2855">
        <v>9.96447693988054E-2</v>
      </c>
      <c r="AG2855">
        <v>-6.5755999999999898E-2</v>
      </c>
      <c r="AH2855">
        <v>0.59563254832449397</v>
      </c>
      <c r="AI2855">
        <v>96.214101055193396</v>
      </c>
      <c r="AJ2855">
        <v>80.502801151787907</v>
      </c>
      <c r="AK2855">
        <v>0.60747927061593798</v>
      </c>
      <c r="AL2855">
        <v>77.584584826493</v>
      </c>
      <c r="AM2855">
        <v>87.874031132305703</v>
      </c>
      <c r="AN2855">
        <v>1.0000000525344299</v>
      </c>
    </row>
    <row r="2856" spans="1:40" x14ac:dyDescent="0.25">
      <c r="A2856" t="str">
        <f>"20190312172716963"</f>
        <v>20190312172716963</v>
      </c>
      <c r="B2856" t="str">
        <f>"1552382836952126"</f>
        <v>1552382836952126</v>
      </c>
      <c r="C2856" t="s">
        <v>40</v>
      </c>
      <c r="D2856">
        <v>3.5254819999999998</v>
      </c>
      <c r="E2856">
        <v>0.52837179999999995</v>
      </c>
      <c r="F2856" t="s">
        <v>44</v>
      </c>
      <c r="G2856">
        <v>-263.19029999999998</v>
      </c>
      <c r="H2856">
        <v>1.0481689999999999</v>
      </c>
      <c r="I2856">
        <v>213.53110000000001</v>
      </c>
      <c r="J2856">
        <v>-263.64999999999998</v>
      </c>
      <c r="K2856">
        <v>1.110355</v>
      </c>
      <c r="L2856">
        <v>213.62700000000001</v>
      </c>
      <c r="M2856">
        <v>0.99989799999999995</v>
      </c>
      <c r="N2856">
        <v>0</v>
      </c>
      <c r="O2856">
        <v>1.2469919999999999E-3</v>
      </c>
      <c r="P2856">
        <v>0.97905770000000003</v>
      </c>
      <c r="Q2856">
        <v>0.20053869999999999</v>
      </c>
      <c r="R2856">
        <v>-3.5080729999999997E-2</v>
      </c>
      <c r="S2856">
        <v>3.0945429999999998</v>
      </c>
      <c r="T2856">
        <v>-0.2001047</v>
      </c>
      <c r="U2856">
        <v>-0.30479430000000002</v>
      </c>
      <c r="V2856">
        <v>3.6087840000000003E-2</v>
      </c>
      <c r="W2856">
        <v>0.2144886</v>
      </c>
      <c r="X2856">
        <v>0.97605960000000003</v>
      </c>
      <c r="Y2856">
        <v>9.9053390000000005E-2</v>
      </c>
      <c r="Z2856">
        <v>-3.271908E-3</v>
      </c>
      <c r="AA2856">
        <v>0.99507670000000004</v>
      </c>
      <c r="AB2856">
        <v>40</v>
      </c>
      <c r="AC2856">
        <v>0.459699999999998</v>
      </c>
      <c r="AD2856">
        <v>-6.2185999999999797E-2</v>
      </c>
      <c r="AE2856">
        <v>-9.5900000000000304E-2</v>
      </c>
      <c r="AF2856">
        <v>9.48106078987076E-2</v>
      </c>
      <c r="AG2856">
        <v>-6.2185999999999797E-2</v>
      </c>
      <c r="AH2856">
        <v>0.451659649942737</v>
      </c>
      <c r="AI2856">
        <v>97.674184871528198</v>
      </c>
      <c r="AJ2856">
        <v>78.144827990804899</v>
      </c>
      <c r="AK2856">
        <v>0.46567433830147698</v>
      </c>
      <c r="AL2856">
        <v>77.614473887617294</v>
      </c>
      <c r="AM2856">
        <v>87.882568317331902</v>
      </c>
      <c r="AN2856">
        <v>1.00000001723899</v>
      </c>
    </row>
    <row r="2857" spans="1:40" x14ac:dyDescent="0.25">
      <c r="A2857" t="str">
        <f>"20190312172716982"</f>
        <v>20190312172716982</v>
      </c>
      <c r="B2857" t="str">
        <f>"1552382836971645"</f>
        <v>1552382836971645</v>
      </c>
      <c r="C2857" t="s">
        <v>40</v>
      </c>
      <c r="D2857">
        <v>3.5319600000000002</v>
      </c>
      <c r="E2857">
        <v>0.52848430000000002</v>
      </c>
      <c r="F2857" t="s">
        <v>48</v>
      </c>
      <c r="G2857">
        <v>-246.50299999999999</v>
      </c>
      <c r="H2857" s="1">
        <v>2.0407089999999998E-6</v>
      </c>
      <c r="I2857">
        <v>211.9419</v>
      </c>
      <c r="J2857">
        <v>-263.32159999999999</v>
      </c>
      <c r="K2857">
        <v>1.1103689999999999</v>
      </c>
      <c r="L2857">
        <v>213.6277</v>
      </c>
      <c r="M2857">
        <v>0.99989749999999999</v>
      </c>
      <c r="N2857">
        <v>0</v>
      </c>
      <c r="O2857">
        <v>1.6356599999999999E-3</v>
      </c>
      <c r="P2857">
        <v>0.97914769999999896</v>
      </c>
      <c r="Q2857">
        <v>0.20023869999999999</v>
      </c>
      <c r="R2857">
        <v>-3.4269109999999998E-2</v>
      </c>
      <c r="S2857">
        <v>3.0943299999999998</v>
      </c>
      <c r="T2857">
        <v>-0.2003741</v>
      </c>
      <c r="U2857">
        <v>-0.30409239999999998</v>
      </c>
      <c r="V2857">
        <v>3.5649790000000001E-2</v>
      </c>
      <c r="W2857">
        <v>0.2141892</v>
      </c>
      <c r="X2857">
        <v>0.9761415</v>
      </c>
      <c r="Y2857">
        <v>9.922156E-2</v>
      </c>
      <c r="Z2857">
        <v>-3.3070769999999998E-3</v>
      </c>
      <c r="AA2857">
        <v>0.99505980000000005</v>
      </c>
      <c r="AB2857">
        <v>40</v>
      </c>
      <c r="AC2857">
        <v>16.8186</v>
      </c>
      <c r="AD2857">
        <v>-1.1103669592909999</v>
      </c>
      <c r="AE2857">
        <v>-1.6858</v>
      </c>
      <c r="AF2857">
        <v>1.7059483458032201</v>
      </c>
      <c r="AG2857">
        <v>-1.1103669592909999</v>
      </c>
      <c r="AH2857">
        <v>16.7435661718552</v>
      </c>
      <c r="AI2857">
        <v>93.774589338152794</v>
      </c>
      <c r="AJ2857">
        <v>84.182391763626399</v>
      </c>
      <c r="AK2857">
        <v>16.866836772024801</v>
      </c>
      <c r="AL2857">
        <v>77.632037127159805</v>
      </c>
      <c r="AM2857">
        <v>87.9084230039945</v>
      </c>
      <c r="AN2857">
        <v>1.00000007447296</v>
      </c>
    </row>
    <row r="2858" spans="1:40" x14ac:dyDescent="0.25">
      <c r="A2858" t="str">
        <f>"20190312172717005"</f>
        <v>20190312172717005</v>
      </c>
      <c r="B2858" t="str">
        <f>"1552382837001902"</f>
        <v>1552382837001902</v>
      </c>
      <c r="C2858" t="s">
        <v>40</v>
      </c>
      <c r="D2858">
        <v>3.5343969999999998</v>
      </c>
      <c r="E2858">
        <v>0.52866820000000003</v>
      </c>
      <c r="F2858" t="s">
        <v>48</v>
      </c>
      <c r="G2858">
        <v>-246.1645</v>
      </c>
      <c r="H2858" s="1">
        <v>1.8602110000000001E-6</v>
      </c>
      <c r="I2858">
        <v>211.94919999999999</v>
      </c>
      <c r="J2858">
        <v>-262.90159999999997</v>
      </c>
      <c r="K2858">
        <v>1.1103879999999999</v>
      </c>
      <c r="L2858">
        <v>213.62880000000001</v>
      </c>
      <c r="M2858">
        <v>0.99989660000000002</v>
      </c>
      <c r="N2858">
        <v>0</v>
      </c>
      <c r="O2858">
        <v>2.1342499999999999E-3</v>
      </c>
      <c r="P2858">
        <v>0.97907540000000004</v>
      </c>
      <c r="Q2858">
        <v>0.20062360000000001</v>
      </c>
      <c r="R2858">
        <v>-3.4085190000000001E-2</v>
      </c>
      <c r="S2858">
        <v>3.0942080000000001</v>
      </c>
      <c r="T2858">
        <v>-0.20024929999999999</v>
      </c>
      <c r="U2858">
        <v>-0.30271910000000002</v>
      </c>
      <c r="V2858">
        <v>3.5945579999999998E-2</v>
      </c>
      <c r="W2858">
        <v>0.2145715</v>
      </c>
      <c r="X2858">
        <v>0.97604659999999999</v>
      </c>
      <c r="Y2858">
        <v>9.9283170000000004E-2</v>
      </c>
      <c r="Z2858">
        <v>-3.3393709999999998E-3</v>
      </c>
      <c r="AA2858">
        <v>0.99505359999999998</v>
      </c>
      <c r="AB2858">
        <v>40</v>
      </c>
      <c r="AC2858">
        <v>16.737099999999899</v>
      </c>
      <c r="AD2858">
        <v>-1.110386139789</v>
      </c>
      <c r="AE2858">
        <v>-1.67960000000002</v>
      </c>
      <c r="AF2858">
        <v>1.7078788846533099</v>
      </c>
      <c r="AG2858">
        <v>-1.110386139789</v>
      </c>
      <c r="AH2858">
        <v>16.660877292977801</v>
      </c>
      <c r="AI2858">
        <v>93.793095855732901</v>
      </c>
      <c r="AJ2858">
        <v>84.147148097449204</v>
      </c>
      <c r="AK2858">
        <v>16.784952780265598</v>
      </c>
      <c r="AL2858">
        <v>77.609610492196495</v>
      </c>
      <c r="AM2858">
        <v>87.890879715997301</v>
      </c>
      <c r="AN2858">
        <v>0.99999998935267298</v>
      </c>
    </row>
    <row r="2859" spans="1:40" x14ac:dyDescent="0.25">
      <c r="A2859" t="str">
        <f>"20190312172717024"</f>
        <v>20190312172717024</v>
      </c>
      <c r="B2859" t="str">
        <f>"1552382837011663"</f>
        <v>1552382837011663</v>
      </c>
      <c r="C2859" t="s">
        <v>40</v>
      </c>
      <c r="D2859">
        <v>3.5348470000000001</v>
      </c>
      <c r="E2859">
        <v>0.52877919999999901</v>
      </c>
      <c r="F2859" t="s">
        <v>48</v>
      </c>
      <c r="G2859">
        <v>-245.52889999999999</v>
      </c>
      <c r="H2859" s="1">
        <v>1.5229099999999999E-6</v>
      </c>
      <c r="I2859">
        <v>211.9281</v>
      </c>
      <c r="J2859">
        <v>-262.57749999999999</v>
      </c>
      <c r="K2859">
        <v>1.110401</v>
      </c>
      <c r="L2859">
        <v>213.62979999999999</v>
      </c>
      <c r="M2859">
        <v>0.9998958</v>
      </c>
      <c r="N2859">
        <v>0</v>
      </c>
      <c r="O2859">
        <v>2.5188440000000001E-3</v>
      </c>
      <c r="P2859">
        <v>0.97893260000000004</v>
      </c>
      <c r="Q2859">
        <v>0.20127439999999999</v>
      </c>
      <c r="R2859">
        <v>-3.4347210000000003E-2</v>
      </c>
      <c r="S2859">
        <v>3.0940859999999999</v>
      </c>
      <c r="T2859">
        <v>-0.19775999999999999</v>
      </c>
      <c r="U2859">
        <v>-0.30290220000000001</v>
      </c>
      <c r="V2859">
        <v>3.6578340000000001E-2</v>
      </c>
      <c r="W2859">
        <v>0.21521979999999999</v>
      </c>
      <c r="X2859">
        <v>0.97588039999999998</v>
      </c>
      <c r="Y2859">
        <v>9.9731509999999995E-2</v>
      </c>
      <c r="Z2859">
        <v>-3.3368439999999998E-3</v>
      </c>
      <c r="AA2859">
        <v>0.99500880000000003</v>
      </c>
      <c r="AB2859">
        <v>40</v>
      </c>
      <c r="AC2859">
        <v>17.048599999999901</v>
      </c>
      <c r="AD2859">
        <v>-1.1103994770900001</v>
      </c>
      <c r="AE2859">
        <v>-1.70169999999998</v>
      </c>
      <c r="AF2859">
        <v>1.73734441456512</v>
      </c>
      <c r="AG2859">
        <v>-1.1103994770900001</v>
      </c>
      <c r="AH2859">
        <v>16.972968369138002</v>
      </c>
      <c r="AI2859">
        <v>93.723648835799096</v>
      </c>
      <c r="AJ2859">
        <v>84.155587956774397</v>
      </c>
      <c r="AK2859">
        <v>17.0977486200172</v>
      </c>
      <c r="AL2859">
        <v>77.571577780358794</v>
      </c>
      <c r="AM2859">
        <v>87.853421532981301</v>
      </c>
      <c r="AN2859">
        <v>1.00000004618667</v>
      </c>
    </row>
    <row r="2860" spans="1:40" x14ac:dyDescent="0.25">
      <c r="A2860" t="str">
        <f>"20190312172717045"</f>
        <v>20190312172717045</v>
      </c>
      <c r="B2860" t="str">
        <f>"1552382837041918"</f>
        <v>1552382837041918</v>
      </c>
      <c r="C2860" t="s">
        <v>40</v>
      </c>
      <c r="D2860">
        <v>3.5303529999999999</v>
      </c>
      <c r="E2860">
        <v>0.52901769999999904</v>
      </c>
      <c r="F2860" t="s">
        <v>48</v>
      </c>
      <c r="G2860">
        <v>-245.08330000000001</v>
      </c>
      <c r="H2860" s="1">
        <v>1.286558E-6</v>
      </c>
      <c r="I2860">
        <v>211.91120000000001</v>
      </c>
      <c r="J2860">
        <v>-262.19260000000003</v>
      </c>
      <c r="K2860">
        <v>1.1104160000000001</v>
      </c>
      <c r="L2860">
        <v>213.63120000000001</v>
      </c>
      <c r="M2860">
        <v>0.99989439999999996</v>
      </c>
      <c r="N2860">
        <v>0</v>
      </c>
      <c r="O2860">
        <v>2.9741839999999999E-3</v>
      </c>
      <c r="P2860">
        <v>0.97879340000000004</v>
      </c>
      <c r="Q2860">
        <v>0.20190369999999999</v>
      </c>
      <c r="R2860">
        <v>-3.4618179999999998E-2</v>
      </c>
      <c r="S2860">
        <v>3.0942989999999999</v>
      </c>
      <c r="T2860">
        <v>-0.19640369999999999</v>
      </c>
      <c r="U2860">
        <v>-0.30398560000000002</v>
      </c>
      <c r="V2860">
        <v>3.7288920000000003E-2</v>
      </c>
      <c r="W2860">
        <v>0.2158465</v>
      </c>
      <c r="X2860">
        <v>0.975715</v>
      </c>
      <c r="Y2860">
        <v>0.1005234</v>
      </c>
      <c r="Z2860">
        <v>-3.3675760000000002E-3</v>
      </c>
      <c r="AA2860">
        <v>0.99492899999999995</v>
      </c>
      <c r="AB2860">
        <v>40</v>
      </c>
      <c r="AC2860">
        <v>17.109300000000001</v>
      </c>
      <c r="AD2860">
        <v>-1.1104147134419999</v>
      </c>
      <c r="AE2860">
        <v>-1.71999999999999</v>
      </c>
      <c r="AF2860">
        <v>1.7635297798897001</v>
      </c>
      <c r="AG2860">
        <v>-1.1104147134419999</v>
      </c>
      <c r="AH2860">
        <v>17.033079797968099</v>
      </c>
      <c r="AI2860">
        <v>93.7101519766493</v>
      </c>
      <c r="AJ2860">
        <v>84.088909789708097</v>
      </c>
      <c r="AK2860">
        <v>17.1600951490467</v>
      </c>
      <c r="AL2860">
        <v>77.534805269649993</v>
      </c>
      <c r="AM2860">
        <v>87.811391131737395</v>
      </c>
      <c r="AN2860">
        <v>0.999999968171007</v>
      </c>
    </row>
    <row r="2861" spans="1:40" x14ac:dyDescent="0.25">
      <c r="A2861" t="str">
        <f>"20190312172717069"</f>
        <v>20190312172717069</v>
      </c>
      <c r="B2861" t="str">
        <f>"1552382837061438"</f>
        <v>1552382837061438</v>
      </c>
      <c r="C2861" t="s">
        <v>40</v>
      </c>
      <c r="D2861">
        <v>3.512785</v>
      </c>
      <c r="E2861">
        <v>0.52918399999999999</v>
      </c>
      <c r="F2861" t="s">
        <v>48</v>
      </c>
      <c r="G2861">
        <v>-244.4041</v>
      </c>
      <c r="H2861" s="1">
        <v>9.2686779999999995E-7</v>
      </c>
      <c r="I2861">
        <v>211.87039999999999</v>
      </c>
      <c r="J2861">
        <v>-261.78539999999998</v>
      </c>
      <c r="K2861">
        <v>1.110439</v>
      </c>
      <c r="L2861">
        <v>213.63290000000001</v>
      </c>
      <c r="M2861">
        <v>0.99989300000000003</v>
      </c>
      <c r="N2861">
        <v>0</v>
      </c>
      <c r="O2861">
        <v>3.4550079999999999E-3</v>
      </c>
      <c r="P2861">
        <v>0.97868619999999995</v>
      </c>
      <c r="Q2861">
        <v>0.20241419999999999</v>
      </c>
      <c r="R2861">
        <v>-3.4669619999999998E-2</v>
      </c>
      <c r="S2861">
        <v>3.0939640000000002</v>
      </c>
      <c r="T2861">
        <v>-0.19313449999999999</v>
      </c>
      <c r="U2861">
        <v>-0.30625920000000001</v>
      </c>
      <c r="V2861">
        <v>3.7806060000000002E-2</v>
      </c>
      <c r="W2861">
        <v>0.21635399999999999</v>
      </c>
      <c r="X2861">
        <v>0.97558270000000002</v>
      </c>
      <c r="Y2861">
        <v>0.10173980000000001</v>
      </c>
      <c r="Z2861">
        <v>-3.3796239999999999E-3</v>
      </c>
      <c r="AA2861">
        <v>0.9948053</v>
      </c>
      <c r="AB2861">
        <v>40</v>
      </c>
      <c r="AC2861">
        <v>17.3812999999999</v>
      </c>
      <c r="AD2861">
        <v>-1.1104380731322001</v>
      </c>
      <c r="AE2861">
        <v>-1.7625000000000099</v>
      </c>
      <c r="AF2861">
        <v>1.8152146090518899</v>
      </c>
      <c r="AG2861">
        <v>-1.1104380731322001</v>
      </c>
      <c r="AH2861">
        <v>17.3051931852448</v>
      </c>
      <c r="AI2861">
        <v>93.651537784997103</v>
      </c>
      <c r="AJ2861">
        <v>84.011902205686795</v>
      </c>
      <c r="AK2861">
        <v>17.435532339731399</v>
      </c>
      <c r="AL2861">
        <v>77.505024088056501</v>
      </c>
      <c r="AM2861">
        <v>87.780768012772896</v>
      </c>
      <c r="AN2861">
        <v>0.99999997801400597</v>
      </c>
    </row>
    <row r="2862" spans="1:40" x14ac:dyDescent="0.25">
      <c r="A2862" t="str">
        <f>"20190312172717090"</f>
        <v>20190312172717090</v>
      </c>
      <c r="B2862" t="str">
        <f>"1552382837081934"</f>
        <v>1552382837081934</v>
      </c>
      <c r="C2862" t="s">
        <v>40</v>
      </c>
      <c r="D2862">
        <v>3.5962079999999998</v>
      </c>
      <c r="E2862">
        <v>0.5291517</v>
      </c>
      <c r="F2862" t="s">
        <v>44</v>
      </c>
      <c r="G2862">
        <v>-260.70620000000002</v>
      </c>
      <c r="H2862">
        <v>1.0436049999999999</v>
      </c>
      <c r="I2862">
        <v>213.52549999999999</v>
      </c>
      <c r="J2862">
        <v>-261.39400000000001</v>
      </c>
      <c r="K2862">
        <v>1.110455</v>
      </c>
      <c r="L2862">
        <v>213.63460000000001</v>
      </c>
      <c r="M2862">
        <v>0.99989130000000004</v>
      </c>
      <c r="N2862">
        <v>0</v>
      </c>
      <c r="O2862">
        <v>3.9170200000000002E-3</v>
      </c>
      <c r="P2862">
        <v>0.97860930000000002</v>
      </c>
      <c r="Q2862">
        <v>0.2027987</v>
      </c>
      <c r="R2862">
        <v>-3.459769E-2</v>
      </c>
      <c r="S2862">
        <v>3.0940859999999999</v>
      </c>
      <c r="T2862">
        <v>-0.19171659999999999</v>
      </c>
      <c r="U2862">
        <v>-0.30741879999999999</v>
      </c>
      <c r="V2862">
        <v>3.81827E-2</v>
      </c>
      <c r="W2862">
        <v>0.2167357</v>
      </c>
      <c r="X2862">
        <v>0.97548330000000005</v>
      </c>
      <c r="Y2862">
        <v>0.1025653</v>
      </c>
      <c r="Z2862">
        <v>-3.4086889999999999E-3</v>
      </c>
      <c r="AA2862">
        <v>0.99472050000000001</v>
      </c>
      <c r="AB2862">
        <v>40</v>
      </c>
      <c r="AC2862">
        <v>0.68779999999998098</v>
      </c>
      <c r="AD2862">
        <v>-6.6850000000000007E-2</v>
      </c>
      <c r="AE2862">
        <v>-0.10910000000001201</v>
      </c>
      <c r="AF2862">
        <v>0.110772810821198</v>
      </c>
      <c r="AG2862">
        <v>-6.6850000000000007E-2</v>
      </c>
      <c r="AH2862">
        <v>0.68109120508257304</v>
      </c>
      <c r="AI2862">
        <v>95.533453942755997</v>
      </c>
      <c r="AJ2862">
        <v>80.7622876398964</v>
      </c>
      <c r="AK2862">
        <v>0.69327106369591196</v>
      </c>
      <c r="AL2862">
        <v>77.482622731611698</v>
      </c>
      <c r="AM2862">
        <v>87.758453366188704</v>
      </c>
      <c r="AN2862">
        <v>0.99999997540633401</v>
      </c>
    </row>
    <row r="2863" spans="1:40" x14ac:dyDescent="0.25">
      <c r="A2863" t="str">
        <f>"20190312172717113"</f>
        <v>20190312172717113</v>
      </c>
      <c r="B2863" t="str">
        <f>"1552382837101454"</f>
        <v>1552382837101454</v>
      </c>
      <c r="C2863" t="s">
        <v>40</v>
      </c>
      <c r="D2863">
        <v>3.5457909999999999</v>
      </c>
      <c r="E2863">
        <v>0.48631530000000001</v>
      </c>
      <c r="F2863" t="s">
        <v>44</v>
      </c>
      <c r="G2863">
        <v>-260.35000000000002</v>
      </c>
      <c r="H2863">
        <v>1.0463530000000001</v>
      </c>
      <c r="I2863">
        <v>213.5308</v>
      </c>
      <c r="J2863">
        <v>-260.9966</v>
      </c>
      <c r="K2863">
        <v>1.1104639999999999</v>
      </c>
      <c r="L2863">
        <v>213.63659999999999</v>
      </c>
      <c r="M2863">
        <v>0.99988940000000004</v>
      </c>
      <c r="N2863">
        <v>0</v>
      </c>
      <c r="O2863">
        <v>4.3865859999999996E-3</v>
      </c>
      <c r="P2863">
        <v>0.97839129999999996</v>
      </c>
      <c r="Q2863">
        <v>0.20384099999999999</v>
      </c>
      <c r="R2863">
        <v>-3.4630660000000001E-2</v>
      </c>
      <c r="S2863">
        <v>3.0941160000000001</v>
      </c>
      <c r="T2863">
        <v>-0.19022919999999999</v>
      </c>
      <c r="U2863">
        <v>-0.30665589999999998</v>
      </c>
      <c r="V2863">
        <v>3.8670789999999997E-2</v>
      </c>
      <c r="W2863">
        <v>0.2177732</v>
      </c>
      <c r="X2863">
        <v>0.97523300000000002</v>
      </c>
      <c r="Y2863">
        <v>0.1027904</v>
      </c>
      <c r="Z2863">
        <v>-3.4179750000000002E-3</v>
      </c>
      <c r="AA2863">
        <v>0.99469719999999995</v>
      </c>
      <c r="AB2863">
        <v>40</v>
      </c>
      <c r="AC2863">
        <v>0.64659999999997797</v>
      </c>
      <c r="AD2863">
        <v>-6.4110999999999793E-2</v>
      </c>
      <c r="AE2863">
        <v>-0.105799999999987</v>
      </c>
      <c r="AF2863">
        <v>0.10760535999536799</v>
      </c>
      <c r="AG2863">
        <v>-6.4110999999999793E-2</v>
      </c>
      <c r="AH2863">
        <v>0.64000188848828299</v>
      </c>
      <c r="AI2863">
        <v>95.641749983293195</v>
      </c>
      <c r="AJ2863">
        <v>80.455959986000906</v>
      </c>
      <c r="AK2863">
        <v>0.65214381166219904</v>
      </c>
      <c r="AL2863">
        <v>77.421724104939301</v>
      </c>
      <c r="AM2863">
        <v>87.7292473897474</v>
      </c>
      <c r="AN2863">
        <v>1.0000000004632299</v>
      </c>
    </row>
    <row r="2864" spans="1:40" x14ac:dyDescent="0.25">
      <c r="A2864" t="str">
        <f>"20190312172717135"</f>
        <v>20190312172717135</v>
      </c>
      <c r="B2864" t="str">
        <f>"1552382837131710"</f>
        <v>1552382837131710</v>
      </c>
      <c r="C2864" t="s">
        <v>40</v>
      </c>
      <c r="D2864">
        <v>3.6683659999999998</v>
      </c>
      <c r="E2864">
        <v>0.47752260000000002</v>
      </c>
      <c r="F2864" t="s">
        <v>48</v>
      </c>
      <c r="G2864">
        <v>-233.05160000000001</v>
      </c>
      <c r="H2864" s="1">
        <v>1.167393E-7</v>
      </c>
      <c r="I2864">
        <v>213.9385</v>
      </c>
      <c r="J2864">
        <v>-260.59820000000002</v>
      </c>
      <c r="K2864">
        <v>1.1104700000000001</v>
      </c>
      <c r="L2864">
        <v>213.6388</v>
      </c>
      <c r="M2864">
        <v>0.99988719999999998</v>
      </c>
      <c r="N2864">
        <v>0</v>
      </c>
      <c r="O2864">
        <v>4.8616329999999998E-3</v>
      </c>
      <c r="P2864">
        <v>0.97843159999999896</v>
      </c>
      <c r="Q2864">
        <v>0.20360619999999999</v>
      </c>
      <c r="R2864">
        <v>-3.487552E-2</v>
      </c>
      <c r="S2864">
        <v>3.093048</v>
      </c>
      <c r="T2864">
        <v>-0.1229097</v>
      </c>
      <c r="U2864">
        <v>3.3416750000000002E-2</v>
      </c>
      <c r="V2864">
        <v>3.9378669999999998E-2</v>
      </c>
      <c r="W2864">
        <v>0.2175377</v>
      </c>
      <c r="X2864">
        <v>0.97525720000000005</v>
      </c>
      <c r="Y2864">
        <v>-5.940374E-3</v>
      </c>
      <c r="Z2864" s="1">
        <v>-7.5146950000000001E-5</v>
      </c>
      <c r="AA2864">
        <v>0.99998240000000005</v>
      </c>
      <c r="AB2864">
        <v>40</v>
      </c>
      <c r="AC2864">
        <v>27.546600000000002</v>
      </c>
      <c r="AD2864">
        <v>-1.1104698832607001</v>
      </c>
      <c r="AE2864">
        <v>0.29970000000000102</v>
      </c>
      <c r="AF2864">
        <v>-0.16549256442981</v>
      </c>
      <c r="AG2864">
        <v>-1.1104698832607001</v>
      </c>
      <c r="AH2864">
        <v>27.5030419288146</v>
      </c>
      <c r="AI2864">
        <v>92.312091394945995</v>
      </c>
      <c r="AJ2864">
        <v>90.344758629620102</v>
      </c>
      <c r="AK2864">
        <v>27.525948602884601</v>
      </c>
      <c r="AL2864">
        <v>77.435548286461497</v>
      </c>
      <c r="AM2864">
        <v>87.6877826335283</v>
      </c>
      <c r="AN2864">
        <v>0.99999996836204796</v>
      </c>
    </row>
    <row r="2865" spans="1:40" x14ac:dyDescent="0.25">
      <c r="A2865" t="str">
        <f>"20190312172717164"</f>
        <v>20190312172717164</v>
      </c>
      <c r="B2865" t="str">
        <f>"1552382837152207"</f>
        <v>1552382837152207</v>
      </c>
      <c r="C2865" t="s">
        <v>40</v>
      </c>
      <c r="D2865">
        <v>3.4080889999999999</v>
      </c>
      <c r="E2865">
        <v>0.4754003</v>
      </c>
      <c r="F2865" t="s">
        <v>48</v>
      </c>
      <c r="G2865">
        <v>-228.21199999999999</v>
      </c>
      <c r="H2865" s="1">
        <v>2.8289140000000001E-6</v>
      </c>
      <c r="I2865">
        <v>214.71449999999999</v>
      </c>
      <c r="J2865">
        <v>-260.09410000000003</v>
      </c>
      <c r="K2865">
        <v>1.1104879999999999</v>
      </c>
      <c r="L2865">
        <v>213.64189999999999</v>
      </c>
      <c r="M2865">
        <v>0.99988410000000005</v>
      </c>
      <c r="N2865">
        <v>0</v>
      </c>
      <c r="O2865">
        <v>5.4767069999999999E-3</v>
      </c>
      <c r="P2865">
        <v>0.97854719999999995</v>
      </c>
      <c r="Q2865">
        <v>0.20316500000000001</v>
      </c>
      <c r="R2865">
        <v>-3.419726E-2</v>
      </c>
      <c r="S2865">
        <v>3.0918580000000002</v>
      </c>
      <c r="T2865">
        <v>-0.10601439999999999</v>
      </c>
      <c r="U2865">
        <v>0.1026917</v>
      </c>
      <c r="V2865">
        <v>3.92985E-2</v>
      </c>
      <c r="W2865">
        <v>0.21709600000000001</v>
      </c>
      <c r="X2865">
        <v>0.97535890000000003</v>
      </c>
      <c r="Y2865">
        <v>-2.770748E-2</v>
      </c>
      <c r="Z2865">
        <v>2.8705620000000001E-4</v>
      </c>
      <c r="AA2865">
        <v>0.99961599999999995</v>
      </c>
      <c r="AB2865">
        <v>40</v>
      </c>
      <c r="AC2865">
        <v>31.882100000000001</v>
      </c>
      <c r="AD2865">
        <v>-1.110485171086</v>
      </c>
      <c r="AE2865">
        <v>1.07259999999999</v>
      </c>
      <c r="AF2865">
        <v>-0.89687051901165904</v>
      </c>
      <c r="AG2865">
        <v>-1.110485171086</v>
      </c>
      <c r="AH2865">
        <v>31.848901327509601</v>
      </c>
      <c r="AI2865">
        <v>91.996149431302797</v>
      </c>
      <c r="AJ2865">
        <v>91.613032683669005</v>
      </c>
      <c r="AK2865">
        <v>31.8808731030459</v>
      </c>
      <c r="AL2865">
        <v>77.461476052724194</v>
      </c>
      <c r="AM2865">
        <v>87.692725265401407</v>
      </c>
      <c r="AN2865">
        <v>1.00000001456373</v>
      </c>
    </row>
    <row r="2866" spans="1:40" x14ac:dyDescent="0.25">
      <c r="A2866" t="str">
        <f>"20190312172717188"</f>
        <v>20190312172717188</v>
      </c>
      <c r="B2866" t="str">
        <f>"1552382837181487"</f>
        <v>1552382837181487</v>
      </c>
      <c r="C2866" t="s">
        <v>40</v>
      </c>
      <c r="D2866">
        <v>3.3282159999999998</v>
      </c>
      <c r="E2866">
        <v>0.47300959999999997</v>
      </c>
      <c r="F2866" t="s">
        <v>48</v>
      </c>
      <c r="G2866">
        <v>-226.22720000000001</v>
      </c>
      <c r="H2866" s="1">
        <v>1.7611270000000001E-6</v>
      </c>
      <c r="I2866">
        <v>214.97970000000001</v>
      </c>
      <c r="J2866">
        <v>-259.67309999999998</v>
      </c>
      <c r="K2866">
        <v>1.1105050000000001</v>
      </c>
      <c r="L2866">
        <v>213.6447</v>
      </c>
      <c r="M2866">
        <v>0.99988100000000002</v>
      </c>
      <c r="N2866">
        <v>0</v>
      </c>
      <c r="O2866">
        <v>6.0176889999999997E-3</v>
      </c>
      <c r="P2866">
        <v>0.97843219999999997</v>
      </c>
      <c r="Q2866">
        <v>0.2037426</v>
      </c>
      <c r="R2866">
        <v>-3.4048259999999997E-2</v>
      </c>
      <c r="S2866">
        <v>3.0910639999999998</v>
      </c>
      <c r="T2866">
        <v>-0.10135520000000001</v>
      </c>
      <c r="U2866">
        <v>0.1221008</v>
      </c>
      <c r="V2866">
        <v>3.9668920000000003E-2</v>
      </c>
      <c r="W2866">
        <v>0.2176708</v>
      </c>
      <c r="X2866">
        <v>0.97521579999999997</v>
      </c>
      <c r="Y2866">
        <v>-3.3441409999999998E-2</v>
      </c>
      <c r="Z2866">
        <v>3.5070510000000002E-4</v>
      </c>
      <c r="AA2866">
        <v>0.99944060000000001</v>
      </c>
      <c r="AB2866">
        <v>40</v>
      </c>
      <c r="AC2866">
        <v>33.445899999999902</v>
      </c>
      <c r="AD2866">
        <v>-1.1105032388729901</v>
      </c>
      <c r="AE2866">
        <v>1.335</v>
      </c>
      <c r="AF2866">
        <v>-1.13244202985052</v>
      </c>
      <c r="AG2866">
        <v>-1.1105032388729901</v>
      </c>
      <c r="AH2866">
        <v>33.416547669541004</v>
      </c>
      <c r="AI2866">
        <v>91.902269432010897</v>
      </c>
      <c r="AJ2866">
        <v>91.940934415223197</v>
      </c>
      <c r="AK2866">
        <v>33.454167162630498</v>
      </c>
      <c r="AL2866">
        <v>77.427735756714398</v>
      </c>
      <c r="AM2866">
        <v>87.670659806997307</v>
      </c>
      <c r="AN2866">
        <v>1.0000000284781201</v>
      </c>
    </row>
    <row r="2867" spans="1:40" x14ac:dyDescent="0.25">
      <c r="A2867" t="str">
        <f>"20190312172717208"</f>
        <v>20190312172717208</v>
      </c>
      <c r="B2867" t="str">
        <f>"1552382837201983"</f>
        <v>1552382837201983</v>
      </c>
      <c r="C2867" t="s">
        <v>40</v>
      </c>
      <c r="D2867">
        <v>3.3650199999999999</v>
      </c>
      <c r="E2867">
        <v>0.47194510000000001</v>
      </c>
      <c r="F2867" t="s">
        <v>48</v>
      </c>
      <c r="G2867">
        <v>-224.6705</v>
      </c>
      <c r="H2867" s="1">
        <v>9.2085949999999999E-7</v>
      </c>
      <c r="I2867">
        <v>215.25120000000001</v>
      </c>
      <c r="J2867">
        <v>-259.31139999999999</v>
      </c>
      <c r="K2867">
        <v>1.110527</v>
      </c>
      <c r="L2867">
        <v>213.6473</v>
      </c>
      <c r="M2867">
        <v>0.99987789999999999</v>
      </c>
      <c r="N2867">
        <v>0</v>
      </c>
      <c r="O2867">
        <v>6.5231229999999996E-3</v>
      </c>
      <c r="P2867">
        <v>0.97846650000000002</v>
      </c>
      <c r="Q2867">
        <v>0.2036877</v>
      </c>
      <c r="R2867">
        <v>-3.3389780000000001E-2</v>
      </c>
      <c r="S2867">
        <v>3.0914920000000001</v>
      </c>
      <c r="T2867">
        <v>-9.8081710000000003E-2</v>
      </c>
      <c r="U2867">
        <v>0.1418915</v>
      </c>
      <c r="V2867">
        <v>3.9491249999999999E-2</v>
      </c>
      <c r="W2867">
        <v>0.21761639999999999</v>
      </c>
      <c r="X2867">
        <v>0.97523510000000002</v>
      </c>
      <c r="Y2867">
        <v>-3.9314780000000001E-2</v>
      </c>
      <c r="Z2867">
        <v>4.1636629999999998E-4</v>
      </c>
      <c r="AA2867">
        <v>0.99922679999999997</v>
      </c>
      <c r="AB2867">
        <v>40</v>
      </c>
      <c r="AC2867">
        <v>34.640899999999903</v>
      </c>
      <c r="AD2867">
        <v>-1.1105260791405001</v>
      </c>
      <c r="AE2867">
        <v>1.6039000000000101</v>
      </c>
      <c r="AF2867">
        <v>-1.3764646242554299</v>
      </c>
      <c r="AG2867">
        <v>-1.1105260791405001</v>
      </c>
      <c r="AH2867">
        <v>34.6151274141694</v>
      </c>
      <c r="AI2867">
        <v>91.836088748203906</v>
      </c>
      <c r="AJ2867">
        <v>92.277157138228802</v>
      </c>
      <c r="AK2867">
        <v>34.660279412224298</v>
      </c>
      <c r="AL2867">
        <v>77.430928558534603</v>
      </c>
      <c r="AM2867">
        <v>87.681126932119398</v>
      </c>
      <c r="AN2867">
        <v>0.99999997832376597</v>
      </c>
    </row>
    <row r="2868" spans="1:40" x14ac:dyDescent="0.25">
      <c r="A2868" t="str">
        <f>"20190312172717229"</f>
        <v>20190312172717229</v>
      </c>
      <c r="B2868" t="str">
        <f>"1552382837221502"</f>
        <v>1552382837221502</v>
      </c>
      <c r="C2868" t="s">
        <v>40</v>
      </c>
      <c r="D2868">
        <v>3.3516810000000001</v>
      </c>
      <c r="E2868">
        <v>0.47134710000000002</v>
      </c>
      <c r="F2868" t="s">
        <v>48</v>
      </c>
      <c r="G2868">
        <v>-224.4537</v>
      </c>
      <c r="H2868" s="1">
        <v>8.0006000000000003E-7</v>
      </c>
      <c r="I2868">
        <v>215.37549999999999</v>
      </c>
      <c r="J2868">
        <v>-258.95100000000002</v>
      </c>
      <c r="K2868">
        <v>1.1105640000000001</v>
      </c>
      <c r="L2868">
        <v>213.65010000000001</v>
      </c>
      <c r="M2868">
        <v>0.99987409999999999</v>
      </c>
      <c r="N2868">
        <v>0</v>
      </c>
      <c r="O2868">
        <v>7.0771489999999996E-3</v>
      </c>
      <c r="P2868">
        <v>0.9786454</v>
      </c>
      <c r="Q2868">
        <v>0.20290230000000001</v>
      </c>
      <c r="R2868">
        <v>-3.2920249999999998E-2</v>
      </c>
      <c r="S2868">
        <v>3.0917659999999998</v>
      </c>
      <c r="T2868">
        <v>-9.8500130000000005E-2</v>
      </c>
      <c r="U2868">
        <v>0.1532898</v>
      </c>
      <c r="V2868">
        <v>3.9545450000000003E-2</v>
      </c>
      <c r="W2868">
        <v>0.21683530000000001</v>
      </c>
      <c r="X2868">
        <v>0.97540689999999997</v>
      </c>
      <c r="Y2868">
        <v>-4.2430879999999997E-2</v>
      </c>
      <c r="Z2868">
        <v>4.5002779999999998E-4</v>
      </c>
      <c r="AA2868">
        <v>0.99909930000000002</v>
      </c>
      <c r="AB2868">
        <v>39</v>
      </c>
      <c r="AC2868">
        <v>34.497299999999903</v>
      </c>
      <c r="AD2868">
        <v>-1.1105631999400001</v>
      </c>
      <c r="AE2868">
        <v>1.7253999999999701</v>
      </c>
      <c r="AF2868">
        <v>-1.4796599700123201</v>
      </c>
      <c r="AG2868">
        <v>-1.1105631999400001</v>
      </c>
      <c r="AH2868">
        <v>34.473010274458403</v>
      </c>
      <c r="AI2868">
        <v>91.843474423979401</v>
      </c>
      <c r="AJ2868">
        <v>92.457756524613501</v>
      </c>
      <c r="AK2868">
        <v>34.522618406355498</v>
      </c>
      <c r="AL2868">
        <v>77.476777437239406</v>
      </c>
      <c r="AM2868">
        <v>87.678356401595096</v>
      </c>
      <c r="AN2868">
        <v>1.0000000052547</v>
      </c>
    </row>
    <row r="2869" spans="1:40" x14ac:dyDescent="0.25">
      <c r="A2869" t="str">
        <f>"20190312172717247"</f>
        <v>20190312172717247</v>
      </c>
      <c r="B2869" t="str">
        <f>"1552382837241998"</f>
        <v>1552382837241998</v>
      </c>
      <c r="C2869" t="s">
        <v>40</v>
      </c>
      <c r="D2869">
        <v>3.313269</v>
      </c>
      <c r="E2869">
        <v>0.47092410000000001</v>
      </c>
      <c r="F2869" t="s">
        <v>48</v>
      </c>
      <c r="G2869">
        <v>-224.279</v>
      </c>
      <c r="H2869" s="1">
        <v>7.0401509999999999E-7</v>
      </c>
      <c r="I2869">
        <v>215.44560000000001</v>
      </c>
      <c r="J2869">
        <v>-258.61509999999998</v>
      </c>
      <c r="K2869">
        <v>1.110598</v>
      </c>
      <c r="L2869">
        <v>213.65299999999999</v>
      </c>
      <c r="M2869">
        <v>0.99987020000000004</v>
      </c>
      <c r="N2869">
        <v>0</v>
      </c>
      <c r="O2869">
        <v>7.6328749999999999E-3</v>
      </c>
      <c r="P2869">
        <v>0.97887690000000005</v>
      </c>
      <c r="Q2869">
        <v>0.20189489999999999</v>
      </c>
      <c r="R2869">
        <v>-3.2232629999999998E-2</v>
      </c>
      <c r="S2869">
        <v>3.09137</v>
      </c>
      <c r="T2869">
        <v>-9.9018220000000004E-2</v>
      </c>
      <c r="U2869">
        <v>0.16008</v>
      </c>
      <c r="V2869">
        <v>3.9382830000000001E-2</v>
      </c>
      <c r="W2869">
        <v>0.215833</v>
      </c>
      <c r="X2869">
        <v>0.97563580000000005</v>
      </c>
      <c r="Y2869">
        <v>-4.4069999999999998E-2</v>
      </c>
      <c r="Z2869">
        <v>4.6087029999999999E-4</v>
      </c>
      <c r="AA2869">
        <v>0.99902829999999998</v>
      </c>
      <c r="AB2869">
        <v>39</v>
      </c>
      <c r="AC2869">
        <v>34.336099999999902</v>
      </c>
      <c r="AD2869">
        <v>-1.11059729598489</v>
      </c>
      <c r="AE2869">
        <v>1.79260000000002</v>
      </c>
      <c r="AF2869">
        <v>-1.52884310933064</v>
      </c>
      <c r="AG2869">
        <v>-1.11059729598489</v>
      </c>
      <c r="AH2869">
        <v>34.312983247225098</v>
      </c>
      <c r="AI2869">
        <v>91.851990783515902</v>
      </c>
      <c r="AJ2869">
        <v>92.551173124153095</v>
      </c>
      <c r="AK2869">
        <v>34.364976457596299</v>
      </c>
      <c r="AL2869">
        <v>77.535598505717999</v>
      </c>
      <c r="AM2869">
        <v>87.688435021609294</v>
      </c>
      <c r="AN2869">
        <v>1.0000000527147199</v>
      </c>
    </row>
    <row r="2870" spans="1:40" x14ac:dyDescent="0.25">
      <c r="A2870" t="str">
        <f>"20190312172717270"</f>
        <v>20190312172717270</v>
      </c>
      <c r="B2870" t="str">
        <f>"1552382837261518"</f>
        <v>1552382837261518</v>
      </c>
      <c r="C2870" t="s">
        <v>40</v>
      </c>
      <c r="D2870">
        <v>3.3614999999999999</v>
      </c>
      <c r="E2870">
        <v>0.47060859999999899</v>
      </c>
      <c r="F2870" t="s">
        <v>48</v>
      </c>
      <c r="G2870">
        <v>-224.93510000000001</v>
      </c>
      <c r="H2870" s="1">
        <v>1.0529239999999999E-6</v>
      </c>
      <c r="I2870">
        <v>215.45140000000001</v>
      </c>
      <c r="J2870">
        <v>-258.24079999999998</v>
      </c>
      <c r="K2870">
        <v>1.1106400000000001</v>
      </c>
      <c r="L2870">
        <v>213.65649999999999</v>
      </c>
      <c r="M2870">
        <v>0.99986470000000005</v>
      </c>
      <c r="N2870">
        <v>0</v>
      </c>
      <c r="O2870">
        <v>8.3069719999999993E-3</v>
      </c>
      <c r="P2870">
        <v>0.97901919999999998</v>
      </c>
      <c r="Q2870">
        <v>0.20134940000000001</v>
      </c>
      <c r="R2870">
        <v>-3.1304409999999998E-2</v>
      </c>
      <c r="S2870">
        <v>3.091202</v>
      </c>
      <c r="T2870">
        <v>-0.10193240000000001</v>
      </c>
      <c r="U2870">
        <v>0.16505429999999999</v>
      </c>
      <c r="V2870">
        <v>3.9090439999999997E-2</v>
      </c>
      <c r="W2870">
        <v>0.21529200000000001</v>
      </c>
      <c r="X2870">
        <v>0.97576700000000005</v>
      </c>
      <c r="Y2870">
        <v>-4.5001199999999901E-2</v>
      </c>
      <c r="Z2870">
        <v>4.6756500000000003E-4</v>
      </c>
      <c r="AA2870">
        <v>0.99898679999999995</v>
      </c>
      <c r="AB2870">
        <v>39</v>
      </c>
      <c r="AC2870">
        <v>33.305699999999902</v>
      </c>
      <c r="AD2870">
        <v>-1.1106389470760001</v>
      </c>
      <c r="AE2870">
        <v>1.7949000000000099</v>
      </c>
      <c r="AF2870">
        <v>-1.5164592163939401</v>
      </c>
      <c r="AG2870">
        <v>-1.1106389470760001</v>
      </c>
      <c r="AH2870">
        <v>33.282558935345797</v>
      </c>
      <c r="AI2870">
        <v>91.909271536073007</v>
      </c>
      <c r="AJ2870">
        <v>92.608773626786601</v>
      </c>
      <c r="AK2870">
        <v>33.335595040594598</v>
      </c>
      <c r="AL2870">
        <v>77.567340798107395</v>
      </c>
      <c r="AM2870">
        <v>87.705886541303698</v>
      </c>
      <c r="AN2870">
        <v>0.99999997302619603</v>
      </c>
    </row>
    <row r="2871" spans="1:40" x14ac:dyDescent="0.25">
      <c r="A2871" t="str">
        <f>"20190312172717291"</f>
        <v>20190312172717291</v>
      </c>
      <c r="B2871" t="str">
        <f>"1552382837282014"</f>
        <v>1552382837282014</v>
      </c>
      <c r="C2871" t="s">
        <v>40</v>
      </c>
      <c r="D2871">
        <v>3.3487740000000001</v>
      </c>
      <c r="E2871">
        <v>0.47043940000000001</v>
      </c>
      <c r="F2871" t="s">
        <v>48</v>
      </c>
      <c r="G2871">
        <v>-224.8998</v>
      </c>
      <c r="H2871" s="1">
        <v>1.0322850000000001E-6</v>
      </c>
      <c r="I2871">
        <v>215.49340000000001</v>
      </c>
      <c r="J2871">
        <v>-257.84129999999999</v>
      </c>
      <c r="K2871">
        <v>1.110695</v>
      </c>
      <c r="L2871">
        <v>213.66059999999999</v>
      </c>
      <c r="M2871">
        <v>0.99985780000000002</v>
      </c>
      <c r="N2871">
        <v>0</v>
      </c>
      <c r="O2871">
        <v>9.1040960000000008E-3</v>
      </c>
      <c r="P2871">
        <v>0.97906530000000003</v>
      </c>
      <c r="Q2871">
        <v>0.2012294</v>
      </c>
      <c r="R2871">
        <v>-3.0628329999999999E-2</v>
      </c>
      <c r="S2871">
        <v>3.0909119999999999</v>
      </c>
      <c r="T2871">
        <v>-0.1029629</v>
      </c>
      <c r="U2871">
        <v>0.1702881</v>
      </c>
      <c r="V2871">
        <v>3.9164640000000001E-2</v>
      </c>
      <c r="W2871">
        <v>0.21517649999999999</v>
      </c>
      <c r="X2871">
        <v>0.97578949999999998</v>
      </c>
      <c r="Y2871">
        <v>-4.5895890000000002E-2</v>
      </c>
      <c r="Z2871">
        <v>4.6067379999999999E-4</v>
      </c>
      <c r="AA2871">
        <v>0.99894609999999995</v>
      </c>
      <c r="AB2871">
        <v>39</v>
      </c>
      <c r="AC2871">
        <v>32.941499999999898</v>
      </c>
      <c r="AD2871">
        <v>-1.1106939677150001</v>
      </c>
      <c r="AE2871">
        <v>1.83280000000002</v>
      </c>
      <c r="AF2871">
        <v>-1.53105602506222</v>
      </c>
      <c r="AG2871">
        <v>-1.1106939677150001</v>
      </c>
      <c r="AH2871">
        <v>32.919513231957197</v>
      </c>
      <c r="AI2871">
        <v>91.930323417756696</v>
      </c>
      <c r="AJ2871">
        <v>92.662854663718406</v>
      </c>
      <c r="AK2871">
        <v>32.973809683911398</v>
      </c>
      <c r="AL2871">
        <v>77.574117268907401</v>
      </c>
      <c r="AM2871">
        <v>87.701589549212102</v>
      </c>
      <c r="AN2871">
        <v>0.99999997174441402</v>
      </c>
    </row>
    <row r="2872" spans="1:40" x14ac:dyDescent="0.25">
      <c r="A2872" t="str">
        <f>"20190312172717314"</f>
        <v>20190312172717314</v>
      </c>
      <c r="B2872" t="str">
        <f>"1552382837301535"</f>
        <v>1552382837301535</v>
      </c>
      <c r="C2872" t="s">
        <v>40</v>
      </c>
      <c r="D2872">
        <v>3.3710119999999999</v>
      </c>
      <c r="E2872">
        <v>0.47032279999999999</v>
      </c>
      <c r="F2872" t="s">
        <v>48</v>
      </c>
      <c r="G2872">
        <v>-224.5959</v>
      </c>
      <c r="H2872" s="1">
        <v>8.6901469999999897E-7</v>
      </c>
      <c r="I2872">
        <v>215.52950000000001</v>
      </c>
      <c r="J2872">
        <v>-257.45639999999997</v>
      </c>
      <c r="K2872">
        <v>1.1107499999999999</v>
      </c>
      <c r="L2872">
        <v>213.66489999999999</v>
      </c>
      <c r="M2872">
        <v>0.99984989999999996</v>
      </c>
      <c r="N2872">
        <v>0</v>
      </c>
      <c r="O2872">
        <v>9.9372409999999994E-3</v>
      </c>
      <c r="P2872">
        <v>0.97914330000000005</v>
      </c>
      <c r="Q2872">
        <v>0.20101769999999999</v>
      </c>
      <c r="R2872">
        <v>-2.9503669999999999E-2</v>
      </c>
      <c r="S2872">
        <v>3.090805</v>
      </c>
      <c r="T2872">
        <v>-0.1032608</v>
      </c>
      <c r="U2872">
        <v>0.17375179999999901</v>
      </c>
      <c r="V2872">
        <v>3.8827210000000001E-2</v>
      </c>
      <c r="W2872">
        <v>0.2149683</v>
      </c>
      <c r="X2872">
        <v>0.97584890000000002</v>
      </c>
      <c r="Y2872">
        <v>-4.6181600000000003E-2</v>
      </c>
      <c r="Z2872">
        <v>4.3897260000000003E-4</v>
      </c>
      <c r="AA2872">
        <v>0.99893299999999996</v>
      </c>
      <c r="AB2872">
        <v>39</v>
      </c>
      <c r="AC2872">
        <v>32.860499999999902</v>
      </c>
      <c r="AD2872">
        <v>-1.1107491309852999</v>
      </c>
      <c r="AE2872">
        <v>1.86460000000002</v>
      </c>
      <c r="AF2872">
        <v>-1.53618274889157</v>
      </c>
      <c r="AG2872">
        <v>-1.1107491309852999</v>
      </c>
      <c r="AH2872">
        <v>32.840006360155897</v>
      </c>
      <c r="AI2872">
        <v>91.935065100827202</v>
      </c>
      <c r="AJ2872">
        <v>92.678217323000496</v>
      </c>
      <c r="AK2872">
        <v>32.8946749308313</v>
      </c>
      <c r="AL2872">
        <v>77.586332443701593</v>
      </c>
      <c r="AM2872">
        <v>87.721509508165596</v>
      </c>
      <c r="AN2872">
        <v>0.99999999893624103</v>
      </c>
    </row>
    <row r="2873" spans="1:40" x14ac:dyDescent="0.25">
      <c r="A2873" t="str">
        <f>"20190312172717336"</f>
        <v>20190312172717336</v>
      </c>
      <c r="B2873" t="str">
        <f>"1552382837331791"</f>
        <v>1552382837331791</v>
      </c>
      <c r="C2873" t="s">
        <v>40</v>
      </c>
      <c r="D2873">
        <v>3.366101</v>
      </c>
      <c r="E2873">
        <v>0.47014159999999999</v>
      </c>
      <c r="F2873" t="s">
        <v>48</v>
      </c>
      <c r="G2873">
        <v>-224.53270000000001</v>
      </c>
      <c r="H2873" s="1">
        <v>8.3425439999999997E-7</v>
      </c>
      <c r="I2873">
        <v>215.5556</v>
      </c>
      <c r="J2873">
        <v>-257.05869999999999</v>
      </c>
      <c r="K2873">
        <v>1.1108039999999999</v>
      </c>
      <c r="L2873">
        <v>213.66970000000001</v>
      </c>
      <c r="M2873">
        <v>0.99984039999999996</v>
      </c>
      <c r="N2873">
        <v>0</v>
      </c>
      <c r="O2873">
        <v>1.085672E-2</v>
      </c>
      <c r="P2873">
        <v>0.9790837</v>
      </c>
      <c r="Q2873">
        <v>0.20144239999999999</v>
      </c>
      <c r="R2873">
        <v>-2.8572799999999999E-2</v>
      </c>
      <c r="S2873">
        <v>3.090652</v>
      </c>
      <c r="T2873">
        <v>-0.104269899999999</v>
      </c>
      <c r="U2873">
        <v>0.17749019999999999</v>
      </c>
      <c r="V2873">
        <v>3.8765960000000002E-2</v>
      </c>
      <c r="W2873">
        <v>0.21539530000000001</v>
      </c>
      <c r="X2873">
        <v>0.97575719999999999</v>
      </c>
      <c r="Y2873">
        <v>-4.6470089999999999E-2</v>
      </c>
      <c r="Z2873">
        <v>4.1714459999999998E-4</v>
      </c>
      <c r="AA2873">
        <v>0.99891960000000002</v>
      </c>
      <c r="AB2873">
        <v>39</v>
      </c>
      <c r="AC2873">
        <v>32.525999999999897</v>
      </c>
      <c r="AD2873">
        <v>-1.1108031657455999</v>
      </c>
      <c r="AE2873">
        <v>1.8858999999999899</v>
      </c>
      <c r="AF2873">
        <v>-1.5308481503309499</v>
      </c>
      <c r="AG2873">
        <v>-1.1108031657455999</v>
      </c>
      <c r="AH2873">
        <v>32.506773564011198</v>
      </c>
      <c r="AI2873">
        <v>91.954952658471598</v>
      </c>
      <c r="AJ2873">
        <v>92.696249845270202</v>
      </c>
      <c r="AK2873">
        <v>32.5617522144356</v>
      </c>
      <c r="AL2873">
        <v>77.561280592112695</v>
      </c>
      <c r="AM2873">
        <v>87.7248864855205</v>
      </c>
      <c r="AN2873">
        <v>1.0000000241343201</v>
      </c>
    </row>
    <row r="2874" spans="1:40" x14ac:dyDescent="0.25">
      <c r="A2874" t="str">
        <f>"20190312172717362"</f>
        <v>20190312172717362</v>
      </c>
      <c r="B2874" t="str">
        <f>"1552382837352286"</f>
        <v>1552382837352286</v>
      </c>
      <c r="C2874" t="s">
        <v>40</v>
      </c>
      <c r="D2874">
        <v>3.3674949999999999</v>
      </c>
      <c r="E2874">
        <v>0.47001939999999998</v>
      </c>
      <c r="F2874" t="s">
        <v>48</v>
      </c>
      <c r="G2874">
        <v>-223.6943</v>
      </c>
      <c r="H2874" s="1">
        <v>3.8494530000000001E-7</v>
      </c>
      <c r="I2874">
        <v>215.62729999999999</v>
      </c>
      <c r="J2874">
        <v>-256.62299999999999</v>
      </c>
      <c r="K2874">
        <v>1.1108579999999999</v>
      </c>
      <c r="L2874">
        <v>213.6754</v>
      </c>
      <c r="M2874">
        <v>0.99982819999999994</v>
      </c>
      <c r="N2874">
        <v>0</v>
      </c>
      <c r="O2874">
        <v>1.191687E-2</v>
      </c>
      <c r="P2874">
        <v>0.97898890000000005</v>
      </c>
      <c r="Q2874">
        <v>0.2020438</v>
      </c>
      <c r="R2874">
        <v>-2.75515E-2</v>
      </c>
      <c r="S2874">
        <v>3.090576</v>
      </c>
      <c r="T2874">
        <v>-0.10289479999999999</v>
      </c>
      <c r="U2874">
        <v>0.18133540000000001</v>
      </c>
      <c r="V2874">
        <v>3.8752109999999999E-2</v>
      </c>
      <c r="W2874">
        <v>0.21599779999999999</v>
      </c>
      <c r="X2874">
        <v>0.97562450000000001</v>
      </c>
      <c r="Y2874">
        <v>-4.6651980000000003E-2</v>
      </c>
      <c r="Z2874">
        <v>3.7941500000000003E-4</v>
      </c>
      <c r="AA2874">
        <v>0.99891110000000005</v>
      </c>
      <c r="AB2874">
        <v>39</v>
      </c>
      <c r="AC2874">
        <v>32.9286999999999</v>
      </c>
      <c r="AD2874">
        <v>-1.1108576150546901</v>
      </c>
      <c r="AE2874">
        <v>1.95189999999999</v>
      </c>
      <c r="AF2874">
        <v>-1.5575483940503501</v>
      </c>
      <c r="AG2874">
        <v>-1.1108576150546901</v>
      </c>
      <c r="AH2874">
        <v>32.9122989635312</v>
      </c>
      <c r="AI2874">
        <v>91.930956845344397</v>
      </c>
      <c r="AJ2874">
        <v>92.709455759477194</v>
      </c>
      <c r="AK2874">
        <v>32.9678538079989</v>
      </c>
      <c r="AL2874">
        <v>77.5259270115329</v>
      </c>
      <c r="AM2874">
        <v>87.7253894514119</v>
      </c>
      <c r="AN2874">
        <v>0.99999997031726995</v>
      </c>
    </row>
    <row r="2875" spans="1:40" x14ac:dyDescent="0.25">
      <c r="A2875" t="str">
        <f>"20190312172717387"</f>
        <v>20190312172717387</v>
      </c>
      <c r="B2875" t="str">
        <f>"1552382837381566"</f>
        <v>1552382837381566</v>
      </c>
      <c r="C2875" t="s">
        <v>40</v>
      </c>
      <c r="D2875">
        <v>3.4170479999999999</v>
      </c>
      <c r="E2875">
        <v>0.46992519999999999</v>
      </c>
      <c r="F2875" t="s">
        <v>48</v>
      </c>
      <c r="G2875">
        <v>-222.61580000000001</v>
      </c>
      <c r="H2875" s="1">
        <v>-1.927439E-7</v>
      </c>
      <c r="I2875">
        <v>215.714</v>
      </c>
      <c r="J2875">
        <v>-256.1859</v>
      </c>
      <c r="K2875">
        <v>1.1108979999999999</v>
      </c>
      <c r="L2875">
        <v>213.6816</v>
      </c>
      <c r="M2875">
        <v>0.9998146</v>
      </c>
      <c r="N2875">
        <v>0</v>
      </c>
      <c r="O2875">
        <v>1.301913E-2</v>
      </c>
      <c r="P2875">
        <v>0.9789061</v>
      </c>
      <c r="Q2875">
        <v>0.20255790000000001</v>
      </c>
      <c r="R2875">
        <v>-2.6713130000000002E-2</v>
      </c>
      <c r="S2875">
        <v>3.0904389999999999</v>
      </c>
      <c r="T2875">
        <v>-0.1009504</v>
      </c>
      <c r="U2875">
        <v>0.18525700000000001</v>
      </c>
      <c r="V2875">
        <v>3.8967950000000001E-2</v>
      </c>
      <c r="W2875">
        <v>0.21651229999999999</v>
      </c>
      <c r="X2875">
        <v>0.97550190000000003</v>
      </c>
      <c r="Y2875">
        <v>-4.6817640000000001E-2</v>
      </c>
      <c r="Z2875">
        <v>3.3899640000000002E-4</v>
      </c>
      <c r="AA2875">
        <v>0.9989034</v>
      </c>
      <c r="AB2875">
        <v>39</v>
      </c>
      <c r="AC2875">
        <v>33.570099999999996</v>
      </c>
      <c r="AD2875">
        <v>-1.1108981927438999</v>
      </c>
      <c r="AE2875">
        <v>2.03240000000002</v>
      </c>
      <c r="AF2875">
        <v>-1.59339172058158</v>
      </c>
      <c r="AG2875">
        <v>-1.1108981927438999</v>
      </c>
      <c r="AH2875">
        <v>33.557103727890201</v>
      </c>
      <c r="AI2875">
        <v>91.893935421761199</v>
      </c>
      <c r="AJ2875">
        <v>92.718533223359401</v>
      </c>
      <c r="AK2875">
        <v>33.613274201931603</v>
      </c>
      <c r="AL2875">
        <v>77.4957344621739</v>
      </c>
      <c r="AM2875">
        <v>87.712446676407396</v>
      </c>
      <c r="AN2875">
        <v>1.0000000170410499</v>
      </c>
    </row>
    <row r="2876" spans="1:40" x14ac:dyDescent="0.25">
      <c r="A2876" t="str">
        <f>"20190312172717404"</f>
        <v>20190312172717404</v>
      </c>
      <c r="B2876" t="str">
        <f>"1552382837402063"</f>
        <v>1552382837402063</v>
      </c>
      <c r="C2876" t="s">
        <v>40</v>
      </c>
      <c r="D2876">
        <v>3.3739569999999999</v>
      </c>
      <c r="E2876">
        <v>0.46987839999999997</v>
      </c>
      <c r="F2876" t="s">
        <v>48</v>
      </c>
      <c r="G2876">
        <v>-221.7748</v>
      </c>
      <c r="H2876" s="1">
        <v>-6.4348040000000001E-7</v>
      </c>
      <c r="I2876">
        <v>215.78620000000001</v>
      </c>
      <c r="J2876">
        <v>-255.8545</v>
      </c>
      <c r="K2876">
        <v>1.110919</v>
      </c>
      <c r="L2876">
        <v>213.6867</v>
      </c>
      <c r="M2876">
        <v>0.99980309999999994</v>
      </c>
      <c r="N2876">
        <v>0</v>
      </c>
      <c r="O2876">
        <v>1.387294E-2</v>
      </c>
      <c r="P2876">
        <v>0.97901490000000002</v>
      </c>
      <c r="Q2876">
        <v>0.2021018</v>
      </c>
      <c r="R2876">
        <v>-2.616574E-2</v>
      </c>
      <c r="S2876">
        <v>3.0904539999999998</v>
      </c>
      <c r="T2876">
        <v>-9.9769709999999998E-2</v>
      </c>
      <c r="U2876">
        <v>0.1890106</v>
      </c>
      <c r="V2876">
        <v>3.9245759999999998E-2</v>
      </c>
      <c r="W2876">
        <v>0.2160588</v>
      </c>
      <c r="X2876">
        <v>0.97559130000000005</v>
      </c>
      <c r="Y2876">
        <v>-4.7173819999999998E-2</v>
      </c>
      <c r="Z2876">
        <v>3.1323700000000001E-4</v>
      </c>
      <c r="AA2876">
        <v>0.99888659999999996</v>
      </c>
      <c r="AB2876">
        <v>39</v>
      </c>
      <c r="AC2876">
        <v>34.079700000000003</v>
      </c>
      <c r="AD2876">
        <v>-1.1109196434803901</v>
      </c>
      <c r="AE2876">
        <v>2.0994999999999999</v>
      </c>
      <c r="AF2876">
        <v>-1.6247447474099099</v>
      </c>
      <c r="AG2876">
        <v>-1.1109196434803901</v>
      </c>
      <c r="AH2876">
        <v>34.069483203781097</v>
      </c>
      <c r="AI2876">
        <v>91.865490080929206</v>
      </c>
      <c r="AJ2876">
        <v>92.730318551911793</v>
      </c>
      <c r="AK2876">
        <v>34.126289334195498</v>
      </c>
      <c r="AL2876">
        <v>77.522347944072905</v>
      </c>
      <c r="AM2876">
        <v>87.696366669409201</v>
      </c>
      <c r="AN2876">
        <v>1.0000000096855499</v>
      </c>
    </row>
    <row r="2877" spans="1:40" x14ac:dyDescent="0.25">
      <c r="A2877" t="str">
        <f>"20190312172717428"</f>
        <v>20190312172717428</v>
      </c>
      <c r="B2877" t="str">
        <f>"1552382837421582"</f>
        <v>1552382837421582</v>
      </c>
      <c r="C2877" t="s">
        <v>40</v>
      </c>
      <c r="D2877">
        <v>3.3806720000000001</v>
      </c>
      <c r="E2877">
        <v>0.46985290000000002</v>
      </c>
      <c r="F2877" t="s">
        <v>48</v>
      </c>
      <c r="G2877">
        <v>-221.92330000000001</v>
      </c>
      <c r="H2877" s="1">
        <v>-5.6444200000000005E-7</v>
      </c>
      <c r="I2877">
        <v>215.78620000000001</v>
      </c>
      <c r="J2877">
        <v>-255.46170000000001</v>
      </c>
      <c r="K2877">
        <v>1.110935</v>
      </c>
      <c r="L2877">
        <v>213.69309999999999</v>
      </c>
      <c r="M2877">
        <v>0.99978849999999997</v>
      </c>
      <c r="N2877">
        <v>0</v>
      </c>
      <c r="O2877">
        <v>1.4895159999999999E-2</v>
      </c>
      <c r="P2877">
        <v>0.9792149</v>
      </c>
      <c r="Q2877">
        <v>0.2012523</v>
      </c>
      <c r="R2877">
        <v>-2.5223619999999999E-2</v>
      </c>
      <c r="S2877">
        <v>3.0903019999999999</v>
      </c>
      <c r="T2877">
        <v>-0.1011777</v>
      </c>
      <c r="U2877">
        <v>0.19120789999999999</v>
      </c>
      <c r="V2877">
        <v>3.9296930000000001E-2</v>
      </c>
      <c r="W2877">
        <v>0.2152123</v>
      </c>
      <c r="X2877">
        <v>0.97577630000000004</v>
      </c>
      <c r="Y2877">
        <v>-4.6863309999999998E-2</v>
      </c>
      <c r="Z2877">
        <v>2.7916730000000003E-4</v>
      </c>
      <c r="AA2877">
        <v>0.99890120000000004</v>
      </c>
      <c r="AB2877">
        <v>39</v>
      </c>
      <c r="AC2877">
        <v>33.538400000000003</v>
      </c>
      <c r="AD2877">
        <v>-1.110935564442</v>
      </c>
      <c r="AE2877">
        <v>2.0931000000000202</v>
      </c>
      <c r="AF2877">
        <v>-1.59151820899913</v>
      </c>
      <c r="AG2877">
        <v>-1.110935564442</v>
      </c>
      <c r="AH2877">
        <v>33.529212593508198</v>
      </c>
      <c r="AI2877">
        <v>91.895574924980195</v>
      </c>
      <c r="AJ2877">
        <v>92.717596916725</v>
      </c>
      <c r="AK2877">
        <v>33.585342117932697</v>
      </c>
      <c r="AL2877">
        <v>77.572017040212003</v>
      </c>
      <c r="AM2877">
        <v>87.693803202052607</v>
      </c>
      <c r="AN2877">
        <v>0.99999998521020195</v>
      </c>
    </row>
    <row r="2878" spans="1:40" x14ac:dyDescent="0.25">
      <c r="A2878" t="str">
        <f>"20190312172717450"</f>
        <v>20190312172717450</v>
      </c>
      <c r="B2878" t="str">
        <f>"1552382837442078"</f>
        <v>1552382837442078</v>
      </c>
      <c r="C2878" t="s">
        <v>40</v>
      </c>
      <c r="D2878">
        <v>3.4225089999999998</v>
      </c>
      <c r="E2878">
        <v>0.4699566</v>
      </c>
      <c r="F2878" t="s">
        <v>48</v>
      </c>
      <c r="G2878">
        <v>-222.55539999999999</v>
      </c>
      <c r="H2878" s="1">
        <v>-2.2700030000000001E-7</v>
      </c>
      <c r="I2878">
        <v>215.76169999999999</v>
      </c>
      <c r="J2878">
        <v>-255.072</v>
      </c>
      <c r="K2878">
        <v>1.1109560000000001</v>
      </c>
      <c r="L2878">
        <v>213.69980000000001</v>
      </c>
      <c r="M2878">
        <v>0.99977280000000002</v>
      </c>
      <c r="N2878">
        <v>0</v>
      </c>
      <c r="O2878">
        <v>1.59148E-2</v>
      </c>
      <c r="P2878">
        <v>0.9795952</v>
      </c>
      <c r="Q2878">
        <v>0.199542</v>
      </c>
      <c r="R2878">
        <v>-2.4011379999999999E-2</v>
      </c>
      <c r="S2878">
        <v>3.0901339999999999</v>
      </c>
      <c r="T2878">
        <v>-0.1043246</v>
      </c>
      <c r="U2878">
        <v>0.1942596</v>
      </c>
      <c r="V2878">
        <v>3.908375E-2</v>
      </c>
      <c r="W2878">
        <v>0.2135068</v>
      </c>
      <c r="X2878">
        <v>0.97615949999999996</v>
      </c>
      <c r="Y2878">
        <v>-4.68301E-2</v>
      </c>
      <c r="Z2878">
        <v>2.5292130000000002E-4</v>
      </c>
      <c r="AA2878">
        <v>0.99890290000000004</v>
      </c>
      <c r="AB2878">
        <v>39</v>
      </c>
      <c r="AC2878">
        <v>32.516599999999997</v>
      </c>
      <c r="AD2878">
        <v>-1.1109562270002999</v>
      </c>
      <c r="AE2878">
        <v>2.0618999999999801</v>
      </c>
      <c r="AF2878">
        <v>-1.5422984719779</v>
      </c>
      <c r="AG2878">
        <v>-1.1109562270002999</v>
      </c>
      <c r="AH2878">
        <v>32.507504876311103</v>
      </c>
      <c r="AI2878">
        <v>91.955145519257698</v>
      </c>
      <c r="AJ2878">
        <v>92.716325937250005</v>
      </c>
      <c r="AK2878">
        <v>32.563027832165297</v>
      </c>
      <c r="AL2878">
        <v>77.672061113854696</v>
      </c>
      <c r="AM2878">
        <v>87.707200028713103</v>
      </c>
      <c r="AN2878">
        <v>1.0000000313002699</v>
      </c>
    </row>
    <row r="2879" spans="1:40" x14ac:dyDescent="0.25">
      <c r="A2879" t="str">
        <f>"20190312172717471"</f>
        <v>20190312172717471</v>
      </c>
      <c r="B2879" t="str">
        <f>"1552382837461598"</f>
        <v>1552382837461598</v>
      </c>
      <c r="C2879" t="s">
        <v>40</v>
      </c>
      <c r="D2879">
        <v>3.46929</v>
      </c>
      <c r="E2879">
        <v>0.4700703</v>
      </c>
      <c r="F2879" t="s">
        <v>48</v>
      </c>
      <c r="G2879">
        <v>-223.77500000000001</v>
      </c>
      <c r="H2879" s="1">
        <v>4.251273E-7</v>
      </c>
      <c r="I2879">
        <v>215.69049999999999</v>
      </c>
      <c r="J2879">
        <v>-254.6987</v>
      </c>
      <c r="K2879">
        <v>1.11097</v>
      </c>
      <c r="L2879">
        <v>213.70670000000001</v>
      </c>
      <c r="M2879">
        <v>0.9997568</v>
      </c>
      <c r="N2879">
        <v>0</v>
      </c>
      <c r="O2879">
        <v>1.6891880000000001E-2</v>
      </c>
      <c r="P2879">
        <v>0.97976600000000003</v>
      </c>
      <c r="Q2879">
        <v>0.19883419999999999</v>
      </c>
      <c r="R2879">
        <v>-2.2893520000000001E-2</v>
      </c>
      <c r="S2879">
        <v>3.089661</v>
      </c>
      <c r="T2879">
        <v>-0.1096742</v>
      </c>
      <c r="U2879">
        <v>0.1965179</v>
      </c>
      <c r="V2879">
        <v>3.892023E-2</v>
      </c>
      <c r="W2879">
        <v>0.21279999999999999</v>
      </c>
      <c r="X2879">
        <v>0.97632030000000003</v>
      </c>
      <c r="Y2879">
        <v>-4.6589560000000002E-2</v>
      </c>
      <c r="Z2879">
        <v>2.270258E-4</v>
      </c>
      <c r="AA2879">
        <v>0.99891410000000003</v>
      </c>
      <c r="AB2879">
        <v>39</v>
      </c>
      <c r="AC2879">
        <v>30.9237</v>
      </c>
      <c r="AD2879">
        <v>-1.1109695748727</v>
      </c>
      <c r="AE2879">
        <v>1.98379999999997</v>
      </c>
      <c r="AF2879">
        <v>-1.45922927139158</v>
      </c>
      <c r="AG2879">
        <v>-1.1109695748727</v>
      </c>
      <c r="AH2879">
        <v>30.9130648537041</v>
      </c>
      <c r="AI2879">
        <v>92.055951942159396</v>
      </c>
      <c r="AJ2879">
        <v>92.702600418840603</v>
      </c>
      <c r="AK2879">
        <v>30.967421302266899</v>
      </c>
      <c r="AL2879">
        <v>77.713509638430494</v>
      </c>
      <c r="AM2879">
        <v>87.717158202390806</v>
      </c>
      <c r="AN2879">
        <v>0.99999997624767101</v>
      </c>
    </row>
    <row r="2880" spans="1:40" x14ac:dyDescent="0.25">
      <c r="A2880" t="str">
        <f>"20190312172717493"</f>
        <v>20190312172717493</v>
      </c>
      <c r="B2880" t="str">
        <f>"1552382837482094"</f>
        <v>1552382837482094</v>
      </c>
      <c r="C2880" t="s">
        <v>40</v>
      </c>
      <c r="D2880">
        <v>3.4457110000000002</v>
      </c>
      <c r="E2880">
        <v>0.47016279999999999</v>
      </c>
      <c r="F2880" t="s">
        <v>48</v>
      </c>
      <c r="G2880">
        <v>-223.9974</v>
      </c>
      <c r="H2880" s="1">
        <v>5.4377129999999996E-7</v>
      </c>
      <c r="I2880">
        <v>215.6842</v>
      </c>
      <c r="J2880">
        <v>-254.31659999999999</v>
      </c>
      <c r="K2880">
        <v>1.1109869999999999</v>
      </c>
      <c r="L2880">
        <v>213.714</v>
      </c>
      <c r="M2880">
        <v>0.9997393</v>
      </c>
      <c r="N2880">
        <v>0</v>
      </c>
      <c r="O2880">
        <v>1.789116E-2</v>
      </c>
      <c r="P2880">
        <v>0.97981379999999996</v>
      </c>
      <c r="Q2880">
        <v>0.19866880000000001</v>
      </c>
      <c r="R2880">
        <v>-2.226363E-2</v>
      </c>
      <c r="S2880">
        <v>3.0892789999999999</v>
      </c>
      <c r="T2880">
        <v>-0.111789899999999</v>
      </c>
      <c r="U2880">
        <v>0.1989899</v>
      </c>
      <c r="V2880">
        <v>3.9264670000000002E-2</v>
      </c>
      <c r="W2880">
        <v>0.21263499999999999</v>
      </c>
      <c r="X2880">
        <v>0.9763425</v>
      </c>
      <c r="Y2880">
        <v>-4.639501E-2</v>
      </c>
      <c r="Z2880">
        <v>1.918104E-4</v>
      </c>
      <c r="AA2880">
        <v>0.99892320000000001</v>
      </c>
      <c r="AB2880">
        <v>39</v>
      </c>
      <c r="AC2880">
        <v>30.319199999999899</v>
      </c>
      <c r="AD2880">
        <v>-1.1109864562287</v>
      </c>
      <c r="AE2880">
        <v>1.97019999999997</v>
      </c>
      <c r="AF2880">
        <v>-1.4254783849549599</v>
      </c>
      <c r="AG2880">
        <v>-1.1109864562287</v>
      </c>
      <c r="AH2880">
        <v>30.309073697600599</v>
      </c>
      <c r="AI2880">
        <v>92.096935050896505</v>
      </c>
      <c r="AJ2880">
        <v>92.6927169151448</v>
      </c>
      <c r="AK2880">
        <v>30.362908752925499</v>
      </c>
      <c r="AL2880">
        <v>77.723185385546898</v>
      </c>
      <c r="AM2880">
        <v>87.697029257234306</v>
      </c>
      <c r="AN2880">
        <v>1.00000001742072</v>
      </c>
    </row>
    <row r="2881" spans="1:40" x14ac:dyDescent="0.25">
      <c r="A2881" t="str">
        <f>"20190312172717514"</f>
        <v>20190312172717514</v>
      </c>
      <c r="B2881" t="str">
        <f>"1552382837512351"</f>
        <v>1552382837512351</v>
      </c>
      <c r="C2881" t="s">
        <v>40</v>
      </c>
      <c r="D2881">
        <v>3.3975819999999999</v>
      </c>
      <c r="E2881">
        <v>0.4702865</v>
      </c>
      <c r="F2881" t="s">
        <v>48</v>
      </c>
      <c r="G2881">
        <v>-223.73390000000001</v>
      </c>
      <c r="H2881" s="1">
        <v>4.0293989999999999E-7</v>
      </c>
      <c r="I2881">
        <v>215.69720000000001</v>
      </c>
      <c r="J2881">
        <v>-253.94919999999999</v>
      </c>
      <c r="K2881">
        <v>1.1109990000000001</v>
      </c>
      <c r="L2881">
        <v>213.72149999999999</v>
      </c>
      <c r="M2881">
        <v>0.99972169999999905</v>
      </c>
      <c r="N2881">
        <v>0</v>
      </c>
      <c r="O2881">
        <v>1.8850519999999999E-2</v>
      </c>
      <c r="P2881">
        <v>0.97960069999999999</v>
      </c>
      <c r="Q2881">
        <v>0.1997826</v>
      </c>
      <c r="R2881">
        <v>-2.166218E-2</v>
      </c>
      <c r="S2881">
        <v>3.0890960000000001</v>
      </c>
      <c r="T2881">
        <v>-0.1122185</v>
      </c>
      <c r="U2881">
        <v>0.20031740000000001</v>
      </c>
      <c r="V2881">
        <v>3.9591870000000001E-2</v>
      </c>
      <c r="W2881">
        <v>0.21374570000000001</v>
      </c>
      <c r="X2881">
        <v>0.97608669999999997</v>
      </c>
      <c r="Y2881">
        <v>-4.5868550000000001E-2</v>
      </c>
      <c r="Z2881">
        <v>1.4821349999999999E-4</v>
      </c>
      <c r="AA2881">
        <v>0.99894749999999999</v>
      </c>
      <c r="AB2881">
        <v>39</v>
      </c>
      <c r="AC2881">
        <v>30.2152999999999</v>
      </c>
      <c r="AD2881">
        <v>-1.1109985970601</v>
      </c>
      <c r="AE2881">
        <v>1.97570000000001</v>
      </c>
      <c r="AF2881">
        <v>-1.4038275748595599</v>
      </c>
      <c r="AG2881">
        <v>-1.1109985970601</v>
      </c>
      <c r="AH2881">
        <v>30.2065117658627</v>
      </c>
      <c r="AI2881">
        <v>92.104126112609606</v>
      </c>
      <c r="AJ2881">
        <v>92.660868701423695</v>
      </c>
      <c r="AK2881">
        <v>30.259517557353899</v>
      </c>
      <c r="AL2881">
        <v>77.658049227772295</v>
      </c>
      <c r="AM2881">
        <v>87.677251194041006</v>
      </c>
      <c r="AN2881">
        <v>0.99999999317773802</v>
      </c>
    </row>
    <row r="2882" spans="1:40" x14ac:dyDescent="0.25">
      <c r="A2882" t="str">
        <f>"20190312172717537"</f>
        <v>20190312172717537</v>
      </c>
      <c r="B2882" t="str">
        <f>"1552382837531870"</f>
        <v>1552382837531870</v>
      </c>
      <c r="C2882" t="s">
        <v>40</v>
      </c>
      <c r="D2882">
        <v>3.4028969999999998</v>
      </c>
      <c r="E2882">
        <v>0.470362</v>
      </c>
      <c r="F2882" t="s">
        <v>48</v>
      </c>
      <c r="G2882">
        <v>-222.42080000000001</v>
      </c>
      <c r="H2882" s="1">
        <v>-2.989042E-7</v>
      </c>
      <c r="I2882">
        <v>215.76849999999999</v>
      </c>
      <c r="J2882">
        <v>-253.55090000000001</v>
      </c>
      <c r="K2882">
        <v>1.111008</v>
      </c>
      <c r="L2882">
        <v>213.72989999999999</v>
      </c>
      <c r="M2882">
        <v>0.99970190000000003</v>
      </c>
      <c r="N2882">
        <v>0</v>
      </c>
      <c r="O2882">
        <v>1.988931E-2</v>
      </c>
      <c r="P2882">
        <v>0.97951560000000004</v>
      </c>
      <c r="Q2882">
        <v>0.2003095</v>
      </c>
      <c r="R2882">
        <v>-2.0640530000000001E-2</v>
      </c>
      <c r="S2882">
        <v>3.0891109999999999</v>
      </c>
      <c r="T2882">
        <v>-0.1088543</v>
      </c>
      <c r="U2882">
        <v>0.2005615</v>
      </c>
      <c r="V2882">
        <v>3.9580799999999999E-2</v>
      </c>
      <c r="W2882">
        <v>0.21426970000000001</v>
      </c>
      <c r="X2882">
        <v>0.97597219999999996</v>
      </c>
      <c r="Y2882">
        <v>-4.4911109999999997E-2</v>
      </c>
      <c r="Z2882" s="1">
        <v>9.0383629999999995E-5</v>
      </c>
      <c r="AA2882">
        <v>0.99899099999999996</v>
      </c>
      <c r="AB2882">
        <v>39</v>
      </c>
      <c r="AC2882">
        <v>31.130099999999999</v>
      </c>
      <c r="AD2882">
        <v>-1.1110082989041901</v>
      </c>
      <c r="AE2882">
        <v>2.0386000000000002</v>
      </c>
      <c r="AF2882">
        <v>-1.41718098052139</v>
      </c>
      <c r="AG2882">
        <v>-1.1110082989041901</v>
      </c>
      <c r="AH2882">
        <v>31.1250160432439</v>
      </c>
      <c r="AI2882">
        <v>92.042192471784603</v>
      </c>
      <c r="AJ2882">
        <v>92.606984885111501</v>
      </c>
      <c r="AK2882">
        <v>31.1770647281616</v>
      </c>
      <c r="AL2882">
        <v>77.627313494848096</v>
      </c>
      <c r="AM2882">
        <v>87.677627802223697</v>
      </c>
      <c r="AN2882">
        <v>0.99999993961978295</v>
      </c>
    </row>
    <row r="2883" spans="1:40" x14ac:dyDescent="0.25">
      <c r="A2883" t="str">
        <f>"20190312172717564"</f>
        <v>20190312172717564</v>
      </c>
      <c r="B2883" t="str">
        <f>"1552382837552366"</f>
        <v>1552382837552366</v>
      </c>
      <c r="C2883" t="s">
        <v>40</v>
      </c>
      <c r="D2883">
        <v>3.4263720000000002</v>
      </c>
      <c r="E2883">
        <v>0.47042329999999999</v>
      </c>
      <c r="F2883" t="s">
        <v>48</v>
      </c>
      <c r="G2883">
        <v>-221.60499999999999</v>
      </c>
      <c r="H2883" s="1">
        <v>-7.3588749999999999E-7</v>
      </c>
      <c r="I2883">
        <v>215.83320000000001</v>
      </c>
      <c r="J2883">
        <v>-253.09469999999999</v>
      </c>
      <c r="K2883">
        <v>1.1110089999999999</v>
      </c>
      <c r="L2883">
        <v>213.74019999999999</v>
      </c>
      <c r="M2883">
        <v>0.99967729999999999</v>
      </c>
      <c r="N2883">
        <v>0</v>
      </c>
      <c r="O2883">
        <v>2.107995E-2</v>
      </c>
      <c r="P2883">
        <v>0.97955199999999998</v>
      </c>
      <c r="Q2883">
        <v>0.2002401</v>
      </c>
      <c r="R2883">
        <v>-1.9534880000000001E-2</v>
      </c>
      <c r="S2883">
        <v>3.0889739999999999</v>
      </c>
      <c r="T2883">
        <v>-0.1074276</v>
      </c>
      <c r="U2883">
        <v>0.2033691</v>
      </c>
      <c r="V2883">
        <v>3.9639590000000002E-2</v>
      </c>
      <c r="W2883">
        <v>0.21419849999999999</v>
      </c>
      <c r="X2883">
        <v>0.97598549999999995</v>
      </c>
      <c r="Y2883">
        <v>-4.4629599999999998E-2</v>
      </c>
      <c r="Z2883" s="1">
        <v>4.2979899999999998E-5</v>
      </c>
      <c r="AA2883">
        <v>0.99900359999999999</v>
      </c>
      <c r="AB2883">
        <v>39</v>
      </c>
      <c r="AC2883">
        <v>31.489699999999999</v>
      </c>
      <c r="AD2883">
        <v>-1.1110097358875</v>
      </c>
      <c r="AE2883">
        <v>2.0930000000000102</v>
      </c>
      <c r="AF2883">
        <v>-1.4268984395186799</v>
      </c>
      <c r="AG2883">
        <v>-1.1110097358875</v>
      </c>
      <c r="AH2883">
        <v>31.4878025962532</v>
      </c>
      <c r="AI2883">
        <v>92.018705299006001</v>
      </c>
      <c r="AJ2883">
        <v>92.594635323969896</v>
      </c>
      <c r="AK2883">
        <v>31.539690774174499</v>
      </c>
      <c r="AL2883">
        <v>77.631490621698205</v>
      </c>
      <c r="AM2883">
        <v>87.674213790383106</v>
      </c>
      <c r="AN2883">
        <v>0.99999999535393402</v>
      </c>
    </row>
    <row r="2884" spans="1:40" x14ac:dyDescent="0.25">
      <c r="A2884" t="str">
        <f>"20190312172717588"</f>
        <v>20190312172717588</v>
      </c>
      <c r="B2884" t="str">
        <f>"1552382837581646"</f>
        <v>1552382837581646</v>
      </c>
      <c r="C2884" t="s">
        <v>40</v>
      </c>
      <c r="D2884">
        <v>3.4668019999999902</v>
      </c>
      <c r="E2884">
        <v>0.470495</v>
      </c>
      <c r="F2884" t="s">
        <v>48</v>
      </c>
      <c r="G2884">
        <v>-221.27690000000001</v>
      </c>
      <c r="H2884" s="1">
        <v>-9.1198220000000003E-7</v>
      </c>
      <c r="I2884">
        <v>215.86779999999999</v>
      </c>
      <c r="J2884">
        <v>-252.66890000000001</v>
      </c>
      <c r="K2884">
        <v>1.111002</v>
      </c>
      <c r="L2884">
        <v>213.75020000000001</v>
      </c>
      <c r="M2884">
        <v>0.99965340000000003</v>
      </c>
      <c r="N2884">
        <v>0</v>
      </c>
      <c r="O2884">
        <v>2.2191160000000001E-2</v>
      </c>
      <c r="P2884">
        <v>0.97969070000000003</v>
      </c>
      <c r="Q2884">
        <v>0.19958809999999999</v>
      </c>
      <c r="R2884">
        <v>-1.9271549999999998E-2</v>
      </c>
      <c r="S2884">
        <v>3.0887910000000001</v>
      </c>
      <c r="T2884">
        <v>-0.10785409999999999</v>
      </c>
      <c r="U2884">
        <v>0.206543</v>
      </c>
      <c r="V2884">
        <v>4.0467410000000002E-2</v>
      </c>
      <c r="W2884">
        <v>0.21354819999999999</v>
      </c>
      <c r="X2884">
        <v>0.97609400000000002</v>
      </c>
      <c r="Y2884">
        <v>-4.4545630000000003E-2</v>
      </c>
      <c r="Z2884" s="1">
        <v>2.9604999999999999E-6</v>
      </c>
      <c r="AA2884">
        <v>0.99900730000000004</v>
      </c>
      <c r="AB2884">
        <v>39</v>
      </c>
      <c r="AC2884">
        <v>31.391999999999999</v>
      </c>
      <c r="AD2884">
        <v>-1.1110029119822</v>
      </c>
      <c r="AE2884">
        <v>2.1175999999999799</v>
      </c>
      <c r="AF2884">
        <v>-1.4186148133993599</v>
      </c>
      <c r="AG2884">
        <v>-1.1110029119822</v>
      </c>
      <c r="AH2884">
        <v>31.392122902073101</v>
      </c>
      <c r="AI2884">
        <v>92.024852037688802</v>
      </c>
      <c r="AJ2884">
        <v>92.587444641056294</v>
      </c>
      <c r="AK2884">
        <v>31.4437939148266</v>
      </c>
      <c r="AL2884">
        <v>77.669632314558697</v>
      </c>
      <c r="AM2884">
        <v>87.625961482763898</v>
      </c>
      <c r="AN2884">
        <v>0.99999997091567305</v>
      </c>
    </row>
    <row r="2885" spans="1:40" x14ac:dyDescent="0.25">
      <c r="A2885" t="str">
        <f>"20190312172717607"</f>
        <v>20190312172717607</v>
      </c>
      <c r="B2885" t="str">
        <f>"1552382837602143"</f>
        <v>1552382837602143</v>
      </c>
      <c r="C2885" t="s">
        <v>40</v>
      </c>
      <c r="D2885">
        <v>3.4432939999999999</v>
      </c>
      <c r="E2885">
        <v>0.4705395</v>
      </c>
      <c r="F2885" t="s">
        <v>48</v>
      </c>
      <c r="G2885">
        <v>-221.68049999999999</v>
      </c>
      <c r="H2885" s="1">
        <v>-6.9535510000000001E-7</v>
      </c>
      <c r="I2885">
        <v>215.8254</v>
      </c>
      <c r="J2885">
        <v>-252.32929999999999</v>
      </c>
      <c r="K2885">
        <v>1.110989</v>
      </c>
      <c r="L2885">
        <v>213.7586</v>
      </c>
      <c r="M2885">
        <v>0.99963329999999995</v>
      </c>
      <c r="N2885">
        <v>0</v>
      </c>
      <c r="O2885">
        <v>2.307818E-2</v>
      </c>
      <c r="P2885">
        <v>0.98007230000000001</v>
      </c>
      <c r="Q2885">
        <v>0.19768820000000001</v>
      </c>
      <c r="R2885">
        <v>-1.9440320000000001E-2</v>
      </c>
      <c r="S2885">
        <v>3.0888209999999998</v>
      </c>
      <c r="T2885">
        <v>-0.11074100000000001</v>
      </c>
      <c r="U2885">
        <v>0.20684810000000001</v>
      </c>
      <c r="V2885">
        <v>4.1517900000000003E-2</v>
      </c>
      <c r="W2885">
        <v>0.2116546</v>
      </c>
      <c r="X2885">
        <v>0.97646230000000001</v>
      </c>
      <c r="Y2885">
        <v>-4.37571E-2</v>
      </c>
      <c r="Z2885" s="1">
        <v>-4.2816160000000002E-5</v>
      </c>
      <c r="AA2885">
        <v>0.99904219999999999</v>
      </c>
      <c r="AB2885">
        <v>39</v>
      </c>
      <c r="AC2885">
        <v>30.648799999999898</v>
      </c>
      <c r="AD2885">
        <v>-1.1109896953550999</v>
      </c>
      <c r="AE2885">
        <v>2.0668000000000002</v>
      </c>
      <c r="AF2885">
        <v>-1.3570847968193001</v>
      </c>
      <c r="AG2885">
        <v>-1.1109896953550999</v>
      </c>
      <c r="AH2885">
        <v>30.6482489458398</v>
      </c>
      <c r="AI2885">
        <v>92.074015101917396</v>
      </c>
      <c r="AJ2885">
        <v>92.535364219427507</v>
      </c>
      <c r="AK2885">
        <v>30.698389871377898</v>
      </c>
      <c r="AL2885">
        <v>77.780666505568504</v>
      </c>
      <c r="AM2885">
        <v>87.565324845681999</v>
      </c>
      <c r="AN2885">
        <v>1.0000000145214201</v>
      </c>
    </row>
    <row r="2886" spans="1:40" x14ac:dyDescent="0.25">
      <c r="A2886" t="str">
        <f>"20190312172717630"</f>
        <v>20190312172717630</v>
      </c>
      <c r="B2886" t="str">
        <f>"1552382837621663"</f>
        <v>1552382837621663</v>
      </c>
      <c r="C2886" t="s">
        <v>40</v>
      </c>
      <c r="D2886">
        <v>3.550421</v>
      </c>
      <c r="E2886">
        <v>0.47056209999999998</v>
      </c>
      <c r="F2886" t="s">
        <v>48</v>
      </c>
      <c r="G2886">
        <v>-223.16210000000001</v>
      </c>
      <c r="H2886" s="1">
        <v>9.8454749999999997E-8</v>
      </c>
      <c r="I2886">
        <v>215.7021</v>
      </c>
      <c r="J2886">
        <v>-251.95519999999999</v>
      </c>
      <c r="K2886">
        <v>1.1109800000000001</v>
      </c>
      <c r="L2886">
        <v>213.7681</v>
      </c>
      <c r="M2886">
        <v>0.99961029999999995</v>
      </c>
      <c r="N2886">
        <v>0</v>
      </c>
      <c r="O2886">
        <v>2.405585E-2</v>
      </c>
      <c r="P2886">
        <v>0.9804041</v>
      </c>
      <c r="Q2886">
        <v>0.1959968</v>
      </c>
      <c r="R2886">
        <v>-1.9834089999999999E-2</v>
      </c>
      <c r="S2886">
        <v>3.0888209999999998</v>
      </c>
      <c r="T2886">
        <v>-0.1176542</v>
      </c>
      <c r="U2886">
        <v>0.2058258</v>
      </c>
      <c r="V2886">
        <v>4.2881469999999998E-2</v>
      </c>
      <c r="W2886">
        <v>0.20996860000000001</v>
      </c>
      <c r="X2886">
        <v>0.9767673</v>
      </c>
      <c r="Y2886">
        <v>-4.2450710000000003E-2</v>
      </c>
      <c r="Z2886">
        <v>-1.074985E-4</v>
      </c>
      <c r="AA2886">
        <v>0.9990985</v>
      </c>
      <c r="AB2886">
        <v>39</v>
      </c>
      <c r="AC2886">
        <v>28.7930999999999</v>
      </c>
      <c r="AD2886">
        <v>-1.1109799015452499</v>
      </c>
      <c r="AE2886">
        <v>1.9339999999999899</v>
      </c>
      <c r="AF2886">
        <v>-1.2388920797376</v>
      </c>
      <c r="AG2886">
        <v>-1.1109799015452499</v>
      </c>
      <c r="AH2886">
        <v>28.7886268258504</v>
      </c>
      <c r="AI2886">
        <v>92.207959276694396</v>
      </c>
      <c r="AJ2886">
        <v>92.464150782647494</v>
      </c>
      <c r="AK2886">
        <v>28.8366808846813</v>
      </c>
      <c r="AL2886">
        <v>77.879487818037305</v>
      </c>
      <c r="AM2886">
        <v>87.486248123926202</v>
      </c>
      <c r="AN2886">
        <v>0.99999999590230504</v>
      </c>
    </row>
    <row r="2887" spans="1:40" x14ac:dyDescent="0.25">
      <c r="A2887" t="str">
        <f>"20190312172717648"</f>
        <v>20190312172717648</v>
      </c>
      <c r="B2887" t="str">
        <f>"1552382837642158"</f>
        <v>1552382837642158</v>
      </c>
      <c r="C2887" t="s">
        <v>40</v>
      </c>
      <c r="D2887">
        <v>3.501239</v>
      </c>
      <c r="E2887">
        <v>0.47064590000000001</v>
      </c>
      <c r="F2887" t="s">
        <v>48</v>
      </c>
      <c r="G2887">
        <v>-224.33459999999999</v>
      </c>
      <c r="H2887" s="1">
        <v>7.2695849999999905E-7</v>
      </c>
      <c r="I2887">
        <v>215.5977</v>
      </c>
      <c r="J2887">
        <v>-251.619</v>
      </c>
      <c r="K2887">
        <v>1.1109719999999901</v>
      </c>
      <c r="L2887">
        <v>213.77699999999999</v>
      </c>
      <c r="M2887">
        <v>0.9995887</v>
      </c>
      <c r="N2887">
        <v>0</v>
      </c>
      <c r="O2887">
        <v>2.493445E-2</v>
      </c>
      <c r="P2887">
        <v>0.98064059999999997</v>
      </c>
      <c r="Q2887">
        <v>0.19467660000000001</v>
      </c>
      <c r="R2887">
        <v>-2.1093500000000001E-2</v>
      </c>
      <c r="S2887">
        <v>3.088943</v>
      </c>
      <c r="T2887">
        <v>-0.1242461</v>
      </c>
      <c r="U2887">
        <v>0.20460510000000001</v>
      </c>
      <c r="V2887">
        <v>4.5010689999999999E-2</v>
      </c>
      <c r="W2887">
        <v>0.2086547</v>
      </c>
      <c r="X2887">
        <v>0.97695299999999996</v>
      </c>
      <c r="Y2887">
        <v>-4.1176999999999998E-2</v>
      </c>
      <c r="Z2887">
        <v>-1.7436099999999999E-4</v>
      </c>
      <c r="AA2887">
        <v>0.99915180000000003</v>
      </c>
      <c r="AB2887">
        <v>39</v>
      </c>
      <c r="AC2887">
        <v>27.284400000000002</v>
      </c>
      <c r="AD2887">
        <v>-1.11097127304149</v>
      </c>
      <c r="AE2887">
        <v>1.82069999999998</v>
      </c>
      <c r="AF2887">
        <v>-1.13786583514833</v>
      </c>
      <c r="AG2887">
        <v>-1.11097127304149</v>
      </c>
      <c r="AH2887">
        <v>27.276295153472901</v>
      </c>
      <c r="AI2887">
        <v>92.330359635761297</v>
      </c>
      <c r="AJ2887">
        <v>92.388782296976103</v>
      </c>
      <c r="AK2887">
        <v>27.322614683219602</v>
      </c>
      <c r="AL2887">
        <v>77.956473574936496</v>
      </c>
      <c r="AM2887">
        <v>87.362104266815507</v>
      </c>
      <c r="AN2887">
        <v>0.99999995512768203</v>
      </c>
    </row>
    <row r="2888" spans="1:40" x14ac:dyDescent="0.25">
      <c r="A2888" t="str">
        <f>"20190312172717671"</f>
        <v>20190312172717671</v>
      </c>
      <c r="B2888" t="str">
        <f>"1552382837661678"</f>
        <v>1552382837661678</v>
      </c>
      <c r="C2888" t="s">
        <v>40</v>
      </c>
      <c r="D2888">
        <v>3.611354</v>
      </c>
      <c r="E2888">
        <v>0.50046639999999998</v>
      </c>
      <c r="F2888" t="s">
        <v>48</v>
      </c>
      <c r="G2888">
        <v>-225.05860000000001</v>
      </c>
      <c r="H2888" s="1">
        <v>1.1165269999999999E-6</v>
      </c>
      <c r="I2888">
        <v>215.49959999999999</v>
      </c>
      <c r="J2888">
        <v>-251.23099999999999</v>
      </c>
      <c r="K2888">
        <v>1.110967</v>
      </c>
      <c r="L2888">
        <v>213.7876</v>
      </c>
      <c r="M2888">
        <v>0.99956299999999998</v>
      </c>
      <c r="N2888">
        <v>0</v>
      </c>
      <c r="O2888">
        <v>2.5948760000000001E-2</v>
      </c>
      <c r="P2888">
        <v>0.98076549999999996</v>
      </c>
      <c r="Q2888">
        <v>0.19397880000000001</v>
      </c>
      <c r="R2888">
        <v>-2.1710719999999999E-2</v>
      </c>
      <c r="S2888">
        <v>3.089172</v>
      </c>
      <c r="T2888">
        <v>-0.1292142</v>
      </c>
      <c r="U2888">
        <v>0.2003479</v>
      </c>
      <c r="V2888">
        <v>4.662724E-2</v>
      </c>
      <c r="W2888">
        <v>0.2079598</v>
      </c>
      <c r="X2888">
        <v>0.97702540000000004</v>
      </c>
      <c r="Y2888">
        <v>-3.8788980000000001E-2</v>
      </c>
      <c r="Z2888">
        <v>-2.7353529999999998E-4</v>
      </c>
      <c r="AA2888">
        <v>0.99924740000000001</v>
      </c>
      <c r="AB2888">
        <v>39</v>
      </c>
      <c r="AC2888">
        <v>26.1723999999999</v>
      </c>
      <c r="AD2888">
        <v>-1.1109658834729901</v>
      </c>
      <c r="AE2888">
        <v>1.71199999999998</v>
      </c>
      <c r="AF2888">
        <v>-1.03036536380013</v>
      </c>
      <c r="AG2888">
        <v>-1.1109658834729901</v>
      </c>
      <c r="AH2888">
        <v>26.161077004112801</v>
      </c>
      <c r="AI2888">
        <v>92.429800935574207</v>
      </c>
      <c r="AJ2888">
        <v>92.255453378111497</v>
      </c>
      <c r="AK2888">
        <v>26.204920301200701</v>
      </c>
      <c r="AL2888">
        <v>77.997182013318707</v>
      </c>
      <c r="AM2888">
        <v>87.267708046606003</v>
      </c>
      <c r="AN2888">
        <v>1.0000000050855999</v>
      </c>
    </row>
    <row r="2889" spans="1:40" x14ac:dyDescent="0.25">
      <c r="A2889" t="str">
        <f>"20190312172717693"</f>
        <v>20190312172717693</v>
      </c>
      <c r="B2889" t="str">
        <f>"1552382837682175"</f>
        <v>1552382837682175</v>
      </c>
      <c r="C2889" t="s">
        <v>40</v>
      </c>
      <c r="D2889">
        <v>3.5874320000000002</v>
      </c>
      <c r="E2889">
        <v>0.51044279999999997</v>
      </c>
      <c r="F2889" t="s">
        <v>48</v>
      </c>
      <c r="G2889">
        <v>-227.06229999999999</v>
      </c>
      <c r="H2889" s="1">
        <v>2.2709710000000002E-6</v>
      </c>
      <c r="I2889">
        <v>213.4828</v>
      </c>
      <c r="J2889">
        <v>-250.84899999999999</v>
      </c>
      <c r="K2889">
        <v>1.1109709999999999</v>
      </c>
      <c r="L2889">
        <v>213.79849999999999</v>
      </c>
      <c r="M2889">
        <v>0.9995366</v>
      </c>
      <c r="N2889">
        <v>0</v>
      </c>
      <c r="O2889">
        <v>2.6947929999999998E-2</v>
      </c>
      <c r="P2889">
        <v>0.98081300000000005</v>
      </c>
      <c r="Q2889">
        <v>0.1936167</v>
      </c>
      <c r="R2889">
        <v>-2.2774220000000001E-2</v>
      </c>
      <c r="S2889">
        <v>3.0860289999999999</v>
      </c>
      <c r="T2889">
        <v>-0.1418556</v>
      </c>
      <c r="U2889">
        <v>-3.8925170000000002E-2</v>
      </c>
      <c r="V2889">
        <v>4.8672229999999997E-2</v>
      </c>
      <c r="W2889">
        <v>0.2076007</v>
      </c>
      <c r="X2889">
        <v>0.97700200000000004</v>
      </c>
      <c r="Y2889">
        <v>3.9486109999999998E-2</v>
      </c>
      <c r="Z2889">
        <v>-2.1450929999999998E-3</v>
      </c>
      <c r="AA2889">
        <v>0.99921780000000004</v>
      </c>
      <c r="AB2889">
        <v>39</v>
      </c>
      <c r="AC2889">
        <v>23.7867</v>
      </c>
      <c r="AD2889">
        <v>-1.110968729029</v>
      </c>
      <c r="AE2889">
        <v>-0.31569999999999199</v>
      </c>
      <c r="AF2889">
        <v>0.95456995772759401</v>
      </c>
      <c r="AG2889">
        <v>-1.110968729029</v>
      </c>
      <c r="AH2889">
        <v>23.717822600042599</v>
      </c>
      <c r="AI2889">
        <v>92.679670431898998</v>
      </c>
      <c r="AJ2889">
        <v>87.695263657655403</v>
      </c>
      <c r="AK2889">
        <v>23.763008315618801</v>
      </c>
      <c r="AL2889">
        <v>78.018215584450502</v>
      </c>
      <c r="AM2889">
        <v>87.147999950165598</v>
      </c>
      <c r="AN2889">
        <v>0.99999997230883098</v>
      </c>
    </row>
    <row r="2890" spans="1:40" x14ac:dyDescent="0.25">
      <c r="A2890" t="str">
        <f>"20190312172717716"</f>
        <v>20190312172717716</v>
      </c>
      <c r="B2890" t="str">
        <f>"1552382837712430"</f>
        <v>1552382837712430</v>
      </c>
      <c r="C2890" t="s">
        <v>40</v>
      </c>
      <c r="D2890">
        <v>3.8895520000000001</v>
      </c>
      <c r="E2890">
        <v>0.51553379999999904</v>
      </c>
      <c r="F2890" t="s">
        <v>48</v>
      </c>
      <c r="G2890">
        <v>-227.78970000000001</v>
      </c>
      <c r="H2890" s="1">
        <v>2.684051E-6</v>
      </c>
      <c r="I2890">
        <v>212.88759999999999</v>
      </c>
      <c r="J2890">
        <v>-250.45699999999999</v>
      </c>
      <c r="K2890">
        <v>1.1109599999999999</v>
      </c>
      <c r="L2890">
        <v>213.81</v>
      </c>
      <c r="M2890">
        <v>0.99950839999999996</v>
      </c>
      <c r="N2890">
        <v>0</v>
      </c>
      <c r="O2890">
        <v>2.7973020000000001E-2</v>
      </c>
      <c r="P2890">
        <v>0.98070290000000004</v>
      </c>
      <c r="Q2890">
        <v>0.1940915</v>
      </c>
      <c r="R2890">
        <v>-2.3460959999999999E-2</v>
      </c>
      <c r="S2890">
        <v>3.0852050000000002</v>
      </c>
      <c r="T2890">
        <v>-0.148641</v>
      </c>
      <c r="U2890">
        <v>-0.12187190000000001</v>
      </c>
      <c r="V2890">
        <v>5.0359519999999998E-2</v>
      </c>
      <c r="W2890">
        <v>0.20807500000000001</v>
      </c>
      <c r="X2890">
        <v>0.97681560000000001</v>
      </c>
      <c r="Y2890">
        <v>6.7299499999999998E-2</v>
      </c>
      <c r="Z2890">
        <v>-2.9662149999999999E-3</v>
      </c>
      <c r="AA2890">
        <v>0.99772839999999996</v>
      </c>
      <c r="AB2890">
        <v>39</v>
      </c>
      <c r="AC2890">
        <v>22.667299999999901</v>
      </c>
      <c r="AD2890">
        <v>-1.110957315949</v>
      </c>
      <c r="AE2890">
        <v>-0.92240000000000999</v>
      </c>
      <c r="AF2890">
        <v>1.55245235846376</v>
      </c>
      <c r="AG2890">
        <v>-1.110957315949</v>
      </c>
      <c r="AH2890">
        <v>22.578476513810202</v>
      </c>
      <c r="AI2890">
        <v>92.8103002243124</v>
      </c>
      <c r="AJ2890">
        <v>86.0666438045006</v>
      </c>
      <c r="AK2890">
        <v>22.659036523379299</v>
      </c>
      <c r="AL2890">
        <v>77.9904338840077</v>
      </c>
      <c r="AM2890">
        <v>87.048741165115004</v>
      </c>
      <c r="AN2890">
        <v>1.0000000016414901</v>
      </c>
    </row>
    <row r="2891" spans="1:40" x14ac:dyDescent="0.25">
      <c r="A2891" t="str">
        <f>"20190312172717738"</f>
        <v>20190312172717738</v>
      </c>
      <c r="B2891" t="str">
        <f>"1552382837732135"</f>
        <v>1552382837732135</v>
      </c>
      <c r="C2891" t="s">
        <v>40</v>
      </c>
      <c r="D2891">
        <v>3.5822479999999999</v>
      </c>
      <c r="E2891">
        <v>0.51708069999999995</v>
      </c>
      <c r="F2891" t="s">
        <v>48</v>
      </c>
      <c r="G2891">
        <v>-228.07249999999999</v>
      </c>
      <c r="H2891" s="1">
        <v>2.8463289999999999E-6</v>
      </c>
      <c r="I2891">
        <v>212.61789999999999</v>
      </c>
      <c r="J2891">
        <v>-250.0675</v>
      </c>
      <c r="K2891">
        <v>1.1109599999999999</v>
      </c>
      <c r="L2891">
        <v>213.8219</v>
      </c>
      <c r="M2891">
        <v>0.99947949999999997</v>
      </c>
      <c r="N2891">
        <v>0</v>
      </c>
      <c r="O2891">
        <v>2.899156E-2</v>
      </c>
      <c r="P2891">
        <v>0.98073350000000004</v>
      </c>
      <c r="Q2891">
        <v>0.19383690000000001</v>
      </c>
      <c r="R2891">
        <v>-2.4279499999999999E-2</v>
      </c>
      <c r="S2891">
        <v>3.085388</v>
      </c>
      <c r="T2891">
        <v>-0.15312970000000001</v>
      </c>
      <c r="U2891">
        <v>-0.16432189999999999</v>
      </c>
      <c r="V2891">
        <v>5.2177969999999997E-2</v>
      </c>
      <c r="W2891">
        <v>0.20782220000000001</v>
      </c>
      <c r="X2891">
        <v>0.97677400000000003</v>
      </c>
      <c r="Y2891">
        <v>8.1977549999999996E-2</v>
      </c>
      <c r="Z2891">
        <v>-3.4688470000000002E-3</v>
      </c>
      <c r="AA2891">
        <v>0.99662819999999996</v>
      </c>
      <c r="AB2891">
        <v>39</v>
      </c>
      <c r="AC2891">
        <v>21.995000000000001</v>
      </c>
      <c r="AD2891">
        <v>-1.1109571536709999</v>
      </c>
      <c r="AE2891">
        <v>-1.204</v>
      </c>
      <c r="AF2891">
        <v>1.8365555669104301</v>
      </c>
      <c r="AG2891">
        <v>-1.1109571536709999</v>
      </c>
      <c r="AH2891">
        <v>21.895151045665902</v>
      </c>
      <c r="AI2891">
        <v>92.894542010949394</v>
      </c>
      <c r="AJ2891">
        <v>85.205279251538698</v>
      </c>
      <c r="AK2891">
        <v>22.0001091238241</v>
      </c>
      <c r="AL2891">
        <v>78.005242276763695</v>
      </c>
      <c r="AM2891">
        <v>86.942241826072205</v>
      </c>
      <c r="AN2891">
        <v>1.0000000272210801</v>
      </c>
    </row>
    <row r="2892" spans="1:40" x14ac:dyDescent="0.25">
      <c r="A2892" t="str">
        <f>"20190312172717764"</f>
        <v>20190312172717764</v>
      </c>
      <c r="B2892" t="str">
        <f>"1552382837751654"</f>
        <v>1552382837751654</v>
      </c>
      <c r="C2892" t="s">
        <v>40</v>
      </c>
      <c r="D2892">
        <v>3.6026229999999999</v>
      </c>
      <c r="E2892">
        <v>0.51798060000000001</v>
      </c>
      <c r="F2892" t="s">
        <v>48</v>
      </c>
      <c r="G2892">
        <v>-227.87299999999999</v>
      </c>
      <c r="H2892" s="1">
        <v>2.7438560000000002E-6</v>
      </c>
      <c r="I2892">
        <v>212.53380000000001</v>
      </c>
      <c r="J2892">
        <v>-249.63</v>
      </c>
      <c r="K2892">
        <v>1.110954</v>
      </c>
      <c r="L2892">
        <v>213.8357</v>
      </c>
      <c r="M2892">
        <v>0.99944560000000005</v>
      </c>
      <c r="N2892">
        <v>0</v>
      </c>
      <c r="O2892">
        <v>3.0136449999999999E-2</v>
      </c>
      <c r="P2892">
        <v>0.98070230000000003</v>
      </c>
      <c r="Q2892">
        <v>0.1939331</v>
      </c>
      <c r="R2892">
        <v>-2.4760549999999999E-2</v>
      </c>
      <c r="S2892">
        <v>3.0850070000000001</v>
      </c>
      <c r="T2892">
        <v>-0.15442159999999999</v>
      </c>
      <c r="U2892">
        <v>-0.1790466</v>
      </c>
      <c r="V2892">
        <v>5.37802E-2</v>
      </c>
      <c r="W2892">
        <v>0.20791780000000001</v>
      </c>
      <c r="X2892">
        <v>0.9766667</v>
      </c>
      <c r="Y2892">
        <v>8.78554E-2</v>
      </c>
      <c r="Z2892">
        <v>-3.7021979999999999E-3</v>
      </c>
      <c r="AA2892">
        <v>0.99612639999999997</v>
      </c>
      <c r="AB2892">
        <v>39</v>
      </c>
      <c r="AC2892">
        <v>21.757000000000001</v>
      </c>
      <c r="AD2892">
        <v>-1.110951256144</v>
      </c>
      <c r="AE2892">
        <v>-1.3018999999999801</v>
      </c>
      <c r="AF2892">
        <v>1.9519817100516701</v>
      </c>
      <c r="AG2892">
        <v>-1.110951256144</v>
      </c>
      <c r="AH2892">
        <v>21.651626287165001</v>
      </c>
      <c r="AI2892">
        <v>92.925443400204799</v>
      </c>
      <c r="AJ2892">
        <v>84.848480300428307</v>
      </c>
      <c r="AK2892">
        <v>21.767805727012501</v>
      </c>
      <c r="AL2892">
        <v>77.999641932474503</v>
      </c>
      <c r="AM2892">
        <v>86.848188102804002</v>
      </c>
      <c r="AN2892">
        <v>0.99999998217888397</v>
      </c>
    </row>
    <row r="2893" spans="1:40" x14ac:dyDescent="0.25">
      <c r="A2893" t="str">
        <f>"20190312172717788"</f>
        <v>20190312172717788</v>
      </c>
      <c r="B2893" t="str">
        <f>"1552382837781910"</f>
        <v>1552382837781910</v>
      </c>
      <c r="C2893" t="s">
        <v>40</v>
      </c>
      <c r="D2893">
        <v>3.5840450000000001</v>
      </c>
      <c r="E2893">
        <v>0.51894890000000005</v>
      </c>
      <c r="F2893" t="s">
        <v>48</v>
      </c>
      <c r="G2893">
        <v>-227.33519999999999</v>
      </c>
      <c r="H2893" s="1">
        <v>2.4600149999999999E-6</v>
      </c>
      <c r="I2893">
        <v>212.48050000000001</v>
      </c>
      <c r="J2893">
        <v>-249.2039</v>
      </c>
      <c r="K2893">
        <v>1.1109469999999999</v>
      </c>
      <c r="L2893">
        <v>213.84960000000001</v>
      </c>
      <c r="M2893">
        <v>0.9994113</v>
      </c>
      <c r="N2893">
        <v>0</v>
      </c>
      <c r="O2893">
        <v>3.1249550000000001E-2</v>
      </c>
      <c r="P2893">
        <v>0.98092349999999995</v>
      </c>
      <c r="Q2893">
        <v>0.1928021</v>
      </c>
      <c r="R2893">
        <v>-2.4832389999999999E-2</v>
      </c>
      <c r="S2893">
        <v>3.084686</v>
      </c>
      <c r="T2893">
        <v>-0.1537104</v>
      </c>
      <c r="U2893">
        <v>-0.1875</v>
      </c>
      <c r="V2893">
        <v>5.4953979999999999E-2</v>
      </c>
      <c r="W2893">
        <v>0.20678940000000001</v>
      </c>
      <c r="X2893">
        <v>0.97684090000000001</v>
      </c>
      <c r="Y2893">
        <v>9.1685610000000001E-2</v>
      </c>
      <c r="Z2893">
        <v>-3.835944E-3</v>
      </c>
      <c r="AA2893">
        <v>0.99578060000000002</v>
      </c>
      <c r="AB2893">
        <v>39</v>
      </c>
      <c r="AC2893">
        <v>21.8687</v>
      </c>
      <c r="AD2893">
        <v>-1.110944539985</v>
      </c>
      <c r="AE2893">
        <v>-1.3691</v>
      </c>
      <c r="AF2893">
        <v>2.0466256544373298</v>
      </c>
      <c r="AG2893">
        <v>-1.110944539985</v>
      </c>
      <c r="AH2893">
        <v>21.759294287180499</v>
      </c>
      <c r="AI2893">
        <v>92.909939473902796</v>
      </c>
      <c r="AJ2893">
        <v>84.626708333483094</v>
      </c>
      <c r="AK2893">
        <v>21.8835500368758</v>
      </c>
      <c r="AL2893">
        <v>78.065730719500905</v>
      </c>
      <c r="AM2893">
        <v>86.780114565871799</v>
      </c>
      <c r="AN2893">
        <v>0.99999996989150397</v>
      </c>
    </row>
    <row r="2894" spans="1:40" x14ac:dyDescent="0.25">
      <c r="A2894" t="str">
        <f>"20190312172717810"</f>
        <v>20190312172717810</v>
      </c>
      <c r="B2894" t="str">
        <f>"1552382837802406"</f>
        <v>1552382837802406</v>
      </c>
      <c r="C2894" t="s">
        <v>40</v>
      </c>
      <c r="D2894">
        <v>3.6090979999999999</v>
      </c>
      <c r="E2894">
        <v>0.51940029999999904</v>
      </c>
      <c r="F2894" t="s">
        <v>48</v>
      </c>
      <c r="G2894">
        <v>-227.29949999999999</v>
      </c>
      <c r="H2894" s="1">
        <v>2.4417899999999998E-6</v>
      </c>
      <c r="I2894">
        <v>212.4623</v>
      </c>
      <c r="J2894">
        <v>-248.83539999999999</v>
      </c>
      <c r="K2894">
        <v>1.1109420000000001</v>
      </c>
      <c r="L2894">
        <v>213.86199999999999</v>
      </c>
      <c r="M2894">
        <v>0.99938119999999997</v>
      </c>
      <c r="N2894">
        <v>0</v>
      </c>
      <c r="O2894">
        <v>3.2205440000000002E-2</v>
      </c>
      <c r="P2894">
        <v>0.9812111</v>
      </c>
      <c r="Q2894">
        <v>0.1913427</v>
      </c>
      <c r="R2894">
        <v>-2.4761200000000001E-2</v>
      </c>
      <c r="S2894">
        <v>3.084152</v>
      </c>
      <c r="T2894">
        <v>-0.1564217</v>
      </c>
      <c r="U2894">
        <v>-0.1953278</v>
      </c>
      <c r="V2894">
        <v>5.58354E-2</v>
      </c>
      <c r="W2894">
        <v>0.20533270000000001</v>
      </c>
      <c r="X2894">
        <v>0.97709820000000003</v>
      </c>
      <c r="Y2894">
        <v>9.5154429999999998E-2</v>
      </c>
      <c r="Z2894">
        <v>-4.0401359999999997E-3</v>
      </c>
      <c r="AA2894">
        <v>0.99545430000000001</v>
      </c>
      <c r="AB2894">
        <v>39</v>
      </c>
      <c r="AC2894">
        <v>21.535900000000002</v>
      </c>
      <c r="AD2894">
        <v>-1.1109395582099999</v>
      </c>
      <c r="AE2894">
        <v>-1.39969999999999</v>
      </c>
      <c r="AF2894">
        <v>2.0870858005180999</v>
      </c>
      <c r="AG2894">
        <v>-1.1109395582099999</v>
      </c>
      <c r="AH2894">
        <v>21.422876209789401</v>
      </c>
      <c r="AI2894">
        <v>92.954600721023297</v>
      </c>
      <c r="AJ2894">
        <v>84.435620119591704</v>
      </c>
      <c r="AK2894">
        <v>21.552951977413201</v>
      </c>
      <c r="AL2894">
        <v>78.151024333468897</v>
      </c>
      <c r="AM2894">
        <v>86.7294409374244</v>
      </c>
      <c r="AN2894">
        <v>1.00000000101284</v>
      </c>
    </row>
    <row r="2895" spans="1:40" x14ac:dyDescent="0.25">
      <c r="A2895" t="str">
        <f>"20190312172717830"</f>
        <v>20190312172717830</v>
      </c>
      <c r="B2895" t="str">
        <f>"1552382837822379"</f>
        <v>1552382837822379</v>
      </c>
      <c r="C2895" t="s">
        <v>40</v>
      </c>
      <c r="D2895">
        <v>3.603675</v>
      </c>
      <c r="E2895">
        <v>0.5197948</v>
      </c>
      <c r="F2895" t="s">
        <v>48</v>
      </c>
      <c r="G2895">
        <v>-227.535</v>
      </c>
      <c r="H2895" s="1">
        <v>2.5660129999999998E-6</v>
      </c>
      <c r="I2895">
        <v>212.48750000000001</v>
      </c>
      <c r="J2895">
        <v>-248.4854</v>
      </c>
      <c r="K2895">
        <v>1.1109290000000001</v>
      </c>
      <c r="L2895">
        <v>213.8741</v>
      </c>
      <c r="M2895">
        <v>0.99935169999999995</v>
      </c>
      <c r="N2895">
        <v>0</v>
      </c>
      <c r="O2895">
        <v>3.3106829999999997E-2</v>
      </c>
      <c r="P2895">
        <v>0.9813248</v>
      </c>
      <c r="Q2895">
        <v>0.19078680000000001</v>
      </c>
      <c r="R2895">
        <v>-2.4546740000000001E-2</v>
      </c>
      <c r="S2895">
        <v>3.0837859999999999</v>
      </c>
      <c r="T2895">
        <v>-0.16083739999999999</v>
      </c>
      <c r="U2895">
        <v>-0.1989899</v>
      </c>
      <c r="V2895">
        <v>5.6513210000000001E-2</v>
      </c>
      <c r="W2895">
        <v>0.2047764</v>
      </c>
      <c r="X2895">
        <v>0.97717600000000004</v>
      </c>
      <c r="Y2895">
        <v>9.7223509999999999E-2</v>
      </c>
      <c r="Z2895">
        <v>-4.2551869999999997E-3</v>
      </c>
      <c r="AA2895">
        <v>0.99525350000000001</v>
      </c>
      <c r="AB2895">
        <v>39</v>
      </c>
      <c r="AC2895">
        <v>20.950399999999998</v>
      </c>
      <c r="AD2895">
        <v>-1.110926433987</v>
      </c>
      <c r="AE2895">
        <v>-1.3865999999999801</v>
      </c>
      <c r="AF2895">
        <v>2.0737050479727199</v>
      </c>
      <c r="AG2895">
        <v>-1.110926433987</v>
      </c>
      <c r="AH2895">
        <v>20.8346749122673</v>
      </c>
      <c r="AI2895">
        <v>93.037201234465698</v>
      </c>
      <c r="AJ2895">
        <v>84.3159892001472</v>
      </c>
      <c r="AK2895">
        <v>20.9670715377131</v>
      </c>
      <c r="AL2895">
        <v>78.183590277012996</v>
      </c>
      <c r="AM2895">
        <v>86.690088930430605</v>
      </c>
      <c r="AN2895">
        <v>1.0000000259387301</v>
      </c>
    </row>
    <row r="2896" spans="1:40" x14ac:dyDescent="0.25">
      <c r="A2896" t="str">
        <f>"20190312172717854"</f>
        <v>20190312172717854</v>
      </c>
      <c r="B2896" t="str">
        <f>"1552382837851660"</f>
        <v>1552382837851660</v>
      </c>
      <c r="C2896" t="s">
        <v>40</v>
      </c>
      <c r="D2896">
        <v>3.5736210000000002</v>
      </c>
      <c r="E2896">
        <v>0.52026660000000002</v>
      </c>
      <c r="F2896" t="s">
        <v>48</v>
      </c>
      <c r="G2896">
        <v>-227.45570000000001</v>
      </c>
      <c r="H2896" s="1">
        <v>2.5233340000000001E-6</v>
      </c>
      <c r="I2896">
        <v>212.49809999999999</v>
      </c>
      <c r="J2896">
        <v>-248.0797</v>
      </c>
      <c r="K2896">
        <v>1.1109100000000001</v>
      </c>
      <c r="L2896">
        <v>213.8886</v>
      </c>
      <c r="M2896">
        <v>0.99931720000000002</v>
      </c>
      <c r="N2896">
        <v>0</v>
      </c>
      <c r="O2896">
        <v>3.4133959999999998E-2</v>
      </c>
      <c r="P2896">
        <v>0.9814273</v>
      </c>
      <c r="Q2896">
        <v>0.19031819999999999</v>
      </c>
      <c r="R2896">
        <v>-2.408277E-2</v>
      </c>
      <c r="S2896">
        <v>3.0837249999999998</v>
      </c>
      <c r="T2896">
        <v>-0.162902399999999</v>
      </c>
      <c r="U2896">
        <v>-0.20178219999999999</v>
      </c>
      <c r="V2896">
        <v>5.7067949999999999E-2</v>
      </c>
      <c r="W2896">
        <v>0.2043054</v>
      </c>
      <c r="X2896">
        <v>0.97724230000000001</v>
      </c>
      <c r="Y2896">
        <v>9.9136290000000002E-2</v>
      </c>
      <c r="Z2896">
        <v>-4.4143180000000004E-3</v>
      </c>
      <c r="AA2896">
        <v>0.99506410000000001</v>
      </c>
      <c r="AB2896">
        <v>39</v>
      </c>
      <c r="AC2896">
        <v>20.623999999999899</v>
      </c>
      <c r="AD2896">
        <v>-1.1109074766660001</v>
      </c>
      <c r="AE2896">
        <v>-1.3905000000000001</v>
      </c>
      <c r="AF2896">
        <v>2.0877088471452199</v>
      </c>
      <c r="AG2896">
        <v>-1.1109074766660001</v>
      </c>
      <c r="AH2896">
        <v>20.505286137502001</v>
      </c>
      <c r="AI2896">
        <v>93.085143215689598</v>
      </c>
      <c r="AJ2896">
        <v>84.1865651948916</v>
      </c>
      <c r="AK2896">
        <v>20.6412064384084</v>
      </c>
      <c r="AL2896">
        <v>78.211158908226906</v>
      </c>
      <c r="AM2896">
        <v>86.657898017015299</v>
      </c>
      <c r="AN2896">
        <v>0.99999998014782598</v>
      </c>
    </row>
    <row r="2897" spans="1:40" x14ac:dyDescent="0.25">
      <c r="A2897" t="str">
        <f>"20190312172717875"</f>
        <v>20190312172717875</v>
      </c>
      <c r="B2897" t="str">
        <f>"1552382837872156"</f>
        <v>1552382837872156</v>
      </c>
      <c r="C2897" t="s">
        <v>40</v>
      </c>
      <c r="D2897">
        <v>3.5622449999999999</v>
      </c>
      <c r="E2897">
        <v>0.52045529999999995</v>
      </c>
      <c r="F2897" t="s">
        <v>48</v>
      </c>
      <c r="G2897">
        <v>-227.09309999999999</v>
      </c>
      <c r="H2897" s="1">
        <v>2.330403E-6</v>
      </c>
      <c r="I2897">
        <v>212.4984</v>
      </c>
      <c r="J2897">
        <v>-247.7199</v>
      </c>
      <c r="K2897">
        <v>1.1108899999999999</v>
      </c>
      <c r="L2897">
        <v>213.90170000000001</v>
      </c>
      <c r="M2897">
        <v>0.99928660000000002</v>
      </c>
      <c r="N2897">
        <v>0</v>
      </c>
      <c r="O2897">
        <v>3.5020709999999997E-2</v>
      </c>
      <c r="P2897">
        <v>0.98156109999999996</v>
      </c>
      <c r="Q2897">
        <v>0.18962119999999999</v>
      </c>
      <c r="R2897">
        <v>-2.4124059999999999E-2</v>
      </c>
      <c r="S2897">
        <v>3.083405</v>
      </c>
      <c r="T2897">
        <v>-0.163218</v>
      </c>
      <c r="U2897">
        <v>-0.2042542</v>
      </c>
      <c r="V2897">
        <v>5.7994240000000002E-2</v>
      </c>
      <c r="W2897">
        <v>0.2036075</v>
      </c>
      <c r="X2897">
        <v>0.97733340000000002</v>
      </c>
      <c r="Y2897">
        <v>0.1008158</v>
      </c>
      <c r="Z2897">
        <v>-4.5144470000000004E-3</v>
      </c>
      <c r="AA2897">
        <v>0.99489490000000003</v>
      </c>
      <c r="AB2897">
        <v>39</v>
      </c>
      <c r="AC2897">
        <v>20.626799999999999</v>
      </c>
      <c r="AD2897">
        <v>-1.110887669597</v>
      </c>
      <c r="AE2897">
        <v>-1.4033</v>
      </c>
      <c r="AF2897">
        <v>2.11875919581483</v>
      </c>
      <c r="AG2897">
        <v>-1.110887669597</v>
      </c>
      <c r="AH2897">
        <v>20.505791710214201</v>
      </c>
      <c r="AI2897">
        <v>93.084539982803804</v>
      </c>
      <c r="AJ2897">
        <v>84.100852164388698</v>
      </c>
      <c r="AK2897">
        <v>20.644871169542402</v>
      </c>
      <c r="AL2897">
        <v>78.252003968207802</v>
      </c>
      <c r="AM2897">
        <v>86.604092979677901</v>
      </c>
      <c r="AN2897">
        <v>0.99999996034249305</v>
      </c>
    </row>
    <row r="2898" spans="1:40" x14ac:dyDescent="0.25">
      <c r="A2898" t="str">
        <f>"20190312172717894"</f>
        <v>20190312172717894</v>
      </c>
      <c r="B2898" t="str">
        <f>"1552382837891676"</f>
        <v>1552382837891676</v>
      </c>
      <c r="C2898" t="s">
        <v>40</v>
      </c>
      <c r="D2898">
        <v>3.513382</v>
      </c>
      <c r="E2898">
        <v>0.52065909999999904</v>
      </c>
      <c r="F2898" t="s">
        <v>48</v>
      </c>
      <c r="G2898">
        <v>-226.92599999999999</v>
      </c>
      <c r="H2898" s="1">
        <v>2.2407629999999998E-6</v>
      </c>
      <c r="I2898">
        <v>212.51410000000001</v>
      </c>
      <c r="J2898">
        <v>-247.38990000000001</v>
      </c>
      <c r="K2898">
        <v>1.110867</v>
      </c>
      <c r="L2898">
        <v>213.91399999999999</v>
      </c>
      <c r="M2898">
        <v>0.9992588</v>
      </c>
      <c r="N2898">
        <v>0</v>
      </c>
      <c r="O2898">
        <v>3.5807319999999997E-2</v>
      </c>
      <c r="P2898">
        <v>0.98159490000000005</v>
      </c>
      <c r="Q2898">
        <v>0.18940029999999999</v>
      </c>
      <c r="R2898">
        <v>-2.44885E-2</v>
      </c>
      <c r="S2898">
        <v>3.0831149999999998</v>
      </c>
      <c r="T2898">
        <v>-0.1647112</v>
      </c>
      <c r="U2898">
        <v>-0.2057495</v>
      </c>
      <c r="V2898">
        <v>5.9142880000000002E-2</v>
      </c>
      <c r="W2898">
        <v>0.20338349999999999</v>
      </c>
      <c r="X2898">
        <v>0.97731129999999999</v>
      </c>
      <c r="Y2898">
        <v>0.102079</v>
      </c>
      <c r="Z2898">
        <v>-4.6316830000000002E-3</v>
      </c>
      <c r="AA2898">
        <v>0.99476549999999997</v>
      </c>
      <c r="AB2898">
        <v>38</v>
      </c>
      <c r="AC2898">
        <v>20.463899999999999</v>
      </c>
      <c r="AD2898">
        <v>-1.110864759237</v>
      </c>
      <c r="AE2898">
        <v>-1.3998999999999999</v>
      </c>
      <c r="AF2898">
        <v>2.1255982055648701</v>
      </c>
      <c r="AG2898">
        <v>-1.110864759237</v>
      </c>
      <c r="AH2898">
        <v>20.340981550722798</v>
      </c>
      <c r="AI2898">
        <v>93.109044896096705</v>
      </c>
      <c r="AJ2898">
        <v>84.034339767686106</v>
      </c>
      <c r="AK2898">
        <v>20.481887576384601</v>
      </c>
      <c r="AL2898">
        <v>78.265113607447603</v>
      </c>
      <c r="AM2898">
        <v>86.536917271438199</v>
      </c>
      <c r="AN2898">
        <v>1.0000000527173101</v>
      </c>
    </row>
    <row r="2899" spans="1:40" x14ac:dyDescent="0.25">
      <c r="A2899" t="str">
        <f>"20190312172717917"</f>
        <v>20190312172717917</v>
      </c>
      <c r="B2899" t="str">
        <f>"1552382837912172"</f>
        <v>1552382837912172</v>
      </c>
      <c r="C2899" t="s">
        <v>40</v>
      </c>
      <c r="D2899">
        <v>3.5269170000000001</v>
      </c>
      <c r="E2899">
        <v>0.52081140000000004</v>
      </c>
      <c r="F2899" t="s">
        <v>48</v>
      </c>
      <c r="G2899">
        <v>-226.61259999999999</v>
      </c>
      <c r="H2899" s="1">
        <v>2.0742789999999998E-6</v>
      </c>
      <c r="I2899">
        <v>212.50810000000001</v>
      </c>
      <c r="J2899">
        <v>-246.99340000000001</v>
      </c>
      <c r="K2899">
        <v>1.1108359999999999</v>
      </c>
      <c r="L2899">
        <v>213.92910000000001</v>
      </c>
      <c r="M2899">
        <v>0.99922619999999895</v>
      </c>
      <c r="N2899">
        <v>0</v>
      </c>
      <c r="O2899">
        <v>3.6706919999999997E-2</v>
      </c>
      <c r="P2899">
        <v>0.98164980000000002</v>
      </c>
      <c r="Q2899">
        <v>0.18910299999999999</v>
      </c>
      <c r="R2899">
        <v>-2.457958E-2</v>
      </c>
      <c r="S2899">
        <v>3.0828549999999999</v>
      </c>
      <c r="T2899">
        <v>-0.164826</v>
      </c>
      <c r="U2899">
        <v>-0.20860290000000001</v>
      </c>
      <c r="V2899">
        <v>6.0136990000000001E-2</v>
      </c>
      <c r="W2899">
        <v>0.2030805</v>
      </c>
      <c r="X2899">
        <v>0.9773136</v>
      </c>
      <c r="Y2899">
        <v>0.1038924</v>
      </c>
      <c r="Z2899">
        <v>-4.7315660000000004E-3</v>
      </c>
      <c r="AA2899">
        <v>0.9945773</v>
      </c>
      <c r="AB2899">
        <v>38</v>
      </c>
      <c r="AC2899">
        <v>20.380800000000001</v>
      </c>
      <c r="AD2899">
        <v>-1.110833925721</v>
      </c>
      <c r="AE2899">
        <v>-1.42099999999999</v>
      </c>
      <c r="AF2899">
        <v>2.1618421573611002</v>
      </c>
      <c r="AG2899">
        <v>-1.110833925721</v>
      </c>
      <c r="AH2899">
        <v>20.255016291143601</v>
      </c>
      <c r="AI2899">
        <v>93.121400966761598</v>
      </c>
      <c r="AJ2899">
        <v>83.907816083614307</v>
      </c>
      <c r="AK2899">
        <v>20.4003234895521</v>
      </c>
      <c r="AL2899">
        <v>78.2828437466883</v>
      </c>
      <c r="AM2899">
        <v>86.478861154474103</v>
      </c>
      <c r="AN2899">
        <v>1.00000000989573</v>
      </c>
    </row>
    <row r="2900" spans="1:40" x14ac:dyDescent="0.25">
      <c r="A2900" t="str">
        <f>"20190312172717939"</f>
        <v>20190312172717939</v>
      </c>
      <c r="B2900" t="str">
        <f>"1552382837931854"</f>
        <v>1552382837931854</v>
      </c>
      <c r="C2900" t="s">
        <v>40</v>
      </c>
      <c r="D2900">
        <v>3.5062530000000001</v>
      </c>
      <c r="E2900">
        <v>0.52102619999999999</v>
      </c>
      <c r="F2900" t="s">
        <v>48</v>
      </c>
      <c r="G2900">
        <v>-226.20769999999999</v>
      </c>
      <c r="H2900" s="1">
        <v>1.8585850000000001E-6</v>
      </c>
      <c r="I2900">
        <v>212.5128</v>
      </c>
      <c r="J2900">
        <v>-246.61259999999999</v>
      </c>
      <c r="K2900">
        <v>1.110789</v>
      </c>
      <c r="L2900">
        <v>213.94380000000001</v>
      </c>
      <c r="M2900">
        <v>0.99919599999999997</v>
      </c>
      <c r="N2900">
        <v>0</v>
      </c>
      <c r="O2900">
        <v>3.7518139999999998E-2</v>
      </c>
      <c r="P2900">
        <v>0.98168880000000003</v>
      </c>
      <c r="Q2900">
        <v>0.1887935</v>
      </c>
      <c r="R2900">
        <v>-2.5382740000000001E-2</v>
      </c>
      <c r="S2900">
        <v>3.0825200000000001</v>
      </c>
      <c r="T2900">
        <v>-0.16473670000000001</v>
      </c>
      <c r="U2900">
        <v>-0.21003720000000001</v>
      </c>
      <c r="V2900">
        <v>6.1758639999999997E-2</v>
      </c>
      <c r="W2900">
        <v>0.20276530000000001</v>
      </c>
      <c r="X2900">
        <v>0.97727790000000003</v>
      </c>
      <c r="Y2900">
        <v>0.10516499999999999</v>
      </c>
      <c r="Z2900">
        <v>-4.8066719999999997E-3</v>
      </c>
      <c r="AA2900">
        <v>0.99444319999999997</v>
      </c>
      <c r="AB2900">
        <v>38</v>
      </c>
      <c r="AC2900">
        <v>20.404900000000001</v>
      </c>
      <c r="AD2900">
        <v>-1.1107871414149999</v>
      </c>
      <c r="AE2900">
        <v>-1.43100000000001</v>
      </c>
      <c r="AF2900">
        <v>2.1891669978772601</v>
      </c>
      <c r="AG2900">
        <v>-1.1107871414149999</v>
      </c>
      <c r="AH2900">
        <v>20.277041931469999</v>
      </c>
      <c r="AI2900">
        <v>93.117479325901101</v>
      </c>
      <c r="AJ2900">
        <v>83.838052229170302</v>
      </c>
      <c r="AK2900">
        <v>20.4251004822185</v>
      </c>
      <c r="AL2900">
        <v>78.301286920571101</v>
      </c>
      <c r="AM2900">
        <v>86.384027236714402</v>
      </c>
      <c r="AN2900">
        <v>0.99999999516357396</v>
      </c>
    </row>
    <row r="2901" spans="1:40" x14ac:dyDescent="0.25">
      <c r="A2901" t="str">
        <f>"20190312172717964"</f>
        <v>20190312172717964</v>
      </c>
      <c r="B2901" t="str">
        <f>"1552382837952349"</f>
        <v>1552382837952349</v>
      </c>
      <c r="C2901" t="s">
        <v>40</v>
      </c>
      <c r="D2901">
        <v>3.504114</v>
      </c>
      <c r="E2901">
        <v>0.52122309999999905</v>
      </c>
      <c r="F2901" t="s">
        <v>48</v>
      </c>
      <c r="G2901">
        <v>-225.87799999999999</v>
      </c>
      <c r="H2901" s="1">
        <v>1.6835550000000001E-6</v>
      </c>
      <c r="I2901">
        <v>212.5035</v>
      </c>
      <c r="J2901">
        <v>-246.1978</v>
      </c>
      <c r="K2901">
        <v>1.1107340000000001</v>
      </c>
      <c r="L2901">
        <v>213.96019999999999</v>
      </c>
      <c r="M2901">
        <v>0.99916499999999997</v>
      </c>
      <c r="N2901">
        <v>0</v>
      </c>
      <c r="O2901">
        <v>3.8336170000000003E-2</v>
      </c>
      <c r="P2901">
        <v>0.98178829999999995</v>
      </c>
      <c r="Q2901">
        <v>0.18812980000000001</v>
      </c>
      <c r="R2901">
        <v>-2.644299E-2</v>
      </c>
      <c r="S2901">
        <v>3.0821689999999999</v>
      </c>
      <c r="T2901">
        <v>-0.16511679999999901</v>
      </c>
      <c r="U2901">
        <v>-0.2141113</v>
      </c>
      <c r="V2901">
        <v>6.3652180000000003E-2</v>
      </c>
      <c r="W2901">
        <v>0.2020942</v>
      </c>
      <c r="X2901">
        <v>0.97729540000000004</v>
      </c>
      <c r="Y2901">
        <v>0.1072897</v>
      </c>
      <c r="Z2901">
        <v>-4.918637E-3</v>
      </c>
      <c r="AA2901">
        <v>0.99421570000000004</v>
      </c>
      <c r="AB2901">
        <v>38</v>
      </c>
      <c r="AC2901">
        <v>20.319800000000001</v>
      </c>
      <c r="AD2901">
        <v>-1.110732316445</v>
      </c>
      <c r="AE2901">
        <v>-1.4566999999999799</v>
      </c>
      <c r="AF2901">
        <v>2.22806662767454</v>
      </c>
      <c r="AG2901">
        <v>-1.110732316445</v>
      </c>
      <c r="AH2901">
        <v>20.188993847826101</v>
      </c>
      <c r="AI2901">
        <v>93.130085950749205</v>
      </c>
      <c r="AJ2901">
        <v>83.702296442618902</v>
      </c>
      <c r="AK2901">
        <v>20.3419143583811</v>
      </c>
      <c r="AL2901">
        <v>78.340550859747793</v>
      </c>
      <c r="AM2901">
        <v>86.273534647663695</v>
      </c>
      <c r="AN2901">
        <v>0.999999982276776</v>
      </c>
    </row>
    <row r="2902" spans="1:40" x14ac:dyDescent="0.25">
      <c r="A2902" t="str">
        <f>"20190312172717991"</f>
        <v>20190312172717991</v>
      </c>
      <c r="B2902" t="str">
        <f>"1552382837982605"</f>
        <v>1552382837982605</v>
      </c>
      <c r="C2902" t="s">
        <v>40</v>
      </c>
      <c r="D2902">
        <v>3.4817119999999999</v>
      </c>
      <c r="E2902">
        <v>0.52149990000000002</v>
      </c>
      <c r="F2902" t="s">
        <v>48</v>
      </c>
      <c r="G2902">
        <v>-225.6636</v>
      </c>
      <c r="H2902" s="1">
        <v>1.56937E-6</v>
      </c>
      <c r="I2902">
        <v>212.5052</v>
      </c>
      <c r="J2902">
        <v>-245.74860000000001</v>
      </c>
      <c r="K2902">
        <v>1.11067</v>
      </c>
      <c r="L2902">
        <v>213.97829999999999</v>
      </c>
      <c r="M2902">
        <v>0.99913390000000002</v>
      </c>
      <c r="N2902">
        <v>0</v>
      </c>
      <c r="O2902">
        <v>3.9137720000000001E-2</v>
      </c>
      <c r="P2902">
        <v>0.98192679999999999</v>
      </c>
      <c r="Q2902">
        <v>0.1872433</v>
      </c>
      <c r="R2902">
        <v>-2.7567330000000001E-2</v>
      </c>
      <c r="S2902">
        <v>3.081696</v>
      </c>
      <c r="T2902">
        <v>-0.16669489999999901</v>
      </c>
      <c r="U2902">
        <v>-0.21836849999999999</v>
      </c>
      <c r="V2902">
        <v>6.5600420000000007E-2</v>
      </c>
      <c r="W2902">
        <v>0.20119890000000001</v>
      </c>
      <c r="X2902">
        <v>0.97735130000000003</v>
      </c>
      <c r="Y2902">
        <v>0.10945589999999999</v>
      </c>
      <c r="Z2902">
        <v>-5.0678650000000004E-3</v>
      </c>
      <c r="AA2902">
        <v>0.99397869999999999</v>
      </c>
      <c r="AB2902">
        <v>38</v>
      </c>
      <c r="AC2902">
        <v>20.085000000000001</v>
      </c>
      <c r="AD2902">
        <v>-1.1106684306299901</v>
      </c>
      <c r="AE2902">
        <v>-1.4730999999999801</v>
      </c>
      <c r="AF2902">
        <v>2.2512833314767202</v>
      </c>
      <c r="AG2902">
        <v>-1.1106684306299901</v>
      </c>
      <c r="AH2902">
        <v>19.951265969972699</v>
      </c>
      <c r="AI2902">
        <v>93.166261545399195</v>
      </c>
      <c r="AJ2902">
        <v>83.562026584289796</v>
      </c>
      <c r="AK2902">
        <v>20.1085771452377</v>
      </c>
      <c r="AL2902">
        <v>78.392923664083497</v>
      </c>
      <c r="AM2902">
        <v>86.160031728597104</v>
      </c>
      <c r="AN2902">
        <v>0.99999998803853796</v>
      </c>
    </row>
    <row r="2903" spans="1:40" x14ac:dyDescent="0.25">
      <c r="A2903" t="str">
        <f>"20190312172718029"</f>
        <v>20190312172718029</v>
      </c>
      <c r="B2903" t="str">
        <f>"1552382838021662"</f>
        <v>1552382838021662</v>
      </c>
      <c r="C2903" t="s">
        <v>40</v>
      </c>
      <c r="D2903">
        <v>3.4423460000000001</v>
      </c>
      <c r="E2903">
        <v>0.52180499999999996</v>
      </c>
      <c r="F2903" t="s">
        <v>48</v>
      </c>
      <c r="G2903">
        <v>-225.36099999999999</v>
      </c>
      <c r="H2903" s="1">
        <v>1.4087970000000001E-6</v>
      </c>
      <c r="I2903">
        <v>212.49469999999999</v>
      </c>
      <c r="J2903">
        <v>-245.08240000000001</v>
      </c>
      <c r="K2903">
        <v>1.110563</v>
      </c>
      <c r="L2903">
        <v>214.00550000000001</v>
      </c>
      <c r="M2903">
        <v>0.9990928</v>
      </c>
      <c r="N2903">
        <v>0</v>
      </c>
      <c r="O2903">
        <v>4.0176389999999999E-2</v>
      </c>
      <c r="P2903">
        <v>0.98229540000000004</v>
      </c>
      <c r="Q2903">
        <v>0.18480079999999999</v>
      </c>
      <c r="R2903">
        <v>-3.0736200000000002E-2</v>
      </c>
      <c r="S2903">
        <v>3.0809479999999998</v>
      </c>
      <c r="T2903">
        <v>-0.16784299999999999</v>
      </c>
      <c r="U2903">
        <v>-0.22419739999999999</v>
      </c>
      <c r="V2903">
        <v>6.9850190000000006E-2</v>
      </c>
      <c r="W2903">
        <v>0.19874710000000001</v>
      </c>
      <c r="X2903">
        <v>0.9775585</v>
      </c>
      <c r="Y2903">
        <v>0.1123677</v>
      </c>
      <c r="Z2903">
        <v>-5.2392599999999999E-3</v>
      </c>
      <c r="AA2903">
        <v>0.99365289999999995</v>
      </c>
      <c r="AB2903">
        <v>38</v>
      </c>
      <c r="AC2903">
        <v>19.721399999999999</v>
      </c>
      <c r="AD2903">
        <v>-1.110561591203</v>
      </c>
      <c r="AE2903">
        <v>-1.5108000000000099</v>
      </c>
      <c r="AF2903">
        <v>2.2947591678565198</v>
      </c>
      <c r="AG2903">
        <v>-1.110561591203</v>
      </c>
      <c r="AH2903">
        <v>19.583031858393301</v>
      </c>
      <c r="AI2903">
        <v>93.223779042845294</v>
      </c>
      <c r="AJ2903">
        <v>83.316503524616195</v>
      </c>
      <c r="AK2903">
        <v>19.7482759615406</v>
      </c>
      <c r="AL2903">
        <v>78.536298049969105</v>
      </c>
      <c r="AM2903">
        <v>85.912949708125296</v>
      </c>
      <c r="AN2903">
        <v>1.0000000398618401</v>
      </c>
    </row>
    <row r="2904" spans="1:40" x14ac:dyDescent="0.25">
      <c r="A2904" t="str">
        <f>"20190312172718051"</f>
        <v>20190312172718051</v>
      </c>
      <c r="B2904" t="str">
        <f>"1552382838042141"</f>
        <v>1552382838042141</v>
      </c>
      <c r="C2904" t="s">
        <v>40</v>
      </c>
      <c r="D2904">
        <v>3.4712960000000002</v>
      </c>
      <c r="E2904">
        <v>0.52191359999999998</v>
      </c>
      <c r="F2904" t="s">
        <v>48</v>
      </c>
      <c r="G2904">
        <v>-225.42259999999999</v>
      </c>
      <c r="H2904" s="1">
        <v>1.4414449999999901E-6</v>
      </c>
      <c r="I2904">
        <v>212.4974</v>
      </c>
      <c r="J2904">
        <v>-244.69409999999999</v>
      </c>
      <c r="K2904">
        <v>1.110511</v>
      </c>
      <c r="L2904">
        <v>214.02170000000001</v>
      </c>
      <c r="M2904">
        <v>0.99907100000000004</v>
      </c>
      <c r="N2904">
        <v>0</v>
      </c>
      <c r="O2904">
        <v>4.07152E-2</v>
      </c>
      <c r="P2904">
        <v>0.98241940000000005</v>
      </c>
      <c r="Q2904">
        <v>0.18389739999999999</v>
      </c>
      <c r="R2904">
        <v>-3.2158399999999997E-2</v>
      </c>
      <c r="S2904">
        <v>3.0793910000000002</v>
      </c>
      <c r="T2904">
        <v>-0.17395139999999901</v>
      </c>
      <c r="U2904">
        <v>-0.2362213</v>
      </c>
      <c r="V2904">
        <v>7.1828859999999994E-2</v>
      </c>
      <c r="W2904">
        <v>0.1978366</v>
      </c>
      <c r="X2904">
        <v>0.97759969999999996</v>
      </c>
      <c r="Y2904">
        <v>0.1167725</v>
      </c>
      <c r="Z2904">
        <v>-5.5861330000000001E-3</v>
      </c>
      <c r="AA2904">
        <v>0.993143</v>
      </c>
      <c r="AB2904">
        <v>38</v>
      </c>
      <c r="AC2904">
        <v>19.2715</v>
      </c>
      <c r="AD2904">
        <v>-1.110509558555</v>
      </c>
      <c r="AE2904">
        <v>-1.52430000000001</v>
      </c>
      <c r="AF2904">
        <v>2.3001666142889698</v>
      </c>
      <c r="AG2904">
        <v>-1.110509558555</v>
      </c>
      <c r="AH2904">
        <v>19.130319614969199</v>
      </c>
      <c r="AI2904">
        <v>93.298570216331399</v>
      </c>
      <c r="AJ2904">
        <v>83.1438572340913</v>
      </c>
      <c r="AK2904">
        <v>19.300080997343201</v>
      </c>
      <c r="AL2904">
        <v>78.589521577346105</v>
      </c>
      <c r="AM2904">
        <v>85.797760013630807</v>
      </c>
      <c r="AN2904">
        <v>0.99999993943427201</v>
      </c>
    </row>
    <row r="2905" spans="1:40" x14ac:dyDescent="0.25">
      <c r="A2905" t="str">
        <f>"20190312172718074"</f>
        <v>20190312172718074</v>
      </c>
      <c r="B2905" t="str">
        <f>"1552382838061662"</f>
        <v>1552382838061662</v>
      </c>
      <c r="C2905" t="s">
        <v>40</v>
      </c>
      <c r="D2905">
        <v>3.436496</v>
      </c>
      <c r="E2905">
        <v>0.52200820000000003</v>
      </c>
      <c r="F2905" t="s">
        <v>48</v>
      </c>
      <c r="G2905">
        <v>-225.28120000000001</v>
      </c>
      <c r="H2905" s="1">
        <v>1.3661600000000001E-6</v>
      </c>
      <c r="I2905">
        <v>212.499</v>
      </c>
      <c r="J2905">
        <v>-244.31569999999999</v>
      </c>
      <c r="K2905">
        <v>1.1104620000000001</v>
      </c>
      <c r="L2905">
        <v>214.0376</v>
      </c>
      <c r="M2905">
        <v>0.99905089999999996</v>
      </c>
      <c r="N2905">
        <v>0</v>
      </c>
      <c r="O2905">
        <v>4.1206380000000001E-2</v>
      </c>
      <c r="P2905">
        <v>0.98255859999999995</v>
      </c>
      <c r="Q2905">
        <v>0.18286259999999999</v>
      </c>
      <c r="R2905">
        <v>-3.376407E-2</v>
      </c>
      <c r="S2905">
        <v>3.0787200000000001</v>
      </c>
      <c r="T2905">
        <v>-0.17611729999999901</v>
      </c>
      <c r="U2905">
        <v>-0.24148559999999999</v>
      </c>
      <c r="V2905">
        <v>7.3941720000000002E-2</v>
      </c>
      <c r="W2905">
        <v>0.196796</v>
      </c>
      <c r="X2905">
        <v>0.97765230000000003</v>
      </c>
      <c r="Y2905">
        <v>0.1189543</v>
      </c>
      <c r="Z2905">
        <v>-5.7467480000000003E-3</v>
      </c>
      <c r="AA2905">
        <v>0.99288310000000002</v>
      </c>
      <c r="AB2905">
        <v>38</v>
      </c>
      <c r="AC2905">
        <v>19.034499999999898</v>
      </c>
      <c r="AD2905">
        <v>-1.11046063384</v>
      </c>
      <c r="AE2905">
        <v>-1.53859999999997</v>
      </c>
      <c r="AF2905">
        <v>2.3138898047910499</v>
      </c>
      <c r="AG2905">
        <v>-1.11046063384</v>
      </c>
      <c r="AH2905">
        <v>18.8910455344101</v>
      </c>
      <c r="AI2905">
        <v>93.339212677047101</v>
      </c>
      <c r="AJ2905">
        <v>83.016849232869902</v>
      </c>
      <c r="AK2905">
        <v>19.064595726927401</v>
      </c>
      <c r="AL2905">
        <v>78.650340315670903</v>
      </c>
      <c r="AM2905">
        <v>85.674844576748995</v>
      </c>
      <c r="AN2905">
        <v>1.0000000316339199</v>
      </c>
    </row>
    <row r="2906" spans="1:40" x14ac:dyDescent="0.25">
      <c r="A2906" t="str">
        <f>"20190312172718095"</f>
        <v>20190312172718095</v>
      </c>
      <c r="B2906" t="str">
        <f>"1552382838091918"</f>
        <v>1552382838091918</v>
      </c>
      <c r="C2906" t="s">
        <v>40</v>
      </c>
      <c r="D2906">
        <v>3.429786</v>
      </c>
      <c r="E2906">
        <v>0.52214269999999996</v>
      </c>
      <c r="F2906" t="s">
        <v>48</v>
      </c>
      <c r="G2906">
        <v>-225.17060000000001</v>
      </c>
      <c r="H2906" s="1">
        <v>1.307085E-6</v>
      </c>
      <c r="I2906">
        <v>212.5042</v>
      </c>
      <c r="J2906">
        <v>-243.95</v>
      </c>
      <c r="K2906">
        <v>1.110428</v>
      </c>
      <c r="L2906">
        <v>214.0532</v>
      </c>
      <c r="M2906">
        <v>0.99903240000000004</v>
      </c>
      <c r="N2906">
        <v>0</v>
      </c>
      <c r="O2906">
        <v>4.1651960000000002E-2</v>
      </c>
      <c r="P2906">
        <v>0.98268049999999996</v>
      </c>
      <c r="Q2906">
        <v>0.18201120000000001</v>
      </c>
      <c r="R2906">
        <v>-3.4797420000000003E-2</v>
      </c>
      <c r="S2906">
        <v>3.0780029999999998</v>
      </c>
      <c r="T2906">
        <v>-0.178531299999999</v>
      </c>
      <c r="U2906">
        <v>-0.24653630000000001</v>
      </c>
      <c r="V2906">
        <v>7.5434769999999998E-2</v>
      </c>
      <c r="W2906">
        <v>0.19593849999999999</v>
      </c>
      <c r="X2906">
        <v>0.97771039999999998</v>
      </c>
      <c r="Y2906">
        <v>0.1210224</v>
      </c>
      <c r="Z2906">
        <v>-5.9120029999999999E-3</v>
      </c>
      <c r="AA2906">
        <v>0.99263219999999996</v>
      </c>
      <c r="AB2906">
        <v>38</v>
      </c>
      <c r="AC2906">
        <v>18.7793999999999</v>
      </c>
      <c r="AD2906">
        <v>-1.110426692915</v>
      </c>
      <c r="AE2906">
        <v>-1.5489999999999999</v>
      </c>
      <c r="AF2906">
        <v>2.32186905035632</v>
      </c>
      <c r="AG2906">
        <v>-1.110426692915</v>
      </c>
      <c r="AH2906">
        <v>18.633863837310301</v>
      </c>
      <c r="AI2906">
        <v>93.384219671025704</v>
      </c>
      <c r="AJ2906">
        <v>82.897279142302096</v>
      </c>
      <c r="AK2906">
        <v>18.8107683212239</v>
      </c>
      <c r="AL2906">
        <v>78.7004462204807</v>
      </c>
      <c r="AM2906">
        <v>85.588112556354005</v>
      </c>
      <c r="AN2906">
        <v>0.99999996328768004</v>
      </c>
    </row>
    <row r="2907" spans="1:40" x14ac:dyDescent="0.25">
      <c r="A2907" t="str">
        <f>"20190312172718118"</f>
        <v>20190312172718118</v>
      </c>
      <c r="B2907" t="str">
        <f>"1552382838112414"</f>
        <v>1552382838112414</v>
      </c>
      <c r="C2907" t="s">
        <v>40</v>
      </c>
      <c r="D2907">
        <v>3.3827280000000002</v>
      </c>
      <c r="E2907">
        <v>0.52219890000000002</v>
      </c>
      <c r="F2907" t="s">
        <v>48</v>
      </c>
      <c r="G2907">
        <v>-224.8914</v>
      </c>
      <c r="H2907" s="1">
        <v>1.1587330000000001E-6</v>
      </c>
      <c r="I2907">
        <v>212.4991</v>
      </c>
      <c r="J2907">
        <v>-243.56399999999999</v>
      </c>
      <c r="K2907">
        <v>1.1103889999999901</v>
      </c>
      <c r="L2907">
        <v>214.06970000000001</v>
      </c>
      <c r="M2907">
        <v>0.99901399999999996</v>
      </c>
      <c r="N2907">
        <v>0</v>
      </c>
      <c r="O2907">
        <v>4.2093459999999999E-2</v>
      </c>
      <c r="P2907">
        <v>0.98267579999999999</v>
      </c>
      <c r="Q2907">
        <v>0.18183779999999999</v>
      </c>
      <c r="R2907">
        <v>-3.5824309999999998E-2</v>
      </c>
      <c r="S2907">
        <v>3.0772089999999999</v>
      </c>
      <c r="T2907">
        <v>-0.17929049999999999</v>
      </c>
      <c r="U2907">
        <v>-0.25093080000000001</v>
      </c>
      <c r="V2907">
        <v>7.6911560000000004E-2</v>
      </c>
      <c r="W2907">
        <v>0.19575619999999999</v>
      </c>
      <c r="X2907">
        <v>0.9776319</v>
      </c>
      <c r="Y2907">
        <v>0.1228833</v>
      </c>
      <c r="Z2907">
        <v>-6.0180479999999998E-3</v>
      </c>
      <c r="AA2907">
        <v>0.99240289999999998</v>
      </c>
      <c r="AB2907">
        <v>38</v>
      </c>
      <c r="AC2907">
        <v>18.672599999999999</v>
      </c>
      <c r="AD2907">
        <v>-1.1103878412670001</v>
      </c>
      <c r="AE2907">
        <v>-1.57060000000001</v>
      </c>
      <c r="AF2907">
        <v>2.3470389407141501</v>
      </c>
      <c r="AG2907">
        <v>-1.1103878412670001</v>
      </c>
      <c r="AH2907">
        <v>18.524880260425899</v>
      </c>
      <c r="AI2907">
        <v>93.403085261560804</v>
      </c>
      <c r="AJ2907">
        <v>82.779292439169495</v>
      </c>
      <c r="AK2907">
        <v>18.705954709941398</v>
      </c>
      <c r="AL2907">
        <v>78.711097986095595</v>
      </c>
      <c r="AM2907">
        <v>85.501732190011793</v>
      </c>
      <c r="AN2907">
        <v>1.00000000489884</v>
      </c>
    </row>
    <row r="2908" spans="1:40" x14ac:dyDescent="0.25">
      <c r="A2908" t="str">
        <f>"20190312172718144"</f>
        <v>20190312172718144</v>
      </c>
      <c r="B2908" t="str">
        <f>"1552382838131934"</f>
        <v>1552382838131934</v>
      </c>
      <c r="C2908" t="s">
        <v>40</v>
      </c>
      <c r="D2908">
        <v>3.3855710000000001</v>
      </c>
      <c r="E2908">
        <v>0.52224399999999904</v>
      </c>
      <c r="F2908" t="s">
        <v>48</v>
      </c>
      <c r="G2908">
        <v>-224.40539999999999</v>
      </c>
      <c r="H2908" s="1">
        <v>9.0069230000000003E-7</v>
      </c>
      <c r="I2908">
        <v>212.48570000000001</v>
      </c>
      <c r="J2908">
        <v>-243.124</v>
      </c>
      <c r="K2908">
        <v>1.110347</v>
      </c>
      <c r="L2908">
        <v>214.08879999999999</v>
      </c>
      <c r="M2908">
        <v>0.99899389999999999</v>
      </c>
      <c r="N2908">
        <v>0</v>
      </c>
      <c r="O2908">
        <v>4.2566130000000001E-2</v>
      </c>
      <c r="P2908">
        <v>0.98267700000000002</v>
      </c>
      <c r="Q2908">
        <v>0.18162339999999999</v>
      </c>
      <c r="R2908">
        <v>-3.6862529999999998E-2</v>
      </c>
      <c r="S2908">
        <v>3.0766140000000002</v>
      </c>
      <c r="T2908">
        <v>-0.1783141</v>
      </c>
      <c r="U2908">
        <v>-0.25437929999999997</v>
      </c>
      <c r="V2908">
        <v>7.8432559999999998E-2</v>
      </c>
      <c r="W2908">
        <v>0.19553219999999999</v>
      </c>
      <c r="X2908">
        <v>0.97755590000000003</v>
      </c>
      <c r="Y2908">
        <v>0.12447270000000001</v>
      </c>
      <c r="Z2908">
        <v>-6.0594940000000003E-3</v>
      </c>
      <c r="AA2908">
        <v>0.99220450000000004</v>
      </c>
      <c r="AB2908">
        <v>38</v>
      </c>
      <c r="AC2908">
        <v>18.718599999999999</v>
      </c>
      <c r="AD2908">
        <v>-1.1103460993076999</v>
      </c>
      <c r="AE2908">
        <v>-1.60309999999998</v>
      </c>
      <c r="AF2908">
        <v>2.3901557501325299</v>
      </c>
      <c r="AG2908">
        <v>-1.1103460993076999</v>
      </c>
      <c r="AH2908">
        <v>18.5685269580718</v>
      </c>
      <c r="AI2908">
        <v>93.394116033375596</v>
      </c>
      <c r="AJ2908">
        <v>82.665174001157695</v>
      </c>
      <c r="AK2908">
        <v>18.754623599602802</v>
      </c>
      <c r="AL2908">
        <v>78.724185353809901</v>
      </c>
      <c r="AM2908">
        <v>85.412795476915406</v>
      </c>
      <c r="AN2908">
        <v>1.0000000226649</v>
      </c>
    </row>
    <row r="2909" spans="1:40" x14ac:dyDescent="0.25">
      <c r="A2909" t="str">
        <f>"20190312172718169"</f>
        <v>20190312172718169</v>
      </c>
      <c r="B2909" t="str">
        <f>"1552382838162190"</f>
        <v>1552382838162190</v>
      </c>
      <c r="C2909" t="s">
        <v>40</v>
      </c>
      <c r="D2909">
        <v>3.7240359999999999</v>
      </c>
      <c r="E2909">
        <v>0.5222812</v>
      </c>
      <c r="F2909" t="s">
        <v>48</v>
      </c>
      <c r="G2909">
        <v>-223.91650000000001</v>
      </c>
      <c r="H2909" s="1">
        <v>6.4082409999999898E-7</v>
      </c>
      <c r="I2909">
        <v>212.47819999999999</v>
      </c>
      <c r="J2909">
        <v>-242.71459999999999</v>
      </c>
      <c r="K2909">
        <v>1.1103130000000001</v>
      </c>
      <c r="L2909">
        <v>214.10669999999999</v>
      </c>
      <c r="M2909">
        <v>0.99897639999999999</v>
      </c>
      <c r="N2909">
        <v>0</v>
      </c>
      <c r="O2909">
        <v>4.2977059999999997E-2</v>
      </c>
      <c r="P2909">
        <v>0.98262729999999998</v>
      </c>
      <c r="Q2909">
        <v>0.1817039</v>
      </c>
      <c r="R2909">
        <v>-3.7781290000000002E-2</v>
      </c>
      <c r="S2909">
        <v>3.0760649999999998</v>
      </c>
      <c r="T2909">
        <v>-0.177820799999999</v>
      </c>
      <c r="U2909">
        <v>-0.25793460000000001</v>
      </c>
      <c r="V2909">
        <v>7.9768899999999907E-2</v>
      </c>
      <c r="W2909">
        <v>0.19560279999999999</v>
      </c>
      <c r="X2909">
        <v>0.97743360000000001</v>
      </c>
      <c r="Y2909">
        <v>0.12603219999999901</v>
      </c>
      <c r="Z2909">
        <v>-6.1122219999999996E-3</v>
      </c>
      <c r="AA2909">
        <v>0.99200730000000004</v>
      </c>
      <c r="AB2909">
        <v>38</v>
      </c>
      <c r="AC2909">
        <v>18.798099999999899</v>
      </c>
      <c r="AD2909">
        <v>-1.1103123591759001</v>
      </c>
      <c r="AE2909">
        <v>-1.6285000000000001</v>
      </c>
      <c r="AF2909">
        <v>2.4265601243274402</v>
      </c>
      <c r="AG2909">
        <v>-1.1103123591759001</v>
      </c>
      <c r="AH2909">
        <v>18.646166959337702</v>
      </c>
      <c r="AI2909">
        <v>93.379305836014495</v>
      </c>
      <c r="AJ2909">
        <v>82.585357168805004</v>
      </c>
      <c r="AK2909">
        <v>18.836149549401402</v>
      </c>
      <c r="AL2909">
        <v>78.720060223535597</v>
      </c>
      <c r="AM2909">
        <v>85.334399291815302</v>
      </c>
      <c r="AN2909">
        <v>0.99999998759200404</v>
      </c>
    </row>
    <row r="2910" spans="1:40" x14ac:dyDescent="0.25">
      <c r="A2910" t="str">
        <f>"20190312172718194"</f>
        <v>20190312172718194</v>
      </c>
      <c r="B2910" t="str">
        <f>"1552382838181710"</f>
        <v>1552382838181710</v>
      </c>
      <c r="C2910" t="s">
        <v>40</v>
      </c>
      <c r="D2910">
        <v>3.3912</v>
      </c>
      <c r="E2910">
        <v>0.52228969999999997</v>
      </c>
      <c r="F2910" t="s">
        <v>48</v>
      </c>
      <c r="G2910">
        <v>-223.23490000000001</v>
      </c>
      <c r="H2910" s="1">
        <v>2.7915289999999999E-7</v>
      </c>
      <c r="I2910">
        <v>212.45480000000001</v>
      </c>
      <c r="J2910">
        <v>-242.27160000000001</v>
      </c>
      <c r="K2910">
        <v>1.110274</v>
      </c>
      <c r="L2910">
        <v>214.12620000000001</v>
      </c>
      <c r="M2910">
        <v>0.99895900000000004</v>
      </c>
      <c r="N2910">
        <v>0</v>
      </c>
      <c r="O2910">
        <v>4.3381929999999999E-2</v>
      </c>
      <c r="P2910">
        <v>0.98258100000000004</v>
      </c>
      <c r="Q2910">
        <v>0.18188670000000001</v>
      </c>
      <c r="R2910">
        <v>-3.8104029999999997E-2</v>
      </c>
      <c r="S2910">
        <v>3.0754239999999999</v>
      </c>
      <c r="T2910">
        <v>-0.17529500000000001</v>
      </c>
      <c r="U2910">
        <v>-0.26078800000000002</v>
      </c>
      <c r="V2910">
        <v>8.0505030000000005E-2</v>
      </c>
      <c r="W2910">
        <v>0.1957739</v>
      </c>
      <c r="X2910">
        <v>0.97733899999999996</v>
      </c>
      <c r="Y2910">
        <v>0.12737029999999999</v>
      </c>
      <c r="Z2910">
        <v>-6.0876289999999998E-3</v>
      </c>
      <c r="AA2910">
        <v>0.99183650000000001</v>
      </c>
      <c r="AB2910">
        <v>38</v>
      </c>
      <c r="AC2910">
        <v>19.0367</v>
      </c>
      <c r="AD2910">
        <v>-1.1102737208471001</v>
      </c>
      <c r="AE2910">
        <v>-1.6714</v>
      </c>
      <c r="AF2910">
        <v>2.48736094700166</v>
      </c>
      <c r="AG2910">
        <v>-1.1102737208471001</v>
      </c>
      <c r="AH2910">
        <v>18.882520278642001</v>
      </c>
      <c r="AI2910">
        <v>93.336305432328103</v>
      </c>
      <c r="AJ2910">
        <v>82.495734901883097</v>
      </c>
      <c r="AK2910">
        <v>19.077977992680498</v>
      </c>
      <c r="AL2910">
        <v>78.710063788904904</v>
      </c>
      <c r="AM2910">
        <v>85.291082810913295</v>
      </c>
      <c r="AN2910">
        <v>1.0000000003487499</v>
      </c>
    </row>
    <row r="2911" spans="1:40" x14ac:dyDescent="0.25">
      <c r="A2911" t="str">
        <f>"20190312172718215"</f>
        <v>20190312172718215</v>
      </c>
      <c r="B2911" t="str">
        <f>"1552382838211966"</f>
        <v>1552382838211966</v>
      </c>
      <c r="C2911" t="s">
        <v>40</v>
      </c>
      <c r="D2911">
        <v>3.4114</v>
      </c>
      <c r="E2911">
        <v>0.52231709999999998</v>
      </c>
      <c r="F2911" t="s">
        <v>48</v>
      </c>
      <c r="G2911">
        <v>-222.5865</v>
      </c>
      <c r="H2911" s="1">
        <v>-6.5659160000000004E-8</v>
      </c>
      <c r="I2911">
        <v>212.44909999999999</v>
      </c>
      <c r="J2911">
        <v>-241.9153</v>
      </c>
      <c r="K2911">
        <v>1.1102510000000001</v>
      </c>
      <c r="L2911">
        <v>214.142</v>
      </c>
      <c r="M2911">
        <v>0.99894579999999999</v>
      </c>
      <c r="N2911">
        <v>0</v>
      </c>
      <c r="O2911">
        <v>4.3684670000000002E-2</v>
      </c>
      <c r="P2911">
        <v>0.98257079999999997</v>
      </c>
      <c r="Q2911">
        <v>0.18186540000000001</v>
      </c>
      <c r="R2911">
        <v>-3.8466970000000003E-2</v>
      </c>
      <c r="S2911">
        <v>3.0751339999999998</v>
      </c>
      <c r="T2911">
        <v>-0.1734426</v>
      </c>
      <c r="U2911">
        <v>-0.26199339999999999</v>
      </c>
      <c r="V2911">
        <v>8.1178189999999997E-2</v>
      </c>
      <c r="W2911">
        <v>0.1957449</v>
      </c>
      <c r="X2911">
        <v>0.97728910000000002</v>
      </c>
      <c r="Y2911">
        <v>0.12806890000000001</v>
      </c>
      <c r="Z2911">
        <v>-6.0605579999999997E-3</v>
      </c>
      <c r="AA2911">
        <v>0.99174680000000004</v>
      </c>
      <c r="AB2911">
        <v>38</v>
      </c>
      <c r="AC2911">
        <v>19.328800000000001</v>
      </c>
      <c r="AD2911">
        <v>-1.11025106565916</v>
      </c>
      <c r="AE2911">
        <v>-1.6929000000000001</v>
      </c>
      <c r="AF2911">
        <v>2.5274642465975199</v>
      </c>
      <c r="AG2911">
        <v>-1.11025106565916</v>
      </c>
      <c r="AH2911">
        <v>19.1736038597735</v>
      </c>
      <c r="AI2911">
        <v>93.2856613599116</v>
      </c>
      <c r="AJ2911">
        <v>82.490567160426906</v>
      </c>
      <c r="AK2911">
        <v>19.371314305388399</v>
      </c>
      <c r="AL2911">
        <v>78.711757855654696</v>
      </c>
      <c r="AM2911">
        <v>85.251646146886301</v>
      </c>
      <c r="AN2911">
        <v>0.99999997469324697</v>
      </c>
    </row>
    <row r="2912" spans="1:40" x14ac:dyDescent="0.25">
      <c r="A2912" t="str">
        <f>"20190312172718238"</f>
        <v>20190312172718238</v>
      </c>
      <c r="B2912" t="str">
        <f>"1552382838231487"</f>
        <v>1552382838231487</v>
      </c>
      <c r="C2912" t="s">
        <v>40</v>
      </c>
      <c r="D2912">
        <v>3.416528</v>
      </c>
      <c r="E2912">
        <v>0.52235829999999905</v>
      </c>
      <c r="F2912" t="s">
        <v>48</v>
      </c>
      <c r="G2912">
        <v>-222.09229999999999</v>
      </c>
      <c r="H2912" s="1">
        <v>-3.2839219999999998E-7</v>
      </c>
      <c r="I2912">
        <v>212.44309999999999</v>
      </c>
      <c r="J2912">
        <v>-241.5316</v>
      </c>
      <c r="K2912">
        <v>1.110214</v>
      </c>
      <c r="L2912">
        <v>214.1591</v>
      </c>
      <c r="M2912">
        <v>0.99893270000000001</v>
      </c>
      <c r="N2912">
        <v>0</v>
      </c>
      <c r="O2912">
        <v>4.3982550000000002E-2</v>
      </c>
      <c r="P2912">
        <v>0.98260570000000003</v>
      </c>
      <c r="Q2912">
        <v>0.18161440000000001</v>
      </c>
      <c r="R2912">
        <v>-3.8757140000000002E-2</v>
      </c>
      <c r="S2912">
        <v>3.0747680000000002</v>
      </c>
      <c r="T2912">
        <v>-0.1722119</v>
      </c>
      <c r="U2912">
        <v>-0.26351930000000001</v>
      </c>
      <c r="V2912">
        <v>8.1776860000000007E-2</v>
      </c>
      <c r="W2912">
        <v>0.19548589999999999</v>
      </c>
      <c r="X2912">
        <v>0.97729100000000002</v>
      </c>
      <c r="Y2912">
        <v>0.12886529999999999</v>
      </c>
      <c r="Z2912">
        <v>-6.0571039999999998E-3</v>
      </c>
      <c r="AA2912">
        <v>0.99164359999999996</v>
      </c>
      <c r="AB2912">
        <v>38</v>
      </c>
      <c r="AC2912">
        <v>19.439299999999999</v>
      </c>
      <c r="AD2912">
        <v>-1.1102143283921999</v>
      </c>
      <c r="AE2912">
        <v>-1.716</v>
      </c>
      <c r="AF2912">
        <v>2.56112497205089</v>
      </c>
      <c r="AG2912">
        <v>-1.1102143283921999</v>
      </c>
      <c r="AH2912">
        <v>19.282594329401601</v>
      </c>
      <c r="AI2912">
        <v>93.266598231505199</v>
      </c>
      <c r="AJ2912">
        <v>82.434225147397299</v>
      </c>
      <c r="AK2912">
        <v>19.483592611469302</v>
      </c>
      <c r="AL2912">
        <v>78.726889466116305</v>
      </c>
      <c r="AM2912">
        <v>85.216799298836094</v>
      </c>
      <c r="AN2912">
        <v>0.99999994530563296</v>
      </c>
    </row>
    <row r="2913" spans="1:40" x14ac:dyDescent="0.25">
      <c r="A2913" t="str">
        <f>"20190312172718254"</f>
        <v>20190312172718254</v>
      </c>
      <c r="B2913" t="str">
        <f>"1552382838251981"</f>
        <v>1552382838251981</v>
      </c>
      <c r="C2913" t="s">
        <v>40</v>
      </c>
      <c r="D2913">
        <v>3.4186740000000002</v>
      </c>
      <c r="E2913">
        <v>0.52239329999999995</v>
      </c>
      <c r="F2913" t="s">
        <v>48</v>
      </c>
      <c r="G2913">
        <v>-221.71</v>
      </c>
      <c r="H2913" s="1">
        <v>-5.3225419999999995E-7</v>
      </c>
      <c r="I2913">
        <v>212.45359999999999</v>
      </c>
      <c r="J2913">
        <v>-241.24440000000001</v>
      </c>
      <c r="K2913">
        <v>1.1101890000000001</v>
      </c>
      <c r="L2913">
        <v>214.17189999999999</v>
      </c>
      <c r="M2913">
        <v>0.99892389999999998</v>
      </c>
      <c r="N2913">
        <v>0</v>
      </c>
      <c r="O2913">
        <v>4.4184229999999998E-2</v>
      </c>
      <c r="P2913">
        <v>0.98259510000000005</v>
      </c>
      <c r="Q2913">
        <v>0.1815177</v>
      </c>
      <c r="R2913">
        <v>-3.9475429999999999E-2</v>
      </c>
      <c r="S2913">
        <v>3.0744929999999999</v>
      </c>
      <c r="T2913">
        <v>-0.17220350000000001</v>
      </c>
      <c r="U2913">
        <v>-0.26454159999999999</v>
      </c>
      <c r="V2913">
        <v>8.2703189999999996E-2</v>
      </c>
      <c r="W2913">
        <v>0.19538259999999999</v>
      </c>
      <c r="X2913">
        <v>0.97723380000000004</v>
      </c>
      <c r="Y2913">
        <v>0.12939909999999999</v>
      </c>
      <c r="Z2913">
        <v>-6.0834469999999996E-3</v>
      </c>
      <c r="AA2913">
        <v>0.99157390000000001</v>
      </c>
      <c r="AB2913">
        <v>38</v>
      </c>
      <c r="AC2913">
        <v>19.534400000000002</v>
      </c>
      <c r="AD2913">
        <v>-1.1101895322541999</v>
      </c>
      <c r="AE2913">
        <v>-1.7182999999999899</v>
      </c>
      <c r="AF2913">
        <v>2.5715775409649799</v>
      </c>
      <c r="AG2913">
        <v>-1.1101895322541999</v>
      </c>
      <c r="AH2913">
        <v>19.3772827392946</v>
      </c>
      <c r="AI2913">
        <v>93.250644032699896</v>
      </c>
      <c r="AJ2913">
        <v>82.440396714956293</v>
      </c>
      <c r="AK2913">
        <v>19.578677641896199</v>
      </c>
      <c r="AL2913">
        <v>78.732925563919395</v>
      </c>
      <c r="AM2913">
        <v>85.162591307797101</v>
      </c>
      <c r="AN2913">
        <v>1.00000003894068</v>
      </c>
    </row>
    <row r="2914" spans="1:40" x14ac:dyDescent="0.25">
      <c r="A2914" t="str">
        <f>"20190312172718276"</f>
        <v>20190312172718276</v>
      </c>
      <c r="B2914" t="str">
        <f>"1552382838271502"</f>
        <v>1552382838271502</v>
      </c>
      <c r="C2914" t="s">
        <v>40</v>
      </c>
      <c r="D2914">
        <v>3.3858019999999902</v>
      </c>
      <c r="E2914">
        <v>0.52243779999999995</v>
      </c>
      <c r="F2914" t="s">
        <v>48</v>
      </c>
      <c r="G2914">
        <v>-221.3888</v>
      </c>
      <c r="H2914" s="1">
        <v>-7.0296110000000001E-7</v>
      </c>
      <c r="I2914">
        <v>212.44820000000001</v>
      </c>
      <c r="J2914">
        <v>-240.88489999999999</v>
      </c>
      <c r="K2914">
        <v>1.1101559999999999</v>
      </c>
      <c r="L2914">
        <v>214.18809999999999</v>
      </c>
      <c r="M2914">
        <v>0.99891390000000002</v>
      </c>
      <c r="N2914">
        <v>0</v>
      </c>
      <c r="O2914">
        <v>4.4409200000000003E-2</v>
      </c>
      <c r="P2914">
        <v>0.98272009999999999</v>
      </c>
      <c r="Q2914">
        <v>0.18075820000000001</v>
      </c>
      <c r="R2914">
        <v>-3.9846680000000002E-2</v>
      </c>
      <c r="S2914">
        <v>3.0741580000000002</v>
      </c>
      <c r="T2914">
        <v>-0.17188580000000001</v>
      </c>
      <c r="U2914">
        <v>-0.26687620000000001</v>
      </c>
      <c r="V2914">
        <v>8.3315570000000005E-2</v>
      </c>
      <c r="W2914">
        <v>0.19461639999999999</v>
      </c>
      <c r="X2914">
        <v>0.97733460000000005</v>
      </c>
      <c r="Y2914">
        <v>0.1303782</v>
      </c>
      <c r="Z2914">
        <v>-6.112564E-3</v>
      </c>
      <c r="AA2914">
        <v>0.99144549999999998</v>
      </c>
      <c r="AB2914">
        <v>38</v>
      </c>
      <c r="AC2914">
        <v>19.496099999999899</v>
      </c>
      <c r="AD2914">
        <v>-1.1101567029610999</v>
      </c>
      <c r="AE2914">
        <v>-1.73989999999997</v>
      </c>
      <c r="AF2914">
        <v>2.5957254100048601</v>
      </c>
      <c r="AG2914">
        <v>-1.1101567029610999</v>
      </c>
      <c r="AH2914">
        <v>19.3373815165513</v>
      </c>
      <c r="AI2914">
        <v>93.256592043874306</v>
      </c>
      <c r="AJ2914">
        <v>82.354684821018694</v>
      </c>
      <c r="AK2914">
        <v>19.5423786225202</v>
      </c>
      <c r="AL2914">
        <v>78.777684077862602</v>
      </c>
      <c r="AM2914">
        <v>85.127444498611794</v>
      </c>
      <c r="AN2914">
        <v>0.99999997385527195</v>
      </c>
    </row>
    <row r="2915" spans="1:40" x14ac:dyDescent="0.25">
      <c r="A2915" t="str">
        <f>"20190312172718297"</f>
        <v>20190312172718297</v>
      </c>
      <c r="B2915" t="str">
        <f>"1552382838291998"</f>
        <v>1552382838291998</v>
      </c>
      <c r="C2915" t="s">
        <v>40</v>
      </c>
      <c r="D2915">
        <v>3.4244140000000001</v>
      </c>
      <c r="E2915">
        <v>0.52248850000000002</v>
      </c>
      <c r="F2915" t="s">
        <v>48</v>
      </c>
      <c r="G2915">
        <v>-221.22110000000001</v>
      </c>
      <c r="H2915" s="1">
        <v>-7.9314099999999899E-7</v>
      </c>
      <c r="I2915">
        <v>212.4699</v>
      </c>
      <c r="J2915">
        <v>-240.51570000000001</v>
      </c>
      <c r="K2915">
        <v>1.11012</v>
      </c>
      <c r="L2915">
        <v>214.2047</v>
      </c>
      <c r="M2915">
        <v>0.99890520000000005</v>
      </c>
      <c r="N2915">
        <v>0</v>
      </c>
      <c r="O2915">
        <v>4.4610370000000003E-2</v>
      </c>
      <c r="P2915">
        <v>0.98278569999999998</v>
      </c>
      <c r="Q2915">
        <v>0.180314</v>
      </c>
      <c r="R2915">
        <v>-4.024171E-2</v>
      </c>
      <c r="S2915">
        <v>3.0737920000000001</v>
      </c>
      <c r="T2915">
        <v>-0.17353650000000001</v>
      </c>
      <c r="U2915">
        <v>-0.26858520000000002</v>
      </c>
      <c r="V2915">
        <v>8.3926459999999994E-2</v>
      </c>
      <c r="W2915">
        <v>0.19416420000000001</v>
      </c>
      <c r="X2915">
        <v>0.97737229999999997</v>
      </c>
      <c r="Y2915">
        <v>0.1311283</v>
      </c>
      <c r="Z2915">
        <v>-6.2042089999999996E-3</v>
      </c>
      <c r="AA2915">
        <v>0.99134599999999995</v>
      </c>
      <c r="AB2915">
        <v>38</v>
      </c>
      <c r="AC2915">
        <v>19.294599999999999</v>
      </c>
      <c r="AD2915">
        <v>-1.110120793141</v>
      </c>
      <c r="AE2915">
        <v>-1.7347999999999999</v>
      </c>
      <c r="AF2915">
        <v>2.5854073323827702</v>
      </c>
      <c r="AG2915">
        <v>-1.110120793141</v>
      </c>
      <c r="AH2915">
        <v>19.1351545659519</v>
      </c>
      <c r="AI2915">
        <v>93.290445435305102</v>
      </c>
      <c r="AJ2915">
        <v>82.3051961582117</v>
      </c>
      <c r="AK2915">
        <v>19.340911031090801</v>
      </c>
      <c r="AL2915">
        <v>78.804097374558097</v>
      </c>
      <c r="AM2915">
        <v>85.092080023621605</v>
      </c>
      <c r="AN2915">
        <v>1.0000000000285301</v>
      </c>
    </row>
    <row r="2916" spans="1:40" x14ac:dyDescent="0.25">
      <c r="A2916" t="str">
        <f>"20190312172718320"</f>
        <v>20190312172718320</v>
      </c>
      <c r="B2916" t="str">
        <f>"1552382838311518"</f>
        <v>1552382838311518</v>
      </c>
      <c r="C2916" t="s">
        <v>40</v>
      </c>
      <c r="D2916">
        <v>3.426774</v>
      </c>
      <c r="E2916">
        <v>0.52255640000000003</v>
      </c>
      <c r="F2916" t="s">
        <v>48</v>
      </c>
      <c r="G2916">
        <v>-220.9247</v>
      </c>
      <c r="H2916" s="1">
        <v>-9.5119160000000002E-7</v>
      </c>
      <c r="I2916">
        <v>212.47640000000001</v>
      </c>
      <c r="J2916">
        <v>-240.14099999999999</v>
      </c>
      <c r="K2916">
        <v>1.110085</v>
      </c>
      <c r="L2916">
        <v>214.2216</v>
      </c>
      <c r="M2916">
        <v>0.99889720000000004</v>
      </c>
      <c r="N2916">
        <v>0</v>
      </c>
      <c r="O2916">
        <v>4.4786270000000003E-2</v>
      </c>
      <c r="P2916">
        <v>0.98284479999999996</v>
      </c>
      <c r="Q2916">
        <v>0.1797995</v>
      </c>
      <c r="R2916">
        <v>-4.1083469999999997E-2</v>
      </c>
      <c r="S2916">
        <v>3.0733950000000001</v>
      </c>
      <c r="T2916">
        <v>-0.17415320000000001</v>
      </c>
      <c r="U2916">
        <v>-0.27113340000000002</v>
      </c>
      <c r="V2916">
        <v>8.4958740000000005E-2</v>
      </c>
      <c r="W2916">
        <v>0.19364120000000001</v>
      </c>
      <c r="X2916">
        <v>0.97738689999999995</v>
      </c>
      <c r="Y2916">
        <v>0.13212560000000001</v>
      </c>
      <c r="Z2916">
        <v>-6.264932E-3</v>
      </c>
      <c r="AA2916">
        <v>0.99121320000000002</v>
      </c>
      <c r="AB2916">
        <v>38</v>
      </c>
      <c r="AC2916">
        <v>19.216299999999901</v>
      </c>
      <c r="AD2916">
        <v>-1.1100859511915999</v>
      </c>
      <c r="AE2916">
        <v>-1.7451999999999801</v>
      </c>
      <c r="AF2916">
        <v>2.59556946007819</v>
      </c>
      <c r="AG2916">
        <v>-1.1100859511915999</v>
      </c>
      <c r="AH2916">
        <v>19.055774151934799</v>
      </c>
      <c r="AI2916">
        <v>93.303537298103507</v>
      </c>
      <c r="AJ2916">
        <v>82.243527945036604</v>
      </c>
      <c r="AK2916">
        <v>19.263743150558</v>
      </c>
      <c r="AL2916">
        <v>78.834643102113105</v>
      </c>
      <c r="AM2916">
        <v>85.0320876418496</v>
      </c>
      <c r="AN2916">
        <v>1.0000000270657099</v>
      </c>
    </row>
    <row r="2917" spans="1:40" x14ac:dyDescent="0.25">
      <c r="A2917" t="str">
        <f>"20190312172718342"</f>
        <v>20190312172718342</v>
      </c>
      <c r="B2917" t="str">
        <f>"1552382838332014"</f>
        <v>1552382838332014</v>
      </c>
      <c r="C2917" t="s">
        <v>40</v>
      </c>
      <c r="D2917">
        <v>3.4136199999999999</v>
      </c>
      <c r="E2917">
        <v>0.5226191</v>
      </c>
      <c r="F2917" t="s">
        <v>48</v>
      </c>
      <c r="G2917">
        <v>-220.66480000000001</v>
      </c>
      <c r="H2917" s="1">
        <v>-1.08987E-6</v>
      </c>
      <c r="I2917">
        <v>212.48490000000001</v>
      </c>
      <c r="J2917">
        <v>-239.76589999999999</v>
      </c>
      <c r="K2917">
        <v>1.11005</v>
      </c>
      <c r="L2917">
        <v>214.23859999999999</v>
      </c>
      <c r="M2917">
        <v>0.99889050000000001</v>
      </c>
      <c r="N2917">
        <v>0</v>
      </c>
      <c r="O2917">
        <v>4.4936879999999998E-2</v>
      </c>
      <c r="P2917">
        <v>0.98292049999999997</v>
      </c>
      <c r="Q2917">
        <v>0.17923889999999901</v>
      </c>
      <c r="R2917">
        <v>-4.1723660000000003E-2</v>
      </c>
      <c r="S2917">
        <v>3.072937</v>
      </c>
      <c r="T2917">
        <v>-0.1751479</v>
      </c>
      <c r="U2917">
        <v>-0.27401730000000002</v>
      </c>
      <c r="V2917">
        <v>8.5763629999999993E-2</v>
      </c>
      <c r="W2917">
        <v>0.1930723</v>
      </c>
      <c r="X2917">
        <v>0.9774292</v>
      </c>
      <c r="Y2917">
        <v>0.13320560000000001</v>
      </c>
      <c r="Z2917">
        <v>-6.3406000000000001E-3</v>
      </c>
      <c r="AA2917">
        <v>0.99106810000000001</v>
      </c>
      <c r="AB2917">
        <v>38</v>
      </c>
      <c r="AC2917">
        <v>19.101099999999899</v>
      </c>
      <c r="AD2917">
        <v>-1.11005108987</v>
      </c>
      <c r="AE2917">
        <v>-1.7536999999999801</v>
      </c>
      <c r="AF2917">
        <v>2.6016440509284</v>
      </c>
      <c r="AG2917">
        <v>-1.11005108987</v>
      </c>
      <c r="AH2917">
        <v>18.939557321317199</v>
      </c>
      <c r="AI2917">
        <v>93.323144045117701</v>
      </c>
      <c r="AJ2917">
        <v>82.178480117572704</v>
      </c>
      <c r="AK2917">
        <v>19.1496108763941</v>
      </c>
      <c r="AL2917">
        <v>78.867866193520001</v>
      </c>
      <c r="AM2917">
        <v>84.985476962845993</v>
      </c>
      <c r="AN2917">
        <v>1.0000000771353501</v>
      </c>
    </row>
    <row r="2918" spans="1:40" x14ac:dyDescent="0.25">
      <c r="A2918" t="str">
        <f>"20190312172718365"</f>
        <v>20190312172718365</v>
      </c>
      <c r="B2918" t="str">
        <f>"1552382838362270"</f>
        <v>1552382838362270</v>
      </c>
      <c r="C2918" t="s">
        <v>40</v>
      </c>
      <c r="D2918">
        <v>3.4409260000000002</v>
      </c>
      <c r="E2918">
        <v>0.52270169999999905</v>
      </c>
      <c r="F2918" t="s">
        <v>48</v>
      </c>
      <c r="G2918">
        <v>-220.42359999999999</v>
      </c>
      <c r="H2918" s="1">
        <v>-1.218788E-6</v>
      </c>
      <c r="I2918">
        <v>212.49870000000001</v>
      </c>
      <c r="J2918">
        <v>-239.38839999999999</v>
      </c>
      <c r="K2918">
        <v>1.1100159999999999</v>
      </c>
      <c r="L2918">
        <v>214.25579999999999</v>
      </c>
      <c r="M2918">
        <v>0.99888469999999996</v>
      </c>
      <c r="N2918">
        <v>0</v>
      </c>
      <c r="O2918">
        <v>4.506682E-2</v>
      </c>
      <c r="P2918">
        <v>0.98295569999999999</v>
      </c>
      <c r="Q2918">
        <v>0.17883829999999901</v>
      </c>
      <c r="R2918">
        <v>-4.2603969999999998E-2</v>
      </c>
      <c r="S2918">
        <v>3.0725709999999999</v>
      </c>
      <c r="T2918">
        <v>-0.17633489999999999</v>
      </c>
      <c r="U2918">
        <v>-0.27639770000000002</v>
      </c>
      <c r="V2918">
        <v>8.6784349999999996E-2</v>
      </c>
      <c r="W2918">
        <v>0.19266430000000001</v>
      </c>
      <c r="X2918">
        <v>0.97741960000000006</v>
      </c>
      <c r="Y2918">
        <v>0.134101</v>
      </c>
      <c r="Z2918">
        <v>-6.4171069999999896E-3</v>
      </c>
      <c r="AA2918">
        <v>0.99094689999999996</v>
      </c>
      <c r="AB2918">
        <v>38</v>
      </c>
      <c r="AC2918">
        <v>18.9648</v>
      </c>
      <c r="AD2918">
        <v>-1.110017218788</v>
      </c>
      <c r="AE2918">
        <v>-1.7570999999999799</v>
      </c>
      <c r="AF2918">
        <v>2.6012468617022302</v>
      </c>
      <c r="AG2918">
        <v>-1.110017218788</v>
      </c>
      <c r="AH2918">
        <v>18.802467299986098</v>
      </c>
      <c r="AI2918">
        <v>93.346773584998402</v>
      </c>
      <c r="AJ2918">
        <v>82.123353970705395</v>
      </c>
      <c r="AK2918">
        <v>19.0139790687948</v>
      </c>
      <c r="AL2918">
        <v>78.891690038901899</v>
      </c>
      <c r="AM2918">
        <v>84.926056511133694</v>
      </c>
      <c r="AN2918">
        <v>1.00000006518178</v>
      </c>
    </row>
    <row r="2919" spans="1:40" x14ac:dyDescent="0.25">
      <c r="A2919" t="str">
        <f>"20190312172718392"</f>
        <v>20190312172718392</v>
      </c>
      <c r="B2919" t="str">
        <f>"1552382838381790"</f>
        <v>1552382838381790</v>
      </c>
      <c r="C2919" t="s">
        <v>40</v>
      </c>
      <c r="D2919">
        <v>3.4536319999999998</v>
      </c>
      <c r="E2919">
        <v>0.52274220000000005</v>
      </c>
      <c r="F2919" t="s">
        <v>48</v>
      </c>
      <c r="G2919">
        <v>-220.08420000000001</v>
      </c>
      <c r="H2919" s="1">
        <v>-1.3994779999999999E-6</v>
      </c>
      <c r="I2919">
        <v>212.49979999999999</v>
      </c>
      <c r="J2919">
        <v>-238.9316</v>
      </c>
      <c r="K2919">
        <v>1.1099920000000001</v>
      </c>
      <c r="L2919">
        <v>214.2765</v>
      </c>
      <c r="M2919">
        <v>0.99887870000000001</v>
      </c>
      <c r="N2919">
        <v>0</v>
      </c>
      <c r="O2919">
        <v>4.5200829999999997E-2</v>
      </c>
      <c r="P2919">
        <v>0.9830219</v>
      </c>
      <c r="Q2919">
        <v>0.17822639999999901</v>
      </c>
      <c r="R2919">
        <v>-4.3632839999999999E-2</v>
      </c>
      <c r="S2919">
        <v>3.0720670000000001</v>
      </c>
      <c r="T2919">
        <v>-0.17664730000000001</v>
      </c>
      <c r="U2919">
        <v>-0.27944950000000002</v>
      </c>
      <c r="V2919">
        <v>8.7958359999999999E-2</v>
      </c>
      <c r="W2919">
        <v>0.19204470000000001</v>
      </c>
      <c r="X2919">
        <v>0.97743650000000004</v>
      </c>
      <c r="Y2919">
        <v>0.1352216</v>
      </c>
      <c r="Z2919">
        <v>-6.469046E-3</v>
      </c>
      <c r="AA2919">
        <v>0.99079419999999996</v>
      </c>
      <c r="AB2919">
        <v>38</v>
      </c>
      <c r="AC2919">
        <v>18.8474</v>
      </c>
      <c r="AD2919">
        <v>-1.109993399478</v>
      </c>
      <c r="AE2919">
        <v>-1.7766999999999999</v>
      </c>
      <c r="AF2919">
        <v>2.61788620269428</v>
      </c>
      <c r="AG2919">
        <v>-1.109993399478</v>
      </c>
      <c r="AH2919">
        <v>18.6835837090876</v>
      </c>
      <c r="AI2919">
        <v>93.367135476483696</v>
      </c>
      <c r="AJ2919">
        <v>82.023819469025597</v>
      </c>
      <c r="AK2919">
        <v>18.898722542320801</v>
      </c>
      <c r="AL2919">
        <v>78.927865068148506</v>
      </c>
      <c r="AM2919">
        <v>84.857870703335294</v>
      </c>
      <c r="AN2919">
        <v>0.99999997571211396</v>
      </c>
    </row>
    <row r="2920" spans="1:40" x14ac:dyDescent="0.25">
      <c r="A2920" t="str">
        <f>"20190312172718430"</f>
        <v>20190312172718430</v>
      </c>
      <c r="B2920" t="str">
        <f>"1552382838421760"</f>
        <v>1552382838421760</v>
      </c>
      <c r="C2920" t="s">
        <v>40</v>
      </c>
      <c r="D2920">
        <v>3.4728650000000001</v>
      </c>
      <c r="E2920">
        <v>0.5228834</v>
      </c>
      <c r="F2920" t="s">
        <v>48</v>
      </c>
      <c r="G2920">
        <v>-219.7946</v>
      </c>
      <c r="H2920" s="1">
        <v>3.7673649999999998E-6</v>
      </c>
      <c r="I2920">
        <v>212.5129</v>
      </c>
      <c r="J2920">
        <v>-238.28809999999999</v>
      </c>
      <c r="K2920">
        <v>1.109972</v>
      </c>
      <c r="L2920">
        <v>214.3058</v>
      </c>
      <c r="M2920">
        <v>0.99887110000000001</v>
      </c>
      <c r="N2920">
        <v>0</v>
      </c>
      <c r="O2920">
        <v>4.5367930000000001E-2</v>
      </c>
      <c r="P2920">
        <v>0.98292290000000004</v>
      </c>
      <c r="Q2920">
        <v>0.17818999999999999</v>
      </c>
      <c r="R2920">
        <v>-4.5948379999999997E-2</v>
      </c>
      <c r="S2920">
        <v>3.0715479999999999</v>
      </c>
      <c r="T2920">
        <v>-0.17815699999999901</v>
      </c>
      <c r="U2920">
        <v>-0.28306579999999998</v>
      </c>
      <c r="V2920">
        <v>9.044249E-2</v>
      </c>
      <c r="W2920">
        <v>0.191997</v>
      </c>
      <c r="X2920">
        <v>0.97721919999999995</v>
      </c>
      <c r="Y2920">
        <v>0.13655149999999999</v>
      </c>
      <c r="Z2920">
        <v>-6.5731260000000003E-3</v>
      </c>
      <c r="AA2920">
        <v>0.99061120000000003</v>
      </c>
      <c r="AB2920">
        <v>38</v>
      </c>
      <c r="AC2920">
        <v>18.493499999999901</v>
      </c>
      <c r="AD2920">
        <v>-1.109968232635</v>
      </c>
      <c r="AE2920">
        <v>-1.7928999999999999</v>
      </c>
      <c r="AF2920">
        <v>2.6207955207907099</v>
      </c>
      <c r="AG2920">
        <v>-1.109968232635</v>
      </c>
      <c r="AH2920">
        <v>18.327698507782401</v>
      </c>
      <c r="AI2920">
        <v>93.430917657051097</v>
      </c>
      <c r="AJ2920">
        <v>81.862076648027099</v>
      </c>
      <c r="AK2920">
        <v>18.5473753192042</v>
      </c>
      <c r="AL2920">
        <v>78.930650491164798</v>
      </c>
      <c r="AM2920">
        <v>84.712288845239897</v>
      </c>
      <c r="AN2920">
        <v>1.0000000284275099</v>
      </c>
    </row>
    <row r="2921" spans="1:40" x14ac:dyDescent="0.25">
      <c r="A2921" t="str">
        <f>"20190312172718452"</f>
        <v>20190312172718452</v>
      </c>
      <c r="B2921" t="str">
        <f>"1552382838442256"</f>
        <v>1552382838442256</v>
      </c>
      <c r="C2921" t="s">
        <v>40</v>
      </c>
      <c r="D2921">
        <v>3.5361609999999999</v>
      </c>
      <c r="E2921">
        <v>0.5231306</v>
      </c>
      <c r="F2921" t="s">
        <v>48</v>
      </c>
      <c r="G2921">
        <v>-219.08420000000001</v>
      </c>
      <c r="H2921" s="1">
        <v>3.3907270000000001E-6</v>
      </c>
      <c r="I2921">
        <v>212.4812</v>
      </c>
      <c r="J2921">
        <v>-237.90880000000001</v>
      </c>
      <c r="K2921">
        <v>1.109961</v>
      </c>
      <c r="L2921">
        <v>214.32320000000001</v>
      </c>
      <c r="M2921">
        <v>0.99886699999999995</v>
      </c>
      <c r="N2921">
        <v>0</v>
      </c>
      <c r="O2921">
        <v>4.5460519999999997E-2</v>
      </c>
      <c r="P2921">
        <v>0.98278849999999995</v>
      </c>
      <c r="Q2921">
        <v>0.1785832</v>
      </c>
      <c r="R2921">
        <v>-4.7274339999999998E-2</v>
      </c>
      <c r="S2921">
        <v>3.0706630000000001</v>
      </c>
      <c r="T2921">
        <v>-0.17748220000000001</v>
      </c>
      <c r="U2921">
        <v>-0.2917633</v>
      </c>
      <c r="V2921">
        <v>9.1856519999999997E-2</v>
      </c>
      <c r="W2921">
        <v>0.19238350000000001</v>
      </c>
      <c r="X2921">
        <v>0.97701130000000003</v>
      </c>
      <c r="Y2921">
        <v>0.1394476</v>
      </c>
      <c r="Z2921">
        <v>-6.6381060000000004E-3</v>
      </c>
      <c r="AA2921">
        <v>0.99020719999999995</v>
      </c>
      <c r="AB2921">
        <v>38</v>
      </c>
      <c r="AC2921">
        <v>18.8246</v>
      </c>
      <c r="AD2921">
        <v>-1.1099576092729999</v>
      </c>
      <c r="AE2921">
        <v>-1.8420000000000101</v>
      </c>
      <c r="AF2921">
        <v>2.6867039603704201</v>
      </c>
      <c r="AG2921">
        <v>-1.1099576092729999</v>
      </c>
      <c r="AH2921">
        <v>18.657138283032499</v>
      </c>
      <c r="AI2921">
        <v>93.369968322150896</v>
      </c>
      <c r="AJ2921">
        <v>81.805507868798799</v>
      </c>
      <c r="AK2921">
        <v>18.882245443200102</v>
      </c>
      <c r="AL2921">
        <v>78.908085307739597</v>
      </c>
      <c r="AM2921">
        <v>84.628961314387993</v>
      </c>
      <c r="AN2921">
        <v>1.00000005583322</v>
      </c>
    </row>
    <row r="2922" spans="1:40" x14ac:dyDescent="0.25">
      <c r="A2922" t="str">
        <f>"20190312172718475"</f>
        <v>20190312172718475</v>
      </c>
      <c r="B2922" t="str">
        <f>"1552382838471536"</f>
        <v>1552382838471536</v>
      </c>
      <c r="C2922" t="s">
        <v>40</v>
      </c>
      <c r="D2922">
        <v>3.5222579999999999</v>
      </c>
      <c r="E2922">
        <v>0.52353779999999905</v>
      </c>
      <c r="F2922" t="s">
        <v>48</v>
      </c>
      <c r="G2922">
        <v>-218.5668</v>
      </c>
      <c r="H2922" s="1">
        <v>3.1167519999999999E-6</v>
      </c>
      <c r="I2922">
        <v>212.44890000000001</v>
      </c>
      <c r="J2922">
        <v>-237.53540000000001</v>
      </c>
      <c r="K2922">
        <v>1.1099509999999999</v>
      </c>
      <c r="L2922">
        <v>214.34030000000001</v>
      </c>
      <c r="M2922">
        <v>0.99886299999999995</v>
      </c>
      <c r="N2922">
        <v>0</v>
      </c>
      <c r="O2922">
        <v>4.5550340000000002E-2</v>
      </c>
      <c r="P2922">
        <v>0.98274479999999997</v>
      </c>
      <c r="Q2922">
        <v>0.17864189999999999</v>
      </c>
      <c r="R2922">
        <v>-4.7958670000000002E-2</v>
      </c>
      <c r="S2922">
        <v>3.070236</v>
      </c>
      <c r="T2922">
        <v>-0.17618780000000001</v>
      </c>
      <c r="U2922">
        <v>-0.2975159</v>
      </c>
      <c r="V2922">
        <v>9.2629790000000004E-2</v>
      </c>
      <c r="W2922">
        <v>0.19243689999999999</v>
      </c>
      <c r="X2922">
        <v>0.97692769999999995</v>
      </c>
      <c r="Y2922">
        <v>0.14138879999999901</v>
      </c>
      <c r="Z2922">
        <v>-6.6507869999999896E-3</v>
      </c>
      <c r="AA2922">
        <v>0.98993180000000003</v>
      </c>
      <c r="AB2922">
        <v>38</v>
      </c>
      <c r="AC2922">
        <v>18.968599999999999</v>
      </c>
      <c r="AD2922">
        <v>-1.1099478832480001</v>
      </c>
      <c r="AE2922">
        <v>-1.8914</v>
      </c>
      <c r="AF2922">
        <v>2.74424429060113</v>
      </c>
      <c r="AG2922">
        <v>-1.1099478832480001</v>
      </c>
      <c r="AH2922">
        <v>18.7990108401358</v>
      </c>
      <c r="AI2922">
        <v>93.3436292177024</v>
      </c>
      <c r="AJ2922">
        <v>81.694732195711794</v>
      </c>
      <c r="AK2922">
        <v>19.030650792801801</v>
      </c>
      <c r="AL2922">
        <v>78.904966656262701</v>
      </c>
      <c r="AM2922">
        <v>84.5835536673696</v>
      </c>
      <c r="AN2922">
        <v>0.999999984752171</v>
      </c>
    </row>
    <row r="2923" spans="1:40" x14ac:dyDescent="0.25">
      <c r="A2923" t="str">
        <f>"20190312172718497"</f>
        <v>20190312172718497</v>
      </c>
      <c r="B2923" t="str">
        <f>"1552382838492032"</f>
        <v>1552382838492032</v>
      </c>
      <c r="C2923" t="s">
        <v>40</v>
      </c>
      <c r="D2923">
        <v>3.5496539999999999</v>
      </c>
      <c r="E2923">
        <v>0.52381909999999998</v>
      </c>
      <c r="F2923" t="s">
        <v>48</v>
      </c>
      <c r="G2923">
        <v>-218.15219999999999</v>
      </c>
      <c r="H2923" s="1">
        <v>2.8972169999999998E-6</v>
      </c>
      <c r="I2923">
        <v>212.42400000000001</v>
      </c>
      <c r="J2923">
        <v>-237.15119999999999</v>
      </c>
      <c r="K2923">
        <v>1.109931</v>
      </c>
      <c r="L2923">
        <v>214.3579</v>
      </c>
      <c r="M2923">
        <v>0.99885889999999999</v>
      </c>
      <c r="N2923">
        <v>0</v>
      </c>
      <c r="O2923">
        <v>4.563963E-2</v>
      </c>
      <c r="P2923">
        <v>0.98278929999999998</v>
      </c>
      <c r="Q2923">
        <v>0.17829600000000001</v>
      </c>
      <c r="R2923">
        <v>-4.8331730000000003E-2</v>
      </c>
      <c r="S2923">
        <v>3.069839</v>
      </c>
      <c r="T2923">
        <v>-0.1757891</v>
      </c>
      <c r="U2923">
        <v>-0.30348209999999998</v>
      </c>
      <c r="V2923">
        <v>9.3095709999999998E-2</v>
      </c>
      <c r="W2923">
        <v>0.1920878</v>
      </c>
      <c r="X2923">
        <v>0.97695209999999999</v>
      </c>
      <c r="Y2923">
        <v>0.14339289999999999</v>
      </c>
      <c r="Z2923">
        <v>-6.6983119999999997E-3</v>
      </c>
      <c r="AA2923">
        <v>0.98964319999999895</v>
      </c>
      <c r="AB2923">
        <v>38</v>
      </c>
      <c r="AC2923">
        <v>18.998999999999899</v>
      </c>
      <c r="AD2923">
        <v>-1.1099281027829999</v>
      </c>
      <c r="AE2923">
        <v>-1.93389999999999</v>
      </c>
      <c r="AF2923">
        <v>2.7896542930654902</v>
      </c>
      <c r="AG2923">
        <v>-1.1099281027829999</v>
      </c>
      <c r="AH2923">
        <v>18.8273297790521</v>
      </c>
      <c r="AI2923">
        <v>93.337500818669795</v>
      </c>
      <c r="AJ2923">
        <v>81.571779529227101</v>
      </c>
      <c r="AK2923">
        <v>19.065215920029601</v>
      </c>
      <c r="AL2923">
        <v>78.925348706434093</v>
      </c>
      <c r="AM2923">
        <v>84.556607784056794</v>
      </c>
      <c r="AN2923">
        <v>0.99999996991182605</v>
      </c>
    </row>
    <row r="2924" spans="1:40" x14ac:dyDescent="0.25">
      <c r="A2924" t="str">
        <f>"20190312172718520"</f>
        <v>20190312172718520</v>
      </c>
      <c r="B2924" t="str">
        <f>"1552382838511552"</f>
        <v>1552382838511552</v>
      </c>
      <c r="C2924" t="s">
        <v>40</v>
      </c>
      <c r="D2924">
        <v>3.5605980000000002</v>
      </c>
      <c r="E2924">
        <v>0.52409790000000001</v>
      </c>
      <c r="F2924" t="s">
        <v>48</v>
      </c>
      <c r="G2924">
        <v>-217.87729999999999</v>
      </c>
      <c r="H2924" s="1">
        <v>2.7508029999999999E-6</v>
      </c>
      <c r="I2924">
        <v>212.42789999999999</v>
      </c>
      <c r="J2924">
        <v>-236.76730000000001</v>
      </c>
      <c r="K2924">
        <v>1.109918</v>
      </c>
      <c r="L2924">
        <v>214.37549999999999</v>
      </c>
      <c r="M2924">
        <v>0.99885520000000005</v>
      </c>
      <c r="N2924">
        <v>0</v>
      </c>
      <c r="O2924">
        <v>4.5721499999999998E-2</v>
      </c>
      <c r="P2924">
        <v>0.98273820000000001</v>
      </c>
      <c r="Q2924">
        <v>0.17834900000000001</v>
      </c>
      <c r="R2924">
        <v>-4.916682E-2</v>
      </c>
      <c r="S2924">
        <v>3.0694889999999999</v>
      </c>
      <c r="T2924">
        <v>-0.17676349999999999</v>
      </c>
      <c r="U2924">
        <v>-0.30737300000000001</v>
      </c>
      <c r="V2924">
        <v>9.4012429999999994E-2</v>
      </c>
      <c r="W2924">
        <v>0.19213459999999999</v>
      </c>
      <c r="X2924">
        <v>0.97685520000000003</v>
      </c>
      <c r="Y2924">
        <v>0.1447214</v>
      </c>
      <c r="Z2924">
        <v>-6.7785700000000003E-3</v>
      </c>
      <c r="AA2924">
        <v>0.98944920000000003</v>
      </c>
      <c r="AB2924">
        <v>38</v>
      </c>
      <c r="AC2924">
        <v>18.89</v>
      </c>
      <c r="AD2924">
        <v>-1.1099152491969999</v>
      </c>
      <c r="AE2924">
        <v>-1.94759999999999</v>
      </c>
      <c r="AF2924">
        <v>2.7997633104758801</v>
      </c>
      <c r="AG2924">
        <v>-1.1099152491969999</v>
      </c>
      <c r="AH2924">
        <v>18.7172464583733</v>
      </c>
      <c r="AI2924">
        <v>93.356357873359798</v>
      </c>
      <c r="AJ2924">
        <v>81.492658000518603</v>
      </c>
      <c r="AK2924">
        <v>18.958003624817</v>
      </c>
      <c r="AL2924">
        <v>78.922617398021998</v>
      </c>
      <c r="AM2924">
        <v>84.502791102740801</v>
      </c>
      <c r="AN2924">
        <v>1.0000000616393501</v>
      </c>
    </row>
    <row r="2925" spans="1:40" x14ac:dyDescent="0.25">
      <c r="A2925" t="str">
        <f>"20190312172718545"</f>
        <v>20190312172718545</v>
      </c>
      <c r="B2925" t="str">
        <f>"1552382838542315"</f>
        <v>1552382838542315</v>
      </c>
      <c r="C2925" t="s">
        <v>40</v>
      </c>
      <c r="D2925">
        <v>3.5107020000000002</v>
      </c>
      <c r="E2925">
        <v>0.52453499999999997</v>
      </c>
      <c r="F2925" t="s">
        <v>48</v>
      </c>
      <c r="G2925">
        <v>-217.4751</v>
      </c>
      <c r="H2925" s="1">
        <v>2.5375080000000001E-6</v>
      </c>
      <c r="I2925">
        <v>212.41059999999999</v>
      </c>
      <c r="J2925">
        <v>-236.36750000000001</v>
      </c>
      <c r="K2925">
        <v>1.1098980000000001</v>
      </c>
      <c r="L2925">
        <v>214.3939</v>
      </c>
      <c r="M2925">
        <v>0.99885199999999996</v>
      </c>
      <c r="N2925">
        <v>0</v>
      </c>
      <c r="O2925">
        <v>4.579329E-2</v>
      </c>
      <c r="P2925">
        <v>0.98267689999999996</v>
      </c>
      <c r="Q2925">
        <v>0.1782975</v>
      </c>
      <c r="R2925">
        <v>-5.0562059999999999E-2</v>
      </c>
      <c r="S2925">
        <v>3.0691069999999998</v>
      </c>
      <c r="T2925">
        <v>-0.1765716</v>
      </c>
      <c r="U2925">
        <v>-0.31259160000000002</v>
      </c>
      <c r="V2925">
        <v>9.5479820000000007E-2</v>
      </c>
      <c r="W2925">
        <v>0.1920761</v>
      </c>
      <c r="X2925">
        <v>0.97672429999999999</v>
      </c>
      <c r="Y2925">
        <v>0.1464676</v>
      </c>
      <c r="Z2925">
        <v>-6.8256870000000004E-3</v>
      </c>
      <c r="AA2925">
        <v>0.98919190000000001</v>
      </c>
      <c r="AB2925">
        <v>38</v>
      </c>
      <c r="AC2925">
        <v>18.892399999999999</v>
      </c>
      <c r="AD2925">
        <v>-1.1098954624920001</v>
      </c>
      <c r="AE2925">
        <v>-1.9833000000000101</v>
      </c>
      <c r="AF2925">
        <v>2.8367656787246198</v>
      </c>
      <c r="AG2925">
        <v>-1.1098954624920001</v>
      </c>
      <c r="AH2925">
        <v>18.7178481641233</v>
      </c>
      <c r="AI2925">
        <v>93.355218449089904</v>
      </c>
      <c r="AJ2925">
        <v>81.3821731788764</v>
      </c>
      <c r="AK2925">
        <v>18.9640962702899</v>
      </c>
      <c r="AL2925">
        <v>78.926032025677003</v>
      </c>
      <c r="AM2925">
        <v>84.416782531926401</v>
      </c>
      <c r="AN2925">
        <v>0.99999999121446603</v>
      </c>
    </row>
    <row r="2926" spans="1:40" x14ac:dyDescent="0.25">
      <c r="A2926" t="str">
        <f>"20190312172718568"</f>
        <v>20190312172718568</v>
      </c>
      <c r="B2926" t="str">
        <f>"1552382838561836"</f>
        <v>1552382838561836</v>
      </c>
      <c r="C2926" t="s">
        <v>40</v>
      </c>
      <c r="D2926">
        <v>3.5724870000000002</v>
      </c>
      <c r="E2926">
        <v>0.52480519999999997</v>
      </c>
      <c r="F2926" t="s">
        <v>48</v>
      </c>
      <c r="G2926">
        <v>-217.18299999999999</v>
      </c>
      <c r="H2926" s="1">
        <v>2.3828650000000002E-6</v>
      </c>
      <c r="I2926">
        <v>212.39269999999999</v>
      </c>
      <c r="J2926">
        <v>-235.97</v>
      </c>
      <c r="K2926">
        <v>1.109882</v>
      </c>
      <c r="L2926">
        <v>214.41220000000001</v>
      </c>
      <c r="M2926">
        <v>0.99884949999999995</v>
      </c>
      <c r="N2926">
        <v>0</v>
      </c>
      <c r="O2926">
        <v>4.584506E-2</v>
      </c>
      <c r="P2926">
        <v>0.9825952</v>
      </c>
      <c r="Q2926">
        <v>0.17844779999999999</v>
      </c>
      <c r="R2926">
        <v>-5.1605270000000002E-2</v>
      </c>
      <c r="S2926">
        <v>3.068619</v>
      </c>
      <c r="T2926">
        <v>-0.177532</v>
      </c>
      <c r="U2926">
        <v>-0.32009890000000002</v>
      </c>
      <c r="V2926">
        <v>9.6576789999999996E-2</v>
      </c>
      <c r="W2926">
        <v>0.19221830000000001</v>
      </c>
      <c r="X2926">
        <v>0.97658849999999997</v>
      </c>
      <c r="Y2926">
        <v>0.1489212</v>
      </c>
      <c r="Z2926">
        <v>-6.9367269999999898E-3</v>
      </c>
      <c r="AA2926">
        <v>0.9888247</v>
      </c>
      <c r="AB2926">
        <v>38</v>
      </c>
      <c r="AC2926">
        <v>18.786999999999999</v>
      </c>
      <c r="AD2926">
        <v>-1.1098796171349901</v>
      </c>
      <c r="AE2926">
        <v>-2.0195000000000198</v>
      </c>
      <c r="AF2926">
        <v>2.86885439243262</v>
      </c>
      <c r="AG2926">
        <v>-1.1098796171349901</v>
      </c>
      <c r="AH2926">
        <v>18.610439277222799</v>
      </c>
      <c r="AI2926">
        <v>93.373183535849293</v>
      </c>
      <c r="AJ2926">
        <v>81.236666002359598</v>
      </c>
      <c r="AK2926">
        <v>18.862942728554099</v>
      </c>
      <c r="AL2926">
        <v>78.917730240891402</v>
      </c>
      <c r="AM2926">
        <v>84.352268902043605</v>
      </c>
      <c r="AN2926">
        <v>1.0000000247769201</v>
      </c>
    </row>
    <row r="2927" spans="1:40" x14ac:dyDescent="0.25">
      <c r="A2927" t="str">
        <f>"20190312172718594"</f>
        <v>20190312172718594</v>
      </c>
      <c r="B2927" t="str">
        <f>"1552382838582332"</f>
        <v>1552382838582332</v>
      </c>
      <c r="C2927" t="s">
        <v>40</v>
      </c>
      <c r="D2927">
        <v>3.493763</v>
      </c>
      <c r="E2927">
        <v>0.52507999999999999</v>
      </c>
      <c r="F2927" t="s">
        <v>48</v>
      </c>
      <c r="G2927">
        <v>-216.7612</v>
      </c>
      <c r="H2927" s="1">
        <v>2.159276E-6</v>
      </c>
      <c r="I2927">
        <v>212.3725</v>
      </c>
      <c r="J2927">
        <v>-235.54820000000001</v>
      </c>
      <c r="K2927">
        <v>1.1098600000000001</v>
      </c>
      <c r="L2927">
        <v>214.4316</v>
      </c>
      <c r="M2927">
        <v>0.99884810000000002</v>
      </c>
      <c r="N2927">
        <v>0</v>
      </c>
      <c r="O2927">
        <v>4.5879160000000002E-2</v>
      </c>
      <c r="P2927">
        <v>0.98270290000000005</v>
      </c>
      <c r="Q2927">
        <v>0.1777261</v>
      </c>
      <c r="R2927">
        <v>-5.2045059999999997E-2</v>
      </c>
      <c r="S2927">
        <v>3.068222</v>
      </c>
      <c r="T2927">
        <v>-0.1772811</v>
      </c>
      <c r="U2927">
        <v>-0.32580569999999998</v>
      </c>
      <c r="V2927">
        <v>9.7063200000000002E-2</v>
      </c>
      <c r="W2927">
        <v>0.1914911</v>
      </c>
      <c r="X2927">
        <v>0.97668310000000003</v>
      </c>
      <c r="Y2927">
        <v>0.15078469999999999</v>
      </c>
      <c r="Z2927">
        <v>-6.9827939999999996E-3</v>
      </c>
      <c r="AA2927">
        <v>0.98854200000000003</v>
      </c>
      <c r="AB2927">
        <v>37</v>
      </c>
      <c r="AC2927">
        <v>18.786999999999999</v>
      </c>
      <c r="AD2927">
        <v>-1.1098578407240001</v>
      </c>
      <c r="AE2927">
        <v>-2.0590999999999999</v>
      </c>
      <c r="AF2927">
        <v>2.90891678873199</v>
      </c>
      <c r="AG2927">
        <v>-1.1098578407240001</v>
      </c>
      <c r="AH2927">
        <v>18.608562041766</v>
      </c>
      <c r="AI2927">
        <v>93.372350876729499</v>
      </c>
      <c r="AJ2927">
        <v>81.1153465130988</v>
      </c>
      <c r="AK2927">
        <v>18.867224559341999</v>
      </c>
      <c r="AL2927">
        <v>78.960184021558902</v>
      </c>
      <c r="AM2927">
        <v>84.324555500643598</v>
      </c>
      <c r="AN2927">
        <v>0.99999999199953005</v>
      </c>
    </row>
    <row r="2928" spans="1:40" x14ac:dyDescent="0.25">
      <c r="A2928" t="str">
        <f>"20190312172718616"</f>
        <v>20190312172718616</v>
      </c>
      <c r="B2928" t="str">
        <f>"1552382838611611"</f>
        <v>1552382838611611</v>
      </c>
      <c r="C2928" t="s">
        <v>40</v>
      </c>
      <c r="D2928">
        <v>3.514446</v>
      </c>
      <c r="E2928">
        <v>0.52547679999999997</v>
      </c>
      <c r="F2928" t="s">
        <v>48</v>
      </c>
      <c r="G2928">
        <v>-216.68889999999999</v>
      </c>
      <c r="H2928" s="1">
        <v>2.1193749999999999E-6</v>
      </c>
      <c r="I2928">
        <v>212.40440000000001</v>
      </c>
      <c r="J2928">
        <v>-235.17590000000001</v>
      </c>
      <c r="K2928">
        <v>1.109847</v>
      </c>
      <c r="L2928">
        <v>214.4487</v>
      </c>
      <c r="M2928">
        <v>0.99884720000000005</v>
      </c>
      <c r="N2928">
        <v>0</v>
      </c>
      <c r="O2928">
        <v>4.589671E-2</v>
      </c>
      <c r="P2928">
        <v>0.98272400000000004</v>
      </c>
      <c r="Q2928">
        <v>0.1773854</v>
      </c>
      <c r="R2928">
        <v>-5.2802460000000002E-2</v>
      </c>
      <c r="S2928">
        <v>3.0680079999999998</v>
      </c>
      <c r="T2928">
        <v>-0.18054970000000001</v>
      </c>
      <c r="U2928">
        <v>-0.32978819999999998</v>
      </c>
      <c r="V2928">
        <v>9.7844360000000005E-2</v>
      </c>
      <c r="W2928">
        <v>0.19114519999999999</v>
      </c>
      <c r="X2928">
        <v>0.97667289999999995</v>
      </c>
      <c r="Y2928">
        <v>0.1520637</v>
      </c>
      <c r="Z2928">
        <v>-7.1498669999999999E-3</v>
      </c>
      <c r="AA2928">
        <v>0.98834480000000002</v>
      </c>
      <c r="AB2928">
        <v>37</v>
      </c>
      <c r="AC2928">
        <v>18.486999999999998</v>
      </c>
      <c r="AD2928">
        <v>-1.1098448806250001</v>
      </c>
      <c r="AE2928">
        <v>-2.04429999999999</v>
      </c>
      <c r="AF2928">
        <v>2.8804657085339702</v>
      </c>
      <c r="AG2928">
        <v>-1.1098448806250001</v>
      </c>
      <c r="AH2928">
        <v>18.308490717647299</v>
      </c>
      <c r="AI2928">
        <v>93.426924629349799</v>
      </c>
      <c r="AJ2928">
        <v>81.058974003658705</v>
      </c>
      <c r="AK2928">
        <v>18.566897175222</v>
      </c>
      <c r="AL2928">
        <v>78.980375474773297</v>
      </c>
      <c r="AM2928">
        <v>84.279122217438498</v>
      </c>
      <c r="AN2928">
        <v>0.99999997993062895</v>
      </c>
    </row>
    <row r="2929" spans="1:40" x14ac:dyDescent="0.25">
      <c r="A2929" t="str">
        <f>"20190312172718636"</f>
        <v>20190312172718636</v>
      </c>
      <c r="B2929" t="str">
        <f>"1552382838632107"</f>
        <v>1552382838632107</v>
      </c>
      <c r="C2929" t="s">
        <v>40</v>
      </c>
      <c r="D2929">
        <v>3.5653100000000002</v>
      </c>
      <c r="E2929">
        <v>0.5257347</v>
      </c>
      <c r="F2929" t="s">
        <v>48</v>
      </c>
      <c r="G2929">
        <v>-216.5206</v>
      </c>
      <c r="H2929" s="1">
        <v>2.0298239999999998E-6</v>
      </c>
      <c r="I2929">
        <v>212.405</v>
      </c>
      <c r="J2929">
        <v>-234.84379999999999</v>
      </c>
      <c r="K2929">
        <v>1.109836</v>
      </c>
      <c r="L2929">
        <v>214.464</v>
      </c>
      <c r="M2929">
        <v>0.99884700000000004</v>
      </c>
      <c r="N2929">
        <v>0</v>
      </c>
      <c r="O2929">
        <v>4.5900349999999999E-2</v>
      </c>
      <c r="P2929">
        <v>0.98272510000000002</v>
      </c>
      <c r="Q2929">
        <v>0.17717579999999999</v>
      </c>
      <c r="R2929">
        <v>-5.3479869999999999E-2</v>
      </c>
      <c r="S2929">
        <v>3.0676269999999999</v>
      </c>
      <c r="T2929">
        <v>-0.1825001</v>
      </c>
      <c r="U2929">
        <v>-0.33605960000000001</v>
      </c>
      <c r="V2929">
        <v>9.8529569999999997E-2</v>
      </c>
      <c r="W2929">
        <v>0.19093080000000001</v>
      </c>
      <c r="X2929">
        <v>0.97664589999999996</v>
      </c>
      <c r="Y2929">
        <v>0.15406610000000001</v>
      </c>
      <c r="Z2929">
        <v>-7.2866490000000001E-3</v>
      </c>
      <c r="AA2929">
        <v>0.98803370000000001</v>
      </c>
      <c r="AB2929">
        <v>37</v>
      </c>
      <c r="AC2929">
        <v>18.3231999999999</v>
      </c>
      <c r="AD2929">
        <v>-1.1098339701760001</v>
      </c>
      <c r="AE2929">
        <v>-2.0590000000000201</v>
      </c>
      <c r="AF2929">
        <v>2.8874926535392</v>
      </c>
      <c r="AG2929">
        <v>-1.1098339701760001</v>
      </c>
      <c r="AH2929">
        <v>18.143632097860198</v>
      </c>
      <c r="AI2929">
        <v>93.4569862244972</v>
      </c>
      <c r="AJ2929">
        <v>80.957419631643802</v>
      </c>
      <c r="AK2929">
        <v>18.405453837602099</v>
      </c>
      <c r="AL2929">
        <v>78.992889624509701</v>
      </c>
      <c r="AM2929">
        <v>84.239168901948304</v>
      </c>
      <c r="AN2929">
        <v>0.99999993026991496</v>
      </c>
    </row>
    <row r="2930" spans="1:40" x14ac:dyDescent="0.25">
      <c r="A2930" t="str">
        <f>"20190312172718658"</f>
        <v>20190312172718658</v>
      </c>
      <c r="B2930" t="str">
        <f>"1552382838651627"</f>
        <v>1552382838651627</v>
      </c>
      <c r="C2930" t="s">
        <v>40</v>
      </c>
      <c r="D2930">
        <v>3.5704799999999999</v>
      </c>
      <c r="E2930">
        <v>0.52599289999999999</v>
      </c>
      <c r="F2930" t="s">
        <v>48</v>
      </c>
      <c r="G2930">
        <v>-216.2713</v>
      </c>
      <c r="H2930" s="1">
        <v>1.897177E-6</v>
      </c>
      <c r="I2930">
        <v>212.40379999999999</v>
      </c>
      <c r="J2930">
        <v>-234.46850000000001</v>
      </c>
      <c r="K2930">
        <v>1.1098170000000001</v>
      </c>
      <c r="L2930">
        <v>214.4812</v>
      </c>
      <c r="M2930">
        <v>0.99884799999999996</v>
      </c>
      <c r="N2930">
        <v>0</v>
      </c>
      <c r="O2930">
        <v>4.5880659999999997E-2</v>
      </c>
      <c r="P2930">
        <v>0.98261370000000003</v>
      </c>
      <c r="Q2930">
        <v>0.1774838</v>
      </c>
      <c r="R2930">
        <v>-5.449644E-2</v>
      </c>
      <c r="S2930">
        <v>3.0672760000000001</v>
      </c>
      <c r="T2930">
        <v>-0.1832905</v>
      </c>
      <c r="U2930">
        <v>-0.3402405</v>
      </c>
      <c r="V2930">
        <v>9.9528270000000002E-2</v>
      </c>
      <c r="W2930">
        <v>0.19123090000000001</v>
      </c>
      <c r="X2930">
        <v>0.97648599999999997</v>
      </c>
      <c r="Y2930">
        <v>0.15538399999999999</v>
      </c>
      <c r="Z2930">
        <v>-7.3565089999999998E-3</v>
      </c>
      <c r="AA2930">
        <v>0.9878268</v>
      </c>
      <c r="AB2930">
        <v>37</v>
      </c>
      <c r="AC2930">
        <v>18.197199999999999</v>
      </c>
      <c r="AD2930">
        <v>-1.1098151028229899</v>
      </c>
      <c r="AE2930">
        <v>-2.0774000000000101</v>
      </c>
      <c r="AF2930">
        <v>2.8995476716516402</v>
      </c>
      <c r="AG2930">
        <v>-1.1098151028229899</v>
      </c>
      <c r="AH2930">
        <v>18.016559712925499</v>
      </c>
      <c r="AI2930">
        <v>93.480279143115396</v>
      </c>
      <c r="AJ2930">
        <v>80.857333197266499</v>
      </c>
      <c r="AK2930">
        <v>18.282108471181498</v>
      </c>
      <c r="AL2930">
        <v>78.975373404420793</v>
      </c>
      <c r="AM2930">
        <v>84.180229258596896</v>
      </c>
      <c r="AN2930">
        <v>1.00000002092</v>
      </c>
    </row>
    <row r="2931" spans="1:40" x14ac:dyDescent="0.25">
      <c r="A2931" t="str">
        <f>"20190312172718679"</f>
        <v>20190312172718679</v>
      </c>
      <c r="B2931" t="str">
        <f>"1552382838672124"</f>
        <v>1552382838672124</v>
      </c>
      <c r="C2931" t="s">
        <v>40</v>
      </c>
      <c r="D2931">
        <v>3.6045940000000001</v>
      </c>
      <c r="E2931">
        <v>0.52626379999999995</v>
      </c>
      <c r="F2931" t="s">
        <v>48</v>
      </c>
      <c r="G2931">
        <v>-215.82329999999999</v>
      </c>
      <c r="H2931" s="1">
        <v>1.6598030000000001E-6</v>
      </c>
      <c r="I2931">
        <v>212.381</v>
      </c>
      <c r="J2931">
        <v>-234.11179999999999</v>
      </c>
      <c r="K2931">
        <v>1.109791</v>
      </c>
      <c r="L2931">
        <v>214.49760000000001</v>
      </c>
      <c r="M2931">
        <v>0.99885029999999997</v>
      </c>
      <c r="N2931">
        <v>0</v>
      </c>
      <c r="O2931">
        <v>4.5829540000000002E-2</v>
      </c>
      <c r="P2931">
        <v>0.98255939999999997</v>
      </c>
      <c r="Q2931">
        <v>0.1774791</v>
      </c>
      <c r="R2931">
        <v>-5.5483930000000001E-2</v>
      </c>
      <c r="S2931">
        <v>3.0668790000000001</v>
      </c>
      <c r="T2931">
        <v>-0.18254919999999999</v>
      </c>
      <c r="U2931">
        <v>-0.34545900000000002</v>
      </c>
      <c r="V2931">
        <v>0.1004732</v>
      </c>
      <c r="W2931">
        <v>0.1912169</v>
      </c>
      <c r="X2931">
        <v>0.97639200000000004</v>
      </c>
      <c r="Y2931">
        <v>0.15700739999999999</v>
      </c>
      <c r="Z2931">
        <v>-7.3721769999999997E-3</v>
      </c>
      <c r="AA2931">
        <v>0.9875699</v>
      </c>
      <c r="AB2931">
        <v>37</v>
      </c>
      <c r="AC2931">
        <v>18.288499999999999</v>
      </c>
      <c r="AD2931">
        <v>-1.109789340197</v>
      </c>
      <c r="AE2931">
        <v>-2.1166000000000298</v>
      </c>
      <c r="AF2931">
        <v>2.9419220162876099</v>
      </c>
      <c r="AG2931">
        <v>-1.109789340197</v>
      </c>
      <c r="AH2931">
        <v>18.106474510896899</v>
      </c>
      <c r="AI2931">
        <v>93.462119571477999</v>
      </c>
      <c r="AJ2931">
        <v>80.771285571977003</v>
      </c>
      <c r="AK2931">
        <v>18.3774578422396</v>
      </c>
      <c r="AL2931">
        <v>78.976190975259797</v>
      </c>
      <c r="AM2931">
        <v>84.124798873843901</v>
      </c>
      <c r="AN2931">
        <v>1.0000000522139201</v>
      </c>
    </row>
    <row r="2932" spans="1:40" x14ac:dyDescent="0.25">
      <c r="A2932" t="str">
        <f>"20190312172718701"</f>
        <v>20190312172718701</v>
      </c>
      <c r="B2932" t="str">
        <f>"1552382838691643"</f>
        <v>1552382838691643</v>
      </c>
      <c r="C2932" t="s">
        <v>40</v>
      </c>
      <c r="D2932">
        <v>3.5994269999999902</v>
      </c>
      <c r="E2932">
        <v>0.52651610000000004</v>
      </c>
      <c r="F2932" t="s">
        <v>48</v>
      </c>
      <c r="G2932">
        <v>-215.50839999999999</v>
      </c>
      <c r="H2932" s="1">
        <v>1.4925210000000001E-6</v>
      </c>
      <c r="I2932">
        <v>212.374</v>
      </c>
      <c r="J2932">
        <v>-233.7543</v>
      </c>
      <c r="K2932">
        <v>1.10975</v>
      </c>
      <c r="L2932">
        <v>214.51390000000001</v>
      </c>
      <c r="M2932">
        <v>0.99885449999999998</v>
      </c>
      <c r="N2932">
        <v>0</v>
      </c>
      <c r="O2932">
        <v>4.5742409999999997E-2</v>
      </c>
      <c r="P2932">
        <v>0.98257740000000005</v>
      </c>
      <c r="Q2932">
        <v>0.17698429999999901</v>
      </c>
      <c r="R2932">
        <v>-5.6734519999999997E-2</v>
      </c>
      <c r="S2932">
        <v>3.0665439999999999</v>
      </c>
      <c r="T2932">
        <v>-0.18293499999999999</v>
      </c>
      <c r="U2932">
        <v>-0.35005190000000003</v>
      </c>
      <c r="V2932">
        <v>0.1016526</v>
      </c>
      <c r="W2932">
        <v>0.19071179999999999</v>
      </c>
      <c r="X2932">
        <v>0.97636869999999998</v>
      </c>
      <c r="Y2932">
        <v>0.15838969999999999</v>
      </c>
      <c r="Z2932">
        <v>-7.4238129999999996E-3</v>
      </c>
      <c r="AA2932">
        <v>0.98734880000000003</v>
      </c>
      <c r="AB2932">
        <v>37</v>
      </c>
      <c r="AC2932">
        <v>18.245899999999999</v>
      </c>
      <c r="AD2932">
        <v>-1.1097485074789999</v>
      </c>
      <c r="AE2932">
        <v>-2.1398999999999799</v>
      </c>
      <c r="AF2932">
        <v>2.96154647436741</v>
      </c>
      <c r="AG2932">
        <v>-1.1097485074789999</v>
      </c>
      <c r="AH2932">
        <v>18.062990188614801</v>
      </c>
      <c r="AI2932">
        <v>93.469493328978402</v>
      </c>
      <c r="AJ2932">
        <v>80.688822562273202</v>
      </c>
      <c r="AK2932">
        <v>18.337772869781201</v>
      </c>
      <c r="AL2932">
        <v>79.005673507128193</v>
      </c>
      <c r="AM2932">
        <v>84.056183152801196</v>
      </c>
      <c r="AN2932">
        <v>1.0000000400428399</v>
      </c>
    </row>
    <row r="2933" spans="1:40" x14ac:dyDescent="0.25">
      <c r="A2933" t="str">
        <f>"20190312172718722"</f>
        <v>20190312172718722</v>
      </c>
      <c r="B2933" t="str">
        <f>"1552382838712140"</f>
        <v>1552382838712140</v>
      </c>
      <c r="C2933" t="s">
        <v>40</v>
      </c>
      <c r="D2933">
        <v>3.5874090000000001</v>
      </c>
      <c r="E2933">
        <v>0.52675819999999995</v>
      </c>
      <c r="F2933" t="s">
        <v>48</v>
      </c>
      <c r="G2933">
        <v>-215.34979999999999</v>
      </c>
      <c r="H2933" s="1">
        <v>1.407843E-6</v>
      </c>
      <c r="I2933">
        <v>212.3802</v>
      </c>
      <c r="J2933">
        <v>-233.39859999999999</v>
      </c>
      <c r="K2933">
        <v>1.109704</v>
      </c>
      <c r="L2933">
        <v>214.5301</v>
      </c>
      <c r="M2933">
        <v>0.99886019999999998</v>
      </c>
      <c r="N2933">
        <v>0</v>
      </c>
      <c r="O2933">
        <v>4.5617570000000003E-2</v>
      </c>
      <c r="P2933">
        <v>0.98242430000000003</v>
      </c>
      <c r="Q2933">
        <v>0.17742359999999999</v>
      </c>
      <c r="R2933">
        <v>-5.7993660000000002E-2</v>
      </c>
      <c r="S2933">
        <v>3.065979</v>
      </c>
      <c r="T2933">
        <v>-0.18487139999999999</v>
      </c>
      <c r="U2933">
        <v>-0.35545349999999998</v>
      </c>
      <c r="V2933">
        <v>0.1027986</v>
      </c>
      <c r="W2933">
        <v>0.1911368</v>
      </c>
      <c r="X2933">
        <v>0.97616550000000002</v>
      </c>
      <c r="Y2933">
        <v>0.1599931</v>
      </c>
      <c r="Z2933">
        <v>-7.5435390000000001E-3</v>
      </c>
      <c r="AA2933">
        <v>0.98708929999999995</v>
      </c>
      <c r="AB2933">
        <v>37</v>
      </c>
      <c r="AC2933">
        <v>18.0488</v>
      </c>
      <c r="AD2933">
        <v>-1.1097025921570001</v>
      </c>
      <c r="AE2933">
        <v>-2.1499000000000001</v>
      </c>
      <c r="AF2933">
        <v>2.96005202036027</v>
      </c>
      <c r="AG2933">
        <v>-1.1097025921570001</v>
      </c>
      <c r="AH2933">
        <v>17.865334187509902</v>
      </c>
      <c r="AI2933">
        <v>93.506667204617997</v>
      </c>
      <c r="AJ2933">
        <v>80.592305180993193</v>
      </c>
      <c r="AK2933">
        <v>18.142863981127299</v>
      </c>
      <c r="AL2933">
        <v>78.980865531912301</v>
      </c>
      <c r="AM2933">
        <v>83.988420234077793</v>
      </c>
      <c r="AN2933">
        <v>0.99999995593322399</v>
      </c>
    </row>
    <row r="2934" spans="1:40" x14ac:dyDescent="0.25">
      <c r="A2934" t="str">
        <f>"20190312172718746"</f>
        <v>20190312172718746</v>
      </c>
      <c r="B2934" t="str">
        <f>"1552382838742396"</f>
        <v>1552382838742396</v>
      </c>
      <c r="C2934" t="s">
        <v>40</v>
      </c>
      <c r="D2934">
        <v>3.6175290000000002</v>
      </c>
      <c r="E2934">
        <v>0.52710729999999995</v>
      </c>
      <c r="F2934" t="s">
        <v>48</v>
      </c>
      <c r="G2934">
        <v>-214.91900000000001</v>
      </c>
      <c r="H2934" s="1">
        <v>1.179682E-6</v>
      </c>
      <c r="I2934">
        <v>212.35550000000001</v>
      </c>
      <c r="J2934">
        <v>-233.01070000000001</v>
      </c>
      <c r="K2934">
        <v>1.1096619999999999</v>
      </c>
      <c r="L2934">
        <v>214.54759999999999</v>
      </c>
      <c r="M2934">
        <v>0.99886830000000004</v>
      </c>
      <c r="N2934">
        <v>0</v>
      </c>
      <c r="O2934">
        <v>4.5439849999999997E-2</v>
      </c>
      <c r="P2934">
        <v>0.98237819999999998</v>
      </c>
      <c r="Q2934">
        <v>0.1771045</v>
      </c>
      <c r="R2934">
        <v>-5.9728599999999903E-2</v>
      </c>
      <c r="S2934">
        <v>3.0656279999999998</v>
      </c>
      <c r="T2934">
        <v>-0.18409110000000001</v>
      </c>
      <c r="U2934">
        <v>-0.36074830000000002</v>
      </c>
      <c r="V2934">
        <v>0.10437440000000001</v>
      </c>
      <c r="W2934">
        <v>0.1908031</v>
      </c>
      <c r="X2934">
        <v>0.97606360000000003</v>
      </c>
      <c r="Y2934">
        <v>0.16151279999999901</v>
      </c>
      <c r="Z2934">
        <v>-7.54668599999999E-3</v>
      </c>
      <c r="AA2934">
        <v>0.98684170000000004</v>
      </c>
      <c r="AB2934">
        <v>37</v>
      </c>
      <c r="AC2934">
        <v>18.091699999999999</v>
      </c>
      <c r="AD2934">
        <v>-1.1096608203180001</v>
      </c>
      <c r="AE2934">
        <v>-2.19209999999998</v>
      </c>
      <c r="AF2934">
        <v>3.0008745190475099</v>
      </c>
      <c r="AG2934">
        <v>-1.1096608203180001</v>
      </c>
      <c r="AH2934">
        <v>17.906998569270801</v>
      </c>
      <c r="AI2934">
        <v>93.497325575169498</v>
      </c>
      <c r="AJ2934">
        <v>80.486708221055906</v>
      </c>
      <c r="AK2934">
        <v>18.190579781169198</v>
      </c>
      <c r="AL2934">
        <v>79.000344044155099</v>
      </c>
      <c r="AM2934">
        <v>83.896326644697496</v>
      </c>
      <c r="AN2934">
        <v>0.99999999479496504</v>
      </c>
    </row>
    <row r="2935" spans="1:40" x14ac:dyDescent="0.25">
      <c r="A2935" t="str">
        <f>"20190312172718768"</f>
        <v>20190312172718768</v>
      </c>
      <c r="B2935" t="str">
        <f>"1552382838761916"</f>
        <v>1552382838761916</v>
      </c>
      <c r="C2935" t="s">
        <v>40</v>
      </c>
      <c r="D2935">
        <v>3.5800230000000002</v>
      </c>
      <c r="E2935">
        <v>0.52734609999999904</v>
      </c>
      <c r="F2935" t="s">
        <v>48</v>
      </c>
      <c r="G2935">
        <v>-214.70249999999999</v>
      </c>
      <c r="H2935" s="1">
        <v>1.064908E-6</v>
      </c>
      <c r="I2935">
        <v>212.34549999999999</v>
      </c>
      <c r="J2935">
        <v>-232.64169999999999</v>
      </c>
      <c r="K2935">
        <v>1.109623</v>
      </c>
      <c r="L2935">
        <v>214.5642</v>
      </c>
      <c r="M2935">
        <v>0.99887760000000003</v>
      </c>
      <c r="N2935">
        <v>0</v>
      </c>
      <c r="O2935">
        <v>4.5232370000000001E-2</v>
      </c>
      <c r="P2935">
        <v>0.98234319999999997</v>
      </c>
      <c r="Q2935">
        <v>0.17657999999999999</v>
      </c>
      <c r="R2935">
        <v>-6.181557E-2</v>
      </c>
      <c r="S2935">
        <v>3.0648960000000001</v>
      </c>
      <c r="T2935">
        <v>-0.18576309999999999</v>
      </c>
      <c r="U2935">
        <v>-0.36865229999999999</v>
      </c>
      <c r="V2935">
        <v>0.10627060000000001</v>
      </c>
      <c r="W2935">
        <v>0.1902652</v>
      </c>
      <c r="X2935">
        <v>0.97596400000000005</v>
      </c>
      <c r="Y2935">
        <v>0.1638336</v>
      </c>
      <c r="Z2935">
        <v>-7.6732859999999996E-3</v>
      </c>
      <c r="AA2935">
        <v>0.9864581</v>
      </c>
      <c r="AB2935">
        <v>37</v>
      </c>
      <c r="AC2935">
        <v>17.9392</v>
      </c>
      <c r="AD2935">
        <v>-1.109621935092</v>
      </c>
      <c r="AE2935">
        <v>-2.2187000000000099</v>
      </c>
      <c r="AF2935">
        <v>3.01657389596159</v>
      </c>
      <c r="AG2935">
        <v>-1.109621935092</v>
      </c>
      <c r="AH2935">
        <v>17.753566865059401</v>
      </c>
      <c r="AI2935">
        <v>93.526004913207203</v>
      </c>
      <c r="AJ2935">
        <v>80.356761553390001</v>
      </c>
      <c r="AK2935">
        <v>18.042176014571201</v>
      </c>
      <c r="AL2935">
        <v>79.0317387214306</v>
      </c>
      <c r="AM2935">
        <v>83.785670040485599</v>
      </c>
      <c r="AN2935">
        <v>1.0000000080256899</v>
      </c>
    </row>
    <row r="2936" spans="1:40" x14ac:dyDescent="0.25">
      <c r="A2936" t="str">
        <f>"20190312172718796"</f>
        <v>20190312172718796</v>
      </c>
      <c r="B2936" t="str">
        <f>"1552382838792171"</f>
        <v>1552382838792171</v>
      </c>
      <c r="C2936" t="s">
        <v>40</v>
      </c>
      <c r="D2936">
        <v>3.5757189999999999</v>
      </c>
      <c r="E2936">
        <v>0.52771089999999998</v>
      </c>
      <c r="F2936" t="s">
        <v>48</v>
      </c>
      <c r="G2936">
        <v>-214.56899999999999</v>
      </c>
      <c r="H2936" s="1">
        <v>9.9393129999999996E-7</v>
      </c>
      <c r="I2936">
        <v>212.34440000000001</v>
      </c>
      <c r="J2936">
        <v>-232.19710000000001</v>
      </c>
      <c r="K2936">
        <v>1.10958</v>
      </c>
      <c r="L2936">
        <v>214.58410000000001</v>
      </c>
      <c r="M2936">
        <v>0.99889099999999997</v>
      </c>
      <c r="N2936">
        <v>0</v>
      </c>
      <c r="O2936">
        <v>4.4941729999999999E-2</v>
      </c>
      <c r="P2936">
        <v>0.98228760000000004</v>
      </c>
      <c r="Q2936">
        <v>0.17611489999999999</v>
      </c>
      <c r="R2936">
        <v>-6.3990999999999895E-2</v>
      </c>
      <c r="S2936">
        <v>3.0640559999999999</v>
      </c>
      <c r="T2936">
        <v>-0.1881264</v>
      </c>
      <c r="U2936">
        <v>-0.37634279999999998</v>
      </c>
      <c r="V2936">
        <v>0.10817160000000001</v>
      </c>
      <c r="W2936">
        <v>0.18978680000000001</v>
      </c>
      <c r="X2936">
        <v>0.9758483</v>
      </c>
      <c r="Y2936">
        <v>0.16600479999999901</v>
      </c>
      <c r="Z2936">
        <v>-7.8202710000000002E-3</v>
      </c>
      <c r="AA2936">
        <v>0.98609389999999997</v>
      </c>
      <c r="AB2936">
        <v>37</v>
      </c>
      <c r="AC2936">
        <v>17.6280999999999</v>
      </c>
      <c r="AD2936">
        <v>-1.1095790060686901</v>
      </c>
      <c r="AE2936">
        <v>-2.2396999999999898</v>
      </c>
      <c r="AF2936">
        <v>3.0179848863337102</v>
      </c>
      <c r="AG2936">
        <v>-1.1095790060686901</v>
      </c>
      <c r="AH2936">
        <v>17.441614837735798</v>
      </c>
      <c r="AI2936">
        <v>93.586907691720299</v>
      </c>
      <c r="AJ2936">
        <v>80.183111069029394</v>
      </c>
      <c r="AK2936">
        <v>17.735538517134799</v>
      </c>
      <c r="AL2936">
        <v>79.059657805441205</v>
      </c>
      <c r="AM2936">
        <v>83.674655472555003</v>
      </c>
      <c r="AN2936">
        <v>1.00000001455684</v>
      </c>
    </row>
    <row r="2937" spans="1:40" x14ac:dyDescent="0.25">
      <c r="A2937" t="str">
        <f>"20190312172718833"</f>
        <v>20190312172718833</v>
      </c>
      <c r="B2937" t="str">
        <f>"1552382838822427"</f>
        <v>1552382838822427</v>
      </c>
      <c r="C2937" t="s">
        <v>40</v>
      </c>
      <c r="D2937">
        <v>3.578611</v>
      </c>
      <c r="E2937">
        <v>0.52806850000000005</v>
      </c>
      <c r="F2937" t="s">
        <v>48</v>
      </c>
      <c r="G2937">
        <v>-214.34530000000001</v>
      </c>
      <c r="H2937" s="1">
        <v>8.7523229999999996E-7</v>
      </c>
      <c r="I2937">
        <v>212.3365</v>
      </c>
      <c r="J2937">
        <v>-231.57640000000001</v>
      </c>
      <c r="K2937">
        <v>1.1095349999999999</v>
      </c>
      <c r="L2937">
        <v>214.61150000000001</v>
      </c>
      <c r="M2937">
        <v>0.99891070000000004</v>
      </c>
      <c r="N2937">
        <v>0</v>
      </c>
      <c r="O2937">
        <v>4.4498490000000002E-2</v>
      </c>
      <c r="P2937">
        <v>0.98201749999999999</v>
      </c>
      <c r="Q2937">
        <v>0.17600950000000001</v>
      </c>
      <c r="R2937">
        <v>-6.8281099999999997E-2</v>
      </c>
      <c r="S2937">
        <v>3.06311</v>
      </c>
      <c r="T2937">
        <v>-0.19038769999999999</v>
      </c>
      <c r="U2937">
        <v>-0.38565060000000001</v>
      </c>
      <c r="V2937">
        <v>0.1120255</v>
      </c>
      <c r="W2937">
        <v>0.18966179999999999</v>
      </c>
      <c r="X2937">
        <v>0.97543769999999996</v>
      </c>
      <c r="Y2937">
        <v>0.16854079999999999</v>
      </c>
      <c r="Z2937">
        <v>-7.9660819999999993E-3</v>
      </c>
      <c r="AA2937">
        <v>0.9856625</v>
      </c>
      <c r="AB2937">
        <v>37</v>
      </c>
      <c r="AC2937">
        <v>17.231099999999898</v>
      </c>
      <c r="AD2937">
        <v>-1.1095341247677</v>
      </c>
      <c r="AE2937">
        <v>-2.2749999999999999</v>
      </c>
      <c r="AF2937">
        <v>3.0272429853989098</v>
      </c>
      <c r="AG2937">
        <v>-1.1095341247677</v>
      </c>
      <c r="AH2937">
        <v>17.043329174958199</v>
      </c>
      <c r="AI2937">
        <v>93.667500843708396</v>
      </c>
      <c r="AJ2937">
        <v>79.928142948154601</v>
      </c>
      <c r="AK2937">
        <v>17.345614299662401</v>
      </c>
      <c r="AL2937">
        <v>79.066952200419607</v>
      </c>
      <c r="AM2937">
        <v>83.448489992713505</v>
      </c>
      <c r="AN2937">
        <v>1.00000000880539</v>
      </c>
    </row>
    <row r="2938" spans="1:40" x14ac:dyDescent="0.25">
      <c r="A2938" t="str">
        <f>"20190312172718857"</f>
        <v>20190312172718857</v>
      </c>
      <c r="B2938" t="str">
        <f>"1552382838851707"</f>
        <v>1552382838851707</v>
      </c>
      <c r="C2938" t="s">
        <v>40</v>
      </c>
      <c r="D2938">
        <v>3.5855570000000001</v>
      </c>
      <c r="E2938">
        <v>0.52843459999999998</v>
      </c>
      <c r="F2938" t="s">
        <v>48</v>
      </c>
      <c r="G2938">
        <v>-213.83750000000001</v>
      </c>
      <c r="H2938" s="1">
        <v>6.0731630000000004E-7</v>
      </c>
      <c r="I2938">
        <v>212.2835</v>
      </c>
      <c r="J2938">
        <v>-231.17490000000001</v>
      </c>
      <c r="K2938">
        <v>1.1095219999999999</v>
      </c>
      <c r="L2938">
        <v>214.62909999999999</v>
      </c>
      <c r="M2938">
        <v>0.99892409999999998</v>
      </c>
      <c r="N2938">
        <v>0</v>
      </c>
      <c r="O2938">
        <v>4.4200679999999999E-2</v>
      </c>
      <c r="P2938">
        <v>0.98183699999999996</v>
      </c>
      <c r="Q2938">
        <v>0.17614959999999999</v>
      </c>
      <c r="R2938">
        <v>-7.0482290000000003E-2</v>
      </c>
      <c r="S2938">
        <v>3.06134</v>
      </c>
      <c r="T2938">
        <v>-0.1914817</v>
      </c>
      <c r="U2938">
        <v>-0.40176390000000001</v>
      </c>
      <c r="V2938">
        <v>0.1139309</v>
      </c>
      <c r="W2938">
        <v>0.1897915</v>
      </c>
      <c r="X2938">
        <v>0.97519180000000005</v>
      </c>
      <c r="Y2938">
        <v>0.17340549999999999</v>
      </c>
      <c r="Z2938">
        <v>-8.1465630000000008E-3</v>
      </c>
      <c r="AA2938">
        <v>0.98481680000000005</v>
      </c>
      <c r="AB2938">
        <v>37</v>
      </c>
      <c r="AC2938">
        <v>17.337399999999999</v>
      </c>
      <c r="AD2938">
        <v>-1.1095213926837</v>
      </c>
      <c r="AE2938">
        <v>-2.3455999999999899</v>
      </c>
      <c r="AF2938">
        <v>3.0972507858249201</v>
      </c>
      <c r="AG2938">
        <v>-1.1095213926837</v>
      </c>
      <c r="AH2938">
        <v>17.147799105173899</v>
      </c>
      <c r="AI2938">
        <v>93.643283368689495</v>
      </c>
      <c r="AJ2938">
        <v>79.761571911391798</v>
      </c>
      <c r="AK2938">
        <v>17.460555956283802</v>
      </c>
      <c r="AL2938">
        <v>79.059383979523503</v>
      </c>
      <c r="AM2938">
        <v>83.336386418538297</v>
      </c>
      <c r="AN2938">
        <v>1.00000005511714</v>
      </c>
    </row>
    <row r="2939" spans="1:40" x14ac:dyDescent="0.25">
      <c r="A2939" t="str">
        <f>"20190312172718880"</f>
        <v>20190312172718880</v>
      </c>
      <c r="B2939" t="str">
        <f>"1552382838872204"</f>
        <v>1552382838872204</v>
      </c>
      <c r="C2939" t="s">
        <v>40</v>
      </c>
      <c r="D2939">
        <v>3.518796</v>
      </c>
      <c r="E2939">
        <v>0.52870010000000001</v>
      </c>
      <c r="F2939" t="s">
        <v>48</v>
      </c>
      <c r="G2939">
        <v>-213.46879999999999</v>
      </c>
      <c r="H2939" s="1">
        <v>4.1264340000000002E-7</v>
      </c>
      <c r="I2939">
        <v>212.24889999999999</v>
      </c>
      <c r="J2939">
        <v>-230.7955</v>
      </c>
      <c r="K2939">
        <v>1.1095079999999999</v>
      </c>
      <c r="L2939">
        <v>214.6456</v>
      </c>
      <c r="M2939">
        <v>0.9989365</v>
      </c>
      <c r="N2939">
        <v>0</v>
      </c>
      <c r="O2939">
        <v>4.3918859999999997E-2</v>
      </c>
      <c r="P2939">
        <v>0.98156540000000003</v>
      </c>
      <c r="Q2939">
        <v>0.1768605</v>
      </c>
      <c r="R2939">
        <v>-7.2457220000000003E-2</v>
      </c>
      <c r="S2939">
        <v>3.0603790000000002</v>
      </c>
      <c r="T2939">
        <v>-0.19177379999999999</v>
      </c>
      <c r="U2939">
        <v>-0.41140749999999998</v>
      </c>
      <c r="V2939">
        <v>0.115621</v>
      </c>
      <c r="W2939">
        <v>0.1904923</v>
      </c>
      <c r="X2939">
        <v>0.9748561</v>
      </c>
      <c r="Y2939">
        <v>0.17621010000000001</v>
      </c>
      <c r="Z2939">
        <v>-8.2296820000000003E-3</v>
      </c>
      <c r="AA2939">
        <v>0.98431820000000003</v>
      </c>
      <c r="AB2939">
        <v>37</v>
      </c>
      <c r="AC2939">
        <v>17.326699999999999</v>
      </c>
      <c r="AD2939">
        <v>-1.1095075873566</v>
      </c>
      <c r="AE2939">
        <v>-2.3967000000000098</v>
      </c>
      <c r="AF2939">
        <v>3.1427860334323698</v>
      </c>
      <c r="AG2939">
        <v>-1.1095075873566</v>
      </c>
      <c r="AH2939">
        <v>17.135762746382699</v>
      </c>
      <c r="AI2939">
        <v>93.644007278280299</v>
      </c>
      <c r="AJ2939">
        <v>79.607164818140404</v>
      </c>
      <c r="AK2939">
        <v>17.4568747500421</v>
      </c>
      <c r="AL2939">
        <v>79.018484058724894</v>
      </c>
      <c r="AM2939">
        <v>83.236137309378293</v>
      </c>
      <c r="AN2939">
        <v>0.99999997385374895</v>
      </c>
    </row>
    <row r="2940" spans="1:40" x14ac:dyDescent="0.25">
      <c r="A2940" t="str">
        <f>"20190312172718900"</f>
        <v>20190312172718900</v>
      </c>
      <c r="B2940" t="str">
        <f>"1552382838891724"</f>
        <v>1552382838891724</v>
      </c>
      <c r="C2940" t="s">
        <v>40</v>
      </c>
      <c r="D2940">
        <v>3.5508739999999999</v>
      </c>
      <c r="E2940">
        <v>0.52895509999999901</v>
      </c>
      <c r="F2940" t="s">
        <v>48</v>
      </c>
      <c r="G2940">
        <v>-212.9759</v>
      </c>
      <c r="H2940" s="1">
        <v>1.5226550000000001E-7</v>
      </c>
      <c r="I2940">
        <v>212.20480000000001</v>
      </c>
      <c r="J2940">
        <v>-230.4691</v>
      </c>
      <c r="K2940">
        <v>1.1094999999999999</v>
      </c>
      <c r="L2940">
        <v>214.65969999999999</v>
      </c>
      <c r="M2940">
        <v>0.99894709999999998</v>
      </c>
      <c r="N2940">
        <v>0</v>
      </c>
      <c r="O2940">
        <v>4.3677550000000002E-2</v>
      </c>
      <c r="P2940">
        <v>0.9812092</v>
      </c>
      <c r="Q2940">
        <v>0.17763039999999999</v>
      </c>
      <c r="R2940">
        <v>-7.5340649999999995E-2</v>
      </c>
      <c r="S2940">
        <v>3.0597530000000002</v>
      </c>
      <c r="T2940">
        <v>-0.19051070000000001</v>
      </c>
      <c r="U2940">
        <v>-0.41909790000000002</v>
      </c>
      <c r="V2940">
        <v>0.1182536</v>
      </c>
      <c r="W2940">
        <v>0.19125049999999999</v>
      </c>
      <c r="X2940">
        <v>0.97439180000000003</v>
      </c>
      <c r="Y2940">
        <v>0.17842949999999999</v>
      </c>
      <c r="Z2940">
        <v>-8.2296609999999992E-3</v>
      </c>
      <c r="AA2940">
        <v>0.98391819999999997</v>
      </c>
      <c r="AB2940">
        <v>37</v>
      </c>
      <c r="AC2940">
        <v>17.493200000000002</v>
      </c>
      <c r="AD2940">
        <v>-1.1094998477344999</v>
      </c>
      <c r="AE2940">
        <v>-2.4548999999999799</v>
      </c>
      <c r="AF2940">
        <v>3.2040521913508999</v>
      </c>
      <c r="AG2940">
        <v>-1.1094998477344999</v>
      </c>
      <c r="AH2940">
        <v>17.301015648339298</v>
      </c>
      <c r="AI2940">
        <v>93.608120465781596</v>
      </c>
      <c r="AJ2940">
        <v>79.508009389611999</v>
      </c>
      <c r="AK2940">
        <v>17.630146988074301</v>
      </c>
      <c r="AL2940">
        <v>78.974229322436798</v>
      </c>
      <c r="AM2940">
        <v>83.080341108056601</v>
      </c>
      <c r="AN2940">
        <v>1.00000002378522</v>
      </c>
    </row>
    <row r="2941" spans="1:40" x14ac:dyDescent="0.25">
      <c r="A2941" t="str">
        <f>"20190312172718921"</f>
        <v>20190312172718921</v>
      </c>
      <c r="B2941" t="str">
        <f>"1552382838912220"</f>
        <v>1552382838912220</v>
      </c>
      <c r="C2941" t="s">
        <v>40</v>
      </c>
      <c r="D2941">
        <v>3.5748090000000001</v>
      </c>
      <c r="E2941">
        <v>0.52918639999999995</v>
      </c>
      <c r="F2941" t="s">
        <v>48</v>
      </c>
      <c r="G2941">
        <v>-212.5103</v>
      </c>
      <c r="H2941" s="1">
        <v>-9.2500469999999999E-8</v>
      </c>
      <c r="I2941">
        <v>212.13550000000001</v>
      </c>
      <c r="J2941">
        <v>-230.0941</v>
      </c>
      <c r="K2941">
        <v>1.10949599999999</v>
      </c>
      <c r="L2941">
        <v>214.67580000000001</v>
      </c>
      <c r="M2941">
        <v>0.99895919999999905</v>
      </c>
      <c r="N2941">
        <v>0</v>
      </c>
      <c r="O2941">
        <v>4.3401990000000001E-2</v>
      </c>
      <c r="P2941">
        <v>0.98085549999999999</v>
      </c>
      <c r="Q2941">
        <v>0.17858779999999999</v>
      </c>
      <c r="R2941">
        <v>-7.7649979999999993E-2</v>
      </c>
      <c r="S2941">
        <v>3.058624</v>
      </c>
      <c r="T2941">
        <v>-0.18896270000000001</v>
      </c>
      <c r="U2941">
        <v>-0.42991639999999998</v>
      </c>
      <c r="V2941">
        <v>0.120279</v>
      </c>
      <c r="W2941">
        <v>0.1921959</v>
      </c>
      <c r="X2941">
        <v>0.97395779999999998</v>
      </c>
      <c r="Y2941">
        <v>0.1816217</v>
      </c>
      <c r="Z2941">
        <v>-8.2450660000000005E-3</v>
      </c>
      <c r="AA2941">
        <v>0.98333389999999998</v>
      </c>
      <c r="AB2941">
        <v>37</v>
      </c>
      <c r="AC2941">
        <v>17.583799999999901</v>
      </c>
      <c r="AD2941">
        <v>-1.10949609250046</v>
      </c>
      <c r="AE2941">
        <v>-2.5402999999999998</v>
      </c>
      <c r="AF2941">
        <v>3.28832858711315</v>
      </c>
      <c r="AG2941">
        <v>-1.10949609250046</v>
      </c>
      <c r="AH2941">
        <v>17.389146215973799</v>
      </c>
      <c r="AI2941">
        <v>93.5873407352817</v>
      </c>
      <c r="AJ2941">
        <v>79.291680088913196</v>
      </c>
      <c r="AK2941">
        <v>17.732075247883898</v>
      </c>
      <c r="AL2941">
        <v>78.919038323051495</v>
      </c>
      <c r="AM2941">
        <v>82.959898127276006</v>
      </c>
      <c r="AN2941">
        <v>1.0000000489993199</v>
      </c>
    </row>
    <row r="2942" spans="1:40" x14ac:dyDescent="0.25">
      <c r="A2942" t="str">
        <f>"20190312172718945"</f>
        <v>20190312172718945</v>
      </c>
      <c r="B2942" t="str">
        <f>"1552382838942476"</f>
        <v>1552382838942476</v>
      </c>
      <c r="C2942" t="s">
        <v>40</v>
      </c>
      <c r="D2942">
        <v>3.5358339999999902</v>
      </c>
      <c r="E2942">
        <v>0.52952819999999901</v>
      </c>
      <c r="F2942" t="s">
        <v>48</v>
      </c>
      <c r="G2942">
        <v>-211.8854</v>
      </c>
      <c r="H2942" s="1">
        <v>-4.2186930000000001E-7</v>
      </c>
      <c r="I2942">
        <v>212.06290000000001</v>
      </c>
      <c r="J2942">
        <v>-229.7182</v>
      </c>
      <c r="K2942">
        <v>1.109502</v>
      </c>
      <c r="L2942">
        <v>214.6919</v>
      </c>
      <c r="M2942">
        <v>0.99897119999999995</v>
      </c>
      <c r="N2942">
        <v>0</v>
      </c>
      <c r="O2942">
        <v>4.3127230000000003E-2</v>
      </c>
      <c r="P2942">
        <v>0.98055879999999995</v>
      </c>
      <c r="Q2942">
        <v>0.17899200000000001</v>
      </c>
      <c r="R2942">
        <v>-8.0413970000000001E-2</v>
      </c>
      <c r="S2942">
        <v>3.0577390000000002</v>
      </c>
      <c r="T2942">
        <v>-0.18631519999999999</v>
      </c>
      <c r="U2942">
        <v>-0.4387817</v>
      </c>
      <c r="V2942">
        <v>0.1227612</v>
      </c>
      <c r="W2942">
        <v>0.19258990000000001</v>
      </c>
      <c r="X2942">
        <v>0.97357020000000005</v>
      </c>
      <c r="Y2942">
        <v>0.18419189999999999</v>
      </c>
      <c r="Z2942">
        <v>-8.1916599999999999E-3</v>
      </c>
      <c r="AA2942">
        <v>0.98285619999999996</v>
      </c>
      <c r="AB2942">
        <v>37</v>
      </c>
      <c r="AC2942">
        <v>17.832799999999899</v>
      </c>
      <c r="AD2942">
        <v>-1.1095024218692999</v>
      </c>
      <c r="AE2942">
        <v>-2.6289999999999898</v>
      </c>
      <c r="AF2942">
        <v>3.3828918914238999</v>
      </c>
      <c r="AG2942">
        <v>-1.1095024218692999</v>
      </c>
      <c r="AH2942">
        <v>17.6359963986853</v>
      </c>
      <c r="AI2942">
        <v>93.535517187667196</v>
      </c>
      <c r="AJ2942">
        <v>79.141562373830496</v>
      </c>
      <c r="AK2942">
        <v>17.9917570611555</v>
      </c>
      <c r="AL2942">
        <v>78.896034121959801</v>
      </c>
      <c r="AM2942">
        <v>82.813284048181899</v>
      </c>
      <c r="AN2942">
        <v>1.0000000580677399</v>
      </c>
    </row>
    <row r="2943" spans="1:40" x14ac:dyDescent="0.25">
      <c r="A2943" t="str">
        <f>"20190312172718968"</f>
        <v>20190312172718968</v>
      </c>
      <c r="B2943" t="str">
        <f>"1552382838961995"</f>
        <v>1552382838961995</v>
      </c>
      <c r="C2943" t="s">
        <v>40</v>
      </c>
      <c r="D2943">
        <v>3.531342</v>
      </c>
      <c r="E2943">
        <v>0.52975209999999995</v>
      </c>
      <c r="F2943" t="s">
        <v>48</v>
      </c>
      <c r="G2943">
        <v>-211.46899999999999</v>
      </c>
      <c r="H2943" s="1">
        <v>-6.4104280000000002E-7</v>
      </c>
      <c r="I2943">
        <v>212.0076</v>
      </c>
      <c r="J2943">
        <v>-229.3373</v>
      </c>
      <c r="K2943">
        <v>1.109502</v>
      </c>
      <c r="L2943">
        <v>214.7081</v>
      </c>
      <c r="M2943">
        <v>0.99898319999999996</v>
      </c>
      <c r="N2943">
        <v>0</v>
      </c>
      <c r="O2943">
        <v>4.2849159999999997E-2</v>
      </c>
      <c r="P2943">
        <v>0.98036029999999996</v>
      </c>
      <c r="Q2943">
        <v>0.17887739999999999</v>
      </c>
      <c r="R2943">
        <v>-8.3047339999999997E-2</v>
      </c>
      <c r="S2943">
        <v>3.0565190000000002</v>
      </c>
      <c r="T2943">
        <v>-0.18582799999999999</v>
      </c>
      <c r="U2943">
        <v>-0.44958500000000001</v>
      </c>
      <c r="V2943">
        <v>0.1251131</v>
      </c>
      <c r="W2943">
        <v>0.19246679999999999</v>
      </c>
      <c r="X2943">
        <v>0.97329500000000002</v>
      </c>
      <c r="Y2943">
        <v>0.1873715</v>
      </c>
      <c r="Z2943">
        <v>-8.2507250000000004E-3</v>
      </c>
      <c r="AA2943">
        <v>0.98225439999999997</v>
      </c>
      <c r="AB2943">
        <v>37</v>
      </c>
      <c r="AC2943">
        <v>17.868299999999898</v>
      </c>
      <c r="AD2943">
        <v>-1.1095026410427999</v>
      </c>
      <c r="AE2943">
        <v>-2.7004999999999999</v>
      </c>
      <c r="AF2943">
        <v>3.450728665777</v>
      </c>
      <c r="AG2943">
        <v>-1.1095026410427999</v>
      </c>
      <c r="AH2943">
        <v>17.6695550486907</v>
      </c>
      <c r="AI2943">
        <v>93.526538896995206</v>
      </c>
      <c r="AJ2943">
        <v>78.949655886653304</v>
      </c>
      <c r="AK2943">
        <v>18.037508144253401</v>
      </c>
      <c r="AL2943">
        <v>78.903220565245405</v>
      </c>
      <c r="AM2943">
        <v>82.675031180659204</v>
      </c>
      <c r="AN2943">
        <v>0.99999995695942401</v>
      </c>
    </row>
    <row r="2944" spans="1:40" x14ac:dyDescent="0.25">
      <c r="A2944" t="str">
        <f>"20190312172718995"</f>
        <v>20190312172718995</v>
      </c>
      <c r="B2944" t="str">
        <f>"1552382838982492"</f>
        <v>1552382838982492</v>
      </c>
      <c r="C2944" t="s">
        <v>40</v>
      </c>
      <c r="D2944">
        <v>3.53247</v>
      </c>
      <c r="E2944">
        <v>0.52997059999999996</v>
      </c>
      <c r="F2944" t="s">
        <v>48</v>
      </c>
      <c r="G2944">
        <v>-211.18700000000001</v>
      </c>
      <c r="H2944" s="1">
        <v>-7.899135E-7</v>
      </c>
      <c r="I2944">
        <v>211.98</v>
      </c>
      <c r="J2944">
        <v>-228.90010000000001</v>
      </c>
      <c r="K2944">
        <v>1.10949599999999</v>
      </c>
      <c r="L2944">
        <v>214.72649999999999</v>
      </c>
      <c r="M2944">
        <v>0.99899669999999896</v>
      </c>
      <c r="N2944">
        <v>0</v>
      </c>
      <c r="O2944">
        <v>4.2530520000000002E-2</v>
      </c>
      <c r="P2944">
        <v>0.98027929999999996</v>
      </c>
      <c r="Q2944">
        <v>0.17822499999999999</v>
      </c>
      <c r="R2944">
        <v>-8.5372799999999999E-2</v>
      </c>
      <c r="S2944">
        <v>3.0552830000000002</v>
      </c>
      <c r="T2944">
        <v>-0.18676470000000001</v>
      </c>
      <c r="U2944">
        <v>-0.45921329999999999</v>
      </c>
      <c r="V2944">
        <v>0.12712200000000001</v>
      </c>
      <c r="W2944">
        <v>0.19180739999999999</v>
      </c>
      <c r="X2944">
        <v>0.9731649</v>
      </c>
      <c r="Y2944">
        <v>0.19013440000000001</v>
      </c>
      <c r="Z2944">
        <v>-8.3582159999999999E-3</v>
      </c>
      <c r="AA2944">
        <v>0.98172250000000005</v>
      </c>
      <c r="AB2944">
        <v>37</v>
      </c>
      <c r="AC2944">
        <v>17.713099999999901</v>
      </c>
      <c r="AD2944">
        <v>-1.10949678991349</v>
      </c>
      <c r="AE2944">
        <v>-2.7464999999999899</v>
      </c>
      <c r="AF2944">
        <v>3.48408731044257</v>
      </c>
      <c r="AG2944">
        <v>-1.10949678991349</v>
      </c>
      <c r="AH2944">
        <v>17.5131499180542</v>
      </c>
      <c r="AI2944">
        <v>93.555478015090799</v>
      </c>
      <c r="AJ2944">
        <v>78.7484101096899</v>
      </c>
      <c r="AK2944">
        <v>17.890787225995901</v>
      </c>
      <c r="AL2944">
        <v>78.941719203661904</v>
      </c>
      <c r="AM2944">
        <v>82.557740791383694</v>
      </c>
      <c r="AN2944">
        <v>1.0000000020853801</v>
      </c>
    </row>
    <row r="2945" spans="1:40" x14ac:dyDescent="0.25">
      <c r="A2945" t="str">
        <f>"20190312172719021"</f>
        <v>20190312172719021</v>
      </c>
      <c r="B2945" t="str">
        <f>"1552382839011772"</f>
        <v>1552382839011772</v>
      </c>
      <c r="C2945" t="s">
        <v>40</v>
      </c>
      <c r="D2945">
        <v>3.5183409999999999</v>
      </c>
      <c r="E2945">
        <v>0.53029669999999995</v>
      </c>
      <c r="F2945" t="s">
        <v>48</v>
      </c>
      <c r="G2945">
        <v>-210.99260000000001</v>
      </c>
      <c r="H2945" s="1">
        <v>-8.9345760000000004E-7</v>
      </c>
      <c r="I2945">
        <v>211.98220000000001</v>
      </c>
      <c r="J2945">
        <v>-228.4666</v>
      </c>
      <c r="K2945">
        <v>1.109491</v>
      </c>
      <c r="L2945">
        <v>214.74459999999999</v>
      </c>
      <c r="M2945">
        <v>0.99901030000000002</v>
      </c>
      <c r="N2945">
        <v>0</v>
      </c>
      <c r="O2945">
        <v>4.2212960000000001E-2</v>
      </c>
      <c r="P2945">
        <v>0.98012969999999999</v>
      </c>
      <c r="Q2945">
        <v>0.17815590000000001</v>
      </c>
      <c r="R2945">
        <v>-8.7215000000000001E-2</v>
      </c>
      <c r="S2945">
        <v>3.054001</v>
      </c>
      <c r="T2945">
        <v>-0.1892163</v>
      </c>
      <c r="U2945">
        <v>-0.46801759999999898</v>
      </c>
      <c r="V2945">
        <v>0.12864690000000001</v>
      </c>
      <c r="W2945">
        <v>0.1917317</v>
      </c>
      <c r="X2945">
        <v>0.97297940000000005</v>
      </c>
      <c r="Y2945">
        <v>0.1926332</v>
      </c>
      <c r="Z2945">
        <v>-8.5267799999999994E-3</v>
      </c>
      <c r="AA2945">
        <v>0.98123380000000004</v>
      </c>
      <c r="AB2945">
        <v>37</v>
      </c>
      <c r="AC2945">
        <v>17.473999999999901</v>
      </c>
      <c r="AD2945">
        <v>-1.1094918934575999</v>
      </c>
      <c r="AE2945">
        <v>-2.76239999999998</v>
      </c>
      <c r="AF2945">
        <v>3.4839360168418998</v>
      </c>
      <c r="AG2945">
        <v>-1.1094918934575999</v>
      </c>
      <c r="AH2945">
        <v>17.273859561820402</v>
      </c>
      <c r="AI2945">
        <v>93.602684788687498</v>
      </c>
      <c r="AJ2945">
        <v>78.597083747781497</v>
      </c>
      <c r="AK2945">
        <v>17.656585360499101</v>
      </c>
      <c r="AL2945">
        <v>78.9461383953454</v>
      </c>
      <c r="AM2945">
        <v>82.468066075659095</v>
      </c>
      <c r="AN2945">
        <v>0.99999999124442995</v>
      </c>
    </row>
    <row r="2946" spans="1:40" x14ac:dyDescent="0.25">
      <c r="A2946" t="str">
        <f>"20190312172719041"</f>
        <v>20190312172719041</v>
      </c>
      <c r="B2946" t="str">
        <f>"1552382839032268"</f>
        <v>1552382839032268</v>
      </c>
      <c r="C2946" t="s">
        <v>40</v>
      </c>
      <c r="D2946">
        <v>3.5236260000000001</v>
      </c>
      <c r="E2946">
        <v>0.53050949999999997</v>
      </c>
      <c r="F2946" t="s">
        <v>48</v>
      </c>
      <c r="G2946">
        <v>-210.6173</v>
      </c>
      <c r="H2946" s="1">
        <v>-1.091974E-6</v>
      </c>
      <c r="I2946">
        <v>211.95529999999999</v>
      </c>
      <c r="J2946">
        <v>-228.1524</v>
      </c>
      <c r="K2946">
        <v>1.1094889999999999</v>
      </c>
      <c r="L2946">
        <v>214.7576</v>
      </c>
      <c r="M2946">
        <v>0.99902020000000002</v>
      </c>
      <c r="N2946">
        <v>0</v>
      </c>
      <c r="O2946">
        <v>4.1976649999999997E-2</v>
      </c>
      <c r="P2946">
        <v>0.98001709999999997</v>
      </c>
      <c r="Q2946">
        <v>0.17789920000000001</v>
      </c>
      <c r="R2946">
        <v>-8.8987079999999996E-2</v>
      </c>
      <c r="S2946">
        <v>3.0528559999999998</v>
      </c>
      <c r="T2946">
        <v>-0.18976270000000001</v>
      </c>
      <c r="U2946">
        <v>-0.47706599999999999</v>
      </c>
      <c r="V2946">
        <v>0.1301831</v>
      </c>
      <c r="W2946">
        <v>0.19146959999999999</v>
      </c>
      <c r="X2946">
        <v>0.97282670000000004</v>
      </c>
      <c r="Y2946">
        <v>0.1952885</v>
      </c>
      <c r="Z2946">
        <v>-8.6199880000000003E-3</v>
      </c>
      <c r="AA2946">
        <v>0.98070789999999997</v>
      </c>
      <c r="AB2946">
        <v>37</v>
      </c>
      <c r="AC2946">
        <v>17.5351</v>
      </c>
      <c r="AD2946">
        <v>-1.1094900919739901</v>
      </c>
      <c r="AE2946">
        <v>-2.8022999999999998</v>
      </c>
      <c r="AF2946">
        <v>3.5222169393934899</v>
      </c>
      <c r="AG2946">
        <v>-1.1094900919739901</v>
      </c>
      <c r="AH2946">
        <v>17.334330387303702</v>
      </c>
      <c r="AI2946">
        <v>93.589096217172298</v>
      </c>
      <c r="AJ2946">
        <v>78.514259521090494</v>
      </c>
      <c r="AK2946">
        <v>17.723317703199399</v>
      </c>
      <c r="AL2946">
        <v>78.961439392040106</v>
      </c>
      <c r="AM2946">
        <v>82.377994411898996</v>
      </c>
      <c r="AN2946">
        <v>1.00000001774133</v>
      </c>
    </row>
    <row r="2947" spans="1:40" x14ac:dyDescent="0.25">
      <c r="A2947" t="str">
        <f>"20190312172719060"</f>
        <v>20190312172719060</v>
      </c>
      <c r="B2947" t="str">
        <f>"1552382839051788"</f>
        <v>1552382839051788</v>
      </c>
      <c r="C2947" t="s">
        <v>40</v>
      </c>
      <c r="D2947">
        <v>3.5163359999999999</v>
      </c>
      <c r="E2947">
        <v>0.53071239999999997</v>
      </c>
      <c r="F2947" t="s">
        <v>48</v>
      </c>
      <c r="G2947">
        <v>-210.411</v>
      </c>
      <c r="H2947" s="1">
        <v>-1.2011250000000001E-6</v>
      </c>
      <c r="I2947">
        <v>211.9408</v>
      </c>
      <c r="J2947">
        <v>-227.82249999999999</v>
      </c>
      <c r="K2947">
        <v>1.109478</v>
      </c>
      <c r="L2947">
        <v>214.77119999999999</v>
      </c>
      <c r="M2947">
        <v>0.99903120000000001</v>
      </c>
      <c r="N2947">
        <v>0</v>
      </c>
      <c r="O2947">
        <v>4.1715820000000001E-2</v>
      </c>
      <c r="P2947">
        <v>0.97981910000000005</v>
      </c>
      <c r="Q2947">
        <v>0.17813129999999999</v>
      </c>
      <c r="R2947">
        <v>-9.0688409999999997E-2</v>
      </c>
      <c r="S2947">
        <v>3.0518040000000002</v>
      </c>
      <c r="T2947">
        <v>-0.19084999999999999</v>
      </c>
      <c r="U2947">
        <v>-0.4845428</v>
      </c>
      <c r="V2947">
        <v>0.13162370000000001</v>
      </c>
      <c r="W2947">
        <v>0.19169230000000001</v>
      </c>
      <c r="X2947">
        <v>0.97258900000000004</v>
      </c>
      <c r="Y2947">
        <v>0.19741929999999999</v>
      </c>
      <c r="Z2947">
        <v>-8.7205659999999904E-3</v>
      </c>
      <c r="AA2947">
        <v>0.98028029999999999</v>
      </c>
      <c r="AB2947">
        <v>37</v>
      </c>
      <c r="AC2947">
        <v>17.4115</v>
      </c>
      <c r="AD2947">
        <v>-1.1094792011250001</v>
      </c>
      <c r="AE2947">
        <v>-2.8303999999999898</v>
      </c>
      <c r="AF2947">
        <v>3.54033705336583</v>
      </c>
      <c r="AG2947">
        <v>-1.1094792011250001</v>
      </c>
      <c r="AH2947">
        <v>17.210175866008399</v>
      </c>
      <c r="AI2947">
        <v>93.613102580013702</v>
      </c>
      <c r="AJ2947">
        <v>78.375738366615593</v>
      </c>
      <c r="AK2947">
        <v>17.605541283587499</v>
      </c>
      <c r="AL2947">
        <v>78.948439166499895</v>
      </c>
      <c r="AM2947">
        <v>82.292796963944497</v>
      </c>
      <c r="AN2947">
        <v>1.00000004960098</v>
      </c>
    </row>
    <row r="2948" spans="1:40" x14ac:dyDescent="0.25">
      <c r="A2948" t="str">
        <f>"20190312172719083"</f>
        <v>20190312172719083</v>
      </c>
      <c r="B2948" t="str">
        <f>"1552382839072284"</f>
        <v>1552382839072284</v>
      </c>
      <c r="C2948" t="s">
        <v>40</v>
      </c>
      <c r="D2948">
        <v>3.453919</v>
      </c>
      <c r="E2948">
        <v>0.53082089999999904</v>
      </c>
      <c r="F2948" t="s">
        <v>48</v>
      </c>
      <c r="G2948">
        <v>-210.0539</v>
      </c>
      <c r="H2948" s="1">
        <v>-1.3897330000000001E-6</v>
      </c>
      <c r="I2948">
        <v>211.9083</v>
      </c>
      <c r="J2948">
        <v>-227.45670000000001</v>
      </c>
      <c r="K2948">
        <v>1.109456</v>
      </c>
      <c r="L2948">
        <v>214.78620000000001</v>
      </c>
      <c r="M2948">
        <v>0.99904409999999999</v>
      </c>
      <c r="N2948">
        <v>0</v>
      </c>
      <c r="O2948">
        <v>4.1406409999999998E-2</v>
      </c>
      <c r="P2948">
        <v>0.97972300000000001</v>
      </c>
      <c r="Q2948">
        <v>0.17777029999999999</v>
      </c>
      <c r="R2948">
        <v>-9.2418249999999993E-2</v>
      </c>
      <c r="S2948">
        <v>3.0509339999999998</v>
      </c>
      <c r="T2948">
        <v>-0.19050220000000001</v>
      </c>
      <c r="U2948">
        <v>-0.49157709999999999</v>
      </c>
      <c r="V2948">
        <v>0.133053</v>
      </c>
      <c r="W2948">
        <v>0.1913222</v>
      </c>
      <c r="X2948">
        <v>0.97246739999999998</v>
      </c>
      <c r="Y2948">
        <v>0.19936090000000001</v>
      </c>
      <c r="Z2948">
        <v>-8.7465830000000005E-3</v>
      </c>
      <c r="AA2948">
        <v>0.97988710000000001</v>
      </c>
      <c r="AB2948">
        <v>37</v>
      </c>
      <c r="AC2948">
        <v>17.402799999999999</v>
      </c>
      <c r="AD2948">
        <v>-1.109457389733</v>
      </c>
      <c r="AE2948">
        <v>-2.8779000000000101</v>
      </c>
      <c r="AF2948">
        <v>3.5819192511664499</v>
      </c>
      <c r="AG2948">
        <v>-1.109457389733</v>
      </c>
      <c r="AH2948">
        <v>17.2006497330628</v>
      </c>
      <c r="AI2948">
        <v>93.613216422299004</v>
      </c>
      <c r="AJ2948">
        <v>78.236657696171903</v>
      </c>
      <c r="AK2948">
        <v>17.604641219321199</v>
      </c>
      <c r="AL2948">
        <v>78.970044384002705</v>
      </c>
      <c r="AM2948">
        <v>82.209164585262002</v>
      </c>
      <c r="AN2948">
        <v>1.00000006454229</v>
      </c>
    </row>
    <row r="2949" spans="1:40" x14ac:dyDescent="0.25">
      <c r="A2949" t="str">
        <f>"20190312172719112"</f>
        <v>20190312172719112</v>
      </c>
      <c r="B2949" t="str">
        <f>"1552382839102548"</f>
        <v>1552382839102548</v>
      </c>
      <c r="C2949" t="s">
        <v>40</v>
      </c>
      <c r="D2949">
        <v>3.4900069999999999</v>
      </c>
      <c r="E2949">
        <v>0.54522660000000001</v>
      </c>
      <c r="F2949" t="s">
        <v>47</v>
      </c>
      <c r="G2949">
        <v>-209.80279999999999</v>
      </c>
      <c r="H2949" s="1">
        <v>6.8012439999999997E-6</v>
      </c>
      <c r="I2949">
        <v>211.9042</v>
      </c>
      <c r="J2949">
        <v>-226.97800000000001</v>
      </c>
      <c r="K2949">
        <v>1.109429</v>
      </c>
      <c r="L2949">
        <v>214.8056</v>
      </c>
      <c r="M2949">
        <v>0.99906249999999996</v>
      </c>
      <c r="N2949">
        <v>0</v>
      </c>
      <c r="O2949">
        <v>4.0959750000000003E-2</v>
      </c>
      <c r="P2949">
        <v>0.97957280000000002</v>
      </c>
      <c r="Q2949">
        <v>0.17747389999999999</v>
      </c>
      <c r="R2949">
        <v>-9.4555200000000006E-2</v>
      </c>
      <c r="S2949">
        <v>3.0498959999999999</v>
      </c>
      <c r="T2949">
        <v>-0.1916697</v>
      </c>
      <c r="U2949">
        <v>-0.49789430000000001</v>
      </c>
      <c r="V2949">
        <v>0.13475899999999999</v>
      </c>
      <c r="W2949">
        <v>0.19101000000000001</v>
      </c>
      <c r="X2949">
        <v>0.97229379999999999</v>
      </c>
      <c r="Y2949">
        <v>0.2009445</v>
      </c>
      <c r="Z2949">
        <v>-8.8231100000000003E-3</v>
      </c>
      <c r="AA2949">
        <v>0.97956290000000001</v>
      </c>
      <c r="AB2949">
        <v>37</v>
      </c>
      <c r="AC2949">
        <v>17.175199999999901</v>
      </c>
      <c r="AD2949">
        <v>-1.109422198756</v>
      </c>
      <c r="AE2949">
        <v>-2.90139999999999</v>
      </c>
      <c r="AF2949">
        <v>3.5879704314537699</v>
      </c>
      <c r="AG2949">
        <v>-1.109422198756</v>
      </c>
      <c r="AH2949">
        <v>16.9730771640873</v>
      </c>
      <c r="AI2949">
        <v>93.659105331691293</v>
      </c>
      <c r="AJ2949">
        <v>78.063862669087698</v>
      </c>
      <c r="AK2949">
        <v>17.3836042824882</v>
      </c>
      <c r="AL2949">
        <v>78.988267727424002</v>
      </c>
      <c r="AM2949">
        <v>82.109130031929197</v>
      </c>
      <c r="AN2949">
        <v>1.00000002084971</v>
      </c>
    </row>
    <row r="2950" spans="1:40" x14ac:dyDescent="0.25">
      <c r="A2950" t="str">
        <f>"20190312172719137"</f>
        <v>20190312172719137</v>
      </c>
      <c r="B2950" t="str">
        <f>"1552382839131819"</f>
        <v>1552382839131819</v>
      </c>
      <c r="C2950" t="s">
        <v>40</v>
      </c>
      <c r="D2950">
        <v>3.4708100000000002</v>
      </c>
      <c r="E2950">
        <v>0.54540809999999995</v>
      </c>
      <c r="F2950" t="s">
        <v>48</v>
      </c>
      <c r="G2950">
        <v>-211.7516</v>
      </c>
      <c r="H2950" s="1">
        <v>-4.7779429999999997E-7</v>
      </c>
      <c r="I2950">
        <v>211.7133</v>
      </c>
      <c r="J2950">
        <v>-226.571</v>
      </c>
      <c r="K2950">
        <v>1.1093949999999999</v>
      </c>
      <c r="L2950">
        <v>214.8218</v>
      </c>
      <c r="M2950">
        <v>0.99907990000000002</v>
      </c>
      <c r="N2950">
        <v>0</v>
      </c>
      <c r="O2950">
        <v>4.0534929999999997E-2</v>
      </c>
      <c r="P2950">
        <v>0.97942929999999995</v>
      </c>
      <c r="Q2950">
        <v>0.17714530000000001</v>
      </c>
      <c r="R2950">
        <v>-9.6632410000000002E-2</v>
      </c>
      <c r="S2950">
        <v>3.043091</v>
      </c>
      <c r="T2950">
        <v>-0.22172639999999999</v>
      </c>
      <c r="U2950">
        <v>-0.61801149999999905</v>
      </c>
      <c r="V2950">
        <v>0.13642770000000001</v>
      </c>
      <c r="W2950">
        <v>0.19066549999999999</v>
      </c>
      <c r="X2950">
        <v>0.97212869999999996</v>
      </c>
      <c r="Y2950">
        <v>0.23787800000000001</v>
      </c>
      <c r="Z2950">
        <v>-1.149011E-2</v>
      </c>
      <c r="AA2950">
        <v>0.97122710000000001</v>
      </c>
      <c r="AB2950">
        <v>37</v>
      </c>
      <c r="AC2950">
        <v>14.8194</v>
      </c>
      <c r="AD2950">
        <v>-1.1093954777943</v>
      </c>
      <c r="AE2950">
        <v>-3.10849999999999</v>
      </c>
      <c r="AF2950">
        <v>3.6869156716713198</v>
      </c>
      <c r="AG2950">
        <v>-1.1093954777943</v>
      </c>
      <c r="AH2950">
        <v>14.602814932863399</v>
      </c>
      <c r="AI2950">
        <v>94.212790308009602</v>
      </c>
      <c r="AJ2950">
        <v>75.830110899804197</v>
      </c>
      <c r="AK2950">
        <v>15.101864436539699</v>
      </c>
      <c r="AL2950">
        <v>79.008375774684794</v>
      </c>
      <c r="AM2950">
        <v>82.011333066244504</v>
      </c>
      <c r="AN2950">
        <v>1.00000002979061</v>
      </c>
    </row>
    <row r="2951" spans="1:40" x14ac:dyDescent="0.25">
      <c r="A2951" t="str">
        <f>"20190312172719162"</f>
        <v>20190312172719162</v>
      </c>
      <c r="B2951" t="str">
        <f>"1552382839152316"</f>
        <v>1552382839152316</v>
      </c>
      <c r="C2951" t="s">
        <v>40</v>
      </c>
      <c r="D2951">
        <v>3.4636870000000002</v>
      </c>
      <c r="E2951">
        <v>0.54551759999999905</v>
      </c>
      <c r="F2951" t="s">
        <v>48</v>
      </c>
      <c r="G2951">
        <v>-210.92420000000001</v>
      </c>
      <c r="H2951" s="1">
        <v>-9.1313959999999996E-7</v>
      </c>
      <c r="I2951">
        <v>211.59979999999999</v>
      </c>
      <c r="J2951">
        <v>-226.17060000000001</v>
      </c>
      <c r="K2951">
        <v>1.1093710000000001</v>
      </c>
      <c r="L2951">
        <v>214.83760000000001</v>
      </c>
      <c r="M2951">
        <v>0.9990985</v>
      </c>
      <c r="N2951">
        <v>0</v>
      </c>
      <c r="O2951">
        <v>4.007749E-2</v>
      </c>
      <c r="P2951">
        <v>0.97924250000000002</v>
      </c>
      <c r="Q2951">
        <v>0.17716379999999901</v>
      </c>
      <c r="R2951">
        <v>-9.8474130000000007E-2</v>
      </c>
      <c r="S2951">
        <v>3.040222</v>
      </c>
      <c r="T2951">
        <v>-0.21555840000000001</v>
      </c>
      <c r="U2951">
        <v>-0.62605290000000002</v>
      </c>
      <c r="V2951">
        <v>0.13782809999999901</v>
      </c>
      <c r="W2951">
        <v>0.1906678</v>
      </c>
      <c r="X2951">
        <v>0.97193070000000004</v>
      </c>
      <c r="Y2951">
        <v>0.24011089999999999</v>
      </c>
      <c r="Z2951">
        <v>-1.122483E-2</v>
      </c>
      <c r="AA2951">
        <v>0.97068049999999995</v>
      </c>
      <c r="AB2951">
        <v>37</v>
      </c>
      <c r="AC2951">
        <v>15.2463999999999</v>
      </c>
      <c r="AD2951">
        <v>-1.10937191313959</v>
      </c>
      <c r="AE2951">
        <v>-3.23780000000002</v>
      </c>
      <c r="AF2951">
        <v>3.8269084961518001</v>
      </c>
      <c r="AG2951">
        <v>-1.10937191313959</v>
      </c>
      <c r="AH2951">
        <v>15.028240072697001</v>
      </c>
      <c r="AI2951">
        <v>94.091750904843195</v>
      </c>
      <c r="AJ2951">
        <v>75.713396461051602</v>
      </c>
      <c r="AK2951">
        <v>15.5474735684676</v>
      </c>
      <c r="AL2951">
        <v>79.008241649248006</v>
      </c>
      <c r="AM2951">
        <v>81.928783649190706</v>
      </c>
      <c r="AN2951">
        <v>1.00000004035446</v>
      </c>
    </row>
    <row r="2952" spans="1:40" x14ac:dyDescent="0.25">
      <c r="A2952" t="str">
        <f>"20190312172719185"</f>
        <v>20190312172719185</v>
      </c>
      <c r="B2952" t="str">
        <f>"1552382839181596"</f>
        <v>1552382839181596</v>
      </c>
      <c r="C2952" t="s">
        <v>40</v>
      </c>
      <c r="D2952">
        <v>3.4489010000000002</v>
      </c>
      <c r="E2952">
        <v>0.54593840000000005</v>
      </c>
      <c r="F2952" t="s">
        <v>48</v>
      </c>
      <c r="G2952">
        <v>-210.31720000000001</v>
      </c>
      <c r="H2952" s="1">
        <v>-1.2333319999999999E-6</v>
      </c>
      <c r="I2952">
        <v>211.536</v>
      </c>
      <c r="J2952">
        <v>-225.77979999999999</v>
      </c>
      <c r="K2952">
        <v>1.109345</v>
      </c>
      <c r="L2952">
        <v>214.8528</v>
      </c>
      <c r="M2952">
        <v>0.99911749999999999</v>
      </c>
      <c r="N2952">
        <v>0</v>
      </c>
      <c r="O2952">
        <v>3.958967E-2</v>
      </c>
      <c r="P2952">
        <v>0.97905500000000001</v>
      </c>
      <c r="Q2952">
        <v>0.17718919999999999</v>
      </c>
      <c r="R2952">
        <v>-0.10027759999999999</v>
      </c>
      <c r="S2952">
        <v>3.0384060000000002</v>
      </c>
      <c r="T2952">
        <v>-0.2126188</v>
      </c>
      <c r="U2952">
        <v>-0.63276669999999902</v>
      </c>
      <c r="V2952">
        <v>0.13916239999999999</v>
      </c>
      <c r="W2952">
        <v>0.1907034</v>
      </c>
      <c r="X2952">
        <v>0.97173350000000003</v>
      </c>
      <c r="Y2952">
        <v>0.24182290000000001</v>
      </c>
      <c r="Z2952">
        <v>-1.110158E-2</v>
      </c>
      <c r="AA2952">
        <v>0.97025689999999998</v>
      </c>
      <c r="AB2952">
        <v>37</v>
      </c>
      <c r="AC2952">
        <v>15.462599999999901</v>
      </c>
      <c r="AD2952">
        <v>-1.1093462333319899</v>
      </c>
      <c r="AE2952">
        <v>-3.3168000000000202</v>
      </c>
      <c r="AF2952">
        <v>3.9071923237619601</v>
      </c>
      <c r="AG2952">
        <v>-1.1093462333319899</v>
      </c>
      <c r="AH2952">
        <v>15.2441385372698</v>
      </c>
      <c r="AI2952">
        <v>94.032299853426196</v>
      </c>
      <c r="AJ2952">
        <v>75.624111210227795</v>
      </c>
      <c r="AK2952">
        <v>15.775948803914901</v>
      </c>
      <c r="AL2952">
        <v>79.006163095765899</v>
      </c>
      <c r="AM2952">
        <v>81.850060006943707</v>
      </c>
      <c r="AN2952">
        <v>0.99999997768378401</v>
      </c>
    </row>
    <row r="2953" spans="1:40" x14ac:dyDescent="0.25">
      <c r="A2953" t="str">
        <f>"20190312172719211"</f>
        <v>20190312172719211</v>
      </c>
      <c r="B2953" t="str">
        <f>"1552382839202092"</f>
        <v>1552382839202092</v>
      </c>
      <c r="C2953" t="s">
        <v>40</v>
      </c>
      <c r="D2953">
        <v>3.4592109999999998</v>
      </c>
      <c r="E2953">
        <v>0.54624139999999999</v>
      </c>
      <c r="F2953" t="s">
        <v>47</v>
      </c>
      <c r="G2953">
        <v>-209.8586</v>
      </c>
      <c r="H2953" s="1">
        <v>6.8624149999999999E-6</v>
      </c>
      <c r="I2953">
        <v>211.4872</v>
      </c>
      <c r="J2953">
        <v>-225.3605</v>
      </c>
      <c r="K2953">
        <v>1.109321</v>
      </c>
      <c r="L2953">
        <v>214.86879999999999</v>
      </c>
      <c r="M2953">
        <v>0.99913879999999999</v>
      </c>
      <c r="N2953">
        <v>0</v>
      </c>
      <c r="O2953">
        <v>3.9015040000000001E-2</v>
      </c>
      <c r="P2953">
        <v>0.97879709999999998</v>
      </c>
      <c r="Q2953">
        <v>0.1770948</v>
      </c>
      <c r="R2953">
        <v>-0.1029265</v>
      </c>
      <c r="S2953">
        <v>3.036743</v>
      </c>
      <c r="T2953">
        <v>-0.211591</v>
      </c>
      <c r="U2953">
        <v>-0.64193730000000004</v>
      </c>
      <c r="V2953">
        <v>0.14125889999999999</v>
      </c>
      <c r="W2953">
        <v>0.1906767</v>
      </c>
      <c r="X2953">
        <v>0.97143619999999997</v>
      </c>
      <c r="Y2953">
        <v>0.2441788</v>
      </c>
      <c r="Z2953">
        <v>-1.1092080000000001E-2</v>
      </c>
      <c r="AA2953">
        <v>0.96966680000000005</v>
      </c>
      <c r="AB2953">
        <v>37</v>
      </c>
      <c r="AC2953">
        <v>15.501899999999999</v>
      </c>
      <c r="AD2953">
        <v>-1.109314137585</v>
      </c>
      <c r="AE2953">
        <v>-3.3815999999999899</v>
      </c>
      <c r="AF2953">
        <v>3.96451303000386</v>
      </c>
      <c r="AG2953">
        <v>-1.109314137585</v>
      </c>
      <c r="AH2953">
        <v>15.2834397946261</v>
      </c>
      <c r="AI2953">
        <v>94.018853814396806</v>
      </c>
      <c r="AJ2953">
        <v>75.458028730360297</v>
      </c>
      <c r="AK2953">
        <v>15.828186041896201</v>
      </c>
      <c r="AL2953">
        <v>79.007721578510299</v>
      </c>
      <c r="AM2953">
        <v>81.726470139372694</v>
      </c>
      <c r="AN2953">
        <v>0.99999998571126902</v>
      </c>
    </row>
    <row r="2954" spans="1:40" x14ac:dyDescent="0.25">
      <c r="A2954" t="str">
        <f>"20190312172719246"</f>
        <v>20190312172719246</v>
      </c>
      <c r="B2954" t="str">
        <f>"1552382839242108"</f>
        <v>1552382839242108</v>
      </c>
      <c r="C2954" t="s">
        <v>40</v>
      </c>
      <c r="D2954">
        <v>3.4523959999999998</v>
      </c>
      <c r="E2954">
        <v>0.54694390000000004</v>
      </c>
      <c r="F2954" t="s">
        <v>47</v>
      </c>
      <c r="G2954">
        <v>-209.4315</v>
      </c>
      <c r="H2954" s="1">
        <v>6.6767979999999997E-6</v>
      </c>
      <c r="I2954">
        <v>211.44390000000001</v>
      </c>
      <c r="J2954">
        <v>-224.79069999999999</v>
      </c>
      <c r="K2954">
        <v>1.1093059999999999</v>
      </c>
      <c r="L2954">
        <v>214.89009999999999</v>
      </c>
      <c r="M2954">
        <v>0.99916959999999999</v>
      </c>
      <c r="N2954">
        <v>0</v>
      </c>
      <c r="O2954">
        <v>3.8143580000000003E-2</v>
      </c>
      <c r="P2954">
        <v>0.97831020000000002</v>
      </c>
      <c r="Q2954">
        <v>0.17675950000000001</v>
      </c>
      <c r="R2954">
        <v>-0.108007199999999</v>
      </c>
      <c r="S2954">
        <v>3.0346069999999998</v>
      </c>
      <c r="T2954">
        <v>-0.2113334</v>
      </c>
      <c r="U2954">
        <v>-0.65248109999999904</v>
      </c>
      <c r="V2954">
        <v>0.1454966</v>
      </c>
      <c r="W2954">
        <v>0.1905077</v>
      </c>
      <c r="X2954">
        <v>0.97084369999999998</v>
      </c>
      <c r="Y2954">
        <v>0.24669060000000001</v>
      </c>
      <c r="Z2954">
        <v>-1.1108659999999999E-2</v>
      </c>
      <c r="AA2954">
        <v>0.96903059999999996</v>
      </c>
      <c r="AB2954">
        <v>36</v>
      </c>
      <c r="AC2954">
        <v>15.3591999999999</v>
      </c>
      <c r="AD2954">
        <v>-1.1092993232020001</v>
      </c>
      <c r="AE2954">
        <v>-3.44619999999997</v>
      </c>
      <c r="AF2954">
        <v>4.0096934071787498</v>
      </c>
      <c r="AG2954">
        <v>-1.1092993232020001</v>
      </c>
      <c r="AH2954">
        <v>15.1413606003831</v>
      </c>
      <c r="AI2954">
        <v>94.051016897354799</v>
      </c>
      <c r="AJ2954">
        <v>75.167557366684207</v>
      </c>
      <c r="AK2954">
        <v>15.702515309301999</v>
      </c>
      <c r="AL2954">
        <v>79.017585168784393</v>
      </c>
      <c r="AM2954">
        <v>81.476735257974397</v>
      </c>
      <c r="AN2954">
        <v>0.99999996710026895</v>
      </c>
    </row>
    <row r="2955" spans="1:40" x14ac:dyDescent="0.25">
      <c r="A2955" t="str">
        <f>"20190312172719269"</f>
        <v>20190312172719269</v>
      </c>
      <c r="B2955" t="str">
        <f>"1552382839261630"</f>
        <v>1552382839261630</v>
      </c>
      <c r="C2955" t="s">
        <v>40</v>
      </c>
      <c r="D2955">
        <v>3.4221219999999999</v>
      </c>
      <c r="E2955">
        <v>0.54724810000000002</v>
      </c>
      <c r="F2955" t="s">
        <v>47</v>
      </c>
      <c r="G2955">
        <v>-208.97030000000001</v>
      </c>
      <c r="H2955" s="1">
        <v>6.478943E-6</v>
      </c>
      <c r="I2955">
        <v>211.36760000000001</v>
      </c>
      <c r="J2955">
        <v>-224.41249999999999</v>
      </c>
      <c r="K2955">
        <v>1.1092959999999901</v>
      </c>
      <c r="L2955">
        <v>214.90389999999999</v>
      </c>
      <c r="M2955">
        <v>0.9991913</v>
      </c>
      <c r="N2955">
        <v>0</v>
      </c>
      <c r="O2955">
        <v>3.7504419999999997E-2</v>
      </c>
      <c r="P2955">
        <v>0.97822900000000002</v>
      </c>
      <c r="Q2955">
        <v>0.175336299999999</v>
      </c>
      <c r="R2955">
        <v>-0.11101949999999999</v>
      </c>
      <c r="S2955">
        <v>3.030411</v>
      </c>
      <c r="T2955">
        <v>-0.21248629999999999</v>
      </c>
      <c r="U2955">
        <v>-0.67472840000000001</v>
      </c>
      <c r="V2955">
        <v>0.1478978</v>
      </c>
      <c r="W2955">
        <v>0.1892221</v>
      </c>
      <c r="X2955">
        <v>0.97073229999999999</v>
      </c>
      <c r="Y2955">
        <v>0.25310830000000001</v>
      </c>
      <c r="Z2955">
        <v>-1.135337E-2</v>
      </c>
      <c r="AA2955">
        <v>0.96737130000000005</v>
      </c>
      <c r="AB2955">
        <v>36</v>
      </c>
      <c r="AC2955">
        <v>15.4421999999999</v>
      </c>
      <c r="AD2955">
        <v>-1.10928952105699</v>
      </c>
      <c r="AE2955">
        <v>-3.5362999999999798</v>
      </c>
      <c r="AF2955">
        <v>4.0929548934242801</v>
      </c>
      <c r="AG2955">
        <v>-1.10928952105699</v>
      </c>
      <c r="AH2955">
        <v>15.2240472581561</v>
      </c>
      <c r="AI2955">
        <v>94.025021666783204</v>
      </c>
      <c r="AJ2955">
        <v>74.951961800023298</v>
      </c>
      <c r="AK2955">
        <v>15.8036204054547</v>
      </c>
      <c r="AL2955">
        <v>79.092609449291601</v>
      </c>
      <c r="AM2955">
        <v>81.337209319314496</v>
      </c>
      <c r="AN2955">
        <v>0.99999998031826898</v>
      </c>
    </row>
    <row r="2956" spans="1:40" x14ac:dyDescent="0.25">
      <c r="A2956" t="str">
        <f>"20190312172719292"</f>
        <v>20190312172719292</v>
      </c>
      <c r="B2956" t="str">
        <f>"1552382839282124"</f>
        <v>1552382839282124</v>
      </c>
      <c r="C2956" t="s">
        <v>40</v>
      </c>
      <c r="D2956">
        <v>3.4305460000000001</v>
      </c>
      <c r="E2956">
        <v>0.54751989999999995</v>
      </c>
      <c r="F2956" t="s">
        <v>47</v>
      </c>
      <c r="G2956">
        <v>-208.95490000000001</v>
      </c>
      <c r="H2956" s="1">
        <v>6.4694309999999899E-6</v>
      </c>
      <c r="I2956">
        <v>211.39840000000001</v>
      </c>
      <c r="J2956">
        <v>-224.02930000000001</v>
      </c>
      <c r="K2956">
        <v>1.1092839999999999</v>
      </c>
      <c r="L2956">
        <v>214.91749999999999</v>
      </c>
      <c r="M2956">
        <v>0.99921499999999996</v>
      </c>
      <c r="N2956">
        <v>0</v>
      </c>
      <c r="O2956">
        <v>3.6784419999999998E-2</v>
      </c>
      <c r="P2956">
        <v>0.97807409999999995</v>
      </c>
      <c r="Q2956">
        <v>0.17472019999999999</v>
      </c>
      <c r="R2956">
        <v>-0.11333070000000001</v>
      </c>
      <c r="S2956">
        <v>3.0277859999999999</v>
      </c>
      <c r="T2956">
        <v>-0.21728439999999999</v>
      </c>
      <c r="U2956">
        <v>-0.68663019999999997</v>
      </c>
      <c r="V2956">
        <v>0.14951989999999901</v>
      </c>
      <c r="W2956">
        <v>0.18878710000000001</v>
      </c>
      <c r="X2956">
        <v>0.97056849999999995</v>
      </c>
      <c r="Y2956">
        <v>0.25617040000000002</v>
      </c>
      <c r="Z2956">
        <v>-1.167136E-2</v>
      </c>
      <c r="AA2956">
        <v>0.96656120000000001</v>
      </c>
      <c r="AB2956">
        <v>36</v>
      </c>
      <c r="AC2956">
        <v>15.074399999999899</v>
      </c>
      <c r="AD2956">
        <v>-1.1092775305689999</v>
      </c>
      <c r="AE2956">
        <v>-3.5190999999999799</v>
      </c>
      <c r="AF2956">
        <v>4.0504809889359903</v>
      </c>
      <c r="AG2956">
        <v>-1.1092775305689999</v>
      </c>
      <c r="AH2956">
        <v>14.858433231566</v>
      </c>
      <c r="AI2956">
        <v>94.119788976694494</v>
      </c>
      <c r="AJ2956">
        <v>74.751410104114299</v>
      </c>
      <c r="AK2956">
        <v>15.440528843872601</v>
      </c>
      <c r="AL2956">
        <v>79.117990700605105</v>
      </c>
      <c r="AM2956">
        <v>81.242208181940796</v>
      </c>
      <c r="AN2956">
        <v>0.99999999140733398</v>
      </c>
    </row>
    <row r="2957" spans="1:40" x14ac:dyDescent="0.25">
      <c r="A2957" t="str">
        <f>"20190312172719315"</f>
        <v>20190312172719315</v>
      </c>
      <c r="B2957" t="str">
        <f>"1552382839312379"</f>
        <v>1552382839312379</v>
      </c>
      <c r="C2957" t="s">
        <v>40</v>
      </c>
      <c r="D2957">
        <v>3.4192269999999998</v>
      </c>
      <c r="E2957">
        <v>0.54787189999999997</v>
      </c>
      <c r="F2957" t="s">
        <v>47</v>
      </c>
      <c r="G2957">
        <v>-208.73859999999999</v>
      </c>
      <c r="H2957" s="1">
        <v>6.3735589999999998E-6</v>
      </c>
      <c r="I2957">
        <v>211.39779999999999</v>
      </c>
      <c r="J2957">
        <v>-223.6661</v>
      </c>
      <c r="K2957">
        <v>1.1092850000000001</v>
      </c>
      <c r="L2957">
        <v>214.93010000000001</v>
      </c>
      <c r="M2957">
        <v>0.99923850000000003</v>
      </c>
      <c r="N2957">
        <v>0</v>
      </c>
      <c r="O2957">
        <v>3.6041289999999997E-2</v>
      </c>
      <c r="P2957">
        <v>0.97800469999999895</v>
      </c>
      <c r="Q2957">
        <v>0.17385129999999999</v>
      </c>
      <c r="R2957">
        <v>-0.1152513</v>
      </c>
      <c r="S2957">
        <v>3.025757</v>
      </c>
      <c r="T2957">
        <v>-0.2195067</v>
      </c>
      <c r="U2957">
        <v>-0.69648739999999998</v>
      </c>
      <c r="V2957">
        <v>0.150732</v>
      </c>
      <c r="W2957">
        <v>0.1881446</v>
      </c>
      <c r="X2957">
        <v>0.97050579999999997</v>
      </c>
      <c r="Y2957">
        <v>0.25856410000000002</v>
      </c>
      <c r="Z2957">
        <v>-1.182632E-2</v>
      </c>
      <c r="AA2957">
        <v>0.96592169999999999</v>
      </c>
      <c r="AB2957">
        <v>36</v>
      </c>
      <c r="AC2957">
        <v>14.9275</v>
      </c>
      <c r="AD2957">
        <v>-1.1092786264409999</v>
      </c>
      <c r="AE2957">
        <v>-3.5323000000000202</v>
      </c>
      <c r="AF2957">
        <v>4.0469084286396599</v>
      </c>
      <c r="AG2957">
        <v>-1.1092786264409999</v>
      </c>
      <c r="AH2957">
        <v>14.7135347176695</v>
      </c>
      <c r="AI2957">
        <v>94.15764515523</v>
      </c>
      <c r="AJ2957">
        <v>74.621263873711399</v>
      </c>
      <c r="AK2957">
        <v>15.3001983905092</v>
      </c>
      <c r="AL2957">
        <v>79.155475249482706</v>
      </c>
      <c r="AM2957">
        <v>81.171764656194995</v>
      </c>
      <c r="AN2957">
        <v>1.00000001708339</v>
      </c>
    </row>
    <row r="2958" spans="1:40" x14ac:dyDescent="0.25">
      <c r="A2958" t="str">
        <f>"20190312172719338"</f>
        <v>20190312172719338</v>
      </c>
      <c r="B2958" t="str">
        <f>"1552382839331900"</f>
        <v>1552382839331900</v>
      </c>
      <c r="C2958" t="s">
        <v>40</v>
      </c>
      <c r="D2958">
        <v>3.4585129999999999</v>
      </c>
      <c r="E2958">
        <v>0.55268109999999904</v>
      </c>
      <c r="F2958" t="s">
        <v>47</v>
      </c>
      <c r="G2958">
        <v>-208.60210000000001</v>
      </c>
      <c r="H2958" s="1">
        <v>6.3116340000000004E-6</v>
      </c>
      <c r="I2958">
        <v>211.41390000000001</v>
      </c>
      <c r="J2958">
        <v>-223.29470000000001</v>
      </c>
      <c r="K2958">
        <v>1.109281</v>
      </c>
      <c r="L2958">
        <v>214.9427</v>
      </c>
      <c r="M2958">
        <v>0.99926380000000004</v>
      </c>
      <c r="N2958">
        <v>0</v>
      </c>
      <c r="O2958">
        <v>3.5208650000000001E-2</v>
      </c>
      <c r="P2958">
        <v>0.97778339999999997</v>
      </c>
      <c r="Q2958">
        <v>0.1734976</v>
      </c>
      <c r="R2958">
        <v>-0.1176362</v>
      </c>
      <c r="S2958">
        <v>3.0238489999999998</v>
      </c>
      <c r="T2958">
        <v>-0.22266920000000001</v>
      </c>
      <c r="U2958">
        <v>-0.70582579999999995</v>
      </c>
      <c r="V2958">
        <v>0.15232179999999901</v>
      </c>
      <c r="W2958">
        <v>0.18804399999999999</v>
      </c>
      <c r="X2958">
        <v>0.9702771</v>
      </c>
      <c r="Y2958">
        <v>0.26069799999999999</v>
      </c>
      <c r="Z2958">
        <v>-1.201646E-2</v>
      </c>
      <c r="AA2958">
        <v>0.96534560000000003</v>
      </c>
      <c r="AB2958">
        <v>36</v>
      </c>
      <c r="AC2958">
        <v>14.692600000000001</v>
      </c>
      <c r="AD2958">
        <v>-1.1092746883660001</v>
      </c>
      <c r="AE2958">
        <v>-3.52879999999998</v>
      </c>
      <c r="AF2958">
        <v>4.0223012447289603</v>
      </c>
      <c r="AG2958">
        <v>-1.1092746883660001</v>
      </c>
      <c r="AH2958">
        <v>14.481187393855199</v>
      </c>
      <c r="AI2958">
        <v>94.221167147910805</v>
      </c>
      <c r="AJ2958">
        <v>74.476810265559294</v>
      </c>
      <c r="AK2958">
        <v>15.070308091527099</v>
      </c>
      <c r="AL2958">
        <v>79.161344467283499</v>
      </c>
      <c r="AM2958">
        <v>81.078072482589704</v>
      </c>
      <c r="AN2958">
        <v>1.0000000637378199</v>
      </c>
    </row>
    <row r="2959" spans="1:40" x14ac:dyDescent="0.25">
      <c r="A2959" t="str">
        <f>"20190312172719362"</f>
        <v>20190312172719362</v>
      </c>
      <c r="B2959" t="str">
        <f>"1552382839352396"</f>
        <v>1552382839352396</v>
      </c>
      <c r="C2959" t="s">
        <v>40</v>
      </c>
      <c r="D2959">
        <v>3.4281760000000001</v>
      </c>
      <c r="E2959">
        <v>0.55258769999999902</v>
      </c>
      <c r="F2959" t="s">
        <v>47</v>
      </c>
      <c r="G2959">
        <v>-208.7809</v>
      </c>
      <c r="H2959" s="1">
        <v>6.3984060000000002E-6</v>
      </c>
      <c r="I2959">
        <v>211.32839999999999</v>
      </c>
      <c r="J2959">
        <v>-222.91309999999999</v>
      </c>
      <c r="K2959">
        <v>1.1092740000000001</v>
      </c>
      <c r="L2959">
        <v>214.95519999999999</v>
      </c>
      <c r="M2959">
        <v>0.99929129999999999</v>
      </c>
      <c r="N2959">
        <v>0</v>
      </c>
      <c r="O2959">
        <v>3.4260020000000002E-2</v>
      </c>
      <c r="P2959">
        <v>0.97751449999999995</v>
      </c>
      <c r="Q2959">
        <v>0.17325479999999999</v>
      </c>
      <c r="R2959">
        <v>-0.12020210000000001</v>
      </c>
      <c r="S2959">
        <v>3.0186459999999999</v>
      </c>
      <c r="T2959">
        <v>-0.2307128</v>
      </c>
      <c r="U2959">
        <v>-0.75172419999999995</v>
      </c>
      <c r="V2959">
        <v>0.15398599999999901</v>
      </c>
      <c r="W2959">
        <v>0.18810859999999999</v>
      </c>
      <c r="X2959">
        <v>0.97000180000000003</v>
      </c>
      <c r="Y2959">
        <v>0.27390560000000003</v>
      </c>
      <c r="Z2959">
        <v>-1.2873549999999999E-2</v>
      </c>
      <c r="AA2959">
        <v>0.96167040000000004</v>
      </c>
      <c r="AB2959">
        <v>36</v>
      </c>
      <c r="AC2959">
        <v>14.1321999999999</v>
      </c>
      <c r="AD2959">
        <v>-1.109267601594</v>
      </c>
      <c r="AE2959">
        <v>-3.6267999999999998</v>
      </c>
      <c r="AF2959">
        <v>4.0852844196838296</v>
      </c>
      <c r="AG2959">
        <v>-1.109267601594</v>
      </c>
      <c r="AH2959">
        <v>13.919174955438701</v>
      </c>
      <c r="AI2959">
        <v>94.372780778064296</v>
      </c>
      <c r="AJ2959">
        <v>73.643011217242702</v>
      </c>
      <c r="AK2959">
        <v>14.548658180113</v>
      </c>
      <c r="AL2959">
        <v>79.157575349031603</v>
      </c>
      <c r="AM2959">
        <v>80.979671576851004</v>
      </c>
      <c r="AN2959">
        <v>1.0000000127966</v>
      </c>
    </row>
    <row r="2960" spans="1:40" x14ac:dyDescent="0.25">
      <c r="A2960" t="str">
        <f>"20190312172719383"</f>
        <v>20190312172719383</v>
      </c>
      <c r="B2960" t="str">
        <f>"1552382839371916"</f>
        <v>1552382839371916</v>
      </c>
      <c r="C2960" t="s">
        <v>40</v>
      </c>
      <c r="D2960">
        <v>3.4619360000000001</v>
      </c>
      <c r="E2960">
        <v>0.55315300000000001</v>
      </c>
      <c r="F2960" t="s">
        <v>47</v>
      </c>
      <c r="G2960">
        <v>-208.4383</v>
      </c>
      <c r="H2960" s="1">
        <v>6.2481109999999996E-6</v>
      </c>
      <c r="I2960">
        <v>211.30959999999999</v>
      </c>
      <c r="J2960">
        <v>-222.5823</v>
      </c>
      <c r="K2960">
        <v>1.1092569999999999</v>
      </c>
      <c r="L2960">
        <v>214.96559999999999</v>
      </c>
      <c r="M2960">
        <v>0.99931680000000001</v>
      </c>
      <c r="N2960">
        <v>0</v>
      </c>
      <c r="O2960">
        <v>3.333817E-2</v>
      </c>
      <c r="P2960">
        <v>0.97730119999999998</v>
      </c>
      <c r="Q2960">
        <v>0.1727033</v>
      </c>
      <c r="R2960">
        <v>-0.1227033</v>
      </c>
      <c r="S2960">
        <v>3.0165709999999999</v>
      </c>
      <c r="T2960">
        <v>-0.23117270000000001</v>
      </c>
      <c r="U2960">
        <v>-0.7597351</v>
      </c>
      <c r="V2960">
        <v>0.15561720000000001</v>
      </c>
      <c r="W2960">
        <v>0.1878782</v>
      </c>
      <c r="X2960">
        <v>0.96978609999999998</v>
      </c>
      <c r="Y2960">
        <v>0.275570599999999</v>
      </c>
      <c r="Z2960">
        <v>-1.289683E-2</v>
      </c>
      <c r="AA2960">
        <v>0.96119429999999995</v>
      </c>
      <c r="AB2960">
        <v>36</v>
      </c>
      <c r="AC2960">
        <v>14.144</v>
      </c>
      <c r="AD2960">
        <v>-1.109250751889</v>
      </c>
      <c r="AE2960">
        <v>-3.6560000000000001</v>
      </c>
      <c r="AF2960">
        <v>4.1019133114348199</v>
      </c>
      <c r="AG2960">
        <v>-1.109250751889</v>
      </c>
      <c r="AH2960">
        <v>13.933901967172099</v>
      </c>
      <c r="AI2960">
        <v>94.367071242562204</v>
      </c>
      <c r="AJ2960">
        <v>73.596431791704802</v>
      </c>
      <c r="AK2960">
        <v>14.567420982310299</v>
      </c>
      <c r="AL2960">
        <v>79.171015856797695</v>
      </c>
      <c r="AM2960">
        <v>80.883720181734105</v>
      </c>
      <c r="AN2960">
        <v>1.0000000053621401</v>
      </c>
    </row>
    <row r="2961" spans="1:40" x14ac:dyDescent="0.25">
      <c r="A2961" t="str">
        <f>"20190312172719410"</f>
        <v>20190312172719410</v>
      </c>
      <c r="B2961" t="str">
        <f>"1552382839402172"</f>
        <v>1552382839402172</v>
      </c>
      <c r="C2961" t="s">
        <v>40</v>
      </c>
      <c r="D2961">
        <v>3.4437950000000002</v>
      </c>
      <c r="E2961">
        <v>0.5533901</v>
      </c>
      <c r="F2961" t="s">
        <v>47</v>
      </c>
      <c r="G2961">
        <v>-208.22139999999999</v>
      </c>
      <c r="H2961" s="1">
        <v>6.1540160000000003E-6</v>
      </c>
      <c r="I2961">
        <v>211.28540000000001</v>
      </c>
      <c r="J2961">
        <v>-222.14519999999999</v>
      </c>
      <c r="K2961">
        <v>1.1092010000000001</v>
      </c>
      <c r="L2961">
        <v>214.97880000000001</v>
      </c>
      <c r="M2961">
        <v>0.9993533</v>
      </c>
      <c r="N2961">
        <v>0</v>
      </c>
      <c r="O2961">
        <v>3.1946969999999998E-2</v>
      </c>
      <c r="P2961">
        <v>0.9770276</v>
      </c>
      <c r="Q2961">
        <v>0.17188999999999999</v>
      </c>
      <c r="R2961">
        <v>-0.12598010000000001</v>
      </c>
      <c r="S2961">
        <v>3.0138400000000001</v>
      </c>
      <c r="T2961">
        <v>-0.232792</v>
      </c>
      <c r="U2961">
        <v>-0.77233890000000005</v>
      </c>
      <c r="V2961">
        <v>0.15758939999999999</v>
      </c>
      <c r="W2961">
        <v>0.18752969999999999</v>
      </c>
      <c r="X2961">
        <v>0.96953509999999998</v>
      </c>
      <c r="Y2961">
        <v>0.27819820000000001</v>
      </c>
      <c r="Z2961">
        <v>-1.2985740000000001E-2</v>
      </c>
      <c r="AA2961">
        <v>0.96043590000000001</v>
      </c>
      <c r="AB2961">
        <v>36</v>
      </c>
      <c r="AC2961">
        <v>13.9238</v>
      </c>
      <c r="AD2961">
        <v>-1.109194845984</v>
      </c>
      <c r="AE2961">
        <v>-3.6933999999999898</v>
      </c>
      <c r="AF2961">
        <v>4.1120185705056702</v>
      </c>
      <c r="AG2961">
        <v>-1.109194845984</v>
      </c>
      <c r="AH2961">
        <v>13.717353904028</v>
      </c>
      <c r="AI2961">
        <v>94.429027788383607</v>
      </c>
      <c r="AJ2961">
        <v>73.312971441165999</v>
      </c>
      <c r="AK2961">
        <v>14.3633146612784</v>
      </c>
      <c r="AL2961">
        <v>79.191345353201001</v>
      </c>
      <c r="AM2961">
        <v>80.7678138348912</v>
      </c>
      <c r="AN2961">
        <v>1.0000000587532201</v>
      </c>
    </row>
    <row r="2962" spans="1:40" x14ac:dyDescent="0.25">
      <c r="A2962" t="str">
        <f>"20190312172719434"</f>
        <v>20190312172719434</v>
      </c>
      <c r="B2962" t="str">
        <f>"1552382839421691"</f>
        <v>1552382839421691</v>
      </c>
      <c r="C2962" t="s">
        <v>40</v>
      </c>
      <c r="D2962">
        <v>3.4632770000000002</v>
      </c>
      <c r="E2962">
        <v>0.55357209999999901</v>
      </c>
      <c r="F2962" t="s">
        <v>47</v>
      </c>
      <c r="G2962">
        <v>-207.9478</v>
      </c>
      <c r="H2962" s="1">
        <v>6.0333189999999998E-6</v>
      </c>
      <c r="I2962">
        <v>211.2784</v>
      </c>
      <c r="J2962">
        <v>-221.78200000000001</v>
      </c>
      <c r="K2962">
        <v>1.1091329999999999</v>
      </c>
      <c r="L2962">
        <v>214.989</v>
      </c>
      <c r="M2962">
        <v>0.99938760000000004</v>
      </c>
      <c r="N2962">
        <v>0</v>
      </c>
      <c r="O2962">
        <v>3.0609859999999999E-2</v>
      </c>
      <c r="P2962">
        <v>0.97669879999999998</v>
      </c>
      <c r="Q2962">
        <v>0.1712206</v>
      </c>
      <c r="R2962">
        <v>-0.12939439999999999</v>
      </c>
      <c r="S2962">
        <v>3.0107270000000002</v>
      </c>
      <c r="T2962">
        <v>-0.2352175</v>
      </c>
      <c r="U2962">
        <v>-0.78471369999999996</v>
      </c>
      <c r="V2962">
        <v>0.1597507</v>
      </c>
      <c r="W2962">
        <v>0.1872529</v>
      </c>
      <c r="X2962">
        <v>0.96923479999999995</v>
      </c>
      <c r="Y2962">
        <v>0.2808291</v>
      </c>
      <c r="Z2962">
        <v>-1.3125349999999999E-2</v>
      </c>
      <c r="AA2962">
        <v>0.95966799999999997</v>
      </c>
      <c r="AB2962">
        <v>36</v>
      </c>
      <c r="AC2962">
        <v>13.834199999999999</v>
      </c>
      <c r="AD2962">
        <v>-1.109126966681</v>
      </c>
      <c r="AE2962">
        <v>-3.7105999999999999</v>
      </c>
      <c r="AF2962">
        <v>4.1077532294824204</v>
      </c>
      <c r="AG2962">
        <v>-1.109126966681</v>
      </c>
      <c r="AH2962">
        <v>13.632374474412901</v>
      </c>
      <c r="AI2962">
        <v>94.454351361611799</v>
      </c>
      <c r="AJ2962">
        <v>73.231217453460403</v>
      </c>
      <c r="AK2962">
        <v>14.280946503406801</v>
      </c>
      <c r="AL2962">
        <v>79.207490370061095</v>
      </c>
      <c r="AM2962">
        <v>80.640573359981403</v>
      </c>
      <c r="AN2962">
        <v>1.00000001611996</v>
      </c>
    </row>
    <row r="2963" spans="1:40" x14ac:dyDescent="0.25">
      <c r="A2963" t="str">
        <f>"20190312172719452"</f>
        <v>20190312172719452</v>
      </c>
      <c r="B2963" t="str">
        <f>"1552382839442188"</f>
        <v>1552382839442188</v>
      </c>
      <c r="C2963" t="s">
        <v>40</v>
      </c>
      <c r="D2963">
        <v>3.4658229999999999</v>
      </c>
      <c r="E2963">
        <v>0.55383110000000002</v>
      </c>
      <c r="F2963" t="s">
        <v>47</v>
      </c>
      <c r="G2963">
        <v>-207.7689</v>
      </c>
      <c r="H2963" s="1">
        <v>5.9537390000000003E-6</v>
      </c>
      <c r="I2963">
        <v>211.2809</v>
      </c>
      <c r="J2963">
        <v>-221.48220000000001</v>
      </c>
      <c r="K2963">
        <v>1.10907</v>
      </c>
      <c r="L2963">
        <v>214.99700000000001</v>
      </c>
      <c r="M2963">
        <v>0.99941690000000005</v>
      </c>
      <c r="N2963">
        <v>0</v>
      </c>
      <c r="O2963">
        <v>2.9402190000000002E-2</v>
      </c>
      <c r="P2963">
        <v>0.97645219999999999</v>
      </c>
      <c r="Q2963">
        <v>0.16977300000000001</v>
      </c>
      <c r="R2963">
        <v>-0.1331087</v>
      </c>
      <c r="S2963">
        <v>3.0078580000000001</v>
      </c>
      <c r="T2963">
        <v>-0.2380699</v>
      </c>
      <c r="U2963">
        <v>-0.795929</v>
      </c>
      <c r="V2963">
        <v>0.162327799999999</v>
      </c>
      <c r="W2963">
        <v>0.1861314</v>
      </c>
      <c r="X2963">
        <v>0.96902259999999996</v>
      </c>
      <c r="Y2963">
        <v>0.28321380000000002</v>
      </c>
      <c r="Z2963">
        <v>-1.328879E-2</v>
      </c>
      <c r="AA2963">
        <v>0.95896479999999995</v>
      </c>
      <c r="AB2963">
        <v>35</v>
      </c>
      <c r="AC2963">
        <v>13.7133</v>
      </c>
      <c r="AD2963">
        <v>-1.109064046261</v>
      </c>
      <c r="AE2963">
        <v>-3.7161000000000102</v>
      </c>
      <c r="AF2963">
        <v>4.0928158675771398</v>
      </c>
      <c r="AG2963">
        <v>-1.109064046261</v>
      </c>
      <c r="AH2963">
        <v>13.5157357089724</v>
      </c>
      <c r="AI2963">
        <v>94.490529867490807</v>
      </c>
      <c r="AJ2963">
        <v>73.1527125724283</v>
      </c>
      <c r="AK2963">
        <v>14.165319500081599</v>
      </c>
      <c r="AL2963">
        <v>79.272897438460504</v>
      </c>
      <c r="AM2963">
        <v>80.490278233157696</v>
      </c>
      <c r="AN2963">
        <v>1.00000000601477</v>
      </c>
    </row>
    <row r="2964" spans="1:40" x14ac:dyDescent="0.25">
      <c r="A2964" t="str">
        <f>"20190312172719472"</f>
        <v>20190312172719472</v>
      </c>
      <c r="B2964" t="str">
        <f>"1552382839461708"</f>
        <v>1552382839461708</v>
      </c>
      <c r="C2964" t="s">
        <v>40</v>
      </c>
      <c r="D2964">
        <v>3.4741979999999999</v>
      </c>
      <c r="E2964">
        <v>0.55662780000000001</v>
      </c>
      <c r="F2964" t="s">
        <v>47</v>
      </c>
      <c r="G2964">
        <v>-207.76349999999999</v>
      </c>
      <c r="H2964" s="1">
        <v>5.9494229999999997E-6</v>
      </c>
      <c r="I2964">
        <v>211.303</v>
      </c>
      <c r="J2964">
        <v>-221.1688</v>
      </c>
      <c r="K2964">
        <v>1.109</v>
      </c>
      <c r="L2964">
        <v>215.00479999999999</v>
      </c>
      <c r="M2964">
        <v>0.99944999999999995</v>
      </c>
      <c r="N2964">
        <v>0</v>
      </c>
      <c r="O2964">
        <v>2.800799E-2</v>
      </c>
      <c r="P2964">
        <v>0.97618380000000005</v>
      </c>
      <c r="Q2964">
        <v>0.16814200000000001</v>
      </c>
      <c r="R2964">
        <v>-0.13709009999999999</v>
      </c>
      <c r="S2964">
        <v>3.0042879999999998</v>
      </c>
      <c r="T2964">
        <v>-0.24287619999999999</v>
      </c>
      <c r="U2964">
        <v>-0.80896000000000001</v>
      </c>
      <c r="V2964">
        <v>0.1649928</v>
      </c>
      <c r="W2964">
        <v>0.18483069999999999</v>
      </c>
      <c r="X2964">
        <v>0.9688215</v>
      </c>
      <c r="Y2964">
        <v>0.28599730000000001</v>
      </c>
      <c r="Z2964">
        <v>-1.356402E-2</v>
      </c>
      <c r="AA2964">
        <v>0.95813440000000005</v>
      </c>
      <c r="AB2964">
        <v>35</v>
      </c>
      <c r="AC2964">
        <v>13.4053</v>
      </c>
      <c r="AD2964">
        <v>-1.108994050577</v>
      </c>
      <c r="AE2964">
        <v>-3.7017999999999902</v>
      </c>
      <c r="AF2964">
        <v>4.05010733303856</v>
      </c>
      <c r="AG2964">
        <v>-1.108994050577</v>
      </c>
      <c r="AH2964">
        <v>13.212325730033401</v>
      </c>
      <c r="AI2964">
        <v>94.588183586166906</v>
      </c>
      <c r="AJ2964">
        <v>72.957598895596703</v>
      </c>
      <c r="AK2964">
        <v>13.8635777636889</v>
      </c>
      <c r="AL2964">
        <v>79.348738593936105</v>
      </c>
      <c r="AM2964">
        <v>80.335105981311699</v>
      </c>
      <c r="AN2964">
        <v>1.00000005528828</v>
      </c>
    </row>
    <row r="2965" spans="1:40" x14ac:dyDescent="0.25">
      <c r="A2965" t="str">
        <f>"20190312172719496"</f>
        <v>20190312172719496</v>
      </c>
      <c r="B2965" t="str">
        <f>"1552382839491964"</f>
        <v>1552382839491964</v>
      </c>
      <c r="C2965" t="s">
        <v>40</v>
      </c>
      <c r="D2965">
        <v>3.4775209999999999</v>
      </c>
      <c r="E2965">
        <v>0.55703789999999997</v>
      </c>
      <c r="F2965" t="s">
        <v>47</v>
      </c>
      <c r="G2965">
        <v>-207.98670000000001</v>
      </c>
      <c r="H2965" s="1">
        <v>6.0490330000000003E-6</v>
      </c>
      <c r="I2965">
        <v>211.2962</v>
      </c>
      <c r="J2965">
        <v>-220.78819999999999</v>
      </c>
      <c r="K2965">
        <v>1.108892</v>
      </c>
      <c r="L2965">
        <v>215.01339999999999</v>
      </c>
      <c r="M2965">
        <v>0.99949310000000002</v>
      </c>
      <c r="N2965">
        <v>0</v>
      </c>
      <c r="O2965">
        <v>2.6104200000000001E-2</v>
      </c>
      <c r="P2965">
        <v>0.97569139999999999</v>
      </c>
      <c r="Q2965">
        <v>0.16718269999999999</v>
      </c>
      <c r="R2965">
        <v>-0.14169129999999899</v>
      </c>
      <c r="S2965">
        <v>2.9981840000000002</v>
      </c>
      <c r="T2965">
        <v>-0.25223449999999997</v>
      </c>
      <c r="U2965">
        <v>-0.84350590000000003</v>
      </c>
      <c r="V2965">
        <v>0.16779630000000001</v>
      </c>
      <c r="W2965">
        <v>0.18424389999999999</v>
      </c>
      <c r="X2965">
        <v>0.96845170000000003</v>
      </c>
      <c r="Y2965">
        <v>0.29481279999999999</v>
      </c>
      <c r="Z2965">
        <v>-1.4297600000000001E-2</v>
      </c>
      <c r="AA2965">
        <v>0.95544810000000002</v>
      </c>
      <c r="AB2965">
        <v>35</v>
      </c>
      <c r="AC2965">
        <v>12.8014999999999</v>
      </c>
      <c r="AD2965">
        <v>-1.1088859509669999</v>
      </c>
      <c r="AE2965">
        <v>-3.7171999999999898</v>
      </c>
      <c r="AF2965">
        <v>4.0223274114365797</v>
      </c>
      <c r="AG2965">
        <v>-1.1088859509669999</v>
      </c>
      <c r="AH2965">
        <v>12.612806871459201</v>
      </c>
      <c r="AI2965">
        <v>94.787987704504005</v>
      </c>
      <c r="AJ2965">
        <v>72.312091719338198</v>
      </c>
      <c r="AK2965">
        <v>13.2850157332904</v>
      </c>
      <c r="AL2965">
        <v>79.382947259871301</v>
      </c>
      <c r="AM2965">
        <v>80.170379756183493</v>
      </c>
      <c r="AN2965">
        <v>1.0000000541068901</v>
      </c>
    </row>
    <row r="2966" spans="1:40" x14ac:dyDescent="0.25">
      <c r="A2966" t="str">
        <f>"20190312172719516"</f>
        <v>20190312172719516</v>
      </c>
      <c r="B2966" t="str">
        <f>"1552382839512460"</f>
        <v>1552382839512460</v>
      </c>
      <c r="C2966" t="s">
        <v>40</v>
      </c>
      <c r="D2966">
        <v>3.4785900000000001</v>
      </c>
      <c r="E2966">
        <v>0.55736960000000002</v>
      </c>
      <c r="F2966" t="s">
        <v>47</v>
      </c>
      <c r="G2966">
        <v>-207.56649999999999</v>
      </c>
      <c r="H2966" s="1">
        <v>5.8707179999999996E-6</v>
      </c>
      <c r="I2966">
        <v>211.20439999999999</v>
      </c>
      <c r="J2966">
        <v>-220.4828</v>
      </c>
      <c r="K2966">
        <v>1.108789</v>
      </c>
      <c r="L2966">
        <v>215.0197</v>
      </c>
      <c r="M2966">
        <v>0.99952949999999996</v>
      </c>
      <c r="N2966">
        <v>0</v>
      </c>
      <c r="O2966">
        <v>2.4411189999999999E-2</v>
      </c>
      <c r="P2966">
        <v>0.97517560000000003</v>
      </c>
      <c r="Q2966">
        <v>0.1660703</v>
      </c>
      <c r="R2966">
        <v>-0.14647070000000001</v>
      </c>
      <c r="S2966">
        <v>2.9925229999999998</v>
      </c>
      <c r="T2966">
        <v>-0.25097969999999997</v>
      </c>
      <c r="U2966">
        <v>-0.86212160000000004</v>
      </c>
      <c r="V2966">
        <v>0.17097379999999901</v>
      </c>
      <c r="W2966">
        <v>0.18340020000000001</v>
      </c>
      <c r="X2966">
        <v>0.96805600000000003</v>
      </c>
      <c r="Y2966">
        <v>0.29916039999999999</v>
      </c>
      <c r="Z2966">
        <v>-1.427995E-2</v>
      </c>
      <c r="AA2966">
        <v>0.95409600000000006</v>
      </c>
      <c r="AB2966">
        <v>35</v>
      </c>
      <c r="AC2966">
        <v>12.9163</v>
      </c>
      <c r="AD2966">
        <v>-1.1087831292820001</v>
      </c>
      <c r="AE2966">
        <v>-3.8153000000000001</v>
      </c>
      <c r="AF2966">
        <v>4.1017188221217804</v>
      </c>
      <c r="AG2966">
        <v>-1.1087831292820001</v>
      </c>
      <c r="AH2966">
        <v>12.732996354488799</v>
      </c>
      <c r="AI2966">
        <v>94.738139196231401</v>
      </c>
      <c r="AJ2966">
        <v>72.144535192402302</v>
      </c>
      <c r="AK2966">
        <v>13.4232147225228</v>
      </c>
      <c r="AL2966">
        <v>79.432125649371798</v>
      </c>
      <c r="AM2966">
        <v>79.983962265345994</v>
      </c>
      <c r="AN2966">
        <v>1.00000004639123</v>
      </c>
    </row>
    <row r="2967" spans="1:40" x14ac:dyDescent="0.25">
      <c r="A2967" t="str">
        <f>"20190312172719537"</f>
        <v>20190312172719537</v>
      </c>
      <c r="B2967" t="str">
        <f>"1552382839531980"</f>
        <v>1552382839531980</v>
      </c>
      <c r="C2967" t="s">
        <v>40</v>
      </c>
      <c r="D2967">
        <v>3.466809</v>
      </c>
      <c r="E2967">
        <v>0.55759590000000003</v>
      </c>
      <c r="F2967" t="s">
        <v>47</v>
      </c>
      <c r="G2967">
        <v>-207.43979999999999</v>
      </c>
      <c r="H2967" s="1">
        <v>5.816701E-6</v>
      </c>
      <c r="I2967">
        <v>211.17959999999999</v>
      </c>
      <c r="J2967">
        <v>-220.15629999999999</v>
      </c>
      <c r="K2967">
        <v>1.1086590000000001</v>
      </c>
      <c r="L2967">
        <v>215.0256</v>
      </c>
      <c r="M2967">
        <v>0.99956920000000005</v>
      </c>
      <c r="N2967">
        <v>0</v>
      </c>
      <c r="O2967">
        <v>2.2423970000000001E-2</v>
      </c>
      <c r="P2967">
        <v>0.97457740000000004</v>
      </c>
      <c r="Q2967">
        <v>0.1649379</v>
      </c>
      <c r="R2967">
        <v>-0.15163950000000001</v>
      </c>
      <c r="S2967">
        <v>2.9875029999999998</v>
      </c>
      <c r="T2967">
        <v>-0.25396780000000002</v>
      </c>
      <c r="U2967">
        <v>-0.87957759999999996</v>
      </c>
      <c r="V2967">
        <v>0.17426359999999999</v>
      </c>
      <c r="W2967">
        <v>0.182533</v>
      </c>
      <c r="X2967">
        <v>0.96763310000000002</v>
      </c>
      <c r="Y2967">
        <v>0.30279479999999998</v>
      </c>
      <c r="Z2967">
        <v>-1.4446769999999999E-2</v>
      </c>
      <c r="AA2967">
        <v>0.95294619999999997</v>
      </c>
      <c r="AB2967">
        <v>35</v>
      </c>
      <c r="AC2967">
        <v>12.7164999999999</v>
      </c>
      <c r="AD2967">
        <v>-1.1086531832989901</v>
      </c>
      <c r="AE2967">
        <v>-3.8460000000000001</v>
      </c>
      <c r="AF2967">
        <v>4.1016750384930303</v>
      </c>
      <c r="AG2967">
        <v>-1.1086531832989901</v>
      </c>
      <c r="AH2967">
        <v>12.5397196037688</v>
      </c>
      <c r="AI2967">
        <v>94.803296616715699</v>
      </c>
      <c r="AJ2967">
        <v>71.887356859254197</v>
      </c>
      <c r="AK2967">
        <v>13.239993117195301</v>
      </c>
      <c r="AL2967">
        <v>79.482664761221102</v>
      </c>
      <c r="AM2967">
        <v>79.790885031585702</v>
      </c>
      <c r="AN2967">
        <v>0.99999995729478397</v>
      </c>
    </row>
    <row r="2968" spans="1:40" x14ac:dyDescent="0.25">
      <c r="A2968" t="str">
        <f>"20190312172719562"</f>
        <v>20190312172719562</v>
      </c>
      <c r="B2968" t="str">
        <f>"1552382839552476"</f>
        <v>1552382839552476</v>
      </c>
      <c r="C2968" t="s">
        <v>40</v>
      </c>
      <c r="D2968">
        <v>3.4771610000000002</v>
      </c>
      <c r="E2968">
        <v>0.55773729999999999</v>
      </c>
      <c r="F2968" t="s">
        <v>47</v>
      </c>
      <c r="G2968">
        <v>-207.32910000000001</v>
      </c>
      <c r="H2968" s="1">
        <v>5.7683959999999996E-6</v>
      </c>
      <c r="I2968">
        <v>211.1705</v>
      </c>
      <c r="J2968">
        <v>-219.77269999999999</v>
      </c>
      <c r="K2968">
        <v>1.1084989999999999</v>
      </c>
      <c r="L2968">
        <v>215.03149999999999</v>
      </c>
      <c r="M2968">
        <v>0.9996157</v>
      </c>
      <c r="N2968">
        <v>0</v>
      </c>
      <c r="O2968">
        <v>1.9846099999999998E-2</v>
      </c>
      <c r="P2968">
        <v>0.97379020000000005</v>
      </c>
      <c r="Q2968">
        <v>0.16390560000000001</v>
      </c>
      <c r="R2968">
        <v>-0.157695</v>
      </c>
      <c r="S2968">
        <v>2.9824069999999998</v>
      </c>
      <c r="T2968">
        <v>-0.2577701</v>
      </c>
      <c r="U2968">
        <v>-0.89634699999999901</v>
      </c>
      <c r="V2968">
        <v>0.17788219999999999</v>
      </c>
      <c r="W2968">
        <v>0.18179690000000001</v>
      </c>
      <c r="X2968">
        <v>0.96711309999999995</v>
      </c>
      <c r="Y2968">
        <v>0.30566480000000001</v>
      </c>
      <c r="Z2968">
        <v>-1.4578020000000001E-2</v>
      </c>
      <c r="AA2968">
        <v>0.95202759999999997</v>
      </c>
      <c r="AB2968">
        <v>35</v>
      </c>
      <c r="AC2968">
        <v>12.443599999999901</v>
      </c>
      <c r="AD2968">
        <v>-1.1084932316039999</v>
      </c>
      <c r="AE2968">
        <v>-3.86099999999999</v>
      </c>
      <c r="AF2968">
        <v>4.0777254211335201</v>
      </c>
      <c r="AG2968">
        <v>-1.1084932316039999</v>
      </c>
      <c r="AH2968">
        <v>12.275649518865301</v>
      </c>
      <c r="AI2968">
        <v>94.898044823486899</v>
      </c>
      <c r="AJ2968">
        <v>71.624544070409698</v>
      </c>
      <c r="AK2968">
        <v>12.9826104064124</v>
      </c>
      <c r="AL2968">
        <v>79.525558000305395</v>
      </c>
      <c r="AM2968">
        <v>79.578008566563199</v>
      </c>
      <c r="AN2968">
        <v>0.99999996905902899</v>
      </c>
    </row>
    <row r="2969" spans="1:40" x14ac:dyDescent="0.25">
      <c r="A2969" t="str">
        <f>"20190312172719582"</f>
        <v>20190312172719582</v>
      </c>
      <c r="B2969" t="str">
        <f>"1552382839571996"</f>
        <v>1552382839571996</v>
      </c>
      <c r="C2969" t="s">
        <v>40</v>
      </c>
      <c r="D2969">
        <v>3.4892219999999998</v>
      </c>
      <c r="E2969">
        <v>0.55790130000000004</v>
      </c>
      <c r="F2969" t="s">
        <v>47</v>
      </c>
      <c r="G2969">
        <v>-207.12100000000001</v>
      </c>
      <c r="H2969" s="1">
        <v>5.6788789999999898E-6</v>
      </c>
      <c r="I2969">
        <v>211.13849999999999</v>
      </c>
      <c r="J2969">
        <v>-219.4632</v>
      </c>
      <c r="K2969">
        <v>1.1083609999999999</v>
      </c>
      <c r="L2969">
        <v>215.03530000000001</v>
      </c>
      <c r="M2969">
        <v>0.99965199999999999</v>
      </c>
      <c r="N2969">
        <v>0</v>
      </c>
      <c r="O2969">
        <v>1.7553920000000001E-2</v>
      </c>
      <c r="P2969">
        <v>0.97300620000000004</v>
      </c>
      <c r="Q2969">
        <v>0.1634958</v>
      </c>
      <c r="R2969">
        <v>-0.16287570000000001</v>
      </c>
      <c r="S2969">
        <v>2.976334</v>
      </c>
      <c r="T2969">
        <v>-0.26077329999999999</v>
      </c>
      <c r="U2969">
        <v>-0.91583250000000005</v>
      </c>
      <c r="V2969">
        <v>0.180895</v>
      </c>
      <c r="W2969">
        <v>0.18161540000000001</v>
      </c>
      <c r="X2969">
        <v>0.96658829999999996</v>
      </c>
      <c r="Y2969">
        <v>0.3096855</v>
      </c>
      <c r="Z2969">
        <v>-1.473794E-2</v>
      </c>
      <c r="AA2969">
        <v>0.95072480000000004</v>
      </c>
      <c r="AB2969">
        <v>34</v>
      </c>
      <c r="AC2969">
        <v>12.3422</v>
      </c>
      <c r="AD2969">
        <v>-1.108355321121</v>
      </c>
      <c r="AE2969">
        <v>-3.89680000000001</v>
      </c>
      <c r="AF2969">
        <v>4.0829534797785403</v>
      </c>
      <c r="AG2969">
        <v>-1.108355321121</v>
      </c>
      <c r="AH2969">
        <v>12.182540916885401</v>
      </c>
      <c r="AI2969">
        <v>94.930310795820304</v>
      </c>
      <c r="AJ2969">
        <v>71.471529851178104</v>
      </c>
      <c r="AK2969">
        <v>12.8962499908881</v>
      </c>
      <c r="AL2969">
        <v>79.536134068446898</v>
      </c>
      <c r="AM2969">
        <v>79.399832971714005</v>
      </c>
      <c r="AN2969">
        <v>1.0000000481195199</v>
      </c>
    </row>
    <row r="2970" spans="1:40" x14ac:dyDescent="0.25">
      <c r="A2970" t="str">
        <f>"20190312172719607"</f>
        <v>20190312172719607</v>
      </c>
      <c r="B2970" t="str">
        <f>"1552382839602253"</f>
        <v>1552382839602253</v>
      </c>
      <c r="C2970" t="s">
        <v>40</v>
      </c>
      <c r="D2970">
        <v>3.487428</v>
      </c>
      <c r="E2970">
        <v>0.55810719999999903</v>
      </c>
      <c r="F2970" t="s">
        <v>47</v>
      </c>
      <c r="G2970">
        <v>-206.81360000000001</v>
      </c>
      <c r="H2970" s="1">
        <v>5.549461E-6</v>
      </c>
      <c r="I2970">
        <v>211.05959999999999</v>
      </c>
      <c r="J2970">
        <v>-219.0881</v>
      </c>
      <c r="K2970">
        <v>1.108195</v>
      </c>
      <c r="L2970">
        <v>215.03870000000001</v>
      </c>
      <c r="M2970">
        <v>0.99969269999999999</v>
      </c>
      <c r="N2970">
        <v>0</v>
      </c>
      <c r="O2970">
        <v>1.452934E-2</v>
      </c>
      <c r="P2970">
        <v>0.97212829999999995</v>
      </c>
      <c r="Q2970">
        <v>0.1627094</v>
      </c>
      <c r="R2970">
        <v>-0.168798</v>
      </c>
      <c r="S2970">
        <v>2.9706570000000001</v>
      </c>
      <c r="T2970">
        <v>-0.26028869999999998</v>
      </c>
      <c r="U2970">
        <v>-0.93365480000000001</v>
      </c>
      <c r="V2970">
        <v>0.18395690000000001</v>
      </c>
      <c r="W2970">
        <v>0.1810977</v>
      </c>
      <c r="X2970">
        <v>0.96610739999999995</v>
      </c>
      <c r="Y2970">
        <v>0.31252239999999998</v>
      </c>
      <c r="Z2970">
        <v>-1.458717E-2</v>
      </c>
      <c r="AA2970">
        <v>0.94979829999999998</v>
      </c>
      <c r="AB2970">
        <v>34</v>
      </c>
      <c r="AC2970">
        <v>12.2744999999999</v>
      </c>
      <c r="AD2970">
        <v>-1.108189450539</v>
      </c>
      <c r="AE2970">
        <v>-3.9791000000000101</v>
      </c>
      <c r="AF2970">
        <v>4.1266181172497003</v>
      </c>
      <c r="AG2970">
        <v>-1.108189450539</v>
      </c>
      <c r="AH2970">
        <v>12.125937184055299</v>
      </c>
      <c r="AI2970">
        <v>94.944763079799699</v>
      </c>
      <c r="AJ2970">
        <v>71.205875857240002</v>
      </c>
      <c r="AK2970">
        <v>12.856726392653499</v>
      </c>
      <c r="AL2970">
        <v>79.566295890910496</v>
      </c>
      <c r="AM2970">
        <v>79.219339517088699</v>
      </c>
      <c r="AN2970">
        <v>1.00000001316883</v>
      </c>
    </row>
    <row r="2971" spans="1:40" x14ac:dyDescent="0.25">
      <c r="A2971" t="str">
        <f>"20190312172719633"</f>
        <v>20190312172719633</v>
      </c>
      <c r="B2971" t="str">
        <f>"1552382839621773"</f>
        <v>1552382839621773</v>
      </c>
      <c r="C2971" t="s">
        <v>40</v>
      </c>
      <c r="D2971">
        <v>3.5045760000000001</v>
      </c>
      <c r="E2971">
        <v>0.55829949999999995</v>
      </c>
      <c r="F2971" t="s">
        <v>47</v>
      </c>
      <c r="G2971">
        <v>-206.53530000000001</v>
      </c>
      <c r="H2971" s="1">
        <v>5.4311779999999996E-6</v>
      </c>
      <c r="I2971">
        <v>211.001</v>
      </c>
      <c r="J2971">
        <v>-218.69210000000001</v>
      </c>
      <c r="K2971">
        <v>1.1080209999999999</v>
      </c>
      <c r="L2971">
        <v>215.04050000000001</v>
      </c>
      <c r="M2971">
        <v>0.99972930000000004</v>
      </c>
      <c r="N2971">
        <v>0</v>
      </c>
      <c r="O2971">
        <v>1.0997689999999999E-2</v>
      </c>
      <c r="P2971">
        <v>0.97090670000000001</v>
      </c>
      <c r="Q2971">
        <v>0.16321329999999901</v>
      </c>
      <c r="R2971">
        <v>-0.17521879999999901</v>
      </c>
      <c r="S2971">
        <v>2.964264</v>
      </c>
      <c r="T2971">
        <v>-0.26169110000000001</v>
      </c>
      <c r="U2971">
        <v>-0.95347599999999999</v>
      </c>
      <c r="V2971">
        <v>0.18704029999999999</v>
      </c>
      <c r="W2971">
        <v>0.1818639</v>
      </c>
      <c r="X2971">
        <v>0.96537110000000004</v>
      </c>
      <c r="Y2971">
        <v>0.31550729999999999</v>
      </c>
      <c r="Z2971">
        <v>-1.4505489999999999E-2</v>
      </c>
      <c r="AA2971">
        <v>0.94881230000000005</v>
      </c>
      <c r="AB2971">
        <v>34</v>
      </c>
      <c r="AC2971">
        <v>12.1568</v>
      </c>
      <c r="AD2971">
        <v>-1.1080155688219999</v>
      </c>
      <c r="AE2971">
        <v>-4.0395000000000296</v>
      </c>
      <c r="AF2971">
        <v>4.1419935110764996</v>
      </c>
      <c r="AG2971">
        <v>-1.1080155688219999</v>
      </c>
      <c r="AH2971">
        <v>12.021693756451</v>
      </c>
      <c r="AI2971">
        <v>94.980218421607901</v>
      </c>
      <c r="AJ2971">
        <v>70.988954917138201</v>
      </c>
      <c r="AK2971">
        <v>12.7634215444153</v>
      </c>
      <c r="AL2971">
        <v>79.521653969776906</v>
      </c>
      <c r="AM2971">
        <v>79.034823371899705</v>
      </c>
      <c r="AN2971">
        <v>0.99999995633125405</v>
      </c>
    </row>
    <row r="2972" spans="1:40" x14ac:dyDescent="0.25">
      <c r="A2972" t="str">
        <f>"20190312172719654"</f>
        <v>20190312172719654</v>
      </c>
      <c r="B2972" t="str">
        <f>"1552382839652028"</f>
        <v>1552382839652028</v>
      </c>
      <c r="C2972" t="s">
        <v>40</v>
      </c>
      <c r="D2972">
        <v>3.5155020000000001</v>
      </c>
      <c r="E2972">
        <v>0.55852500000000005</v>
      </c>
      <c r="F2972" t="s">
        <v>47</v>
      </c>
      <c r="G2972">
        <v>-206.0727</v>
      </c>
      <c r="H2972" s="1">
        <v>5.236423E-6</v>
      </c>
      <c r="I2972">
        <v>210.88210000000001</v>
      </c>
      <c r="J2972">
        <v>-218.37209999999999</v>
      </c>
      <c r="K2972">
        <v>1.1078809999999999</v>
      </c>
      <c r="L2972">
        <v>215.04079999999999</v>
      </c>
      <c r="M2972">
        <v>0.99975219999999998</v>
      </c>
      <c r="N2972">
        <v>0</v>
      </c>
      <c r="O2972">
        <v>7.9264119999999903E-3</v>
      </c>
      <c r="P2972">
        <v>0.96984930000000003</v>
      </c>
      <c r="Q2972">
        <v>0.163993</v>
      </c>
      <c r="R2972">
        <v>-0.1802733</v>
      </c>
      <c r="S2972">
        <v>2.9576570000000002</v>
      </c>
      <c r="T2972">
        <v>-0.25968839999999999</v>
      </c>
      <c r="U2972">
        <v>-0.97462459999999995</v>
      </c>
      <c r="V2972">
        <v>0.18919259999999999</v>
      </c>
      <c r="W2972">
        <v>0.18283679999999999</v>
      </c>
      <c r="X2972">
        <v>0.96476779999999995</v>
      </c>
      <c r="Y2972">
        <v>0.31935469999999999</v>
      </c>
      <c r="Z2972">
        <v>-1.431167E-2</v>
      </c>
      <c r="AA2972">
        <v>0.94752720000000001</v>
      </c>
      <c r="AB2972">
        <v>34</v>
      </c>
      <c r="AC2972">
        <v>12.299399999999901</v>
      </c>
      <c r="AD2972">
        <v>-1.10787576357699</v>
      </c>
      <c r="AE2972">
        <v>-4.1586999999999801</v>
      </c>
      <c r="AF2972">
        <v>4.22531523019794</v>
      </c>
      <c r="AG2972">
        <v>-1.10787576357699</v>
      </c>
      <c r="AH2972">
        <v>12.1773770747391</v>
      </c>
      <c r="AI2972">
        <v>94.912563541475507</v>
      </c>
      <c r="AJ2972">
        <v>70.864211078603603</v>
      </c>
      <c r="AK2972">
        <v>12.937124484306599</v>
      </c>
      <c r="AL2972">
        <v>79.464961049819095</v>
      </c>
      <c r="AM2972">
        <v>78.904993484348495</v>
      </c>
      <c r="AN2972">
        <v>1.0000000216229099</v>
      </c>
    </row>
    <row r="2973" spans="1:40" x14ac:dyDescent="0.25">
      <c r="A2973" t="str">
        <f>"20190312172719673"</f>
        <v>20190312172719673</v>
      </c>
      <c r="B2973" t="str">
        <f>"1552382839661789"</f>
        <v>1552382839661789</v>
      </c>
      <c r="C2973" t="s">
        <v>40</v>
      </c>
      <c r="D2973">
        <v>3.4747349999999999</v>
      </c>
      <c r="E2973">
        <v>0.55858099999999999</v>
      </c>
      <c r="F2973" t="s">
        <v>47</v>
      </c>
      <c r="G2973">
        <v>-205.6628</v>
      </c>
      <c r="H2973" s="1">
        <v>5.0643500000000001E-6</v>
      </c>
      <c r="I2973">
        <v>210.77109999999999</v>
      </c>
      <c r="J2973">
        <v>-218.0899</v>
      </c>
      <c r="K2973">
        <v>1.107774</v>
      </c>
      <c r="L2973">
        <v>215.04</v>
      </c>
      <c r="M2973">
        <v>0.99976549999999997</v>
      </c>
      <c r="N2973">
        <v>0</v>
      </c>
      <c r="O2973">
        <v>5.0762339999999998E-3</v>
      </c>
      <c r="P2973">
        <v>0.9688156</v>
      </c>
      <c r="Q2973">
        <v>0.163236299999999</v>
      </c>
      <c r="R2973">
        <v>-0.186414</v>
      </c>
      <c r="S2973">
        <v>2.952423</v>
      </c>
      <c r="T2973">
        <v>-0.25736300000000001</v>
      </c>
      <c r="U2973">
        <v>-0.99185179999999995</v>
      </c>
      <c r="V2973">
        <v>0.1926245</v>
      </c>
      <c r="W2973">
        <v>0.182224</v>
      </c>
      <c r="X2973">
        <v>0.96420439999999996</v>
      </c>
      <c r="Y2973">
        <v>0.3221482</v>
      </c>
      <c r="Z2973">
        <v>-1.4071810000000001E-2</v>
      </c>
      <c r="AA2973">
        <v>0.9465846</v>
      </c>
      <c r="AB2973">
        <v>34</v>
      </c>
      <c r="AC2973">
        <v>12.4270999999999</v>
      </c>
      <c r="AD2973">
        <v>-1.10776893565</v>
      </c>
      <c r="AE2973">
        <v>-4.2689000000000004</v>
      </c>
      <c r="AF2973">
        <v>4.3013699079651602</v>
      </c>
      <c r="AG2973">
        <v>-1.10776893565</v>
      </c>
      <c r="AH2973">
        <v>12.3177171023739</v>
      </c>
      <c r="AI2973">
        <v>94.853064350446601</v>
      </c>
      <c r="AJ2973">
        <v>70.750702617156094</v>
      </c>
      <c r="AK2973">
        <v>13.094086058754</v>
      </c>
      <c r="AL2973">
        <v>79.500671125155307</v>
      </c>
      <c r="AM2973">
        <v>78.702431441723107</v>
      </c>
      <c r="AN2973">
        <v>0.999999954577803</v>
      </c>
    </row>
    <row r="2974" spans="1:40" x14ac:dyDescent="0.25">
      <c r="A2974" t="str">
        <f>"20190312172719693"</f>
        <v>20190312172719693</v>
      </c>
      <c r="B2974" t="str">
        <f>"1552382839682285"</f>
        <v>1552382839682285</v>
      </c>
      <c r="C2974" t="s">
        <v>40</v>
      </c>
      <c r="D2974">
        <v>3.50814</v>
      </c>
      <c r="E2974">
        <v>0.5587299</v>
      </c>
      <c r="F2974" t="s">
        <v>47</v>
      </c>
      <c r="G2974">
        <v>-205.56110000000001</v>
      </c>
      <c r="H2974" s="1">
        <v>5.0217050000000001E-6</v>
      </c>
      <c r="I2974">
        <v>210.7432</v>
      </c>
      <c r="J2974">
        <v>-217.785</v>
      </c>
      <c r="K2974">
        <v>1.1076619999999999</v>
      </c>
      <c r="L2974">
        <v>215.03809999999999</v>
      </c>
      <c r="M2974">
        <v>0.99977139999999998</v>
      </c>
      <c r="N2974">
        <v>0</v>
      </c>
      <c r="O2974">
        <v>1.841222E-3</v>
      </c>
      <c r="P2974">
        <v>0.96763250000000001</v>
      </c>
      <c r="Q2974">
        <v>0.1639398</v>
      </c>
      <c r="R2974">
        <v>-0.19186239999999999</v>
      </c>
      <c r="S2974">
        <v>2.9460449999999998</v>
      </c>
      <c r="T2974">
        <v>-0.26048290000000002</v>
      </c>
      <c r="U2974">
        <v>-1.0103610000000001</v>
      </c>
      <c r="V2974">
        <v>0.19500480000000001</v>
      </c>
      <c r="W2974">
        <v>0.18307309999999999</v>
      </c>
      <c r="X2974">
        <v>0.96356489999999995</v>
      </c>
      <c r="Y2974">
        <v>0.3250072</v>
      </c>
      <c r="Z2974">
        <v>-1.4101900000000001E-2</v>
      </c>
      <c r="AA2974">
        <v>0.94560639999999996</v>
      </c>
      <c r="AB2974">
        <v>33</v>
      </c>
      <c r="AC2974">
        <v>12.223899999999899</v>
      </c>
      <c r="AD2974">
        <v>-1.1076569782950001</v>
      </c>
      <c r="AE2974">
        <v>-4.2948999999999797</v>
      </c>
      <c r="AF2974">
        <v>4.2860792429362702</v>
      </c>
      <c r="AG2974">
        <v>-1.1076569782950001</v>
      </c>
      <c r="AH2974">
        <v>12.127335044362701</v>
      </c>
      <c r="AI2974">
        <v>94.9219132054574</v>
      </c>
      <c r="AJ2974">
        <v>70.535419915887502</v>
      </c>
      <c r="AK2974">
        <v>12.9100594319516</v>
      </c>
      <c r="AL2974">
        <v>79.451189107847796</v>
      </c>
      <c r="AM2974">
        <v>78.559092205637597</v>
      </c>
      <c r="AN2974">
        <v>0.99999997423932896</v>
      </c>
    </row>
    <row r="2975" spans="1:40" x14ac:dyDescent="0.25">
      <c r="A2975" t="str">
        <f>"20190312172719717"</f>
        <v>20190312172719717</v>
      </c>
      <c r="B2975" t="str">
        <f>"1552382839712541"</f>
        <v>1552382839712541</v>
      </c>
      <c r="C2975" t="s">
        <v>40</v>
      </c>
      <c r="D2975">
        <v>3.4980730000000002</v>
      </c>
      <c r="E2975">
        <v>0.55893700000000002</v>
      </c>
      <c r="F2975" t="s">
        <v>47</v>
      </c>
      <c r="G2975">
        <v>-205.18190000000001</v>
      </c>
      <c r="H2975" s="1">
        <v>4.8634610000000001E-6</v>
      </c>
      <c r="I2975">
        <v>210.62960000000001</v>
      </c>
      <c r="J2975">
        <v>-217.44329999999999</v>
      </c>
      <c r="K2975">
        <v>1.107545</v>
      </c>
      <c r="L2975">
        <v>215.03450000000001</v>
      </c>
      <c r="M2975">
        <v>0.99976580000000004</v>
      </c>
      <c r="N2975">
        <v>0</v>
      </c>
      <c r="O2975">
        <v>-1.9700519999999999E-3</v>
      </c>
      <c r="P2975">
        <v>0.96637019999999996</v>
      </c>
      <c r="Q2975">
        <v>0.16443640000000001</v>
      </c>
      <c r="R2975">
        <v>-0.19771130000000001</v>
      </c>
      <c r="S2975">
        <v>2.9402010000000001</v>
      </c>
      <c r="T2975">
        <v>-0.25840649999999998</v>
      </c>
      <c r="U2975">
        <v>-1.0284580000000001</v>
      </c>
      <c r="V2975">
        <v>0.1972341</v>
      </c>
      <c r="W2975">
        <v>0.18371709999999999</v>
      </c>
      <c r="X2975">
        <v>0.96298839999999997</v>
      </c>
      <c r="Y2975">
        <v>0.32719749999999997</v>
      </c>
      <c r="Z2975">
        <v>-1.3770950000000001E-2</v>
      </c>
      <c r="AA2975">
        <v>0.94485560000000002</v>
      </c>
      <c r="AB2975">
        <v>33</v>
      </c>
      <c r="AC2975">
        <v>12.261399999999901</v>
      </c>
      <c r="AD2975">
        <v>-1.1075401365390001</v>
      </c>
      <c r="AE2975">
        <v>-4.4048999999999898</v>
      </c>
      <c r="AF2975">
        <v>4.3493004725111302</v>
      </c>
      <c r="AG2975">
        <v>-1.1075401365390001</v>
      </c>
      <c r="AH2975">
        <v>12.1820239616533</v>
      </c>
      <c r="AI2975">
        <v>94.893872712804693</v>
      </c>
      <c r="AJ2975">
        <v>70.352109236520306</v>
      </c>
      <c r="AK2975">
        <v>12.9824792530751</v>
      </c>
      <c r="AL2975">
        <v>79.413653857845901</v>
      </c>
      <c r="AM2975">
        <v>78.425067455625694</v>
      </c>
      <c r="AN2975">
        <v>0.99999996078488895</v>
      </c>
    </row>
    <row r="2976" spans="1:40" x14ac:dyDescent="0.25">
      <c r="A2976" t="str">
        <f>"20190312172719748"</f>
        <v>20190312172719748</v>
      </c>
      <c r="B2976" t="str">
        <f>"1552382839741820"</f>
        <v>1552382839741820</v>
      </c>
      <c r="C2976" t="s">
        <v>40</v>
      </c>
      <c r="D2976">
        <v>3.5366699999999902</v>
      </c>
      <c r="E2976">
        <v>0.55914989999999998</v>
      </c>
      <c r="F2976" t="s">
        <v>47</v>
      </c>
      <c r="G2976">
        <v>-204.81809999999999</v>
      </c>
      <c r="H2976" s="1">
        <v>4.7114390000000003E-6</v>
      </c>
      <c r="I2976">
        <v>210.52340000000001</v>
      </c>
      <c r="J2976">
        <v>-216.97819999999999</v>
      </c>
      <c r="K2976">
        <v>1.107407</v>
      </c>
      <c r="L2976">
        <v>215.0273</v>
      </c>
      <c r="M2976">
        <v>0.99973339999999999</v>
      </c>
      <c r="N2976">
        <v>0</v>
      </c>
      <c r="O2976">
        <v>-7.4283959999999899E-3</v>
      </c>
      <c r="P2976">
        <v>0.96472119999999995</v>
      </c>
      <c r="Q2976">
        <v>0.16457179999999999</v>
      </c>
      <c r="R2976">
        <v>-0.2054967</v>
      </c>
      <c r="S2976">
        <v>2.9337309999999999</v>
      </c>
      <c r="T2976">
        <v>-0.25736029999999999</v>
      </c>
      <c r="U2976">
        <v>-1.0482479999999901</v>
      </c>
      <c r="V2976">
        <v>0.1998297</v>
      </c>
      <c r="W2976">
        <v>0.1840358</v>
      </c>
      <c r="X2976">
        <v>0.96239229999999998</v>
      </c>
      <c r="Y2976">
        <v>0.32837630000000001</v>
      </c>
      <c r="Z2976">
        <v>-1.331543E-2</v>
      </c>
      <c r="AA2976">
        <v>0.94445310000000005</v>
      </c>
      <c r="AB2976">
        <v>33</v>
      </c>
      <c r="AC2976">
        <v>12.1601</v>
      </c>
      <c r="AD2976">
        <v>-1.107402288561</v>
      </c>
      <c r="AE2976">
        <v>-4.5038999999999803</v>
      </c>
      <c r="AF2976">
        <v>4.3814700086055298</v>
      </c>
      <c r="AG2976">
        <v>-1.107402288561</v>
      </c>
      <c r="AH2976">
        <v>12.1049477753795</v>
      </c>
      <c r="AI2976">
        <v>94.916585059467195</v>
      </c>
      <c r="AJ2976">
        <v>70.101924699990604</v>
      </c>
      <c r="AK2976">
        <v>12.9210440719659</v>
      </c>
      <c r="AL2976">
        <v>79.395077492134504</v>
      </c>
      <c r="AM2976">
        <v>78.269870975431701</v>
      </c>
      <c r="AN2976">
        <v>1.00000001189151</v>
      </c>
    </row>
    <row r="2977" spans="1:40" x14ac:dyDescent="0.25">
      <c r="A2977" t="str">
        <f>"20190312172719773"</f>
        <v>20190312172719773</v>
      </c>
      <c r="B2977" t="str">
        <f>"1552382839762316"</f>
        <v>1552382839762316</v>
      </c>
      <c r="C2977" t="s">
        <v>40</v>
      </c>
      <c r="D2977">
        <v>3.480086</v>
      </c>
      <c r="E2977">
        <v>0.55924810000000003</v>
      </c>
      <c r="F2977" t="s">
        <v>47</v>
      </c>
      <c r="G2977">
        <v>-204.36959999999999</v>
      </c>
      <c r="H2977" s="1">
        <v>4.5233990000000004E-6</v>
      </c>
      <c r="I2977">
        <v>210.399</v>
      </c>
      <c r="J2977">
        <v>-216.6241</v>
      </c>
      <c r="K2977">
        <v>1.107318</v>
      </c>
      <c r="L2977">
        <v>215.0197</v>
      </c>
      <c r="M2977">
        <v>0.99968670000000004</v>
      </c>
      <c r="N2977">
        <v>0</v>
      </c>
      <c r="O2977">
        <v>-1.181337E-2</v>
      </c>
      <c r="P2977">
        <v>0.9635378</v>
      </c>
      <c r="Q2977">
        <v>0.1641222</v>
      </c>
      <c r="R2977">
        <v>-0.21132719999999999</v>
      </c>
      <c r="S2977">
        <v>2.9248349999999999</v>
      </c>
      <c r="T2977">
        <v>-0.25688490000000003</v>
      </c>
      <c r="U2977">
        <v>-1.073639</v>
      </c>
      <c r="V2977">
        <v>0.20148340000000001</v>
      </c>
      <c r="W2977">
        <v>0.18371380000000001</v>
      </c>
      <c r="X2977">
        <v>0.96210899999999999</v>
      </c>
      <c r="Y2977">
        <v>0.33239069999999998</v>
      </c>
      <c r="Z2977">
        <v>-1.31082E-2</v>
      </c>
      <c r="AA2977">
        <v>0.94305070000000002</v>
      </c>
      <c r="AB2977">
        <v>33</v>
      </c>
      <c r="AC2977">
        <v>12.2545</v>
      </c>
      <c r="AD2977">
        <v>-1.107313476601</v>
      </c>
      <c r="AE2977">
        <v>-4.6206999999999896</v>
      </c>
      <c r="AF2977">
        <v>4.4438084759276997</v>
      </c>
      <c r="AG2977">
        <v>-1.107313476601</v>
      </c>
      <c r="AH2977">
        <v>12.220882360835001</v>
      </c>
      <c r="AI2977">
        <v>94.867190361078698</v>
      </c>
      <c r="AJ2977">
        <v>70.017509409623798</v>
      </c>
      <c r="AK2977">
        <v>13.050806204352099</v>
      </c>
      <c r="AL2977">
        <v>79.413846888321501</v>
      </c>
      <c r="AM2977">
        <v>78.172136209252301</v>
      </c>
      <c r="AN2977">
        <v>1.0000000243334899</v>
      </c>
    </row>
    <row r="2978" spans="1:40" x14ac:dyDescent="0.25">
      <c r="A2978" t="str">
        <f>"20190312172719795"</f>
        <v>20190312172719795</v>
      </c>
      <c r="B2978" t="str">
        <f>"1552382839791597"</f>
        <v>1552382839791597</v>
      </c>
      <c r="C2978" t="s">
        <v>40</v>
      </c>
      <c r="D2978">
        <v>3.476299</v>
      </c>
      <c r="E2978">
        <v>0.56160489999999996</v>
      </c>
      <c r="F2978" t="s">
        <v>47</v>
      </c>
      <c r="G2978">
        <v>-204.1208</v>
      </c>
      <c r="H2978" s="1">
        <v>4.418273E-6</v>
      </c>
      <c r="I2978">
        <v>210.3398</v>
      </c>
      <c r="J2978">
        <v>-216.29570000000001</v>
      </c>
      <c r="K2978">
        <v>1.1072390000000001</v>
      </c>
      <c r="L2978">
        <v>215.0112</v>
      </c>
      <c r="M2978">
        <v>0.99962419999999996</v>
      </c>
      <c r="N2978">
        <v>0</v>
      </c>
      <c r="O2978">
        <v>-1.6011689999999999E-2</v>
      </c>
      <c r="P2978">
        <v>0.96248880000000003</v>
      </c>
      <c r="Q2978">
        <v>0.16299140000000001</v>
      </c>
      <c r="R2978">
        <v>-0.21690799999999999</v>
      </c>
      <c r="S2978">
        <v>2.9179840000000001</v>
      </c>
      <c r="T2978">
        <v>-0.25842169999999998</v>
      </c>
      <c r="U2978">
        <v>-1.0921780000000001</v>
      </c>
      <c r="V2978">
        <v>0.20305519999999999</v>
      </c>
      <c r="W2978">
        <v>0.18268960000000001</v>
      </c>
      <c r="X2978">
        <v>0.96197350000000004</v>
      </c>
      <c r="Y2978">
        <v>0.33440609999999998</v>
      </c>
      <c r="Z2978">
        <v>-1.2928800000000001E-2</v>
      </c>
      <c r="AA2978">
        <v>0.94234039999999997</v>
      </c>
      <c r="AB2978">
        <v>32</v>
      </c>
      <c r="AC2978">
        <v>12.174899999999999</v>
      </c>
      <c r="AD2978">
        <v>-1.107234581727</v>
      </c>
      <c r="AE2978">
        <v>-4.6714000000000002</v>
      </c>
      <c r="AF2978">
        <v>4.4437746756419099</v>
      </c>
      <c r="AG2978">
        <v>-1.107234581727</v>
      </c>
      <c r="AH2978">
        <v>12.160483577388201</v>
      </c>
      <c r="AI2978">
        <v>94.888077650822098</v>
      </c>
      <c r="AJ2978">
        <v>69.926308275260297</v>
      </c>
      <c r="AK2978">
        <v>12.9942472895807</v>
      </c>
      <c r="AL2978">
        <v>79.473538813184703</v>
      </c>
      <c r="AM2978">
        <v>78.080863398653406</v>
      </c>
      <c r="AN2978">
        <v>0.999999959448724</v>
      </c>
    </row>
    <row r="2979" spans="1:40" x14ac:dyDescent="0.25">
      <c r="A2979" t="str">
        <f>"20190312172719821"</f>
        <v>20190312172719821</v>
      </c>
      <c r="B2979" t="str">
        <f>"1552382839812093"</f>
        <v>1552382839812093</v>
      </c>
      <c r="C2979" t="s">
        <v>40</v>
      </c>
      <c r="D2979">
        <v>3.4863740000000001</v>
      </c>
      <c r="E2979">
        <v>0.56172080000000002</v>
      </c>
      <c r="F2979" t="s">
        <v>47</v>
      </c>
      <c r="G2979">
        <v>-204.33779999999999</v>
      </c>
      <c r="H2979" s="1">
        <v>4.511242E-6</v>
      </c>
      <c r="I2979">
        <v>210.3768</v>
      </c>
      <c r="J2979">
        <v>-215.9195</v>
      </c>
      <c r="K2979">
        <v>1.1071549999999999</v>
      </c>
      <c r="L2979">
        <v>214.99950000000001</v>
      </c>
      <c r="M2979">
        <v>0.99952819999999998</v>
      </c>
      <c r="N2979">
        <v>0</v>
      </c>
      <c r="O2979">
        <v>-2.0988380000000001E-2</v>
      </c>
      <c r="P2979">
        <v>0.96136310000000003</v>
      </c>
      <c r="Q2979">
        <v>0.16180059999999999</v>
      </c>
      <c r="R2979">
        <v>-0.2227151</v>
      </c>
      <c r="S2979">
        <v>2.908493</v>
      </c>
      <c r="T2979">
        <v>-0.26930979999999999</v>
      </c>
      <c r="U2979">
        <v>-1.127213</v>
      </c>
      <c r="V2979">
        <v>0.2041077</v>
      </c>
      <c r="W2979">
        <v>0.1816102</v>
      </c>
      <c r="X2979">
        <v>0.96195520000000001</v>
      </c>
      <c r="Y2979">
        <v>0.34052789999999999</v>
      </c>
      <c r="Z2979">
        <v>-1.331454E-2</v>
      </c>
      <c r="AA2979">
        <v>0.94014010000000003</v>
      </c>
      <c r="AB2979">
        <v>32</v>
      </c>
      <c r="AC2979">
        <v>11.5817</v>
      </c>
      <c r="AD2979">
        <v>-1.1071504887579999</v>
      </c>
      <c r="AE2979">
        <v>-4.6227</v>
      </c>
      <c r="AF2979">
        <v>4.3442946692428102</v>
      </c>
      <c r="AG2979">
        <v>-1.1071504887579999</v>
      </c>
      <c r="AH2979">
        <v>11.584876128252301</v>
      </c>
      <c r="AI2979">
        <v>95.113422632965495</v>
      </c>
      <c r="AJ2979">
        <v>69.444101678947504</v>
      </c>
      <c r="AK2979">
        <v>12.422078460745601</v>
      </c>
      <c r="AL2979">
        <v>79.5364366667214</v>
      </c>
      <c r="AM2979">
        <v>78.0206417264002</v>
      </c>
      <c r="AN2979">
        <v>1.00000001237518</v>
      </c>
    </row>
    <row r="2980" spans="1:40" x14ac:dyDescent="0.25">
      <c r="A2980" t="str">
        <f>"20190312172719849"</f>
        <v>20190312172719849</v>
      </c>
      <c r="B2980" t="str">
        <f>"1552382839842349"</f>
        <v>1552382839842349</v>
      </c>
      <c r="C2980" t="s">
        <v>40</v>
      </c>
      <c r="D2980">
        <v>3.4768569999999999</v>
      </c>
      <c r="E2980">
        <v>0.56192330000000001</v>
      </c>
      <c r="F2980" t="s">
        <v>47</v>
      </c>
      <c r="G2980">
        <v>-204.17259999999999</v>
      </c>
      <c r="H2980" s="1">
        <v>4.4399499999999997E-6</v>
      </c>
      <c r="I2980">
        <v>210.35429999999999</v>
      </c>
      <c r="J2980">
        <v>-215.53639999999999</v>
      </c>
      <c r="K2980">
        <v>1.107073</v>
      </c>
      <c r="L2980">
        <v>214.9855</v>
      </c>
      <c r="M2980">
        <v>0.99940059999999997</v>
      </c>
      <c r="N2980">
        <v>0</v>
      </c>
      <c r="O2980">
        <v>-2.624657E-2</v>
      </c>
      <c r="P2980">
        <v>0.95993379999999995</v>
      </c>
      <c r="Q2980">
        <v>0.16110050000000001</v>
      </c>
      <c r="R2980">
        <v>-0.22929060000000001</v>
      </c>
      <c r="S2980">
        <v>2.9008479999999999</v>
      </c>
      <c r="T2980">
        <v>-0.27340530000000002</v>
      </c>
      <c r="U2980">
        <v>-1.1471100000000001</v>
      </c>
      <c r="V2980">
        <v>0.20567240000000001</v>
      </c>
      <c r="W2980">
        <v>0.18099409999999999</v>
      </c>
      <c r="X2980">
        <v>0.96173799999999998</v>
      </c>
      <c r="Y2980">
        <v>0.34198410000000001</v>
      </c>
      <c r="Z2980">
        <v>-1.312348E-2</v>
      </c>
      <c r="AA2980">
        <v>0.93961410000000001</v>
      </c>
      <c r="AB2980">
        <v>32</v>
      </c>
      <c r="AC2980">
        <v>11.3637999999999</v>
      </c>
      <c r="AD2980">
        <v>-1.1070685600500001</v>
      </c>
      <c r="AE2980">
        <v>-4.6311999999999998</v>
      </c>
      <c r="AF2980">
        <v>4.2962994221402298</v>
      </c>
      <c r="AG2980">
        <v>-1.1070685600500001</v>
      </c>
      <c r="AH2980">
        <v>11.3887741889697</v>
      </c>
      <c r="AI2980">
        <v>95.196787654752299</v>
      </c>
      <c r="AJ2980">
        <v>69.331525955014897</v>
      </c>
      <c r="AK2980">
        <v>12.222437033942001</v>
      </c>
      <c r="AL2980">
        <v>79.572331234699405</v>
      </c>
      <c r="AM2980">
        <v>77.9288442424332</v>
      </c>
      <c r="AN2980">
        <v>0.99999999050028499</v>
      </c>
    </row>
    <row r="2981" spans="1:40" x14ac:dyDescent="0.25">
      <c r="A2981" t="str">
        <f>"20190312172719884"</f>
        <v>20190312172719884</v>
      </c>
      <c r="B2981" t="str">
        <f>"1552382839871629"</f>
        <v>1552382839871629</v>
      </c>
      <c r="C2981" t="s">
        <v>40</v>
      </c>
      <c r="D2981">
        <v>3.4940630000000001</v>
      </c>
      <c r="E2981">
        <v>0.56216580000000005</v>
      </c>
      <c r="F2981" t="s">
        <v>47</v>
      </c>
      <c r="G2981">
        <v>-204.07730000000001</v>
      </c>
      <c r="H2981" s="1">
        <v>4.3976150000000002E-6</v>
      </c>
      <c r="I2981">
        <v>210.35509999999999</v>
      </c>
      <c r="J2981">
        <v>-215.03870000000001</v>
      </c>
      <c r="K2981">
        <v>1.1069770000000001</v>
      </c>
      <c r="L2981">
        <v>214.96369999999999</v>
      </c>
      <c r="M2981">
        <v>0.99918379999999996</v>
      </c>
      <c r="N2981">
        <v>0</v>
      </c>
      <c r="O2981">
        <v>-3.338108E-2</v>
      </c>
      <c r="P2981">
        <v>0.95764950000000004</v>
      </c>
      <c r="Q2981">
        <v>0.160054</v>
      </c>
      <c r="R2981">
        <v>-0.23935390000000001</v>
      </c>
      <c r="S2981">
        <v>2.8929140000000002</v>
      </c>
      <c r="T2981">
        <v>-0.27948450000000002</v>
      </c>
      <c r="U2981">
        <v>-1.168976</v>
      </c>
      <c r="V2981">
        <v>0.20894940000000001</v>
      </c>
      <c r="W2981">
        <v>0.18000969999999999</v>
      </c>
      <c r="X2981">
        <v>0.96121630000000002</v>
      </c>
      <c r="Y2981">
        <v>0.34225229999999901</v>
      </c>
      <c r="Z2981">
        <v>-1.2782709999999999E-2</v>
      </c>
      <c r="AA2981">
        <v>0.9395211</v>
      </c>
      <c r="AB2981">
        <v>32</v>
      </c>
      <c r="AC2981">
        <v>10.9613999999999</v>
      </c>
      <c r="AD2981">
        <v>-1.1069726023849999</v>
      </c>
      <c r="AE2981">
        <v>-4.6085999999999903</v>
      </c>
      <c r="AF2981">
        <v>4.20360113226495</v>
      </c>
      <c r="AG2981">
        <v>-1.1069726023849999</v>
      </c>
      <c r="AH2981">
        <v>11.013716017960901</v>
      </c>
      <c r="AI2981">
        <v>95.364434165389298</v>
      </c>
      <c r="AJ2981">
        <v>69.109662330333506</v>
      </c>
      <c r="AK2981">
        <v>11.840506380467801</v>
      </c>
      <c r="AL2981">
        <v>79.629675821749601</v>
      </c>
      <c r="AM2981">
        <v>77.735833313248307</v>
      </c>
      <c r="AN2981">
        <v>1.00000005962006</v>
      </c>
    </row>
    <row r="2982" spans="1:40" x14ac:dyDescent="0.25">
      <c r="A2982" t="str">
        <f>"20190312172719909"</f>
        <v>20190312172719909</v>
      </c>
      <c r="B2982" t="str">
        <f>"1552382839901884"</f>
        <v>1552382839901884</v>
      </c>
      <c r="C2982" t="s">
        <v>40</v>
      </c>
      <c r="D2982">
        <v>3.494173</v>
      </c>
      <c r="E2982">
        <v>0.56280529999999995</v>
      </c>
      <c r="F2982" t="s">
        <v>47</v>
      </c>
      <c r="G2982">
        <v>-203.81460000000001</v>
      </c>
      <c r="H2982" s="1">
        <v>4.2877009999999999E-6</v>
      </c>
      <c r="I2982">
        <v>210.28</v>
      </c>
      <c r="J2982">
        <v>-214.6816</v>
      </c>
      <c r="K2982">
        <v>1.1069249999999999</v>
      </c>
      <c r="L2982">
        <v>214.94579999999999</v>
      </c>
      <c r="M2982">
        <v>0.99899150000000003</v>
      </c>
      <c r="N2982">
        <v>0</v>
      </c>
      <c r="O2982">
        <v>-3.8652760000000001E-2</v>
      </c>
      <c r="P2982">
        <v>0.95592739999999998</v>
      </c>
      <c r="Q2982">
        <v>0.15977669999999999</v>
      </c>
      <c r="R2982">
        <v>-0.2463217</v>
      </c>
      <c r="S2982">
        <v>2.879807</v>
      </c>
      <c r="T2982">
        <v>-0.28401959999999998</v>
      </c>
      <c r="U2982">
        <v>-1.20172099999999</v>
      </c>
      <c r="V2982">
        <v>0.2109086</v>
      </c>
      <c r="W2982">
        <v>0.17977089999999901</v>
      </c>
      <c r="X2982">
        <v>0.96083300000000005</v>
      </c>
      <c r="Y2982">
        <v>0.34786549999999999</v>
      </c>
      <c r="Z2982">
        <v>-1.278606E-2</v>
      </c>
      <c r="AA2982">
        <v>0.93745730000000005</v>
      </c>
      <c r="AB2982">
        <v>32</v>
      </c>
      <c r="AC2982">
        <v>10.8669999999999</v>
      </c>
      <c r="AD2982">
        <v>-1.1069207122989999</v>
      </c>
      <c r="AE2982">
        <v>-4.6657999999999902</v>
      </c>
      <c r="AF2982">
        <v>4.2053209830033698</v>
      </c>
      <c r="AG2982">
        <v>-1.1069207122989999</v>
      </c>
      <c r="AH2982">
        <v>10.9433969845429</v>
      </c>
      <c r="AI2982">
        <v>95.393774384100794</v>
      </c>
      <c r="AJ2982">
        <v>68.979265391490301</v>
      </c>
      <c r="AK2982">
        <v>11.775735034158499</v>
      </c>
      <c r="AL2982">
        <v>79.643584688674295</v>
      </c>
      <c r="AM2982">
        <v>77.619582192002298</v>
      </c>
      <c r="AN2982">
        <v>1.00000003396488</v>
      </c>
    </row>
    <row r="2983" spans="1:40" x14ac:dyDescent="0.25">
      <c r="A2983" t="str">
        <f>"20190312172719932"</f>
        <v>20190312172719932</v>
      </c>
      <c r="B2983" t="str">
        <f>"1552382839922381"</f>
        <v>1552382839922381</v>
      </c>
      <c r="C2983" t="s">
        <v>40</v>
      </c>
      <c r="D2983">
        <v>3.5173540000000001</v>
      </c>
      <c r="E2983">
        <v>0.56298079999999995</v>
      </c>
      <c r="F2983" t="s">
        <v>47</v>
      </c>
      <c r="G2983">
        <v>-203.65479999999999</v>
      </c>
      <c r="H2983" s="1">
        <v>4.2212009999999997E-6</v>
      </c>
      <c r="I2983">
        <v>210.23</v>
      </c>
      <c r="J2983">
        <v>-214.36199999999999</v>
      </c>
      <c r="K2983">
        <v>1.106894</v>
      </c>
      <c r="L2983">
        <v>214.92789999999999</v>
      </c>
      <c r="M2983">
        <v>0.99879090000000004</v>
      </c>
      <c r="N2983">
        <v>0</v>
      </c>
      <c r="O2983">
        <v>-4.3485870000000003E-2</v>
      </c>
      <c r="P2983">
        <v>0.95404299999999997</v>
      </c>
      <c r="Q2983">
        <v>0.1590782</v>
      </c>
      <c r="R2983">
        <v>-0.25396049999999998</v>
      </c>
      <c r="S2983">
        <v>2.8701780000000001</v>
      </c>
      <c r="T2983">
        <v>-0.28812059999999901</v>
      </c>
      <c r="U2983">
        <v>-1.227463</v>
      </c>
      <c r="V2983">
        <v>0.21396219999999999</v>
      </c>
      <c r="W2983">
        <v>0.1790841</v>
      </c>
      <c r="X2983">
        <v>0.96028590000000003</v>
      </c>
      <c r="Y2983">
        <v>0.35154279999999999</v>
      </c>
      <c r="Z2983">
        <v>-1.270311E-2</v>
      </c>
      <c r="AA2983">
        <v>0.93608559999999996</v>
      </c>
      <c r="AB2983">
        <v>31</v>
      </c>
      <c r="AC2983">
        <v>10.7072</v>
      </c>
      <c r="AD2983">
        <v>-1.106889778799</v>
      </c>
      <c r="AE2983">
        <v>-4.6978999999999997</v>
      </c>
      <c r="AF2983">
        <v>4.1901679176229196</v>
      </c>
      <c r="AG2983">
        <v>-1.106889778799</v>
      </c>
      <c r="AH2983">
        <v>10.8045837465829</v>
      </c>
      <c r="AI2983">
        <v>95.456059351813394</v>
      </c>
      <c r="AJ2983">
        <v>68.803014297958399</v>
      </c>
      <c r="AK2983">
        <v>11.641380592404399</v>
      </c>
      <c r="AL2983">
        <v>79.683583952538996</v>
      </c>
      <c r="AM2983">
        <v>77.439052830406894</v>
      </c>
      <c r="AN2983">
        <v>0.99999997382022898</v>
      </c>
    </row>
    <row r="2984" spans="1:40" x14ac:dyDescent="0.25">
      <c r="A2984" t="str">
        <f>"20190312172719953"</f>
        <v>20190312172719953</v>
      </c>
      <c r="B2984" t="str">
        <f>"1552382839941901"</f>
        <v>1552382839941901</v>
      </c>
      <c r="C2984" t="s">
        <v>40</v>
      </c>
      <c r="D2984">
        <v>3.4852780000000001</v>
      </c>
      <c r="E2984">
        <v>0.56308619999999898</v>
      </c>
      <c r="F2984" t="s">
        <v>47</v>
      </c>
      <c r="G2984">
        <v>-203.50399999999999</v>
      </c>
      <c r="H2984" s="1">
        <v>4.1591370000000001E-6</v>
      </c>
      <c r="I2984">
        <v>210.17519999999999</v>
      </c>
      <c r="J2984">
        <v>-214.06790000000001</v>
      </c>
      <c r="K2984">
        <v>1.106886</v>
      </c>
      <c r="L2984">
        <v>214.90989999999999</v>
      </c>
      <c r="M2984">
        <v>0.99858279999999999</v>
      </c>
      <c r="N2984">
        <v>0</v>
      </c>
      <c r="O2984">
        <v>-4.799966E-2</v>
      </c>
      <c r="P2984">
        <v>0.95243900000000004</v>
      </c>
      <c r="Q2984">
        <v>0.15856600000000001</v>
      </c>
      <c r="R2984">
        <v>-0.26022440000000002</v>
      </c>
      <c r="S2984">
        <v>2.8598940000000002</v>
      </c>
      <c r="T2984">
        <v>-0.29154429999999998</v>
      </c>
      <c r="U2984">
        <v>-1.2518009999999999</v>
      </c>
      <c r="V2984">
        <v>0.21593970000000001</v>
      </c>
      <c r="W2984">
        <v>0.17859149999999999</v>
      </c>
      <c r="X2984">
        <v>0.95993490000000004</v>
      </c>
      <c r="Y2984">
        <v>0.35520359999999901</v>
      </c>
      <c r="Z2984">
        <v>-1.2616479999999999E-2</v>
      </c>
      <c r="AA2984">
        <v>0.93470379999999997</v>
      </c>
      <c r="AB2984">
        <v>31</v>
      </c>
      <c r="AC2984">
        <v>10.563899999999901</v>
      </c>
      <c r="AD2984">
        <v>-1.1068818408629999</v>
      </c>
      <c r="AE2984">
        <v>-4.7347000000000001</v>
      </c>
      <c r="AF2984">
        <v>4.1837926429730201</v>
      </c>
      <c r="AG2984">
        <v>-1.1068818408629999</v>
      </c>
      <c r="AH2984">
        <v>10.6813889373572</v>
      </c>
      <c r="AI2984">
        <v>95.511373617468195</v>
      </c>
      <c r="AJ2984">
        <v>68.610220831365794</v>
      </c>
      <c r="AK2984">
        <v>11.5248157434349</v>
      </c>
      <c r="AL2984">
        <v>79.7122700209041</v>
      </c>
      <c r="AM2984">
        <v>77.322210102869903</v>
      </c>
      <c r="AN2984">
        <v>0.99999994507317302</v>
      </c>
    </row>
    <row r="2985" spans="1:40" x14ac:dyDescent="0.25">
      <c r="A2985" t="str">
        <f>"20190312172719974"</f>
        <v>20190312172719974</v>
      </c>
      <c r="B2985" t="str">
        <f>"1552382839962397"</f>
        <v>1552382839962397</v>
      </c>
      <c r="C2985" t="s">
        <v>40</v>
      </c>
      <c r="D2985">
        <v>3.5128870000000001</v>
      </c>
      <c r="E2985">
        <v>0.56317819999999996</v>
      </c>
      <c r="F2985" t="s">
        <v>47</v>
      </c>
      <c r="G2985">
        <v>-203.31700000000001</v>
      </c>
      <c r="H2985" s="1">
        <v>4.0816479999999997E-6</v>
      </c>
      <c r="I2985">
        <v>210.11259999999999</v>
      </c>
      <c r="J2985">
        <v>-213.7894</v>
      </c>
      <c r="K2985">
        <v>1.106889</v>
      </c>
      <c r="L2985">
        <v>214.89169999999999</v>
      </c>
      <c r="M2985">
        <v>0.9983649</v>
      </c>
      <c r="N2985">
        <v>0</v>
      </c>
      <c r="O2985">
        <v>-5.231852E-2</v>
      </c>
      <c r="P2985">
        <v>0.95062409999999997</v>
      </c>
      <c r="Q2985">
        <v>0.15821109999999999</v>
      </c>
      <c r="R2985">
        <v>-0.2669897</v>
      </c>
      <c r="S2985">
        <v>2.851089</v>
      </c>
      <c r="T2985">
        <v>-0.29353800000000002</v>
      </c>
      <c r="U2985">
        <v>-1.2722169999999999</v>
      </c>
      <c r="V2985">
        <v>0.21861939999999999</v>
      </c>
      <c r="W2985">
        <v>0.17823820000000001</v>
      </c>
      <c r="X2985">
        <v>0.95939390000000002</v>
      </c>
      <c r="Y2985">
        <v>0.35780469999999998</v>
      </c>
      <c r="Z2985">
        <v>-1.242738E-2</v>
      </c>
      <c r="AA2985">
        <v>0.93371369999999998</v>
      </c>
      <c r="AB2985">
        <v>31</v>
      </c>
      <c r="AC2985">
        <v>10.472399999999899</v>
      </c>
      <c r="AD2985">
        <v>-1.106884918352</v>
      </c>
      <c r="AE2985">
        <v>-4.7790999999999997</v>
      </c>
      <c r="AF2985">
        <v>4.1858036246552501</v>
      </c>
      <c r="AG2985">
        <v>-1.106884918352</v>
      </c>
      <c r="AH2985">
        <v>10.6100512887639</v>
      </c>
      <c r="AI2985">
        <v>95.542917409661598</v>
      </c>
      <c r="AJ2985">
        <v>68.470119002894705</v>
      </c>
      <c r="AK2985">
        <v>11.4594648460063</v>
      </c>
      <c r="AL2985">
        <v>79.732843030432505</v>
      </c>
      <c r="AM2985">
        <v>77.163066477948803</v>
      </c>
      <c r="AN2985">
        <v>0.99999997667640395</v>
      </c>
    </row>
    <row r="2986" spans="1:40" x14ac:dyDescent="0.25">
      <c r="A2986" t="str">
        <f>"20190312172720001"</f>
        <v>20190312172720001</v>
      </c>
      <c r="B2986" t="str">
        <f>"1552382839991677"</f>
        <v>1552382839991677</v>
      </c>
      <c r="C2986" t="s">
        <v>40</v>
      </c>
      <c r="D2986">
        <v>3.4816020000000001</v>
      </c>
      <c r="E2986">
        <v>0.56326709999999902</v>
      </c>
      <c r="F2986" t="s">
        <v>47</v>
      </c>
      <c r="G2986">
        <v>-203.11330000000001</v>
      </c>
      <c r="H2986" s="1">
        <v>3.9984669999999996E-6</v>
      </c>
      <c r="I2986">
        <v>210.0308</v>
      </c>
      <c r="J2986">
        <v>-213.4169</v>
      </c>
      <c r="K2986">
        <v>1.1069040000000001</v>
      </c>
      <c r="L2986">
        <v>214.86529999999999</v>
      </c>
      <c r="M2986">
        <v>0.99804190000000004</v>
      </c>
      <c r="N2986">
        <v>0</v>
      </c>
      <c r="O2986">
        <v>-5.8147850000000001E-2</v>
      </c>
      <c r="P2986">
        <v>0.94837419999999995</v>
      </c>
      <c r="Q2986">
        <v>0.1575685</v>
      </c>
      <c r="R2986">
        <v>-0.27524340000000003</v>
      </c>
      <c r="S2986">
        <v>2.841507</v>
      </c>
      <c r="T2986">
        <v>-0.29460199999999997</v>
      </c>
      <c r="U2986">
        <v>-1.293747</v>
      </c>
      <c r="V2986">
        <v>0.22135189999999999</v>
      </c>
      <c r="W2986">
        <v>0.1775804</v>
      </c>
      <c r="X2986">
        <v>0.9588892</v>
      </c>
      <c r="Y2986">
        <v>0.35940850000000002</v>
      </c>
      <c r="Z2986">
        <v>-1.20006E-2</v>
      </c>
      <c r="AA2986">
        <v>0.93310309999999996</v>
      </c>
      <c r="AB2986">
        <v>31</v>
      </c>
      <c r="AC2986">
        <v>10.3035999999999</v>
      </c>
      <c r="AD2986">
        <v>-1.1069000015329999</v>
      </c>
      <c r="AE2986">
        <v>-4.8344999999999896</v>
      </c>
      <c r="AF2986">
        <v>4.1874173293243704</v>
      </c>
      <c r="AG2986">
        <v>-1.1069000015329999</v>
      </c>
      <c r="AH2986">
        <v>10.468332120291601</v>
      </c>
      <c r="AI2986">
        <v>95.607042243498697</v>
      </c>
      <c r="AJ2986">
        <v>68.198191905606706</v>
      </c>
      <c r="AK2986">
        <v>11.3289747499078</v>
      </c>
      <c r="AL2986">
        <v>79.771143236981203</v>
      </c>
      <c r="AM2986">
        <v>77.001424752307997</v>
      </c>
      <c r="AN2986">
        <v>0.99999997998720402</v>
      </c>
    </row>
    <row r="2987" spans="1:40" x14ac:dyDescent="0.25">
      <c r="A2987" t="str">
        <f>"20190312172720026"</f>
        <v>20190312172720026</v>
      </c>
      <c r="B2987" t="str">
        <f>"1552382840021933"</f>
        <v>1552382840021933</v>
      </c>
      <c r="C2987" t="s">
        <v>40</v>
      </c>
      <c r="D2987">
        <v>3.4908100000000002</v>
      </c>
      <c r="E2987">
        <v>0.56345230000000002</v>
      </c>
      <c r="F2987" t="s">
        <v>47</v>
      </c>
      <c r="G2987">
        <v>-202.8929</v>
      </c>
      <c r="H2987" s="1">
        <v>3.9068410000000001E-6</v>
      </c>
      <c r="I2987">
        <v>209.96119999999999</v>
      </c>
      <c r="J2987">
        <v>-213.08009999999999</v>
      </c>
      <c r="K2987">
        <v>1.1069180000000001</v>
      </c>
      <c r="L2987">
        <v>214.83959999999999</v>
      </c>
      <c r="M2987">
        <v>0.99771960000000004</v>
      </c>
      <c r="N2987">
        <v>0</v>
      </c>
      <c r="O2987">
        <v>-6.3451099999999996E-2</v>
      </c>
      <c r="P2987">
        <v>0.94617220000000002</v>
      </c>
      <c r="Q2987">
        <v>0.15740019999999999</v>
      </c>
      <c r="R2987">
        <v>-0.28281440000000002</v>
      </c>
      <c r="S2987">
        <v>2.8300019999999999</v>
      </c>
      <c r="T2987">
        <v>-0.29765589999999997</v>
      </c>
      <c r="U2987">
        <v>-1.3187709999999999</v>
      </c>
      <c r="V2987">
        <v>0.2239178</v>
      </c>
      <c r="W2987">
        <v>0.17734710000000001</v>
      </c>
      <c r="X2987">
        <v>0.95833650000000004</v>
      </c>
      <c r="Y2987">
        <v>0.36265979999999998</v>
      </c>
      <c r="Z2987">
        <v>-1.178532E-2</v>
      </c>
      <c r="AA2987">
        <v>0.93184710000000004</v>
      </c>
      <c r="AB2987">
        <v>30</v>
      </c>
      <c r="AC2987">
        <v>10.187199999999899</v>
      </c>
      <c r="AD2987">
        <v>-1.106914093159</v>
      </c>
      <c r="AE2987">
        <v>-4.8783999999999903</v>
      </c>
      <c r="AF2987">
        <v>4.1818418436205302</v>
      </c>
      <c r="AG2987">
        <v>-1.106914093159</v>
      </c>
      <c r="AH2987">
        <v>10.3766259968715</v>
      </c>
      <c r="AI2987">
        <v>95.650525374923006</v>
      </c>
      <c r="AJ2987">
        <v>68.050272781366701</v>
      </c>
      <c r="AK2987">
        <v>11.2422162892216</v>
      </c>
      <c r="AL2987">
        <v>79.784726257831593</v>
      </c>
      <c r="AM2987">
        <v>76.848631640788895</v>
      </c>
      <c r="AN2987">
        <v>1.0000000111337499</v>
      </c>
    </row>
    <row r="2988" spans="1:40" x14ac:dyDescent="0.25">
      <c r="A2988" t="str">
        <f>"20190312172720060"</f>
        <v>20190312172720060</v>
      </c>
      <c r="B2988" t="str">
        <f>"1552382840052188"</f>
        <v>1552382840052188</v>
      </c>
      <c r="C2988" t="s">
        <v>40</v>
      </c>
      <c r="D2988">
        <v>3.5190990000000002</v>
      </c>
      <c r="E2988">
        <v>0.56355239999999995</v>
      </c>
      <c r="F2988" t="s">
        <v>47</v>
      </c>
      <c r="G2988">
        <v>-202.66650000000001</v>
      </c>
      <c r="H2988" s="1">
        <v>3.8135340000000001E-6</v>
      </c>
      <c r="I2988">
        <v>209.8801</v>
      </c>
      <c r="J2988">
        <v>-212.6097</v>
      </c>
      <c r="K2988">
        <v>1.1069629999999999</v>
      </c>
      <c r="L2988">
        <v>214.8004</v>
      </c>
      <c r="M2988">
        <v>0.99722149999999998</v>
      </c>
      <c r="N2988">
        <v>0</v>
      </c>
      <c r="O2988">
        <v>-7.0896689999999998E-2</v>
      </c>
      <c r="P2988">
        <v>0.94292770000000004</v>
      </c>
      <c r="Q2988">
        <v>0.15815560000000001</v>
      </c>
      <c r="R2988">
        <v>-0.29304390000000002</v>
      </c>
      <c r="S2988">
        <v>2.8191830000000002</v>
      </c>
      <c r="T2988">
        <v>-0.29966470000000001</v>
      </c>
      <c r="U2988">
        <v>-1.3426359999999999</v>
      </c>
      <c r="V2988">
        <v>0.22714809999999999</v>
      </c>
      <c r="W2988">
        <v>0.17794360000000001</v>
      </c>
      <c r="X2988">
        <v>0.95746540000000002</v>
      </c>
      <c r="Y2988">
        <v>0.36353619999999998</v>
      </c>
      <c r="Z2988">
        <v>-1.1187310000000001E-2</v>
      </c>
      <c r="AA2988">
        <v>0.93151289999999998</v>
      </c>
      <c r="AB2988">
        <v>30</v>
      </c>
      <c r="AC2988">
        <v>9.9431999999999903</v>
      </c>
      <c r="AD2988">
        <v>-1.106959186466</v>
      </c>
      <c r="AE2988">
        <v>-4.9202999999999903</v>
      </c>
      <c r="AF2988">
        <v>4.16135727246896</v>
      </c>
      <c r="AG2988">
        <v>-1.106959186466</v>
      </c>
      <c r="AH2988">
        <v>10.1658785201397</v>
      </c>
      <c r="AI2988">
        <v>95.754469808375305</v>
      </c>
      <c r="AJ2988">
        <v>67.738478582798606</v>
      </c>
      <c r="AK2988">
        <v>11.0402599188547</v>
      </c>
      <c r="AL2988">
        <v>79.749997738576198</v>
      </c>
      <c r="AM2988">
        <v>76.653940040520396</v>
      </c>
      <c r="AN2988">
        <v>1.0000000881558599</v>
      </c>
    </row>
    <row r="2989" spans="1:40" x14ac:dyDescent="0.25">
      <c r="A2989" t="str">
        <f>"20190312172720085"</f>
        <v>20190312172720085</v>
      </c>
      <c r="B2989" t="str">
        <f>"1552382840082445"</f>
        <v>1552382840082445</v>
      </c>
      <c r="C2989" t="s">
        <v>40</v>
      </c>
      <c r="D2989">
        <v>3.4879380000000002</v>
      </c>
      <c r="E2989">
        <v>0.56362849999999998</v>
      </c>
      <c r="F2989" t="s">
        <v>47</v>
      </c>
      <c r="G2989">
        <v>-202.1934</v>
      </c>
      <c r="H2989" s="1">
        <v>3.619989E-6</v>
      </c>
      <c r="I2989">
        <v>209.69409999999999</v>
      </c>
      <c r="J2989">
        <v>-212.2901</v>
      </c>
      <c r="K2989">
        <v>1.1069789999999999</v>
      </c>
      <c r="L2989">
        <v>214.77180000000001</v>
      </c>
      <c r="M2989">
        <v>0.99685040000000003</v>
      </c>
      <c r="N2989">
        <v>0</v>
      </c>
      <c r="O2989">
        <v>-7.5982820000000006E-2</v>
      </c>
      <c r="P2989">
        <v>0.94068529999999995</v>
      </c>
      <c r="Q2989">
        <v>0.15921359999999901</v>
      </c>
      <c r="R2989">
        <v>-0.29960330000000002</v>
      </c>
      <c r="S2989">
        <v>2.8043369999999999</v>
      </c>
      <c r="T2989">
        <v>-0.29802109999999998</v>
      </c>
      <c r="U2989">
        <v>-1.374741</v>
      </c>
      <c r="V2989">
        <v>0.22894300000000001</v>
      </c>
      <c r="W2989">
        <v>0.17883650000000001</v>
      </c>
      <c r="X2989">
        <v>0.95687129999999998</v>
      </c>
      <c r="Y2989">
        <v>0.36933680000000002</v>
      </c>
      <c r="Z2989">
        <v>-1.0939600000000001E-2</v>
      </c>
      <c r="AA2989">
        <v>0.92923120000000003</v>
      </c>
      <c r="AB2989">
        <v>30</v>
      </c>
      <c r="AC2989">
        <v>10.096699999999901</v>
      </c>
      <c r="AD2989">
        <v>-1.106975380011</v>
      </c>
      <c r="AE2989">
        <v>-5.0777000000000196</v>
      </c>
      <c r="AF2989">
        <v>4.2548193997352097</v>
      </c>
      <c r="AG2989">
        <v>-1.106975380011</v>
      </c>
      <c r="AH2989">
        <v>10.3540781439002</v>
      </c>
      <c r="AI2989">
        <v>95.647514100920006</v>
      </c>
      <c r="AJ2989">
        <v>67.660683319962899</v>
      </c>
      <c r="AK2989">
        <v>11.2488140186558</v>
      </c>
      <c r="AL2989">
        <v>79.698003834581002</v>
      </c>
      <c r="AM2989">
        <v>76.544251426028893</v>
      </c>
      <c r="AN2989">
        <v>1.0000000378724601</v>
      </c>
    </row>
    <row r="2990" spans="1:40" x14ac:dyDescent="0.25">
      <c r="A2990" t="str">
        <f>"20190312172720107"</f>
        <v>20190312172720107</v>
      </c>
      <c r="B2990" t="str">
        <f>"1552382840101965"</f>
        <v>1552382840101965</v>
      </c>
      <c r="C2990" t="s">
        <v>40</v>
      </c>
      <c r="D2990">
        <v>3.483384</v>
      </c>
      <c r="E2990">
        <v>0.56370200000000004</v>
      </c>
      <c r="F2990" t="s">
        <v>47</v>
      </c>
      <c r="G2990">
        <v>-201.84610000000001</v>
      </c>
      <c r="H2990" s="1">
        <v>3.482772E-6</v>
      </c>
      <c r="I2990">
        <v>209.55940000000001</v>
      </c>
      <c r="J2990">
        <v>-211.98859999999999</v>
      </c>
      <c r="K2990">
        <v>1.1069910000000001</v>
      </c>
      <c r="L2990">
        <v>214.74340000000001</v>
      </c>
      <c r="M2990">
        <v>0.9964769</v>
      </c>
      <c r="N2990">
        <v>0</v>
      </c>
      <c r="O2990">
        <v>-8.0786759999999999E-2</v>
      </c>
      <c r="P2990">
        <v>0.93872449999999996</v>
      </c>
      <c r="Q2990">
        <v>0.15907180000000001</v>
      </c>
      <c r="R2990">
        <v>-0.30576530000000002</v>
      </c>
      <c r="S2990">
        <v>2.7950439999999999</v>
      </c>
      <c r="T2990">
        <v>-0.29624859999999997</v>
      </c>
      <c r="U2990">
        <v>-1.394943</v>
      </c>
      <c r="V2990">
        <v>0.23058989999999999</v>
      </c>
      <c r="W2990">
        <v>0.17851320000000001</v>
      </c>
      <c r="X2990">
        <v>0.9565361</v>
      </c>
      <c r="Y2990">
        <v>0.37149779999999999</v>
      </c>
      <c r="Z2990">
        <v>-1.0524800000000001E-2</v>
      </c>
      <c r="AA2990">
        <v>0.92837420000000004</v>
      </c>
      <c r="AB2990">
        <v>30</v>
      </c>
      <c r="AC2990">
        <v>10.142499999999901</v>
      </c>
      <c r="AD2990">
        <v>-1.1069875172279999</v>
      </c>
      <c r="AE2990">
        <v>-5.1839999999999904</v>
      </c>
      <c r="AF2990">
        <v>4.3067822298195999</v>
      </c>
      <c r="AG2990">
        <v>-1.1069875172279999</v>
      </c>
      <c r="AH2990">
        <v>10.429728479644901</v>
      </c>
      <c r="AI2990">
        <v>95.602948105455994</v>
      </c>
      <c r="AJ2990">
        <v>67.562639424762494</v>
      </c>
      <c r="AK2990">
        <v>11.3381228912684</v>
      </c>
      <c r="AL2990">
        <v>79.716829992307595</v>
      </c>
      <c r="AM2990">
        <v>76.446441060818699</v>
      </c>
      <c r="AN2990">
        <v>0.99999998757972997</v>
      </c>
    </row>
    <row r="2991" spans="1:40" x14ac:dyDescent="0.25">
      <c r="A2991" t="str">
        <f>"20190312172720132"</f>
        <v>20190312172720132</v>
      </c>
      <c r="B2991" t="str">
        <f>"1552382840122461"</f>
        <v>1552382840122461</v>
      </c>
      <c r="C2991" t="s">
        <v>40</v>
      </c>
      <c r="D2991">
        <v>3.4797220000000002</v>
      </c>
      <c r="E2991">
        <v>0.56514010000000003</v>
      </c>
      <c r="F2991" t="s">
        <v>47</v>
      </c>
      <c r="G2991">
        <v>-201.62200000000001</v>
      </c>
      <c r="H2991" s="1">
        <v>3.3969480000000001E-6</v>
      </c>
      <c r="I2991">
        <v>209.48259999999999</v>
      </c>
      <c r="J2991">
        <v>-211.68</v>
      </c>
      <c r="K2991">
        <v>1.1069739999999999</v>
      </c>
      <c r="L2991">
        <v>214.71260000000001</v>
      </c>
      <c r="M2991">
        <v>0.99607020000000002</v>
      </c>
      <c r="N2991">
        <v>0</v>
      </c>
      <c r="O2991">
        <v>-8.5733039999999996E-2</v>
      </c>
      <c r="P2991">
        <v>0.93710389999999999</v>
      </c>
      <c r="Q2991">
        <v>0.15822349999999999</v>
      </c>
      <c r="R2991">
        <v>-0.31113049999999998</v>
      </c>
      <c r="S2991">
        <v>2.7857509999999999</v>
      </c>
      <c r="T2991">
        <v>-0.29747570000000001</v>
      </c>
      <c r="U2991">
        <v>-1.4136959999999901</v>
      </c>
      <c r="V2991">
        <v>0.23127780000000001</v>
      </c>
      <c r="W2991">
        <v>0.17739269999999999</v>
      </c>
      <c r="X2991">
        <v>0.9565785</v>
      </c>
      <c r="Y2991">
        <v>0.37311290000000003</v>
      </c>
      <c r="Z2991">
        <v>-1.017553E-2</v>
      </c>
      <c r="AA2991">
        <v>0.9277301</v>
      </c>
      <c r="AB2991">
        <v>30</v>
      </c>
      <c r="AC2991">
        <v>10.0579999999999</v>
      </c>
      <c r="AD2991">
        <v>-1.1069706030519999</v>
      </c>
      <c r="AE2991">
        <v>-5.2300000000000102</v>
      </c>
      <c r="AF2991">
        <v>4.3071503248545904</v>
      </c>
      <c r="AG2991">
        <v>-1.1069706030519999</v>
      </c>
      <c r="AH2991">
        <v>10.370562350019201</v>
      </c>
      <c r="AI2991">
        <v>95.629892749332001</v>
      </c>
      <c r="AJ2991">
        <v>67.445682914840305</v>
      </c>
      <c r="AK2991">
        <v>11.2838597692701</v>
      </c>
      <c r="AL2991">
        <v>79.7820714519045</v>
      </c>
      <c r="AM2991">
        <v>76.408085934405705</v>
      </c>
      <c r="AN2991">
        <v>1.00000000872419</v>
      </c>
    </row>
    <row r="2992" spans="1:40" x14ac:dyDescent="0.25">
      <c r="A2992" t="str">
        <f>"20190312172720162"</f>
        <v>20190312172720162</v>
      </c>
      <c r="B2992" t="str">
        <f>"1552382840151740"</f>
        <v>1552382840151740</v>
      </c>
      <c r="C2992" t="s">
        <v>40</v>
      </c>
      <c r="D2992">
        <v>3.4764110000000001</v>
      </c>
      <c r="E2992">
        <v>0.56525619999999999</v>
      </c>
      <c r="F2992" t="s">
        <v>47</v>
      </c>
      <c r="G2992">
        <v>-201.89619999999999</v>
      </c>
      <c r="H2992" s="1">
        <v>3.4938579999999998E-6</v>
      </c>
      <c r="I2992">
        <v>209.6292</v>
      </c>
      <c r="J2992">
        <v>-211.27930000000001</v>
      </c>
      <c r="K2992">
        <v>1.106862</v>
      </c>
      <c r="L2992">
        <v>214.6703</v>
      </c>
      <c r="M2992">
        <v>0.99550700000000003</v>
      </c>
      <c r="N2992">
        <v>0</v>
      </c>
      <c r="O2992">
        <v>-9.2199580000000003E-2</v>
      </c>
      <c r="P2992">
        <v>0.93490110000000004</v>
      </c>
      <c r="Q2992">
        <v>0.15656639999999999</v>
      </c>
      <c r="R2992">
        <v>-0.3185077</v>
      </c>
      <c r="S2992">
        <v>2.7755740000000002</v>
      </c>
      <c r="T2992">
        <v>-0.31403779999999998</v>
      </c>
      <c r="U2992">
        <v>-1.4421079999999999</v>
      </c>
      <c r="V2992">
        <v>0.2325554</v>
      </c>
      <c r="W2992">
        <v>0.17510300000000001</v>
      </c>
      <c r="X2992">
        <v>0.95669059999999995</v>
      </c>
      <c r="Y2992">
        <v>0.37584390000000001</v>
      </c>
      <c r="Z2992">
        <v>-1.0219550000000001E-2</v>
      </c>
      <c r="AA2992">
        <v>0.92662670000000003</v>
      </c>
      <c r="AB2992">
        <v>29</v>
      </c>
      <c r="AC2992">
        <v>9.3831000000000095</v>
      </c>
      <c r="AD2992">
        <v>-1.106858506142</v>
      </c>
      <c r="AE2992">
        <v>-5.0411000000000001</v>
      </c>
      <c r="AF2992">
        <v>4.1099179924227798</v>
      </c>
      <c r="AG2992">
        <v>-1.106858506142</v>
      </c>
      <c r="AH2992">
        <v>9.7032304996418102</v>
      </c>
      <c r="AI2992">
        <v>95.996217697055897</v>
      </c>
      <c r="AJ2992">
        <v>67.044338932921704</v>
      </c>
      <c r="AK2992">
        <v>10.595718181710801</v>
      </c>
      <c r="AL2992">
        <v>79.915347766985093</v>
      </c>
      <c r="AM2992">
        <v>76.337351448673502</v>
      </c>
      <c r="AN2992">
        <v>0.99999998940325896</v>
      </c>
    </row>
    <row r="2993" spans="1:40" x14ac:dyDescent="0.25">
      <c r="A2993" t="str">
        <f>"20190312172720188"</f>
        <v>20190312172720188</v>
      </c>
      <c r="B2993" t="str">
        <f>"1552382840181997"</f>
        <v>1552382840181997</v>
      </c>
      <c r="C2993" t="s">
        <v>40</v>
      </c>
      <c r="D2993">
        <v>3.5030600000000001</v>
      </c>
      <c r="E2993">
        <v>0.55257500000000004</v>
      </c>
      <c r="F2993" t="s">
        <v>47</v>
      </c>
      <c r="G2993">
        <v>-201.69929999999999</v>
      </c>
      <c r="H2993" s="1">
        <v>3.4126379999999999E-6</v>
      </c>
      <c r="I2993">
        <v>209.5881</v>
      </c>
      <c r="J2993">
        <v>-210.93379999999999</v>
      </c>
      <c r="K2993">
        <v>1.106778</v>
      </c>
      <c r="L2993">
        <v>214.63200000000001</v>
      </c>
      <c r="M2993">
        <v>0.99499000000000004</v>
      </c>
      <c r="N2993">
        <v>0</v>
      </c>
      <c r="O2993">
        <v>-9.7771380000000005E-2</v>
      </c>
      <c r="P2993">
        <v>0.93243379999999998</v>
      </c>
      <c r="Q2993">
        <v>0.1562461</v>
      </c>
      <c r="R2993">
        <v>-0.32581389999999999</v>
      </c>
      <c r="S2993">
        <v>2.7629999999999999</v>
      </c>
      <c r="T2993">
        <v>-0.3192334</v>
      </c>
      <c r="U2993">
        <v>-1.4657899999999999</v>
      </c>
      <c r="V2993">
        <v>0.2346685</v>
      </c>
      <c r="W2993">
        <v>0.17411099999999999</v>
      </c>
      <c r="X2993">
        <v>0.95635559999999997</v>
      </c>
      <c r="Y2993">
        <v>0.37856630000000002</v>
      </c>
      <c r="Z2993">
        <v>-9.9649979999999992E-3</v>
      </c>
      <c r="AA2993">
        <v>0.92552049999999997</v>
      </c>
      <c r="AB2993">
        <v>29</v>
      </c>
      <c r="AC2993">
        <v>9.2344999999999899</v>
      </c>
      <c r="AD2993">
        <v>-1.1067745873620001</v>
      </c>
      <c r="AE2993">
        <v>-5.0438999999999998</v>
      </c>
      <c r="AF2993">
        <v>4.0716095956527596</v>
      </c>
      <c r="AG2993">
        <v>-1.1067745873620001</v>
      </c>
      <c r="AH2993">
        <v>9.5775299012349695</v>
      </c>
      <c r="AI2993">
        <v>96.070494405705801</v>
      </c>
      <c r="AJ2993">
        <v>66.968633546011503</v>
      </c>
      <c r="AK2993">
        <v>10.465755285486599</v>
      </c>
      <c r="AL2993">
        <v>79.973071930547107</v>
      </c>
      <c r="AM2993">
        <v>76.213276721504201</v>
      </c>
      <c r="AN2993">
        <v>0.99999998943230395</v>
      </c>
    </row>
    <row r="2994" spans="1:40" x14ac:dyDescent="0.25">
      <c r="A2994" t="str">
        <f>"20190312172720215"</f>
        <v>20190312172720215</v>
      </c>
      <c r="B2994" t="str">
        <f>"1552382840212253"</f>
        <v>1552382840212253</v>
      </c>
      <c r="C2994" t="s">
        <v>40</v>
      </c>
      <c r="D2994">
        <v>3.4736739999999999</v>
      </c>
      <c r="E2994">
        <v>0.55208859999999904</v>
      </c>
      <c r="F2994" t="s">
        <v>47</v>
      </c>
      <c r="G2994">
        <v>-199.4332</v>
      </c>
      <c r="H2994" s="1">
        <v>2.9248100000000002E-6</v>
      </c>
      <c r="I2994">
        <v>208.87469999999999</v>
      </c>
      <c r="J2994">
        <v>-210.58840000000001</v>
      </c>
      <c r="K2994">
        <v>1.106692</v>
      </c>
      <c r="L2994">
        <v>214.5915</v>
      </c>
      <c r="M2994">
        <v>0.99443789999999999</v>
      </c>
      <c r="N2994">
        <v>0</v>
      </c>
      <c r="O2994">
        <v>-0.1033911</v>
      </c>
      <c r="P2994">
        <v>0.92971550000000003</v>
      </c>
      <c r="Q2994">
        <v>0.1567172</v>
      </c>
      <c r="R2994">
        <v>-0.3332697</v>
      </c>
      <c r="S2994">
        <v>2.7764890000000002</v>
      </c>
      <c r="T2994">
        <v>-0.2671983</v>
      </c>
      <c r="U2994">
        <v>-1.389923</v>
      </c>
      <c r="V2994">
        <v>0.23692099999999999</v>
      </c>
      <c r="W2994">
        <v>0.17381659999999999</v>
      </c>
      <c r="X2994">
        <v>0.95585370000000003</v>
      </c>
      <c r="Y2994">
        <v>0.35186610000000001</v>
      </c>
      <c r="Z2994">
        <v>-6.6456519999999897E-3</v>
      </c>
      <c r="AA2994">
        <v>0.93602680000000005</v>
      </c>
      <c r="AB2994">
        <v>29</v>
      </c>
      <c r="AC2994">
        <v>11.155200000000001</v>
      </c>
      <c r="AD2994">
        <v>-1.10668907519</v>
      </c>
      <c r="AE2994">
        <v>-5.7168000000000001</v>
      </c>
      <c r="AF2994">
        <v>4.4975104996976896</v>
      </c>
      <c r="AG2994">
        <v>-1.10668907519</v>
      </c>
      <c r="AH2994">
        <v>11.596185302862301</v>
      </c>
      <c r="AI2994">
        <v>95.084662648865802</v>
      </c>
      <c r="AJ2994">
        <v>68.801517590479605</v>
      </c>
      <c r="AK2994">
        <v>12.4869481852996</v>
      </c>
      <c r="AL2994">
        <v>79.990201434407496</v>
      </c>
      <c r="AM2994">
        <v>76.079039779880603</v>
      </c>
      <c r="AN2994">
        <v>1.00000003324012</v>
      </c>
    </row>
    <row r="2995" spans="1:40" x14ac:dyDescent="0.25">
      <c r="A2995" t="str">
        <f>"20190312172720238"</f>
        <v>20190312172720238</v>
      </c>
      <c r="B2995" t="str">
        <f>"1552382840232229"</f>
        <v>1552382840232229</v>
      </c>
      <c r="C2995" t="s">
        <v>40</v>
      </c>
      <c r="D2995">
        <v>3.4176630000000001</v>
      </c>
      <c r="E2995">
        <v>0.55190349999999999</v>
      </c>
      <c r="F2995" t="s">
        <v>47</v>
      </c>
      <c r="G2995">
        <v>-198.3871</v>
      </c>
      <c r="H2995" s="1">
        <v>3.24166E-6</v>
      </c>
      <c r="I2995">
        <v>208.37889999999999</v>
      </c>
      <c r="J2995">
        <v>-210.29640000000001</v>
      </c>
      <c r="K2995">
        <v>1.1066339999999999</v>
      </c>
      <c r="L2995">
        <v>214.55590000000001</v>
      </c>
      <c r="M2995">
        <v>0.99394479999999996</v>
      </c>
      <c r="N2995">
        <v>0</v>
      </c>
      <c r="O2995">
        <v>-0.108152399999999</v>
      </c>
      <c r="P2995">
        <v>0.92751479999999997</v>
      </c>
      <c r="Q2995">
        <v>0.1567636</v>
      </c>
      <c r="R2995">
        <v>-0.3393256</v>
      </c>
      <c r="S2995">
        <v>2.7644959999999998</v>
      </c>
      <c r="T2995">
        <v>-0.25074730000000001</v>
      </c>
      <c r="U2995">
        <v>-1.4076229999999901</v>
      </c>
      <c r="V2995">
        <v>0.23856620000000001</v>
      </c>
      <c r="W2995">
        <v>0.17321220000000001</v>
      </c>
      <c r="X2995">
        <v>0.95555409999999996</v>
      </c>
      <c r="Y2995">
        <v>0.35389510000000002</v>
      </c>
      <c r="Z2995">
        <v>-5.9414519999999998E-3</v>
      </c>
      <c r="AA2995">
        <v>0.93526629999999999</v>
      </c>
      <c r="AB2995">
        <v>29</v>
      </c>
      <c r="AC2995">
        <v>11.9093</v>
      </c>
      <c r="AD2995">
        <v>-1.1066307583399999</v>
      </c>
      <c r="AE2995">
        <v>-6.17700000000002</v>
      </c>
      <c r="AF2995">
        <v>4.8196986542006899</v>
      </c>
      <c r="AG2995">
        <v>-1.1066307583399999</v>
      </c>
      <c r="AH2995">
        <v>12.4230740743503</v>
      </c>
      <c r="AI2995">
        <v>94.747386306294601</v>
      </c>
      <c r="AJ2995">
        <v>68.795567136310197</v>
      </c>
      <c r="AK2995">
        <v>13.371121725921199</v>
      </c>
      <c r="AL2995">
        <v>80.025363720750704</v>
      </c>
      <c r="AM2995">
        <v>75.981947962967595</v>
      </c>
      <c r="AN2995">
        <v>0.99999996801904401</v>
      </c>
    </row>
    <row r="2996" spans="1:40" x14ac:dyDescent="0.25">
      <c r="A2996" t="str">
        <f>"20190312172720258"</f>
        <v>20190312172720258</v>
      </c>
      <c r="B2996" t="str">
        <f>"1552382840251748"</f>
        <v>1552382840251748</v>
      </c>
      <c r="C2996" t="s">
        <v>40</v>
      </c>
      <c r="D2996">
        <v>3.387073</v>
      </c>
      <c r="E2996">
        <v>0.55189840000000001</v>
      </c>
      <c r="F2996" t="s">
        <v>47</v>
      </c>
      <c r="G2996">
        <v>-198.11500000000001</v>
      </c>
      <c r="H2996" s="1">
        <v>3.3212430000000002E-6</v>
      </c>
      <c r="I2996">
        <v>208.26070000000001</v>
      </c>
      <c r="J2996">
        <v>-210.01849999999999</v>
      </c>
      <c r="K2996">
        <v>1.106587</v>
      </c>
      <c r="L2996">
        <v>214.52080000000001</v>
      </c>
      <c r="M2996">
        <v>0.99345329999999998</v>
      </c>
      <c r="N2996">
        <v>0</v>
      </c>
      <c r="O2996">
        <v>-0.1126814</v>
      </c>
      <c r="P2996">
        <v>0.9253903</v>
      </c>
      <c r="Q2996">
        <v>0.1572691</v>
      </c>
      <c r="R2996">
        <v>-0.3448466</v>
      </c>
      <c r="S2996">
        <v>2.7557529999999999</v>
      </c>
      <c r="T2996">
        <v>-0.25034859999999998</v>
      </c>
      <c r="U2996">
        <v>-1.4241490000000001</v>
      </c>
      <c r="V2996">
        <v>0.2399115</v>
      </c>
      <c r="W2996">
        <v>0.17312720000000001</v>
      </c>
      <c r="X2996">
        <v>0.95523270000000005</v>
      </c>
      <c r="Y2996">
        <v>0.35528189999999998</v>
      </c>
      <c r="Z2996">
        <v>-5.6215049999999997E-3</v>
      </c>
      <c r="AA2996">
        <v>0.93474230000000003</v>
      </c>
      <c r="AB2996">
        <v>29</v>
      </c>
      <c r="AC2996">
        <v>11.9034999999999</v>
      </c>
      <c r="AD2996">
        <v>-1.106583678757</v>
      </c>
      <c r="AE2996">
        <v>-6.2600999999999898</v>
      </c>
      <c r="AF2996">
        <v>4.8458708560253196</v>
      </c>
      <c r="AG2996">
        <v>-1.106583678757</v>
      </c>
      <c r="AH2996">
        <v>12.448907248380999</v>
      </c>
      <c r="AI2996">
        <v>94.735314019165102</v>
      </c>
      <c r="AJ2996">
        <v>68.730990131058803</v>
      </c>
      <c r="AK2996">
        <v>13.4045620394759</v>
      </c>
      <c r="AL2996">
        <v>80.030309225207702</v>
      </c>
      <c r="AM2996">
        <v>75.901487833736894</v>
      </c>
      <c r="AN2996">
        <v>1.00000003318068</v>
      </c>
    </row>
    <row r="2997" spans="1:40" x14ac:dyDescent="0.25">
      <c r="A2997" t="str">
        <f>"20190312172720284"</f>
        <v>20190312172720284</v>
      </c>
      <c r="B2997" t="str">
        <f>"1552382840272244"</f>
        <v>1552382840272244</v>
      </c>
      <c r="C2997" t="s">
        <v>40</v>
      </c>
      <c r="D2997">
        <v>3.3709479999999998</v>
      </c>
      <c r="E2997">
        <v>0.55175109999999905</v>
      </c>
      <c r="F2997" t="s">
        <v>47</v>
      </c>
      <c r="G2997">
        <v>-197.78370000000001</v>
      </c>
      <c r="H2997" s="1">
        <v>3.4218949999999999E-6</v>
      </c>
      <c r="I2997">
        <v>208.10239999999999</v>
      </c>
      <c r="J2997">
        <v>-209.68530000000001</v>
      </c>
      <c r="K2997">
        <v>1.1065529999999999</v>
      </c>
      <c r="L2997">
        <v>214.477</v>
      </c>
      <c r="M2997">
        <v>0.99283480000000002</v>
      </c>
      <c r="N2997">
        <v>0</v>
      </c>
      <c r="O2997">
        <v>-0.1181133</v>
      </c>
      <c r="P2997">
        <v>0.92200760000000004</v>
      </c>
      <c r="Q2997">
        <v>0.15980329999999901</v>
      </c>
      <c r="R2997">
        <v>-0.35265439999999998</v>
      </c>
      <c r="S2997">
        <v>2.7471009999999998</v>
      </c>
      <c r="T2997">
        <v>-0.2484635</v>
      </c>
      <c r="U2997">
        <v>-1.4411160000000001</v>
      </c>
      <c r="V2997">
        <v>0.24283360000000001</v>
      </c>
      <c r="W2997">
        <v>0.17496829999999999</v>
      </c>
      <c r="X2997">
        <v>0.95415819999999996</v>
      </c>
      <c r="Y2997">
        <v>0.3559368</v>
      </c>
      <c r="Z2997">
        <v>-5.1641150000000004E-3</v>
      </c>
      <c r="AA2997">
        <v>0.93449570000000004</v>
      </c>
      <c r="AB2997">
        <v>29</v>
      </c>
      <c r="AC2997">
        <v>11.9016</v>
      </c>
      <c r="AD2997">
        <v>-1.1065495781049901</v>
      </c>
      <c r="AE2997">
        <v>-6.3746000000000098</v>
      </c>
      <c r="AF2997">
        <v>4.8911406124636203</v>
      </c>
      <c r="AG2997">
        <v>-1.1065495781049901</v>
      </c>
      <c r="AH2997">
        <v>12.487429804913001</v>
      </c>
      <c r="AI2997">
        <v>94.716768801546394</v>
      </c>
      <c r="AJ2997">
        <v>68.610459821070293</v>
      </c>
      <c r="AK2997">
        <v>13.4567310886532</v>
      </c>
      <c r="AL2997">
        <v>79.923186294018606</v>
      </c>
      <c r="AM2997">
        <v>75.721331100163994</v>
      </c>
      <c r="AN2997">
        <v>0.99999996696054405</v>
      </c>
    </row>
    <row r="2998" spans="1:40" x14ac:dyDescent="0.25">
      <c r="A2998" t="str">
        <f>"20190312172720311"</f>
        <v>20190312172720311</v>
      </c>
      <c r="B2998" t="str">
        <f>"1552382840302501"</f>
        <v>1552382840302501</v>
      </c>
      <c r="C2998" t="s">
        <v>40</v>
      </c>
      <c r="D2998">
        <v>3.3343980000000002</v>
      </c>
      <c r="E2998">
        <v>0.55144099999999996</v>
      </c>
      <c r="F2998" t="s">
        <v>47</v>
      </c>
      <c r="G2998">
        <v>-197.03370000000001</v>
      </c>
      <c r="H2998" s="1">
        <v>3.6605820000000001E-6</v>
      </c>
      <c r="I2998">
        <v>207.70349999999999</v>
      </c>
      <c r="J2998">
        <v>-209.34739999999999</v>
      </c>
      <c r="K2998">
        <v>1.1065069999999999</v>
      </c>
      <c r="L2998">
        <v>214.4308</v>
      </c>
      <c r="M2998">
        <v>0.992174</v>
      </c>
      <c r="N2998">
        <v>0</v>
      </c>
      <c r="O2998">
        <v>-0.1236326</v>
      </c>
      <c r="P2998">
        <v>0.91896120000000003</v>
      </c>
      <c r="Q2998">
        <v>0.16202910000000001</v>
      </c>
      <c r="R2998">
        <v>-0.35952420000000002</v>
      </c>
      <c r="S2998">
        <v>2.7351380000000001</v>
      </c>
      <c r="T2998">
        <v>-0.23922280000000001</v>
      </c>
      <c r="U2998">
        <v>-1.4643550000000001</v>
      </c>
      <c r="V2998">
        <v>0.24472189999999999</v>
      </c>
      <c r="W2998">
        <v>0.1765592</v>
      </c>
      <c r="X2998">
        <v>0.95338239999999996</v>
      </c>
      <c r="Y2998">
        <v>0.35867549999999998</v>
      </c>
      <c r="Z2998">
        <v>-4.6534719999999996E-3</v>
      </c>
      <c r="AA2998">
        <v>0.93345069999999997</v>
      </c>
      <c r="AB2998">
        <v>29</v>
      </c>
      <c r="AC2998">
        <v>12.3136999999999</v>
      </c>
      <c r="AD2998">
        <v>-1.1065033394179999</v>
      </c>
      <c r="AE2998">
        <v>-6.7273000000000103</v>
      </c>
      <c r="AF2998">
        <v>5.1212181763728104</v>
      </c>
      <c r="AG2998">
        <v>-1.1065033394179999</v>
      </c>
      <c r="AH2998">
        <v>12.9703836310411</v>
      </c>
      <c r="AI2998">
        <v>94.536843141027802</v>
      </c>
      <c r="AJ2998">
        <v>68.453941495194201</v>
      </c>
      <c r="AK2998">
        <v>13.9886409914092</v>
      </c>
      <c r="AL2998">
        <v>79.830593100759998</v>
      </c>
      <c r="AM2998">
        <v>75.603670155985299</v>
      </c>
      <c r="AN2998">
        <v>0.99999998003700397</v>
      </c>
    </row>
    <row r="2999" spans="1:40" x14ac:dyDescent="0.25">
      <c r="A2999" t="str">
        <f>"20190312172720336"</f>
        <v>20190312172720336</v>
      </c>
      <c r="B2999" t="str">
        <f>"1552382840331780"</f>
        <v>1552382840331780</v>
      </c>
      <c r="C2999" t="s">
        <v>40</v>
      </c>
      <c r="D2999">
        <v>3.3480690000000002</v>
      </c>
      <c r="E2999">
        <v>0.55121949999999997</v>
      </c>
      <c r="F2999" t="s">
        <v>47</v>
      </c>
      <c r="G2999">
        <v>-196.31010000000001</v>
      </c>
      <c r="H2999" s="1">
        <v>3.885679E-6</v>
      </c>
      <c r="I2999">
        <v>207.3382</v>
      </c>
      <c r="J2999">
        <v>-209.0181</v>
      </c>
      <c r="K2999">
        <v>1.1064560000000001</v>
      </c>
      <c r="L2999">
        <v>214.3837</v>
      </c>
      <c r="M2999">
        <v>0.9914944</v>
      </c>
      <c r="N2999">
        <v>0</v>
      </c>
      <c r="O2999">
        <v>-0.12903899999999999</v>
      </c>
      <c r="P2999">
        <v>0.91624410000000001</v>
      </c>
      <c r="Q2999">
        <v>0.163082</v>
      </c>
      <c r="R2999">
        <v>-0.36592520000000001</v>
      </c>
      <c r="S2999">
        <v>2.725266</v>
      </c>
      <c r="T2999">
        <v>-0.2312987</v>
      </c>
      <c r="U2999">
        <v>-1.482605</v>
      </c>
      <c r="V2999">
        <v>0.24622250000000001</v>
      </c>
      <c r="W2999">
        <v>0.17706089999999999</v>
      </c>
      <c r="X2999">
        <v>0.9529029</v>
      </c>
      <c r="Y2999">
        <v>0.35988720000000002</v>
      </c>
      <c r="Z2999">
        <v>-4.1373E-3</v>
      </c>
      <c r="AA2999">
        <v>0.93298669999999995</v>
      </c>
      <c r="AB2999">
        <v>29</v>
      </c>
      <c r="AC2999">
        <v>12.707999999999901</v>
      </c>
      <c r="AD2999">
        <v>-1.106452114321</v>
      </c>
      <c r="AE2999">
        <v>-7.0454999999999997</v>
      </c>
      <c r="AF2999">
        <v>5.3156929000234596</v>
      </c>
      <c r="AG2999">
        <v>-1.106452114321</v>
      </c>
      <c r="AH2999">
        <v>13.4331084701204</v>
      </c>
      <c r="AI2999">
        <v>94.379674289435002</v>
      </c>
      <c r="AJ2999">
        <v>68.410513086567207</v>
      </c>
      <c r="AK2999">
        <v>14.4889347592798</v>
      </c>
      <c r="AL2999">
        <v>79.801387977424199</v>
      </c>
      <c r="AM2999">
        <v>75.512114640331603</v>
      </c>
      <c r="AN2999">
        <v>1.0000000093217301</v>
      </c>
    </row>
    <row r="3000" spans="1:40" x14ac:dyDescent="0.25">
      <c r="A3000" t="str">
        <f>"20190312172720356"</f>
        <v>20190312172720356</v>
      </c>
      <c r="B3000" t="str">
        <f>"1552382840352276"</f>
        <v>1552382840352276</v>
      </c>
      <c r="C3000" t="s">
        <v>40</v>
      </c>
      <c r="D3000">
        <v>3.2873800000000002</v>
      </c>
      <c r="E3000">
        <v>0.55107859999999997</v>
      </c>
      <c r="F3000" t="s">
        <v>47</v>
      </c>
      <c r="G3000">
        <v>-195.9075</v>
      </c>
      <c r="H3000" s="1">
        <v>4.0085120000000002E-6</v>
      </c>
      <c r="I3000">
        <v>207.14400000000001</v>
      </c>
      <c r="J3000">
        <v>-208.76320000000001</v>
      </c>
      <c r="K3000">
        <v>1.106409</v>
      </c>
      <c r="L3000">
        <v>214.346</v>
      </c>
      <c r="M3000">
        <v>0.99094329999999997</v>
      </c>
      <c r="N3000">
        <v>0</v>
      </c>
      <c r="O3000">
        <v>-0.13325219999999999</v>
      </c>
      <c r="P3000">
        <v>0.9141977</v>
      </c>
      <c r="Q3000">
        <v>0.163803</v>
      </c>
      <c r="R3000">
        <v>-0.37068990000000002</v>
      </c>
      <c r="S3000">
        <v>2.7160340000000001</v>
      </c>
      <c r="T3000">
        <v>-0.22921559999999999</v>
      </c>
      <c r="U3000">
        <v>-1.4998020000000001</v>
      </c>
      <c r="V3000">
        <v>0.2471701</v>
      </c>
      <c r="W3000">
        <v>0.17739639999999901</v>
      </c>
      <c r="X3000">
        <v>0.95259510000000003</v>
      </c>
      <c r="Y3000">
        <v>0.36180800000000002</v>
      </c>
      <c r="Z3000">
        <v>-3.859332E-3</v>
      </c>
      <c r="AA3000">
        <v>0.93224470000000004</v>
      </c>
      <c r="AB3000">
        <v>29</v>
      </c>
      <c r="AC3000">
        <v>12.855700000000001</v>
      </c>
      <c r="AD3000">
        <v>-1.1064049914880001</v>
      </c>
      <c r="AE3000">
        <v>-7.2019999999999698</v>
      </c>
      <c r="AF3000">
        <v>5.3940604211854604</v>
      </c>
      <c r="AG3000">
        <v>-1.1064049914880001</v>
      </c>
      <c r="AH3000">
        <v>13.624031104896</v>
      </c>
      <c r="AI3000">
        <v>94.318045268268094</v>
      </c>
      <c r="AJ3000">
        <v>68.400272981843699</v>
      </c>
      <c r="AK3000">
        <v>14.694701200765</v>
      </c>
      <c r="AL3000">
        <v>79.781855773381295</v>
      </c>
      <c r="AM3000">
        <v>75.454217368846798</v>
      </c>
      <c r="AN3000">
        <v>0.99999998280548996</v>
      </c>
    </row>
    <row r="3001" spans="1:40" x14ac:dyDescent="0.25">
      <c r="A3001" t="str">
        <f>"20190312172720378"</f>
        <v>20190312172720378</v>
      </c>
      <c r="B3001" t="str">
        <f>"1552382840371796"</f>
        <v>1552382840371796</v>
      </c>
      <c r="C3001" t="s">
        <v>40</v>
      </c>
      <c r="D3001">
        <v>3.2972250000000001</v>
      </c>
      <c r="E3001">
        <v>0.55090930000000005</v>
      </c>
      <c r="F3001" t="s">
        <v>47</v>
      </c>
      <c r="G3001">
        <v>-195.5581</v>
      </c>
      <c r="H3001" s="1">
        <v>4.1175650000000003E-6</v>
      </c>
      <c r="I3001">
        <v>206.96619999999999</v>
      </c>
      <c r="J3001">
        <v>-208.4682</v>
      </c>
      <c r="K3001">
        <v>1.106341</v>
      </c>
      <c r="L3001">
        <v>214.30099999999999</v>
      </c>
      <c r="M3001">
        <v>0.99027410000000005</v>
      </c>
      <c r="N3001">
        <v>0</v>
      </c>
      <c r="O3001">
        <v>-0.13818269999999999</v>
      </c>
      <c r="P3001">
        <v>0.91176290000000004</v>
      </c>
      <c r="Q3001">
        <v>0.1630219</v>
      </c>
      <c r="R3001">
        <v>-0.37697789999999998</v>
      </c>
      <c r="S3001">
        <v>2.7084809999999999</v>
      </c>
      <c r="T3001">
        <v>-0.22693369999999999</v>
      </c>
      <c r="U3001">
        <v>-1.5136719999999999</v>
      </c>
      <c r="V3001">
        <v>0.24898509999999999</v>
      </c>
      <c r="W3001">
        <v>0.17620379999999899</v>
      </c>
      <c r="X3001">
        <v>0.95234379999999996</v>
      </c>
      <c r="Y3001">
        <v>0.36193910000000001</v>
      </c>
      <c r="Z3001">
        <v>-3.4567140000000001E-3</v>
      </c>
      <c r="AA3001">
        <v>0.93219529999999995</v>
      </c>
      <c r="AB3001">
        <v>29</v>
      </c>
      <c r="AC3001">
        <v>12.9101</v>
      </c>
      <c r="AD3001">
        <v>-1.1063368824349999</v>
      </c>
      <c r="AE3001">
        <v>-7.3348000000000004</v>
      </c>
      <c r="AF3001">
        <v>5.4499734295298596</v>
      </c>
      <c r="AG3001">
        <v>-1.1063368824349999</v>
      </c>
      <c r="AH3001">
        <v>13.723703425612801</v>
      </c>
      <c r="AI3001">
        <v>94.284784966729603</v>
      </c>
      <c r="AJ3001">
        <v>68.340924349732603</v>
      </c>
      <c r="AK3001">
        <v>14.8076408449892</v>
      </c>
      <c r="AL3001">
        <v>79.851280935432897</v>
      </c>
      <c r="AM3001">
        <v>75.348285031863995</v>
      </c>
      <c r="AN3001">
        <v>1.0000000362774399</v>
      </c>
    </row>
    <row r="3002" spans="1:40" x14ac:dyDescent="0.25">
      <c r="A3002" t="str">
        <f>"20190312172720400"</f>
        <v>20190312172720400</v>
      </c>
      <c r="B3002" t="str">
        <f>"1552382840392293"</f>
        <v>1552382840392293</v>
      </c>
      <c r="C3002" t="s">
        <v>40</v>
      </c>
      <c r="D3002">
        <v>3.301755</v>
      </c>
      <c r="E3002">
        <v>0.55077310000000002</v>
      </c>
      <c r="F3002" t="s">
        <v>47</v>
      </c>
      <c r="G3002">
        <v>-195.45740000000001</v>
      </c>
      <c r="H3002" s="1">
        <v>4.1479970000000001E-6</v>
      </c>
      <c r="I3002">
        <v>206.9187</v>
      </c>
      <c r="J3002">
        <v>-208.1927</v>
      </c>
      <c r="K3002">
        <v>1.1062730000000001</v>
      </c>
      <c r="L3002">
        <v>214.25749999999999</v>
      </c>
      <c r="M3002">
        <v>0.98961500000000002</v>
      </c>
      <c r="N3002">
        <v>0</v>
      </c>
      <c r="O3002">
        <v>-0.14286179999999901</v>
      </c>
      <c r="P3002">
        <v>0.90941099999999997</v>
      </c>
      <c r="Q3002">
        <v>0.161575</v>
      </c>
      <c r="R3002">
        <v>-0.38322980000000001</v>
      </c>
      <c r="S3002">
        <v>2.698334</v>
      </c>
      <c r="T3002">
        <v>-0.22944639999999999</v>
      </c>
      <c r="U3002">
        <v>-1.5310360000000001</v>
      </c>
      <c r="V3002">
        <v>0.25099880000000002</v>
      </c>
      <c r="W3002">
        <v>0.17440349999999999</v>
      </c>
      <c r="X3002">
        <v>0.95214650000000001</v>
      </c>
      <c r="Y3002">
        <v>0.36357</v>
      </c>
      <c r="Z3002">
        <v>-3.2066809999999999E-3</v>
      </c>
      <c r="AA3002">
        <v>0.93156139999999998</v>
      </c>
      <c r="AB3002">
        <v>29</v>
      </c>
      <c r="AC3002">
        <v>12.735299999999899</v>
      </c>
      <c r="AD3002">
        <v>-1.106268852003</v>
      </c>
      <c r="AE3002">
        <v>-7.3387999999999902</v>
      </c>
      <c r="AF3002">
        <v>5.4132222684025004</v>
      </c>
      <c r="AG3002">
        <v>-1.106268852003</v>
      </c>
      <c r="AH3002">
        <v>13.576297599475501</v>
      </c>
      <c r="AI3002">
        <v>94.328488195150399</v>
      </c>
      <c r="AJ3002">
        <v>68.261546785587399</v>
      </c>
      <c r="AK3002">
        <v>14.657512156214199</v>
      </c>
      <c r="AL3002">
        <v>79.956052302462794</v>
      </c>
      <c r="AM3002">
        <v>75.232019096860597</v>
      </c>
      <c r="AN3002">
        <v>0.99999996793796897</v>
      </c>
    </row>
    <row r="3003" spans="1:40" x14ac:dyDescent="0.25">
      <c r="A3003" t="str">
        <f>"20190312172720427"</f>
        <v>20190312172720427</v>
      </c>
      <c r="B3003" t="str">
        <f>"1552382840421572"</f>
        <v>1552382840421572</v>
      </c>
      <c r="C3003" t="s">
        <v>40</v>
      </c>
      <c r="D3003">
        <v>3.2913230000000002</v>
      </c>
      <c r="E3003">
        <v>0.54768559999999999</v>
      </c>
      <c r="F3003" t="s">
        <v>47</v>
      </c>
      <c r="G3003">
        <v>-195.5651</v>
      </c>
      <c r="H3003" s="1">
        <v>4.1101569999999999E-6</v>
      </c>
      <c r="I3003">
        <v>206.98949999999999</v>
      </c>
      <c r="J3003">
        <v>-207.84100000000001</v>
      </c>
      <c r="K3003">
        <v>1.1061730000000001</v>
      </c>
      <c r="L3003">
        <v>214.20009999999999</v>
      </c>
      <c r="M3003">
        <v>0.98872159999999998</v>
      </c>
      <c r="N3003">
        <v>0</v>
      </c>
      <c r="O3003">
        <v>-0.14895610000000001</v>
      </c>
      <c r="P3003">
        <v>0.90647109999999997</v>
      </c>
      <c r="Q3003">
        <v>0.16027189999999999</v>
      </c>
      <c r="R3003">
        <v>-0.39067039999999997</v>
      </c>
      <c r="S3003">
        <v>2.6885829999999999</v>
      </c>
      <c r="T3003">
        <v>-0.2355391</v>
      </c>
      <c r="U3003">
        <v>-1.547455</v>
      </c>
      <c r="V3003">
        <v>0.25292769999999998</v>
      </c>
      <c r="W3003">
        <v>0.17269509999999999</v>
      </c>
      <c r="X3003">
        <v>0.95194749999999995</v>
      </c>
      <c r="Y3003">
        <v>0.36355029999999999</v>
      </c>
      <c r="Z3003">
        <v>-2.8161699999999998E-3</v>
      </c>
      <c r="AA3003">
        <v>0.93157029999999996</v>
      </c>
      <c r="AB3003">
        <v>29</v>
      </c>
      <c r="AC3003">
        <v>12.275899999999901</v>
      </c>
      <c r="AD3003">
        <v>-1.10616888984299</v>
      </c>
      <c r="AE3003">
        <v>-7.2105999999999897</v>
      </c>
      <c r="AF3003">
        <v>5.2695350976550204</v>
      </c>
      <c r="AG3003">
        <v>-1.10616888984299</v>
      </c>
      <c r="AH3003">
        <v>13.133820349207801</v>
      </c>
      <c r="AI3003">
        <v>94.469501793668499</v>
      </c>
      <c r="AJ3003">
        <v>68.138417780587602</v>
      </c>
      <c r="AK3003">
        <v>14.1946767037343</v>
      </c>
      <c r="AL3003">
        <v>80.055445322390298</v>
      </c>
      <c r="AM3003">
        <v>75.1205711850954</v>
      </c>
      <c r="AN3003">
        <v>1.00000003087377</v>
      </c>
    </row>
    <row r="3004" spans="1:40" x14ac:dyDescent="0.25">
      <c r="A3004" t="str">
        <f>"20190312172720463"</f>
        <v>20190312172720463</v>
      </c>
      <c r="B3004" t="str">
        <f>"1552382840451828"</f>
        <v>1552382840451828</v>
      </c>
      <c r="C3004" t="s">
        <v>40</v>
      </c>
      <c r="D3004">
        <v>3.3173219999999999</v>
      </c>
      <c r="E3004">
        <v>0.54776769999999997</v>
      </c>
      <c r="F3004" t="s">
        <v>47</v>
      </c>
      <c r="G3004">
        <v>-196.03190000000001</v>
      </c>
      <c r="H3004" s="1">
        <v>3.9184090000000001E-6</v>
      </c>
      <c r="I3004">
        <v>207.40090000000001</v>
      </c>
      <c r="J3004">
        <v>-207.37450000000001</v>
      </c>
      <c r="K3004">
        <v>1.106015</v>
      </c>
      <c r="L3004">
        <v>214.1198</v>
      </c>
      <c r="M3004">
        <v>0.98742850000000004</v>
      </c>
      <c r="N3004">
        <v>0</v>
      </c>
      <c r="O3004">
        <v>-0.15733620000000001</v>
      </c>
      <c r="P3004">
        <v>0.90176889999999998</v>
      </c>
      <c r="Q3004">
        <v>0.15960920000000001</v>
      </c>
      <c r="R3004">
        <v>-0.40166869999999999</v>
      </c>
      <c r="S3004">
        <v>2.6872410000000002</v>
      </c>
      <c r="T3004">
        <v>-0.25171639999999901</v>
      </c>
      <c r="U3004">
        <v>-1.5471950000000001</v>
      </c>
      <c r="V3004">
        <v>0.25647520000000001</v>
      </c>
      <c r="W3004">
        <v>0.17154330000000001</v>
      </c>
      <c r="X3004">
        <v>0.95120629999999995</v>
      </c>
      <c r="Y3004">
        <v>0.35573909999999997</v>
      </c>
      <c r="Z3004">
        <v>-1.9645660000000001E-3</v>
      </c>
      <c r="AA3004">
        <v>0.93458319999999995</v>
      </c>
      <c r="AB3004">
        <v>29</v>
      </c>
      <c r="AC3004">
        <v>11.342599999999999</v>
      </c>
      <c r="AD3004">
        <v>-1.106011081591</v>
      </c>
      <c r="AE3004">
        <v>-6.7188999999999899</v>
      </c>
      <c r="AF3004">
        <v>4.8164899030556798</v>
      </c>
      <c r="AG3004">
        <v>-1.106011081591</v>
      </c>
      <c r="AH3004">
        <v>12.172866755730601</v>
      </c>
      <c r="AI3004">
        <v>94.829202198871201</v>
      </c>
      <c r="AJ3004">
        <v>68.412570180304499</v>
      </c>
      <c r="AK3004">
        <v>13.1377517312366</v>
      </c>
      <c r="AL3004">
        <v>80.1224383763021</v>
      </c>
      <c r="AM3004">
        <v>74.910104564679997</v>
      </c>
      <c r="AN3004">
        <v>1.0000000285748001</v>
      </c>
    </row>
    <row r="3005" spans="1:40" x14ac:dyDescent="0.25">
      <c r="A3005" t="str">
        <f>"20190312172720488"</f>
        <v>20190312172720488</v>
      </c>
      <c r="B3005" t="str">
        <f>"1552382840482085"</f>
        <v>1552382840482085</v>
      </c>
      <c r="C3005" t="s">
        <v>40</v>
      </c>
      <c r="D3005">
        <v>3.3246009999999999</v>
      </c>
      <c r="E3005">
        <v>0.54729930000000004</v>
      </c>
      <c r="F3005" t="s">
        <v>47</v>
      </c>
      <c r="G3005">
        <v>-195.77799999999999</v>
      </c>
      <c r="H3005" s="1">
        <v>4.0038079999999999E-6</v>
      </c>
      <c r="I3005">
        <v>207.24850000000001</v>
      </c>
      <c r="J3005">
        <v>-207.05549999999999</v>
      </c>
      <c r="K3005">
        <v>1.105909</v>
      </c>
      <c r="L3005">
        <v>214.0625</v>
      </c>
      <c r="M3005">
        <v>0.9864714</v>
      </c>
      <c r="N3005">
        <v>0</v>
      </c>
      <c r="O3005">
        <v>-0.16324839999999999</v>
      </c>
      <c r="P3005">
        <v>0.89843470000000003</v>
      </c>
      <c r="Q3005">
        <v>0.1595819</v>
      </c>
      <c r="R3005">
        <v>-0.40908309999999998</v>
      </c>
      <c r="S3005">
        <v>2.6677399999999998</v>
      </c>
      <c r="T3005">
        <v>-0.25443460000000001</v>
      </c>
      <c r="U3005">
        <v>-1.580719</v>
      </c>
      <c r="V3005">
        <v>0.25865840000000001</v>
      </c>
      <c r="W3005">
        <v>0.1712196</v>
      </c>
      <c r="X3005">
        <v>0.95067330000000005</v>
      </c>
      <c r="Y3005">
        <v>0.36180699999999999</v>
      </c>
      <c r="Z3005">
        <v>-1.7585949999999999E-3</v>
      </c>
      <c r="AA3005">
        <v>0.93225139999999995</v>
      </c>
      <c r="AB3005">
        <v>29</v>
      </c>
      <c r="AC3005">
        <v>11.2775</v>
      </c>
      <c r="AD3005">
        <v>-1.105904996192</v>
      </c>
      <c r="AE3005">
        <v>-6.8139999999999903</v>
      </c>
      <c r="AF3005">
        <v>4.8471830494330899</v>
      </c>
      <c r="AG3005">
        <v>-1.105904996192</v>
      </c>
      <c r="AH3005">
        <v>12.153064363644701</v>
      </c>
      <c r="AI3005">
        <v>94.831338690782403</v>
      </c>
      <c r="AJ3005">
        <v>68.255686065208707</v>
      </c>
      <c r="AK3005">
        <v>13.130696204017701</v>
      </c>
      <c r="AL3005">
        <v>80.141263470527207</v>
      </c>
      <c r="AM3005">
        <v>74.779449881524798</v>
      </c>
      <c r="AN3005">
        <v>1.0000000213238001</v>
      </c>
    </row>
    <row r="3006" spans="1:40" x14ac:dyDescent="0.25">
      <c r="A3006" t="str">
        <f>"20190312172720509"</f>
        <v>20190312172720509</v>
      </c>
      <c r="B3006" t="str">
        <f>"1552382840501605"</f>
        <v>1552382840501605</v>
      </c>
      <c r="C3006" t="s">
        <v>40</v>
      </c>
      <c r="D3006">
        <v>3.3281290000000001</v>
      </c>
      <c r="E3006">
        <v>0.54709890000000005</v>
      </c>
      <c r="F3006" t="s">
        <v>47</v>
      </c>
      <c r="G3006">
        <v>-195.4794</v>
      </c>
      <c r="H3006" s="1">
        <v>4.0974339999999996E-6</v>
      </c>
      <c r="I3006">
        <v>207.0949</v>
      </c>
      <c r="J3006">
        <v>-206.7903</v>
      </c>
      <c r="K3006">
        <v>1.105812</v>
      </c>
      <c r="L3006">
        <v>214.01320000000001</v>
      </c>
      <c r="M3006">
        <v>0.98562280000000002</v>
      </c>
      <c r="N3006">
        <v>0</v>
      </c>
      <c r="O3006">
        <v>-0.16830980000000001</v>
      </c>
      <c r="P3006">
        <v>0.895061199999999</v>
      </c>
      <c r="Q3006">
        <v>0.1593397</v>
      </c>
      <c r="R3006">
        <v>-0.41650540000000003</v>
      </c>
      <c r="S3006">
        <v>2.6562350000000001</v>
      </c>
      <c r="T3006">
        <v>-0.25376070000000001</v>
      </c>
      <c r="U3006">
        <v>-1.5987849999999999</v>
      </c>
      <c r="V3006">
        <v>0.26168140000000001</v>
      </c>
      <c r="W3006">
        <v>0.17073529999999901</v>
      </c>
      <c r="X3006">
        <v>0.94993280000000002</v>
      </c>
      <c r="Y3006">
        <v>0.36347299999999999</v>
      </c>
      <c r="Z3006">
        <v>-1.4021750000000001E-3</v>
      </c>
      <c r="AA3006">
        <v>0.93160370000000003</v>
      </c>
      <c r="AB3006">
        <v>29</v>
      </c>
      <c r="AC3006">
        <v>11.3109</v>
      </c>
      <c r="AD3006">
        <v>-1.1058079025659999</v>
      </c>
      <c r="AE3006">
        <v>-6.9183000000000101</v>
      </c>
      <c r="AF3006">
        <v>4.8816828157175998</v>
      </c>
      <c r="AG3006">
        <v>-1.1058079025659999</v>
      </c>
      <c r="AH3006">
        <v>12.228988770252499</v>
      </c>
      <c r="AI3006">
        <v>94.800496854681001</v>
      </c>
      <c r="AJ3006">
        <v>68.238639088267206</v>
      </c>
      <c r="AK3006">
        <v>13.2136976117063</v>
      </c>
      <c r="AL3006">
        <v>80.169426417687802</v>
      </c>
      <c r="AM3006">
        <v>74.598524810401301</v>
      </c>
      <c r="AN3006">
        <v>1.00000001114394</v>
      </c>
    </row>
    <row r="3007" spans="1:40" x14ac:dyDescent="0.25">
      <c r="A3007" t="str">
        <f>"20190312172720532"</f>
        <v>20190312172720532</v>
      </c>
      <c r="B3007" t="str">
        <f>"1552382840522100"</f>
        <v>1552382840522100</v>
      </c>
      <c r="C3007" t="s">
        <v>40</v>
      </c>
      <c r="D3007">
        <v>3.3413650000000001</v>
      </c>
      <c r="E3007">
        <v>0.54678380000000004</v>
      </c>
      <c r="F3007" t="s">
        <v>47</v>
      </c>
      <c r="G3007">
        <v>-195.3417</v>
      </c>
      <c r="H3007" s="1">
        <v>4.1464109999999999E-6</v>
      </c>
      <c r="I3007">
        <v>207.00219999999999</v>
      </c>
      <c r="J3007">
        <v>-206.4913</v>
      </c>
      <c r="K3007">
        <v>1.1057079999999999</v>
      </c>
      <c r="L3007">
        <v>213.9556</v>
      </c>
      <c r="M3007">
        <v>0.98460840000000005</v>
      </c>
      <c r="N3007">
        <v>0</v>
      </c>
      <c r="O3007">
        <v>-0.17415829999999999</v>
      </c>
      <c r="P3007">
        <v>0.8915189</v>
      </c>
      <c r="Q3007">
        <v>0.15982550000000001</v>
      </c>
      <c r="R3007">
        <v>-0.4238518</v>
      </c>
      <c r="S3007">
        <v>2.6437840000000001</v>
      </c>
      <c r="T3007">
        <v>-0.25535930000000001</v>
      </c>
      <c r="U3007">
        <v>-1.619003</v>
      </c>
      <c r="V3007">
        <v>0.26391900000000001</v>
      </c>
      <c r="W3007">
        <v>0.170988</v>
      </c>
      <c r="X3007">
        <v>0.949268</v>
      </c>
      <c r="Y3007">
        <v>0.36508269999999998</v>
      </c>
      <c r="Z3007">
        <v>-9.867996E-4</v>
      </c>
      <c r="AA3007">
        <v>0.93097450000000004</v>
      </c>
      <c r="AB3007">
        <v>29</v>
      </c>
      <c r="AC3007">
        <v>11.1495999999999</v>
      </c>
      <c r="AD3007">
        <v>-1.10570385358899</v>
      </c>
      <c r="AE3007">
        <v>-6.95340000000001</v>
      </c>
      <c r="AF3007">
        <v>4.8706209408861199</v>
      </c>
      <c r="AG3007">
        <v>-1.10570385358899</v>
      </c>
      <c r="AH3007">
        <v>12.1045846099326</v>
      </c>
      <c r="AI3007">
        <v>94.843834190810398</v>
      </c>
      <c r="AJ3007">
        <v>68.081220809470807</v>
      </c>
      <c r="AK3007">
        <v>13.0945216766653</v>
      </c>
      <c r="AL3007">
        <v>80.154730934289205</v>
      </c>
      <c r="AM3007">
        <v>74.462808954305601</v>
      </c>
      <c r="AN3007">
        <v>0.99999993526449704</v>
      </c>
    </row>
    <row r="3008" spans="1:40" x14ac:dyDescent="0.25">
      <c r="A3008" t="str">
        <f>"20190312172720555"</f>
        <v>20190312172720555</v>
      </c>
      <c r="B3008" t="str">
        <f>"1552382840552357"</f>
        <v>1552382840552357</v>
      </c>
      <c r="C3008" t="s">
        <v>40</v>
      </c>
      <c r="D3008">
        <v>3.303131</v>
      </c>
      <c r="E3008">
        <v>0.54414180000000001</v>
      </c>
      <c r="F3008" t="s">
        <v>47</v>
      </c>
      <c r="G3008">
        <v>-195.08369999999999</v>
      </c>
      <c r="H3008" s="1">
        <v>4.2495440000000001E-6</v>
      </c>
      <c r="I3008">
        <v>206.8528</v>
      </c>
      <c r="J3008">
        <v>-206.2079</v>
      </c>
      <c r="K3008">
        <v>1.10561</v>
      </c>
      <c r="L3008">
        <v>213.89920000000001</v>
      </c>
      <c r="M3008">
        <v>0.9835874</v>
      </c>
      <c r="N3008">
        <v>0</v>
      </c>
      <c r="O3008">
        <v>-0.17984459999999999</v>
      </c>
      <c r="P3008">
        <v>0.88795590000000002</v>
      </c>
      <c r="Q3008">
        <v>0.1603502</v>
      </c>
      <c r="R3008">
        <v>-0.4310715</v>
      </c>
      <c r="S3008">
        <v>2.6317439999999999</v>
      </c>
      <c r="T3008">
        <v>-0.25508570000000003</v>
      </c>
      <c r="U3008">
        <v>-1.638611</v>
      </c>
      <c r="V3008">
        <v>0.26620349999999998</v>
      </c>
      <c r="W3008">
        <v>0.1713047</v>
      </c>
      <c r="X3008">
        <v>0.94857279999999999</v>
      </c>
      <c r="Y3008">
        <v>0.3666277</v>
      </c>
      <c r="Z3008">
        <v>-5.7217940000000005E-4</v>
      </c>
      <c r="AA3008">
        <v>0.93036759999999996</v>
      </c>
      <c r="AB3008">
        <v>29</v>
      </c>
      <c r="AC3008">
        <v>11.1242</v>
      </c>
      <c r="AD3008">
        <v>-1.105605750456</v>
      </c>
      <c r="AE3008">
        <v>-7.0464000000000002</v>
      </c>
      <c r="AF3008">
        <v>4.8961301960020096</v>
      </c>
      <c r="AG3008">
        <v>-1.105605750456</v>
      </c>
      <c r="AH3008">
        <v>12.1247008013247</v>
      </c>
      <c r="AI3008">
        <v>94.833012603643894</v>
      </c>
      <c r="AJ3008">
        <v>68.010428589698805</v>
      </c>
      <c r="AK3008">
        <v>13.1226073816634</v>
      </c>
      <c r="AL3008">
        <v>80.136314072004794</v>
      </c>
      <c r="AM3008">
        <v>74.323978088749499</v>
      </c>
      <c r="AN3008">
        <v>0.99999998027708903</v>
      </c>
    </row>
    <row r="3009" spans="1:40" x14ac:dyDescent="0.25">
      <c r="A3009" t="str">
        <f>"20190312172720580"</f>
        <v>20190312172720580</v>
      </c>
      <c r="B3009" t="str">
        <f>"1552382840571877"</f>
        <v>1552382840571877</v>
      </c>
      <c r="C3009" t="s">
        <v>40</v>
      </c>
      <c r="D3009">
        <v>3.3548529999999999</v>
      </c>
      <c r="E3009">
        <v>0.54364219999999996</v>
      </c>
      <c r="F3009" t="s">
        <v>47</v>
      </c>
      <c r="G3009">
        <v>-195.4015</v>
      </c>
      <c r="H3009" s="1">
        <v>4.0967680000000003E-6</v>
      </c>
      <c r="I3009">
        <v>207.14959999999999</v>
      </c>
      <c r="J3009">
        <v>-205.88239999999999</v>
      </c>
      <c r="K3009">
        <v>1.1054790000000001</v>
      </c>
      <c r="L3009">
        <v>213.8322</v>
      </c>
      <c r="M3009">
        <v>0.98233590000000004</v>
      </c>
      <c r="N3009">
        <v>0</v>
      </c>
      <c r="O3009">
        <v>-0.1865675</v>
      </c>
      <c r="P3009">
        <v>0.88383349999999905</v>
      </c>
      <c r="Q3009">
        <v>0.16132659999999999</v>
      </c>
      <c r="R3009">
        <v>-0.43910369999999999</v>
      </c>
      <c r="S3009">
        <v>2.6297299999999999</v>
      </c>
      <c r="T3009">
        <v>-0.2690495</v>
      </c>
      <c r="U3009">
        <v>-1.6425019999999999</v>
      </c>
      <c r="V3009">
        <v>0.26841520000000002</v>
      </c>
      <c r="W3009">
        <v>0.17205870000000001</v>
      </c>
      <c r="X3009">
        <v>0.94781280000000001</v>
      </c>
      <c r="Y3009">
        <v>0.36154510000000001</v>
      </c>
      <c r="Z3009">
        <v>2.40108E-4</v>
      </c>
      <c r="AA3009">
        <v>0.93235460000000003</v>
      </c>
      <c r="AB3009">
        <v>29</v>
      </c>
      <c r="AC3009">
        <v>10.480899999999901</v>
      </c>
      <c r="AD3009">
        <v>-1.1054749032319999</v>
      </c>
      <c r="AE3009">
        <v>-6.6825999999999999</v>
      </c>
      <c r="AF3009">
        <v>4.5734696797047896</v>
      </c>
      <c r="AG3009">
        <v>-1.1054749032319999</v>
      </c>
      <c r="AH3009">
        <v>11.4531361847197</v>
      </c>
      <c r="AI3009">
        <v>95.1222485832442</v>
      </c>
      <c r="AJ3009">
        <v>68.232171164290804</v>
      </c>
      <c r="AK3009">
        <v>12.3819638239897</v>
      </c>
      <c r="AL3009">
        <v>80.092462252585094</v>
      </c>
      <c r="AM3009">
        <v>74.188179388742</v>
      </c>
      <c r="AN3009">
        <v>1.0000000098402799</v>
      </c>
    </row>
    <row r="3010" spans="1:40" x14ac:dyDescent="0.25">
      <c r="A3010" t="str">
        <f>"20190312172720601"</f>
        <v>20190312172720601</v>
      </c>
      <c r="B3010" t="str">
        <f>"1552382840592372"</f>
        <v>1552382840592372</v>
      </c>
      <c r="C3010" t="s">
        <v>40</v>
      </c>
      <c r="D3010">
        <v>3.3585609999999999</v>
      </c>
      <c r="E3010">
        <v>0.54305170000000003</v>
      </c>
      <c r="F3010" t="s">
        <v>47</v>
      </c>
      <c r="G3010">
        <v>-194.97649999999999</v>
      </c>
      <c r="H3010" s="1">
        <v>4.255853E-6</v>
      </c>
      <c r="I3010">
        <v>206.90219999999999</v>
      </c>
      <c r="J3010">
        <v>-205.62039999999999</v>
      </c>
      <c r="K3010">
        <v>1.1053539999999999</v>
      </c>
      <c r="L3010">
        <v>213.7764</v>
      </c>
      <c r="M3010">
        <v>0.98126150000000001</v>
      </c>
      <c r="N3010">
        <v>0</v>
      </c>
      <c r="O3010">
        <v>-0.19214400000000001</v>
      </c>
      <c r="P3010">
        <v>0.8797275</v>
      </c>
      <c r="Q3010">
        <v>0.16214579999999901</v>
      </c>
      <c r="R3010">
        <v>-0.44697720000000002</v>
      </c>
      <c r="S3010">
        <v>2.6166529999999999</v>
      </c>
      <c r="T3010">
        <v>-0.26523799999999997</v>
      </c>
      <c r="U3010">
        <v>-1.6627350000000001</v>
      </c>
      <c r="V3010">
        <v>0.27158589999999999</v>
      </c>
      <c r="W3010">
        <v>0.17268149999999999</v>
      </c>
      <c r="X3010">
        <v>0.94679579999999997</v>
      </c>
      <c r="Y3010">
        <v>0.3635236</v>
      </c>
      <c r="Z3010">
        <v>6.3810309999999895E-4</v>
      </c>
      <c r="AA3010">
        <v>0.93158479999999999</v>
      </c>
      <c r="AB3010">
        <v>29</v>
      </c>
      <c r="AC3010">
        <v>10.6439</v>
      </c>
      <c r="AD3010">
        <v>-1.1053497441469999</v>
      </c>
      <c r="AE3010">
        <v>-6.8742000000000001</v>
      </c>
      <c r="AF3010">
        <v>4.6652085632491902</v>
      </c>
      <c r="AG3010">
        <v>-1.1053497441469999</v>
      </c>
      <c r="AH3010">
        <v>11.6776316023289</v>
      </c>
      <c r="AI3010">
        <v>95.023410847880001</v>
      </c>
      <c r="AJ3010">
        <v>68.223313491419304</v>
      </c>
      <c r="AK3010">
        <v>12.623511747339199</v>
      </c>
      <c r="AL3010">
        <v>80.056236564109597</v>
      </c>
      <c r="AM3010">
        <v>73.994599997116197</v>
      </c>
      <c r="AN3010">
        <v>1.00000004420934</v>
      </c>
    </row>
    <row r="3011" spans="1:40" x14ac:dyDescent="0.25">
      <c r="A3011" t="str">
        <f>"20190312172720625"</f>
        <v>20190312172720625</v>
      </c>
      <c r="B3011" t="str">
        <f>"1552382840621652"</f>
        <v>1552382840621652</v>
      </c>
      <c r="C3011" t="s">
        <v>40</v>
      </c>
      <c r="D3011">
        <v>3.3718729999999999</v>
      </c>
      <c r="E3011">
        <v>0.54253459999999998</v>
      </c>
      <c r="F3011" t="s">
        <v>47</v>
      </c>
      <c r="G3011">
        <v>-194.60390000000001</v>
      </c>
      <c r="H3011" s="1">
        <v>4.4237730000000002E-6</v>
      </c>
      <c r="I3011">
        <v>206.6609</v>
      </c>
      <c r="J3011">
        <v>-205.31790000000001</v>
      </c>
      <c r="K3011">
        <v>1.1051979999999999</v>
      </c>
      <c r="L3011">
        <v>213.7099</v>
      </c>
      <c r="M3011">
        <v>0.97993859999999999</v>
      </c>
      <c r="N3011">
        <v>0</v>
      </c>
      <c r="O3011">
        <v>-0.19878589999999999</v>
      </c>
      <c r="P3011">
        <v>0.87529029999999997</v>
      </c>
      <c r="Q3011">
        <v>0.16226309999999999</v>
      </c>
      <c r="R3011">
        <v>-0.4555631</v>
      </c>
      <c r="S3011">
        <v>2.6038209999999999</v>
      </c>
      <c r="T3011">
        <v>-0.26125490000000001</v>
      </c>
      <c r="U3011">
        <v>-1.6817930000000001</v>
      </c>
      <c r="V3011">
        <v>0.27451100000000001</v>
      </c>
      <c r="W3011">
        <v>0.17258609999999999</v>
      </c>
      <c r="X3011">
        <v>0.94596919999999995</v>
      </c>
      <c r="Y3011">
        <v>0.36415540000000002</v>
      </c>
      <c r="Z3011">
        <v>1.179542E-3</v>
      </c>
      <c r="AA3011">
        <v>0.93133750000000004</v>
      </c>
      <c r="AB3011">
        <v>29</v>
      </c>
      <c r="AC3011">
        <v>10.714</v>
      </c>
      <c r="AD3011">
        <v>-1.105193576227</v>
      </c>
      <c r="AE3011">
        <v>-7.0490000000000004</v>
      </c>
      <c r="AF3011">
        <v>4.7430606213089304</v>
      </c>
      <c r="AG3011">
        <v>-1.105193576227</v>
      </c>
      <c r="AH3011">
        <v>11.813789089881601</v>
      </c>
      <c r="AI3011">
        <v>94.961723214393302</v>
      </c>
      <c r="AJ3011">
        <v>68.125273316804893</v>
      </c>
      <c r="AK3011">
        <v>12.778250645473699</v>
      </c>
      <c r="AL3011">
        <v>80.061785346179704</v>
      </c>
      <c r="AM3011">
        <v>73.817788750037806</v>
      </c>
      <c r="AN3011">
        <v>0.99999998919142397</v>
      </c>
    </row>
    <row r="3012" spans="1:40" x14ac:dyDescent="0.25">
      <c r="A3012" t="str">
        <f>"20190312172720651"</f>
        <v>20190312172720651</v>
      </c>
      <c r="B3012" t="str">
        <f>"1552382840642149"</f>
        <v>1552382840642149</v>
      </c>
      <c r="C3012" t="s">
        <v>40</v>
      </c>
      <c r="D3012">
        <v>3.4001739999999998</v>
      </c>
      <c r="E3012">
        <v>0.54233189999999998</v>
      </c>
      <c r="F3012" t="s">
        <v>47</v>
      </c>
      <c r="G3012">
        <v>-194.39660000000001</v>
      </c>
      <c r="H3012" s="1">
        <v>4.518284E-6</v>
      </c>
      <c r="I3012">
        <v>206.52350000000001</v>
      </c>
      <c r="J3012">
        <v>-204.99889999999999</v>
      </c>
      <c r="K3012">
        <v>1.105</v>
      </c>
      <c r="L3012">
        <v>213.6371</v>
      </c>
      <c r="M3012">
        <v>0.97843360000000001</v>
      </c>
      <c r="N3012">
        <v>0</v>
      </c>
      <c r="O3012">
        <v>-0.2060699</v>
      </c>
      <c r="P3012">
        <v>0.87073459999999903</v>
      </c>
      <c r="Q3012">
        <v>0.16197539999999999</v>
      </c>
      <c r="R3012">
        <v>-0.464312</v>
      </c>
      <c r="S3012">
        <v>2.589264</v>
      </c>
      <c r="T3012">
        <v>-0.26202360000000002</v>
      </c>
      <c r="U3012">
        <v>-1.703781</v>
      </c>
      <c r="V3012">
        <v>0.27702009999999899</v>
      </c>
      <c r="W3012">
        <v>0.1720826</v>
      </c>
      <c r="X3012">
        <v>0.94532919999999998</v>
      </c>
      <c r="Y3012">
        <v>0.36516850000000001</v>
      </c>
      <c r="Z3012">
        <v>1.7752410000000001E-3</v>
      </c>
      <c r="AA3012">
        <v>0.93093970000000004</v>
      </c>
      <c r="AB3012">
        <v>29</v>
      </c>
      <c r="AC3012">
        <v>10.6022999999999</v>
      </c>
      <c r="AD3012">
        <v>-1.1049954817159999</v>
      </c>
      <c r="AE3012">
        <v>-7.1135999999999902</v>
      </c>
      <c r="AF3012">
        <v>4.7403480644920197</v>
      </c>
      <c r="AG3012">
        <v>-1.1049954817159999</v>
      </c>
      <c r="AH3012">
        <v>11.752714852523599</v>
      </c>
      <c r="AI3012">
        <v>94.983300873901996</v>
      </c>
      <c r="AJ3012">
        <v>68.033774643205305</v>
      </c>
      <c r="AK3012">
        <v>12.7207791110402</v>
      </c>
      <c r="AL3012">
        <v>80.091071317394295</v>
      </c>
      <c r="AM3012">
        <v>73.667258488626203</v>
      </c>
      <c r="AN3012">
        <v>0.99999992669970195</v>
      </c>
    </row>
    <row r="3013" spans="1:40" x14ac:dyDescent="0.25">
      <c r="A3013" t="str">
        <f>"20190312172720672"</f>
        <v>20190312172720672</v>
      </c>
      <c r="B3013" t="str">
        <f>"1552382840661669"</f>
        <v>1552382840661669</v>
      </c>
      <c r="C3013" t="s">
        <v>40</v>
      </c>
      <c r="D3013">
        <v>3.3953899999999999</v>
      </c>
      <c r="E3013">
        <v>0.53881040000000002</v>
      </c>
      <c r="F3013" t="s">
        <v>47</v>
      </c>
      <c r="G3013">
        <v>-194.18430000000001</v>
      </c>
      <c r="H3013" s="1">
        <v>4.6207490000000004E-6</v>
      </c>
      <c r="I3013">
        <v>206.36689999999999</v>
      </c>
      <c r="J3013">
        <v>-204.71960000000001</v>
      </c>
      <c r="K3013">
        <v>1.104822</v>
      </c>
      <c r="L3013">
        <v>213.57089999999999</v>
      </c>
      <c r="M3013">
        <v>0.97701479999999996</v>
      </c>
      <c r="N3013">
        <v>0</v>
      </c>
      <c r="O3013">
        <v>-0.21269769999999999</v>
      </c>
      <c r="P3013">
        <v>0.86651520000000004</v>
      </c>
      <c r="Q3013">
        <v>0.16169549999999999</v>
      </c>
      <c r="R3013">
        <v>-0.47223540000000003</v>
      </c>
      <c r="S3013">
        <v>2.5721889999999998</v>
      </c>
      <c r="T3013">
        <v>-0.262816099999999</v>
      </c>
      <c r="U3013">
        <v>-1.7291719999999999</v>
      </c>
      <c r="V3013">
        <v>0.27929549999999997</v>
      </c>
      <c r="W3013">
        <v>0.17161570000000001</v>
      </c>
      <c r="X3013">
        <v>0.94474449999999999</v>
      </c>
      <c r="Y3013">
        <v>0.36805510000000002</v>
      </c>
      <c r="Z3013">
        <v>2.2315310000000001E-3</v>
      </c>
      <c r="AA3013">
        <v>0.92980130000000005</v>
      </c>
      <c r="AB3013">
        <v>29</v>
      </c>
      <c r="AC3013">
        <v>10.535299999999999</v>
      </c>
      <c r="AD3013">
        <v>-1.1048173792510001</v>
      </c>
      <c r="AE3013">
        <v>-7.2039999999999997</v>
      </c>
      <c r="AF3013">
        <v>4.7623776211501303</v>
      </c>
      <c r="AG3013">
        <v>-1.1048173792510001</v>
      </c>
      <c r="AH3013">
        <v>11.738647590352301</v>
      </c>
      <c r="AI3013">
        <v>94.984372145019094</v>
      </c>
      <c r="AJ3013">
        <v>67.917570685353297</v>
      </c>
      <c r="AK3013">
        <v>12.7160020957222</v>
      </c>
      <c r="AL3013">
        <v>80.1182279084328</v>
      </c>
      <c r="AM3013">
        <v>73.530701795137105</v>
      </c>
      <c r="AN3013">
        <v>1.00000004754349</v>
      </c>
    </row>
    <row r="3014" spans="1:40" x14ac:dyDescent="0.25">
      <c r="A3014" t="str">
        <f>"20190312172720690"</f>
        <v>20190312172720690</v>
      </c>
      <c r="B3014" t="str">
        <f>"1552382840682164"</f>
        <v>1552382840682164</v>
      </c>
      <c r="C3014" t="s">
        <v>40</v>
      </c>
      <c r="D3014">
        <v>3.3955730000000002</v>
      </c>
      <c r="E3014">
        <v>0.53823889999999996</v>
      </c>
      <c r="F3014" t="s">
        <v>47</v>
      </c>
      <c r="G3014">
        <v>-194.16839999999999</v>
      </c>
      <c r="H3014" s="1">
        <v>4.5878329999999998E-6</v>
      </c>
      <c r="I3014">
        <v>206.4699</v>
      </c>
      <c r="J3014">
        <v>-204.49279999999999</v>
      </c>
      <c r="K3014">
        <v>1.1046879999999999</v>
      </c>
      <c r="L3014">
        <v>213.5155</v>
      </c>
      <c r="M3014">
        <v>0.97579629999999995</v>
      </c>
      <c r="N3014">
        <v>0</v>
      </c>
      <c r="O3014">
        <v>-0.21822159999999999</v>
      </c>
      <c r="P3014">
        <v>0.86285159999999905</v>
      </c>
      <c r="Q3014">
        <v>0.16178119999999999</v>
      </c>
      <c r="R3014">
        <v>-0.4788675</v>
      </c>
      <c r="S3014">
        <v>2.5698240000000001</v>
      </c>
      <c r="T3014">
        <v>-0.26908470000000001</v>
      </c>
      <c r="U3014">
        <v>-1.7294769999999999</v>
      </c>
      <c r="V3014">
        <v>0.28125990000000001</v>
      </c>
      <c r="W3014">
        <v>0.17155599999999999</v>
      </c>
      <c r="X3014">
        <v>0.94417229999999996</v>
      </c>
      <c r="Y3014">
        <v>0.36327359999999997</v>
      </c>
      <c r="Z3014">
        <v>3.0101630000000002E-3</v>
      </c>
      <c r="AA3014">
        <v>0.93167759999999999</v>
      </c>
      <c r="AB3014">
        <v>29</v>
      </c>
      <c r="AC3014">
        <v>10.324399999999899</v>
      </c>
      <c r="AD3014">
        <v>-1.1046834121669999</v>
      </c>
      <c r="AE3014">
        <v>-7.0456000000000003</v>
      </c>
      <c r="AF3014">
        <v>4.5867014609801</v>
      </c>
      <c r="AG3014">
        <v>-1.1046834121669999</v>
      </c>
      <c r="AH3014">
        <v>11.5231737870354</v>
      </c>
      <c r="AI3014">
        <v>95.089880525312793</v>
      </c>
      <c r="AJ3014">
        <v>68.295391464629205</v>
      </c>
      <c r="AK3014">
        <v>12.451573790469</v>
      </c>
      <c r="AL3014">
        <v>80.121699109052599</v>
      </c>
      <c r="AM3014">
        <v>73.411709038152793</v>
      </c>
      <c r="AN3014">
        <v>0.99999996228564902</v>
      </c>
    </row>
    <row r="3015" spans="1:40" x14ac:dyDescent="0.25">
      <c r="A3015" t="str">
        <f>"20190312172720712"</f>
        <v>20190312172720712</v>
      </c>
      <c r="B3015" t="str">
        <f>"1552382840701685"</f>
        <v>1552382840701685</v>
      </c>
      <c r="C3015" t="s">
        <v>40</v>
      </c>
      <c r="D3015">
        <v>3.4103430000000001</v>
      </c>
      <c r="E3015">
        <v>0.53460180000000002</v>
      </c>
      <c r="F3015" t="s">
        <v>47</v>
      </c>
      <c r="G3015">
        <v>-193.82040000000001</v>
      </c>
      <c r="H3015" s="1">
        <v>4.751478E-6</v>
      </c>
      <c r="I3015">
        <v>206.2253</v>
      </c>
      <c r="J3015">
        <v>-204.22380000000001</v>
      </c>
      <c r="K3015">
        <v>1.1045389999999999</v>
      </c>
      <c r="L3015">
        <v>213.44800000000001</v>
      </c>
      <c r="M3015">
        <v>0.97426409999999997</v>
      </c>
      <c r="N3015">
        <v>0</v>
      </c>
      <c r="O3015">
        <v>-0.22496440000000001</v>
      </c>
      <c r="P3015">
        <v>0.85838760000000003</v>
      </c>
      <c r="Q3015">
        <v>0.16273560000000001</v>
      </c>
      <c r="R3015">
        <v>-0.48650539999999998</v>
      </c>
      <c r="S3015">
        <v>2.557083</v>
      </c>
      <c r="T3015">
        <v>-0.26467980000000002</v>
      </c>
      <c r="U3015">
        <v>-1.7467349999999999</v>
      </c>
      <c r="V3015">
        <v>0.28322740000000002</v>
      </c>
      <c r="W3015">
        <v>0.17235039999999999</v>
      </c>
      <c r="X3015">
        <v>0.94343920000000003</v>
      </c>
      <c r="Y3015">
        <v>0.3633189</v>
      </c>
      <c r="Z3015">
        <v>3.5596859999999998E-3</v>
      </c>
      <c r="AA3015">
        <v>0.93165799999999999</v>
      </c>
      <c r="AB3015">
        <v>29</v>
      </c>
      <c r="AC3015">
        <v>10.4034</v>
      </c>
      <c r="AD3015">
        <v>-1.104534248522</v>
      </c>
      <c r="AE3015">
        <v>-7.2226999999999704</v>
      </c>
      <c r="AF3015">
        <v>4.6614383956828496</v>
      </c>
      <c r="AG3015">
        <v>-1.104534248522</v>
      </c>
      <c r="AH3015">
        <v>11.672903902098501</v>
      </c>
      <c r="AI3015">
        <v>95.022023725380805</v>
      </c>
      <c r="AJ3015">
        <v>68.231277892992196</v>
      </c>
      <c r="AK3015">
        <v>12.617673689334801</v>
      </c>
      <c r="AL3015">
        <v>80.075495236379894</v>
      </c>
      <c r="AM3015">
        <v>73.289856052574905</v>
      </c>
      <c r="AN3015">
        <v>0.99999997229377902</v>
      </c>
    </row>
    <row r="3016" spans="1:40" x14ac:dyDescent="0.25">
      <c r="A3016" t="str">
        <f>"20190312172720734"</f>
        <v>20190312172720734</v>
      </c>
      <c r="B3016" t="str">
        <f>"1552382840731941"</f>
        <v>1552382840731941</v>
      </c>
      <c r="C3016" t="s">
        <v>40</v>
      </c>
      <c r="D3016">
        <v>3.3706649999999998</v>
      </c>
      <c r="E3016">
        <v>0.53380319999999903</v>
      </c>
      <c r="F3016" t="s">
        <v>47</v>
      </c>
      <c r="G3016">
        <v>-193.2166</v>
      </c>
      <c r="H3016" s="1">
        <v>4.9906979999999999E-6</v>
      </c>
      <c r="I3016">
        <v>205.9272</v>
      </c>
      <c r="J3016">
        <v>-203.9442</v>
      </c>
      <c r="K3016">
        <v>1.104387</v>
      </c>
      <c r="L3016">
        <v>213.37530000000001</v>
      </c>
      <c r="M3016">
        <v>0.97256670000000001</v>
      </c>
      <c r="N3016">
        <v>0</v>
      </c>
      <c r="O3016">
        <v>-0.2321944</v>
      </c>
      <c r="P3016">
        <v>0.85332600000000003</v>
      </c>
      <c r="Q3016">
        <v>0.16393050000000001</v>
      </c>
      <c r="R3016">
        <v>-0.4949364</v>
      </c>
      <c r="S3016">
        <v>2.5543670000000001</v>
      </c>
      <c r="T3016">
        <v>-0.25632250000000001</v>
      </c>
      <c r="U3016">
        <v>-1.74528499999999</v>
      </c>
      <c r="V3016">
        <v>0.28565000000000002</v>
      </c>
      <c r="W3016">
        <v>0.17337649999999999</v>
      </c>
      <c r="X3016">
        <v>0.94252040000000004</v>
      </c>
      <c r="Y3016">
        <v>0.35656739999999998</v>
      </c>
      <c r="Z3016">
        <v>4.3766949999999999E-3</v>
      </c>
      <c r="AA3016">
        <v>0.93425939999999996</v>
      </c>
      <c r="AB3016">
        <v>29</v>
      </c>
      <c r="AC3016">
        <v>10.727599999999899</v>
      </c>
      <c r="AD3016">
        <v>-1.104382009302</v>
      </c>
      <c r="AE3016">
        <v>-7.4481000000000099</v>
      </c>
      <c r="AF3016">
        <v>4.7196098288721098</v>
      </c>
      <c r="AG3016">
        <v>-1.104382009302</v>
      </c>
      <c r="AH3016">
        <v>12.077560913852301</v>
      </c>
      <c r="AI3016">
        <v>94.868069834597193</v>
      </c>
      <c r="AJ3016">
        <v>68.655680542315594</v>
      </c>
      <c r="AK3016">
        <v>13.013910026854701</v>
      </c>
      <c r="AL3016">
        <v>80.015805919853307</v>
      </c>
      <c r="AM3016">
        <v>73.139499017060103</v>
      </c>
      <c r="AN3016">
        <v>1.0000000188342</v>
      </c>
    </row>
    <row r="3017" spans="1:40" x14ac:dyDescent="0.25">
      <c r="A3017" t="str">
        <f>"20190312172720757"</f>
        <v>20190312172720757</v>
      </c>
      <c r="B3017" t="str">
        <f>"1552382840752437"</f>
        <v>1552382840752437</v>
      </c>
      <c r="C3017" t="s">
        <v>40</v>
      </c>
      <c r="D3017">
        <v>3.3952260000000001</v>
      </c>
      <c r="E3017">
        <v>0.53347979999999995</v>
      </c>
      <c r="F3017" t="s">
        <v>47</v>
      </c>
      <c r="G3017">
        <v>-192.9907</v>
      </c>
      <c r="H3017" s="1">
        <v>5.0984119999999997E-6</v>
      </c>
      <c r="I3017">
        <v>205.76429999999999</v>
      </c>
      <c r="J3017">
        <v>-203.66419999999999</v>
      </c>
      <c r="K3017">
        <v>1.1042299999999901</v>
      </c>
      <c r="L3017">
        <v>213.30009999999999</v>
      </c>
      <c r="M3017">
        <v>0.97075429999999996</v>
      </c>
      <c r="N3017">
        <v>0</v>
      </c>
      <c r="O3017">
        <v>-0.2396595</v>
      </c>
      <c r="P3017">
        <v>0.84808809999999901</v>
      </c>
      <c r="Q3017">
        <v>0.1640549</v>
      </c>
      <c r="R3017">
        <v>-0.5038184</v>
      </c>
      <c r="S3017">
        <v>2.5408629999999999</v>
      </c>
      <c r="T3017">
        <v>-0.2561812</v>
      </c>
      <c r="U3017">
        <v>-1.7655179999999999</v>
      </c>
      <c r="V3017">
        <v>0.28832809999999998</v>
      </c>
      <c r="W3017">
        <v>0.1733324</v>
      </c>
      <c r="X3017">
        <v>0.94171269999999996</v>
      </c>
      <c r="Y3017">
        <v>0.35675859999999998</v>
      </c>
      <c r="Z3017">
        <v>5.0099659999999898E-3</v>
      </c>
      <c r="AA3017">
        <v>0.93418319999999999</v>
      </c>
      <c r="AB3017">
        <v>29</v>
      </c>
      <c r="AC3017">
        <v>10.673499999999899</v>
      </c>
      <c r="AD3017">
        <v>-1.1042249015879999</v>
      </c>
      <c r="AE3017">
        <v>-7.5357999999999903</v>
      </c>
      <c r="AF3017">
        <v>4.72413676607834</v>
      </c>
      <c r="AG3017">
        <v>-1.1042249015879999</v>
      </c>
      <c r="AH3017">
        <v>12.0822874784341</v>
      </c>
      <c r="AI3017">
        <v>94.865121512444503</v>
      </c>
      <c r="AJ3017">
        <v>68.644656436978593</v>
      </c>
      <c r="AK3017">
        <v>13.019925173726</v>
      </c>
      <c r="AL3017">
        <v>80.018371436434407</v>
      </c>
      <c r="AM3017">
        <v>72.976765179434807</v>
      </c>
      <c r="AN3017">
        <v>1.00000001174032</v>
      </c>
    </row>
    <row r="3018" spans="1:40" x14ac:dyDescent="0.25">
      <c r="A3018" t="str">
        <f>"20190312172720780"</f>
        <v>20190312172720780</v>
      </c>
      <c r="B3018" t="str">
        <f>"1552382840771957"</f>
        <v>1552382840771957</v>
      </c>
      <c r="C3018" t="s">
        <v>40</v>
      </c>
      <c r="D3018">
        <v>3.3920569999999999</v>
      </c>
      <c r="E3018">
        <v>0.53675309999999998</v>
      </c>
      <c r="F3018" t="s">
        <v>47</v>
      </c>
      <c r="G3018">
        <v>-192.80869999999999</v>
      </c>
      <c r="H3018" s="1">
        <v>5.1975120000000001E-6</v>
      </c>
      <c r="I3018">
        <v>205.59809999999999</v>
      </c>
      <c r="J3018">
        <v>-203.36969999999999</v>
      </c>
      <c r="K3018">
        <v>1.1040540000000001</v>
      </c>
      <c r="L3018">
        <v>213.2183</v>
      </c>
      <c r="M3018">
        <v>0.96871910000000006</v>
      </c>
      <c r="N3018">
        <v>0</v>
      </c>
      <c r="O3018">
        <v>-0.24775820000000001</v>
      </c>
      <c r="P3018">
        <v>0.84241699999999997</v>
      </c>
      <c r="Q3018">
        <v>0.1640355</v>
      </c>
      <c r="R3018">
        <v>-0.5132504</v>
      </c>
      <c r="S3018">
        <v>2.5234070000000002</v>
      </c>
      <c r="T3018">
        <v>-0.2566812</v>
      </c>
      <c r="U3018">
        <v>-1.790359</v>
      </c>
      <c r="V3018">
        <v>0.29104970000000002</v>
      </c>
      <c r="W3018">
        <v>0.1731347</v>
      </c>
      <c r="X3018">
        <v>0.94091150000000001</v>
      </c>
      <c r="Y3018">
        <v>0.3581434</v>
      </c>
      <c r="Z3018">
        <v>5.6600340000000004E-3</v>
      </c>
      <c r="AA3018">
        <v>0.93364939999999996</v>
      </c>
      <c r="AB3018">
        <v>29</v>
      </c>
      <c r="AC3018">
        <v>10.561</v>
      </c>
      <c r="AD3018">
        <v>-1.104048802488</v>
      </c>
      <c r="AE3018">
        <v>-7.6202000000000103</v>
      </c>
      <c r="AF3018">
        <v>4.73172685303064</v>
      </c>
      <c r="AG3018">
        <v>-1.104048802488</v>
      </c>
      <c r="AH3018">
        <v>12.033333452423699</v>
      </c>
      <c r="AI3018">
        <v>94.880374937469995</v>
      </c>
      <c r="AJ3018">
        <v>68.534340046106394</v>
      </c>
      <c r="AK3018">
        <v>12.9772599861136</v>
      </c>
      <c r="AL3018">
        <v>80.029872599267804</v>
      </c>
      <c r="AM3018">
        <v>72.811729351583907</v>
      </c>
      <c r="AN3018">
        <v>1.00000000152321</v>
      </c>
    </row>
    <row r="3019" spans="1:40" x14ac:dyDescent="0.25">
      <c r="A3019" t="str">
        <f>"20190312172720801"</f>
        <v>20190312172720801</v>
      </c>
      <c r="B3019" t="str">
        <f>"1552382840792453"</f>
        <v>1552382840792453</v>
      </c>
      <c r="C3019" t="s">
        <v>40</v>
      </c>
      <c r="D3019">
        <v>3.349898</v>
      </c>
      <c r="E3019">
        <v>0.57090929999999995</v>
      </c>
      <c r="F3019" t="s">
        <v>47</v>
      </c>
      <c r="G3019">
        <v>-192.65129999999999</v>
      </c>
      <c r="H3019" s="1">
        <v>5.3433799999999998E-6</v>
      </c>
      <c r="I3019">
        <v>205.2841</v>
      </c>
      <c r="J3019">
        <v>-203.11779999999999</v>
      </c>
      <c r="K3019">
        <v>1.1038870000000001</v>
      </c>
      <c r="L3019">
        <v>213.14590000000001</v>
      </c>
      <c r="M3019">
        <v>0.96686490000000003</v>
      </c>
      <c r="N3019">
        <v>0</v>
      </c>
      <c r="O3019">
        <v>-0.25489810000000002</v>
      </c>
      <c r="P3019">
        <v>0.83729900000000002</v>
      </c>
      <c r="Q3019">
        <v>0.16374359999999999</v>
      </c>
      <c r="R3019">
        <v>-0.52164999999999995</v>
      </c>
      <c r="S3019">
        <v>2.488693</v>
      </c>
      <c r="T3019">
        <v>-0.25634869999999998</v>
      </c>
      <c r="U3019">
        <v>-1.8422240000000001</v>
      </c>
      <c r="V3019">
        <v>0.29357159999999999</v>
      </c>
      <c r="W3019">
        <v>0.1726838</v>
      </c>
      <c r="X3019">
        <v>0.94021060000000001</v>
      </c>
      <c r="Y3019">
        <v>0.37002299999999999</v>
      </c>
      <c r="Z3019">
        <v>5.7392459999999999E-3</v>
      </c>
      <c r="AA3019">
        <v>0.92900490000000002</v>
      </c>
      <c r="AB3019">
        <v>28</v>
      </c>
      <c r="AC3019">
        <v>10.4664999999999</v>
      </c>
      <c r="AD3019">
        <v>-1.10388165662</v>
      </c>
      <c r="AE3019">
        <v>-7.8618000000000103</v>
      </c>
      <c r="AF3019">
        <v>4.8990604838537903</v>
      </c>
      <c r="AG3019">
        <v>-1.10388165662</v>
      </c>
      <c r="AH3019">
        <v>12.0392429382049</v>
      </c>
      <c r="AI3019">
        <v>94.854367440468195</v>
      </c>
      <c r="AJ3019">
        <v>67.857397955441797</v>
      </c>
      <c r="AK3019">
        <v>13.044643301424401</v>
      </c>
      <c r="AL3019">
        <v>80.056102086096899</v>
      </c>
      <c r="AM3019">
        <v>72.659534472129195</v>
      </c>
      <c r="AN3019">
        <v>0.999999975730679</v>
      </c>
    </row>
    <row r="3020" spans="1:40" x14ac:dyDescent="0.25">
      <c r="A3020" t="str">
        <f>"20190312172720827"</f>
        <v>20190312172720827</v>
      </c>
      <c r="B3020" t="str">
        <f>"1552382840821732"</f>
        <v>1552382840821732</v>
      </c>
      <c r="C3020" t="s">
        <v>40</v>
      </c>
      <c r="D3020">
        <v>3.3786740000000002</v>
      </c>
      <c r="E3020">
        <v>0.57060089999999997</v>
      </c>
      <c r="F3020" t="s">
        <v>47</v>
      </c>
      <c r="G3020">
        <v>-192.68639999999999</v>
      </c>
      <c r="H3020" s="1">
        <v>5.8092040000000003E-6</v>
      </c>
      <c r="I3020">
        <v>203.7193</v>
      </c>
      <c r="J3020">
        <v>-202.80240000000001</v>
      </c>
      <c r="K3020">
        <v>1.1036729999999999</v>
      </c>
      <c r="L3020">
        <v>213.05240000000001</v>
      </c>
      <c r="M3020">
        <v>0.96438950000000001</v>
      </c>
      <c r="N3020">
        <v>0</v>
      </c>
      <c r="O3020">
        <v>-0.26410889999999998</v>
      </c>
      <c r="P3020">
        <v>0.83060009999999995</v>
      </c>
      <c r="Q3020">
        <v>0.16441629999999999</v>
      </c>
      <c r="R3020">
        <v>-0.53204449999999903</v>
      </c>
      <c r="S3020">
        <v>2.3230900000000001</v>
      </c>
      <c r="T3020">
        <v>-0.24583730000000001</v>
      </c>
      <c r="U3020">
        <v>-2.099335</v>
      </c>
      <c r="V3020">
        <v>0.2964599</v>
      </c>
      <c r="W3020">
        <v>0.1731558</v>
      </c>
      <c r="X3020">
        <v>0.93921699999999997</v>
      </c>
      <c r="Y3020">
        <v>0.45013350000000002</v>
      </c>
      <c r="Z3020">
        <v>2.727199E-3</v>
      </c>
      <c r="AA3020">
        <v>0.89295720000000001</v>
      </c>
      <c r="AB3020">
        <v>28</v>
      </c>
      <c r="AC3020">
        <v>10.116</v>
      </c>
      <c r="AD3020">
        <v>-1.1036671907959901</v>
      </c>
      <c r="AE3020">
        <v>-9.3331</v>
      </c>
      <c r="AF3020">
        <v>6.2892100678713598</v>
      </c>
      <c r="AG3020">
        <v>-1.1036671907959901</v>
      </c>
      <c r="AH3020">
        <v>12.143853687312401</v>
      </c>
      <c r="AI3020">
        <v>94.613898412227201</v>
      </c>
      <c r="AJ3020">
        <v>62.620702349447797</v>
      </c>
      <c r="AK3020">
        <v>13.720256080872</v>
      </c>
      <c r="AL3020">
        <v>80.028644984973695</v>
      </c>
      <c r="AM3020">
        <v>72.481917435927997</v>
      </c>
      <c r="AN3020">
        <v>0.99999998823532399</v>
      </c>
    </row>
    <row r="3021" spans="1:40" x14ac:dyDescent="0.25">
      <c r="A3021" t="str">
        <f>"20190312172720853"</f>
        <v>20190312172720853</v>
      </c>
      <c r="B3021" t="str">
        <f>"1552382840842228"</f>
        <v>1552382840842228</v>
      </c>
      <c r="C3021" t="s">
        <v>40</v>
      </c>
      <c r="D3021">
        <v>3.3192650000000001</v>
      </c>
      <c r="E3021">
        <v>0.57023140000000005</v>
      </c>
      <c r="F3021" t="s">
        <v>47</v>
      </c>
      <c r="G3021">
        <v>-192.21729999999999</v>
      </c>
      <c r="H3021" s="1">
        <v>6.0607339999999999E-6</v>
      </c>
      <c r="I3021">
        <v>203.24369999999999</v>
      </c>
      <c r="J3021">
        <v>-202.4796</v>
      </c>
      <c r="K3021">
        <v>1.1034550000000001</v>
      </c>
      <c r="L3021">
        <v>212.95249999999999</v>
      </c>
      <c r="M3021">
        <v>0.96165060000000002</v>
      </c>
      <c r="N3021">
        <v>0</v>
      </c>
      <c r="O3021">
        <v>-0.27391330000000003</v>
      </c>
      <c r="P3021">
        <v>0.82325139999999997</v>
      </c>
      <c r="Q3021">
        <v>0.16456399999999999</v>
      </c>
      <c r="R3021">
        <v>-0.54330089999999998</v>
      </c>
      <c r="S3021">
        <v>2.2962340000000001</v>
      </c>
      <c r="T3021">
        <v>-0.2394184</v>
      </c>
      <c r="U3021">
        <v>-2.1278079999999999</v>
      </c>
      <c r="V3021">
        <v>0.29979159999999999</v>
      </c>
      <c r="W3021">
        <v>0.17309150000000001</v>
      </c>
      <c r="X3021">
        <v>0.93817070000000002</v>
      </c>
      <c r="Y3021">
        <v>0.4522523</v>
      </c>
      <c r="Z3021">
        <v>3.3630880000000002E-3</v>
      </c>
      <c r="AA3021">
        <v>0.89188369999999995</v>
      </c>
      <c r="AB3021">
        <v>28</v>
      </c>
      <c r="AC3021">
        <v>10.2623</v>
      </c>
      <c r="AD3021">
        <v>-1.1034489392660001</v>
      </c>
      <c r="AE3021">
        <v>-9.7087999999999894</v>
      </c>
      <c r="AF3021">
        <v>6.4865701171153498</v>
      </c>
      <c r="AG3021">
        <v>-1.1034489392660001</v>
      </c>
      <c r="AH3021">
        <v>12.4533896322184</v>
      </c>
      <c r="AI3021">
        <v>94.4933586225402</v>
      </c>
      <c r="AJ3021">
        <v>62.486442338646697</v>
      </c>
      <c r="AK3021">
        <v>14.0847472386858</v>
      </c>
      <c r="AL3021">
        <v>80.032385368208097</v>
      </c>
      <c r="AM3021">
        <v>72.278766528358503</v>
      </c>
      <c r="AN3021">
        <v>0.99999996657064905</v>
      </c>
    </row>
    <row r="3022" spans="1:40" x14ac:dyDescent="0.25">
      <c r="A3022" t="str">
        <f>"20190312172720874"</f>
        <v>20190312172720874</v>
      </c>
      <c r="B3022" t="str">
        <f>"1552382840861748"</f>
        <v>1552382840861748</v>
      </c>
      <c r="C3022" t="s">
        <v>40</v>
      </c>
      <c r="D3022">
        <v>3.3607969999999998</v>
      </c>
      <c r="E3022">
        <v>0.56975480000000001</v>
      </c>
      <c r="F3022" t="s">
        <v>47</v>
      </c>
      <c r="G3022">
        <v>-192.09889999999999</v>
      </c>
      <c r="H3022" s="1">
        <v>6.1471239999999998E-6</v>
      </c>
      <c r="I3022">
        <v>203.0883</v>
      </c>
      <c r="J3022">
        <v>-202.22020000000001</v>
      </c>
      <c r="K3022">
        <v>1.1032820000000001</v>
      </c>
      <c r="L3022">
        <v>212.86940000000001</v>
      </c>
      <c r="M3022">
        <v>0.95930230000000005</v>
      </c>
      <c r="N3022">
        <v>0</v>
      </c>
      <c r="O3022">
        <v>-0.282026</v>
      </c>
      <c r="P3022">
        <v>0.81673200000000001</v>
      </c>
      <c r="Q3022">
        <v>0.16462589999999999</v>
      </c>
      <c r="R3022">
        <v>-0.55303429999999998</v>
      </c>
      <c r="S3022">
        <v>2.2692570000000001</v>
      </c>
      <c r="T3022">
        <v>-0.24121899999999999</v>
      </c>
      <c r="U3022">
        <v>-2.156342</v>
      </c>
      <c r="V3022">
        <v>0.30308610000000002</v>
      </c>
      <c r="W3022">
        <v>0.17297409999999999</v>
      </c>
      <c r="X3022">
        <v>0.93713329999999995</v>
      </c>
      <c r="Y3022">
        <v>0.45590629999999999</v>
      </c>
      <c r="Z3022">
        <v>3.8958299999999999E-3</v>
      </c>
      <c r="AA3022">
        <v>0.89001929999999996</v>
      </c>
      <c r="AB3022">
        <v>28</v>
      </c>
      <c r="AC3022">
        <v>10.1213</v>
      </c>
      <c r="AD3022">
        <v>-1.1032758528759901</v>
      </c>
      <c r="AE3022">
        <v>-9.7811000000000092</v>
      </c>
      <c r="AF3022">
        <v>6.48934495571672</v>
      </c>
      <c r="AG3022">
        <v>-1.1032758528759901</v>
      </c>
      <c r="AH3022">
        <v>12.393016241520201</v>
      </c>
      <c r="AI3022">
        <v>94.509361506259793</v>
      </c>
      <c r="AJ3022">
        <v>62.362133383840202</v>
      </c>
      <c r="AK3022">
        <v>14.0326642917305</v>
      </c>
      <c r="AL3022">
        <v>80.039215473384502</v>
      </c>
      <c r="AM3022">
        <v>72.077841156058099</v>
      </c>
      <c r="AN3022">
        <v>1.00000002262645</v>
      </c>
    </row>
    <row r="3023" spans="1:40" x14ac:dyDescent="0.25">
      <c r="A3023" t="str">
        <f>"20190312172720892"</f>
        <v>20190312172720892</v>
      </c>
      <c r="B3023" t="str">
        <f>"1552382840882245"</f>
        <v>1552382840882245</v>
      </c>
      <c r="C3023" t="s">
        <v>40</v>
      </c>
      <c r="D3023">
        <v>3.3460589999999901</v>
      </c>
      <c r="E3023">
        <v>0.56903890000000001</v>
      </c>
      <c r="F3023" t="s">
        <v>47</v>
      </c>
      <c r="G3023">
        <v>-192.0016</v>
      </c>
      <c r="H3023" s="1">
        <v>6.2236440000000004E-6</v>
      </c>
      <c r="I3023">
        <v>202.9452</v>
      </c>
      <c r="J3023">
        <v>-201.9958</v>
      </c>
      <c r="K3023">
        <v>1.1031470000000001</v>
      </c>
      <c r="L3023">
        <v>212.7954</v>
      </c>
      <c r="M3023">
        <v>0.95716520000000005</v>
      </c>
      <c r="N3023">
        <v>0</v>
      </c>
      <c r="O3023">
        <v>-0.2891958</v>
      </c>
      <c r="P3023">
        <v>0.81077119999999903</v>
      </c>
      <c r="Q3023">
        <v>0.165433</v>
      </c>
      <c r="R3023">
        <v>-0.56150009999999995</v>
      </c>
      <c r="S3023">
        <v>2.245422</v>
      </c>
      <c r="T3023">
        <v>-0.24243190000000001</v>
      </c>
      <c r="U3023">
        <v>-2.1807249999999998</v>
      </c>
      <c r="V3023">
        <v>0.30594559999999998</v>
      </c>
      <c r="W3023">
        <v>0.1736325</v>
      </c>
      <c r="X3023">
        <v>0.93608179999999996</v>
      </c>
      <c r="Y3023">
        <v>0.45894430000000003</v>
      </c>
      <c r="Z3023">
        <v>4.3762530000000001E-3</v>
      </c>
      <c r="AA3023">
        <v>0.88845429999999903</v>
      </c>
      <c r="AB3023">
        <v>28</v>
      </c>
      <c r="AC3023">
        <v>9.9941999999999993</v>
      </c>
      <c r="AD3023">
        <v>-1.1031407763559999</v>
      </c>
      <c r="AE3023">
        <v>-9.8501999999999992</v>
      </c>
      <c r="AF3023">
        <v>6.49848269974001</v>
      </c>
      <c r="AG3023">
        <v>-1.1031407763559999</v>
      </c>
      <c r="AH3023">
        <v>12.339721819257299</v>
      </c>
      <c r="AI3023">
        <v>94.522635306096802</v>
      </c>
      <c r="AJ3023">
        <v>62.227308961272001</v>
      </c>
      <c r="AK3023">
        <v>13.9898510195047</v>
      </c>
      <c r="AL3023">
        <v>80.000912582234207</v>
      </c>
      <c r="AM3023">
        <v>71.900724081261103</v>
      </c>
      <c r="AN3023">
        <v>1.0000000457534199</v>
      </c>
    </row>
    <row r="3024" spans="1:40" x14ac:dyDescent="0.25">
      <c r="A3024" t="str">
        <f>"20190312172720917"</f>
        <v>20190312172720917</v>
      </c>
      <c r="B3024" t="str">
        <f>"1552382840912501"</f>
        <v>1552382840912501</v>
      </c>
      <c r="C3024" t="s">
        <v>40</v>
      </c>
      <c r="D3024">
        <v>3.34639</v>
      </c>
      <c r="E3024">
        <v>0.56786689999999995</v>
      </c>
      <c r="F3024" t="s">
        <v>47</v>
      </c>
      <c r="G3024">
        <v>-191.77250000000001</v>
      </c>
      <c r="H3024" s="1">
        <v>6.3744959999999996E-6</v>
      </c>
      <c r="I3024">
        <v>202.6908</v>
      </c>
      <c r="J3024">
        <v>-201.69810000000001</v>
      </c>
      <c r="K3024">
        <v>1.102976</v>
      </c>
      <c r="L3024">
        <v>212.69399999999999</v>
      </c>
      <c r="M3024">
        <v>0.95416429999999997</v>
      </c>
      <c r="N3024">
        <v>0</v>
      </c>
      <c r="O3024">
        <v>-0.29894730000000003</v>
      </c>
      <c r="P3024">
        <v>0.80330059999999903</v>
      </c>
      <c r="Q3024">
        <v>0.1656976</v>
      </c>
      <c r="R3024">
        <v>-0.57206009999999996</v>
      </c>
      <c r="S3024">
        <v>2.2256770000000001</v>
      </c>
      <c r="T3024">
        <v>-0.24016119999999999</v>
      </c>
      <c r="U3024">
        <v>-2.1998440000000001</v>
      </c>
      <c r="V3024">
        <v>0.30873899999999999</v>
      </c>
      <c r="W3024">
        <v>0.1737301</v>
      </c>
      <c r="X3024">
        <v>0.93514600000000003</v>
      </c>
      <c r="Y3024">
        <v>0.45771659999999997</v>
      </c>
      <c r="Z3024">
        <v>5.1930420000000001E-3</v>
      </c>
      <c r="AA3024">
        <v>0.88908299999999996</v>
      </c>
      <c r="AB3024">
        <v>28</v>
      </c>
      <c r="AC3024">
        <v>9.9255999999999993</v>
      </c>
      <c r="AD3024">
        <v>-1.102969625504</v>
      </c>
      <c r="AE3024">
        <v>-10.0032</v>
      </c>
      <c r="AF3024">
        <v>6.5380728714405896</v>
      </c>
      <c r="AG3024">
        <v>-1.102969625504</v>
      </c>
      <c r="AH3024">
        <v>12.386453959337199</v>
      </c>
      <c r="AI3024">
        <v>94.502708519302601</v>
      </c>
      <c r="AJ3024">
        <v>62.173089942731899</v>
      </c>
      <c r="AK3024">
        <v>14.049454813402299</v>
      </c>
      <c r="AL3024">
        <v>79.995233544825894</v>
      </c>
      <c r="AM3024">
        <v>71.729329769257902</v>
      </c>
      <c r="AN3024">
        <v>0.99999997954150399</v>
      </c>
    </row>
    <row r="3025" spans="1:40" x14ac:dyDescent="0.25">
      <c r="A3025" t="str">
        <f>"20190312172720937"</f>
        <v>20190312172720937</v>
      </c>
      <c r="B3025" t="str">
        <f>"1552382840932021"</f>
        <v>1552382840932021</v>
      </c>
      <c r="C3025" t="s">
        <v>40</v>
      </c>
      <c r="D3025">
        <v>3.3544830000000001</v>
      </c>
      <c r="E3025">
        <v>0.56752880000000006</v>
      </c>
      <c r="F3025" t="s">
        <v>47</v>
      </c>
      <c r="G3025">
        <v>-191.60489999999999</v>
      </c>
      <c r="H3025" s="1">
        <v>6.48569899999999E-6</v>
      </c>
      <c r="I3025">
        <v>202.50239999999999</v>
      </c>
      <c r="J3025">
        <v>-201.45920000000001</v>
      </c>
      <c r="K3025">
        <v>1.102841</v>
      </c>
      <c r="L3025">
        <v>212.61</v>
      </c>
      <c r="M3025">
        <v>0.95162029999999997</v>
      </c>
      <c r="N3025">
        <v>0</v>
      </c>
      <c r="O3025">
        <v>-0.30694840000000001</v>
      </c>
      <c r="P3025">
        <v>0.7974831</v>
      </c>
      <c r="Q3025">
        <v>0.165244</v>
      </c>
      <c r="R3025">
        <v>-0.58027229999999996</v>
      </c>
      <c r="S3025">
        <v>2.2012939999999999</v>
      </c>
      <c r="T3025">
        <v>-0.24055489999999999</v>
      </c>
      <c r="U3025">
        <v>-2.222763</v>
      </c>
      <c r="V3025">
        <v>0.31050319999999998</v>
      </c>
      <c r="W3025">
        <v>0.17315820000000001</v>
      </c>
      <c r="X3025">
        <v>0.93466780000000005</v>
      </c>
      <c r="Y3025">
        <v>0.45976790000000001</v>
      </c>
      <c r="Z3025">
        <v>5.7756400000000003E-3</v>
      </c>
      <c r="AA3025">
        <v>0.88802029999999998</v>
      </c>
      <c r="AB3025">
        <v>28</v>
      </c>
      <c r="AC3025">
        <v>9.8543000000000198</v>
      </c>
      <c r="AD3025">
        <v>-1.1028345143010001</v>
      </c>
      <c r="AE3025">
        <v>-10.1076</v>
      </c>
      <c r="AF3025">
        <v>6.5544949218252802</v>
      </c>
      <c r="AG3025">
        <v>-1.1028345143010001</v>
      </c>
      <c r="AH3025">
        <v>12.4056037626086</v>
      </c>
      <c r="AI3025">
        <v>94.494297214070897</v>
      </c>
      <c r="AJ3025">
        <v>62.150287649399999</v>
      </c>
      <c r="AK3025">
        <v>14.0739707389569</v>
      </c>
      <c r="AL3025">
        <v>80.028504959707902</v>
      </c>
      <c r="AM3025">
        <v>71.623150738927293</v>
      </c>
      <c r="AN3025">
        <v>0.99999994789715796</v>
      </c>
    </row>
    <row r="3026" spans="1:40" x14ac:dyDescent="0.25">
      <c r="A3026" t="str">
        <f>"20190312172720959"</f>
        <v>20190312172720959</v>
      </c>
      <c r="B3026" t="str">
        <f>"1552382840952517"</f>
        <v>1552382840952517</v>
      </c>
      <c r="C3026" t="s">
        <v>40</v>
      </c>
      <c r="D3026">
        <v>3.3321900000000002</v>
      </c>
      <c r="E3026">
        <v>0.56007859999999998</v>
      </c>
      <c r="F3026" t="s">
        <v>47</v>
      </c>
      <c r="G3026">
        <v>-191.50040000000001</v>
      </c>
      <c r="H3026" s="1">
        <v>6.5659860000000004E-6</v>
      </c>
      <c r="I3026">
        <v>202.35390000000001</v>
      </c>
      <c r="J3026">
        <v>-201.19630000000001</v>
      </c>
      <c r="K3026">
        <v>1.102697</v>
      </c>
      <c r="L3026">
        <v>212.51480000000001</v>
      </c>
      <c r="M3026">
        <v>0.9486734</v>
      </c>
      <c r="N3026">
        <v>0</v>
      </c>
      <c r="O3026">
        <v>-0.3159381</v>
      </c>
      <c r="P3026">
        <v>0.79029079999999996</v>
      </c>
      <c r="Q3026">
        <v>0.16516210000000001</v>
      </c>
      <c r="R3026">
        <v>-0.5900531</v>
      </c>
      <c r="S3026">
        <v>2.1789860000000001</v>
      </c>
      <c r="T3026">
        <v>-0.2413005</v>
      </c>
      <c r="U3026">
        <v>-2.2440340000000001</v>
      </c>
      <c r="V3026">
        <v>0.31323250000000002</v>
      </c>
      <c r="W3026">
        <v>0.17293039999999901</v>
      </c>
      <c r="X3026">
        <v>0.93379900000000005</v>
      </c>
      <c r="Y3026">
        <v>0.46013559999999998</v>
      </c>
      <c r="Z3026">
        <v>6.526006E-3</v>
      </c>
      <c r="AA3026">
        <v>0.88782469999999902</v>
      </c>
      <c r="AB3026">
        <v>28</v>
      </c>
      <c r="AC3026">
        <v>9.6958999999999893</v>
      </c>
      <c r="AD3026">
        <v>-1.102690434014</v>
      </c>
      <c r="AE3026">
        <v>-10.1608999999999</v>
      </c>
      <c r="AF3026">
        <v>6.5364429709495404</v>
      </c>
      <c r="AG3026">
        <v>-1.102690434014</v>
      </c>
      <c r="AH3026">
        <v>12.333682700652201</v>
      </c>
      <c r="AI3026">
        <v>94.516799814389401</v>
      </c>
      <c r="AJ3026">
        <v>62.077893129452598</v>
      </c>
      <c r="AK3026">
        <v>14.0021691843125</v>
      </c>
      <c r="AL3026">
        <v>80.041757857049603</v>
      </c>
      <c r="AM3026">
        <v>71.456544290005496</v>
      </c>
      <c r="AN3026">
        <v>1.0000000473507</v>
      </c>
    </row>
    <row r="3027" spans="1:40" x14ac:dyDescent="0.25">
      <c r="A3027" t="str">
        <f>"20190312172720981"</f>
        <v>20190312172720981</v>
      </c>
      <c r="B3027" t="str">
        <f>"1552382840972037"</f>
        <v>1552382840972037</v>
      </c>
      <c r="C3027" t="s">
        <v>40</v>
      </c>
      <c r="D3027">
        <v>3.3720509999999999</v>
      </c>
      <c r="E3027">
        <v>0.55982019999999899</v>
      </c>
      <c r="F3027" t="s">
        <v>47</v>
      </c>
      <c r="G3027">
        <v>-191.83799999999999</v>
      </c>
      <c r="H3027" s="1">
        <v>6.2467679999999899E-6</v>
      </c>
      <c r="I3027">
        <v>203.00280000000001</v>
      </c>
      <c r="J3027">
        <v>-200.9357</v>
      </c>
      <c r="K3027">
        <v>1.102554</v>
      </c>
      <c r="L3027">
        <v>212.41739999999999</v>
      </c>
      <c r="M3027">
        <v>0.94559490000000002</v>
      </c>
      <c r="N3027">
        <v>0</v>
      </c>
      <c r="O3027">
        <v>-0.3250344</v>
      </c>
      <c r="P3027">
        <v>0.78386769999999995</v>
      </c>
      <c r="Q3027">
        <v>0.1652122</v>
      </c>
      <c r="R3027">
        <v>-0.59854560000000001</v>
      </c>
      <c r="S3027">
        <v>2.1888580000000002</v>
      </c>
      <c r="T3027">
        <v>-0.2579149</v>
      </c>
      <c r="U3027">
        <v>-2.2248079999999999</v>
      </c>
      <c r="V3027">
        <v>0.3144052</v>
      </c>
      <c r="W3027">
        <v>0.17286940000000001</v>
      </c>
      <c r="X3027">
        <v>0.93341609999999997</v>
      </c>
      <c r="Y3027">
        <v>0.44573760000000001</v>
      </c>
      <c r="Z3027">
        <v>8.4673200000000004E-3</v>
      </c>
      <c r="AA3027">
        <v>0.89512359999999902</v>
      </c>
      <c r="AB3027">
        <v>28</v>
      </c>
      <c r="AC3027">
        <v>9.0976999999999997</v>
      </c>
      <c r="AD3027">
        <v>-1.102547753232</v>
      </c>
      <c r="AE3027">
        <v>-9.4145999999999805</v>
      </c>
      <c r="AF3027">
        <v>5.90406320617776</v>
      </c>
      <c r="AG3027">
        <v>-1.102547753232</v>
      </c>
      <c r="AH3027">
        <v>11.581851079192599</v>
      </c>
      <c r="AI3027">
        <v>94.847771765650094</v>
      </c>
      <c r="AJ3027">
        <v>62.988944131034799</v>
      </c>
      <c r="AK3027">
        <v>13.0465646172199</v>
      </c>
      <c r="AL3027">
        <v>80.045306242586094</v>
      </c>
      <c r="AM3027">
        <v>71.384784531462898</v>
      </c>
      <c r="AN3027">
        <v>1.0000000374913001</v>
      </c>
    </row>
    <row r="3028" spans="1:40" x14ac:dyDescent="0.25">
      <c r="A3028" t="str">
        <f>"20190312172721007"</f>
        <v>20190312172721007</v>
      </c>
      <c r="B3028" t="str">
        <f>"1552382841002293"</f>
        <v>1552382841002293</v>
      </c>
      <c r="C3028" t="s">
        <v>40</v>
      </c>
      <c r="D3028">
        <v>3.37738</v>
      </c>
      <c r="E3028">
        <v>0.55864759999999902</v>
      </c>
      <c r="F3028" t="s">
        <v>47</v>
      </c>
      <c r="G3028">
        <v>-191.66139999999999</v>
      </c>
      <c r="H3028" s="1">
        <v>6.3656079999999999E-6</v>
      </c>
      <c r="I3028">
        <v>202.7996</v>
      </c>
      <c r="J3028">
        <v>-200.6206</v>
      </c>
      <c r="K3028">
        <v>1.102382</v>
      </c>
      <c r="L3028">
        <v>212.29580000000001</v>
      </c>
      <c r="M3028">
        <v>0.94165929999999998</v>
      </c>
      <c r="N3028">
        <v>0</v>
      </c>
      <c r="O3028">
        <v>-0.33626509999999998</v>
      </c>
      <c r="P3028">
        <v>0.77515619999999996</v>
      </c>
      <c r="Q3028">
        <v>0.16536010000000001</v>
      </c>
      <c r="R3028">
        <v>-0.60974499999999998</v>
      </c>
      <c r="S3028">
        <v>2.166153</v>
      </c>
      <c r="T3028">
        <v>-0.25751570000000001</v>
      </c>
      <c r="U3028">
        <v>-2.2463679999999999</v>
      </c>
      <c r="V3028">
        <v>0.31679570000000001</v>
      </c>
      <c r="W3028">
        <v>0.17286000000000001</v>
      </c>
      <c r="X3028">
        <v>0.93260920000000003</v>
      </c>
      <c r="Y3028">
        <v>0.44410329999999898</v>
      </c>
      <c r="Z3028">
        <v>9.5313140000000008E-3</v>
      </c>
      <c r="AA3028">
        <v>0.89592490000000002</v>
      </c>
      <c r="AB3028">
        <v>28</v>
      </c>
      <c r="AC3028">
        <v>8.9592000000000098</v>
      </c>
      <c r="AD3028">
        <v>-1.1023756343919999</v>
      </c>
      <c r="AE3028">
        <v>-9.4962000000000106</v>
      </c>
      <c r="AF3028">
        <v>5.8881412974165803</v>
      </c>
      <c r="AG3028">
        <v>-1.1023756343919999</v>
      </c>
      <c r="AH3028">
        <v>11.5485997020075</v>
      </c>
      <c r="AI3028">
        <v>94.860733273607906</v>
      </c>
      <c r="AJ3028">
        <v>62.984893718818903</v>
      </c>
      <c r="AK3028">
        <v>13.0098268649069</v>
      </c>
      <c r="AL3028">
        <v>80.0458527535732</v>
      </c>
      <c r="AM3028">
        <v>71.238017221841204</v>
      </c>
      <c r="AN3028">
        <v>1.00000000753156</v>
      </c>
    </row>
    <row r="3029" spans="1:40" x14ac:dyDescent="0.25">
      <c r="A3029" t="str">
        <f>"20190312172721028"</f>
        <v>20190312172721028</v>
      </c>
      <c r="B3029" t="str">
        <f>"1552382841022789"</f>
        <v>1552382841022789</v>
      </c>
      <c r="C3029" t="s">
        <v>40</v>
      </c>
      <c r="D3029">
        <v>3.3246929999999999</v>
      </c>
      <c r="E3029">
        <v>0.55812030000000001</v>
      </c>
      <c r="F3029" t="s">
        <v>47</v>
      </c>
      <c r="G3029">
        <v>-191.4845</v>
      </c>
      <c r="H3029" s="1">
        <v>6.4849109999999996E-6</v>
      </c>
      <c r="I3029">
        <v>202.59530000000001</v>
      </c>
      <c r="J3029">
        <v>-200.376</v>
      </c>
      <c r="K3029">
        <v>1.102247</v>
      </c>
      <c r="L3029">
        <v>212.19800000000001</v>
      </c>
      <c r="M3029">
        <v>0.93842919999999996</v>
      </c>
      <c r="N3029">
        <v>0</v>
      </c>
      <c r="O3029">
        <v>-0.34517619999999999</v>
      </c>
      <c r="P3029">
        <v>0.76800279999999999</v>
      </c>
      <c r="Q3029">
        <v>0.16544429999999999</v>
      </c>
      <c r="R3029">
        <v>-0.61870879999999995</v>
      </c>
      <c r="S3029">
        <v>2.1388699999999998</v>
      </c>
      <c r="T3029">
        <v>-0.25807930000000001</v>
      </c>
      <c r="U3029">
        <v>-2.2709959999999998</v>
      </c>
      <c r="V3029">
        <v>0.31885590000000003</v>
      </c>
      <c r="W3029">
        <v>0.17281769999999999</v>
      </c>
      <c r="X3029">
        <v>0.93191469999999998</v>
      </c>
      <c r="Y3029">
        <v>0.44617669999999998</v>
      </c>
      <c r="Z3029">
        <v>1.025876E-2</v>
      </c>
      <c r="AA3029">
        <v>0.89488609999999902</v>
      </c>
      <c r="AB3029">
        <v>28</v>
      </c>
      <c r="AC3029">
        <v>8.8914999999999793</v>
      </c>
      <c r="AD3029">
        <v>-1.102240515089</v>
      </c>
      <c r="AE3029">
        <v>-9.6026999999999703</v>
      </c>
      <c r="AF3029">
        <v>5.9010660792593397</v>
      </c>
      <c r="AG3029">
        <v>-1.102240515089</v>
      </c>
      <c r="AH3029">
        <v>11.577727882898801</v>
      </c>
      <c r="AI3029">
        <v>94.848296011493204</v>
      </c>
      <c r="AJ3029">
        <v>62.992460821503499</v>
      </c>
      <c r="AK3029">
        <v>13.0415220720337</v>
      </c>
      <c r="AL3029">
        <v>80.048313575424899</v>
      </c>
      <c r="AM3029">
        <v>71.111547242536503</v>
      </c>
      <c r="AN3029">
        <v>1.00000002523709</v>
      </c>
    </row>
    <row r="3030" spans="1:40" x14ac:dyDescent="0.25">
      <c r="A3030" t="str">
        <f>"20190312172721054"</f>
        <v>20190312172721054</v>
      </c>
      <c r="B3030" t="str">
        <f>"1552382841042309"</f>
        <v>1552382841042309</v>
      </c>
      <c r="C3030" t="s">
        <v>40</v>
      </c>
      <c r="D3030">
        <v>3.327143</v>
      </c>
      <c r="E3030">
        <v>0.55781049999999999</v>
      </c>
      <c r="F3030" t="s">
        <v>47</v>
      </c>
      <c r="G3030">
        <v>-191.4023</v>
      </c>
      <c r="H3030" s="1">
        <v>6.552987E-6</v>
      </c>
      <c r="I3030">
        <v>202.46449999999999</v>
      </c>
      <c r="J3030">
        <v>-200.0728</v>
      </c>
      <c r="K3030">
        <v>1.102087</v>
      </c>
      <c r="L3030">
        <v>212.07230000000001</v>
      </c>
      <c r="M3030">
        <v>0.93419430000000003</v>
      </c>
      <c r="N3030">
        <v>0</v>
      </c>
      <c r="O3030">
        <v>-0.35647719999999999</v>
      </c>
      <c r="P3030">
        <v>0.75919230000000004</v>
      </c>
      <c r="Q3030">
        <v>0.16539139999999999</v>
      </c>
      <c r="R3030">
        <v>-0.62950249999999996</v>
      </c>
      <c r="S3030">
        <v>2.114487</v>
      </c>
      <c r="T3030">
        <v>-0.25972319999999999</v>
      </c>
      <c r="U3030">
        <v>-2.2935029999999998</v>
      </c>
      <c r="V3030">
        <v>0.32084790000000002</v>
      </c>
      <c r="W3030">
        <v>0.17262230000000001</v>
      </c>
      <c r="X3030">
        <v>0.93126699999999996</v>
      </c>
      <c r="Y3030">
        <v>0.44492690000000001</v>
      </c>
      <c r="Z3030">
        <v>1.14035E-2</v>
      </c>
      <c r="AA3030">
        <v>0.89549429999999997</v>
      </c>
      <c r="AB3030">
        <v>28</v>
      </c>
      <c r="AC3030">
        <v>8.6705000000000005</v>
      </c>
      <c r="AD3030">
        <v>-1.1020804470129999</v>
      </c>
      <c r="AE3030">
        <v>-9.6078000000000205</v>
      </c>
      <c r="AF3030">
        <v>5.8429479960005999</v>
      </c>
      <c r="AG3030">
        <v>-1.1020804470129999</v>
      </c>
      <c r="AH3030">
        <v>11.443092134922599</v>
      </c>
      <c r="AI3030">
        <v>94.902540728861297</v>
      </c>
      <c r="AJ3030">
        <v>62.950725877356902</v>
      </c>
      <c r="AK3030">
        <v>12.8956961891936</v>
      </c>
      <c r="AL3030">
        <v>80.059680038019096</v>
      </c>
      <c r="AM3030">
        <v>70.989717412764605</v>
      </c>
      <c r="AN3030">
        <v>1.0000000293403399</v>
      </c>
    </row>
    <row r="3031" spans="1:40" x14ac:dyDescent="0.25">
      <c r="A3031" t="str">
        <f>"20190312172721077"</f>
        <v>20190312172721077</v>
      </c>
      <c r="B3031" t="str">
        <f>"1552382841072565"</f>
        <v>1552382841072565</v>
      </c>
      <c r="C3031" t="s">
        <v>40</v>
      </c>
      <c r="D3031">
        <v>3.4305460000000001</v>
      </c>
      <c r="E3031">
        <v>0.55336759999999996</v>
      </c>
      <c r="F3031" t="s">
        <v>47</v>
      </c>
      <c r="G3031">
        <v>-191.24770000000001</v>
      </c>
      <c r="H3031" s="1">
        <v>6.6765380000000001E-6</v>
      </c>
      <c r="I3031">
        <v>202.23140000000001</v>
      </c>
      <c r="J3031">
        <v>-199.80279999999999</v>
      </c>
      <c r="K3031">
        <v>1.1019490000000001</v>
      </c>
      <c r="L3031">
        <v>211.95679999999999</v>
      </c>
      <c r="M3031">
        <v>0.93021240000000005</v>
      </c>
      <c r="N3031">
        <v>0</v>
      </c>
      <c r="O3031">
        <v>-0.36674069999999998</v>
      </c>
      <c r="P3031">
        <v>0.75062189999999995</v>
      </c>
      <c r="Q3031">
        <v>0.16599430000000001</v>
      </c>
      <c r="R3031">
        <v>-0.63954080000000002</v>
      </c>
      <c r="S3031">
        <v>2.0826419999999999</v>
      </c>
      <c r="T3031">
        <v>-0.26007819999999998</v>
      </c>
      <c r="U3031">
        <v>-2.3223419999999999</v>
      </c>
      <c r="V3031">
        <v>0.32310060000000002</v>
      </c>
      <c r="W3031">
        <v>0.1730891</v>
      </c>
      <c r="X3031">
        <v>0.93040109999999998</v>
      </c>
      <c r="Y3031">
        <v>0.44741989999999998</v>
      </c>
      <c r="Z3031">
        <v>1.2237349999999999E-2</v>
      </c>
      <c r="AA3031">
        <v>0.89424029999999999</v>
      </c>
      <c r="AB3031">
        <v>28</v>
      </c>
      <c r="AC3031">
        <v>8.5550999999999799</v>
      </c>
      <c r="AD3031">
        <v>-1.1019423234620001</v>
      </c>
      <c r="AE3031">
        <v>-9.7253999999999792</v>
      </c>
      <c r="AF3031">
        <v>5.8673280519358801</v>
      </c>
      <c r="AG3031">
        <v>-1.1019423234620001</v>
      </c>
      <c r="AH3031">
        <v>11.443127290169199</v>
      </c>
      <c r="AI3031">
        <v>94.897704820523501</v>
      </c>
      <c r="AJ3031">
        <v>62.854054312132398</v>
      </c>
      <c r="AK3031">
        <v>12.906780293019899</v>
      </c>
      <c r="AL3031">
        <v>80.032525529207703</v>
      </c>
      <c r="AM3031">
        <v>70.849408101028104</v>
      </c>
      <c r="AN3031">
        <v>1.00000002057018</v>
      </c>
    </row>
    <row r="3032" spans="1:40" x14ac:dyDescent="0.25">
      <c r="A3032" t="str">
        <f>"20190312172721096"</f>
        <v>20190312172721096</v>
      </c>
      <c r="B3032" t="str">
        <f>"1552382841092085"</f>
        <v>1552382841092085</v>
      </c>
      <c r="C3032" t="s">
        <v>40</v>
      </c>
      <c r="D3032">
        <v>3.3602270000000001</v>
      </c>
      <c r="E3032">
        <v>0.58537419999999996</v>
      </c>
      <c r="F3032" t="s">
        <v>47</v>
      </c>
      <c r="G3032">
        <v>-191.47499999999999</v>
      </c>
      <c r="H3032" s="1">
        <v>6.4747519999999998E-6</v>
      </c>
      <c r="I3032">
        <v>202.63120000000001</v>
      </c>
      <c r="J3032">
        <v>-199.5753</v>
      </c>
      <c r="K3032">
        <v>1.101845</v>
      </c>
      <c r="L3032">
        <v>211.85650000000001</v>
      </c>
      <c r="M3032">
        <v>0.92670180000000002</v>
      </c>
      <c r="N3032">
        <v>0</v>
      </c>
      <c r="O3032">
        <v>-0.37552229999999998</v>
      </c>
      <c r="P3032">
        <v>0.74299380000000004</v>
      </c>
      <c r="Q3032">
        <v>0.16609699999999999</v>
      </c>
      <c r="R3032">
        <v>-0.64836130000000003</v>
      </c>
      <c r="S3032">
        <v>2.076355</v>
      </c>
      <c r="T3032">
        <v>-0.27474399999999999</v>
      </c>
      <c r="U3032">
        <v>-2.3251189999999999</v>
      </c>
      <c r="V3032">
        <v>0.3253491</v>
      </c>
      <c r="W3032">
        <v>0.17307549999999999</v>
      </c>
      <c r="X3032">
        <v>0.92961970000000005</v>
      </c>
      <c r="Y3032">
        <v>0.44084030000000002</v>
      </c>
      <c r="Z3032">
        <v>1.409417E-2</v>
      </c>
      <c r="AA3032">
        <v>0.89747489999999996</v>
      </c>
      <c r="AB3032">
        <v>28</v>
      </c>
      <c r="AC3032">
        <v>8.1003000000000007</v>
      </c>
      <c r="AD3032">
        <v>-1.1018385252480001</v>
      </c>
      <c r="AE3032">
        <v>-9.2253000000000007</v>
      </c>
      <c r="AF3032">
        <v>5.4638176020545597</v>
      </c>
      <c r="AG3032">
        <v>-1.1018385252480001</v>
      </c>
      <c r="AH3032">
        <v>10.8843303157287</v>
      </c>
      <c r="AI3032">
        <v>95.1696021714762</v>
      </c>
      <c r="AJ3032">
        <v>63.343837568786299</v>
      </c>
      <c r="AK3032">
        <v>12.2284912129884</v>
      </c>
      <c r="AL3032">
        <v>80.0333162447821</v>
      </c>
      <c r="AM3032">
        <v>70.710930864017101</v>
      </c>
      <c r="AN3032">
        <v>0.99999997609957403</v>
      </c>
    </row>
    <row r="3033" spans="1:40" x14ac:dyDescent="0.25">
      <c r="A3033" t="str">
        <f>"20190312172721121"</f>
        <v>20190312172721121</v>
      </c>
      <c r="B3033" t="str">
        <f>"1552382841112581"</f>
        <v>1552382841112581</v>
      </c>
      <c r="C3033" t="s">
        <v>40</v>
      </c>
      <c r="D3033">
        <v>3.366349</v>
      </c>
      <c r="E3033">
        <v>0.59766799999999998</v>
      </c>
      <c r="F3033" t="s">
        <v>41</v>
      </c>
      <c r="G3033">
        <v>-189.85749999999999</v>
      </c>
      <c r="H3033" s="1">
        <v>-3.9169669999999997E-6</v>
      </c>
      <c r="I3033">
        <v>198.70439999999999</v>
      </c>
      <c r="J3033">
        <v>-199.29300000000001</v>
      </c>
      <c r="K3033">
        <v>1.1017170000000001</v>
      </c>
      <c r="L3033">
        <v>211.72829999999999</v>
      </c>
      <c r="M3033">
        <v>0.92213540000000005</v>
      </c>
      <c r="N3033">
        <v>0</v>
      </c>
      <c r="O3033">
        <v>-0.38659929999999998</v>
      </c>
      <c r="P3033">
        <v>0.73427050000000005</v>
      </c>
      <c r="Q3033">
        <v>0.16637089999999999</v>
      </c>
      <c r="R3033">
        <v>-0.65815519999999905</v>
      </c>
      <c r="S3033">
        <v>1.873062</v>
      </c>
      <c r="T3033">
        <v>-0.21237719999999999</v>
      </c>
      <c r="U3033">
        <v>-2.5350190000000001</v>
      </c>
      <c r="V3033">
        <v>0.32662049999999998</v>
      </c>
      <c r="W3033">
        <v>0.1732455</v>
      </c>
      <c r="X3033">
        <v>0.92914209999999997</v>
      </c>
      <c r="Y3033">
        <v>0.51167269999999998</v>
      </c>
      <c r="Z3033">
        <v>8.9392569999999904E-3</v>
      </c>
      <c r="AA3033">
        <v>0.85913399999999995</v>
      </c>
      <c r="AB3033">
        <v>28</v>
      </c>
      <c r="AC3033">
        <v>9.43550000000001</v>
      </c>
      <c r="AD3033">
        <v>-1.1017209169669999</v>
      </c>
      <c r="AE3033">
        <v>-13.0238999999999</v>
      </c>
      <c r="AF3033">
        <v>8.3238464091714306</v>
      </c>
      <c r="AG3033">
        <v>-1.1017209169669999</v>
      </c>
      <c r="AH3033">
        <v>13.6730982690078</v>
      </c>
      <c r="AI3033">
        <v>93.937190227102803</v>
      </c>
      <c r="AJ3033">
        <v>58.667971645074203</v>
      </c>
      <c r="AK3033">
        <v>16.0453676896574</v>
      </c>
      <c r="AL3033">
        <v>80.023426786891605</v>
      </c>
      <c r="AM3033">
        <v>70.631940397994498</v>
      </c>
      <c r="AN3033">
        <v>0.99999999814145502</v>
      </c>
    </row>
    <row r="3034" spans="1:40" x14ac:dyDescent="0.25">
      <c r="A3034" t="str">
        <f>"20190312172721140"</f>
        <v>20190312172721140</v>
      </c>
      <c r="B3034" t="str">
        <f>"1552382841132101"</f>
        <v>1552382841132101</v>
      </c>
      <c r="C3034" t="s">
        <v>40</v>
      </c>
      <c r="D3034">
        <v>3.3591510000000002</v>
      </c>
      <c r="E3034">
        <v>0.60225249999999997</v>
      </c>
      <c r="F3034" t="s">
        <v>41</v>
      </c>
      <c r="G3034">
        <v>-189.74289999999999</v>
      </c>
      <c r="H3034" s="1">
        <v>-3.44038E-6</v>
      </c>
      <c r="I3034">
        <v>197.5461</v>
      </c>
      <c r="J3034">
        <v>-199.05850000000001</v>
      </c>
      <c r="K3034">
        <v>1.101615</v>
      </c>
      <c r="L3034">
        <v>211.61859999999999</v>
      </c>
      <c r="M3034">
        <v>0.91815559999999996</v>
      </c>
      <c r="N3034">
        <v>0</v>
      </c>
      <c r="O3034">
        <v>-0.39595720000000001</v>
      </c>
      <c r="P3034">
        <v>0.72678310000000002</v>
      </c>
      <c r="Q3034">
        <v>0.1670662</v>
      </c>
      <c r="R3034">
        <v>-0.66623959999999904</v>
      </c>
      <c r="S3034">
        <v>1.7725679999999999</v>
      </c>
      <c r="T3034">
        <v>-0.20448649999999999</v>
      </c>
      <c r="U3034">
        <v>-2.6323240000000001</v>
      </c>
      <c r="V3034">
        <v>0.32757589999999998</v>
      </c>
      <c r="W3034">
        <v>0.1738565</v>
      </c>
      <c r="X3034">
        <v>0.92869159999999995</v>
      </c>
      <c r="Y3034">
        <v>0.54017419999999905</v>
      </c>
      <c r="Z3034">
        <v>8.1520340000000007E-3</v>
      </c>
      <c r="AA3034">
        <v>0.84151379999999998</v>
      </c>
      <c r="AB3034">
        <v>28</v>
      </c>
      <c r="AC3034">
        <v>9.3156000000000105</v>
      </c>
      <c r="AD3034">
        <v>-1.10161844037999</v>
      </c>
      <c r="AE3034">
        <v>-14.0724999999999</v>
      </c>
      <c r="AF3034">
        <v>9.1939527013849993</v>
      </c>
      <c r="AG3034">
        <v>-1.10161844037999</v>
      </c>
      <c r="AH3034">
        <v>14.0668117144556</v>
      </c>
      <c r="AI3034">
        <v>93.750571966260495</v>
      </c>
      <c r="AJ3034">
        <v>56.8316987115331</v>
      </c>
      <c r="AK3034">
        <v>16.8409477546079</v>
      </c>
      <c r="AL3034">
        <v>79.987880363440595</v>
      </c>
      <c r="AM3034">
        <v>70.570806798866599</v>
      </c>
      <c r="AN3034">
        <v>1.0000000703817999</v>
      </c>
    </row>
    <row r="3035" spans="1:40" x14ac:dyDescent="0.25">
      <c r="A3035" t="str">
        <f>"20190312172721179"</f>
        <v>20190312172721179</v>
      </c>
      <c r="B3035" t="str">
        <f>"1552382841172117"</f>
        <v>1552382841172117</v>
      </c>
      <c r="C3035" t="s">
        <v>40</v>
      </c>
      <c r="D3035">
        <v>3.3624740000000002</v>
      </c>
      <c r="E3035">
        <v>0.60638669999999995</v>
      </c>
      <c r="F3035" t="s">
        <v>41</v>
      </c>
      <c r="G3035">
        <v>-189.66540000000001</v>
      </c>
      <c r="H3035" s="1">
        <v>-3.2116319999999999E-6</v>
      </c>
      <c r="I3035">
        <v>196.98079999999999</v>
      </c>
      <c r="J3035">
        <v>-198.62029999999999</v>
      </c>
      <c r="K3035">
        <v>1.1014079999999999</v>
      </c>
      <c r="L3035">
        <v>211.405</v>
      </c>
      <c r="M3035">
        <v>0.91023080000000001</v>
      </c>
      <c r="N3035">
        <v>0</v>
      </c>
      <c r="O3035">
        <v>-0.4138483</v>
      </c>
      <c r="P3035">
        <v>0.71299669999999904</v>
      </c>
      <c r="Q3035">
        <v>0.16800770000000001</v>
      </c>
      <c r="R3035">
        <v>-0.68074199999999996</v>
      </c>
      <c r="S3035">
        <v>1.7187650000000001</v>
      </c>
      <c r="T3035">
        <v>-0.2015758</v>
      </c>
      <c r="U3035">
        <v>-2.678436</v>
      </c>
      <c r="V3035">
        <v>0.32830710000000002</v>
      </c>
      <c r="W3035">
        <v>0.1746617</v>
      </c>
      <c r="X3035">
        <v>0.9282821</v>
      </c>
      <c r="Y3035">
        <v>0.54235109999999997</v>
      </c>
      <c r="Z3035">
        <v>9.2116449999999992E-3</v>
      </c>
      <c r="AA3035">
        <v>0.84010149999999995</v>
      </c>
      <c r="AB3035">
        <v>28</v>
      </c>
      <c r="AC3035">
        <v>8.9548999999999808</v>
      </c>
      <c r="AD3035">
        <v>-1.1014112116319901</v>
      </c>
      <c r="AE3035">
        <v>-14.424200000000001</v>
      </c>
      <c r="AF3035">
        <v>9.3848713536398893</v>
      </c>
      <c r="AG3035">
        <v>-1.1014112116319901</v>
      </c>
      <c r="AH3035">
        <v>14.0627517504205</v>
      </c>
      <c r="AI3035">
        <v>93.727346731533501</v>
      </c>
      <c r="AJ3035">
        <v>56.282570812534601</v>
      </c>
      <c r="AK3035">
        <v>16.942547145439299</v>
      </c>
      <c r="AL3035">
        <v>79.941027840380102</v>
      </c>
      <c r="AM3035">
        <v>70.522754601038798</v>
      </c>
      <c r="AN3035">
        <v>0.99999995926885399</v>
      </c>
    </row>
    <row r="3036" spans="1:40" x14ac:dyDescent="0.25">
      <c r="A3036" t="str">
        <f>"20190312172721207"</f>
        <v>20190312172721207</v>
      </c>
      <c r="B3036" t="str">
        <f>"1552382841202373"</f>
        <v>1552382841202373</v>
      </c>
      <c r="C3036" t="s">
        <v>40</v>
      </c>
      <c r="D3036">
        <v>3.3558460000000001</v>
      </c>
      <c r="E3036">
        <v>0.60721910000000001</v>
      </c>
      <c r="F3036" t="s">
        <v>41</v>
      </c>
      <c r="G3036">
        <v>-189.49359999999999</v>
      </c>
      <c r="H3036" s="1">
        <v>-2.8995980000000001E-6</v>
      </c>
      <c r="I3036">
        <v>196.1824</v>
      </c>
      <c r="J3036">
        <v>-198.30709999999999</v>
      </c>
      <c r="K3036">
        <v>1.101264</v>
      </c>
      <c r="L3036">
        <v>211.2456</v>
      </c>
      <c r="M3036">
        <v>0.90416969999999997</v>
      </c>
      <c r="N3036">
        <v>0</v>
      </c>
      <c r="O3036">
        <v>-0.4269269</v>
      </c>
      <c r="P3036">
        <v>0.70273809999999903</v>
      </c>
      <c r="Q3036">
        <v>0.16867550000000001</v>
      </c>
      <c r="R3036">
        <v>-0.69116460000000002</v>
      </c>
      <c r="S3036">
        <v>1.641022</v>
      </c>
      <c r="T3036">
        <v>-0.19803950000000001</v>
      </c>
      <c r="U3036">
        <v>-2.7370909999999999</v>
      </c>
      <c r="V3036">
        <v>0.32873819999999998</v>
      </c>
      <c r="W3036">
        <v>0.17523359999999999</v>
      </c>
      <c r="X3036">
        <v>0.92802180000000001</v>
      </c>
      <c r="Y3036">
        <v>0.55574299999999999</v>
      </c>
      <c r="Z3036">
        <v>9.4575700000000002E-3</v>
      </c>
      <c r="AA3036">
        <v>0.83130040000000005</v>
      </c>
      <c r="AB3036">
        <v>28</v>
      </c>
      <c r="AC3036">
        <v>8.8134999999999994</v>
      </c>
      <c r="AD3036">
        <v>-1.1012668995979999</v>
      </c>
      <c r="AE3036">
        <v>-15.063199999999901</v>
      </c>
      <c r="AF3036">
        <v>9.8189091653638894</v>
      </c>
      <c r="AG3036">
        <v>-1.1012668995979999</v>
      </c>
      <c r="AH3036">
        <v>14.3441846295476</v>
      </c>
      <c r="AI3036">
        <v>93.625032930495394</v>
      </c>
      <c r="AJ3036">
        <v>55.607503607490997</v>
      </c>
      <c r="AK3036">
        <v>17.4177897182268</v>
      </c>
      <c r="AL3036">
        <v>79.9077479413438</v>
      </c>
      <c r="AM3036">
        <v>70.494050907161395</v>
      </c>
      <c r="AN3036">
        <v>1.0000000399917099</v>
      </c>
    </row>
    <row r="3037" spans="1:40" x14ac:dyDescent="0.25">
      <c r="A3037" t="str">
        <f>"20190312172721227"</f>
        <v>20190312172721227</v>
      </c>
      <c r="B3037" t="str">
        <f>"1552382841221892"</f>
        <v>1552382841221892</v>
      </c>
      <c r="C3037" t="s">
        <v>40</v>
      </c>
      <c r="D3037">
        <v>3.3298809999999999</v>
      </c>
      <c r="E3037">
        <v>0.60739089999999996</v>
      </c>
      <c r="F3037" t="s">
        <v>41</v>
      </c>
      <c r="G3037">
        <v>-189.38290000000001</v>
      </c>
      <c r="H3037" s="1">
        <v>-2.745715E-6</v>
      </c>
      <c r="I3037">
        <v>195.77789999999999</v>
      </c>
      <c r="J3037">
        <v>-198.07679999999999</v>
      </c>
      <c r="K3037">
        <v>1.1011500000000001</v>
      </c>
      <c r="L3037">
        <v>211.12440000000001</v>
      </c>
      <c r="M3037">
        <v>0.89947409999999905</v>
      </c>
      <c r="N3037">
        <v>0</v>
      </c>
      <c r="O3037">
        <v>-0.43673200000000001</v>
      </c>
      <c r="P3037">
        <v>0.69536719999999996</v>
      </c>
      <c r="Q3037">
        <v>0.16889989999999999</v>
      </c>
      <c r="R3037">
        <v>-0.69852519999999996</v>
      </c>
      <c r="S3037">
        <v>1.59587099999999</v>
      </c>
      <c r="T3037">
        <v>-0.19693369999999999</v>
      </c>
      <c r="U3037">
        <v>-2.766006</v>
      </c>
      <c r="V3037">
        <v>0.32849620000000002</v>
      </c>
      <c r="W3037">
        <v>0.17540120000000001</v>
      </c>
      <c r="X3037">
        <v>0.92807580000000001</v>
      </c>
      <c r="Y3037">
        <v>0.56065559999999903</v>
      </c>
      <c r="Z3037">
        <v>9.9113789999999997E-3</v>
      </c>
      <c r="AA3037">
        <v>0.8279898</v>
      </c>
      <c r="AB3037">
        <v>28</v>
      </c>
      <c r="AC3037">
        <v>8.6938999999999798</v>
      </c>
      <c r="AD3037">
        <v>-1.1011527457150001</v>
      </c>
      <c r="AE3037">
        <v>-15.346500000000001</v>
      </c>
      <c r="AF3037">
        <v>9.9690779376465493</v>
      </c>
      <c r="AG3037">
        <v>-1.1011527457150001</v>
      </c>
      <c r="AH3037">
        <v>14.467393490404101</v>
      </c>
      <c r="AI3037">
        <v>93.5862673033634</v>
      </c>
      <c r="AJ3037">
        <v>55.430355170004297</v>
      </c>
      <c r="AK3037">
        <v>17.6039917831853</v>
      </c>
      <c r="AL3037">
        <v>79.897993820228393</v>
      </c>
      <c r="AM3037">
        <v>70.508375867439597</v>
      </c>
      <c r="AN3037">
        <v>1.00000001246076</v>
      </c>
    </row>
    <row r="3038" spans="1:40" x14ac:dyDescent="0.25">
      <c r="A3038" t="str">
        <f>"20190312172721269"</f>
        <v>20190312172721269</v>
      </c>
      <c r="B3038" t="str">
        <f>"1552382841261913"</f>
        <v>1552382841261913</v>
      </c>
      <c r="C3038" t="s">
        <v>40</v>
      </c>
      <c r="D3038">
        <v>3.329529</v>
      </c>
      <c r="E3038">
        <v>0.60711280000000001</v>
      </c>
      <c r="F3038" t="s">
        <v>41</v>
      </c>
      <c r="G3038">
        <v>-189.3629</v>
      </c>
      <c r="H3038" s="1">
        <v>-2.6869099999999999E-6</v>
      </c>
      <c r="I3038">
        <v>195.6326</v>
      </c>
      <c r="J3038">
        <v>-197.62139999999999</v>
      </c>
      <c r="K3038">
        <v>1.1008910000000001</v>
      </c>
      <c r="L3038">
        <v>210.87430000000001</v>
      </c>
      <c r="M3038">
        <v>0.8895305</v>
      </c>
      <c r="N3038">
        <v>0</v>
      </c>
      <c r="O3038">
        <v>-0.45664199999999999</v>
      </c>
      <c r="P3038">
        <v>0.68018970000000001</v>
      </c>
      <c r="Q3038">
        <v>0.169288299999999</v>
      </c>
      <c r="R3038">
        <v>-0.71322050000000004</v>
      </c>
      <c r="S3038">
        <v>1.5658570000000001</v>
      </c>
      <c r="T3038">
        <v>-0.1978741</v>
      </c>
      <c r="U3038">
        <v>-2.7838289999999999</v>
      </c>
      <c r="V3038">
        <v>0.32782630000000001</v>
      </c>
      <c r="W3038">
        <v>0.175667299999999</v>
      </c>
      <c r="X3038">
        <v>0.92826229999999998</v>
      </c>
      <c r="Y3038">
        <v>0.55128120000000003</v>
      </c>
      <c r="Z3038">
        <v>1.171643E-2</v>
      </c>
      <c r="AA3038">
        <v>0.83423729999999996</v>
      </c>
      <c r="AB3038">
        <v>28</v>
      </c>
      <c r="AC3038">
        <v>8.2584999999999908</v>
      </c>
      <c r="AD3038">
        <v>-1.1008936869099999</v>
      </c>
      <c r="AE3038">
        <v>-15.2417</v>
      </c>
      <c r="AF3038">
        <v>9.7485085613424793</v>
      </c>
      <c r="AG3038">
        <v>-1.1008936869099999</v>
      </c>
      <c r="AH3038">
        <v>14.2502446748951</v>
      </c>
      <c r="AI3038">
        <v>93.648357577864402</v>
      </c>
      <c r="AJ3038">
        <v>55.624198474989001</v>
      </c>
      <c r="AK3038">
        <v>17.300718464122301</v>
      </c>
      <c r="AL3038">
        <v>79.882506728669995</v>
      </c>
      <c r="AM3038">
        <v>70.548751966569</v>
      </c>
      <c r="AN3038">
        <v>0.99999999043113497</v>
      </c>
    </row>
    <row r="3039" spans="1:40" x14ac:dyDescent="0.25">
      <c r="A3039" t="str">
        <f>"20190312172721294"</f>
        <v>20190312172721294</v>
      </c>
      <c r="B3039" t="str">
        <f>"1552382841282406"</f>
        <v>1552382841282406</v>
      </c>
      <c r="C3039" t="s">
        <v>40</v>
      </c>
      <c r="D3039">
        <v>3.3230219999999999</v>
      </c>
      <c r="E3039">
        <v>0.60681799999999997</v>
      </c>
      <c r="F3039" t="s">
        <v>41</v>
      </c>
      <c r="G3039">
        <v>-189.2286</v>
      </c>
      <c r="H3039" s="1">
        <v>-2.523415E-6</v>
      </c>
      <c r="I3039">
        <v>195.196</v>
      </c>
      <c r="J3039">
        <v>-197.3509</v>
      </c>
      <c r="K3039">
        <v>1.1007469999999999</v>
      </c>
      <c r="L3039">
        <v>210.71870000000001</v>
      </c>
      <c r="M3039">
        <v>0.88319230000000004</v>
      </c>
      <c r="N3039">
        <v>0</v>
      </c>
      <c r="O3039">
        <v>-0.46878249999999999</v>
      </c>
      <c r="P3039">
        <v>0.67078040000000005</v>
      </c>
      <c r="Q3039">
        <v>0.16947770000000001</v>
      </c>
      <c r="R3039">
        <v>-0.72203289999999998</v>
      </c>
      <c r="S3039">
        <v>1.507263</v>
      </c>
      <c r="T3039">
        <v>-0.197711</v>
      </c>
      <c r="U3039">
        <v>-2.8156889999999999</v>
      </c>
      <c r="V3039">
        <v>0.32730920000000002</v>
      </c>
      <c r="W3039">
        <v>0.17579549999999999</v>
      </c>
      <c r="X3039">
        <v>0.92842049999999998</v>
      </c>
      <c r="Y3039">
        <v>0.55726799999999999</v>
      </c>
      <c r="Z3039">
        <v>1.2361799999999999E-2</v>
      </c>
      <c r="AA3039">
        <v>0.83024069999999905</v>
      </c>
      <c r="AB3039">
        <v>28</v>
      </c>
      <c r="AC3039">
        <v>8.1222999999999903</v>
      </c>
      <c r="AD3039">
        <v>-1.100749523415</v>
      </c>
      <c r="AE3039">
        <v>-15.5227</v>
      </c>
      <c r="AF3039">
        <v>9.8640580488648109</v>
      </c>
      <c r="AG3039">
        <v>-1.100749523415</v>
      </c>
      <c r="AH3039">
        <v>14.395044524528201</v>
      </c>
      <c r="AI3039">
        <v>93.609361544327299</v>
      </c>
      <c r="AJ3039">
        <v>55.579504440151901</v>
      </c>
      <c r="AK3039">
        <v>17.485096441479001</v>
      </c>
      <c r="AL3039">
        <v>79.875045368533904</v>
      </c>
      <c r="AM3039">
        <v>70.580196740095403</v>
      </c>
      <c r="AN3039">
        <v>0.99999999752256996</v>
      </c>
    </row>
    <row r="3040" spans="1:40" x14ac:dyDescent="0.25">
      <c r="A3040" t="str">
        <f>"20190312172721315"</f>
        <v>20190312172721315</v>
      </c>
      <c r="B3040" t="str">
        <f>"1552382841312661"</f>
        <v>1552382841312661</v>
      </c>
      <c r="C3040" t="s">
        <v>40</v>
      </c>
      <c r="D3040">
        <v>3.3122560000000001</v>
      </c>
      <c r="E3040">
        <v>0.60622949999999998</v>
      </c>
      <c r="F3040" t="s">
        <v>41</v>
      </c>
      <c r="G3040">
        <v>-189.1653</v>
      </c>
      <c r="H3040" s="1">
        <v>-2.4353440000000002E-6</v>
      </c>
      <c r="I3040">
        <v>194.96449999999999</v>
      </c>
      <c r="J3040">
        <v>-197.114</v>
      </c>
      <c r="K3040">
        <v>1.1006499999999999</v>
      </c>
      <c r="L3040">
        <v>210.57839999999999</v>
      </c>
      <c r="M3040">
        <v>0.87738359999999904</v>
      </c>
      <c r="N3040">
        <v>0</v>
      </c>
      <c r="O3040">
        <v>-0.47956480000000001</v>
      </c>
      <c r="P3040">
        <v>0.6622635</v>
      </c>
      <c r="Q3040">
        <v>0.1694628</v>
      </c>
      <c r="R3040">
        <v>-0.72985610000000001</v>
      </c>
      <c r="S3040">
        <v>1.4722900000000001</v>
      </c>
      <c r="T3040">
        <v>-0.19798389999999999</v>
      </c>
      <c r="U3040">
        <v>-2.8336030000000001</v>
      </c>
      <c r="V3040">
        <v>0.32687889999999997</v>
      </c>
      <c r="W3040">
        <v>0.17573540000000001</v>
      </c>
      <c r="X3040">
        <v>0.92858339999999995</v>
      </c>
      <c r="Y3040">
        <v>0.55732689999999996</v>
      </c>
      <c r="Z3040">
        <v>1.3155740000000001E-2</v>
      </c>
      <c r="AA3040">
        <v>0.83018890000000001</v>
      </c>
      <c r="AB3040">
        <v>28</v>
      </c>
      <c r="AC3040">
        <v>7.9486999999999997</v>
      </c>
      <c r="AD3040">
        <v>-1.1006524353439999</v>
      </c>
      <c r="AE3040">
        <v>-15.613899999999999</v>
      </c>
      <c r="AF3040">
        <v>9.8496589388133202</v>
      </c>
      <c r="AG3040">
        <v>-1.1006524353439999</v>
      </c>
      <c r="AH3040">
        <v>14.4066414997172</v>
      </c>
      <c r="AI3040">
        <v>93.608747659681995</v>
      </c>
      <c r="AJ3040">
        <v>55.640022470325398</v>
      </c>
      <c r="AK3040">
        <v>17.486524420128401</v>
      </c>
      <c r="AL3040">
        <v>79.878542695903704</v>
      </c>
      <c r="AM3040">
        <v>70.606968372892496</v>
      </c>
      <c r="AN3040">
        <v>0.999999938416963</v>
      </c>
    </row>
    <row r="3041" spans="1:40" x14ac:dyDescent="0.25">
      <c r="A3041" t="str">
        <f>"20190312172721338"</f>
        <v>20190312172721338</v>
      </c>
      <c r="B3041" t="str">
        <f>"1552382841332181"</f>
        <v>1552382841332181</v>
      </c>
      <c r="C3041" t="s">
        <v>40</v>
      </c>
      <c r="D3041">
        <v>3.3248709999999999</v>
      </c>
      <c r="E3041">
        <v>0.60586980000000001</v>
      </c>
      <c r="F3041" t="s">
        <v>41</v>
      </c>
      <c r="G3041">
        <v>-189.15170000000001</v>
      </c>
      <c r="H3041" s="1">
        <v>-2.3919470000000002E-6</v>
      </c>
      <c r="I3041">
        <v>194.85769999999999</v>
      </c>
      <c r="J3041">
        <v>-196.8785</v>
      </c>
      <c r="K3041">
        <v>1.100541</v>
      </c>
      <c r="L3041">
        <v>210.43469999999999</v>
      </c>
      <c r="M3041">
        <v>0.87134210000000001</v>
      </c>
      <c r="N3041">
        <v>0</v>
      </c>
      <c r="O3041">
        <v>-0.49045529999999998</v>
      </c>
      <c r="P3041">
        <v>0.65311149999999996</v>
      </c>
      <c r="Q3041">
        <v>0.16993420000000001</v>
      </c>
      <c r="R3041">
        <v>-0.73794839999999995</v>
      </c>
      <c r="S3041">
        <v>1.442429</v>
      </c>
      <c r="T3041">
        <v>-0.19939170000000001</v>
      </c>
      <c r="U3041">
        <v>-2.8479160000000001</v>
      </c>
      <c r="V3041">
        <v>0.32685540000000002</v>
      </c>
      <c r="W3041">
        <v>0.1761498</v>
      </c>
      <c r="X3041">
        <v>0.92851320000000004</v>
      </c>
      <c r="Y3041">
        <v>0.5556065</v>
      </c>
      <c r="Z3041">
        <v>1.410834E-2</v>
      </c>
      <c r="AA3041">
        <v>0.83132569999999995</v>
      </c>
      <c r="AB3041">
        <v>28</v>
      </c>
      <c r="AC3041">
        <v>7.7267999999999901</v>
      </c>
      <c r="AD3041">
        <v>-1.100543391947</v>
      </c>
      <c r="AE3041">
        <v>-15.5769999999999</v>
      </c>
      <c r="AF3041">
        <v>9.7452658877248197</v>
      </c>
      <c r="AG3041">
        <v>-1.100543391947</v>
      </c>
      <c r="AH3041">
        <v>14.316712166073501</v>
      </c>
      <c r="AI3041">
        <v>93.636052681283203</v>
      </c>
      <c r="AJ3041">
        <v>55.757209707213299</v>
      </c>
      <c r="AK3041">
        <v>17.3536638847884</v>
      </c>
      <c r="AL3041">
        <v>79.854423530142597</v>
      </c>
      <c r="AM3041">
        <v>70.6069018448826</v>
      </c>
      <c r="AN3041">
        <v>0.99999998356171904</v>
      </c>
    </row>
    <row r="3042" spans="1:40" x14ac:dyDescent="0.25">
      <c r="A3042" t="str">
        <f>"20190312172721362"</f>
        <v>20190312172721362</v>
      </c>
      <c r="B3042" t="str">
        <f>"1552382841351701"</f>
        <v>1552382841351701</v>
      </c>
      <c r="C3042" t="s">
        <v>40</v>
      </c>
      <c r="D3042">
        <v>3.3017799999999999</v>
      </c>
      <c r="E3042">
        <v>0.60542069999999903</v>
      </c>
      <c r="F3042" t="s">
        <v>41</v>
      </c>
      <c r="G3042">
        <v>-189.07769999999999</v>
      </c>
      <c r="H3042" s="1">
        <v>-2.2866330000000001E-6</v>
      </c>
      <c r="I3042">
        <v>194.58160000000001</v>
      </c>
      <c r="J3042">
        <v>-196.61019999999999</v>
      </c>
      <c r="K3042">
        <v>1.1004100000000001</v>
      </c>
      <c r="L3042">
        <v>210.26589999999999</v>
      </c>
      <c r="M3042">
        <v>0.86411249999999995</v>
      </c>
      <c r="N3042">
        <v>0</v>
      </c>
      <c r="O3042">
        <v>-0.50308249999999999</v>
      </c>
      <c r="P3042">
        <v>0.64223529999999995</v>
      </c>
      <c r="Q3042">
        <v>0.17030319999999999</v>
      </c>
      <c r="R3042">
        <v>-0.74734919999999905</v>
      </c>
      <c r="S3042">
        <v>1.4092249999999999</v>
      </c>
      <c r="T3042">
        <v>-0.19881560000000001</v>
      </c>
      <c r="U3042">
        <v>-2.8638919999999999</v>
      </c>
      <c r="V3042">
        <v>0.3269357</v>
      </c>
      <c r="W3042">
        <v>0.17644789999999999</v>
      </c>
      <c r="X3042">
        <v>0.92842840000000004</v>
      </c>
      <c r="Y3042">
        <v>0.55312220000000001</v>
      </c>
      <c r="Z3042">
        <v>1.5079530000000001E-2</v>
      </c>
      <c r="AA3042">
        <v>0.83296360000000003</v>
      </c>
      <c r="AB3042">
        <v>28</v>
      </c>
      <c r="AC3042">
        <v>7.53249999999999</v>
      </c>
      <c r="AD3042">
        <v>-1.1004122866329999</v>
      </c>
      <c r="AE3042">
        <v>-15.684299999999901</v>
      </c>
      <c r="AF3042">
        <v>9.7256915207712709</v>
      </c>
      <c r="AG3042">
        <v>-1.1004122866329999</v>
      </c>
      <c r="AH3042">
        <v>14.3436183066599</v>
      </c>
      <c r="AI3042">
        <v>93.633265635920694</v>
      </c>
      <c r="AJ3042">
        <v>55.860763668787001</v>
      </c>
      <c r="AK3042">
        <v>17.3648889684018</v>
      </c>
      <c r="AL3042">
        <v>79.837072593239498</v>
      </c>
      <c r="AM3042">
        <v>70.600853827344906</v>
      </c>
      <c r="AN3042">
        <v>1.00000005363772</v>
      </c>
    </row>
    <row r="3043" spans="1:40" x14ac:dyDescent="0.25">
      <c r="A3043" t="str">
        <f>"20190312172721382"</f>
        <v>20190312172721382</v>
      </c>
      <c r="B3043" t="str">
        <f>"1552382841372197"</f>
        <v>1552382841372197</v>
      </c>
      <c r="C3043" t="s">
        <v>40</v>
      </c>
      <c r="D3043">
        <v>3.2961990000000001</v>
      </c>
      <c r="E3043">
        <v>0.60503209999999996</v>
      </c>
      <c r="F3043" t="s">
        <v>41</v>
      </c>
      <c r="G3043">
        <v>-189.0401</v>
      </c>
      <c r="H3043" s="1">
        <v>-2.192317E-6</v>
      </c>
      <c r="I3043">
        <v>194.34620000000001</v>
      </c>
      <c r="J3043">
        <v>-196.39699999999999</v>
      </c>
      <c r="K3043">
        <v>1.1003000000000001</v>
      </c>
      <c r="L3043">
        <v>210.1275</v>
      </c>
      <c r="M3043">
        <v>0.85808719999999905</v>
      </c>
      <c r="N3043">
        <v>0</v>
      </c>
      <c r="O3043">
        <v>-0.51329089999999999</v>
      </c>
      <c r="P3043">
        <v>0.6334052</v>
      </c>
      <c r="Q3043">
        <v>0.1703316</v>
      </c>
      <c r="R3043">
        <v>-0.7548414</v>
      </c>
      <c r="S3043">
        <v>1.370422</v>
      </c>
      <c r="T3043">
        <v>-0.199209</v>
      </c>
      <c r="U3043">
        <v>-2.881958</v>
      </c>
      <c r="V3043">
        <v>0.32688899999999999</v>
      </c>
      <c r="W3043">
        <v>0.17642070000000001</v>
      </c>
      <c r="X3043">
        <v>0.92844990000000005</v>
      </c>
      <c r="Y3043">
        <v>0.55442599999999997</v>
      </c>
      <c r="Z3043">
        <v>1.5816319999999998E-2</v>
      </c>
      <c r="AA3043">
        <v>0.83208269999999995</v>
      </c>
      <c r="AB3043">
        <v>28</v>
      </c>
      <c r="AC3043">
        <v>7.35690000000002</v>
      </c>
      <c r="AD3043">
        <v>-1.100302192317</v>
      </c>
      <c r="AE3043">
        <v>-15.7812999999999</v>
      </c>
      <c r="AF3043">
        <v>9.7277244693413394</v>
      </c>
      <c r="AG3043">
        <v>-1.100302192317</v>
      </c>
      <c r="AH3043">
        <v>14.357502601600499</v>
      </c>
      <c r="AI3043">
        <v>93.630263705403806</v>
      </c>
      <c r="AJ3043">
        <v>55.8809473864289</v>
      </c>
      <c r="AK3043">
        <v>17.377490302710701</v>
      </c>
      <c r="AL3043">
        <v>79.838654804354604</v>
      </c>
      <c r="AM3043">
        <v>70.603833529284202</v>
      </c>
      <c r="AN3043">
        <v>0.999999949259748</v>
      </c>
    </row>
    <row r="3044" spans="1:40" x14ac:dyDescent="0.25">
      <c r="A3044" t="str">
        <f>"20190312172721404"</f>
        <v>20190312172721404</v>
      </c>
      <c r="B3044" t="str">
        <f>"1552382841402453"</f>
        <v>1552382841402453</v>
      </c>
      <c r="C3044" t="s">
        <v>40</v>
      </c>
      <c r="D3044">
        <v>3.272386</v>
      </c>
      <c r="E3044">
        <v>0.60430030000000001</v>
      </c>
      <c r="F3044" t="s">
        <v>41</v>
      </c>
      <c r="G3044">
        <v>-189.04900000000001</v>
      </c>
      <c r="H3044" s="1">
        <v>-2.1447520000000001E-6</v>
      </c>
      <c r="I3044">
        <v>194.239</v>
      </c>
      <c r="J3044">
        <v>-196.16810000000001</v>
      </c>
      <c r="K3044">
        <v>1.1001749999999999</v>
      </c>
      <c r="L3044">
        <v>209.97479999999999</v>
      </c>
      <c r="M3044">
        <v>0.85132790000000003</v>
      </c>
      <c r="N3044">
        <v>0</v>
      </c>
      <c r="O3044">
        <v>-0.52442449999999996</v>
      </c>
      <c r="P3044">
        <v>0.62404780000000004</v>
      </c>
      <c r="Q3044">
        <v>0.17068900000000001</v>
      </c>
      <c r="R3044">
        <v>-0.76251550000000001</v>
      </c>
      <c r="S3044">
        <v>1.3392329999999999</v>
      </c>
      <c r="T3044">
        <v>-0.20053789999999999</v>
      </c>
      <c r="U3044">
        <v>-2.8957980000000001</v>
      </c>
      <c r="V3044">
        <v>0.32624120000000001</v>
      </c>
      <c r="W3044">
        <v>0.17673</v>
      </c>
      <c r="X3044">
        <v>0.92861899999999997</v>
      </c>
      <c r="Y3044">
        <v>0.55249550000000003</v>
      </c>
      <c r="Z3044">
        <v>1.6819890000000001E-2</v>
      </c>
      <c r="AA3044">
        <v>0.83334609999999998</v>
      </c>
      <c r="AB3044">
        <v>28</v>
      </c>
      <c r="AC3044">
        <v>7.1191000000000004</v>
      </c>
      <c r="AD3044">
        <v>-1.1001771447519999</v>
      </c>
      <c r="AE3044">
        <v>-15.7357999999999</v>
      </c>
      <c r="AF3044">
        <v>9.6249023530043996</v>
      </c>
      <c r="AG3044">
        <v>-1.1001771447519999</v>
      </c>
      <c r="AH3044">
        <v>14.256651654850801</v>
      </c>
      <c r="AI3044">
        <v>93.659555497824996</v>
      </c>
      <c r="AJ3044">
        <v>55.976060248922003</v>
      </c>
      <c r="AK3044">
        <v>17.2366252921639</v>
      </c>
      <c r="AL3044">
        <v>79.820651150413198</v>
      </c>
      <c r="AM3044">
        <v>70.642672150153501</v>
      </c>
      <c r="AN3044">
        <v>1.00000003031921</v>
      </c>
    </row>
    <row r="3045" spans="1:40" x14ac:dyDescent="0.25">
      <c r="A3045" t="str">
        <f>"20190312172721429"</f>
        <v>20190312172721429</v>
      </c>
      <c r="B3045" t="str">
        <f>"1552382841421973"</f>
        <v>1552382841421973</v>
      </c>
      <c r="C3045" t="s">
        <v>40</v>
      </c>
      <c r="D3045">
        <v>3.262699</v>
      </c>
      <c r="E3045">
        <v>0.60387380000000002</v>
      </c>
      <c r="F3045" t="s">
        <v>41</v>
      </c>
      <c r="G3045">
        <v>-188.98769999999999</v>
      </c>
      <c r="H3045" s="1">
        <v>-2.056956E-6</v>
      </c>
      <c r="I3045">
        <v>194.00899999999999</v>
      </c>
      <c r="J3045">
        <v>-195.91630000000001</v>
      </c>
      <c r="K3045">
        <v>1.1000319999999999</v>
      </c>
      <c r="L3045">
        <v>209.8015</v>
      </c>
      <c r="M3045">
        <v>0.84353389999999995</v>
      </c>
      <c r="N3045">
        <v>0</v>
      </c>
      <c r="O3045">
        <v>-0.53686979999999995</v>
      </c>
      <c r="P3045">
        <v>0.61294910000000002</v>
      </c>
      <c r="Q3045">
        <v>0.1710304</v>
      </c>
      <c r="R3045">
        <v>-0.77138949999999995</v>
      </c>
      <c r="S3045">
        <v>1.3081210000000001</v>
      </c>
      <c r="T3045">
        <v>-0.200429</v>
      </c>
      <c r="U3045">
        <v>-2.90863</v>
      </c>
      <c r="V3045">
        <v>0.326048</v>
      </c>
      <c r="W3045">
        <v>0.17700360000000001</v>
      </c>
      <c r="X3045">
        <v>0.92863479999999998</v>
      </c>
      <c r="Y3045">
        <v>0.54905769999999998</v>
      </c>
      <c r="Z3045">
        <v>1.786449E-2</v>
      </c>
      <c r="AA3045">
        <v>0.83559349999999999</v>
      </c>
      <c r="AB3045">
        <v>28</v>
      </c>
      <c r="AC3045">
        <v>6.9286000000000101</v>
      </c>
      <c r="AD3045">
        <v>-1.1000340569560001</v>
      </c>
      <c r="AE3045">
        <v>-15.792499999999899</v>
      </c>
      <c r="AF3045">
        <v>9.5639030679852599</v>
      </c>
      <c r="AG3045">
        <v>-1.1000340569560001</v>
      </c>
      <c r="AH3045">
        <v>14.2665641673825</v>
      </c>
      <c r="AI3045">
        <v>93.664567439167598</v>
      </c>
      <c r="AJ3045">
        <v>56.1632126023041</v>
      </c>
      <c r="AK3045">
        <v>17.210844545295402</v>
      </c>
      <c r="AL3045">
        <v>79.804724464747807</v>
      </c>
      <c r="AM3045">
        <v>70.6535883553547</v>
      </c>
      <c r="AN3045">
        <v>1.0000000822439901</v>
      </c>
    </row>
    <row r="3046" spans="1:40" x14ac:dyDescent="0.25">
      <c r="A3046" t="str">
        <f>"20190312172721456"</f>
        <v>20190312172721456</v>
      </c>
      <c r="B3046" t="str">
        <f>"1552382841452229"</f>
        <v>1552382841452229</v>
      </c>
      <c r="C3046" t="s">
        <v>40</v>
      </c>
      <c r="D3046">
        <v>3.2349190000000001</v>
      </c>
      <c r="E3046">
        <v>0.60320790000000002</v>
      </c>
      <c r="F3046" t="s">
        <v>41</v>
      </c>
      <c r="G3046">
        <v>-188.95779999999999</v>
      </c>
      <c r="H3046" s="1">
        <v>-1.9558169999999998E-6</v>
      </c>
      <c r="I3046">
        <v>193.76089999999999</v>
      </c>
      <c r="J3046">
        <v>-195.64240000000001</v>
      </c>
      <c r="K3046">
        <v>1.0998939999999999</v>
      </c>
      <c r="L3046">
        <v>209.60579999999999</v>
      </c>
      <c r="M3046">
        <v>0.83458339999999998</v>
      </c>
      <c r="N3046">
        <v>0</v>
      </c>
      <c r="O3046">
        <v>-0.55067940000000004</v>
      </c>
      <c r="P3046">
        <v>0.60030909999999904</v>
      </c>
      <c r="Q3046">
        <v>0.17124300000000001</v>
      </c>
      <c r="R3046">
        <v>-0.78122009999999997</v>
      </c>
      <c r="S3046">
        <v>1.2689969999999999</v>
      </c>
      <c r="T3046">
        <v>-0.20060710000000001</v>
      </c>
      <c r="U3046">
        <v>-2.9252470000000002</v>
      </c>
      <c r="V3046">
        <v>0.32591409999999998</v>
      </c>
      <c r="W3046">
        <v>0.17715</v>
      </c>
      <c r="X3046">
        <v>0.92865379999999997</v>
      </c>
      <c r="Y3046">
        <v>0.54645719999999898</v>
      </c>
      <c r="Z3046">
        <v>1.900812E-2</v>
      </c>
      <c r="AA3046">
        <v>0.83727129999999905</v>
      </c>
      <c r="AB3046">
        <v>27</v>
      </c>
      <c r="AC3046">
        <v>6.6846000000000103</v>
      </c>
      <c r="AD3046">
        <v>-1.0998959558170001</v>
      </c>
      <c r="AE3046">
        <v>-15.8448999999999</v>
      </c>
      <c r="AF3046">
        <v>9.5050009084344609</v>
      </c>
      <c r="AG3046">
        <v>-1.0998959558170001</v>
      </c>
      <c r="AH3046">
        <v>14.2476283694625</v>
      </c>
      <c r="AI3046">
        <v>93.674452705254893</v>
      </c>
      <c r="AJ3046">
        <v>56.291611684506201</v>
      </c>
      <c r="AK3046">
        <v>17.162451093514498</v>
      </c>
      <c r="AL3046">
        <v>79.796200847045498</v>
      </c>
      <c r="AM3046">
        <v>70.661309810370895</v>
      </c>
      <c r="AN3046">
        <v>1.00000000166662</v>
      </c>
    </row>
    <row r="3047" spans="1:40" x14ac:dyDescent="0.25">
      <c r="A3047" t="str">
        <f>"20190312172721477"</f>
        <v>20190312172721477</v>
      </c>
      <c r="B3047" t="str">
        <f>"1552382841471750"</f>
        <v>1552382841471750</v>
      </c>
      <c r="C3047" t="s">
        <v>40</v>
      </c>
      <c r="D3047">
        <v>3.2745069999999998</v>
      </c>
      <c r="E3047">
        <v>0.59282019999999902</v>
      </c>
      <c r="F3047" t="s">
        <v>41</v>
      </c>
      <c r="G3047">
        <v>-188.95169999999999</v>
      </c>
      <c r="H3047" s="1">
        <v>-1.8610390000000001E-6</v>
      </c>
      <c r="I3047">
        <v>193.53749999999999</v>
      </c>
      <c r="J3047">
        <v>-195.4265</v>
      </c>
      <c r="K3047">
        <v>1.099793</v>
      </c>
      <c r="L3047">
        <v>209.44669999999999</v>
      </c>
      <c r="M3047">
        <v>0.82720149999999903</v>
      </c>
      <c r="N3047">
        <v>0</v>
      </c>
      <c r="O3047">
        <v>-0.56170640000000005</v>
      </c>
      <c r="P3047">
        <v>0.58986070000000002</v>
      </c>
      <c r="Q3047">
        <v>0.17161940000000001</v>
      </c>
      <c r="R3047">
        <v>-0.78905760000000003</v>
      </c>
      <c r="S3047">
        <v>1.2253270000000001</v>
      </c>
      <c r="T3047">
        <v>-0.20143330000000001</v>
      </c>
      <c r="U3047">
        <v>-2.9427340000000002</v>
      </c>
      <c r="V3047">
        <v>0.32593319999999998</v>
      </c>
      <c r="W3047">
        <v>0.17748039999999901</v>
      </c>
      <c r="X3047">
        <v>0.92858399999999996</v>
      </c>
      <c r="Y3047">
        <v>0.54770479999999999</v>
      </c>
      <c r="Z3047">
        <v>1.9884019999999999E-2</v>
      </c>
      <c r="AA3047">
        <v>0.83643539999999905</v>
      </c>
      <c r="AB3047">
        <v>27</v>
      </c>
      <c r="AC3047">
        <v>6.4748000000000099</v>
      </c>
      <c r="AD3047">
        <v>-1.099794861039</v>
      </c>
      <c r="AE3047">
        <v>-15.909199999999901</v>
      </c>
      <c r="AF3047">
        <v>9.4853542340100692</v>
      </c>
      <c r="AG3047">
        <v>-1.099794861039</v>
      </c>
      <c r="AH3047">
        <v>14.235499046707</v>
      </c>
      <c r="AI3047">
        <v>93.6786119505838</v>
      </c>
      <c r="AJ3047">
        <v>56.323806884615003</v>
      </c>
      <c r="AK3047">
        <v>17.141497215524002</v>
      </c>
      <c r="AL3047">
        <v>79.776965442981094</v>
      </c>
      <c r="AM3047">
        <v>70.658914828236504</v>
      </c>
      <c r="AN3047">
        <v>0.999999994151199</v>
      </c>
    </row>
    <row r="3048" spans="1:40" x14ac:dyDescent="0.25">
      <c r="A3048" t="str">
        <f>"20190312172721497"</f>
        <v>20190312172721497</v>
      </c>
      <c r="B3048" t="str">
        <f>"1552382841492246"</f>
        <v>1552382841492246</v>
      </c>
      <c r="C3048" t="s">
        <v>40</v>
      </c>
      <c r="D3048">
        <v>3.2546710000000001</v>
      </c>
      <c r="E3048">
        <v>0.59289150000000002</v>
      </c>
      <c r="F3048" t="s">
        <v>41</v>
      </c>
      <c r="G3048">
        <v>-189.13820000000001</v>
      </c>
      <c r="H3048" s="1">
        <v>-2.3923899999999999E-6</v>
      </c>
      <c r="I3048">
        <v>194.85319999999999</v>
      </c>
      <c r="J3048">
        <v>-195.2337</v>
      </c>
      <c r="K3048">
        <v>1.099715</v>
      </c>
      <c r="L3048">
        <v>209.3006</v>
      </c>
      <c r="M3048">
        <v>0.82034789999999902</v>
      </c>
      <c r="N3048">
        <v>0</v>
      </c>
      <c r="O3048">
        <v>-0.57166810000000001</v>
      </c>
      <c r="P3048">
        <v>0.580924</v>
      </c>
      <c r="Q3048">
        <v>0.1714569</v>
      </c>
      <c r="R3048">
        <v>-0.79569460000000003</v>
      </c>
      <c r="S3048">
        <v>1.2546839999999999</v>
      </c>
      <c r="T3048">
        <v>-0.21943779999999999</v>
      </c>
      <c r="U3048">
        <v>-2.9117890000000002</v>
      </c>
      <c r="V3048">
        <v>0.32523380000000002</v>
      </c>
      <c r="W3048">
        <v>0.17730580000000001</v>
      </c>
      <c r="X3048">
        <v>0.92886250000000004</v>
      </c>
      <c r="Y3048">
        <v>0.52717119999999995</v>
      </c>
      <c r="Z3048">
        <v>2.3350180000000002E-2</v>
      </c>
      <c r="AA3048">
        <v>0.84943829999999998</v>
      </c>
      <c r="AB3048">
        <v>27</v>
      </c>
      <c r="AC3048">
        <v>6.0954999999999799</v>
      </c>
      <c r="AD3048">
        <v>-1.0997173923899899</v>
      </c>
      <c r="AE3048">
        <v>-14.4474</v>
      </c>
      <c r="AF3048">
        <v>8.3272745539460793</v>
      </c>
      <c r="AG3048">
        <v>-1.0997173923899899</v>
      </c>
      <c r="AH3048">
        <v>13.196134190535201</v>
      </c>
      <c r="AI3048">
        <v>94.031375672983899</v>
      </c>
      <c r="AJ3048">
        <v>57.746478616183502</v>
      </c>
      <c r="AK3048">
        <v>15.642596888449701</v>
      </c>
      <c r="AL3048">
        <v>79.787130126375899</v>
      </c>
      <c r="AM3048">
        <v>70.702704536757196</v>
      </c>
      <c r="AN3048">
        <v>0.99999995764116401</v>
      </c>
    </row>
    <row r="3049" spans="1:40" x14ac:dyDescent="0.25">
      <c r="A3049" t="str">
        <f>"20190312172721517"</f>
        <v>20190312172721517</v>
      </c>
      <c r="B3049" t="str">
        <f>"1552382841511766"</f>
        <v>1552382841511766</v>
      </c>
      <c r="C3049" t="s">
        <v>40</v>
      </c>
      <c r="D3049">
        <v>3.2586360000000001</v>
      </c>
      <c r="E3049">
        <v>0.5926768</v>
      </c>
      <c r="F3049" t="s">
        <v>41</v>
      </c>
      <c r="G3049">
        <v>-189.15389999999999</v>
      </c>
      <c r="H3049" s="1">
        <v>-2.3346949999999999E-6</v>
      </c>
      <c r="I3049">
        <v>194.7251</v>
      </c>
      <c r="J3049">
        <v>-195.0326</v>
      </c>
      <c r="K3049">
        <v>1.099648</v>
      </c>
      <c r="L3049">
        <v>209.14420000000001</v>
      </c>
      <c r="M3049">
        <v>0.81293419999999905</v>
      </c>
      <c r="N3049">
        <v>0</v>
      </c>
      <c r="O3049">
        <v>-0.58216199999999996</v>
      </c>
      <c r="P3049">
        <v>0.57115039999999995</v>
      </c>
      <c r="Q3049">
        <v>0.17160349999999999</v>
      </c>
      <c r="R3049">
        <v>-0.80270790000000003</v>
      </c>
      <c r="S3049">
        <v>1.2207490000000001</v>
      </c>
      <c r="T3049">
        <v>-0.22080949999999999</v>
      </c>
      <c r="U3049">
        <v>-2.9265750000000001</v>
      </c>
      <c r="V3049">
        <v>0.32466640000000002</v>
      </c>
      <c r="W3049">
        <v>0.17744009999999999</v>
      </c>
      <c r="X3049">
        <v>0.92903539999999996</v>
      </c>
      <c r="Y3049">
        <v>0.52618399999999999</v>
      </c>
      <c r="Z3049">
        <v>2.4404519999999999E-2</v>
      </c>
      <c r="AA3049">
        <v>0.85002049999999996</v>
      </c>
      <c r="AB3049">
        <v>27</v>
      </c>
      <c r="AC3049">
        <v>5.8787000000000003</v>
      </c>
      <c r="AD3049">
        <v>-1.099650334695</v>
      </c>
      <c r="AE3049">
        <v>-14.4191</v>
      </c>
      <c r="AF3049">
        <v>8.2591695681260706</v>
      </c>
      <c r="AG3049">
        <v>-1.099650334695</v>
      </c>
      <c r="AH3049">
        <v>13.109354946</v>
      </c>
      <c r="AI3049">
        <v>94.059584105577002</v>
      </c>
      <c r="AJ3049">
        <v>57.788208889047503</v>
      </c>
      <c r="AK3049">
        <v>15.533135546755201</v>
      </c>
      <c r="AL3049">
        <v>79.779311943145402</v>
      </c>
      <c r="AM3049">
        <v>70.737208970472594</v>
      </c>
      <c r="AN3049">
        <v>1.0000000174150601</v>
      </c>
    </row>
    <row r="3050" spans="1:40" x14ac:dyDescent="0.25">
      <c r="A3050" t="str">
        <f>"20190312172721542"</f>
        <v>20190312172721542</v>
      </c>
      <c r="B3050" t="str">
        <f>"1552382841532262"</f>
        <v>1552382841532262</v>
      </c>
      <c r="C3050" t="s">
        <v>40</v>
      </c>
      <c r="D3050">
        <v>3.2755730000000001</v>
      </c>
      <c r="E3050">
        <v>0.59181510000000004</v>
      </c>
      <c r="F3050" t="s">
        <v>41</v>
      </c>
      <c r="G3050">
        <v>-189.12190000000001</v>
      </c>
      <c r="H3050" s="1">
        <v>-2.2381709999999999E-6</v>
      </c>
      <c r="I3050">
        <v>194.48689999999999</v>
      </c>
      <c r="J3050">
        <v>-194.79320000000001</v>
      </c>
      <c r="K3050">
        <v>1.099572</v>
      </c>
      <c r="L3050">
        <v>208.95240000000001</v>
      </c>
      <c r="M3050">
        <v>0.80374269999999903</v>
      </c>
      <c r="N3050">
        <v>0</v>
      </c>
      <c r="O3050">
        <v>-0.59478659999999905</v>
      </c>
      <c r="P3050">
        <v>0.55893669999999995</v>
      </c>
      <c r="Q3050">
        <v>0.17166509999999999</v>
      </c>
      <c r="R3050">
        <v>-0.81124680000000005</v>
      </c>
      <c r="S3050">
        <v>1.185883</v>
      </c>
      <c r="T3050">
        <v>-0.22062470000000001</v>
      </c>
      <c r="U3050">
        <v>-2.9407199999999998</v>
      </c>
      <c r="V3050">
        <v>0.32424209999999998</v>
      </c>
      <c r="W3050">
        <v>0.17748599999999901</v>
      </c>
      <c r="X3050">
        <v>0.92917479999999997</v>
      </c>
      <c r="Y3050">
        <v>0.5230089</v>
      </c>
      <c r="Z3050">
        <v>2.5555810000000002E-2</v>
      </c>
      <c r="AA3050">
        <v>0.85194400000000003</v>
      </c>
      <c r="AB3050">
        <v>27</v>
      </c>
      <c r="AC3050">
        <v>5.6712999999999996</v>
      </c>
      <c r="AD3050">
        <v>-1.0995742381710001</v>
      </c>
      <c r="AE3050">
        <v>-14.4655</v>
      </c>
      <c r="AF3050">
        <v>8.2131285236518501</v>
      </c>
      <c r="AG3050">
        <v>-1.0995742381710001</v>
      </c>
      <c r="AH3050">
        <v>13.098044591161701</v>
      </c>
      <c r="AI3050">
        <v>94.068221501583196</v>
      </c>
      <c r="AJ3050">
        <v>57.9102326681734</v>
      </c>
      <c r="AK3050">
        <v>15.499139194269301</v>
      </c>
      <c r="AL3050">
        <v>79.776639618480303</v>
      </c>
      <c r="AM3050">
        <v>70.763206233945397</v>
      </c>
      <c r="AN3050">
        <v>1.00000001428172</v>
      </c>
    </row>
    <row r="3051" spans="1:40" x14ac:dyDescent="0.25">
      <c r="A3051" t="str">
        <f>"20190312172721560"</f>
        <v>20190312172721560</v>
      </c>
      <c r="B3051" t="str">
        <f>"1552382841551782"</f>
        <v>1552382841551782</v>
      </c>
      <c r="C3051" t="s">
        <v>40</v>
      </c>
      <c r="D3051">
        <v>3.2627839999999999</v>
      </c>
      <c r="E3051">
        <v>0.59126449999999997</v>
      </c>
      <c r="F3051" t="s">
        <v>41</v>
      </c>
      <c r="G3051">
        <v>-189.1558</v>
      </c>
      <c r="H3051" s="1">
        <v>-2.202712E-6</v>
      </c>
      <c r="I3051">
        <v>194.41829999999999</v>
      </c>
      <c r="J3051">
        <v>-194.61170000000001</v>
      </c>
      <c r="K3051">
        <v>1.0995250000000001</v>
      </c>
      <c r="L3051">
        <v>208.80250000000001</v>
      </c>
      <c r="M3051">
        <v>0.79650240000000005</v>
      </c>
      <c r="N3051">
        <v>0</v>
      </c>
      <c r="O3051">
        <v>-0.60444739999999997</v>
      </c>
      <c r="P3051">
        <v>0.55023739999999999</v>
      </c>
      <c r="Q3051">
        <v>0.17196</v>
      </c>
      <c r="R3051">
        <v>-0.81711009999999995</v>
      </c>
      <c r="S3051">
        <v>1.1463779999999999</v>
      </c>
      <c r="T3051">
        <v>-0.22359799999999999</v>
      </c>
      <c r="U3051">
        <v>-2.955505</v>
      </c>
      <c r="V3051">
        <v>0.3229283</v>
      </c>
      <c r="W3051">
        <v>0.1778042</v>
      </c>
      <c r="X3051">
        <v>0.92957140000000005</v>
      </c>
      <c r="Y3051">
        <v>0.52406169999999996</v>
      </c>
      <c r="Z3051">
        <v>2.669183E-2</v>
      </c>
      <c r="AA3051">
        <v>0.85126199999999996</v>
      </c>
      <c r="AB3051">
        <v>27</v>
      </c>
      <c r="AC3051">
        <v>5.4559000000000104</v>
      </c>
      <c r="AD3051">
        <v>-1.099527202712</v>
      </c>
      <c r="AE3051">
        <v>-14.3842</v>
      </c>
      <c r="AF3051">
        <v>8.1187009063673798</v>
      </c>
      <c r="AG3051">
        <v>-1.099527202712</v>
      </c>
      <c r="AH3051">
        <v>12.9753316422546</v>
      </c>
      <c r="AI3051">
        <v>94.1088712240429</v>
      </c>
      <c r="AJ3051">
        <v>57.965670926567697</v>
      </c>
      <c r="AK3051">
        <v>15.3454063388054</v>
      </c>
      <c r="AL3051">
        <v>79.758113330090595</v>
      </c>
      <c r="AM3051">
        <v>70.843037282156203</v>
      </c>
      <c r="AN3051">
        <v>1.00000000408824</v>
      </c>
    </row>
    <row r="3052" spans="1:40" x14ac:dyDescent="0.25">
      <c r="A3052" t="str">
        <f>"20190312172721604"</f>
        <v>20190312172721604</v>
      </c>
      <c r="B3052" t="str">
        <f>"1552382841591797"</f>
        <v>1552382841591797</v>
      </c>
      <c r="C3052" t="s">
        <v>40</v>
      </c>
      <c r="D3052">
        <v>3.2747299999999999</v>
      </c>
      <c r="E3052">
        <v>0.59062559999999997</v>
      </c>
      <c r="F3052" t="s">
        <v>41</v>
      </c>
      <c r="G3052">
        <v>-189.1369</v>
      </c>
      <c r="H3052" s="1">
        <v>-2.1465640000000002E-6</v>
      </c>
      <c r="I3052">
        <v>194.27959999999999</v>
      </c>
      <c r="J3052">
        <v>-194.1995</v>
      </c>
      <c r="K3052">
        <v>1.0994409999999999</v>
      </c>
      <c r="L3052">
        <v>208.44800000000001</v>
      </c>
      <c r="M3052">
        <v>0.77919050000000001</v>
      </c>
      <c r="N3052">
        <v>0</v>
      </c>
      <c r="O3052">
        <v>-0.62660459999999996</v>
      </c>
      <c r="P3052">
        <v>0.5276769</v>
      </c>
      <c r="Q3052">
        <v>0.173916299999999</v>
      </c>
      <c r="R3052">
        <v>-0.8314511</v>
      </c>
      <c r="S3052">
        <v>1.1180570000000001</v>
      </c>
      <c r="T3052">
        <v>-0.22454350000000001</v>
      </c>
      <c r="U3052">
        <v>-2.9658509999999998</v>
      </c>
      <c r="V3052">
        <v>0.32199430000000001</v>
      </c>
      <c r="W3052">
        <v>0.17976010000000001</v>
      </c>
      <c r="X3052">
        <v>0.92951919999999999</v>
      </c>
      <c r="Y3052">
        <v>0.50817199999999996</v>
      </c>
      <c r="Z3052">
        <v>2.9271120000000001E-2</v>
      </c>
      <c r="AA3052">
        <v>0.86075809999999997</v>
      </c>
      <c r="AB3052">
        <v>27</v>
      </c>
      <c r="AC3052">
        <v>5.0625999999999998</v>
      </c>
      <c r="AD3052">
        <v>-1.099443146564</v>
      </c>
      <c r="AE3052">
        <v>-14.168399999999901</v>
      </c>
      <c r="AF3052">
        <v>7.8267418445169197</v>
      </c>
      <c r="AG3052">
        <v>-1.099443146564</v>
      </c>
      <c r="AH3052">
        <v>12.756067796862499</v>
      </c>
      <c r="AI3052">
        <v>94.201612773968506</v>
      </c>
      <c r="AJ3052">
        <v>58.467966085328797</v>
      </c>
      <c r="AK3052">
        <v>15.0061297066029</v>
      </c>
      <c r="AL3052">
        <v>79.644213196631696</v>
      </c>
      <c r="AM3052">
        <v>70.893427461672601</v>
      </c>
      <c r="AN3052">
        <v>0.999999982976569</v>
      </c>
    </row>
    <row r="3053" spans="1:40" x14ac:dyDescent="0.25">
      <c r="A3053" t="str">
        <f>"20190312172721632"</f>
        <v>20190312172721632</v>
      </c>
      <c r="B3053" t="str">
        <f>"1552382841622054"</f>
        <v>1552382841622054</v>
      </c>
      <c r="C3053" t="s">
        <v>40</v>
      </c>
      <c r="D3053">
        <v>3.2614269999999999</v>
      </c>
      <c r="E3053">
        <v>0.62124869999999899</v>
      </c>
      <c r="F3053" t="s">
        <v>41</v>
      </c>
      <c r="G3053">
        <v>-188.98390000000001</v>
      </c>
      <c r="H3053" s="1">
        <v>-1.8170909999999999E-6</v>
      </c>
      <c r="I3053">
        <v>193.44829999999999</v>
      </c>
      <c r="J3053">
        <v>-193.9434</v>
      </c>
      <c r="K3053">
        <v>1.099402</v>
      </c>
      <c r="L3053">
        <v>208.21690000000001</v>
      </c>
      <c r="M3053">
        <v>0.7677988</v>
      </c>
      <c r="N3053">
        <v>0</v>
      </c>
      <c r="O3053">
        <v>-0.64051150000000001</v>
      </c>
      <c r="P3053">
        <v>0.51291719999999996</v>
      </c>
      <c r="Q3053">
        <v>0.1744386</v>
      </c>
      <c r="R3053">
        <v>-0.84052789999999999</v>
      </c>
      <c r="S3053">
        <v>1.0408630000000001</v>
      </c>
      <c r="T3053">
        <v>-0.21941289999999999</v>
      </c>
      <c r="U3053">
        <v>-2.9934539999999998</v>
      </c>
      <c r="V3053">
        <v>0.32163799999999998</v>
      </c>
      <c r="W3053">
        <v>0.18028830000000001</v>
      </c>
      <c r="X3053">
        <v>0.92954029999999999</v>
      </c>
      <c r="Y3053">
        <v>0.51494319999999905</v>
      </c>
      <c r="Z3053">
        <v>2.955822E-2</v>
      </c>
      <c r="AA3053">
        <v>0.85671450000000005</v>
      </c>
      <c r="AB3053">
        <v>27</v>
      </c>
      <c r="AC3053">
        <v>4.9594999999999896</v>
      </c>
      <c r="AD3053">
        <v>-1.0994038170910001</v>
      </c>
      <c r="AE3053">
        <v>-14.768599999999999</v>
      </c>
      <c r="AF3053">
        <v>8.1231820186722601</v>
      </c>
      <c r="AG3053">
        <v>-1.0994038170910001</v>
      </c>
      <c r="AH3053">
        <v>13.203130737548801</v>
      </c>
      <c r="AI3053">
        <v>94.056659318161906</v>
      </c>
      <c r="AJ3053">
        <v>58.398231458188697</v>
      </c>
      <c r="AK3053">
        <v>15.5408312562205</v>
      </c>
      <c r="AL3053">
        <v>79.613447318084496</v>
      </c>
      <c r="AM3053">
        <v>70.913441005669398</v>
      </c>
      <c r="AN3053">
        <v>1.00000002174248</v>
      </c>
    </row>
    <row r="3054" spans="1:40" x14ac:dyDescent="0.25">
      <c r="A3054" t="str">
        <f>"20190312172721656"</f>
        <v>20190312172721656</v>
      </c>
      <c r="B3054" t="str">
        <f>"1552382841652310"</f>
        <v>1552382841652310</v>
      </c>
      <c r="C3054" t="s">
        <v>40</v>
      </c>
      <c r="D3054">
        <v>3.2437939999999998</v>
      </c>
      <c r="E3054">
        <v>0.62475839999999905</v>
      </c>
      <c r="F3054" t="s">
        <v>41</v>
      </c>
      <c r="G3054">
        <v>-188.90530000000001</v>
      </c>
      <c r="H3054" s="1">
        <v>-3.7213479999999999E-6</v>
      </c>
      <c r="I3054">
        <v>187.85470000000001</v>
      </c>
      <c r="J3054">
        <v>-193.7294</v>
      </c>
      <c r="K3054">
        <v>1.09938799999999</v>
      </c>
      <c r="L3054">
        <v>208.0171</v>
      </c>
      <c r="M3054">
        <v>0.75789050000000002</v>
      </c>
      <c r="N3054">
        <v>0</v>
      </c>
      <c r="O3054">
        <v>-0.65220529999999999</v>
      </c>
      <c r="P3054">
        <v>0.50040150000000005</v>
      </c>
      <c r="Q3054">
        <v>0.1744406</v>
      </c>
      <c r="R3054">
        <v>-0.84803859999999998</v>
      </c>
      <c r="S3054">
        <v>0.77479549999999997</v>
      </c>
      <c r="T3054">
        <v>-0.16907549999999999</v>
      </c>
      <c r="U3054">
        <v>-3.1314700000000002</v>
      </c>
      <c r="V3054">
        <v>0.32117669999999998</v>
      </c>
      <c r="W3054">
        <v>0.1803061</v>
      </c>
      <c r="X3054">
        <v>0.92969630000000003</v>
      </c>
      <c r="Y3054">
        <v>0.5790786</v>
      </c>
      <c r="Z3054">
        <v>2.1493000000000002E-2</v>
      </c>
      <c r="AA3054">
        <v>0.81498839999999995</v>
      </c>
      <c r="AB3054">
        <v>27</v>
      </c>
      <c r="AC3054">
        <v>4.8240999999999801</v>
      </c>
      <c r="AD3054">
        <v>-1.09939172134799</v>
      </c>
      <c r="AE3054">
        <v>-20.162399999999899</v>
      </c>
      <c r="AF3054">
        <v>12.1019520271952</v>
      </c>
      <c r="AG3054">
        <v>-1.09939172134799</v>
      </c>
      <c r="AH3054">
        <v>16.760963762284799</v>
      </c>
      <c r="AI3054">
        <v>93.044075831961393</v>
      </c>
      <c r="AJ3054">
        <v>54.1695108379771</v>
      </c>
      <c r="AK3054">
        <v>20.7025556699198</v>
      </c>
      <c r="AL3054">
        <v>79.612410088918907</v>
      </c>
      <c r="AM3054">
        <v>70.941806176390202</v>
      </c>
      <c r="AN3054">
        <v>0.99999998627689501</v>
      </c>
    </row>
    <row r="3055" spans="1:40" x14ac:dyDescent="0.25">
      <c r="A3055" t="str">
        <f>"20190312172721694"</f>
        <v>20190312172721694</v>
      </c>
      <c r="B3055" t="str">
        <f>"1552382841682568"</f>
        <v>1552382841682568</v>
      </c>
      <c r="C3055" t="s">
        <v>40</v>
      </c>
      <c r="D3055">
        <v>3.2863389999999999</v>
      </c>
      <c r="E3055">
        <v>0.62580530000000001</v>
      </c>
      <c r="F3055" t="s">
        <v>41</v>
      </c>
      <c r="G3055">
        <v>-189.08150000000001</v>
      </c>
      <c r="H3055" s="1">
        <v>-3.389566E-6</v>
      </c>
      <c r="I3055">
        <v>187.1541</v>
      </c>
      <c r="J3055">
        <v>-193.39080000000001</v>
      </c>
      <c r="K3055">
        <v>1.0993740000000001</v>
      </c>
      <c r="L3055">
        <v>207.68790000000001</v>
      </c>
      <c r="M3055">
        <v>0.7414674</v>
      </c>
      <c r="N3055">
        <v>0</v>
      </c>
      <c r="O3055">
        <v>-0.670817</v>
      </c>
      <c r="P3055">
        <v>0.47915180000000002</v>
      </c>
      <c r="Q3055">
        <v>0.17447889999999999</v>
      </c>
      <c r="R3055">
        <v>-0.86021579999999997</v>
      </c>
      <c r="S3055">
        <v>0.70329280000000005</v>
      </c>
      <c r="T3055">
        <v>-0.166353</v>
      </c>
      <c r="U3055">
        <v>-3.1568450000000001</v>
      </c>
      <c r="V3055">
        <v>0.32123109999999999</v>
      </c>
      <c r="W3055">
        <v>0.18035109999999999</v>
      </c>
      <c r="X3055">
        <v>0.92966879999999996</v>
      </c>
      <c r="Y3055">
        <v>0.57788090000000003</v>
      </c>
      <c r="Z3055">
        <v>2.2349190000000001E-2</v>
      </c>
      <c r="AA3055">
        <v>0.81581499999999996</v>
      </c>
      <c r="AB3055">
        <v>27</v>
      </c>
      <c r="AC3055">
        <v>4.3093000000000004</v>
      </c>
      <c r="AD3055">
        <v>-1.099377389566</v>
      </c>
      <c r="AE3055">
        <v>-20.533799999999999</v>
      </c>
      <c r="AF3055">
        <v>12.3020378657463</v>
      </c>
      <c r="AG3055">
        <v>-1.099377389566</v>
      </c>
      <c r="AH3055">
        <v>16.925115388253399</v>
      </c>
      <c r="AI3055">
        <v>93.007686357712899</v>
      </c>
      <c r="AJ3055">
        <v>53.988432001912003</v>
      </c>
      <c r="AK3055">
        <v>20.9525248407116</v>
      </c>
      <c r="AL3055">
        <v>79.609789037830197</v>
      </c>
      <c r="AM3055">
        <v>70.9382879509037</v>
      </c>
      <c r="AN3055">
        <v>1.0000000082859299</v>
      </c>
    </row>
    <row r="3056" spans="1:40" x14ac:dyDescent="0.25">
      <c r="A3056" t="str">
        <f>"20190312172721717"</f>
        <v>20190312172721717</v>
      </c>
      <c r="B3056" t="str">
        <f>"1552382841711846"</f>
        <v>1552382841711846</v>
      </c>
      <c r="C3056" t="s">
        <v>40</v>
      </c>
      <c r="D3056">
        <v>3.2977979999999998</v>
      </c>
      <c r="E3056">
        <v>0.62595400000000001</v>
      </c>
      <c r="F3056" t="s">
        <v>41</v>
      </c>
      <c r="G3056">
        <v>-189.34880000000001</v>
      </c>
      <c r="H3056" s="1">
        <v>-3.2340369999999998E-6</v>
      </c>
      <c r="I3056">
        <v>186.90209999999999</v>
      </c>
      <c r="J3056">
        <v>-193.1841</v>
      </c>
      <c r="K3056">
        <v>1.099367</v>
      </c>
      <c r="L3056">
        <v>207.47839999999999</v>
      </c>
      <c r="M3056">
        <v>0.7309542</v>
      </c>
      <c r="N3056">
        <v>0</v>
      </c>
      <c r="O3056">
        <v>-0.682257</v>
      </c>
      <c r="P3056">
        <v>0.46534340000000002</v>
      </c>
      <c r="Q3056">
        <v>0.1747716</v>
      </c>
      <c r="R3056">
        <v>-0.86770429999999998</v>
      </c>
      <c r="S3056">
        <v>0.61788940000000003</v>
      </c>
      <c r="T3056">
        <v>-0.16805780000000001</v>
      </c>
      <c r="U3056">
        <v>-3.1774439999999999</v>
      </c>
      <c r="V3056">
        <v>0.32161380000000001</v>
      </c>
      <c r="W3056">
        <v>0.18063580000000001</v>
      </c>
      <c r="X3056">
        <v>0.92948109999999995</v>
      </c>
      <c r="Y3056">
        <v>0.58730039999999994</v>
      </c>
      <c r="Z3056">
        <v>2.3083030000000001E-2</v>
      </c>
      <c r="AA3056">
        <v>0.80903990000000003</v>
      </c>
      <c r="AB3056">
        <v>27</v>
      </c>
      <c r="AC3056">
        <v>3.8352999999999802</v>
      </c>
      <c r="AD3056">
        <v>-1.099370234037</v>
      </c>
      <c r="AE3056">
        <v>-20.5763</v>
      </c>
      <c r="AF3056">
        <v>12.390925803329701</v>
      </c>
      <c r="AG3056">
        <v>-1.099370234037</v>
      </c>
      <c r="AH3056">
        <v>16.7973611624884</v>
      </c>
      <c r="AI3056">
        <v>93.014938862478303</v>
      </c>
      <c r="AJ3056">
        <v>53.584880873150901</v>
      </c>
      <c r="AK3056">
        <v>20.902033374726599</v>
      </c>
      <c r="AL3056">
        <v>79.593203640165996</v>
      </c>
      <c r="AM3056">
        <v>70.913645561585398</v>
      </c>
      <c r="AN3056">
        <v>0.99999992192464104</v>
      </c>
    </row>
    <row r="3057" spans="1:40" x14ac:dyDescent="0.25">
      <c r="A3057" t="str">
        <f>"20190312172721739"</f>
        <v>20190312172721739</v>
      </c>
      <c r="B3057" t="str">
        <f>"1552382841732342"</f>
        <v>1552382841732342</v>
      </c>
      <c r="C3057" t="s">
        <v>40</v>
      </c>
      <c r="D3057">
        <v>3.3119510000000001</v>
      </c>
      <c r="E3057">
        <v>0.625669699999999</v>
      </c>
      <c r="F3057" t="s">
        <v>41</v>
      </c>
      <c r="G3057">
        <v>-189.4845</v>
      </c>
      <c r="H3057" s="1">
        <v>-3.1055499999999999E-6</v>
      </c>
      <c r="I3057">
        <v>186.65870000000001</v>
      </c>
      <c r="J3057">
        <v>-192.99690000000001</v>
      </c>
      <c r="K3057">
        <v>1.0993599999999999</v>
      </c>
      <c r="L3057">
        <v>207.28299999999999</v>
      </c>
      <c r="M3057">
        <v>0.7211031</v>
      </c>
      <c r="N3057">
        <v>0</v>
      </c>
      <c r="O3057">
        <v>-0.69266049999999901</v>
      </c>
      <c r="P3057">
        <v>0.45243</v>
      </c>
      <c r="Q3057">
        <v>0.17515829999999999</v>
      </c>
      <c r="R3057">
        <v>-0.87442949999999997</v>
      </c>
      <c r="S3057">
        <v>0.56642150000000002</v>
      </c>
      <c r="T3057">
        <v>-0.1683161</v>
      </c>
      <c r="U3057">
        <v>-3.1875460000000002</v>
      </c>
      <c r="V3057">
        <v>0.32203369999999998</v>
      </c>
      <c r="W3057">
        <v>0.18101239999999999</v>
      </c>
      <c r="X3057">
        <v>0.92926249999999999</v>
      </c>
      <c r="Y3057">
        <v>0.5888139</v>
      </c>
      <c r="Z3057">
        <v>2.378218E-2</v>
      </c>
      <c r="AA3057">
        <v>0.80791869999999999</v>
      </c>
      <c r="AB3057">
        <v>27</v>
      </c>
      <c r="AC3057">
        <v>3.5124000000000102</v>
      </c>
      <c r="AD3057">
        <v>-1.0993631055499999</v>
      </c>
      <c r="AE3057">
        <v>-20.624299999999899</v>
      </c>
      <c r="AF3057">
        <v>12.4065299551329</v>
      </c>
      <c r="AG3057">
        <v>-1.0993631055499999</v>
      </c>
      <c r="AH3057">
        <v>16.774072113768899</v>
      </c>
      <c r="AI3057">
        <v>93.016284106790806</v>
      </c>
      <c r="AJ3057">
        <v>53.512429584195097</v>
      </c>
      <c r="AK3057">
        <v>20.8925843313692</v>
      </c>
      <c r="AL3057">
        <v>79.571265142800101</v>
      </c>
      <c r="AM3057">
        <v>70.886363417284997</v>
      </c>
      <c r="AN3057">
        <v>0.99999999339784995</v>
      </c>
    </row>
    <row r="3058" spans="1:40" x14ac:dyDescent="0.25">
      <c r="A3058" t="str">
        <f>"20190312172721761"</f>
        <v>20190312172721761</v>
      </c>
      <c r="B3058" t="str">
        <f>"1552382841751861"</f>
        <v>1552382841751861</v>
      </c>
      <c r="C3058" t="s">
        <v>40</v>
      </c>
      <c r="D3058">
        <v>3.3417400000000002</v>
      </c>
      <c r="E3058">
        <v>0.62534309999999904</v>
      </c>
      <c r="F3058" t="s">
        <v>41</v>
      </c>
      <c r="G3058">
        <v>-189.6112</v>
      </c>
      <c r="H3058" s="1">
        <v>-3.036728E-6</v>
      </c>
      <c r="I3058">
        <v>186.55070000000001</v>
      </c>
      <c r="J3058">
        <v>-192.8081</v>
      </c>
      <c r="K3058">
        <v>1.099348</v>
      </c>
      <c r="L3058">
        <v>207.08</v>
      </c>
      <c r="M3058">
        <v>0.71082230000000002</v>
      </c>
      <c r="N3058">
        <v>0</v>
      </c>
      <c r="O3058">
        <v>-0.70320649999999996</v>
      </c>
      <c r="P3058">
        <v>0.43937310000000002</v>
      </c>
      <c r="Q3058">
        <v>0.17558969999999999</v>
      </c>
      <c r="R3058">
        <v>-0.8809766</v>
      </c>
      <c r="S3058">
        <v>0.52172850000000004</v>
      </c>
      <c r="T3058">
        <v>-0.16940720000000001</v>
      </c>
      <c r="U3058">
        <v>-3.194763</v>
      </c>
      <c r="V3058">
        <v>0.3221251</v>
      </c>
      <c r="W3058">
        <v>0.18144189999999999</v>
      </c>
      <c r="X3058">
        <v>0.9291471</v>
      </c>
      <c r="Y3058">
        <v>0.588211699999999</v>
      </c>
      <c r="Z3058">
        <v>2.468037E-2</v>
      </c>
      <c r="AA3058">
        <v>0.80833029999999995</v>
      </c>
      <c r="AB3058">
        <v>27</v>
      </c>
      <c r="AC3058">
        <v>3.1968999999999901</v>
      </c>
      <c r="AD3058">
        <v>-1.0993510367279999</v>
      </c>
      <c r="AE3058">
        <v>-20.529299999999999</v>
      </c>
      <c r="AF3058">
        <v>12.3115680534997</v>
      </c>
      <c r="AG3058">
        <v>-1.0993510367279999</v>
      </c>
      <c r="AH3058">
        <v>16.664050770646199</v>
      </c>
      <c r="AI3058">
        <v>93.037309524900195</v>
      </c>
      <c r="AJ3058">
        <v>53.542638977978598</v>
      </c>
      <c r="AK3058">
        <v>20.747864196697002</v>
      </c>
      <c r="AL3058">
        <v>79.546242732258193</v>
      </c>
      <c r="AM3058">
        <v>70.879130195492706</v>
      </c>
      <c r="AN3058">
        <v>1.00000003828201</v>
      </c>
    </row>
    <row r="3059" spans="1:40" x14ac:dyDescent="0.25">
      <c r="A3059" t="str">
        <f>"20190312172721784"</f>
        <v>20190312172721784</v>
      </c>
      <c r="B3059" t="str">
        <f>"1552382841772358"</f>
        <v>1552382841772358</v>
      </c>
      <c r="C3059" t="s">
        <v>40</v>
      </c>
      <c r="D3059">
        <v>3.2943769999999999</v>
      </c>
      <c r="E3059">
        <v>0.62475630000000004</v>
      </c>
      <c r="F3059" t="s">
        <v>41</v>
      </c>
      <c r="G3059">
        <v>-189.71889999999999</v>
      </c>
      <c r="H3059" s="1">
        <v>-2.9206079999999998E-6</v>
      </c>
      <c r="I3059">
        <v>186.3245</v>
      </c>
      <c r="J3059">
        <v>-192.63</v>
      </c>
      <c r="K3059">
        <v>1.0993389999999901</v>
      </c>
      <c r="L3059">
        <v>206.88290000000001</v>
      </c>
      <c r="M3059">
        <v>0.70079369999999996</v>
      </c>
      <c r="N3059">
        <v>0</v>
      </c>
      <c r="O3059">
        <v>-0.71320099999999997</v>
      </c>
      <c r="P3059">
        <v>0.42678090000000002</v>
      </c>
      <c r="Q3059">
        <v>0.17580560000000001</v>
      </c>
      <c r="R3059">
        <v>-0.88710259999999996</v>
      </c>
      <c r="S3059">
        <v>0.47650150000000002</v>
      </c>
      <c r="T3059">
        <v>-0.16957120000000001</v>
      </c>
      <c r="U3059">
        <v>-3.2014619999999998</v>
      </c>
      <c r="V3059">
        <v>0.3221849</v>
      </c>
      <c r="W3059">
        <v>0.1816557</v>
      </c>
      <c r="X3059">
        <v>0.92908449999999998</v>
      </c>
      <c r="Y3059">
        <v>0.58818249999999905</v>
      </c>
      <c r="Z3059">
        <v>2.5401139999999999E-2</v>
      </c>
      <c r="AA3059">
        <v>0.80832919999999997</v>
      </c>
      <c r="AB3059">
        <v>27</v>
      </c>
      <c r="AC3059">
        <v>2.9110999999999998</v>
      </c>
      <c r="AD3059">
        <v>-1.09934192060799</v>
      </c>
      <c r="AE3059">
        <v>-20.558399999999999</v>
      </c>
      <c r="AF3059">
        <v>12.297957139279101</v>
      </c>
      <c r="AG3059">
        <v>-1.09934192060799</v>
      </c>
      <c r="AH3059">
        <v>16.657598401305499</v>
      </c>
      <c r="AI3059">
        <v>93.039228245906401</v>
      </c>
      <c r="AJ3059">
        <v>53.562322220708403</v>
      </c>
      <c r="AK3059">
        <v>20.7346060236776</v>
      </c>
      <c r="AL3059">
        <v>79.533785011653507</v>
      </c>
      <c r="AM3059">
        <v>70.874643414880097</v>
      </c>
      <c r="AN3059">
        <v>0.99999995563537403</v>
      </c>
    </row>
    <row r="3060" spans="1:40" x14ac:dyDescent="0.25">
      <c r="A3060" t="str">
        <f>"20190312172721806"</f>
        <v>20190312172721806</v>
      </c>
      <c r="B3060" t="str">
        <f>"1552382841802614"</f>
        <v>1552382841802614</v>
      </c>
      <c r="C3060" t="s">
        <v>40</v>
      </c>
      <c r="D3060">
        <v>3.3300529999999999</v>
      </c>
      <c r="E3060">
        <v>0.62367340000000004</v>
      </c>
      <c r="F3060" t="s">
        <v>41</v>
      </c>
      <c r="G3060">
        <v>-189.8176</v>
      </c>
      <c r="H3060" s="1">
        <v>-2.83379E-6</v>
      </c>
      <c r="I3060">
        <v>186.16300000000001</v>
      </c>
      <c r="J3060">
        <v>-192.45099999999999</v>
      </c>
      <c r="K3060">
        <v>1.099329</v>
      </c>
      <c r="L3060">
        <v>206.6789</v>
      </c>
      <c r="M3060">
        <v>0.69036109999999995</v>
      </c>
      <c r="N3060">
        <v>0</v>
      </c>
      <c r="O3060">
        <v>-0.72330399999999995</v>
      </c>
      <c r="P3060">
        <v>0.41377910000000001</v>
      </c>
      <c r="Q3060">
        <v>0.1755118</v>
      </c>
      <c r="R3060">
        <v>-0.89329899999999995</v>
      </c>
      <c r="S3060">
        <v>0.43518069999999998</v>
      </c>
      <c r="T3060">
        <v>-0.17010829999999999</v>
      </c>
      <c r="U3060">
        <v>-3.2061310000000001</v>
      </c>
      <c r="V3060">
        <v>0.32230019999999998</v>
      </c>
      <c r="W3060">
        <v>0.18135799999999999</v>
      </c>
      <c r="X3060">
        <v>0.92910269999999995</v>
      </c>
      <c r="Y3060">
        <v>0.5868236</v>
      </c>
      <c r="Z3060">
        <v>2.6233010000000001E-2</v>
      </c>
      <c r="AA3060">
        <v>0.80928979999999995</v>
      </c>
      <c r="AB3060">
        <v>27</v>
      </c>
      <c r="AC3060">
        <v>2.6333999999999902</v>
      </c>
      <c r="AD3060">
        <v>-1.09933183379</v>
      </c>
      <c r="AE3060">
        <v>-20.515899999999998</v>
      </c>
      <c r="AF3060">
        <v>12.225524158742999</v>
      </c>
      <c r="AG3060">
        <v>-1.09933183379</v>
      </c>
      <c r="AH3060">
        <v>16.6122439600672</v>
      </c>
      <c r="AI3060">
        <v>93.050890374302597</v>
      </c>
      <c r="AJ3060">
        <v>53.649364454336101</v>
      </c>
      <c r="AK3060">
        <v>20.655232286894801</v>
      </c>
      <c r="AL3060">
        <v>79.551130384580404</v>
      </c>
      <c r="AM3060">
        <v>70.868644013508799</v>
      </c>
      <c r="AN3060">
        <v>0.99999998511566401</v>
      </c>
    </row>
    <row r="3061" spans="1:40" x14ac:dyDescent="0.25">
      <c r="A3061" t="str">
        <f>"20190312172721831"</f>
        <v>20190312172721831</v>
      </c>
      <c r="B3061" t="str">
        <f>"1552382841822134"</f>
        <v>1552382841822134</v>
      </c>
      <c r="C3061" t="s">
        <v>40</v>
      </c>
      <c r="D3061">
        <v>3.337272</v>
      </c>
      <c r="E3061">
        <v>0.62293399999999999</v>
      </c>
      <c r="F3061" t="s">
        <v>41</v>
      </c>
      <c r="G3061">
        <v>-189.94560000000001</v>
      </c>
      <c r="H3061" s="1">
        <v>-2.914706E-6</v>
      </c>
      <c r="I3061">
        <v>186.40450000000001</v>
      </c>
      <c r="J3061">
        <v>-192.24600000000001</v>
      </c>
      <c r="K3061">
        <v>1.0993139999999999</v>
      </c>
      <c r="L3061">
        <v>206.43729999999999</v>
      </c>
      <c r="M3061">
        <v>0.67794259999999995</v>
      </c>
      <c r="N3061">
        <v>0</v>
      </c>
      <c r="O3061">
        <v>-0.73495600000000005</v>
      </c>
      <c r="P3061">
        <v>0.39844220000000002</v>
      </c>
      <c r="Q3061">
        <v>0.1754966</v>
      </c>
      <c r="R3061">
        <v>-0.90024749999999998</v>
      </c>
      <c r="S3061">
        <v>0.3965302</v>
      </c>
      <c r="T3061">
        <v>-0.17399310000000001</v>
      </c>
      <c r="U3061">
        <v>-3.2088619999999999</v>
      </c>
      <c r="V3061">
        <v>0.32237739999999998</v>
      </c>
      <c r="W3061">
        <v>0.1813369</v>
      </c>
      <c r="X3061">
        <v>0.92908009999999996</v>
      </c>
      <c r="Y3061">
        <v>0.58270999999999995</v>
      </c>
      <c r="Z3061">
        <v>2.7793930000000001E-2</v>
      </c>
      <c r="AA3061">
        <v>0.81220479999999995</v>
      </c>
      <c r="AB3061">
        <v>27</v>
      </c>
      <c r="AC3061">
        <v>2.3003999999999598</v>
      </c>
      <c r="AD3061">
        <v>-1.09931691470599</v>
      </c>
      <c r="AE3061">
        <v>-20.032799999999899</v>
      </c>
      <c r="AF3061">
        <v>11.856544606660099</v>
      </c>
      <c r="AG3061">
        <v>-1.09931691470599</v>
      </c>
      <c r="AH3061">
        <v>16.236409814318801</v>
      </c>
      <c r="AI3061">
        <v>93.129794654763302</v>
      </c>
      <c r="AJ3061">
        <v>53.861428187066601</v>
      </c>
      <c r="AK3061">
        <v>20.134725012951801</v>
      </c>
      <c r="AL3061">
        <v>79.552360349721695</v>
      </c>
      <c r="AM3061">
        <v>70.863963092281693</v>
      </c>
      <c r="AN3061">
        <v>1.00000004577418</v>
      </c>
    </row>
    <row r="3062" spans="1:40" x14ac:dyDescent="0.25">
      <c r="A3062" t="str">
        <f>"20190312172721857"</f>
        <v>20190312172721857</v>
      </c>
      <c r="B3062" t="str">
        <f>"1552382841851921"</f>
        <v>1552382841851921</v>
      </c>
      <c r="C3062" t="s">
        <v>40</v>
      </c>
      <c r="D3062">
        <v>3.4030019999999999</v>
      </c>
      <c r="E3062">
        <v>0.64444639999999997</v>
      </c>
      <c r="F3062" t="s">
        <v>41</v>
      </c>
      <c r="G3062">
        <v>-190.0761</v>
      </c>
      <c r="H3062" s="1">
        <v>-2.9233200000000002E-6</v>
      </c>
      <c r="I3062">
        <v>186.3563</v>
      </c>
      <c r="J3062">
        <v>-192.04400000000001</v>
      </c>
      <c r="K3062">
        <v>1.0992999999999999</v>
      </c>
      <c r="L3062">
        <v>206.19059999999999</v>
      </c>
      <c r="M3062">
        <v>0.66517999999999999</v>
      </c>
      <c r="N3062">
        <v>0</v>
      </c>
      <c r="O3062">
        <v>-0.74652640000000003</v>
      </c>
      <c r="P3062">
        <v>0.3823068</v>
      </c>
      <c r="Q3062">
        <v>0.17646429999999999</v>
      </c>
      <c r="R3062">
        <v>-0.90702930000000004</v>
      </c>
      <c r="S3062">
        <v>0.34719850000000002</v>
      </c>
      <c r="T3062">
        <v>-0.17589449999999901</v>
      </c>
      <c r="U3062">
        <v>-3.2130429999999999</v>
      </c>
      <c r="V3062">
        <v>0.32286969999999998</v>
      </c>
      <c r="W3062">
        <v>0.1822831</v>
      </c>
      <c r="X3062">
        <v>0.92872390000000005</v>
      </c>
      <c r="Y3062">
        <v>0.58114639999999995</v>
      </c>
      <c r="Z3062">
        <v>2.9000160000000001E-2</v>
      </c>
      <c r="AA3062">
        <v>0.81328219999999996</v>
      </c>
      <c r="AB3062">
        <v>27</v>
      </c>
      <c r="AC3062">
        <v>1.96790000000001</v>
      </c>
      <c r="AD3062">
        <v>-1.09930292332</v>
      </c>
      <c r="AE3062">
        <v>-19.834299999999899</v>
      </c>
      <c r="AF3062">
        <v>11.6901015121407</v>
      </c>
      <c r="AG3062">
        <v>-1.09930292332</v>
      </c>
      <c r="AH3062">
        <v>16.0688413799421</v>
      </c>
      <c r="AI3062">
        <v>93.166449829777704</v>
      </c>
      <c r="AJ3062">
        <v>53.964065342810599</v>
      </c>
      <c r="AK3062">
        <v>19.901623139209399</v>
      </c>
      <c r="AL3062">
        <v>79.497228035259496</v>
      </c>
      <c r="AM3062">
        <v>70.830056696051898</v>
      </c>
      <c r="AN3062">
        <v>1.0000000270774501</v>
      </c>
    </row>
    <row r="3063" spans="1:40" x14ac:dyDescent="0.25">
      <c r="A3063" t="str">
        <f>"20190312172721879"</f>
        <v>20190312172721879</v>
      </c>
      <c r="B3063" t="str">
        <f>"1552382841872418"</f>
        <v>1552382841872418</v>
      </c>
      <c r="C3063" t="s">
        <v>40</v>
      </c>
      <c r="D3063">
        <v>3.3447659999999999</v>
      </c>
      <c r="E3063">
        <v>0.64446369999999997</v>
      </c>
      <c r="F3063" t="s">
        <v>41</v>
      </c>
      <c r="G3063">
        <v>-191.1046</v>
      </c>
      <c r="H3063" s="1">
        <v>-1.644695E-6</v>
      </c>
      <c r="I3063">
        <v>182.73779999999999</v>
      </c>
      <c r="J3063">
        <v>-191.88310000000001</v>
      </c>
      <c r="K3063">
        <v>1.099286</v>
      </c>
      <c r="L3063">
        <v>205.98769999999999</v>
      </c>
      <c r="M3063">
        <v>0.65462929999999997</v>
      </c>
      <c r="N3063">
        <v>0</v>
      </c>
      <c r="O3063">
        <v>-0.75579499999999999</v>
      </c>
      <c r="P3063">
        <v>0.3692936</v>
      </c>
      <c r="Q3063">
        <v>0.17677850000000001</v>
      </c>
      <c r="R3063">
        <v>-0.91234409999999999</v>
      </c>
      <c r="S3063">
        <v>0.13146969999999999</v>
      </c>
      <c r="T3063">
        <v>-0.15383959999999999</v>
      </c>
      <c r="U3063">
        <v>-3.2820429999999998</v>
      </c>
      <c r="V3063">
        <v>0.32308619999999999</v>
      </c>
      <c r="W3063">
        <v>0.1825888</v>
      </c>
      <c r="X3063">
        <v>0.92858850000000004</v>
      </c>
      <c r="Y3063">
        <v>0.62385219999999997</v>
      </c>
      <c r="Z3063">
        <v>2.4642560000000001E-2</v>
      </c>
      <c r="AA3063">
        <v>0.78115380000000001</v>
      </c>
      <c r="AB3063">
        <v>27</v>
      </c>
      <c r="AC3063">
        <v>0.77850000000000796</v>
      </c>
      <c r="AD3063">
        <v>-1.099287644695</v>
      </c>
      <c r="AE3063">
        <v>-23.2499</v>
      </c>
      <c r="AF3063">
        <v>14.600790519723001</v>
      </c>
      <c r="AG3063">
        <v>-1.099287644695</v>
      </c>
      <c r="AH3063">
        <v>18.043614747673299</v>
      </c>
      <c r="AI3063">
        <v>92.711526675898497</v>
      </c>
      <c r="AJ3063">
        <v>51.020412482035297</v>
      </c>
      <c r="AK3063">
        <v>23.237115791101701</v>
      </c>
      <c r="AL3063">
        <v>79.479413276808103</v>
      </c>
      <c r="AM3063">
        <v>70.815548663087498</v>
      </c>
      <c r="AN3063">
        <v>0.99999998242406496</v>
      </c>
    </row>
    <row r="3064" spans="1:40" x14ac:dyDescent="0.25">
      <c r="A3064" t="str">
        <f>"20190312172721898"</f>
        <v>20190312172721898</v>
      </c>
      <c r="B3064" t="str">
        <f>"1552382841891937"</f>
        <v>1552382841891937</v>
      </c>
      <c r="C3064" t="s">
        <v>40</v>
      </c>
      <c r="D3064">
        <v>3.3451610000000001</v>
      </c>
      <c r="E3064">
        <v>0.64350609999999997</v>
      </c>
      <c r="F3064" t="s">
        <v>41</v>
      </c>
      <c r="G3064">
        <v>-191.25749999999999</v>
      </c>
      <c r="H3064" s="1">
        <v>-1.136282E-6</v>
      </c>
      <c r="I3064">
        <v>181.4579</v>
      </c>
      <c r="J3064">
        <v>-191.7296</v>
      </c>
      <c r="K3064">
        <v>1.099275</v>
      </c>
      <c r="L3064">
        <v>205.7884</v>
      </c>
      <c r="M3064">
        <v>0.64421509999999904</v>
      </c>
      <c r="N3064">
        <v>0</v>
      </c>
      <c r="O3064">
        <v>-0.76469109999999996</v>
      </c>
      <c r="P3064">
        <v>0.35713800000000001</v>
      </c>
      <c r="Q3064">
        <v>0.17675189999999999</v>
      </c>
      <c r="R3064">
        <v>-0.91717590000000004</v>
      </c>
      <c r="S3064">
        <v>8.3724980000000004E-2</v>
      </c>
      <c r="T3064">
        <v>-0.14711749999999901</v>
      </c>
      <c r="U3064">
        <v>-3.2828219999999999</v>
      </c>
      <c r="V3064">
        <v>0.32271349999999999</v>
      </c>
      <c r="W3064">
        <v>0.1825724</v>
      </c>
      <c r="X3064">
        <v>0.92872140000000003</v>
      </c>
      <c r="Y3064">
        <v>0.62451129999999999</v>
      </c>
      <c r="Z3064">
        <v>2.4120869999999999E-2</v>
      </c>
      <c r="AA3064">
        <v>0.78064319999999998</v>
      </c>
      <c r="AB3064">
        <v>27</v>
      </c>
      <c r="AC3064">
        <v>0.47210000000001101</v>
      </c>
      <c r="AD3064">
        <v>-1.099276136282</v>
      </c>
      <c r="AE3064">
        <v>-24.330500000000001</v>
      </c>
      <c r="AF3064">
        <v>15.283672875208</v>
      </c>
      <c r="AG3064">
        <v>-1.099276136282</v>
      </c>
      <c r="AH3064">
        <v>18.873155895224698</v>
      </c>
      <c r="AI3064">
        <v>92.5917052712622</v>
      </c>
      <c r="AJ3064">
        <v>50.999096869849303</v>
      </c>
      <c r="AK3064">
        <v>24.310390330589598</v>
      </c>
      <c r="AL3064">
        <v>79.480369834417203</v>
      </c>
      <c r="AM3064">
        <v>70.838606699067498</v>
      </c>
      <c r="AN3064">
        <v>1.0000000615709801</v>
      </c>
    </row>
    <row r="3065" spans="1:40" x14ac:dyDescent="0.25">
      <c r="A3065" t="str">
        <f>"20190312172721918"</f>
        <v>20190312172721918</v>
      </c>
      <c r="B3065" t="str">
        <f>"1552382841912433"</f>
        <v>1552382841912433</v>
      </c>
      <c r="C3065" t="s">
        <v>40</v>
      </c>
      <c r="D3065">
        <v>3.3529849999999999</v>
      </c>
      <c r="E3065">
        <v>0.64224079999999995</v>
      </c>
      <c r="F3065" t="s">
        <v>41</v>
      </c>
      <c r="G3065">
        <v>-191.37629999999999</v>
      </c>
      <c r="H3065" s="1">
        <v>-1.135962E-6</v>
      </c>
      <c r="I3065">
        <v>181.3835</v>
      </c>
      <c r="J3065">
        <v>-191.59309999999999</v>
      </c>
      <c r="K3065">
        <v>1.099264</v>
      </c>
      <c r="L3065">
        <v>205.6062</v>
      </c>
      <c r="M3065">
        <v>0.63465349999999998</v>
      </c>
      <c r="N3065">
        <v>0</v>
      </c>
      <c r="O3065">
        <v>-0.77264489999999997</v>
      </c>
      <c r="P3065">
        <v>0.34650589999999998</v>
      </c>
      <c r="Q3065">
        <v>0.17750189999999999</v>
      </c>
      <c r="R3065">
        <v>-0.92110099999999995</v>
      </c>
      <c r="S3065">
        <v>4.7500609999999999E-2</v>
      </c>
      <c r="T3065">
        <v>-0.14778359999999999</v>
      </c>
      <c r="U3065">
        <v>-3.2809300000000001</v>
      </c>
      <c r="V3065">
        <v>0.32183499999999998</v>
      </c>
      <c r="W3065">
        <v>0.1833468</v>
      </c>
      <c r="X3065">
        <v>0.92887359999999997</v>
      </c>
      <c r="Y3065">
        <v>0.62340130000000005</v>
      </c>
      <c r="Z3065">
        <v>2.4780630000000001E-2</v>
      </c>
      <c r="AA3065">
        <v>0.78150929999999996</v>
      </c>
      <c r="AB3065">
        <v>27</v>
      </c>
      <c r="AC3065">
        <v>0.21680000000000599</v>
      </c>
      <c r="AD3065">
        <v>-1.099265135962</v>
      </c>
      <c r="AE3065">
        <v>-24.2227</v>
      </c>
      <c r="AF3065">
        <v>15.1760448939946</v>
      </c>
      <c r="AG3065">
        <v>-1.099265135962</v>
      </c>
      <c r="AH3065">
        <v>18.8166026728784</v>
      </c>
      <c r="AI3065">
        <v>92.603631377238202</v>
      </c>
      <c r="AJ3065">
        <v>51.1129846114099</v>
      </c>
      <c r="AK3065">
        <v>24.1988689531692</v>
      </c>
      <c r="AL3065">
        <v>79.435237422451607</v>
      </c>
      <c r="AM3065">
        <v>70.889883954465603</v>
      </c>
      <c r="AN3065">
        <v>0.999999990536099</v>
      </c>
    </row>
    <row r="3066" spans="1:40" x14ac:dyDescent="0.25">
      <c r="A3066" t="str">
        <f>"20190312172721941"</f>
        <v>20190312172721941</v>
      </c>
      <c r="B3066" t="str">
        <f>"1552382841931953"</f>
        <v>1552382841931953</v>
      </c>
      <c r="C3066" t="s">
        <v>40</v>
      </c>
      <c r="D3066">
        <v>3.3641930000000002</v>
      </c>
      <c r="E3066">
        <v>0.64175130000000002</v>
      </c>
      <c r="F3066" t="s">
        <v>41</v>
      </c>
      <c r="G3066">
        <v>-191.44649999999999</v>
      </c>
      <c r="H3066" s="1">
        <v>-9.6963039999999995E-7</v>
      </c>
      <c r="I3066">
        <v>180.9521</v>
      </c>
      <c r="J3066">
        <v>-191.42089999999999</v>
      </c>
      <c r="K3066">
        <v>1.099256</v>
      </c>
      <c r="L3066">
        <v>205.36940000000001</v>
      </c>
      <c r="M3066">
        <v>0.62216099999999996</v>
      </c>
      <c r="N3066">
        <v>0</v>
      </c>
      <c r="O3066">
        <v>-0.78273899999999996</v>
      </c>
      <c r="P3066">
        <v>0.33163779999999998</v>
      </c>
      <c r="Q3066">
        <v>0.1777627</v>
      </c>
      <c r="R3066">
        <v>-0.92650779999999999</v>
      </c>
      <c r="S3066">
        <v>1.9485470000000001E-2</v>
      </c>
      <c r="T3066">
        <v>-0.14614859999999999</v>
      </c>
      <c r="U3066">
        <v>-3.2777859999999999</v>
      </c>
      <c r="V3066">
        <v>0.32184649999999998</v>
      </c>
      <c r="W3066">
        <v>0.18360560000000001</v>
      </c>
      <c r="X3066">
        <v>0.92881849999999999</v>
      </c>
      <c r="Y3066">
        <v>0.61749790000000004</v>
      </c>
      <c r="Z3066">
        <v>2.5293679999999999E-2</v>
      </c>
      <c r="AA3066">
        <v>0.78616580000000003</v>
      </c>
      <c r="AB3066">
        <v>27</v>
      </c>
      <c r="AC3066">
        <v>-2.5599999999997101E-2</v>
      </c>
      <c r="AD3066">
        <v>-1.0992569696304</v>
      </c>
      <c r="AE3066">
        <v>-24.417300000000001</v>
      </c>
      <c r="AF3066">
        <v>15.182548811727001</v>
      </c>
      <c r="AG3066">
        <v>-1.0992569696304</v>
      </c>
      <c r="AH3066">
        <v>19.060063007862698</v>
      </c>
      <c r="AI3066">
        <v>92.582908183209298</v>
      </c>
      <c r="AJ3066">
        <v>51.460455385417603</v>
      </c>
      <c r="AK3066">
        <v>24.39270702832</v>
      </c>
      <c r="AL3066">
        <v>79.420153264882202</v>
      </c>
      <c r="AM3066">
        <v>70.888199170200394</v>
      </c>
      <c r="AN3066">
        <v>0.99999999592792999</v>
      </c>
    </row>
    <row r="3067" spans="1:40" x14ac:dyDescent="0.25">
      <c r="A3067" t="str">
        <f>"20190312172721962"</f>
        <v>20190312172721962</v>
      </c>
      <c r="B3067" t="str">
        <f>"1552382841951979"</f>
        <v>1552382841951979</v>
      </c>
      <c r="C3067" t="s">
        <v>40</v>
      </c>
      <c r="D3067">
        <v>3.3442599999999998</v>
      </c>
      <c r="E3067">
        <v>0.63212009999999996</v>
      </c>
      <c r="F3067" t="s">
        <v>41</v>
      </c>
      <c r="G3067">
        <v>-191.6327</v>
      </c>
      <c r="H3067" s="1">
        <v>-1.0317950000000001E-6</v>
      </c>
      <c r="I3067">
        <v>180.98159999999999</v>
      </c>
      <c r="J3067">
        <v>-191.27350000000001</v>
      </c>
      <c r="K3067">
        <v>1.099251</v>
      </c>
      <c r="L3067">
        <v>205.1602</v>
      </c>
      <c r="M3067">
        <v>0.61107069999999997</v>
      </c>
      <c r="N3067">
        <v>0</v>
      </c>
      <c r="O3067">
        <v>-0.79142709999999905</v>
      </c>
      <c r="P3067">
        <v>0.31941310000000001</v>
      </c>
      <c r="Q3067">
        <v>0.1778035</v>
      </c>
      <c r="R3067">
        <v>-0.93078519999999998</v>
      </c>
      <c r="S3067">
        <v>-2.8457639999999999E-2</v>
      </c>
      <c r="T3067">
        <v>-0.1476846</v>
      </c>
      <c r="U3067">
        <v>-3.2764890000000002</v>
      </c>
      <c r="V3067">
        <v>0.32098599999999999</v>
      </c>
      <c r="W3067">
        <v>0.18367310000000001</v>
      </c>
      <c r="X3067">
        <v>0.92910289999999995</v>
      </c>
      <c r="Y3067">
        <v>0.61791669999999999</v>
      </c>
      <c r="Z3067">
        <v>2.612416E-2</v>
      </c>
      <c r="AA3067">
        <v>0.78580950000000005</v>
      </c>
      <c r="AB3067">
        <v>27</v>
      </c>
      <c r="AC3067">
        <v>-0.35919999999998697</v>
      </c>
      <c r="AD3067">
        <v>-1.0992520317950001</v>
      </c>
      <c r="AE3067">
        <v>-24.178599999999999</v>
      </c>
      <c r="AF3067">
        <v>15.0298307935496</v>
      </c>
      <c r="AG3067">
        <v>-1.0992520317950001</v>
      </c>
      <c r="AH3067">
        <v>18.879318565168401</v>
      </c>
      <c r="AI3067">
        <v>92.608178192331195</v>
      </c>
      <c r="AJ3067">
        <v>51.476693536658402</v>
      </c>
      <c r="AK3067">
        <v>24.156424366972299</v>
      </c>
      <c r="AL3067">
        <v>79.4162190339636</v>
      </c>
      <c r="AM3067">
        <v>70.941018441553098</v>
      </c>
      <c r="AN3067">
        <v>1.00000000932401</v>
      </c>
    </row>
    <row r="3068" spans="1:40" x14ac:dyDescent="0.25">
      <c r="A3068" t="str">
        <f>"20190312172721985"</f>
        <v>20190312172721985</v>
      </c>
      <c r="B3068" t="str">
        <f>"1552382841982235"</f>
        <v>1552382841982235</v>
      </c>
      <c r="C3068" t="s">
        <v>40</v>
      </c>
      <c r="D3068">
        <v>3.3542350000000001</v>
      </c>
      <c r="E3068">
        <v>0.62932460000000001</v>
      </c>
      <c r="F3068" t="s">
        <v>41</v>
      </c>
      <c r="G3068">
        <v>-191.25890000000001</v>
      </c>
      <c r="H3068" s="1">
        <v>-1.6798410000000001E-6</v>
      </c>
      <c r="I3068">
        <v>182.72399999999999</v>
      </c>
      <c r="J3068">
        <v>-191.1191</v>
      </c>
      <c r="K3068">
        <v>1.099251</v>
      </c>
      <c r="L3068">
        <v>204.93389999999999</v>
      </c>
      <c r="M3068">
        <v>0.59902819999999901</v>
      </c>
      <c r="N3068">
        <v>0</v>
      </c>
      <c r="O3068">
        <v>-0.80058070000000003</v>
      </c>
      <c r="P3068">
        <v>0.30596089999999998</v>
      </c>
      <c r="Q3068">
        <v>0.17861379999999999</v>
      </c>
      <c r="R3068">
        <v>-0.9351391</v>
      </c>
      <c r="S3068">
        <v>2.120972E-3</v>
      </c>
      <c r="T3068">
        <v>-0.1593705</v>
      </c>
      <c r="U3068">
        <v>-3.2528079999999999</v>
      </c>
      <c r="V3068">
        <v>0.32025690000000001</v>
      </c>
      <c r="W3068">
        <v>0.1845059</v>
      </c>
      <c r="X3068">
        <v>0.92918940000000005</v>
      </c>
      <c r="Y3068">
        <v>0.59849770000000002</v>
      </c>
      <c r="Z3068">
        <v>2.9444809999999998E-2</v>
      </c>
      <c r="AA3068">
        <v>0.80058319999999905</v>
      </c>
      <c r="AB3068">
        <v>27</v>
      </c>
      <c r="AC3068">
        <v>-0.139800000000008</v>
      </c>
      <c r="AD3068">
        <v>-1.0992526798410001</v>
      </c>
      <c r="AE3068">
        <v>-22.209899999999902</v>
      </c>
      <c r="AF3068">
        <v>13.385072102369</v>
      </c>
      <c r="AG3068">
        <v>-1.0992526798410001</v>
      </c>
      <c r="AH3068">
        <v>17.655910760923401</v>
      </c>
      <c r="AI3068">
        <v>92.840347737281903</v>
      </c>
      <c r="AJ3068">
        <v>52.833974034324498</v>
      </c>
      <c r="AK3068">
        <v>22.183320230241598</v>
      </c>
      <c r="AL3068">
        <v>79.367672532552604</v>
      </c>
      <c r="AM3068">
        <v>70.982839224048803</v>
      </c>
      <c r="AN3068">
        <v>0.999999925102387</v>
      </c>
    </row>
    <row r="3069" spans="1:40" x14ac:dyDescent="0.25">
      <c r="A3069" t="str">
        <f>"20190312172722010"</f>
        <v>20190312172722010</v>
      </c>
      <c r="B3069" t="str">
        <f>"1552382842001755"</f>
        <v>1552382842001755</v>
      </c>
      <c r="C3069" t="s">
        <v>40</v>
      </c>
      <c r="D3069">
        <v>3.3950610000000001</v>
      </c>
      <c r="E3069">
        <v>0.62821700000000003</v>
      </c>
      <c r="F3069" t="s">
        <v>41</v>
      </c>
      <c r="G3069">
        <v>-191.28229999999999</v>
      </c>
      <c r="H3069" s="1">
        <v>-1.6932759999999999E-6</v>
      </c>
      <c r="I3069">
        <v>182.74090000000001</v>
      </c>
      <c r="J3069">
        <v>-190.95349999999999</v>
      </c>
      <c r="K3069">
        <v>1.099262</v>
      </c>
      <c r="L3069">
        <v>204.68270000000001</v>
      </c>
      <c r="M3069">
        <v>0.58560590000000001</v>
      </c>
      <c r="N3069">
        <v>0</v>
      </c>
      <c r="O3069">
        <v>-0.81045040000000002</v>
      </c>
      <c r="P3069">
        <v>0.29132789999999997</v>
      </c>
      <c r="Q3069">
        <v>0.18012790000000001</v>
      </c>
      <c r="R3069">
        <v>-0.93951169999999995</v>
      </c>
      <c r="S3069">
        <v>-2.3879999999999998E-2</v>
      </c>
      <c r="T3069">
        <v>-0.1608068</v>
      </c>
      <c r="U3069">
        <v>-3.2465670000000002</v>
      </c>
      <c r="V3069">
        <v>0.31914720000000002</v>
      </c>
      <c r="W3069">
        <v>0.18605740000000001</v>
      </c>
      <c r="X3069">
        <v>0.92926189999999997</v>
      </c>
      <c r="Y3069">
        <v>0.59154010000000001</v>
      </c>
      <c r="Z3069">
        <v>3.0613609999999999E-2</v>
      </c>
      <c r="AA3069">
        <v>0.80569419999999903</v>
      </c>
      <c r="AB3069">
        <v>27</v>
      </c>
      <c r="AC3069">
        <v>-0.32880000000000098</v>
      </c>
      <c r="AD3069">
        <v>-1.099263693276</v>
      </c>
      <c r="AE3069">
        <v>-21.941800000000001</v>
      </c>
      <c r="AF3069">
        <v>13.0844372924153</v>
      </c>
      <c r="AG3069">
        <v>-1.099263693276</v>
      </c>
      <c r="AH3069">
        <v>17.548233600740701</v>
      </c>
      <c r="AI3069">
        <v>92.874929828639793</v>
      </c>
      <c r="AJ3069">
        <v>53.290792990398003</v>
      </c>
      <c r="AK3069">
        <v>21.916920003336902</v>
      </c>
      <c r="AL3069">
        <v>79.277212478603801</v>
      </c>
      <c r="AM3069">
        <v>71.045396051491693</v>
      </c>
      <c r="AN3069">
        <v>0.99999998507710397</v>
      </c>
    </row>
    <row r="3070" spans="1:40" x14ac:dyDescent="0.25">
      <c r="A3070" t="str">
        <f>"20190312172722029"</f>
        <v>20190312172722029</v>
      </c>
      <c r="B3070" t="str">
        <f>"1552382842022251"</f>
        <v>1552382842022251</v>
      </c>
      <c r="C3070" t="s">
        <v>40</v>
      </c>
      <c r="D3070">
        <v>3.3894190000000002</v>
      </c>
      <c r="E3070">
        <v>0.62034350000000005</v>
      </c>
      <c r="F3070" t="s">
        <v>41</v>
      </c>
      <c r="G3070">
        <v>-191.4101</v>
      </c>
      <c r="H3070" s="1">
        <v>-1.5584659999999999E-6</v>
      </c>
      <c r="I3070">
        <v>182.34729999999999</v>
      </c>
      <c r="J3070">
        <v>-190.83</v>
      </c>
      <c r="K3070">
        <v>1.099259</v>
      </c>
      <c r="L3070">
        <v>204.48920000000001</v>
      </c>
      <c r="M3070">
        <v>0.57523899999999994</v>
      </c>
      <c r="N3070">
        <v>0</v>
      </c>
      <c r="O3070">
        <v>-0.81784100000000004</v>
      </c>
      <c r="P3070">
        <v>0.27987600000000001</v>
      </c>
      <c r="Q3070">
        <v>0.18094289999999999</v>
      </c>
      <c r="R3070">
        <v>-0.94283030000000001</v>
      </c>
      <c r="S3070">
        <v>-6.6329959999999993E-2</v>
      </c>
      <c r="T3070">
        <v>-0.1596754</v>
      </c>
      <c r="U3070">
        <v>-3.244354</v>
      </c>
      <c r="V3070">
        <v>0.31854939999999998</v>
      </c>
      <c r="W3070">
        <v>0.1868969</v>
      </c>
      <c r="X3070">
        <v>0.92929859999999997</v>
      </c>
      <c r="Y3070">
        <v>0.59182009999999996</v>
      </c>
      <c r="Z3070">
        <v>3.093835E-2</v>
      </c>
      <c r="AA3070">
        <v>0.80547609999999903</v>
      </c>
      <c r="AB3070">
        <v>27</v>
      </c>
      <c r="AC3070">
        <v>-0.58009999999998696</v>
      </c>
      <c r="AD3070">
        <v>-1.099260558466</v>
      </c>
      <c r="AE3070">
        <v>-22.1419</v>
      </c>
      <c r="AF3070">
        <v>13.180410423239501</v>
      </c>
      <c r="AG3070">
        <v>-1.099260558466</v>
      </c>
      <c r="AH3070">
        <v>17.733279019187702</v>
      </c>
      <c r="AI3070">
        <v>92.848195731705403</v>
      </c>
      <c r="AJ3070">
        <v>53.378109296193102</v>
      </c>
      <c r="AK3070">
        <v>22.122404423407499</v>
      </c>
      <c r="AL3070">
        <v>79.228254388118998</v>
      </c>
      <c r="AM3070">
        <v>71.079066532595206</v>
      </c>
      <c r="AN3070">
        <v>1.0000000297159599</v>
      </c>
    </row>
    <row r="3071" spans="1:40" x14ac:dyDescent="0.25">
      <c r="A3071" t="str">
        <f>"20190312172722053"</f>
        <v>20190312172722053</v>
      </c>
      <c r="B3071" t="str">
        <f>"1552382842042278"</f>
        <v>1552382842042278</v>
      </c>
      <c r="C3071" t="s">
        <v>40</v>
      </c>
      <c r="D3071">
        <v>3.4142649999999999</v>
      </c>
      <c r="E3071">
        <v>0.61891090000000004</v>
      </c>
      <c r="F3071" t="s">
        <v>41</v>
      </c>
      <c r="G3071">
        <v>-191.10560000000001</v>
      </c>
      <c r="H3071" s="1">
        <v>-2.263201E-6</v>
      </c>
      <c r="I3071">
        <v>184.179</v>
      </c>
      <c r="J3071">
        <v>-190.66980000000001</v>
      </c>
      <c r="K3071">
        <v>1.099272</v>
      </c>
      <c r="L3071">
        <v>204.22890000000001</v>
      </c>
      <c r="M3071">
        <v>0.56126869999999995</v>
      </c>
      <c r="N3071">
        <v>0</v>
      </c>
      <c r="O3071">
        <v>-0.82749110000000003</v>
      </c>
      <c r="P3071">
        <v>0.26493699999999998</v>
      </c>
      <c r="Q3071">
        <v>0.18113850000000001</v>
      </c>
      <c r="R3071">
        <v>-0.94709969999999999</v>
      </c>
      <c r="S3071">
        <v>-4.3807980000000003E-2</v>
      </c>
      <c r="T3071">
        <v>-0.17473459999999999</v>
      </c>
      <c r="U3071">
        <v>-3.2284389999999998</v>
      </c>
      <c r="V3071">
        <v>0.31743510000000003</v>
      </c>
      <c r="W3071">
        <v>0.18714049999999999</v>
      </c>
      <c r="X3071">
        <v>0.92963079999999998</v>
      </c>
      <c r="Y3071">
        <v>0.57242159999999997</v>
      </c>
      <c r="Z3071">
        <v>3.518744E-2</v>
      </c>
      <c r="AA3071">
        <v>0.81920419999999905</v>
      </c>
      <c r="AB3071">
        <v>27</v>
      </c>
      <c r="AC3071">
        <v>-0.43580000000000002</v>
      </c>
      <c r="AD3071">
        <v>-1.099274263201</v>
      </c>
      <c r="AE3071">
        <v>-20.049900000000001</v>
      </c>
      <c r="AF3071">
        <v>11.580577518367001</v>
      </c>
      <c r="AG3071">
        <v>-1.099274263201</v>
      </c>
      <c r="AH3071">
        <v>16.299468608396101</v>
      </c>
      <c r="AI3071">
        <v>93.146877423710507</v>
      </c>
      <c r="AJ3071">
        <v>54.606661466995497</v>
      </c>
      <c r="AK3071">
        <v>20.024756090417998</v>
      </c>
      <c r="AL3071">
        <v>79.214046316806005</v>
      </c>
      <c r="AM3071">
        <v>71.146830600059701</v>
      </c>
      <c r="AN3071">
        <v>1.0000000168804499</v>
      </c>
    </row>
    <row r="3072" spans="1:40" x14ac:dyDescent="0.25">
      <c r="A3072" t="str">
        <f>"20190312172722095"</f>
        <v>20190312172722095</v>
      </c>
      <c r="B3072" t="str">
        <f>"1552382842092054"</f>
        <v>1552382842092054</v>
      </c>
      <c r="C3072" t="s">
        <v>40</v>
      </c>
      <c r="D3072">
        <v>3.4246840000000001</v>
      </c>
      <c r="E3072">
        <v>0.60983319999999996</v>
      </c>
      <c r="F3072" t="s">
        <v>41</v>
      </c>
      <c r="G3072">
        <v>-191.18680000000001</v>
      </c>
      <c r="H3072" s="1">
        <v>-2.335044E-6</v>
      </c>
      <c r="I3072">
        <v>184.2961</v>
      </c>
      <c r="J3072">
        <v>-190.41550000000001</v>
      </c>
      <c r="K3072">
        <v>1.0993170000000001</v>
      </c>
      <c r="L3072">
        <v>203.7946</v>
      </c>
      <c r="M3072">
        <v>0.53788210000000003</v>
      </c>
      <c r="N3072">
        <v>0</v>
      </c>
      <c r="O3072">
        <v>-0.84287979999999996</v>
      </c>
      <c r="P3072">
        <v>0.2409704</v>
      </c>
      <c r="Q3072">
        <v>0.18085519999999999</v>
      </c>
      <c r="R3072">
        <v>-0.95353299999999996</v>
      </c>
      <c r="S3072">
        <v>-8.3648680000000003E-2</v>
      </c>
      <c r="T3072">
        <v>-0.1778537</v>
      </c>
      <c r="U3072">
        <v>-3.2249759999999998</v>
      </c>
      <c r="V3072">
        <v>0.3148492</v>
      </c>
      <c r="W3072">
        <v>0.1869672</v>
      </c>
      <c r="X3072">
        <v>0.93054460000000006</v>
      </c>
      <c r="Y3072">
        <v>0.55952579999999996</v>
      </c>
      <c r="Z3072">
        <v>3.734904E-2</v>
      </c>
      <c r="AA3072">
        <v>0.82797089999999995</v>
      </c>
      <c r="AB3072">
        <v>26</v>
      </c>
      <c r="AC3072">
        <v>-0.77129999999999599</v>
      </c>
      <c r="AD3072">
        <v>-1.099319335044</v>
      </c>
      <c r="AE3072">
        <v>-19.4985</v>
      </c>
      <c r="AF3072">
        <v>11.104083495424801</v>
      </c>
      <c r="AG3072">
        <v>-1.099319335044</v>
      </c>
      <c r="AH3072">
        <v>15.971229992000699</v>
      </c>
      <c r="AI3072">
        <v>93.234597134142305</v>
      </c>
      <c r="AJ3072">
        <v>55.190834415724801</v>
      </c>
      <c r="AK3072">
        <v>19.483053167590299</v>
      </c>
      <c r="AL3072">
        <v>79.224153924997907</v>
      </c>
      <c r="AM3072">
        <v>71.306782464034995</v>
      </c>
      <c r="AN3072">
        <v>1.00000000260282</v>
      </c>
    </row>
    <row r="3073" spans="1:40" x14ac:dyDescent="0.25">
      <c r="A3073" t="str">
        <f>"20190312172722117"</f>
        <v>20190312172722117</v>
      </c>
      <c r="B3073" t="str">
        <f>"1552382842112550"</f>
        <v>1552382842112550</v>
      </c>
      <c r="C3073" t="s">
        <v>40</v>
      </c>
      <c r="D3073">
        <v>3.4346480000000001</v>
      </c>
      <c r="E3073">
        <v>0.60833570000000003</v>
      </c>
      <c r="F3073" t="s">
        <v>41</v>
      </c>
      <c r="G3073">
        <v>-190.93690000000001</v>
      </c>
      <c r="H3073" s="1">
        <v>-2.9881350000000001E-6</v>
      </c>
      <c r="I3073">
        <v>185.9734</v>
      </c>
      <c r="J3073">
        <v>-190.28460000000001</v>
      </c>
      <c r="K3073">
        <v>1.0993489999999999</v>
      </c>
      <c r="L3073">
        <v>203.5598</v>
      </c>
      <c r="M3073">
        <v>0.52520440000000002</v>
      </c>
      <c r="N3073">
        <v>0</v>
      </c>
      <c r="O3073">
        <v>-0.85083719999999996</v>
      </c>
      <c r="P3073">
        <v>0.22730429999999999</v>
      </c>
      <c r="Q3073">
        <v>0.18102599999999999</v>
      </c>
      <c r="R3073">
        <v>-0.95685050000000005</v>
      </c>
      <c r="S3073">
        <v>-9.3856809999999999E-2</v>
      </c>
      <c r="T3073">
        <v>-0.19785320000000001</v>
      </c>
      <c r="U3073">
        <v>-3.2074280000000002</v>
      </c>
      <c r="V3073">
        <v>0.3142085</v>
      </c>
      <c r="W3073">
        <v>0.18717329999999999</v>
      </c>
      <c r="X3073">
        <v>0.93071970000000004</v>
      </c>
      <c r="Y3073">
        <v>0.54981239999999998</v>
      </c>
      <c r="Z3073">
        <v>4.2692229999999998E-2</v>
      </c>
      <c r="AA3073">
        <v>0.83419639999999995</v>
      </c>
      <c r="AB3073">
        <v>26</v>
      </c>
      <c r="AC3073">
        <v>-0.65229999999999599</v>
      </c>
      <c r="AD3073">
        <v>-1.099351988135</v>
      </c>
      <c r="AE3073">
        <v>-17.586399999999902</v>
      </c>
      <c r="AF3073">
        <v>9.7545479677065998</v>
      </c>
      <c r="AG3073">
        <v>-1.099351988135</v>
      </c>
      <c r="AH3073">
        <v>14.5654618902037</v>
      </c>
      <c r="AI3073">
        <v>93.588450868900907</v>
      </c>
      <c r="AJ3073">
        <v>56.189621837691199</v>
      </c>
      <c r="AK3073">
        <v>17.5645227923528</v>
      </c>
      <c r="AL3073">
        <v>79.212132948260006</v>
      </c>
      <c r="AM3073">
        <v>71.345454258939796</v>
      </c>
      <c r="AN3073">
        <v>0.999999992836615</v>
      </c>
    </row>
    <row r="3074" spans="1:40" x14ac:dyDescent="0.25">
      <c r="A3074" t="str">
        <f>"20190312172722141"</f>
        <v>20190312172722141</v>
      </c>
      <c r="B3074" t="str">
        <f>"1552382842132071"</f>
        <v>1552382842132071</v>
      </c>
      <c r="C3074" t="s">
        <v>40</v>
      </c>
      <c r="D3074">
        <v>3.4433699999999998</v>
      </c>
      <c r="E3074">
        <v>0.60712259999999996</v>
      </c>
      <c r="F3074" t="s">
        <v>41</v>
      </c>
      <c r="G3074">
        <v>-190.99340000000001</v>
      </c>
      <c r="H3074" s="1">
        <v>-2.9327420000000002E-6</v>
      </c>
      <c r="I3074">
        <v>185.8092</v>
      </c>
      <c r="J3074">
        <v>-190.148</v>
      </c>
      <c r="K3074">
        <v>1.09938</v>
      </c>
      <c r="L3074">
        <v>203.30549999999999</v>
      </c>
      <c r="M3074">
        <v>0.51146440000000004</v>
      </c>
      <c r="N3074">
        <v>0</v>
      </c>
      <c r="O3074">
        <v>-0.85916689999999996</v>
      </c>
      <c r="P3074">
        <v>0.21298819999999999</v>
      </c>
      <c r="Q3074">
        <v>0.18107329999999999</v>
      </c>
      <c r="R3074">
        <v>-0.96012969999999997</v>
      </c>
      <c r="S3074">
        <v>-0.12791440000000001</v>
      </c>
      <c r="T3074">
        <v>-0.1983857</v>
      </c>
      <c r="U3074">
        <v>-3.203201</v>
      </c>
      <c r="V3074">
        <v>0.31313609999999997</v>
      </c>
      <c r="W3074">
        <v>0.1872711</v>
      </c>
      <c r="X3074">
        <v>0.93106140000000004</v>
      </c>
      <c r="Y3074">
        <v>0.54527530000000002</v>
      </c>
      <c r="Z3074">
        <v>4.3708900000000002E-2</v>
      </c>
      <c r="AA3074">
        <v>0.83711669999999905</v>
      </c>
      <c r="AB3074">
        <v>26</v>
      </c>
      <c r="AC3074">
        <v>-0.84540000000001203</v>
      </c>
      <c r="AD3074">
        <v>-1.0993829327419999</v>
      </c>
      <c r="AE3074">
        <v>-17.496299999999898</v>
      </c>
      <c r="AF3074">
        <v>9.6382524313773796</v>
      </c>
      <c r="AG3074">
        <v>-1.0993829327419999</v>
      </c>
      <c r="AH3074">
        <v>14.5442850413075</v>
      </c>
      <c r="AI3074">
        <v>93.605393090771202</v>
      </c>
      <c r="AJ3074">
        <v>56.468235052001504</v>
      </c>
      <c r="AK3074">
        <v>17.482585052747702</v>
      </c>
      <c r="AL3074">
        <v>79.206428700532101</v>
      </c>
      <c r="AM3074">
        <v>71.411093778995607</v>
      </c>
      <c r="AN3074">
        <v>1.0000000062941801</v>
      </c>
    </row>
    <row r="3075" spans="1:40" x14ac:dyDescent="0.25">
      <c r="A3075" t="str">
        <f>"20190312172722163"</f>
        <v>20190312172722163</v>
      </c>
      <c r="B3075" t="str">
        <f>"1552382842152097"</f>
        <v>1552382842152097</v>
      </c>
      <c r="C3075" t="s">
        <v>40</v>
      </c>
      <c r="D3075">
        <v>3.44434</v>
      </c>
      <c r="E3075">
        <v>0.60051169999999998</v>
      </c>
      <c r="F3075" t="s">
        <v>41</v>
      </c>
      <c r="G3075">
        <v>-191.0616</v>
      </c>
      <c r="H3075" s="1">
        <v>-2.9083199999999999E-6</v>
      </c>
      <c r="I3075">
        <v>185.71</v>
      </c>
      <c r="J3075">
        <v>-190.02549999999999</v>
      </c>
      <c r="K3075">
        <v>1.099418</v>
      </c>
      <c r="L3075">
        <v>203.06880000000001</v>
      </c>
      <c r="M3075">
        <v>0.4986507</v>
      </c>
      <c r="N3075">
        <v>0</v>
      </c>
      <c r="O3075">
        <v>-0.86666639999999995</v>
      </c>
      <c r="P3075">
        <v>0.20024910000000001</v>
      </c>
      <c r="Q3075">
        <v>0.182007</v>
      </c>
      <c r="R3075">
        <v>-0.96269110000000002</v>
      </c>
      <c r="S3075">
        <v>-0.16610720000000001</v>
      </c>
      <c r="T3075">
        <v>-0.19988610000000001</v>
      </c>
      <c r="U3075">
        <v>-3.1991580000000002</v>
      </c>
      <c r="V3075">
        <v>0.31156840000000002</v>
      </c>
      <c r="W3075">
        <v>0.18826689999999999</v>
      </c>
      <c r="X3075">
        <v>0.93138650000000001</v>
      </c>
      <c r="Y3075">
        <v>0.54284100000000002</v>
      </c>
      <c r="Z3075">
        <v>4.4822000000000001E-2</v>
      </c>
      <c r="AA3075">
        <v>0.83863860000000001</v>
      </c>
      <c r="AB3075">
        <v>26</v>
      </c>
      <c r="AC3075">
        <v>-1.0361</v>
      </c>
      <c r="AD3075">
        <v>-1.0994209083199999</v>
      </c>
      <c r="AE3075">
        <v>-17.358799999999999</v>
      </c>
      <c r="AF3075">
        <v>9.5170219494359891</v>
      </c>
      <c r="AG3075">
        <v>-1.0994209083199999</v>
      </c>
      <c r="AH3075">
        <v>14.4715133453708</v>
      </c>
      <c r="AI3075">
        <v>93.631992088520207</v>
      </c>
      <c r="AJ3075">
        <v>56.669546827001597</v>
      </c>
      <c r="AK3075">
        <v>17.355319980482701</v>
      </c>
      <c r="AL3075">
        <v>79.148340868562698</v>
      </c>
      <c r="AM3075">
        <v>71.503826421652093</v>
      </c>
      <c r="AN3075">
        <v>1.0000000529482</v>
      </c>
    </row>
    <row r="3076" spans="1:40" x14ac:dyDescent="0.25">
      <c r="A3076" t="str">
        <f>"20190312172722186"</f>
        <v>20190312172722186</v>
      </c>
      <c r="B3076" t="str">
        <f>"1552382842182353"</f>
        <v>1552382842182353</v>
      </c>
      <c r="C3076" t="s">
        <v>40</v>
      </c>
      <c r="D3076">
        <v>3.4243169999999998</v>
      </c>
      <c r="E3076">
        <v>0.59796119999999997</v>
      </c>
      <c r="F3076" t="s">
        <v>41</v>
      </c>
      <c r="G3076">
        <v>-190.85570000000001</v>
      </c>
      <c r="H3076" s="1">
        <v>-3.0478799999999999E-6</v>
      </c>
      <c r="I3076">
        <v>186.16309999999999</v>
      </c>
      <c r="J3076">
        <v>-189.90719999999999</v>
      </c>
      <c r="K3076">
        <v>1.099456</v>
      </c>
      <c r="L3076">
        <v>202.83170000000001</v>
      </c>
      <c r="M3076">
        <v>0.48580679999999998</v>
      </c>
      <c r="N3076">
        <v>0</v>
      </c>
      <c r="O3076">
        <v>-0.87393109999999996</v>
      </c>
      <c r="P3076">
        <v>0.18796650000000001</v>
      </c>
      <c r="Q3076">
        <v>0.18398210000000001</v>
      </c>
      <c r="R3076">
        <v>-0.96479000000000004</v>
      </c>
      <c r="S3076">
        <v>-0.15655520000000001</v>
      </c>
      <c r="T3076">
        <v>-0.20732590000000001</v>
      </c>
      <c r="U3076">
        <v>-3.188034</v>
      </c>
      <c r="V3076">
        <v>0.3095446</v>
      </c>
      <c r="W3076">
        <v>0.19031490000000001</v>
      </c>
      <c r="X3076">
        <v>0.93164499999999995</v>
      </c>
      <c r="Y3076">
        <v>0.52800419999999904</v>
      </c>
      <c r="Z3076">
        <v>4.7668299999999997E-2</v>
      </c>
      <c r="AA3076">
        <v>0.84790290000000001</v>
      </c>
      <c r="AB3076">
        <v>26</v>
      </c>
      <c r="AC3076">
        <v>-0.94850000000002399</v>
      </c>
      <c r="AD3076">
        <v>-1.0994590478799999</v>
      </c>
      <c r="AE3076">
        <v>-16.668600000000001</v>
      </c>
      <c r="AF3076">
        <v>8.8891479750059705</v>
      </c>
      <c r="AG3076">
        <v>-1.0994590478799999</v>
      </c>
      <c r="AH3076">
        <v>14.047168478502799</v>
      </c>
      <c r="AI3076">
        <v>93.783971357433501</v>
      </c>
      <c r="AJ3076">
        <v>57.674080854509803</v>
      </c>
      <c r="AK3076">
        <v>16.6597930414205</v>
      </c>
      <c r="AL3076">
        <v>79.028838179645405</v>
      </c>
      <c r="AM3076">
        <v>71.620625385767894</v>
      </c>
      <c r="AN3076">
        <v>1.00000001328808</v>
      </c>
    </row>
    <row r="3077" spans="1:40" x14ac:dyDescent="0.25">
      <c r="A3077" t="str">
        <f>"20190312172722208"</f>
        <v>20190312172722208</v>
      </c>
      <c r="B3077" t="str">
        <f>"1552382842201874"</f>
        <v>1552382842201874</v>
      </c>
      <c r="C3077" t="s">
        <v>40</v>
      </c>
      <c r="D3077">
        <v>3.4750000000000001</v>
      </c>
      <c r="E3077">
        <v>0.5972035</v>
      </c>
      <c r="F3077" t="s">
        <v>41</v>
      </c>
      <c r="G3077">
        <v>-190.88120000000001</v>
      </c>
      <c r="H3077" s="1">
        <v>-2.7038849999999999E-6</v>
      </c>
      <c r="I3077">
        <v>185.34540000000001</v>
      </c>
      <c r="J3077">
        <v>-189.7894</v>
      </c>
      <c r="K3077">
        <v>1.099488</v>
      </c>
      <c r="L3077">
        <v>202.5864</v>
      </c>
      <c r="M3077">
        <v>0.4725007</v>
      </c>
      <c r="N3077">
        <v>0</v>
      </c>
      <c r="O3077">
        <v>-0.88119609999999904</v>
      </c>
      <c r="P3077">
        <v>0.17539569999999999</v>
      </c>
      <c r="Q3077">
        <v>0.1862231</v>
      </c>
      <c r="R3077">
        <v>-0.96672530000000001</v>
      </c>
      <c r="S3077">
        <v>-0.17724609999999999</v>
      </c>
      <c r="T3077">
        <v>-0.20008229999999999</v>
      </c>
      <c r="U3077">
        <v>-3.1822050000000002</v>
      </c>
      <c r="V3077">
        <v>0.30738110000000002</v>
      </c>
      <c r="W3077">
        <v>0.1926329</v>
      </c>
      <c r="X3077">
        <v>0.93188490000000002</v>
      </c>
      <c r="Y3077">
        <v>0.52069650000000001</v>
      </c>
      <c r="Z3077">
        <v>4.6907259999999999E-2</v>
      </c>
      <c r="AA3077">
        <v>0.85245230000000005</v>
      </c>
      <c r="AB3077">
        <v>26</v>
      </c>
      <c r="AC3077">
        <v>-1.0918000000000001</v>
      </c>
      <c r="AD3077">
        <v>-1.0994907038849999</v>
      </c>
      <c r="AE3077">
        <v>-17.2409999999999</v>
      </c>
      <c r="AF3077">
        <v>9.0728014847609</v>
      </c>
      <c r="AG3077">
        <v>-1.0994907038849999</v>
      </c>
      <c r="AH3077">
        <v>14.619344478972</v>
      </c>
      <c r="AI3077">
        <v>93.656353611465505</v>
      </c>
      <c r="AJ3077">
        <v>58.176159102648199</v>
      </c>
      <c r="AK3077">
        <v>17.240934997402501</v>
      </c>
      <c r="AL3077">
        <v>78.893522971517399</v>
      </c>
      <c r="AM3077">
        <v>71.744923652946895</v>
      </c>
      <c r="AN3077">
        <v>1.00000002082381</v>
      </c>
    </row>
    <row r="3078" spans="1:40" x14ac:dyDescent="0.25">
      <c r="A3078" t="str">
        <f>"20190312172722231"</f>
        <v>20190312172722231</v>
      </c>
      <c r="B3078" t="str">
        <f>"1552382842222373"</f>
        <v>1552382842222373</v>
      </c>
      <c r="C3078" t="s">
        <v>40</v>
      </c>
      <c r="D3078">
        <v>3.4455249999999999</v>
      </c>
      <c r="E3078">
        <v>0.58875519999999903</v>
      </c>
      <c r="F3078" t="s">
        <v>41</v>
      </c>
      <c r="G3078">
        <v>-190.98429999999999</v>
      </c>
      <c r="H3078" s="1">
        <v>-2.4550339999999999E-6</v>
      </c>
      <c r="I3078">
        <v>184.7013</v>
      </c>
      <c r="J3078">
        <v>-189.6771</v>
      </c>
      <c r="K3078">
        <v>1.0995170000000001</v>
      </c>
      <c r="L3078">
        <v>202.34280000000001</v>
      </c>
      <c r="M3078">
        <v>0.45928200000000002</v>
      </c>
      <c r="N3078">
        <v>0</v>
      </c>
      <c r="O3078">
        <v>-0.88815769999999905</v>
      </c>
      <c r="P3078">
        <v>0.16295860000000001</v>
      </c>
      <c r="Q3078">
        <v>0.18759210000000001</v>
      </c>
      <c r="R3078">
        <v>-0.96863540000000004</v>
      </c>
      <c r="S3078">
        <v>-0.21243290000000001</v>
      </c>
      <c r="T3078">
        <v>-0.19545870000000001</v>
      </c>
      <c r="U3078">
        <v>-3.179459</v>
      </c>
      <c r="V3078">
        <v>0.30532930000000003</v>
      </c>
      <c r="W3078">
        <v>0.1940762</v>
      </c>
      <c r="X3078">
        <v>0.93225990000000003</v>
      </c>
      <c r="Y3078">
        <v>0.51738479999999998</v>
      </c>
      <c r="Z3078">
        <v>4.654751E-2</v>
      </c>
      <c r="AA3078">
        <v>0.85448599999999997</v>
      </c>
      <c r="AB3078">
        <v>26</v>
      </c>
      <c r="AC3078">
        <v>-1.3071999999999899</v>
      </c>
      <c r="AD3078">
        <v>-1.0995194550339999</v>
      </c>
      <c r="AE3078">
        <v>-17.641500000000001</v>
      </c>
      <c r="AF3078">
        <v>9.22886243489598</v>
      </c>
      <c r="AG3078">
        <v>-1.0995194550339999</v>
      </c>
      <c r="AH3078">
        <v>15.011843518846501</v>
      </c>
      <c r="AI3078">
        <v>93.570367945484094</v>
      </c>
      <c r="AJ3078">
        <v>58.417959916190703</v>
      </c>
      <c r="AK3078">
        <v>17.6560553552759</v>
      </c>
      <c r="AL3078">
        <v>78.809237592737603</v>
      </c>
      <c r="AM3078">
        <v>71.865591349429295</v>
      </c>
      <c r="AN3078">
        <v>1.0000000369964599</v>
      </c>
    </row>
    <row r="3079" spans="1:40" x14ac:dyDescent="0.25">
      <c r="A3079" t="str">
        <f>"20190312172722254"</f>
        <v>20190312172722254</v>
      </c>
      <c r="B3079" t="str">
        <f>"1552382842241889"</f>
        <v>1552382842241889</v>
      </c>
      <c r="C3079" t="s">
        <v>40</v>
      </c>
      <c r="D3079">
        <v>3.5428760000000001</v>
      </c>
      <c r="E3079">
        <v>0.60551049999999995</v>
      </c>
      <c r="F3079" t="s">
        <v>41</v>
      </c>
      <c r="G3079">
        <v>-190.6611</v>
      </c>
      <c r="H3079" s="1">
        <v>-2.739968E-6</v>
      </c>
      <c r="I3079">
        <v>185.566</v>
      </c>
      <c r="J3079">
        <v>-189.56200000000001</v>
      </c>
      <c r="K3079">
        <v>1.0995490000000001</v>
      </c>
      <c r="L3079">
        <v>202.08240000000001</v>
      </c>
      <c r="M3079">
        <v>0.44513730000000001</v>
      </c>
      <c r="N3079">
        <v>0</v>
      </c>
      <c r="O3079">
        <v>-0.89533050000000003</v>
      </c>
      <c r="P3079">
        <v>0.14913860000000001</v>
      </c>
      <c r="Q3079">
        <v>0.18797990000000001</v>
      </c>
      <c r="R3079">
        <v>-0.97078399999999998</v>
      </c>
      <c r="S3079">
        <v>-0.1858368</v>
      </c>
      <c r="T3079">
        <v>-0.20766479999999901</v>
      </c>
      <c r="U3079">
        <v>-3.1686100000000001</v>
      </c>
      <c r="V3079">
        <v>0.30378719999999998</v>
      </c>
      <c r="W3079">
        <v>0.19452659999999999</v>
      </c>
      <c r="X3079">
        <v>0.93266970000000005</v>
      </c>
      <c r="Y3079">
        <v>0.49670340000000002</v>
      </c>
      <c r="Z3079">
        <v>5.0737070000000002E-2</v>
      </c>
      <c r="AA3079">
        <v>0.86643609999999904</v>
      </c>
      <c r="AB3079">
        <v>26</v>
      </c>
      <c r="AC3079">
        <v>-1.09909999999999</v>
      </c>
      <c r="AD3079">
        <v>-1.0995517399679999</v>
      </c>
      <c r="AE3079">
        <v>-16.516400000000001</v>
      </c>
      <c r="AF3079">
        <v>8.3004820114815594</v>
      </c>
      <c r="AG3079">
        <v>-1.0995517399679999</v>
      </c>
      <c r="AH3079">
        <v>14.237252918182801</v>
      </c>
      <c r="AI3079">
        <v>93.817089478358596</v>
      </c>
      <c r="AJ3079">
        <v>59.757323380823202</v>
      </c>
      <c r="AK3079">
        <v>16.516851585822899</v>
      </c>
      <c r="AL3079">
        <v>78.782929956657597</v>
      </c>
      <c r="AM3079">
        <v>71.958644075238595</v>
      </c>
      <c r="AN3079">
        <v>1.0000000151447399</v>
      </c>
    </row>
    <row r="3080" spans="1:40" x14ac:dyDescent="0.25">
      <c r="A3080" t="str">
        <f>"20190312172722278"</f>
        <v>20190312172722278</v>
      </c>
      <c r="B3080" t="str">
        <f>"1552382842272145"</f>
        <v>1552382842272145</v>
      </c>
      <c r="C3080" t="s">
        <v>40</v>
      </c>
      <c r="D3080">
        <v>3.4468760000000001</v>
      </c>
      <c r="E3080">
        <v>0.61022330000000002</v>
      </c>
      <c r="F3080" t="s">
        <v>41</v>
      </c>
      <c r="G3080">
        <v>-191.8006</v>
      </c>
      <c r="H3080" s="1">
        <v>-1.718685E-6</v>
      </c>
      <c r="I3080">
        <v>182.4786</v>
      </c>
      <c r="J3080">
        <v>-189.45400000000001</v>
      </c>
      <c r="K3080">
        <v>1.0995699999999999</v>
      </c>
      <c r="L3080">
        <v>201.82740000000001</v>
      </c>
      <c r="M3080">
        <v>0.4312704</v>
      </c>
      <c r="N3080">
        <v>0</v>
      </c>
      <c r="O3080">
        <v>-0.90209189999999995</v>
      </c>
      <c r="P3080">
        <v>0.13587070000000001</v>
      </c>
      <c r="Q3080">
        <v>0.1880262</v>
      </c>
      <c r="R3080">
        <v>-0.9727209</v>
      </c>
      <c r="S3080">
        <v>-0.363205</v>
      </c>
      <c r="T3080">
        <v>-0.17839730000000001</v>
      </c>
      <c r="U3080">
        <v>-3.180634</v>
      </c>
      <c r="V3080">
        <v>0.30210969999999998</v>
      </c>
      <c r="W3080">
        <v>0.1946408</v>
      </c>
      <c r="X3080">
        <v>0.93319059999999998</v>
      </c>
      <c r="Y3080">
        <v>0.53072569999999997</v>
      </c>
      <c r="Z3080">
        <v>4.3307720000000001E-2</v>
      </c>
      <c r="AA3080">
        <v>0.84643649999999904</v>
      </c>
      <c r="AB3080">
        <v>26</v>
      </c>
      <c r="AC3080">
        <v>-2.3465999999999898</v>
      </c>
      <c r="AD3080">
        <v>-1.099571718685</v>
      </c>
      <c r="AE3080">
        <v>-19.348800000000001</v>
      </c>
      <c r="AF3080">
        <v>10.429454494751001</v>
      </c>
      <c r="AG3080">
        <v>-1.099571718685</v>
      </c>
      <c r="AH3080">
        <v>16.392146030270698</v>
      </c>
      <c r="AI3080">
        <v>93.239205467611299</v>
      </c>
      <c r="AJ3080">
        <v>57.533562631699802</v>
      </c>
      <c r="AK3080">
        <v>19.459831204312501</v>
      </c>
      <c r="AL3080">
        <v>78.776259146852993</v>
      </c>
      <c r="AM3080">
        <v>72.061237554185695</v>
      </c>
      <c r="AN3080">
        <v>1.0000000038935399</v>
      </c>
    </row>
    <row r="3081" spans="1:40" x14ac:dyDescent="0.25">
      <c r="A3081" t="str">
        <f>"20190312172722297"</f>
        <v>20190312172722297</v>
      </c>
      <c r="B3081" t="str">
        <f>"1552382842292641"</f>
        <v>1552382842292641</v>
      </c>
      <c r="C3081" t="s">
        <v>40</v>
      </c>
      <c r="D3081">
        <v>3.4565440000000001</v>
      </c>
      <c r="E3081">
        <v>0.61004019999999903</v>
      </c>
      <c r="F3081" t="s">
        <v>41</v>
      </c>
      <c r="G3081">
        <v>-192.5154</v>
      </c>
      <c r="H3081" s="1">
        <v>-8.1974940000000001E-7</v>
      </c>
      <c r="I3081">
        <v>179.93979999999999</v>
      </c>
      <c r="J3081">
        <v>-189.36490000000001</v>
      </c>
      <c r="K3081">
        <v>1.099583</v>
      </c>
      <c r="L3081">
        <v>201.6087</v>
      </c>
      <c r="M3081">
        <v>0.41937010000000002</v>
      </c>
      <c r="N3081">
        <v>0</v>
      </c>
      <c r="O3081">
        <v>-0.90768550000000003</v>
      </c>
      <c r="P3081">
        <v>0.1248599</v>
      </c>
      <c r="Q3081">
        <v>0.1870715</v>
      </c>
      <c r="R3081">
        <v>-0.97437929999999995</v>
      </c>
      <c r="S3081">
        <v>-0.44438169999999999</v>
      </c>
      <c r="T3081">
        <v>-0.15960739999999901</v>
      </c>
      <c r="U3081">
        <v>-3.1770779999999998</v>
      </c>
      <c r="V3081">
        <v>0.30042659999999999</v>
      </c>
      <c r="W3081">
        <v>0.19375580000000001</v>
      </c>
      <c r="X3081">
        <v>0.93391789999999997</v>
      </c>
      <c r="Y3081">
        <v>0.54096840000000002</v>
      </c>
      <c r="Z3081">
        <v>3.8987420000000002E-2</v>
      </c>
      <c r="AA3081">
        <v>0.84013879999999996</v>
      </c>
      <c r="AB3081">
        <v>26</v>
      </c>
      <c r="AC3081">
        <v>-3.1504999999999899</v>
      </c>
      <c r="AD3081">
        <v>-1.0995838197493999</v>
      </c>
      <c r="AE3081">
        <v>-21.668900000000001</v>
      </c>
      <c r="AF3081">
        <v>11.9183057239894</v>
      </c>
      <c r="AG3081">
        <v>-1.0995838197493999</v>
      </c>
      <c r="AH3081">
        <v>18.3033279285976</v>
      </c>
      <c r="AI3081">
        <v>92.882033089648502</v>
      </c>
      <c r="AJ3081">
        <v>56.929630745681997</v>
      </c>
      <c r="AK3081">
        <v>21.869314327818199</v>
      </c>
      <c r="AL3081">
        <v>78.827950487421404</v>
      </c>
      <c r="AM3081">
        <v>72.167838960576105</v>
      </c>
      <c r="AN3081">
        <v>1.0000000479808</v>
      </c>
    </row>
    <row r="3082" spans="1:40" x14ac:dyDescent="0.25">
      <c r="A3082" t="str">
        <f>"20190312172722319"</f>
        <v>20190312172722319</v>
      </c>
      <c r="B3082" t="str">
        <f>"1552382842312161"</f>
        <v>1552382842312161</v>
      </c>
      <c r="C3082" t="s">
        <v>40</v>
      </c>
      <c r="D3082">
        <v>3.4851399999999999</v>
      </c>
      <c r="E3082">
        <v>0.60940530000000004</v>
      </c>
      <c r="F3082" t="s">
        <v>41</v>
      </c>
      <c r="G3082">
        <v>-192.6147</v>
      </c>
      <c r="H3082" s="1">
        <v>-9.1354849999999998E-7</v>
      </c>
      <c r="I3082">
        <v>180.09690000000001</v>
      </c>
      <c r="J3082">
        <v>-189.2646</v>
      </c>
      <c r="K3082">
        <v>1.0996220000000001</v>
      </c>
      <c r="L3082">
        <v>201.352</v>
      </c>
      <c r="M3082">
        <v>0.40541120000000003</v>
      </c>
      <c r="N3082">
        <v>0</v>
      </c>
      <c r="O3082">
        <v>-0.91400559999999997</v>
      </c>
      <c r="P3082">
        <v>0.1112131</v>
      </c>
      <c r="Q3082">
        <v>0.1861855</v>
      </c>
      <c r="R3082">
        <v>-0.97620019999999996</v>
      </c>
      <c r="S3082">
        <v>-0.4791107</v>
      </c>
      <c r="T3082">
        <v>-0.16210929999999901</v>
      </c>
      <c r="U3082">
        <v>-3.1714319999999998</v>
      </c>
      <c r="V3082">
        <v>0.29920679999999999</v>
      </c>
      <c r="W3082">
        <v>0.19293150000000001</v>
      </c>
      <c r="X3082">
        <v>0.93447999999999998</v>
      </c>
      <c r="Y3082">
        <v>0.53728379999999998</v>
      </c>
      <c r="Z3082">
        <v>4.0178800000000001E-2</v>
      </c>
      <c r="AA3082">
        <v>0.84244390000000002</v>
      </c>
      <c r="AB3082">
        <v>26</v>
      </c>
      <c r="AC3082">
        <v>-3.3500999999999901</v>
      </c>
      <c r="AD3082">
        <v>-1.0996229135484901</v>
      </c>
      <c r="AE3082">
        <v>-21.255099999999999</v>
      </c>
      <c r="AF3082">
        <v>11.6500163239615</v>
      </c>
      <c r="AG3082">
        <v>-1.0996229135484901</v>
      </c>
      <c r="AH3082">
        <v>18.024168919653899</v>
      </c>
      <c r="AI3082">
        <v>92.933106808829706</v>
      </c>
      <c r="AJ3082">
        <v>57.123180834697003</v>
      </c>
      <c r="AK3082">
        <v>21.489595532368401</v>
      </c>
      <c r="AL3082">
        <v>78.876087960282902</v>
      </c>
      <c r="AM3082">
        <v>72.2456958989398</v>
      </c>
      <c r="AN3082">
        <v>1.0000000716292401</v>
      </c>
    </row>
    <row r="3083" spans="1:40" x14ac:dyDescent="0.25">
      <c r="A3083" t="str">
        <f>"20190312172722343"</f>
        <v>20190312172722343</v>
      </c>
      <c r="B3083" t="str">
        <f>"1552382842332658"</f>
        <v>1552382842332658</v>
      </c>
      <c r="C3083" t="s">
        <v>40</v>
      </c>
      <c r="D3083">
        <v>3.5110269999999999</v>
      </c>
      <c r="E3083">
        <v>0.60868009999999995</v>
      </c>
      <c r="F3083" t="s">
        <v>41</v>
      </c>
      <c r="G3083">
        <v>-192.7448</v>
      </c>
      <c r="H3083" s="1">
        <v>-9.5877110000000002E-7</v>
      </c>
      <c r="I3083">
        <v>180.1216</v>
      </c>
      <c r="J3083">
        <v>-189.16890000000001</v>
      </c>
      <c r="K3083">
        <v>1.0996790000000001</v>
      </c>
      <c r="L3083">
        <v>201.0958</v>
      </c>
      <c r="M3083">
        <v>0.39150309999999999</v>
      </c>
      <c r="N3083">
        <v>0</v>
      </c>
      <c r="O3083">
        <v>-0.92004900000000001</v>
      </c>
      <c r="P3083">
        <v>9.7809679999999996E-2</v>
      </c>
      <c r="Q3083">
        <v>0.1861003</v>
      </c>
      <c r="R3083">
        <v>-0.97765029999999997</v>
      </c>
      <c r="S3083">
        <v>-0.51856990000000003</v>
      </c>
      <c r="T3083">
        <v>-0.16385150000000001</v>
      </c>
      <c r="U3083">
        <v>-3.1634669999999998</v>
      </c>
      <c r="V3083">
        <v>0.29783169999999998</v>
      </c>
      <c r="W3083">
        <v>0.19291459999999999</v>
      </c>
      <c r="X3083">
        <v>0.93492260000000005</v>
      </c>
      <c r="Y3083">
        <v>0.53505329999999995</v>
      </c>
      <c r="Z3083">
        <v>4.1175259999999998E-2</v>
      </c>
      <c r="AA3083">
        <v>0.84381430000000002</v>
      </c>
      <c r="AB3083">
        <v>26</v>
      </c>
      <c r="AC3083">
        <v>-3.5758999999999901</v>
      </c>
      <c r="AD3083">
        <v>-1.0996799587710999</v>
      </c>
      <c r="AE3083">
        <v>-20.9742</v>
      </c>
      <c r="AF3083">
        <v>11.4721748186113</v>
      </c>
      <c r="AG3083">
        <v>-1.0996799587710999</v>
      </c>
      <c r="AH3083">
        <v>17.851733698242001</v>
      </c>
      <c r="AI3083">
        <v>92.966551996432003</v>
      </c>
      <c r="AJ3083">
        <v>57.2737217174639</v>
      </c>
      <c r="AK3083">
        <v>21.2486349470608</v>
      </c>
      <c r="AL3083">
        <v>78.877074173372506</v>
      </c>
      <c r="AM3083">
        <v>72.330048353442805</v>
      </c>
      <c r="AN3083">
        <v>1.0000000162044</v>
      </c>
    </row>
    <row r="3084" spans="1:40" x14ac:dyDescent="0.25">
      <c r="A3084" t="str">
        <f>"20190312172722365"</f>
        <v>20190312172722365</v>
      </c>
      <c r="B3084" t="str">
        <f>"1552382842361937"</f>
        <v>1552382842361937</v>
      </c>
      <c r="C3084" t="s">
        <v>40</v>
      </c>
      <c r="D3084">
        <v>3.5053380000000001</v>
      </c>
      <c r="E3084">
        <v>0.60740819999999995</v>
      </c>
      <c r="F3084" t="s">
        <v>41</v>
      </c>
      <c r="G3084">
        <v>-192.87870000000001</v>
      </c>
      <c r="H3084" s="1">
        <v>-9.6567680000000004E-7</v>
      </c>
      <c r="I3084">
        <v>180.05459999999999</v>
      </c>
      <c r="J3084">
        <v>-189.07910000000001</v>
      </c>
      <c r="K3084">
        <v>1.099753</v>
      </c>
      <c r="L3084">
        <v>200.84440000000001</v>
      </c>
      <c r="M3084">
        <v>0.3778881</v>
      </c>
      <c r="N3084">
        <v>0</v>
      </c>
      <c r="O3084">
        <v>-0.9257244</v>
      </c>
      <c r="P3084">
        <v>8.4552849999999999E-2</v>
      </c>
      <c r="Q3084">
        <v>0.18625520000000001</v>
      </c>
      <c r="R3084">
        <v>-0.97885659999999997</v>
      </c>
      <c r="S3084">
        <v>-0.55638120000000002</v>
      </c>
      <c r="T3084">
        <v>-0.16492329999999999</v>
      </c>
      <c r="U3084">
        <v>-3.155624</v>
      </c>
      <c r="V3084">
        <v>0.2966683</v>
      </c>
      <c r="W3084">
        <v>0.19313730000000001</v>
      </c>
      <c r="X3084">
        <v>0.93524649999999998</v>
      </c>
      <c r="Y3084">
        <v>0.532746099999999</v>
      </c>
      <c r="Z3084">
        <v>4.1985099999999997E-2</v>
      </c>
      <c r="AA3084">
        <v>0.84523300000000001</v>
      </c>
      <c r="AB3084">
        <v>26</v>
      </c>
      <c r="AC3084">
        <v>-3.7995999999999901</v>
      </c>
      <c r="AD3084">
        <v>-1.0997539656768001</v>
      </c>
      <c r="AE3084">
        <v>-20.7898</v>
      </c>
      <c r="AF3084">
        <v>11.3442184334126</v>
      </c>
      <c r="AG3084">
        <v>-1.0997539656768001</v>
      </c>
      <c r="AH3084">
        <v>17.763792512606901</v>
      </c>
      <c r="AI3084">
        <v>92.986853428713701</v>
      </c>
      <c r="AJ3084">
        <v>57.437101768602901</v>
      </c>
      <c r="AK3084">
        <v>21.105759287003899</v>
      </c>
      <c r="AL3084">
        <v>78.864070291855796</v>
      </c>
      <c r="AM3084">
        <v>72.400521296781903</v>
      </c>
      <c r="AN3084">
        <v>1.00000005631921</v>
      </c>
    </row>
    <row r="3085" spans="1:40" x14ac:dyDescent="0.25">
      <c r="A3085" t="str">
        <f>"20190312172722387"</f>
        <v>20190312172722387</v>
      </c>
      <c r="B3085" t="str">
        <f>"1552382842382433"</f>
        <v>1552382842382433</v>
      </c>
      <c r="C3085" t="s">
        <v>40</v>
      </c>
      <c r="D3085">
        <v>3.4901490000000002</v>
      </c>
      <c r="E3085">
        <v>0.60629080000000002</v>
      </c>
      <c r="F3085" t="s">
        <v>41</v>
      </c>
      <c r="G3085">
        <v>-192.99629999999999</v>
      </c>
      <c r="H3085" s="1">
        <v>-9.408954E-7</v>
      </c>
      <c r="I3085">
        <v>179.92400000000001</v>
      </c>
      <c r="J3085">
        <v>-188.9973</v>
      </c>
      <c r="K3085">
        <v>1.099837</v>
      </c>
      <c r="L3085">
        <v>200.60429999999999</v>
      </c>
      <c r="M3085">
        <v>0.3649481</v>
      </c>
      <c r="N3085">
        <v>0</v>
      </c>
      <c r="O3085">
        <v>-0.93090209999999995</v>
      </c>
      <c r="P3085">
        <v>7.1873380000000001E-2</v>
      </c>
      <c r="Q3085">
        <v>0.18735250000000001</v>
      </c>
      <c r="R3085">
        <v>-0.97965990000000003</v>
      </c>
      <c r="S3085">
        <v>-0.589279199999999</v>
      </c>
      <c r="T3085">
        <v>-0.16544220000000001</v>
      </c>
      <c r="U3085">
        <v>-3.1471710000000002</v>
      </c>
      <c r="V3085">
        <v>0.29565249999999998</v>
      </c>
      <c r="W3085">
        <v>0.19430159999999999</v>
      </c>
      <c r="X3085">
        <v>0.93532689999999996</v>
      </c>
      <c r="Y3085">
        <v>0.52988559999999996</v>
      </c>
      <c r="Z3085">
        <v>4.2642899999999997E-2</v>
      </c>
      <c r="AA3085">
        <v>0.84699639999999998</v>
      </c>
      <c r="AB3085">
        <v>26</v>
      </c>
      <c r="AC3085">
        <v>-3.9989999999999899</v>
      </c>
      <c r="AD3085">
        <v>-1.0998379408954</v>
      </c>
      <c r="AE3085">
        <v>-20.6802999999999</v>
      </c>
      <c r="AF3085">
        <v>11.2405863266554</v>
      </c>
      <c r="AG3085">
        <v>-1.0998379408954</v>
      </c>
      <c r="AH3085">
        <v>17.745607891772501</v>
      </c>
      <c r="AI3085">
        <v>92.997153301885007</v>
      </c>
      <c r="AJ3085">
        <v>57.648636117185397</v>
      </c>
      <c r="AK3085">
        <v>21.034900140285099</v>
      </c>
      <c r="AL3085">
        <v>78.796071655816803</v>
      </c>
      <c r="AM3085">
        <v>72.458495910263494</v>
      </c>
      <c r="AN3085">
        <v>0.99999996119120904</v>
      </c>
    </row>
    <row r="3086" spans="1:40" x14ac:dyDescent="0.25">
      <c r="A3086" t="str">
        <f>"20190312172722409"</f>
        <v>20190312172722409</v>
      </c>
      <c r="B3086" t="str">
        <f>"1552382842401953"</f>
        <v>1552382842401953</v>
      </c>
      <c r="C3086" t="s">
        <v>40</v>
      </c>
      <c r="D3086">
        <v>3.5471460000000001</v>
      </c>
      <c r="E3086">
        <v>0.59512889999999996</v>
      </c>
      <c r="F3086" t="s">
        <v>41</v>
      </c>
      <c r="G3086">
        <v>-193.21199999999999</v>
      </c>
      <c r="H3086" s="1">
        <v>-4.7642799999999997E-6</v>
      </c>
      <c r="I3086">
        <v>179.3126</v>
      </c>
      <c r="J3086">
        <v>-188.9128</v>
      </c>
      <c r="K3086">
        <v>1.099936</v>
      </c>
      <c r="L3086">
        <v>200.3441</v>
      </c>
      <c r="M3086">
        <v>0.35101189999999999</v>
      </c>
      <c r="N3086">
        <v>0</v>
      </c>
      <c r="O3086">
        <v>-0.93624629999999998</v>
      </c>
      <c r="P3086">
        <v>5.8502520000000002E-2</v>
      </c>
      <c r="Q3086">
        <v>0.1879651</v>
      </c>
      <c r="R3086">
        <v>-0.98043230000000003</v>
      </c>
      <c r="S3086">
        <v>-0.62135309999999999</v>
      </c>
      <c r="T3086">
        <v>-0.1621417</v>
      </c>
      <c r="U3086">
        <v>-3.1388850000000001</v>
      </c>
      <c r="V3086">
        <v>0.2943731</v>
      </c>
      <c r="W3086">
        <v>0.1950009</v>
      </c>
      <c r="X3086">
        <v>0.93558490000000005</v>
      </c>
      <c r="Y3086">
        <v>0.5259781</v>
      </c>
      <c r="Z3086">
        <v>4.2338019999999997E-2</v>
      </c>
      <c r="AA3086">
        <v>0.84944370000000002</v>
      </c>
      <c r="AB3086">
        <v>26</v>
      </c>
      <c r="AC3086">
        <v>-4.2992000000000097</v>
      </c>
      <c r="AD3086">
        <v>-1.0999407642799901</v>
      </c>
      <c r="AE3086">
        <v>-21.031499999999902</v>
      </c>
      <c r="AF3086">
        <v>11.378873243673899</v>
      </c>
      <c r="AG3086">
        <v>-1.0999407642799901</v>
      </c>
      <c r="AH3086">
        <v>18.136099737091499</v>
      </c>
      <c r="AI3086">
        <v>92.940962313963595</v>
      </c>
      <c r="AJ3086">
        <v>57.895195531093499</v>
      </c>
      <c r="AK3086">
        <v>21.438440700159401</v>
      </c>
      <c r="AL3086">
        <v>78.755223707473306</v>
      </c>
      <c r="AM3086">
        <v>72.534302007164101</v>
      </c>
      <c r="AN3086">
        <v>0.99999998905621501</v>
      </c>
    </row>
    <row r="3087" spans="1:40" x14ac:dyDescent="0.25">
      <c r="A3087" t="str">
        <f>"20190312172722432"</f>
        <v>20190312172722432</v>
      </c>
      <c r="B3087" t="str">
        <f>"1552382842422450"</f>
        <v>1552382842422450</v>
      </c>
      <c r="C3087" t="s">
        <v>40</v>
      </c>
      <c r="D3087">
        <v>3.5592079999999999</v>
      </c>
      <c r="E3087">
        <v>0.59440919999999997</v>
      </c>
      <c r="F3087" t="s">
        <v>41</v>
      </c>
      <c r="G3087">
        <v>-192.6985</v>
      </c>
      <c r="H3087" s="1">
        <v>-7.97673E-7</v>
      </c>
      <c r="I3087">
        <v>179.7748</v>
      </c>
      <c r="J3087">
        <v>-188.8357</v>
      </c>
      <c r="K3087">
        <v>1.100055</v>
      </c>
      <c r="L3087">
        <v>200.09440000000001</v>
      </c>
      <c r="M3087">
        <v>0.33774159999999998</v>
      </c>
      <c r="N3087">
        <v>0</v>
      </c>
      <c r="O3087">
        <v>-0.94111489999999998</v>
      </c>
      <c r="P3087">
        <v>4.6523389999999998E-2</v>
      </c>
      <c r="Q3087">
        <v>0.1875955</v>
      </c>
      <c r="R3087">
        <v>-0.98114409999999996</v>
      </c>
      <c r="S3087">
        <v>-0.57537839999999996</v>
      </c>
      <c r="T3087">
        <v>-0.1671773</v>
      </c>
      <c r="U3087">
        <v>-3.1262819999999998</v>
      </c>
      <c r="V3087">
        <v>0.29253099999999999</v>
      </c>
      <c r="W3087">
        <v>0.19474089999999999</v>
      </c>
      <c r="X3087">
        <v>0.93621670000000001</v>
      </c>
      <c r="Y3087">
        <v>0.5023455</v>
      </c>
      <c r="Z3087">
        <v>4.4654050000000001E-2</v>
      </c>
      <c r="AA3087">
        <v>0.86351319999999998</v>
      </c>
      <c r="AB3087">
        <v>26</v>
      </c>
      <c r="AC3087">
        <v>-3.8627999999999898</v>
      </c>
      <c r="AD3087">
        <v>-1.1000557976729901</v>
      </c>
      <c r="AE3087">
        <v>-20.319600000000001</v>
      </c>
      <c r="AF3087">
        <v>10.4697226533301</v>
      </c>
      <c r="AG3087">
        <v>-1.1000557976729901</v>
      </c>
      <c r="AH3087">
        <v>17.7702633784616</v>
      </c>
      <c r="AI3087">
        <v>93.053012982326607</v>
      </c>
      <c r="AJ3087">
        <v>59.494644226336298</v>
      </c>
      <c r="AK3087">
        <v>20.654478345761799</v>
      </c>
      <c r="AL3087">
        <v>78.770412552249297</v>
      </c>
      <c r="AM3087">
        <v>72.648022621996404</v>
      </c>
      <c r="AN3087">
        <v>1.0000000567263401</v>
      </c>
    </row>
    <row r="3088" spans="1:40" x14ac:dyDescent="0.25">
      <c r="A3088" t="str">
        <f>"20190312172722455"</f>
        <v>20190312172722455</v>
      </c>
      <c r="B3088" t="str">
        <f>"1552382842452706"</f>
        <v>1552382842452706</v>
      </c>
      <c r="C3088" t="s">
        <v>40</v>
      </c>
      <c r="D3088">
        <v>3.5317970000000001</v>
      </c>
      <c r="E3088">
        <v>0.59215059999999997</v>
      </c>
      <c r="F3088" t="s">
        <v>41</v>
      </c>
      <c r="G3088">
        <v>-192.75729999999999</v>
      </c>
      <c r="H3088" s="1">
        <v>-9.0505459999999998E-7</v>
      </c>
      <c r="I3088">
        <v>179.98859999999999</v>
      </c>
      <c r="J3088">
        <v>-188.75620000000001</v>
      </c>
      <c r="K3088">
        <v>1.100176</v>
      </c>
      <c r="L3088">
        <v>199.82339999999999</v>
      </c>
      <c r="M3088">
        <v>0.32344879999999998</v>
      </c>
      <c r="N3088">
        <v>0</v>
      </c>
      <c r="O3088">
        <v>-0.94612289999999999</v>
      </c>
      <c r="P3088">
        <v>3.4754750000000001E-2</v>
      </c>
      <c r="Q3088">
        <v>0.18744140000000001</v>
      </c>
      <c r="R3088">
        <v>-0.98166109999999895</v>
      </c>
      <c r="S3088">
        <v>-0.60838319999999901</v>
      </c>
      <c r="T3088">
        <v>-0.17065640000000001</v>
      </c>
      <c r="U3088">
        <v>-3.1190950000000002</v>
      </c>
      <c r="V3088">
        <v>0.289516</v>
      </c>
      <c r="W3088">
        <v>0.1947324</v>
      </c>
      <c r="X3088">
        <v>0.93715510000000002</v>
      </c>
      <c r="Y3088">
        <v>0.4984075</v>
      </c>
      <c r="Z3088">
        <v>4.6110949999999998E-2</v>
      </c>
      <c r="AA3088">
        <v>0.86571569999999998</v>
      </c>
      <c r="AB3088">
        <v>26</v>
      </c>
      <c r="AC3088">
        <v>-4.0010999999999797</v>
      </c>
      <c r="AD3088">
        <v>-1.1001769050546</v>
      </c>
      <c r="AE3088">
        <v>-19.834800000000001</v>
      </c>
      <c r="AF3088">
        <v>10.172187854089101</v>
      </c>
      <c r="AG3088">
        <v>-1.1001769050546</v>
      </c>
      <c r="AH3088">
        <v>17.4225314091398</v>
      </c>
      <c r="AI3088">
        <v>93.1213926071472</v>
      </c>
      <c r="AJ3088">
        <v>59.7213755328019</v>
      </c>
      <c r="AK3088">
        <v>20.204662720861201</v>
      </c>
      <c r="AL3088">
        <v>78.770907876805197</v>
      </c>
      <c r="AM3088">
        <v>72.832474521593994</v>
      </c>
      <c r="AN3088">
        <v>0.99999995166088296</v>
      </c>
    </row>
    <row r="3089" spans="1:40" x14ac:dyDescent="0.25">
      <c r="A3089" t="str">
        <f>"20190312172722478"</f>
        <v>20190312172722478</v>
      </c>
      <c r="B3089" t="str">
        <f>"1552382842472227"</f>
        <v>1552382842472227</v>
      </c>
      <c r="C3089" t="s">
        <v>40</v>
      </c>
      <c r="D3089">
        <v>3.5362360000000002</v>
      </c>
      <c r="E3089">
        <v>0.5855553</v>
      </c>
      <c r="F3089" t="s">
        <v>41</v>
      </c>
      <c r="G3089">
        <v>-192.71709999999999</v>
      </c>
      <c r="H3089" s="1">
        <v>-9.9243380000000002E-7</v>
      </c>
      <c r="I3089">
        <v>180.21729999999999</v>
      </c>
      <c r="J3089">
        <v>-188.6867</v>
      </c>
      <c r="K3089">
        <v>1.1002890000000001</v>
      </c>
      <c r="L3089">
        <v>199.57380000000001</v>
      </c>
      <c r="M3089">
        <v>0.31039689999999998</v>
      </c>
      <c r="N3089">
        <v>0</v>
      </c>
      <c r="O3089">
        <v>-0.95048520000000003</v>
      </c>
      <c r="P3089">
        <v>2.3667239999999999E-2</v>
      </c>
      <c r="Q3089">
        <v>0.1873515</v>
      </c>
      <c r="R3089">
        <v>-0.98200790000000004</v>
      </c>
      <c r="S3089">
        <v>-0.62863159999999996</v>
      </c>
      <c r="T3089">
        <v>-0.17460729999999999</v>
      </c>
      <c r="U3089">
        <v>-3.1116640000000002</v>
      </c>
      <c r="V3089">
        <v>0.2871416</v>
      </c>
      <c r="W3089">
        <v>0.19476560000000001</v>
      </c>
      <c r="X3089">
        <v>0.93787849999999995</v>
      </c>
      <c r="Y3089">
        <v>0.49225869999999999</v>
      </c>
      <c r="Z3089">
        <v>4.7720270000000002E-2</v>
      </c>
      <c r="AA3089">
        <v>0.86913989999999997</v>
      </c>
      <c r="AB3089">
        <v>26</v>
      </c>
      <c r="AC3089">
        <v>-4.0303999999999798</v>
      </c>
      <c r="AD3089">
        <v>-1.1002899924338001</v>
      </c>
      <c r="AE3089">
        <v>-19.3565</v>
      </c>
      <c r="AF3089">
        <v>9.8097929102415797</v>
      </c>
      <c r="AG3089">
        <v>-1.1002899924338001</v>
      </c>
      <c r="AH3089">
        <v>17.096084486668801</v>
      </c>
      <c r="AI3089">
        <v>93.195061605758795</v>
      </c>
      <c r="AJ3089">
        <v>60.152645766104698</v>
      </c>
      <c r="AK3089">
        <v>19.741296304563999</v>
      </c>
      <c r="AL3089">
        <v>78.768969177505994</v>
      </c>
      <c r="AM3089">
        <v>72.977467110843193</v>
      </c>
      <c r="AN3089">
        <v>1.0000000090780801</v>
      </c>
    </row>
    <row r="3090" spans="1:40" x14ac:dyDescent="0.25">
      <c r="A3090" t="str">
        <f>"20190312172722499"</f>
        <v>20190312172722499</v>
      </c>
      <c r="B3090" t="str">
        <f>"1552382842492722"</f>
        <v>1552382842492722</v>
      </c>
      <c r="C3090" t="s">
        <v>40</v>
      </c>
      <c r="D3090">
        <v>3.5730819999999999</v>
      </c>
      <c r="E3090">
        <v>0.58434350000000002</v>
      </c>
      <c r="F3090" t="s">
        <v>41</v>
      </c>
      <c r="G3090">
        <v>-192.31739999999999</v>
      </c>
      <c r="H3090" s="1">
        <v>-1.275181E-6</v>
      </c>
      <c r="I3090">
        <v>181.1242</v>
      </c>
      <c r="J3090">
        <v>-188.62049999999999</v>
      </c>
      <c r="K3090">
        <v>1.100406</v>
      </c>
      <c r="L3090">
        <v>199.32339999999999</v>
      </c>
      <c r="M3090">
        <v>0.29744280000000001</v>
      </c>
      <c r="N3090">
        <v>0</v>
      </c>
      <c r="O3090">
        <v>-0.95461890000000005</v>
      </c>
      <c r="P3090">
        <v>1.294908E-2</v>
      </c>
      <c r="Q3090">
        <v>0.18636069999999999</v>
      </c>
      <c r="R3090">
        <v>-0.98239639999999995</v>
      </c>
      <c r="S3090">
        <v>-0.61105350000000003</v>
      </c>
      <c r="T3090">
        <v>-0.18517790000000001</v>
      </c>
      <c r="U3090">
        <v>-3.1050420000000001</v>
      </c>
      <c r="V3090">
        <v>0.28458719999999998</v>
      </c>
      <c r="W3090">
        <v>0.1939073</v>
      </c>
      <c r="X3090">
        <v>0.93883439999999996</v>
      </c>
      <c r="Y3090">
        <v>0.47593079999999999</v>
      </c>
      <c r="Z3090">
        <v>5.1371569999999998E-2</v>
      </c>
      <c r="AA3090">
        <v>0.87798109999999996</v>
      </c>
      <c r="AB3090">
        <v>26</v>
      </c>
      <c r="AC3090">
        <v>-3.6968999999999999</v>
      </c>
      <c r="AD3090">
        <v>-1.1004072751809999</v>
      </c>
      <c r="AE3090">
        <v>-18.199199999999902</v>
      </c>
      <c r="AF3090">
        <v>8.9120914443720292</v>
      </c>
      <c r="AG3090">
        <v>-1.1004072751809999</v>
      </c>
      <c r="AH3090">
        <v>16.218615206831601</v>
      </c>
      <c r="AI3090">
        <v>93.4029414043125</v>
      </c>
      <c r="AJ3090">
        <v>61.211307497829701</v>
      </c>
      <c r="AK3090">
        <v>18.538601600751601</v>
      </c>
      <c r="AL3090">
        <v>78.819101522143001</v>
      </c>
      <c r="AM3090">
        <v>73.136463017699796</v>
      </c>
      <c r="AN3090">
        <v>0.99999997301024401</v>
      </c>
    </row>
    <row r="3091" spans="1:40" x14ac:dyDescent="0.25">
      <c r="A3091" t="str">
        <f>"20190312172722522"</f>
        <v>20190312172722522</v>
      </c>
      <c r="B3091" t="str">
        <f>"1552382842512241"</f>
        <v>1552382842512241</v>
      </c>
      <c r="C3091" t="s">
        <v>40</v>
      </c>
      <c r="D3091">
        <v>3.5196719999999999</v>
      </c>
      <c r="E3091">
        <v>0.58319960000000004</v>
      </c>
      <c r="F3091" t="s">
        <v>41</v>
      </c>
      <c r="G3091">
        <v>-192.2253</v>
      </c>
      <c r="H3091" s="1">
        <v>-1.5072740000000001E-6</v>
      </c>
      <c r="I3091">
        <v>181.72239999999999</v>
      </c>
      <c r="J3091">
        <v>-188.55629999999999</v>
      </c>
      <c r="K3091">
        <v>1.100543</v>
      </c>
      <c r="L3091">
        <v>199.0668</v>
      </c>
      <c r="M3091">
        <v>0.2843387</v>
      </c>
      <c r="N3091">
        <v>0</v>
      </c>
      <c r="O3091">
        <v>-0.95860400000000001</v>
      </c>
      <c r="P3091">
        <v>2.8923389999999998E-3</v>
      </c>
      <c r="Q3091">
        <v>0.1847839</v>
      </c>
      <c r="R3091">
        <v>-0.98277510000000001</v>
      </c>
      <c r="S3091">
        <v>-0.63467410000000002</v>
      </c>
      <c r="T3091">
        <v>-0.19374079999999999</v>
      </c>
      <c r="U3091">
        <v>-3.0988769999999999</v>
      </c>
      <c r="V3091">
        <v>0.28130539999999998</v>
      </c>
      <c r="W3091">
        <v>0.19249160000000001</v>
      </c>
      <c r="X3091">
        <v>0.94011400000000001</v>
      </c>
      <c r="Y3091">
        <v>0.47060879999999999</v>
      </c>
      <c r="Z3091">
        <v>5.4264199999999901E-2</v>
      </c>
      <c r="AA3091">
        <v>0.88067169999999895</v>
      </c>
      <c r="AB3091">
        <v>26</v>
      </c>
      <c r="AC3091">
        <v>-3.6690000000000098</v>
      </c>
      <c r="AD3091">
        <v>-1.1005445072740001</v>
      </c>
      <c r="AE3091">
        <v>-17.3444</v>
      </c>
      <c r="AF3091">
        <v>8.41733506318519</v>
      </c>
      <c r="AG3091">
        <v>-1.1005445072740001</v>
      </c>
      <c r="AH3091">
        <v>15.5251337441366</v>
      </c>
      <c r="AI3091">
        <v>93.565942338532295</v>
      </c>
      <c r="AJ3091">
        <v>61.534570108804502</v>
      </c>
      <c r="AK3091">
        <v>17.6944201812817</v>
      </c>
      <c r="AL3091">
        <v>78.901773470765804</v>
      </c>
      <c r="AM3091">
        <v>73.341514114472503</v>
      </c>
      <c r="AN3091">
        <v>1.00000003856785</v>
      </c>
    </row>
    <row r="3092" spans="1:40" x14ac:dyDescent="0.25">
      <c r="A3092" t="str">
        <f>"20190312172722543"</f>
        <v>20190312172722543</v>
      </c>
      <c r="B3092" t="str">
        <f>"1552382842531762"</f>
        <v>1552382842531762</v>
      </c>
      <c r="C3092" t="s">
        <v>40</v>
      </c>
      <c r="D3092">
        <v>3.5779380000000001</v>
      </c>
      <c r="E3092">
        <v>0.581812</v>
      </c>
      <c r="F3092" t="s">
        <v>41</v>
      </c>
      <c r="G3092">
        <v>-192.20160000000001</v>
      </c>
      <c r="H3092" s="1">
        <v>-1.5852409999999999E-6</v>
      </c>
      <c r="I3092">
        <v>181.91890000000001</v>
      </c>
      <c r="J3092">
        <v>-188.4974</v>
      </c>
      <c r="K3092">
        <v>1.1006990000000001</v>
      </c>
      <c r="L3092">
        <v>198.8184</v>
      </c>
      <c r="M3092">
        <v>0.27182460000000003</v>
      </c>
      <c r="N3092">
        <v>0</v>
      </c>
      <c r="O3092">
        <v>-0.96222830000000004</v>
      </c>
      <c r="P3092">
        <v>-6.9275400000000003E-3</v>
      </c>
      <c r="Q3092">
        <v>0.18392520000000001</v>
      </c>
      <c r="R3092">
        <v>-0.98291620000000002</v>
      </c>
      <c r="S3092">
        <v>-0.65725710000000004</v>
      </c>
      <c r="T3092">
        <v>-0.19843230000000001</v>
      </c>
      <c r="U3092">
        <v>-3.0918429999999999</v>
      </c>
      <c r="V3092">
        <v>0.27838960000000001</v>
      </c>
      <c r="W3092">
        <v>0.19178500000000001</v>
      </c>
      <c r="X3092">
        <v>0.94112580000000001</v>
      </c>
      <c r="Y3092">
        <v>0.46564410000000001</v>
      </c>
      <c r="Z3092">
        <v>5.608664E-2</v>
      </c>
      <c r="AA3092">
        <v>0.88319300000000001</v>
      </c>
      <c r="AB3092">
        <v>26</v>
      </c>
      <c r="AC3092">
        <v>-3.7042000000000099</v>
      </c>
      <c r="AD3092">
        <v>-1.1007005852409999</v>
      </c>
      <c r="AE3092">
        <v>-16.8994999999999</v>
      </c>
      <c r="AF3092">
        <v>8.1260244965560098</v>
      </c>
      <c r="AG3092">
        <v>-1.1007005852409999</v>
      </c>
      <c r="AH3092">
        <v>15.1945211566842</v>
      </c>
      <c r="AI3092">
        <v>93.6550460070616</v>
      </c>
      <c r="AJ3092">
        <v>61.862144551594902</v>
      </c>
      <c r="AK3092">
        <v>17.2660733543531</v>
      </c>
      <c r="AL3092">
        <v>78.943027034944294</v>
      </c>
      <c r="AM3092">
        <v>73.521526034341093</v>
      </c>
      <c r="AN3092">
        <v>1.0000000135194</v>
      </c>
    </row>
    <row r="3093" spans="1:40" x14ac:dyDescent="0.25">
      <c r="A3093" t="str">
        <f>"20190312172722566"</f>
        <v>20190312172722566</v>
      </c>
      <c r="B3093" t="str">
        <f>"1552382842562018"</f>
        <v>1552382842562018</v>
      </c>
      <c r="C3093" t="s">
        <v>40</v>
      </c>
      <c r="D3093">
        <v>3.5604550000000001</v>
      </c>
      <c r="E3093">
        <v>0.57505050000000002</v>
      </c>
      <c r="F3093" t="s">
        <v>41</v>
      </c>
      <c r="G3093">
        <v>-192.1773</v>
      </c>
      <c r="H3093" s="1">
        <v>-1.6374059999999999E-6</v>
      </c>
      <c r="I3093">
        <v>182.05549999999999</v>
      </c>
      <c r="J3093">
        <v>-188.4385</v>
      </c>
      <c r="K3093">
        <v>1.100894</v>
      </c>
      <c r="L3093">
        <v>198.55539999999999</v>
      </c>
      <c r="M3093">
        <v>0.25878820000000002</v>
      </c>
      <c r="N3093">
        <v>0</v>
      </c>
      <c r="O3093">
        <v>-0.96581660000000003</v>
      </c>
      <c r="P3093">
        <v>-1.8008110000000001E-2</v>
      </c>
      <c r="Q3093">
        <v>0.18380279999999999</v>
      </c>
      <c r="R3093">
        <v>-0.98279830000000001</v>
      </c>
      <c r="S3093">
        <v>-0.67730709999999905</v>
      </c>
      <c r="T3093">
        <v>-0.20258979999999999</v>
      </c>
      <c r="U3093">
        <v>-3.0852970000000002</v>
      </c>
      <c r="V3093">
        <v>0.27618169999999997</v>
      </c>
      <c r="W3093">
        <v>0.19180510000000001</v>
      </c>
      <c r="X3093">
        <v>0.94177200000000005</v>
      </c>
      <c r="Y3093">
        <v>0.45951310000000001</v>
      </c>
      <c r="Z3093">
        <v>5.7792379999999997E-2</v>
      </c>
      <c r="AA3093">
        <v>0.88628879999999999</v>
      </c>
      <c r="AB3093">
        <v>26</v>
      </c>
      <c r="AC3093">
        <v>-3.7387999999999901</v>
      </c>
      <c r="AD3093">
        <v>-1.1008956374059999</v>
      </c>
      <c r="AE3093">
        <v>-16.499899999999901</v>
      </c>
      <c r="AF3093">
        <v>7.8486353441182901</v>
      </c>
      <c r="AG3093">
        <v>-1.1008956374059999</v>
      </c>
      <c r="AH3093">
        <v>14.9068982506595</v>
      </c>
      <c r="AI3093">
        <v>93.738804643805906</v>
      </c>
      <c r="AJ3093">
        <v>62.232733335968099</v>
      </c>
      <c r="AK3093">
        <v>16.882791932169201</v>
      </c>
      <c r="AL3093">
        <v>78.941853609243495</v>
      </c>
      <c r="AM3093">
        <v>73.655829355449598</v>
      </c>
      <c r="AN3093">
        <v>1.0000000138924501</v>
      </c>
    </row>
    <row r="3094" spans="1:40" x14ac:dyDescent="0.25">
      <c r="A3094" t="str">
        <f>"20190312172722588"</f>
        <v>20190312172722588</v>
      </c>
      <c r="B3094" t="str">
        <f>"1552382842582514"</f>
        <v>1552382842582514</v>
      </c>
      <c r="C3094" t="s">
        <v>40</v>
      </c>
      <c r="D3094">
        <v>3.5470069999999998</v>
      </c>
      <c r="E3094">
        <v>0.57356379999999996</v>
      </c>
      <c r="F3094" t="s">
        <v>41</v>
      </c>
      <c r="G3094">
        <v>-191.93879999999999</v>
      </c>
      <c r="H3094" s="1">
        <v>-1.6235499999999999E-6</v>
      </c>
      <c r="I3094">
        <v>182.1712</v>
      </c>
      <c r="J3094">
        <v>-188.38589999999999</v>
      </c>
      <c r="K3094">
        <v>1.1010960000000001</v>
      </c>
      <c r="L3094">
        <v>198.30619999999999</v>
      </c>
      <c r="M3094">
        <v>0.2466612</v>
      </c>
      <c r="N3094">
        <v>0</v>
      </c>
      <c r="O3094">
        <v>-0.9689854</v>
      </c>
      <c r="P3094">
        <v>-2.7910569999999999E-2</v>
      </c>
      <c r="Q3094">
        <v>0.18429809999999999</v>
      </c>
      <c r="R3094">
        <v>-0.98247430000000002</v>
      </c>
      <c r="S3094">
        <v>-0.65782169999999995</v>
      </c>
      <c r="T3094">
        <v>-0.20689640000000001</v>
      </c>
      <c r="U3094">
        <v>-3.0791629999999999</v>
      </c>
      <c r="V3094">
        <v>0.2737559</v>
      </c>
      <c r="W3094">
        <v>0.19244720000000001</v>
      </c>
      <c r="X3094">
        <v>0.94234910000000005</v>
      </c>
      <c r="Y3094">
        <v>0.44329829999999998</v>
      </c>
      <c r="Z3094">
        <v>5.9761139999999997E-2</v>
      </c>
      <c r="AA3094">
        <v>0.89437979999999995</v>
      </c>
      <c r="AB3094">
        <v>26</v>
      </c>
      <c r="AC3094">
        <v>-3.55289999999999</v>
      </c>
      <c r="AD3094">
        <v>-1.1010976235499901</v>
      </c>
      <c r="AE3094">
        <v>-16.134999999999899</v>
      </c>
      <c r="AF3094">
        <v>7.3905969884573999</v>
      </c>
      <c r="AG3094">
        <v>-1.1010976235499901</v>
      </c>
      <c r="AH3094">
        <v>14.6946122124497</v>
      </c>
      <c r="AI3094">
        <v>93.8297918274815</v>
      </c>
      <c r="AJ3094">
        <v>63.300071590446599</v>
      </c>
      <c r="AK3094">
        <v>16.485295505287699</v>
      </c>
      <c r="AL3094">
        <v>78.904365686447903</v>
      </c>
      <c r="AM3094">
        <v>73.801223532615396</v>
      </c>
      <c r="AN3094">
        <v>1.00000002192172</v>
      </c>
    </row>
    <row r="3095" spans="1:40" x14ac:dyDescent="0.25">
      <c r="A3095" t="str">
        <f>"20190312172722621"</f>
        <v>20190312172722621</v>
      </c>
      <c r="B3095" t="str">
        <f>"1552382842611796"</f>
        <v>1552382842611796</v>
      </c>
      <c r="C3095" t="s">
        <v>40</v>
      </c>
      <c r="D3095">
        <v>3.5554209999999999</v>
      </c>
      <c r="E3095">
        <v>0.56756240000000002</v>
      </c>
      <c r="F3095" t="s">
        <v>41</v>
      </c>
      <c r="G3095">
        <v>-192.012</v>
      </c>
      <c r="H3095" s="1">
        <v>-1.496608E-6</v>
      </c>
      <c r="I3095">
        <v>181.82980000000001</v>
      </c>
      <c r="J3095">
        <v>-188.31049999999999</v>
      </c>
      <c r="K3095">
        <v>1.101429</v>
      </c>
      <c r="L3095">
        <v>197.91909999999999</v>
      </c>
      <c r="M3095">
        <v>0.22834099999999999</v>
      </c>
      <c r="N3095">
        <v>0</v>
      </c>
      <c r="O3095">
        <v>-0.97346639999999995</v>
      </c>
      <c r="P3095">
        <v>-4.2676140000000001E-2</v>
      </c>
      <c r="Q3095">
        <v>0.1854961</v>
      </c>
      <c r="R3095">
        <v>-0.98171810000000004</v>
      </c>
      <c r="S3095">
        <v>-0.67626949999999997</v>
      </c>
      <c r="T3095">
        <v>-0.2053537</v>
      </c>
      <c r="U3095">
        <v>-3.0728300000000002</v>
      </c>
      <c r="V3095">
        <v>0.26995449999999999</v>
      </c>
      <c r="W3095">
        <v>0.1938793</v>
      </c>
      <c r="X3095">
        <v>0.94315179999999998</v>
      </c>
      <c r="Y3095">
        <v>0.43186479999999999</v>
      </c>
      <c r="Z3095">
        <v>6.0030319999999998E-2</v>
      </c>
      <c r="AA3095">
        <v>0.89993840000000003</v>
      </c>
      <c r="AB3095">
        <v>26</v>
      </c>
      <c r="AC3095">
        <v>-3.7014999999999998</v>
      </c>
      <c r="AD3095">
        <v>-1.101430496608</v>
      </c>
      <c r="AE3095">
        <v>-16.089299999999898</v>
      </c>
      <c r="AF3095">
        <v>7.2456968929650101</v>
      </c>
      <c r="AG3095">
        <v>-1.101430496608</v>
      </c>
      <c r="AH3095">
        <v>14.7531812832922</v>
      </c>
      <c r="AI3095">
        <v>93.8337450017615</v>
      </c>
      <c r="AJ3095">
        <v>63.843063776949499</v>
      </c>
      <c r="AK3095">
        <v>16.473300536967798</v>
      </c>
      <c r="AL3095">
        <v>78.820736763633406</v>
      </c>
      <c r="AM3095">
        <v>74.027505223580903</v>
      </c>
      <c r="AN3095">
        <v>0.99999996644098899</v>
      </c>
    </row>
    <row r="3096" spans="1:40" x14ac:dyDescent="0.25">
      <c r="A3096" t="str">
        <f>"20190312172722644"</f>
        <v>20190312172722644</v>
      </c>
      <c r="B3096" t="str">
        <f>"1552382842632289"</f>
        <v>1552382842632289</v>
      </c>
      <c r="C3096" t="s">
        <v>40</v>
      </c>
      <c r="D3096">
        <v>3.5578189999999998</v>
      </c>
      <c r="E3096">
        <v>0.56651359999999995</v>
      </c>
      <c r="F3096" t="s">
        <v>41</v>
      </c>
      <c r="G3096">
        <v>-191.98490000000001</v>
      </c>
      <c r="H3096" s="1">
        <v>-1.2321700000000001E-6</v>
      </c>
      <c r="I3096">
        <v>181.2302</v>
      </c>
      <c r="J3096">
        <v>-188.2637</v>
      </c>
      <c r="K3096">
        <v>1.101647</v>
      </c>
      <c r="L3096">
        <v>197.66040000000001</v>
      </c>
      <c r="M3096">
        <v>0.216391</v>
      </c>
      <c r="N3096">
        <v>0</v>
      </c>
      <c r="O3096">
        <v>-0.97619319999999998</v>
      </c>
      <c r="P3096">
        <v>-5.186926E-2</v>
      </c>
      <c r="Q3096">
        <v>0.18524180000000001</v>
      </c>
      <c r="R3096">
        <v>-0.9813231</v>
      </c>
      <c r="S3096">
        <v>-0.67477419999999899</v>
      </c>
      <c r="T3096">
        <v>-0.20226859999999999</v>
      </c>
      <c r="U3096">
        <v>-3.0647739999999999</v>
      </c>
      <c r="V3096">
        <v>0.26712079999999999</v>
      </c>
      <c r="W3096">
        <v>0.19378480000000001</v>
      </c>
      <c r="X3096">
        <v>0.94397770000000003</v>
      </c>
      <c r="Y3096">
        <v>0.42086479999999998</v>
      </c>
      <c r="Z3096">
        <v>5.972454E-2</v>
      </c>
      <c r="AA3096">
        <v>0.90515509999999999</v>
      </c>
      <c r="AB3096">
        <v>26</v>
      </c>
      <c r="AC3096">
        <v>-3.7212000000000001</v>
      </c>
      <c r="AD3096">
        <v>-1.1016482321700001</v>
      </c>
      <c r="AE3096">
        <v>-16.430199999999999</v>
      </c>
      <c r="AF3096">
        <v>7.1581438430254902</v>
      </c>
      <c r="AG3096">
        <v>-1.1016482321700001</v>
      </c>
      <c r="AH3096">
        <v>15.170629585591</v>
      </c>
      <c r="AI3096">
        <v>93.757425080209899</v>
      </c>
      <c r="AJ3096">
        <v>64.740082091781105</v>
      </c>
      <c r="AK3096">
        <v>16.810730327029098</v>
      </c>
      <c r="AL3096">
        <v>78.826256088787602</v>
      </c>
      <c r="AM3096">
        <v>74.199885597604705</v>
      </c>
      <c r="AN3096">
        <v>0.99999998430048398</v>
      </c>
    </row>
    <row r="3097" spans="1:40" x14ac:dyDescent="0.25">
      <c r="A3097" t="str">
        <f>"20190312172722667"</f>
        <v>20190312172722667</v>
      </c>
      <c r="B3097" t="str">
        <f>"1552382842662545"</f>
        <v>1552382842662545</v>
      </c>
      <c r="C3097" t="s">
        <v>40</v>
      </c>
      <c r="D3097">
        <v>3.5808420000000001</v>
      </c>
      <c r="E3097">
        <v>0.56236249999999999</v>
      </c>
      <c r="F3097" t="s">
        <v>41</v>
      </c>
      <c r="G3097">
        <v>-191.97300000000001</v>
      </c>
      <c r="H3097" s="1">
        <v>-1.264387E-6</v>
      </c>
      <c r="I3097">
        <v>181.31270000000001</v>
      </c>
      <c r="J3097">
        <v>-188.2182</v>
      </c>
      <c r="K3097">
        <v>1.10188</v>
      </c>
      <c r="L3097">
        <v>197.39169999999999</v>
      </c>
      <c r="M3097">
        <v>0.20425599999999999</v>
      </c>
      <c r="N3097">
        <v>0</v>
      </c>
      <c r="O3097">
        <v>-0.97880520000000004</v>
      </c>
      <c r="P3097">
        <v>-6.231391E-2</v>
      </c>
      <c r="Q3097">
        <v>0.18504370000000001</v>
      </c>
      <c r="R3097">
        <v>-0.98075310000000004</v>
      </c>
      <c r="S3097">
        <v>-0.69415280000000001</v>
      </c>
      <c r="T3097">
        <v>-0.20616399999999999</v>
      </c>
      <c r="U3097">
        <v>-3.059326</v>
      </c>
      <c r="V3097">
        <v>0.26534550000000001</v>
      </c>
      <c r="W3097">
        <v>0.19371930000000001</v>
      </c>
      <c r="X3097">
        <v>0.94449170000000005</v>
      </c>
      <c r="Y3097">
        <v>0.41537750000000001</v>
      </c>
      <c r="Z3097">
        <v>6.1280019999999998E-2</v>
      </c>
      <c r="AA3097">
        <v>0.90758260000000002</v>
      </c>
      <c r="AB3097">
        <v>26</v>
      </c>
      <c r="AC3097">
        <v>-3.7547999999999799</v>
      </c>
      <c r="AD3097">
        <v>-1.101881264387</v>
      </c>
      <c r="AE3097">
        <v>-16.078999999999901</v>
      </c>
      <c r="AF3097">
        <v>6.92935600844626</v>
      </c>
      <c r="AG3097">
        <v>-1.101881264387</v>
      </c>
      <c r="AH3097">
        <v>14.9065297805776</v>
      </c>
      <c r="AI3097">
        <v>93.834855577291407</v>
      </c>
      <c r="AJ3097">
        <v>65.068463317834699</v>
      </c>
      <c r="AK3097">
        <v>16.475276844770899</v>
      </c>
      <c r="AL3097">
        <v>78.830081475490303</v>
      </c>
      <c r="AM3097">
        <v>74.307823102597496</v>
      </c>
      <c r="AN3097">
        <v>0.99999998646581401</v>
      </c>
    </row>
    <row r="3098" spans="1:40" x14ac:dyDescent="0.25">
      <c r="A3098" t="str">
        <f>"20190312172722690"</f>
        <v>20190312172722690</v>
      </c>
      <c r="B3098" t="str">
        <f>"1552382842682066"</f>
        <v>1552382842682066</v>
      </c>
      <c r="C3098" t="s">
        <v>40</v>
      </c>
      <c r="D3098">
        <v>3.6053130000000002</v>
      </c>
      <c r="E3098">
        <v>0.56181539999999996</v>
      </c>
      <c r="F3098" t="s">
        <v>41</v>
      </c>
      <c r="G3098">
        <v>-191.6808</v>
      </c>
      <c r="H3098" s="1">
        <v>-1.526273E-6</v>
      </c>
      <c r="I3098">
        <v>182.1044</v>
      </c>
      <c r="J3098">
        <v>-188.17670000000001</v>
      </c>
      <c r="K3098">
        <v>1.102115</v>
      </c>
      <c r="L3098">
        <v>197.1275</v>
      </c>
      <c r="M3098">
        <v>0.19267110000000001</v>
      </c>
      <c r="N3098">
        <v>0</v>
      </c>
      <c r="O3098">
        <v>-0.98115209999999997</v>
      </c>
      <c r="P3098">
        <v>-7.2310440000000004E-2</v>
      </c>
      <c r="Q3098">
        <v>0.18553439999999999</v>
      </c>
      <c r="R3098">
        <v>-0.97997350000000005</v>
      </c>
      <c r="S3098">
        <v>-0.69229130000000005</v>
      </c>
      <c r="T3098">
        <v>-0.2203041</v>
      </c>
      <c r="U3098">
        <v>-3.0564580000000001</v>
      </c>
      <c r="V3098">
        <v>0.263687</v>
      </c>
      <c r="W3098">
        <v>0.19434190000000001</v>
      </c>
      <c r="X3098">
        <v>0.94482829999999995</v>
      </c>
      <c r="Y3098">
        <v>0.40418739999999997</v>
      </c>
      <c r="Z3098">
        <v>6.595761E-2</v>
      </c>
      <c r="AA3098">
        <v>0.91229499999999997</v>
      </c>
      <c r="AB3098">
        <v>26</v>
      </c>
      <c r="AC3098">
        <v>-3.50409999999999</v>
      </c>
      <c r="AD3098">
        <v>-1.1021165262729999</v>
      </c>
      <c r="AE3098">
        <v>-15.023099999999999</v>
      </c>
      <c r="AF3098">
        <v>6.3011017587535001</v>
      </c>
      <c r="AG3098">
        <v>-1.1021165262729999</v>
      </c>
      <c r="AH3098">
        <v>13.9949104767063</v>
      </c>
      <c r="AI3098">
        <v>94.107270172312994</v>
      </c>
      <c r="AJ3098">
        <v>65.760707140477507</v>
      </c>
      <c r="AK3098">
        <v>15.387529478856401</v>
      </c>
      <c r="AL3098">
        <v>78.793718913007595</v>
      </c>
      <c r="AM3098">
        <v>74.406402209453702</v>
      </c>
      <c r="AN3098">
        <v>1.0000000622727401</v>
      </c>
    </row>
    <row r="3099" spans="1:40" x14ac:dyDescent="0.25">
      <c r="A3099" t="str">
        <f>"20190312172722711"</f>
        <v>20190312172722711</v>
      </c>
      <c r="B3099" t="str">
        <f>"1552382842702564"</f>
        <v>1552382842702564</v>
      </c>
      <c r="C3099" t="s">
        <v>40</v>
      </c>
      <c r="D3099">
        <v>3.5952760000000001</v>
      </c>
      <c r="E3099">
        <v>0.55685319999999905</v>
      </c>
      <c r="F3099" t="s">
        <v>41</v>
      </c>
      <c r="G3099">
        <v>-191.7628</v>
      </c>
      <c r="H3099" s="1">
        <v>-1.454837E-6</v>
      </c>
      <c r="I3099">
        <v>181.887</v>
      </c>
      <c r="J3099">
        <v>-188.1405</v>
      </c>
      <c r="K3099">
        <v>1.1023559999999999</v>
      </c>
      <c r="L3099">
        <v>196.88050000000001</v>
      </c>
      <c r="M3099">
        <v>0.1821509</v>
      </c>
      <c r="N3099">
        <v>0</v>
      </c>
      <c r="O3099">
        <v>-0.98316040000000005</v>
      </c>
      <c r="P3099">
        <v>-8.1662209999999999E-2</v>
      </c>
      <c r="Q3099">
        <v>0.18546319999999999</v>
      </c>
      <c r="R3099">
        <v>-0.97925220000000002</v>
      </c>
      <c r="S3099">
        <v>-0.71769709999999998</v>
      </c>
      <c r="T3099">
        <v>-0.22057180000000001</v>
      </c>
      <c r="U3099">
        <v>-3.0501399999999999</v>
      </c>
      <c r="V3099">
        <v>0.2624707</v>
      </c>
      <c r="W3099">
        <v>0.19439339999999999</v>
      </c>
      <c r="X3099">
        <v>0.94515629999999995</v>
      </c>
      <c r="Y3099">
        <v>0.40200770000000002</v>
      </c>
      <c r="Z3099">
        <v>6.6359249999999995E-2</v>
      </c>
      <c r="AA3099">
        <v>0.9132285</v>
      </c>
      <c r="AB3099">
        <v>26</v>
      </c>
      <c r="AC3099">
        <v>-3.6222999999999899</v>
      </c>
      <c r="AD3099">
        <v>-1.1023574548370001</v>
      </c>
      <c r="AE3099">
        <v>-14.993499999999999</v>
      </c>
      <c r="AF3099">
        <v>6.2610851734829103</v>
      </c>
      <c r="AG3099">
        <v>-1.1023574548370001</v>
      </c>
      <c r="AH3099">
        <v>14.0111748836737</v>
      </c>
      <c r="AI3099">
        <v>94.108575146463494</v>
      </c>
      <c r="AJ3099">
        <v>65.921866847772804</v>
      </c>
      <c r="AK3099">
        <v>15.3860131654932</v>
      </c>
      <c r="AL3099">
        <v>78.790710637494996</v>
      </c>
      <c r="AM3099">
        <v>74.479981432312599</v>
      </c>
      <c r="AN3099">
        <v>1.0000000468758601</v>
      </c>
    </row>
    <row r="3100" spans="1:40" x14ac:dyDescent="0.25">
      <c r="A3100" t="str">
        <f>"20190312172722733"</f>
        <v>20190312172722733</v>
      </c>
      <c r="B3100" t="str">
        <f>"1552382842722081"</f>
        <v>1552382842722081</v>
      </c>
      <c r="C3100" t="s">
        <v>40</v>
      </c>
      <c r="D3100">
        <v>3.6085729999999998</v>
      </c>
      <c r="E3100">
        <v>0.55618859999999903</v>
      </c>
      <c r="F3100" t="s">
        <v>41</v>
      </c>
      <c r="G3100">
        <v>-191.5231</v>
      </c>
      <c r="H3100" s="1">
        <v>-1.5669969999999999E-6</v>
      </c>
      <c r="I3100">
        <v>182.2971</v>
      </c>
      <c r="J3100">
        <v>-188.10470000000001</v>
      </c>
      <c r="K3100">
        <v>1.1026</v>
      </c>
      <c r="L3100">
        <v>196.61840000000001</v>
      </c>
      <c r="M3100">
        <v>0.17127429999999999</v>
      </c>
      <c r="N3100">
        <v>0</v>
      </c>
      <c r="O3100">
        <v>-0.98511439999999995</v>
      </c>
      <c r="P3100">
        <v>-9.1771850000000002E-2</v>
      </c>
      <c r="Q3100">
        <v>0.18428130000000001</v>
      </c>
      <c r="R3100">
        <v>-0.97857989999999995</v>
      </c>
      <c r="S3100">
        <v>-0.70704650000000002</v>
      </c>
      <c r="T3100">
        <v>-0.23041529999999999</v>
      </c>
      <c r="U3100">
        <v>-3.0482179999999999</v>
      </c>
      <c r="V3100">
        <v>0.261683</v>
      </c>
      <c r="W3100">
        <v>0.19332869999999999</v>
      </c>
      <c r="X3100">
        <v>0.94559289999999996</v>
      </c>
      <c r="Y3100">
        <v>0.388901</v>
      </c>
      <c r="Z3100">
        <v>6.9804309999999994E-2</v>
      </c>
      <c r="AA3100">
        <v>0.91863130000000004</v>
      </c>
      <c r="AB3100">
        <v>26</v>
      </c>
      <c r="AC3100">
        <v>-3.4183999999999899</v>
      </c>
      <c r="AD3100">
        <v>-1.102601566997</v>
      </c>
      <c r="AE3100">
        <v>-14.321300000000001</v>
      </c>
      <c r="AF3100">
        <v>5.7885485481383201</v>
      </c>
      <c r="AG3100">
        <v>-1.102601566997</v>
      </c>
      <c r="AH3100">
        <v>13.448666814519401</v>
      </c>
      <c r="AI3100">
        <v>94.306617373910697</v>
      </c>
      <c r="AJ3100">
        <v>66.712084898468504</v>
      </c>
      <c r="AK3100">
        <v>14.682971892558101</v>
      </c>
      <c r="AL3100">
        <v>78.852892088195304</v>
      </c>
      <c r="AM3100">
        <v>74.531126056088198</v>
      </c>
      <c r="AN3100">
        <v>0.99999995563154898</v>
      </c>
    </row>
    <row r="3101" spans="1:40" x14ac:dyDescent="0.25">
      <c r="A3101" t="str">
        <f>"20190312172722757"</f>
        <v>20190312172722757</v>
      </c>
      <c r="B3101" t="str">
        <f>"1552382842752338"</f>
        <v>1552382842752338</v>
      </c>
      <c r="C3101" t="s">
        <v>40</v>
      </c>
      <c r="D3101">
        <v>3.6504699999999999</v>
      </c>
      <c r="E3101">
        <v>0.55170109999999895</v>
      </c>
      <c r="F3101" t="s">
        <v>41</v>
      </c>
      <c r="G3101">
        <v>-191.55680000000001</v>
      </c>
      <c r="H3101" s="1">
        <v>-1.5824779999999999E-6</v>
      </c>
      <c r="I3101">
        <v>182.31229999999999</v>
      </c>
      <c r="J3101">
        <v>-188.0711</v>
      </c>
      <c r="K3101">
        <v>1.1028420000000001</v>
      </c>
      <c r="L3101">
        <v>196.3536</v>
      </c>
      <c r="M3101">
        <v>0.16058729999999999</v>
      </c>
      <c r="N3101">
        <v>0</v>
      </c>
      <c r="O3101">
        <v>-0.98691359999999995</v>
      </c>
      <c r="P3101">
        <v>-0.1020923</v>
      </c>
      <c r="Q3101">
        <v>0.18357760000000001</v>
      </c>
      <c r="R3101">
        <v>-0.97768929999999998</v>
      </c>
      <c r="S3101">
        <v>-0.73381039999999997</v>
      </c>
      <c r="T3101">
        <v>-0.23437459999999999</v>
      </c>
      <c r="U3101">
        <v>-3.040985</v>
      </c>
      <c r="V3101">
        <v>0.26130179999999997</v>
      </c>
      <c r="W3101">
        <v>0.19273399999999999</v>
      </c>
      <c r="X3101">
        <v>0.94581970000000004</v>
      </c>
      <c r="Y3101">
        <v>0.38702979999999998</v>
      </c>
      <c r="Z3101">
        <v>7.132542E-2</v>
      </c>
      <c r="AA3101">
        <v>0.91930440000000002</v>
      </c>
      <c r="AB3101">
        <v>26</v>
      </c>
      <c r="AC3101">
        <v>-3.4857</v>
      </c>
      <c r="AD3101">
        <v>-1.1028435824779901</v>
      </c>
      <c r="AE3101">
        <v>-14.0413</v>
      </c>
      <c r="AF3101">
        <v>5.6626416482934196</v>
      </c>
      <c r="AG3101">
        <v>-1.1028435824779901</v>
      </c>
      <c r="AH3101">
        <v>13.2223754066392</v>
      </c>
      <c r="AI3101">
        <v>94.384407307572701</v>
      </c>
      <c r="AJ3101">
        <v>66.8163864645704</v>
      </c>
      <c r="AK3101">
        <v>14.4261216478476</v>
      </c>
      <c r="AL3101">
        <v>78.887619121354007</v>
      </c>
      <c r="AM3101">
        <v>74.556110327738693</v>
      </c>
      <c r="AN3101">
        <v>0.99999996517366396</v>
      </c>
    </row>
    <row r="3102" spans="1:40" x14ac:dyDescent="0.25">
      <c r="A3102" t="str">
        <f>"20190312172722778"</f>
        <v>20190312172722778</v>
      </c>
      <c r="B3102" t="str">
        <f>"1552382842771858"</f>
        <v>1552382842771858</v>
      </c>
      <c r="C3102" t="s">
        <v>40</v>
      </c>
      <c r="D3102">
        <v>3.6532740000000001</v>
      </c>
      <c r="E3102">
        <v>0.57037169999999904</v>
      </c>
      <c r="F3102" t="s">
        <v>41</v>
      </c>
      <c r="G3102">
        <v>-191.41640000000001</v>
      </c>
      <c r="H3102" s="1">
        <v>-1.5963930000000001E-6</v>
      </c>
      <c r="I3102">
        <v>182.43180000000001</v>
      </c>
      <c r="J3102">
        <v>-188.04249999999999</v>
      </c>
      <c r="K3102">
        <v>1.10307</v>
      </c>
      <c r="L3102">
        <v>196.11089999999999</v>
      </c>
      <c r="M3102">
        <v>0.1510987</v>
      </c>
      <c r="N3102">
        <v>0</v>
      </c>
      <c r="O3102">
        <v>-0.98841159999999995</v>
      </c>
      <c r="P3102">
        <v>-0.11259859999999999</v>
      </c>
      <c r="Q3102">
        <v>0.18395909999999999</v>
      </c>
      <c r="R3102">
        <v>-0.97646330000000003</v>
      </c>
      <c r="S3102">
        <v>-0.72988889999999995</v>
      </c>
      <c r="T3102">
        <v>-0.240618</v>
      </c>
      <c r="U3102">
        <v>-3.037445</v>
      </c>
      <c r="V3102">
        <v>0.26227279999999997</v>
      </c>
      <c r="W3102">
        <v>0.19318689999999999</v>
      </c>
      <c r="X3102">
        <v>0.94545849999999998</v>
      </c>
      <c r="Y3102">
        <v>0.37723709999999999</v>
      </c>
      <c r="Z3102">
        <v>7.364155E-2</v>
      </c>
      <c r="AA3102">
        <v>0.92318420000000001</v>
      </c>
      <c r="AB3102">
        <v>26</v>
      </c>
      <c r="AC3102">
        <v>-3.3739000000000199</v>
      </c>
      <c r="AD3102">
        <v>-1.103071596393</v>
      </c>
      <c r="AE3102">
        <v>-13.679099999999901</v>
      </c>
      <c r="AF3102">
        <v>5.3693550079990304</v>
      </c>
      <c r="AG3102">
        <v>-1.103071596393</v>
      </c>
      <c r="AH3102">
        <v>12.932890820446501</v>
      </c>
      <c r="AI3102">
        <v>94.504049237296996</v>
      </c>
      <c r="AJ3102">
        <v>67.453215816167798</v>
      </c>
      <c r="AK3102">
        <v>14.046579837180399</v>
      </c>
      <c r="AL3102">
        <v>78.861173097293005</v>
      </c>
      <c r="AM3102">
        <v>74.495838540633898</v>
      </c>
      <c r="AN3102">
        <v>0.99999998758684905</v>
      </c>
    </row>
    <row r="3103" spans="1:40" x14ac:dyDescent="0.25">
      <c r="A3103" t="str">
        <f>"20190312172722801"</f>
        <v>20190312172722801</v>
      </c>
      <c r="B3103" t="str">
        <f>"1552382842792364"</f>
        <v>1552382842792364</v>
      </c>
      <c r="C3103" t="s">
        <v>40</v>
      </c>
      <c r="D3103">
        <v>3.6286130000000001</v>
      </c>
      <c r="E3103">
        <v>0.5728683</v>
      </c>
      <c r="F3103" t="s">
        <v>41</v>
      </c>
      <c r="G3103">
        <v>-192.21539999999999</v>
      </c>
      <c r="H3103" s="1">
        <v>-1.7277289999999999E-6</v>
      </c>
      <c r="I3103">
        <v>182.2424</v>
      </c>
      <c r="J3103">
        <v>-188.0145</v>
      </c>
      <c r="K3103">
        <v>1.1033299999999999</v>
      </c>
      <c r="L3103">
        <v>195.85380000000001</v>
      </c>
      <c r="M3103">
        <v>0.14140069999999999</v>
      </c>
      <c r="N3103">
        <v>0</v>
      </c>
      <c r="O3103">
        <v>-0.98984660000000002</v>
      </c>
      <c r="P3103">
        <v>-0.1224536</v>
      </c>
      <c r="Q3103">
        <v>0.1853088</v>
      </c>
      <c r="R3103">
        <v>-0.97502089999999997</v>
      </c>
      <c r="S3103">
        <v>-0.90655520000000001</v>
      </c>
      <c r="T3103">
        <v>-0.23964240000000001</v>
      </c>
      <c r="U3103">
        <v>-3.0129239999999999</v>
      </c>
      <c r="V3103">
        <v>0.26241130000000001</v>
      </c>
      <c r="W3103">
        <v>0.1946389</v>
      </c>
      <c r="X3103">
        <v>0.94512220000000002</v>
      </c>
      <c r="Y3103">
        <v>0.41986050000000003</v>
      </c>
      <c r="Z3103">
        <v>7.2816740000000005E-2</v>
      </c>
      <c r="AA3103">
        <v>0.90466279999999999</v>
      </c>
      <c r="AB3103">
        <v>26</v>
      </c>
      <c r="AC3103">
        <v>-4.2008999999999901</v>
      </c>
      <c r="AD3103">
        <v>-1.103331727729</v>
      </c>
      <c r="AE3103">
        <v>-13.6114</v>
      </c>
      <c r="AF3103">
        <v>6.0472668460755497</v>
      </c>
      <c r="AG3103">
        <v>-1.103331727729</v>
      </c>
      <c r="AH3103">
        <v>12.8037255464402</v>
      </c>
      <c r="AI3103">
        <v>94.455430852929396</v>
      </c>
      <c r="AJ3103">
        <v>64.718387951973</v>
      </c>
      <c r="AK3103">
        <v>14.202892841869399</v>
      </c>
      <c r="AL3103">
        <v>78.776369886465204</v>
      </c>
      <c r="AM3103">
        <v>74.482791666117905</v>
      </c>
      <c r="AN3103">
        <v>0.99999998234686904</v>
      </c>
    </row>
    <row r="3104" spans="1:40" x14ac:dyDescent="0.25">
      <c r="A3104" t="str">
        <f>"20190312172722822"</f>
        <v>20190312172722822</v>
      </c>
      <c r="B3104" t="str">
        <f>"1552382842811877"</f>
        <v>1552382842811877</v>
      </c>
      <c r="C3104" t="s">
        <v>40</v>
      </c>
      <c r="D3104">
        <v>3.6737980000000001</v>
      </c>
      <c r="E3104">
        <v>0.57327059999999996</v>
      </c>
      <c r="F3104" t="s">
        <v>41</v>
      </c>
      <c r="G3104">
        <v>-192.4855</v>
      </c>
      <c r="H3104" s="1">
        <v>-1.6092289999999999E-6</v>
      </c>
      <c r="I3104">
        <v>181.7987</v>
      </c>
      <c r="J3104">
        <v>-187.989</v>
      </c>
      <c r="K3104">
        <v>1.103623</v>
      </c>
      <c r="L3104">
        <v>195.60220000000001</v>
      </c>
      <c r="M3104">
        <v>0.132288299999999</v>
      </c>
      <c r="N3104">
        <v>0</v>
      </c>
      <c r="O3104">
        <v>-0.99110670000000001</v>
      </c>
      <c r="P3104">
        <v>-0.1309438</v>
      </c>
      <c r="Q3104">
        <v>0.18536040000000001</v>
      </c>
      <c r="R3104">
        <v>-0.97390750000000004</v>
      </c>
      <c r="S3104">
        <v>-0.9548645</v>
      </c>
      <c r="T3104">
        <v>-0.2356346</v>
      </c>
      <c r="U3104">
        <v>-3.001709</v>
      </c>
      <c r="V3104">
        <v>0.26181090000000001</v>
      </c>
      <c r="W3104">
        <v>0.1948241</v>
      </c>
      <c r="X3104">
        <v>0.94525060000000005</v>
      </c>
      <c r="Y3104">
        <v>0.42574610000000002</v>
      </c>
      <c r="Z3104">
        <v>7.173496E-2</v>
      </c>
      <c r="AA3104">
        <v>0.90199459999999998</v>
      </c>
      <c r="AB3104">
        <v>26</v>
      </c>
      <c r="AC3104">
        <v>-4.4964999999999904</v>
      </c>
      <c r="AD3104">
        <v>-1.1036246092290001</v>
      </c>
      <c r="AE3104">
        <v>-13.8035</v>
      </c>
      <c r="AF3104">
        <v>6.2471011721710799</v>
      </c>
      <c r="AG3104">
        <v>-1.1036246092290001</v>
      </c>
      <c r="AH3104">
        <v>13.0120648693409</v>
      </c>
      <c r="AI3104">
        <v>94.372334588474601</v>
      </c>
      <c r="AJ3104">
        <v>64.354306086201404</v>
      </c>
      <c r="AK3104">
        <v>14.476121459057101</v>
      </c>
      <c r="AL3104">
        <v>78.765552231686897</v>
      </c>
      <c r="AM3104">
        <v>74.518592311469604</v>
      </c>
      <c r="AN3104">
        <v>1.00000003704998</v>
      </c>
    </row>
    <row r="3105" spans="1:40" x14ac:dyDescent="0.25">
      <c r="A3105" t="str">
        <f>"20190312172722845"</f>
        <v>20190312172722845</v>
      </c>
      <c r="B3105" t="str">
        <f>"1552382842842130"</f>
        <v>1552382842842130</v>
      </c>
      <c r="C3105" t="s">
        <v>40</v>
      </c>
      <c r="D3105">
        <v>3.621686</v>
      </c>
      <c r="E3105">
        <v>0.57214989999999999</v>
      </c>
      <c r="F3105" t="s">
        <v>41</v>
      </c>
      <c r="G3105">
        <v>-192.53630000000001</v>
      </c>
      <c r="H3105" s="1">
        <v>-1.6115149999999999E-6</v>
      </c>
      <c r="I3105">
        <v>181.77250000000001</v>
      </c>
      <c r="J3105">
        <v>-187.9649</v>
      </c>
      <c r="K3105">
        <v>1.1039570000000001</v>
      </c>
      <c r="L3105">
        <v>195.34379999999999</v>
      </c>
      <c r="M3105">
        <v>0.12334820000000001</v>
      </c>
      <c r="N3105">
        <v>0</v>
      </c>
      <c r="O3105">
        <v>-0.99225960000000002</v>
      </c>
      <c r="P3105">
        <v>-0.13852999999999999</v>
      </c>
      <c r="Q3105">
        <v>0.185248</v>
      </c>
      <c r="R3105">
        <v>-0.97287849999999998</v>
      </c>
      <c r="S3105">
        <v>-0.98428340000000003</v>
      </c>
      <c r="T3105">
        <v>-0.2388856</v>
      </c>
      <c r="U3105">
        <v>-2.9935149999999999</v>
      </c>
      <c r="V3105">
        <v>0.2604979</v>
      </c>
      <c r="W3105">
        <v>0.19487879999999999</v>
      </c>
      <c r="X3105">
        <v>0.9456019</v>
      </c>
      <c r="Y3105">
        <v>0.42630240000000003</v>
      </c>
      <c r="Z3105">
        <v>7.2925309999999993E-2</v>
      </c>
      <c r="AA3105">
        <v>0.9016364</v>
      </c>
      <c r="AB3105">
        <v>26</v>
      </c>
      <c r="AC3105">
        <v>-4.5714000000000103</v>
      </c>
      <c r="AD3105">
        <v>-1.103958611515</v>
      </c>
      <c r="AE3105">
        <v>-13.5712999999999</v>
      </c>
      <c r="AF3105">
        <v>6.1739607805181196</v>
      </c>
      <c r="AG3105">
        <v>-1.103958611515</v>
      </c>
      <c r="AH3105">
        <v>12.827478220522201</v>
      </c>
      <c r="AI3105">
        <v>94.434258206124994</v>
      </c>
      <c r="AJ3105">
        <v>64.298141673876302</v>
      </c>
      <c r="AK3105">
        <v>14.2786803953757</v>
      </c>
      <c r="AL3105">
        <v>78.7623556650083</v>
      </c>
      <c r="AM3105">
        <v>74.5979870538726</v>
      </c>
      <c r="AN3105">
        <v>0.99999992793872705</v>
      </c>
    </row>
    <row r="3106" spans="1:40" x14ac:dyDescent="0.25">
      <c r="A3106" t="str">
        <f>"20190312172722868"</f>
        <v>20190312172722868</v>
      </c>
      <c r="B3106" t="str">
        <f>"1552382842861650"</f>
        <v>1552382842861650</v>
      </c>
      <c r="C3106" t="s">
        <v>40</v>
      </c>
      <c r="D3106">
        <v>3.6218140000000001</v>
      </c>
      <c r="E3106">
        <v>0.57115360000000004</v>
      </c>
      <c r="F3106" t="s">
        <v>41</v>
      </c>
      <c r="G3106">
        <v>-192.5856</v>
      </c>
      <c r="H3106" s="1">
        <v>-1.5225569999999999E-6</v>
      </c>
      <c r="I3106">
        <v>181.53450000000001</v>
      </c>
      <c r="J3106">
        <v>-187.9417</v>
      </c>
      <c r="K3106">
        <v>1.104331</v>
      </c>
      <c r="L3106">
        <v>195.07499999999999</v>
      </c>
      <c r="M3106">
        <v>0.1145326</v>
      </c>
      <c r="N3106">
        <v>0</v>
      </c>
      <c r="O3106">
        <v>-0.99331700000000001</v>
      </c>
      <c r="P3106">
        <v>-0.147017799999999</v>
      </c>
      <c r="Q3106">
        <v>0.18596789999999999</v>
      </c>
      <c r="R3106">
        <v>-0.97149470000000004</v>
      </c>
      <c r="S3106">
        <v>-0.99942019999999998</v>
      </c>
      <c r="T3106">
        <v>-0.23877480000000001</v>
      </c>
      <c r="U3106">
        <v>-2.9868009999999998</v>
      </c>
      <c r="V3106">
        <v>0.26017459999999998</v>
      </c>
      <c r="W3106">
        <v>0.195766</v>
      </c>
      <c r="X3106">
        <v>0.94550769999999995</v>
      </c>
      <c r="Y3106">
        <v>0.42298390000000002</v>
      </c>
      <c r="Z3106">
        <v>7.3174320000000001E-2</v>
      </c>
      <c r="AA3106">
        <v>0.90317780000000003</v>
      </c>
      <c r="AB3106">
        <v>25</v>
      </c>
      <c r="AC3106">
        <v>-4.6439000000000004</v>
      </c>
      <c r="AD3106">
        <v>-1.104332522557</v>
      </c>
      <c r="AE3106">
        <v>-13.5404999999999</v>
      </c>
      <c r="AF3106">
        <v>6.1278505265770598</v>
      </c>
      <c r="AG3106">
        <v>-1.104332522557</v>
      </c>
      <c r="AH3106">
        <v>12.843009697655299</v>
      </c>
      <c r="AI3106">
        <v>94.437592323358899</v>
      </c>
      <c r="AJ3106">
        <v>64.492553093919994</v>
      </c>
      <c r="AK3106">
        <v>14.272806328487601</v>
      </c>
      <c r="AL3106">
        <v>78.7105251242306</v>
      </c>
      <c r="AM3106">
        <v>74.614736145634893</v>
      </c>
      <c r="AN3106">
        <v>0.99999998000022405</v>
      </c>
    </row>
    <row r="3107" spans="1:40" x14ac:dyDescent="0.25">
      <c r="A3107" t="str">
        <f>"20190312172722891"</f>
        <v>20190312172722891</v>
      </c>
      <c r="B3107" t="str">
        <f>"1552382842882146"</f>
        <v>1552382842882146</v>
      </c>
      <c r="C3107" t="s">
        <v>40</v>
      </c>
      <c r="D3107">
        <v>3.6269399999999998</v>
      </c>
      <c r="E3107">
        <v>0.56994800000000001</v>
      </c>
      <c r="F3107" t="s">
        <v>41</v>
      </c>
      <c r="G3107">
        <v>-192.64429999999999</v>
      </c>
      <c r="H3107" s="1">
        <v>-1.429313E-6</v>
      </c>
      <c r="I3107">
        <v>181.2808</v>
      </c>
      <c r="J3107">
        <v>-187.9203</v>
      </c>
      <c r="K3107">
        <v>1.1047279999999999</v>
      </c>
      <c r="L3107">
        <v>194.80520000000001</v>
      </c>
      <c r="M3107">
        <v>0.1062853</v>
      </c>
      <c r="N3107">
        <v>0</v>
      </c>
      <c r="O3107">
        <v>-0.99423430000000002</v>
      </c>
      <c r="P3107">
        <v>-0.15546209999999999</v>
      </c>
      <c r="Q3107">
        <v>0.1868435</v>
      </c>
      <c r="R3107">
        <v>-0.97001130000000002</v>
      </c>
      <c r="S3107">
        <v>-1.0159</v>
      </c>
      <c r="T3107">
        <v>-0.2385688</v>
      </c>
      <c r="U3107">
        <v>-2.9799500000000001</v>
      </c>
      <c r="V3107">
        <v>0.26036009999999998</v>
      </c>
      <c r="W3107">
        <v>0.19681100000000001</v>
      </c>
      <c r="X3107">
        <v>0.94523970000000002</v>
      </c>
      <c r="Y3107">
        <v>0.42057030000000001</v>
      </c>
      <c r="Z3107">
        <v>7.3358439999999997E-2</v>
      </c>
      <c r="AA3107">
        <v>0.90428929999999996</v>
      </c>
      <c r="AB3107">
        <v>25</v>
      </c>
      <c r="AC3107">
        <v>-4.7239999999999798</v>
      </c>
      <c r="AD3107">
        <v>-1.1047294293129899</v>
      </c>
      <c r="AE3107">
        <v>-13.5244</v>
      </c>
      <c r="AF3107">
        <v>6.0985594743581704</v>
      </c>
      <c r="AG3107">
        <v>-1.1047294293129899</v>
      </c>
      <c r="AH3107">
        <v>12.8691060633959</v>
      </c>
      <c r="AI3107">
        <v>94.435769061725793</v>
      </c>
      <c r="AJ3107">
        <v>64.644126367845502</v>
      </c>
      <c r="AK3107">
        <v>14.2837931112575</v>
      </c>
      <c r="AL3107">
        <v>78.649463612517096</v>
      </c>
      <c r="AM3107">
        <v>74.600129089485407</v>
      </c>
      <c r="AN3107">
        <v>1.0000000209245401</v>
      </c>
    </row>
    <row r="3108" spans="1:40" x14ac:dyDescent="0.25">
      <c r="A3108" t="str">
        <f>"20190312172722912"</f>
        <v>20190312172722912</v>
      </c>
      <c r="B3108" t="str">
        <f>"1552382842901666"</f>
        <v>1552382842901666</v>
      </c>
      <c r="C3108" t="s">
        <v>40</v>
      </c>
      <c r="D3108">
        <v>3.6281140000000001</v>
      </c>
      <c r="E3108">
        <v>0.56938900000000003</v>
      </c>
      <c r="F3108" t="s">
        <v>41</v>
      </c>
      <c r="G3108">
        <v>-192.65889999999999</v>
      </c>
      <c r="H3108" s="1">
        <v>-1.3519440000000001E-6</v>
      </c>
      <c r="I3108">
        <v>181.09139999999999</v>
      </c>
      <c r="J3108">
        <v>-187.90289999999999</v>
      </c>
      <c r="K3108">
        <v>1.1050500000000001</v>
      </c>
      <c r="L3108">
        <v>194.5676</v>
      </c>
      <c r="M3108">
        <v>9.9390720000000002E-2</v>
      </c>
      <c r="N3108">
        <v>0</v>
      </c>
      <c r="O3108">
        <v>-0.9949479</v>
      </c>
      <c r="P3108">
        <v>-0.160254799999999</v>
      </c>
      <c r="Q3108">
        <v>0.18575220000000001</v>
      </c>
      <c r="R3108">
        <v>-0.96944039999999998</v>
      </c>
      <c r="S3108">
        <v>-1.0276639999999999</v>
      </c>
      <c r="T3108">
        <v>-0.23958850000000001</v>
      </c>
      <c r="U3108">
        <v>-2.9741819999999999</v>
      </c>
      <c r="V3108">
        <v>0.25832939999999999</v>
      </c>
      <c r="W3108">
        <v>0.19589599999999999</v>
      </c>
      <c r="X3108">
        <v>0.94598660000000001</v>
      </c>
      <c r="Y3108">
        <v>0.41800579999999998</v>
      </c>
      <c r="Z3108">
        <v>7.388902E-2</v>
      </c>
      <c r="AA3108">
        <v>0.90543450000000003</v>
      </c>
      <c r="AB3108">
        <v>25</v>
      </c>
      <c r="AC3108">
        <v>-4.7560000000000002</v>
      </c>
      <c r="AD3108">
        <v>-1.1050513519439999</v>
      </c>
      <c r="AE3108">
        <v>-13.4762</v>
      </c>
      <c r="AF3108">
        <v>6.0358986735260496</v>
      </c>
      <c r="AG3108">
        <v>-1.1050513519439999</v>
      </c>
      <c r="AH3108">
        <v>12.859816639547899</v>
      </c>
      <c r="AI3108">
        <v>94.447985257098097</v>
      </c>
      <c r="AJ3108">
        <v>64.856462258748905</v>
      </c>
      <c r="AK3108">
        <v>14.248792766066099</v>
      </c>
      <c r="AL3108">
        <v>78.702929657793206</v>
      </c>
      <c r="AM3108">
        <v>74.726107323314693</v>
      </c>
      <c r="AN3108">
        <v>0.99999998454995898</v>
      </c>
    </row>
    <row r="3109" spans="1:40" x14ac:dyDescent="0.25">
      <c r="A3109" t="str">
        <f>"20190312172722934"</f>
        <v>20190312172722934</v>
      </c>
      <c r="B3109" t="str">
        <f>"1552382842931922"</f>
        <v>1552382842931922</v>
      </c>
      <c r="C3109" t="s">
        <v>40</v>
      </c>
      <c r="D3109">
        <v>3.6512519999999999</v>
      </c>
      <c r="E3109">
        <v>0.55778260000000002</v>
      </c>
      <c r="F3109" t="s">
        <v>41</v>
      </c>
      <c r="G3109">
        <v>-192.608</v>
      </c>
      <c r="H3109" s="1">
        <v>-1.3418739999999999E-6</v>
      </c>
      <c r="I3109">
        <v>181.09950000000001</v>
      </c>
      <c r="J3109">
        <v>-187.8853</v>
      </c>
      <c r="K3109">
        <v>1.105369</v>
      </c>
      <c r="L3109">
        <v>194.30760000000001</v>
      </c>
      <c r="M3109">
        <v>9.2298839999999993E-2</v>
      </c>
      <c r="N3109">
        <v>0</v>
      </c>
      <c r="O3109">
        <v>-0.99563179999999996</v>
      </c>
      <c r="P3109">
        <v>-0.16352900000000001</v>
      </c>
      <c r="Q3109">
        <v>0.18338450000000001</v>
      </c>
      <c r="R3109">
        <v>-0.9693446</v>
      </c>
      <c r="S3109">
        <v>-1.0374760000000001</v>
      </c>
      <c r="T3109">
        <v>-0.24366860000000001</v>
      </c>
      <c r="U3109">
        <v>-2.969757</v>
      </c>
      <c r="V3109">
        <v>0.25463239999999998</v>
      </c>
      <c r="W3109">
        <v>0.19373290000000001</v>
      </c>
      <c r="X3109">
        <v>0.94743339999999998</v>
      </c>
      <c r="Y3109">
        <v>0.41458289999999998</v>
      </c>
      <c r="Z3109">
        <v>7.5349449999999998E-2</v>
      </c>
      <c r="AA3109">
        <v>0.90688670000000005</v>
      </c>
      <c r="AB3109">
        <v>25</v>
      </c>
      <c r="AC3109">
        <v>-4.7226999999999997</v>
      </c>
      <c r="AD3109">
        <v>-1.105370341874</v>
      </c>
      <c r="AE3109">
        <v>-13.2081</v>
      </c>
      <c r="AF3109">
        <v>5.8852031690093796</v>
      </c>
      <c r="AG3109">
        <v>-1.105370341874</v>
      </c>
      <c r="AH3109">
        <v>12.6372889848134</v>
      </c>
      <c r="AI3109">
        <v>94.533622320605105</v>
      </c>
      <c r="AJ3109">
        <v>65.028538600133203</v>
      </c>
      <c r="AK3109">
        <v>13.9842244267924</v>
      </c>
      <c r="AL3109">
        <v>78.829288168685295</v>
      </c>
      <c r="AM3109">
        <v>74.956653645445797</v>
      </c>
      <c r="AN3109">
        <v>1.0000000715538599</v>
      </c>
    </row>
    <row r="3110" spans="1:40" x14ac:dyDescent="0.25">
      <c r="A3110" t="str">
        <f>"20190312172722957"</f>
        <v>20190312172722957</v>
      </c>
      <c r="B3110" t="str">
        <f>"1552382842952418"</f>
        <v>1552382842952418</v>
      </c>
      <c r="C3110" t="s">
        <v>40</v>
      </c>
      <c r="D3110">
        <v>3.6384829999999999</v>
      </c>
      <c r="E3110">
        <v>0.55706889999999998</v>
      </c>
      <c r="F3110" t="s">
        <v>41</v>
      </c>
      <c r="G3110">
        <v>-192.03139999999999</v>
      </c>
      <c r="H3110" s="1">
        <v>-1.316869E-6</v>
      </c>
      <c r="I3110">
        <v>181.39879999999999</v>
      </c>
      <c r="J3110">
        <v>-187.86920000000001</v>
      </c>
      <c r="K3110">
        <v>1.1056820000000001</v>
      </c>
      <c r="L3110">
        <v>194.0506</v>
      </c>
      <c r="M3110">
        <v>8.5775450000000003E-2</v>
      </c>
      <c r="N3110">
        <v>0</v>
      </c>
      <c r="O3110">
        <v>-0.99621590000000004</v>
      </c>
      <c r="P3110">
        <v>-0.1678134</v>
      </c>
      <c r="Q3110">
        <v>0.18247830000000001</v>
      </c>
      <c r="R3110">
        <v>-0.96878299999999995</v>
      </c>
      <c r="S3110">
        <v>-0.95765690000000003</v>
      </c>
      <c r="T3110">
        <v>-0.25531490000000001</v>
      </c>
      <c r="U3110">
        <v>-2.9816280000000002</v>
      </c>
      <c r="V3110">
        <v>0.25246190000000002</v>
      </c>
      <c r="W3110">
        <v>0.1929997</v>
      </c>
      <c r="X3110">
        <v>0.9481636</v>
      </c>
      <c r="Y3110">
        <v>0.38536340000000002</v>
      </c>
      <c r="Z3110">
        <v>7.955972E-2</v>
      </c>
      <c r="AA3110">
        <v>0.9193287</v>
      </c>
      <c r="AB3110">
        <v>25</v>
      </c>
      <c r="AC3110">
        <v>-4.1621999999999799</v>
      </c>
      <c r="AD3110">
        <v>-1.1056833168689999</v>
      </c>
      <c r="AE3110">
        <v>-12.6518</v>
      </c>
      <c r="AF3110">
        <v>5.1963657247761201</v>
      </c>
      <c r="AG3110">
        <v>-1.1056833168689999</v>
      </c>
      <c r="AH3110">
        <v>12.1642800847759</v>
      </c>
      <c r="AI3110">
        <v>94.778160943940605</v>
      </c>
      <c r="AJ3110">
        <v>66.868681825415905</v>
      </c>
      <c r="AK3110">
        <v>13.2738262126527</v>
      </c>
      <c r="AL3110">
        <v>78.872105339514107</v>
      </c>
      <c r="AM3110">
        <v>75.090120597116396</v>
      </c>
      <c r="AN3110">
        <v>1.00000005375832</v>
      </c>
    </row>
    <row r="3111" spans="1:40" x14ac:dyDescent="0.25">
      <c r="A3111" t="str">
        <f>"20190312172722978"</f>
        <v>20190312172722978</v>
      </c>
      <c r="B3111" t="str">
        <f>"1552382842971938"</f>
        <v>1552382842971938</v>
      </c>
      <c r="C3111" t="s">
        <v>40</v>
      </c>
      <c r="D3111">
        <v>3.6606550000000002</v>
      </c>
      <c r="E3111">
        <v>0.55646819999999997</v>
      </c>
      <c r="F3111" t="s">
        <v>41</v>
      </c>
      <c r="G3111">
        <v>-191.97309999999999</v>
      </c>
      <c r="H3111" s="1">
        <v>-1.291497E-6</v>
      </c>
      <c r="I3111">
        <v>181.3758</v>
      </c>
      <c r="J3111">
        <v>-187.85499999999999</v>
      </c>
      <c r="K3111">
        <v>1.1060000000000001</v>
      </c>
      <c r="L3111">
        <v>193.80619999999999</v>
      </c>
      <c r="M3111">
        <v>8.0041860000000006E-2</v>
      </c>
      <c r="N3111">
        <v>0</v>
      </c>
      <c r="O3111">
        <v>-0.99669379999999996</v>
      </c>
      <c r="P3111">
        <v>-0.17206859999999999</v>
      </c>
      <c r="Q3111">
        <v>0.1820377</v>
      </c>
      <c r="R3111">
        <v>-0.96811950000000002</v>
      </c>
      <c r="S3111">
        <v>-0.96443179999999995</v>
      </c>
      <c r="T3111">
        <v>-0.2598377</v>
      </c>
      <c r="U3111">
        <v>-2.9785919999999999</v>
      </c>
      <c r="V3111">
        <v>0.25101610000000002</v>
      </c>
      <c r="W3111">
        <v>0.19272320000000001</v>
      </c>
      <c r="X3111">
        <v>0.94860359999999999</v>
      </c>
      <c r="Y3111">
        <v>0.38218259999999998</v>
      </c>
      <c r="Z3111">
        <v>8.1126729999999994E-2</v>
      </c>
      <c r="AA3111">
        <v>0.92051879999999997</v>
      </c>
      <c r="AB3111">
        <v>25</v>
      </c>
      <c r="AC3111">
        <v>-4.1180999999999903</v>
      </c>
      <c r="AD3111">
        <v>-1.1060012914970001</v>
      </c>
      <c r="AE3111">
        <v>-12.430399999999899</v>
      </c>
      <c r="AF3111">
        <v>5.0638101205729003</v>
      </c>
      <c r="AG3111">
        <v>-1.1060012914970001</v>
      </c>
      <c r="AH3111">
        <v>11.9754278808108</v>
      </c>
      <c r="AI3111">
        <v>94.862084955359805</v>
      </c>
      <c r="AJ3111">
        <v>67.078926489793005</v>
      </c>
      <c r="AK3111">
        <v>13.048995544581601</v>
      </c>
      <c r="AL3111">
        <v>78.888250716799106</v>
      </c>
      <c r="AM3111">
        <v>75.1783096656266</v>
      </c>
      <c r="AN3111">
        <v>1.0000000521051999</v>
      </c>
    </row>
    <row r="3112" spans="1:40" x14ac:dyDescent="0.25">
      <c r="A3112" t="str">
        <f>"20190312172723002"</f>
        <v>20190312172723002</v>
      </c>
      <c r="B3112" t="str">
        <f>"1552382842992433"</f>
        <v>1552382842992433</v>
      </c>
      <c r="C3112" t="s">
        <v>40</v>
      </c>
      <c r="D3112">
        <v>3.689022</v>
      </c>
      <c r="E3112">
        <v>0.55572860000000002</v>
      </c>
      <c r="F3112" t="s">
        <v>41</v>
      </c>
      <c r="G3112">
        <v>-191.8853</v>
      </c>
      <c r="H3112" s="1">
        <v>-1.2825509999999999E-6</v>
      </c>
      <c r="I3112">
        <v>181.40940000000001</v>
      </c>
      <c r="J3112">
        <v>-187.8408</v>
      </c>
      <c r="K3112">
        <v>1.10639</v>
      </c>
      <c r="L3112">
        <v>193.54599999999999</v>
      </c>
      <c r="M3112">
        <v>7.4453119999999998E-2</v>
      </c>
      <c r="N3112">
        <v>0</v>
      </c>
      <c r="O3112">
        <v>-0.99712769999999995</v>
      </c>
      <c r="P3112">
        <v>-0.17462800000000001</v>
      </c>
      <c r="Q3112">
        <v>0.18092569999999999</v>
      </c>
      <c r="R3112">
        <v>-0.96786939999999999</v>
      </c>
      <c r="S3112">
        <v>-0.96777340000000001</v>
      </c>
      <c r="T3112">
        <v>-0.26557370000000002</v>
      </c>
      <c r="U3112">
        <v>-2.9767299999999999</v>
      </c>
      <c r="V3112">
        <v>0.2480213</v>
      </c>
      <c r="W3112">
        <v>0.19182759999999999</v>
      </c>
      <c r="X3112">
        <v>0.94957230000000004</v>
      </c>
      <c r="Y3112">
        <v>0.37805559999999999</v>
      </c>
      <c r="Z3112">
        <v>8.3069470000000006E-2</v>
      </c>
      <c r="AA3112">
        <v>0.92204850000000005</v>
      </c>
      <c r="AB3112">
        <v>25</v>
      </c>
      <c r="AC3112">
        <v>-4.0444999999999904</v>
      </c>
      <c r="AD3112">
        <v>-1.1063912825510001</v>
      </c>
      <c r="AE3112">
        <v>-12.1365999999999</v>
      </c>
      <c r="AF3112">
        <v>4.9003141524295399</v>
      </c>
      <c r="AG3112">
        <v>-1.1063912825510001</v>
      </c>
      <c r="AH3112">
        <v>11.7141348065069</v>
      </c>
      <c r="AI3112">
        <v>94.979750132872894</v>
      </c>
      <c r="AJ3112">
        <v>67.299228161921206</v>
      </c>
      <c r="AK3112">
        <v>12.745906587121301</v>
      </c>
      <c r="AL3112">
        <v>78.940539606509503</v>
      </c>
      <c r="AM3112">
        <v>75.361795777332205</v>
      </c>
      <c r="AN3112">
        <v>0.99999997315136901</v>
      </c>
    </row>
    <row r="3113" spans="1:40" x14ac:dyDescent="0.25">
      <c r="A3113" t="str">
        <f>"20190312172723023"</f>
        <v>20190312172723023</v>
      </c>
      <c r="B3113" t="str">
        <f>"1552382843011954"</f>
        <v>1552382843011954</v>
      </c>
      <c r="C3113" t="s">
        <v>40</v>
      </c>
      <c r="D3113">
        <v>3.6736279999999999</v>
      </c>
      <c r="E3113">
        <v>0.55192299999999905</v>
      </c>
      <c r="F3113" t="s">
        <v>41</v>
      </c>
      <c r="G3113">
        <v>-191.82499999999999</v>
      </c>
      <c r="H3113" s="1">
        <v>-1.229476E-6</v>
      </c>
      <c r="I3113">
        <v>181.32310000000001</v>
      </c>
      <c r="J3113">
        <v>-187.8278</v>
      </c>
      <c r="K3113">
        <v>1.10680499999999</v>
      </c>
      <c r="L3113">
        <v>193.29339999999999</v>
      </c>
      <c r="M3113">
        <v>6.9559629999999997E-2</v>
      </c>
      <c r="N3113">
        <v>0</v>
      </c>
      <c r="O3113">
        <v>-0.99748190000000003</v>
      </c>
      <c r="P3113">
        <v>-0.17483609999999999</v>
      </c>
      <c r="Q3113">
        <v>0.18007670000000001</v>
      </c>
      <c r="R3113">
        <v>-0.96799049999999998</v>
      </c>
      <c r="S3113">
        <v>-0.96972659999999999</v>
      </c>
      <c r="T3113">
        <v>-0.269285099999999</v>
      </c>
      <c r="U3113">
        <v>-2.974945</v>
      </c>
      <c r="V3113">
        <v>0.2433659</v>
      </c>
      <c r="W3113">
        <v>0.1912239</v>
      </c>
      <c r="X3113">
        <v>0.95089780000000002</v>
      </c>
      <c r="Y3113">
        <v>0.37418879999999999</v>
      </c>
      <c r="Z3113">
        <v>8.4376699999999999E-2</v>
      </c>
      <c r="AA3113">
        <v>0.92350600000000005</v>
      </c>
      <c r="AB3113">
        <v>25</v>
      </c>
      <c r="AC3113">
        <v>-3.9971999999999901</v>
      </c>
      <c r="AD3113">
        <v>-1.1068062294759899</v>
      </c>
      <c r="AE3113">
        <v>-11.9702999999999</v>
      </c>
      <c r="AF3113">
        <v>4.7834526430507198</v>
      </c>
      <c r="AG3113">
        <v>-1.1068062294759899</v>
      </c>
      <c r="AH3113">
        <v>11.574204547895</v>
      </c>
      <c r="AI3113">
        <v>95.050494634461401</v>
      </c>
      <c r="AJ3113">
        <v>67.545394472463201</v>
      </c>
      <c r="AK3113">
        <v>12.5725355491416</v>
      </c>
      <c r="AL3113">
        <v>78.975782715456404</v>
      </c>
      <c r="AM3113">
        <v>75.644279040739093</v>
      </c>
      <c r="AN3113">
        <v>1.0000000836294201</v>
      </c>
    </row>
    <row r="3114" spans="1:40" x14ac:dyDescent="0.25">
      <c r="A3114" t="str">
        <f>"20190312172723046"</f>
        <v>20190312172723046</v>
      </c>
      <c r="B3114" t="str">
        <f>"1552382843042210"</f>
        <v>1552382843042210</v>
      </c>
      <c r="C3114" t="s">
        <v>40</v>
      </c>
      <c r="D3114">
        <v>3.6878739999999999</v>
      </c>
      <c r="E3114">
        <v>0.55159399999999903</v>
      </c>
      <c r="F3114" t="s">
        <v>41</v>
      </c>
      <c r="G3114">
        <v>-191.67920000000001</v>
      </c>
      <c r="H3114" s="1">
        <v>-1.112249E-6</v>
      </c>
      <c r="I3114">
        <v>181.1403</v>
      </c>
      <c r="J3114">
        <v>-187.81549999999999</v>
      </c>
      <c r="K3114">
        <v>1.107237</v>
      </c>
      <c r="L3114">
        <v>193.04130000000001</v>
      </c>
      <c r="M3114">
        <v>6.5224509999999999E-2</v>
      </c>
      <c r="N3114">
        <v>0</v>
      </c>
      <c r="O3114">
        <v>-0.99777550000000004</v>
      </c>
      <c r="P3114">
        <v>-0.17600869999999999</v>
      </c>
      <c r="Q3114">
        <v>0.18167069999999999</v>
      </c>
      <c r="R3114">
        <v>-0.96747989999999995</v>
      </c>
      <c r="S3114">
        <v>-0.94410709999999998</v>
      </c>
      <c r="T3114">
        <v>-0.27131620000000001</v>
      </c>
      <c r="U3114">
        <v>-2.9791409999999998</v>
      </c>
      <c r="V3114">
        <v>0.2401732</v>
      </c>
      <c r="W3114">
        <v>0.1930423</v>
      </c>
      <c r="X3114">
        <v>0.95134189999999996</v>
      </c>
      <c r="Y3114">
        <v>0.36252820000000002</v>
      </c>
      <c r="Z3114">
        <v>8.5247130000000004E-2</v>
      </c>
      <c r="AA3114">
        <v>0.92806580000000005</v>
      </c>
      <c r="AB3114">
        <v>25</v>
      </c>
      <c r="AC3114">
        <v>-3.8637000000000201</v>
      </c>
      <c r="AD3114">
        <v>-1.107238112249</v>
      </c>
      <c r="AE3114">
        <v>-11.901</v>
      </c>
      <c r="AF3114">
        <v>4.5957938222852803</v>
      </c>
      <c r="AG3114">
        <v>-1.107238112249</v>
      </c>
      <c r="AH3114">
        <v>11.533308632399001</v>
      </c>
      <c r="AI3114">
        <v>95.096365683527694</v>
      </c>
      <c r="AJ3114">
        <v>68.273702789939094</v>
      </c>
      <c r="AK3114">
        <v>12.4645298789943</v>
      </c>
      <c r="AL3114">
        <v>78.8696166253646</v>
      </c>
      <c r="AM3114">
        <v>75.831322779206602</v>
      </c>
      <c r="AN3114">
        <v>0.99999995314156798</v>
      </c>
    </row>
    <row r="3115" spans="1:40" x14ac:dyDescent="0.25">
      <c r="A3115" t="str">
        <f>"20190312172723070"</f>
        <v>20190312172723070</v>
      </c>
      <c r="B3115" t="str">
        <f>"1552382843061731"</f>
        <v>1552382843061731</v>
      </c>
      <c r="C3115" t="s">
        <v>40</v>
      </c>
      <c r="D3115">
        <v>3.655259</v>
      </c>
      <c r="E3115">
        <v>0.55131019999999997</v>
      </c>
      <c r="F3115" t="s">
        <v>41</v>
      </c>
      <c r="G3115">
        <v>-191.749</v>
      </c>
      <c r="H3115" s="1">
        <v>-9.317002E-7</v>
      </c>
      <c r="I3115">
        <v>180.67609999999999</v>
      </c>
      <c r="J3115">
        <v>-187.803</v>
      </c>
      <c r="K3115">
        <v>1.1076950000000001</v>
      </c>
      <c r="L3115">
        <v>192.77529999999999</v>
      </c>
      <c r="M3115">
        <v>6.1278840000000001E-2</v>
      </c>
      <c r="N3115">
        <v>0</v>
      </c>
      <c r="O3115">
        <v>-0.99802630000000003</v>
      </c>
      <c r="P3115">
        <v>-0.1787079</v>
      </c>
      <c r="Q3115">
        <v>0.18529470000000001</v>
      </c>
      <c r="R3115">
        <v>-0.96629690000000001</v>
      </c>
      <c r="S3115">
        <v>-0.94750979999999996</v>
      </c>
      <c r="T3115">
        <v>-0.26671220000000001</v>
      </c>
      <c r="U3115">
        <v>-2.9785309999999998</v>
      </c>
      <c r="V3115">
        <v>0.23883699999999999</v>
      </c>
      <c r="W3115">
        <v>0.19687270000000001</v>
      </c>
      <c r="X3115">
        <v>0.95089330000000005</v>
      </c>
      <c r="Y3115">
        <v>0.35989739999999998</v>
      </c>
      <c r="Z3115">
        <v>8.3891099999999996E-2</v>
      </c>
      <c r="AA3115">
        <v>0.92921260000000006</v>
      </c>
      <c r="AB3115">
        <v>25</v>
      </c>
      <c r="AC3115">
        <v>-3.9460000000000202</v>
      </c>
      <c r="AD3115">
        <v>-1.1076959317002</v>
      </c>
      <c r="AE3115">
        <v>-12.0991999999999</v>
      </c>
      <c r="AF3115">
        <v>4.6448888204920298</v>
      </c>
      <c r="AG3115">
        <v>-1.1076959317002</v>
      </c>
      <c r="AH3115">
        <v>11.7456456286837</v>
      </c>
      <c r="AI3115">
        <v>95.011933008604601</v>
      </c>
      <c r="AJ3115">
        <v>68.423371248322695</v>
      </c>
      <c r="AK3115">
        <v>12.679202406557501</v>
      </c>
      <c r="AL3115">
        <v>78.645857911087504</v>
      </c>
      <c r="AM3115">
        <v>75.900617119433207</v>
      </c>
      <c r="AN3115">
        <v>1.00000002027958</v>
      </c>
    </row>
    <row r="3116" spans="1:40" x14ac:dyDescent="0.25">
      <c r="A3116" t="str">
        <f>"20190312172723092"</f>
        <v>20190312172723092</v>
      </c>
      <c r="B3116" t="str">
        <f>"1552382843082226"</f>
        <v>1552382843082226</v>
      </c>
      <c r="C3116" t="s">
        <v>40</v>
      </c>
      <c r="D3116">
        <v>3.608676</v>
      </c>
      <c r="E3116">
        <v>0.55099069999999895</v>
      </c>
      <c r="F3116" t="s">
        <v>41</v>
      </c>
      <c r="G3116">
        <v>-191.88319999999999</v>
      </c>
      <c r="H3116" s="1">
        <v>-6.7499330000000004E-7</v>
      </c>
      <c r="I3116">
        <v>179.99449999999999</v>
      </c>
      <c r="J3116">
        <v>-187.791</v>
      </c>
      <c r="K3116">
        <v>1.10812</v>
      </c>
      <c r="L3116">
        <v>192.51230000000001</v>
      </c>
      <c r="M3116">
        <v>5.800661E-2</v>
      </c>
      <c r="N3116">
        <v>0</v>
      </c>
      <c r="O3116">
        <v>-0.99822259999999996</v>
      </c>
      <c r="P3116">
        <v>-0.17989330000000001</v>
      </c>
      <c r="Q3116">
        <v>0.18693129999999999</v>
      </c>
      <c r="R3116">
        <v>-0.9657618</v>
      </c>
      <c r="S3116">
        <v>-0.95080569999999998</v>
      </c>
      <c r="T3116">
        <v>-0.25812180000000001</v>
      </c>
      <c r="U3116">
        <v>-2.978256</v>
      </c>
      <c r="V3116">
        <v>0.236676</v>
      </c>
      <c r="W3116">
        <v>0.1987101</v>
      </c>
      <c r="X3116">
        <v>0.95105139999999999</v>
      </c>
      <c r="Y3116">
        <v>0.35786489999999999</v>
      </c>
      <c r="Z3116">
        <v>8.1260390000000002E-2</v>
      </c>
      <c r="AA3116">
        <v>0.93023089999999997</v>
      </c>
      <c r="AB3116">
        <v>25</v>
      </c>
      <c r="AC3116">
        <v>-4.0921999999999903</v>
      </c>
      <c r="AD3116">
        <v>-1.1081206749932999</v>
      </c>
      <c r="AE3116">
        <v>-12.517799999999999</v>
      </c>
      <c r="AF3116">
        <v>4.7776663125610597</v>
      </c>
      <c r="AG3116">
        <v>-1.1081206749932999</v>
      </c>
      <c r="AH3116">
        <v>12.1731382945192</v>
      </c>
      <c r="AI3116">
        <v>94.843518020206602</v>
      </c>
      <c r="AJ3116">
        <v>68.571177361656396</v>
      </c>
      <c r="AK3116">
        <v>13.123997971731701</v>
      </c>
      <c r="AL3116">
        <v>78.538460664273202</v>
      </c>
      <c r="AM3116">
        <v>76.025398421247402</v>
      </c>
      <c r="AN3116">
        <v>0.99999999912998405</v>
      </c>
    </row>
    <row r="3117" spans="1:40" x14ac:dyDescent="0.25">
      <c r="A3117" t="str">
        <f>"20190312172723113"</f>
        <v>20190312172723113</v>
      </c>
      <c r="B3117" t="str">
        <f>"1552382843101746"</f>
        <v>1552382843101746</v>
      </c>
      <c r="C3117" t="s">
        <v>40</v>
      </c>
      <c r="D3117">
        <v>3.5954760000000001</v>
      </c>
      <c r="E3117">
        <v>0.55067929999999998</v>
      </c>
      <c r="F3117" t="s">
        <v>41</v>
      </c>
      <c r="G3117">
        <v>-191.94579999999999</v>
      </c>
      <c r="H3117" s="1">
        <v>-4.6080310000000004E-6</v>
      </c>
      <c r="I3117">
        <v>179.51349999999999</v>
      </c>
      <c r="J3117">
        <v>-187.78049999999999</v>
      </c>
      <c r="K3117">
        <v>1.1084529999999999</v>
      </c>
      <c r="L3117">
        <v>192.2784</v>
      </c>
      <c r="M3117">
        <v>5.548608E-2</v>
      </c>
      <c r="N3117">
        <v>0</v>
      </c>
      <c r="O3117">
        <v>-0.99836639999999999</v>
      </c>
      <c r="P3117">
        <v>-0.17923049999999999</v>
      </c>
      <c r="Q3117">
        <v>0.18708179999999999</v>
      </c>
      <c r="R3117">
        <v>-0.96585560000000004</v>
      </c>
      <c r="S3117">
        <v>-0.95191959999999998</v>
      </c>
      <c r="T3117">
        <v>-0.25388569999999999</v>
      </c>
      <c r="U3117">
        <v>-2.9781949999999999</v>
      </c>
      <c r="V3117">
        <v>0.233464</v>
      </c>
      <c r="W3117">
        <v>0.19902130000000001</v>
      </c>
      <c r="X3117">
        <v>0.95177999999999996</v>
      </c>
      <c r="Y3117">
        <v>0.35586079999999998</v>
      </c>
      <c r="Z3117">
        <v>7.9982880000000006E-2</v>
      </c>
      <c r="AA3117">
        <v>0.93110999999999999</v>
      </c>
      <c r="AB3117">
        <v>25</v>
      </c>
      <c r="AC3117">
        <v>-4.1653000000000002</v>
      </c>
      <c r="AD3117">
        <v>-1.108457608031</v>
      </c>
      <c r="AE3117">
        <v>-12.764900000000001</v>
      </c>
      <c r="AF3117">
        <v>4.83427686794733</v>
      </c>
      <c r="AG3117">
        <v>-1.108457608031</v>
      </c>
      <c r="AH3117">
        <v>12.429388578404399</v>
      </c>
      <c r="AI3117">
        <v>94.751224878154503</v>
      </c>
      <c r="AJ3117">
        <v>68.746988929565802</v>
      </c>
      <c r="AK3117">
        <v>13.3823993191707</v>
      </c>
      <c r="AL3117">
        <v>78.520267335409102</v>
      </c>
      <c r="AM3117">
        <v>76.217918508616094</v>
      </c>
      <c r="AN3117">
        <v>1.0000000427748399</v>
      </c>
    </row>
    <row r="3118" spans="1:40" x14ac:dyDescent="0.25">
      <c r="A3118" t="str">
        <f>"20190312172723136"</f>
        <v>20190312172723136</v>
      </c>
      <c r="B3118" t="str">
        <f>"1552382843132003"</f>
        <v>1552382843132003</v>
      </c>
      <c r="C3118" t="s">
        <v>40</v>
      </c>
      <c r="D3118">
        <v>3.5770330000000001</v>
      </c>
      <c r="E3118">
        <v>0.55024580000000001</v>
      </c>
      <c r="F3118" t="s">
        <v>41</v>
      </c>
      <c r="G3118">
        <v>-191.97720000000001</v>
      </c>
      <c r="H3118" s="1">
        <v>-4.4818680000000002E-6</v>
      </c>
      <c r="I3118">
        <v>179.12639999999999</v>
      </c>
      <c r="J3118">
        <v>-187.76900000000001</v>
      </c>
      <c r="K3118">
        <v>1.10877</v>
      </c>
      <c r="L3118">
        <v>192.01349999999999</v>
      </c>
      <c r="M3118">
        <v>5.3069070000000003E-2</v>
      </c>
      <c r="N3118">
        <v>0</v>
      </c>
      <c r="O3118">
        <v>-0.99849829999999995</v>
      </c>
      <c r="P3118">
        <v>-0.180227</v>
      </c>
      <c r="Q3118">
        <v>0.1893242</v>
      </c>
      <c r="R3118">
        <v>-0.96523320000000001</v>
      </c>
      <c r="S3118">
        <v>-0.95034790000000002</v>
      </c>
      <c r="T3118">
        <v>-0.25101489999999999</v>
      </c>
      <c r="U3118">
        <v>-2.9783330000000001</v>
      </c>
      <c r="V3118">
        <v>0.23198150000000001</v>
      </c>
      <c r="W3118">
        <v>0.20139319999999999</v>
      </c>
      <c r="X3118">
        <v>0.95164349999999998</v>
      </c>
      <c r="Y3118">
        <v>0.35316039999999999</v>
      </c>
      <c r="Z3118">
        <v>7.9145530000000006E-2</v>
      </c>
      <c r="AA3118">
        <v>0.93220910000000001</v>
      </c>
      <c r="AB3118">
        <v>25</v>
      </c>
      <c r="AC3118">
        <v>-4.2081999999999997</v>
      </c>
      <c r="AD3118">
        <v>-1.1087744818680001</v>
      </c>
      <c r="AE3118">
        <v>-12.8871</v>
      </c>
      <c r="AF3118">
        <v>4.8537707338828397</v>
      </c>
      <c r="AG3118">
        <v>-1.1087744818680001</v>
      </c>
      <c r="AH3118">
        <v>12.561564157128601</v>
      </c>
      <c r="AI3118">
        <v>94.706805064299601</v>
      </c>
      <c r="AJ3118">
        <v>68.873538084239598</v>
      </c>
      <c r="AK3118">
        <v>13.5122672139948</v>
      </c>
      <c r="AL3118">
        <v>78.381558526023497</v>
      </c>
      <c r="AM3118">
        <v>76.300237491225403</v>
      </c>
      <c r="AN3118">
        <v>0.999999994220369</v>
      </c>
    </row>
    <row r="3119" spans="1:40" x14ac:dyDescent="0.25">
      <c r="A3119" t="str">
        <f>"20190312172723158"</f>
        <v>20190312172723158</v>
      </c>
      <c r="B3119" t="str">
        <f>"1552382843152498"</f>
        <v>1552382843152498</v>
      </c>
      <c r="C3119" t="s">
        <v>40</v>
      </c>
      <c r="D3119">
        <v>3.5577649999999998</v>
      </c>
      <c r="E3119">
        <v>0.54990150000000004</v>
      </c>
      <c r="F3119" t="s">
        <v>41</v>
      </c>
      <c r="G3119">
        <v>-192.101</v>
      </c>
      <c r="H3119" s="1">
        <v>-4.2716050000000002E-6</v>
      </c>
      <c r="I3119">
        <v>178.44390000000001</v>
      </c>
      <c r="J3119">
        <v>-187.7585</v>
      </c>
      <c r="K3119">
        <v>1.1090409999999999</v>
      </c>
      <c r="L3119">
        <v>191.7698</v>
      </c>
      <c r="M3119">
        <v>5.1226210000000001E-2</v>
      </c>
      <c r="N3119">
        <v>0</v>
      </c>
      <c r="O3119">
        <v>-0.99859509999999996</v>
      </c>
      <c r="P3119">
        <v>-0.18169370000000001</v>
      </c>
      <c r="Q3119">
        <v>0.19211030000000001</v>
      </c>
      <c r="R3119">
        <v>-0.96440729999999997</v>
      </c>
      <c r="S3119">
        <v>-0.95080569999999998</v>
      </c>
      <c r="T3119">
        <v>-0.24335499999999999</v>
      </c>
      <c r="U3119">
        <v>-2.978256</v>
      </c>
      <c r="V3119">
        <v>0.23152990000000001</v>
      </c>
      <c r="W3119">
        <v>0.20427980000000001</v>
      </c>
      <c r="X3119">
        <v>0.95113809999999999</v>
      </c>
      <c r="Y3119">
        <v>0.35162779999999999</v>
      </c>
      <c r="Z3119">
        <v>7.6780500000000002E-2</v>
      </c>
      <c r="AA3119">
        <v>0.93298579999999998</v>
      </c>
      <c r="AB3119">
        <v>25</v>
      </c>
      <c r="AC3119">
        <v>-4.3425000000000002</v>
      </c>
      <c r="AD3119">
        <v>-1.1090452716050001</v>
      </c>
      <c r="AE3119">
        <v>-13.325899999999899</v>
      </c>
      <c r="AF3119">
        <v>4.98826184987169</v>
      </c>
      <c r="AG3119">
        <v>-1.1090452716050001</v>
      </c>
      <c r="AH3119">
        <v>13.004503488636001</v>
      </c>
      <c r="AI3119">
        <v>94.552562081617907</v>
      </c>
      <c r="AJ3119">
        <v>69.014206826411893</v>
      </c>
      <c r="AK3119">
        <v>13.9724675230719</v>
      </c>
      <c r="AL3119">
        <v>78.2126576174159</v>
      </c>
      <c r="AM3119">
        <v>76.318911851995793</v>
      </c>
      <c r="AN3119">
        <v>1.0000000082768199</v>
      </c>
    </row>
    <row r="3120" spans="1:40" x14ac:dyDescent="0.25">
      <c r="A3120" t="str">
        <f>"20190312172723181"</f>
        <v>20190312172723181</v>
      </c>
      <c r="B3120" t="str">
        <f>"1552382843172018"</f>
        <v>1552382843172018</v>
      </c>
      <c r="C3120" t="s">
        <v>40</v>
      </c>
      <c r="D3120">
        <v>3.5654499999999998</v>
      </c>
      <c r="E3120">
        <v>0.54974969999999901</v>
      </c>
      <c r="F3120" t="s">
        <v>41</v>
      </c>
      <c r="G3120">
        <v>-192.2345</v>
      </c>
      <c r="H3120" s="1">
        <v>-4.0612040000000003E-6</v>
      </c>
      <c r="I3120">
        <v>177.7561</v>
      </c>
      <c r="J3120">
        <v>-187.7473</v>
      </c>
      <c r="K3120">
        <v>1.1093170000000001</v>
      </c>
      <c r="L3120">
        <v>191.50749999999999</v>
      </c>
      <c r="M3120">
        <v>4.9614159999999997E-2</v>
      </c>
      <c r="N3120">
        <v>0</v>
      </c>
      <c r="O3120">
        <v>-0.99867680000000003</v>
      </c>
      <c r="P3120">
        <v>-0.1821652</v>
      </c>
      <c r="Q3120">
        <v>0.1932516</v>
      </c>
      <c r="R3120">
        <v>-0.96409020000000001</v>
      </c>
      <c r="S3120">
        <v>-0.95132450000000002</v>
      </c>
      <c r="T3120">
        <v>-0.23571339999999999</v>
      </c>
      <c r="U3120">
        <v>-2.9784389999999998</v>
      </c>
      <c r="V3120">
        <v>0.23031769999999999</v>
      </c>
      <c r="W3120">
        <v>0.205538</v>
      </c>
      <c r="X3120">
        <v>0.95116129999999999</v>
      </c>
      <c r="Y3120">
        <v>0.35030309999999998</v>
      </c>
      <c r="Z3120">
        <v>7.4406420000000001E-2</v>
      </c>
      <c r="AA3120">
        <v>0.93367630000000001</v>
      </c>
      <c r="AB3120">
        <v>25</v>
      </c>
      <c r="AC3120">
        <v>-4.4871999999999996</v>
      </c>
      <c r="AD3120">
        <v>-1.1093210612039901</v>
      </c>
      <c r="AE3120">
        <v>-13.751399999999901</v>
      </c>
      <c r="AF3120">
        <v>5.1338056538556502</v>
      </c>
      <c r="AG3120">
        <v>-1.1093210612039901</v>
      </c>
      <c r="AH3120">
        <v>13.4328091833592</v>
      </c>
      <c r="AI3120">
        <v>94.411123719189803</v>
      </c>
      <c r="AJ3120">
        <v>69.083940356915704</v>
      </c>
      <c r="AK3120">
        <v>14.4231382252591</v>
      </c>
      <c r="AL3120">
        <v>78.139004721626094</v>
      </c>
      <c r="AM3120">
        <v>76.388188729789505</v>
      </c>
      <c r="AN3120">
        <v>0.99999996549748904</v>
      </c>
    </row>
    <row r="3121" spans="1:40" x14ac:dyDescent="0.25">
      <c r="A3121" t="str">
        <f>"20190312172723204"</f>
        <v>20190312172723204</v>
      </c>
      <c r="B3121" t="str">
        <f>"1552382843192514"</f>
        <v>1552382843192514</v>
      </c>
      <c r="C3121" t="s">
        <v>40</v>
      </c>
      <c r="D3121">
        <v>3.5153629999999998</v>
      </c>
      <c r="E3121">
        <v>0.52542</v>
      </c>
      <c r="F3121" t="s">
        <v>41</v>
      </c>
      <c r="G3121">
        <v>-192.2954</v>
      </c>
      <c r="H3121" s="1">
        <v>-3.9103669999999996E-6</v>
      </c>
      <c r="I3121">
        <v>177.28110000000001</v>
      </c>
      <c r="J3121">
        <v>-187.73670000000001</v>
      </c>
      <c r="K3121">
        <v>1.109567</v>
      </c>
      <c r="L3121">
        <v>191.2594</v>
      </c>
      <c r="M3121">
        <v>4.8409090000000002E-2</v>
      </c>
      <c r="N3121">
        <v>0</v>
      </c>
      <c r="O3121">
        <v>-0.99873630000000002</v>
      </c>
      <c r="P3121">
        <v>-0.1810351</v>
      </c>
      <c r="Q3121">
        <v>0.19212480000000001</v>
      </c>
      <c r="R3121">
        <v>-0.96452800000000005</v>
      </c>
      <c r="S3121">
        <v>-0.95216369999999895</v>
      </c>
      <c r="T3121">
        <v>-0.23224259999999999</v>
      </c>
      <c r="U3121">
        <v>-2.9783780000000002</v>
      </c>
      <c r="V3121">
        <v>0.22793269999999999</v>
      </c>
      <c r="W3121">
        <v>0.20453750000000001</v>
      </c>
      <c r="X3121">
        <v>0.9519512</v>
      </c>
      <c r="Y3121">
        <v>0.34944190000000003</v>
      </c>
      <c r="Z3121">
        <v>7.333452E-2</v>
      </c>
      <c r="AA3121">
        <v>0.93408380000000002</v>
      </c>
      <c r="AB3121">
        <v>25</v>
      </c>
      <c r="AC3121">
        <v>-4.5586999999999804</v>
      </c>
      <c r="AD3121">
        <v>-1.109570910367</v>
      </c>
      <c r="AE3121">
        <v>-13.9782999999999</v>
      </c>
      <c r="AF3121">
        <v>5.2004753582114098</v>
      </c>
      <c r="AG3121">
        <v>-1.109570910367</v>
      </c>
      <c r="AH3121">
        <v>13.663390997231399</v>
      </c>
      <c r="AI3121">
        <v>94.340201591645496</v>
      </c>
      <c r="AJ3121">
        <v>69.162483912414103</v>
      </c>
      <c r="AK3121">
        <v>14.6616624261958</v>
      </c>
      <c r="AL3121">
        <v>78.197573866475494</v>
      </c>
      <c r="AM3121">
        <v>76.534750775409194</v>
      </c>
      <c r="AN3121">
        <v>0.99999999590848898</v>
      </c>
    </row>
    <row r="3122" spans="1:40" x14ac:dyDescent="0.25">
      <c r="A3122" t="str">
        <f>"20190312172723224"</f>
        <v>20190312172723224</v>
      </c>
      <c r="B3122" t="str">
        <f>"1552382843221795"</f>
        <v>1552382843221795</v>
      </c>
      <c r="C3122" t="s">
        <v>40</v>
      </c>
      <c r="D3122">
        <v>3.4908969999999999</v>
      </c>
      <c r="E3122">
        <v>0.51392539999999998</v>
      </c>
      <c r="F3122" t="s">
        <v>41</v>
      </c>
      <c r="G3122">
        <v>-191.79499999999999</v>
      </c>
      <c r="H3122" s="1">
        <v>-2.8710889999999998E-6</v>
      </c>
      <c r="I3122">
        <v>175.16839999999999</v>
      </c>
      <c r="J3122">
        <v>-187.72649999999999</v>
      </c>
      <c r="K3122">
        <v>1.1097980000000001</v>
      </c>
      <c r="L3122">
        <v>191.0213</v>
      </c>
      <c r="M3122">
        <v>4.7529130000000003E-2</v>
      </c>
      <c r="N3122">
        <v>0</v>
      </c>
      <c r="O3122">
        <v>-0.99877899999999997</v>
      </c>
      <c r="P3122">
        <v>-0.17977960000000001</v>
      </c>
      <c r="Q3122">
        <v>0.19009670000000001</v>
      </c>
      <c r="R3122">
        <v>-0.96516449999999998</v>
      </c>
      <c r="S3122">
        <v>-0.75895690000000005</v>
      </c>
      <c r="T3122">
        <v>-0.20750089999999999</v>
      </c>
      <c r="U3122">
        <v>-3.009201</v>
      </c>
      <c r="V3122">
        <v>0.22575039999999999</v>
      </c>
      <c r="W3122">
        <v>0.202628</v>
      </c>
      <c r="X3122">
        <v>0.95287909999999998</v>
      </c>
      <c r="Y3122">
        <v>0.2898288</v>
      </c>
      <c r="Z3122">
        <v>6.6167359999999995E-2</v>
      </c>
      <c r="AA3122">
        <v>0.95478859999999999</v>
      </c>
      <c r="AB3122">
        <v>25</v>
      </c>
      <c r="AC3122">
        <v>-4.0685000000000002</v>
      </c>
      <c r="AD3122">
        <v>-1.1098008710889999</v>
      </c>
      <c r="AE3122">
        <v>-15.8529</v>
      </c>
      <c r="AF3122">
        <v>4.7953947745773204</v>
      </c>
      <c r="AG3122">
        <v>-1.1098008710889999</v>
      </c>
      <c r="AH3122">
        <v>15.569999668093001</v>
      </c>
      <c r="AI3122">
        <v>93.896995268479699</v>
      </c>
      <c r="AJ3122">
        <v>72.881722651988298</v>
      </c>
      <c r="AK3122">
        <v>16.329493521904801</v>
      </c>
      <c r="AL3122">
        <v>78.309320028053804</v>
      </c>
      <c r="AM3122">
        <v>76.671568278371097</v>
      </c>
      <c r="AN3122">
        <v>0.99999996435048399</v>
      </c>
    </row>
    <row r="3123" spans="1:40" x14ac:dyDescent="0.25">
      <c r="A3123" t="str">
        <f>"20190312172723247"</f>
        <v>20190312172723247</v>
      </c>
      <c r="B3123" t="str">
        <f>"1552382843242291"</f>
        <v>1552382843242291</v>
      </c>
      <c r="C3123" t="s">
        <v>40</v>
      </c>
      <c r="D3123">
        <v>3.4758420000000001</v>
      </c>
      <c r="E3123">
        <v>0.51086889999999996</v>
      </c>
      <c r="F3123" t="s">
        <v>41</v>
      </c>
      <c r="G3123">
        <v>-191.57499999999999</v>
      </c>
      <c r="H3123" s="1">
        <v>-2.127311E-6</v>
      </c>
      <c r="I3123">
        <v>173.5711</v>
      </c>
      <c r="J3123">
        <v>-187.7159</v>
      </c>
      <c r="K3123">
        <v>1.110017</v>
      </c>
      <c r="L3123">
        <v>190.7782</v>
      </c>
      <c r="M3123">
        <v>4.6894789999999999E-2</v>
      </c>
      <c r="N3123">
        <v>0</v>
      </c>
      <c r="O3123">
        <v>-0.99880930000000001</v>
      </c>
      <c r="P3123">
        <v>-0.17941289999999999</v>
      </c>
      <c r="Q3123">
        <v>0.18991810000000001</v>
      </c>
      <c r="R3123">
        <v>-0.96526820000000002</v>
      </c>
      <c r="S3123">
        <v>-0.66647339999999999</v>
      </c>
      <c r="T3123">
        <v>-0.19219220000000001</v>
      </c>
      <c r="U3123">
        <v>-3.0219879999999999</v>
      </c>
      <c r="V3123">
        <v>0.2246764</v>
      </c>
      <c r="W3123">
        <v>0.20254949999999999</v>
      </c>
      <c r="X3123">
        <v>0.95314960000000004</v>
      </c>
      <c r="Y3123">
        <v>0.26051740000000001</v>
      </c>
      <c r="Z3123">
        <v>6.153231E-2</v>
      </c>
      <c r="AA3123">
        <v>0.96350630000000004</v>
      </c>
      <c r="AB3123">
        <v>25</v>
      </c>
      <c r="AC3123">
        <v>-3.8590999999999802</v>
      </c>
      <c r="AD3123">
        <v>-1.1100191273109901</v>
      </c>
      <c r="AE3123">
        <v>-17.207099999999901</v>
      </c>
      <c r="AF3123">
        <v>4.6434517732944602</v>
      </c>
      <c r="AG3123">
        <v>-1.1100191273109901</v>
      </c>
      <c r="AH3123">
        <v>16.940058523902099</v>
      </c>
      <c r="AI3123">
        <v>93.616006547910203</v>
      </c>
      <c r="AJ3123">
        <v>74.671128749931199</v>
      </c>
      <c r="AK3123">
        <v>17.599982091670899</v>
      </c>
      <c r="AL3123">
        <v>78.313913081428893</v>
      </c>
      <c r="AM3123">
        <v>76.736362436360693</v>
      </c>
      <c r="AN3123">
        <v>0.99999997232368398</v>
      </c>
    </row>
    <row r="3124" spans="1:40" x14ac:dyDescent="0.25">
      <c r="A3124" t="str">
        <f>"20190312172723271"</f>
        <v>20190312172723271</v>
      </c>
      <c r="B3124" t="str">
        <f>"1552382843262786"</f>
        <v>1552382843262786</v>
      </c>
      <c r="C3124" t="s">
        <v>40</v>
      </c>
      <c r="D3124">
        <v>3.4950929999999998</v>
      </c>
      <c r="E3124">
        <v>0.50898189999999999</v>
      </c>
      <c r="F3124" t="s">
        <v>41</v>
      </c>
      <c r="G3124">
        <v>-191.4984</v>
      </c>
      <c r="H3124" s="1">
        <v>-1.813182E-6</v>
      </c>
      <c r="I3124">
        <v>172.88630000000001</v>
      </c>
      <c r="J3124">
        <v>-187.7039</v>
      </c>
      <c r="K3124">
        <v>1.1102110000000001</v>
      </c>
      <c r="L3124">
        <v>190.50749999999999</v>
      </c>
      <c r="M3124">
        <v>4.6492289999999999E-2</v>
      </c>
      <c r="N3124">
        <v>0</v>
      </c>
      <c r="O3124">
        <v>-0.99882859999999996</v>
      </c>
      <c r="P3124">
        <v>-0.17977119999999999</v>
      </c>
      <c r="Q3124">
        <v>0.19018879999999999</v>
      </c>
      <c r="R3124">
        <v>-0.96514840000000002</v>
      </c>
      <c r="S3124">
        <v>-0.63972469999999904</v>
      </c>
      <c r="T3124">
        <v>-0.18773290000000001</v>
      </c>
      <c r="U3124">
        <v>-3.0259860000000001</v>
      </c>
      <c r="V3124">
        <v>0.22454540000000001</v>
      </c>
      <c r="W3124">
        <v>0.2029077</v>
      </c>
      <c r="X3124">
        <v>0.95310430000000002</v>
      </c>
      <c r="Y3124">
        <v>0.25172949999999999</v>
      </c>
      <c r="Z3124">
        <v>6.0161010000000001E-2</v>
      </c>
      <c r="AA3124">
        <v>0.9659259</v>
      </c>
      <c r="AB3124">
        <v>25</v>
      </c>
      <c r="AC3124">
        <v>-3.79449999999999</v>
      </c>
      <c r="AD3124">
        <v>-1.1102128131819999</v>
      </c>
      <c r="AE3124">
        <v>-17.621199999999899</v>
      </c>
      <c r="AF3124">
        <v>4.5922981853951903</v>
      </c>
      <c r="AG3124">
        <v>-1.1102128131819999</v>
      </c>
      <c r="AH3124">
        <v>17.359853953188701</v>
      </c>
      <c r="AI3124">
        <v>93.537876902444594</v>
      </c>
      <c r="AJ3124">
        <v>75.182641700280399</v>
      </c>
      <c r="AK3124">
        <v>17.991284122879598</v>
      </c>
      <c r="AL3124">
        <v>78.292954725699602</v>
      </c>
      <c r="AM3124">
        <v>76.7432150230877</v>
      </c>
      <c r="AN3124">
        <v>0.99999998902946996</v>
      </c>
    </row>
    <row r="3125" spans="1:40" x14ac:dyDescent="0.25">
      <c r="A3125" t="str">
        <f>"20190312172723294"</f>
        <v>20190312172723294</v>
      </c>
      <c r="B3125" t="str">
        <f>"1552382843282306"</f>
        <v>1552382843282306</v>
      </c>
      <c r="C3125" t="s">
        <v>40</v>
      </c>
      <c r="D3125">
        <v>3.4775070000000001</v>
      </c>
      <c r="E3125">
        <v>0.50760530000000004</v>
      </c>
      <c r="F3125" t="s">
        <v>41</v>
      </c>
      <c r="G3125">
        <v>-191.4847</v>
      </c>
      <c r="H3125" s="1">
        <v>-1.493929E-6</v>
      </c>
      <c r="I3125">
        <v>172.1507</v>
      </c>
      <c r="J3125">
        <v>-187.6925</v>
      </c>
      <c r="K3125">
        <v>1.110363</v>
      </c>
      <c r="L3125">
        <v>190.255</v>
      </c>
      <c r="M3125">
        <v>4.6352490000000003E-2</v>
      </c>
      <c r="N3125">
        <v>0</v>
      </c>
      <c r="O3125">
        <v>-0.99883500000000003</v>
      </c>
      <c r="P3125">
        <v>-0.17921199999999901</v>
      </c>
      <c r="Q3125">
        <v>0.18984970000000001</v>
      </c>
      <c r="R3125">
        <v>-0.96531849999999997</v>
      </c>
      <c r="S3125">
        <v>-0.62370300000000001</v>
      </c>
      <c r="T3125">
        <v>-0.1831467</v>
      </c>
      <c r="U3125">
        <v>-3.0282439999999999</v>
      </c>
      <c r="V3125">
        <v>0.22378909999999999</v>
      </c>
      <c r="W3125">
        <v>0.20263400000000001</v>
      </c>
      <c r="X3125">
        <v>0.95334039999999998</v>
      </c>
      <c r="Y3125">
        <v>0.2465647</v>
      </c>
      <c r="Z3125">
        <v>5.8725489999999998E-2</v>
      </c>
      <c r="AA3125">
        <v>0.96734540000000002</v>
      </c>
      <c r="AB3125">
        <v>25</v>
      </c>
      <c r="AC3125">
        <v>-3.7921999999999998</v>
      </c>
      <c r="AD3125">
        <v>-1.1103644939290001</v>
      </c>
      <c r="AE3125">
        <v>-18.104299999999899</v>
      </c>
      <c r="AF3125">
        <v>4.6107634835355604</v>
      </c>
      <c r="AG3125">
        <v>-1.1103644939290001</v>
      </c>
      <c r="AH3125">
        <v>17.8447405489567</v>
      </c>
      <c r="AI3125">
        <v>93.447622653390994</v>
      </c>
      <c r="AJ3125">
        <v>75.512641290921493</v>
      </c>
      <c r="AK3125">
        <v>18.464203596962001</v>
      </c>
      <c r="AL3125">
        <v>78.308969497181195</v>
      </c>
      <c r="AM3125">
        <v>76.789454430825103</v>
      </c>
      <c r="AN3125">
        <v>1.0000000087534799</v>
      </c>
    </row>
    <row r="3126" spans="1:40" x14ac:dyDescent="0.25">
      <c r="A3126" t="str">
        <f>"20190312172723314"</f>
        <v>20190312172723314</v>
      </c>
      <c r="B3126" t="str">
        <f>"1552382843301826"</f>
        <v>1552382843301826</v>
      </c>
      <c r="C3126" t="s">
        <v>40</v>
      </c>
      <c r="D3126">
        <v>3.488356</v>
      </c>
      <c r="E3126">
        <v>0.50656469999999998</v>
      </c>
      <c r="F3126" t="s">
        <v>41</v>
      </c>
      <c r="G3126">
        <v>-191.39789999999999</v>
      </c>
      <c r="H3126" s="1">
        <v>-1.361371E-6</v>
      </c>
      <c r="I3126">
        <v>171.8955</v>
      </c>
      <c r="J3126">
        <v>-187.68170000000001</v>
      </c>
      <c r="K3126">
        <v>1.1104689999999999</v>
      </c>
      <c r="L3126">
        <v>190.01769999999999</v>
      </c>
      <c r="M3126">
        <v>4.6359009999999999E-2</v>
      </c>
      <c r="N3126">
        <v>0</v>
      </c>
      <c r="O3126">
        <v>-0.99883520000000003</v>
      </c>
      <c r="P3126">
        <v>-0.17818390000000001</v>
      </c>
      <c r="Q3126">
        <v>0.18983659999999999</v>
      </c>
      <c r="R3126">
        <v>-0.96551200000000004</v>
      </c>
      <c r="S3126">
        <v>-0.61158749999999995</v>
      </c>
      <c r="T3126">
        <v>-0.18326780000000001</v>
      </c>
      <c r="U3126">
        <v>-3.0302730000000002</v>
      </c>
      <c r="V3126">
        <v>0.22273019999999999</v>
      </c>
      <c r="W3126">
        <v>0.20266210000000001</v>
      </c>
      <c r="X3126">
        <v>0.95358240000000005</v>
      </c>
      <c r="Y3126">
        <v>0.2427272</v>
      </c>
      <c r="Z3126">
        <v>5.8777830000000003E-2</v>
      </c>
      <c r="AA3126">
        <v>0.96831230000000001</v>
      </c>
      <c r="AB3126">
        <v>25</v>
      </c>
      <c r="AC3126">
        <v>-3.7161999999999802</v>
      </c>
      <c r="AD3126">
        <v>-1.1104703613709901</v>
      </c>
      <c r="AE3126">
        <v>-18.1221999999999</v>
      </c>
      <c r="AF3126">
        <v>4.5360613823991001</v>
      </c>
      <c r="AG3126">
        <v>-1.1104703613709901</v>
      </c>
      <c r="AH3126">
        <v>17.8660404136496</v>
      </c>
      <c r="AI3126">
        <v>93.447559040448894</v>
      </c>
      <c r="AJ3126">
        <v>75.754021518827003</v>
      </c>
      <c r="AK3126">
        <v>18.466304377176801</v>
      </c>
      <c r="AL3126">
        <v>78.307325638820899</v>
      </c>
      <c r="AM3126">
        <v>76.8530069065053</v>
      </c>
      <c r="AN3126">
        <v>1.0000000311791</v>
      </c>
    </row>
    <row r="3127" spans="1:40" x14ac:dyDescent="0.25">
      <c r="A3127" t="str">
        <f>"20190312172723336"</f>
        <v>20190312172723336</v>
      </c>
      <c r="B3127" t="str">
        <f>"1552382843332082"</f>
        <v>1552382843332082</v>
      </c>
      <c r="C3127" t="s">
        <v>40</v>
      </c>
      <c r="D3127">
        <v>3.4895309999999999</v>
      </c>
      <c r="E3127">
        <v>0.50540889999999905</v>
      </c>
      <c r="F3127" t="s">
        <v>41</v>
      </c>
      <c r="G3127">
        <v>-191.3356</v>
      </c>
      <c r="H3127" s="1">
        <v>-1.210835E-6</v>
      </c>
      <c r="I3127">
        <v>171.58320000000001</v>
      </c>
      <c r="J3127">
        <v>-187.6704</v>
      </c>
      <c r="K3127">
        <v>1.1105259999999999</v>
      </c>
      <c r="L3127">
        <v>189.774</v>
      </c>
      <c r="M3127">
        <v>4.6457749999999999E-2</v>
      </c>
      <c r="N3127">
        <v>0</v>
      </c>
      <c r="O3127">
        <v>-0.99883069999999896</v>
      </c>
      <c r="P3127">
        <v>-0.17839379999999999</v>
      </c>
      <c r="Q3127">
        <v>0.19163330000000001</v>
      </c>
      <c r="R3127">
        <v>-0.96511809999999998</v>
      </c>
      <c r="S3127">
        <v>-0.60101319999999903</v>
      </c>
      <c r="T3127">
        <v>-0.18265439999999999</v>
      </c>
      <c r="U3127">
        <v>-3.0321660000000001</v>
      </c>
      <c r="V3127">
        <v>0.22298570000000001</v>
      </c>
      <c r="W3127">
        <v>0.2044725</v>
      </c>
      <c r="X3127">
        <v>0.95313610000000004</v>
      </c>
      <c r="Y3127">
        <v>0.2394597</v>
      </c>
      <c r="Z3127">
        <v>5.8589599999999999E-2</v>
      </c>
      <c r="AA3127">
        <v>0.96913689999999997</v>
      </c>
      <c r="AB3127">
        <v>25</v>
      </c>
      <c r="AC3127">
        <v>-3.6651999999999898</v>
      </c>
      <c r="AD3127">
        <v>-1.1105272108349999</v>
      </c>
      <c r="AE3127">
        <v>-18.190799999999999</v>
      </c>
      <c r="AF3127">
        <v>4.4903386399339098</v>
      </c>
      <c r="AG3127">
        <v>-1.1105272108349999</v>
      </c>
      <c r="AH3127">
        <v>17.936621792050801</v>
      </c>
      <c r="AI3127">
        <v>93.437083466395705</v>
      </c>
      <c r="AJ3127">
        <v>75.945168623418098</v>
      </c>
      <c r="AK3127">
        <v>18.523466551873099</v>
      </c>
      <c r="AL3127">
        <v>78.201378854004602</v>
      </c>
      <c r="AM3127">
        <v>76.832502160863996</v>
      </c>
      <c r="AN3127">
        <v>1.0000000253919701</v>
      </c>
    </row>
    <row r="3128" spans="1:40" x14ac:dyDescent="0.25">
      <c r="A3128" t="str">
        <f>"20190312172723359"</f>
        <v>20190312172723359</v>
      </c>
      <c r="B3128" t="str">
        <f>"1552382843352579"</f>
        <v>1552382843352579</v>
      </c>
      <c r="C3128" t="s">
        <v>40</v>
      </c>
      <c r="D3128">
        <v>3.5026660000000001</v>
      </c>
      <c r="E3128">
        <v>0.50486109999999995</v>
      </c>
      <c r="F3128" t="s">
        <v>41</v>
      </c>
      <c r="G3128">
        <v>-191.39320000000001</v>
      </c>
      <c r="H3128" s="1">
        <v>-8.4363099999999997E-7</v>
      </c>
      <c r="I3128">
        <v>170.69159999999999</v>
      </c>
      <c r="J3128">
        <v>-187.65860000000001</v>
      </c>
      <c r="K3128">
        <v>1.1105689999999999</v>
      </c>
      <c r="L3128">
        <v>189.5205</v>
      </c>
      <c r="M3128">
        <v>4.6622990000000003E-2</v>
      </c>
      <c r="N3128">
        <v>0</v>
      </c>
      <c r="O3128">
        <v>-0.99882300000000002</v>
      </c>
      <c r="P3128">
        <v>-0.17868429999999999</v>
      </c>
      <c r="Q3128">
        <v>0.1924014</v>
      </c>
      <c r="R3128">
        <v>-0.96491130000000003</v>
      </c>
      <c r="S3128">
        <v>-0.59191890000000003</v>
      </c>
      <c r="T3128">
        <v>-0.176573799999999</v>
      </c>
      <c r="U3128">
        <v>-3.034103</v>
      </c>
      <c r="V3128">
        <v>0.22340460000000001</v>
      </c>
      <c r="W3128">
        <v>0.20524680000000001</v>
      </c>
      <c r="X3128">
        <v>0.95287149999999998</v>
      </c>
      <c r="Y3128">
        <v>0.23672609999999999</v>
      </c>
      <c r="Z3128">
        <v>5.6645130000000002E-2</v>
      </c>
      <c r="AA3128">
        <v>0.96992370000000006</v>
      </c>
      <c r="AB3128">
        <v>25</v>
      </c>
      <c r="AC3128">
        <v>-3.7345999999999999</v>
      </c>
      <c r="AD3128">
        <v>-1.1105698436310001</v>
      </c>
      <c r="AE3128">
        <v>-18.828900000000001</v>
      </c>
      <c r="AF3128">
        <v>4.5931021487646797</v>
      </c>
      <c r="AG3128">
        <v>-1.1105698436310001</v>
      </c>
      <c r="AH3128">
        <v>18.572122233406201</v>
      </c>
      <c r="AI3128">
        <v>93.322223284259906</v>
      </c>
      <c r="AJ3128">
        <v>76.108818567231694</v>
      </c>
      <c r="AK3128">
        <v>19.163863832201201</v>
      </c>
      <c r="AL3128">
        <v>78.156052894303599</v>
      </c>
      <c r="AM3128">
        <v>76.805094966127797</v>
      </c>
      <c r="AN3128">
        <v>0.99999997986182398</v>
      </c>
    </row>
    <row r="3129" spans="1:40" x14ac:dyDescent="0.25">
      <c r="A3129" t="str">
        <f>"20190312172723381"</f>
        <v>20190312172723381</v>
      </c>
      <c r="B3129" t="str">
        <f>"1552382843372098"</f>
        <v>1552382843372098</v>
      </c>
      <c r="C3129" t="s">
        <v>40</v>
      </c>
      <c r="D3129">
        <v>3.4988630000000001</v>
      </c>
      <c r="E3129">
        <v>0.50445909999999905</v>
      </c>
      <c r="F3129" t="s">
        <v>41</v>
      </c>
      <c r="G3129">
        <v>-191.4015</v>
      </c>
      <c r="H3129" s="1">
        <v>-6.2209469999999998E-7</v>
      </c>
      <c r="I3129">
        <v>170.17</v>
      </c>
      <c r="J3129">
        <v>-187.64670000000001</v>
      </c>
      <c r="K3129">
        <v>1.1106049999999901</v>
      </c>
      <c r="L3129">
        <v>189.26849999999999</v>
      </c>
      <c r="M3129">
        <v>4.6824449999999997E-2</v>
      </c>
      <c r="N3129">
        <v>0</v>
      </c>
      <c r="O3129">
        <v>-0.99881399999999998</v>
      </c>
      <c r="P3129">
        <v>-0.17898259999999999</v>
      </c>
      <c r="Q3129">
        <v>0.19260959999999999</v>
      </c>
      <c r="R3129">
        <v>-0.96481450000000002</v>
      </c>
      <c r="S3129">
        <v>-0.58708190000000005</v>
      </c>
      <c r="T3129">
        <v>-0.1741916</v>
      </c>
      <c r="U3129">
        <v>-3.03511</v>
      </c>
      <c r="V3129">
        <v>0.22387560000000001</v>
      </c>
      <c r="W3129">
        <v>0.20545869999999999</v>
      </c>
      <c r="X3129">
        <v>0.95271530000000004</v>
      </c>
      <c r="Y3129">
        <v>0.23538000000000001</v>
      </c>
      <c r="Z3129">
        <v>5.5882139999999997E-2</v>
      </c>
      <c r="AA3129">
        <v>0.97029549999999998</v>
      </c>
      <c r="AB3129">
        <v>25</v>
      </c>
      <c r="AC3129">
        <v>-3.7547999999999799</v>
      </c>
      <c r="AD3129">
        <v>-1.11060562209469</v>
      </c>
      <c r="AE3129">
        <v>-19.098500000000001</v>
      </c>
      <c r="AF3129">
        <v>4.6299631394102398</v>
      </c>
      <c r="AG3129">
        <v>-1.11060562209469</v>
      </c>
      <c r="AH3129">
        <v>18.8403761162126</v>
      </c>
      <c r="AI3129">
        <v>93.276318315428497</v>
      </c>
      <c r="AJ3129">
        <v>76.193337878748594</v>
      </c>
      <c r="AK3129">
        <v>19.432698621665502</v>
      </c>
      <c r="AL3129">
        <v>78.143647805143104</v>
      </c>
      <c r="AM3129">
        <v>76.776160954260206</v>
      </c>
      <c r="AN3129">
        <v>1.0000000022675699</v>
      </c>
    </row>
    <row r="3130" spans="1:40" x14ac:dyDescent="0.25">
      <c r="A3130" t="str">
        <f>"20190312172723404"</f>
        <v>20190312172723404</v>
      </c>
      <c r="B3130" t="str">
        <f>"1552382843392598"</f>
        <v>1552382843392598</v>
      </c>
      <c r="C3130" t="s">
        <v>40</v>
      </c>
      <c r="D3130">
        <v>3.5193569999999998</v>
      </c>
      <c r="E3130">
        <v>0.50423600000000002</v>
      </c>
      <c r="F3130" t="s">
        <v>41</v>
      </c>
      <c r="G3130">
        <v>-191.3862</v>
      </c>
      <c r="H3130" s="1">
        <v>-4.7842959999999996E-7</v>
      </c>
      <c r="I3130">
        <v>169.84460000000001</v>
      </c>
      <c r="J3130">
        <v>-187.63489999999999</v>
      </c>
      <c r="K3130">
        <v>1.110635</v>
      </c>
      <c r="L3130">
        <v>189.02189999999999</v>
      </c>
      <c r="M3130">
        <v>4.704825E-2</v>
      </c>
      <c r="N3130">
        <v>0</v>
      </c>
      <c r="O3130">
        <v>-0.99880340000000001</v>
      </c>
      <c r="P3130">
        <v>-0.17908489999999999</v>
      </c>
      <c r="Q3130">
        <v>0.1924101</v>
      </c>
      <c r="R3130">
        <v>-0.9648352</v>
      </c>
      <c r="S3130">
        <v>-0.58442689999999997</v>
      </c>
      <c r="T3130">
        <v>-0.17356959999999999</v>
      </c>
      <c r="U3130">
        <v>-3.0356450000000001</v>
      </c>
      <c r="V3130">
        <v>0.22417999999999999</v>
      </c>
      <c r="W3130">
        <v>0.20526459999999999</v>
      </c>
      <c r="X3130">
        <v>0.95268560000000002</v>
      </c>
      <c r="Y3130">
        <v>0.23474980000000001</v>
      </c>
      <c r="Z3130">
        <v>5.5681620000000001E-2</v>
      </c>
      <c r="AA3130">
        <v>0.97045970000000004</v>
      </c>
      <c r="AB3130">
        <v>25</v>
      </c>
      <c r="AC3130">
        <v>-3.7513000000000098</v>
      </c>
      <c r="AD3130">
        <v>-1.1106354784296</v>
      </c>
      <c r="AE3130">
        <v>-19.177299999999899</v>
      </c>
      <c r="AF3130">
        <v>4.6345124857507498</v>
      </c>
      <c r="AG3130">
        <v>-1.1106354784296</v>
      </c>
      <c r="AH3130">
        <v>18.918437084006101</v>
      </c>
      <c r="AI3130">
        <v>93.263499315432497</v>
      </c>
      <c r="AJ3130">
        <v>76.2351410017489</v>
      </c>
      <c r="AK3130">
        <v>19.509471516369199</v>
      </c>
      <c r="AL3130">
        <v>78.155011570267803</v>
      </c>
      <c r="AM3130">
        <v>76.758415449888801</v>
      </c>
      <c r="AN3130">
        <v>1.00000004043025</v>
      </c>
    </row>
    <row r="3131" spans="1:40" x14ac:dyDescent="0.25">
      <c r="A3131" t="str">
        <f>"20190312172723424"</f>
        <v>20190312172723424</v>
      </c>
      <c r="B3131" t="str">
        <f>"1552382843421874"</f>
        <v>1552382843421874</v>
      </c>
      <c r="C3131" t="s">
        <v>40</v>
      </c>
      <c r="D3131">
        <v>3.5261640000000001</v>
      </c>
      <c r="E3131">
        <v>0.50385919999999995</v>
      </c>
      <c r="F3131" t="s">
        <v>41</v>
      </c>
      <c r="G3131">
        <v>-191.35069999999999</v>
      </c>
      <c r="H3131" s="1">
        <v>-3.9449160000000001E-7</v>
      </c>
      <c r="I3131">
        <v>169.67099999999999</v>
      </c>
      <c r="J3131">
        <v>-187.62360000000001</v>
      </c>
      <c r="K3131">
        <v>1.1106560000000001</v>
      </c>
      <c r="L3131">
        <v>188.78639999999999</v>
      </c>
      <c r="M3131">
        <v>4.7287900000000001E-2</v>
      </c>
      <c r="N3131">
        <v>0</v>
      </c>
      <c r="O3131">
        <v>-0.99879220000000002</v>
      </c>
      <c r="P3131">
        <v>-0.1797851</v>
      </c>
      <c r="Q3131">
        <v>0.19164429999999999</v>
      </c>
      <c r="R3131">
        <v>-0.96485719999999997</v>
      </c>
      <c r="S3131">
        <v>-0.58294679999999999</v>
      </c>
      <c r="T3131">
        <v>-0.1742427</v>
      </c>
      <c r="U3131">
        <v>-3.0358890000000001</v>
      </c>
      <c r="V3131">
        <v>0.2250993</v>
      </c>
      <c r="W3131">
        <v>0.20450289999999999</v>
      </c>
      <c r="X3131">
        <v>0.95263260000000005</v>
      </c>
      <c r="Y3131">
        <v>0.23451</v>
      </c>
      <c r="Z3131">
        <v>5.5895689999999998E-2</v>
      </c>
      <c r="AA3131">
        <v>0.97050539999999996</v>
      </c>
      <c r="AB3131">
        <v>25</v>
      </c>
      <c r="AC3131">
        <v>-3.7270999999999699</v>
      </c>
      <c r="AD3131">
        <v>-1.1106563944915999</v>
      </c>
      <c r="AE3131">
        <v>-19.115399999999902</v>
      </c>
      <c r="AF3131">
        <v>4.6119380119564397</v>
      </c>
      <c r="AG3131">
        <v>-1.1106563944915999</v>
      </c>
      <c r="AH3131">
        <v>18.856422983834999</v>
      </c>
      <c r="AI3131">
        <v>93.274565791869705</v>
      </c>
      <c r="AJ3131">
        <v>76.256305379106394</v>
      </c>
      <c r="AK3131">
        <v>19.4439763833958</v>
      </c>
      <c r="AL3131">
        <v>78.199599167605697</v>
      </c>
      <c r="AM3131">
        <v>76.705326265445805</v>
      </c>
      <c r="AN3131">
        <v>1.0000000007758201</v>
      </c>
    </row>
    <row r="3132" spans="1:40" x14ac:dyDescent="0.25">
      <c r="A3132" t="str">
        <f>"20190312172723448"</f>
        <v>20190312172723448</v>
      </c>
      <c r="B3132" t="str">
        <f>"1552382843442370"</f>
        <v>1552382843442370</v>
      </c>
      <c r="C3132" t="s">
        <v>40</v>
      </c>
      <c r="D3132">
        <v>3.4995440000000002</v>
      </c>
      <c r="E3132">
        <v>0.50373210000000002</v>
      </c>
      <c r="F3132" t="s">
        <v>41</v>
      </c>
      <c r="G3132">
        <v>-191.2724</v>
      </c>
      <c r="H3132" s="1">
        <v>-3.9406459999999998E-7</v>
      </c>
      <c r="I3132">
        <v>169.71850000000001</v>
      </c>
      <c r="J3132">
        <v>-187.61150000000001</v>
      </c>
      <c r="K3132">
        <v>1.110663</v>
      </c>
      <c r="L3132">
        <v>188.53870000000001</v>
      </c>
      <c r="M3132">
        <v>4.7572299999999998E-2</v>
      </c>
      <c r="N3132">
        <v>0</v>
      </c>
      <c r="O3132">
        <v>-0.99877890000000003</v>
      </c>
      <c r="P3132">
        <v>-0.18049280000000001</v>
      </c>
      <c r="Q3132">
        <v>0.19082360000000001</v>
      </c>
      <c r="R3132">
        <v>-0.96488799999999997</v>
      </c>
      <c r="S3132">
        <v>-0.58099369999999995</v>
      </c>
      <c r="T3132">
        <v>-0.17684810000000001</v>
      </c>
      <c r="U3132">
        <v>-3.0361479999999998</v>
      </c>
      <c r="V3132">
        <v>0.22607099999999999</v>
      </c>
      <c r="W3132">
        <v>0.20368459999999999</v>
      </c>
      <c r="X3132">
        <v>0.95257780000000003</v>
      </c>
      <c r="Y3132">
        <v>0.23416029999999999</v>
      </c>
      <c r="Z3132">
        <v>5.6728599999999997E-2</v>
      </c>
      <c r="AA3132">
        <v>0.97054149999999995</v>
      </c>
      <c r="AB3132">
        <v>25</v>
      </c>
      <c r="AC3132">
        <v>-3.6608999999999901</v>
      </c>
      <c r="AD3132">
        <v>-1.1106633940646</v>
      </c>
      <c r="AE3132">
        <v>-18.8202</v>
      </c>
      <c r="AF3132">
        <v>4.5369293843569301</v>
      </c>
      <c r="AG3132">
        <v>-1.1106633940646</v>
      </c>
      <c r="AH3132">
        <v>18.562424559893699</v>
      </c>
      <c r="AI3132">
        <v>93.326462875177498</v>
      </c>
      <c r="AJ3132">
        <v>76.265339978396497</v>
      </c>
      <c r="AK3132">
        <v>19.1410790436511</v>
      </c>
      <c r="AL3132">
        <v>78.247492255182607</v>
      </c>
      <c r="AM3132">
        <v>76.649246348279803</v>
      </c>
      <c r="AN3132">
        <v>0.99999998918549904</v>
      </c>
    </row>
    <row r="3133" spans="1:40" x14ac:dyDescent="0.25">
      <c r="A3133" t="str">
        <f>"20190312172723472"</f>
        <v>20190312172723472</v>
      </c>
      <c r="B3133" t="str">
        <f>"1552382843461894"</f>
        <v>1552382843461894</v>
      </c>
      <c r="C3133" t="s">
        <v>40</v>
      </c>
      <c r="D3133">
        <v>3.5196900000000002</v>
      </c>
      <c r="E3133">
        <v>0.50363549999999901</v>
      </c>
      <c r="F3133" t="s">
        <v>41</v>
      </c>
      <c r="G3133">
        <v>-191.1687</v>
      </c>
      <c r="H3133" s="1">
        <v>-4.406928E-7</v>
      </c>
      <c r="I3133">
        <v>169.89150000000001</v>
      </c>
      <c r="J3133">
        <v>-187.59829999999999</v>
      </c>
      <c r="K3133">
        <v>1.1106720000000001</v>
      </c>
      <c r="L3133">
        <v>188.26929999999999</v>
      </c>
      <c r="M3133">
        <v>4.7934589999999999E-2</v>
      </c>
      <c r="N3133">
        <v>0</v>
      </c>
      <c r="O3133">
        <v>-0.99876169999999997</v>
      </c>
      <c r="P3133">
        <v>-0.18154989999999999</v>
      </c>
      <c r="Q3133">
        <v>0.1892952</v>
      </c>
      <c r="R3133">
        <v>-0.96499089999999998</v>
      </c>
      <c r="S3133">
        <v>-0.57926940000000005</v>
      </c>
      <c r="T3133">
        <v>-0.18086479999999999</v>
      </c>
      <c r="U3133">
        <v>-3.036591</v>
      </c>
      <c r="V3133">
        <v>0.22747110000000001</v>
      </c>
      <c r="W3133">
        <v>0.20215959999999999</v>
      </c>
      <c r="X3133">
        <v>0.95256940000000001</v>
      </c>
      <c r="Y3133">
        <v>0.23394129999999999</v>
      </c>
      <c r="Z3133">
        <v>5.800744E-2</v>
      </c>
      <c r="AA3133">
        <v>0.97051869999999996</v>
      </c>
      <c r="AB3133">
        <v>25</v>
      </c>
      <c r="AC3133">
        <v>-3.5703999999999998</v>
      </c>
      <c r="AD3133">
        <v>-1.1106724406927999</v>
      </c>
      <c r="AE3133">
        <v>-18.377799999999901</v>
      </c>
      <c r="AF3133">
        <v>4.43170755547927</v>
      </c>
      <c r="AG3133">
        <v>-1.1106724406927999</v>
      </c>
      <c r="AH3133">
        <v>18.1217282578767</v>
      </c>
      <c r="AI3133">
        <v>93.407089606636504</v>
      </c>
      <c r="AJ3133">
        <v>76.257908869173704</v>
      </c>
      <c r="AK3133">
        <v>18.688784341955799</v>
      </c>
      <c r="AL3133">
        <v>78.336725348065102</v>
      </c>
      <c r="AM3133">
        <v>76.569435446234607</v>
      </c>
      <c r="AN3133">
        <v>1.00000003351186</v>
      </c>
    </row>
    <row r="3134" spans="1:40" x14ac:dyDescent="0.25">
      <c r="A3134" t="str">
        <f>"20190312172723495"</f>
        <v>20190312172723495</v>
      </c>
      <c r="B3134" t="str">
        <f>"1552382843482386"</f>
        <v>1552382843482386</v>
      </c>
      <c r="C3134" t="s">
        <v>40</v>
      </c>
      <c r="D3134">
        <v>3.5429620000000002</v>
      </c>
      <c r="E3134">
        <v>0.50358749999999997</v>
      </c>
      <c r="F3134" t="s">
        <v>41</v>
      </c>
      <c r="G3134">
        <v>-191.0342</v>
      </c>
      <c r="H3134" s="1">
        <v>-5.6718449999999899E-7</v>
      </c>
      <c r="I3134">
        <v>170.2698</v>
      </c>
      <c r="J3134">
        <v>-187.58590000000001</v>
      </c>
      <c r="K3134">
        <v>1.1106799999999999</v>
      </c>
      <c r="L3134">
        <v>188.01929999999999</v>
      </c>
      <c r="M3134">
        <v>4.8320009999999997E-2</v>
      </c>
      <c r="N3134">
        <v>0</v>
      </c>
      <c r="O3134">
        <v>-0.99874309999999999</v>
      </c>
      <c r="P3134">
        <v>-0.18266769999999999</v>
      </c>
      <c r="Q3134">
        <v>0.18773580000000001</v>
      </c>
      <c r="R3134">
        <v>-0.96508470000000002</v>
      </c>
      <c r="S3134">
        <v>-0.57965089999999997</v>
      </c>
      <c r="T3134">
        <v>-0.18737229999999999</v>
      </c>
      <c r="U3134">
        <v>-3.0365600000000001</v>
      </c>
      <c r="V3134">
        <v>0.22895360000000001</v>
      </c>
      <c r="W3134">
        <v>0.2006048</v>
      </c>
      <c r="X3134">
        <v>0.95254289999999997</v>
      </c>
      <c r="Y3134">
        <v>0.2344128</v>
      </c>
      <c r="Z3134">
        <v>6.0081620000000002E-2</v>
      </c>
      <c r="AA3134">
        <v>0.97027870000000005</v>
      </c>
      <c r="AB3134">
        <v>25</v>
      </c>
      <c r="AC3134">
        <v>-3.4482999999999802</v>
      </c>
      <c r="AD3134">
        <v>-1.1106805671844999</v>
      </c>
      <c r="AE3134">
        <v>-17.749499999999902</v>
      </c>
      <c r="AF3134">
        <v>4.2858319074264299</v>
      </c>
      <c r="AG3134">
        <v>-1.1106805671844999</v>
      </c>
      <c r="AH3134">
        <v>17.496109271074001</v>
      </c>
      <c r="AI3134">
        <v>93.528311419466903</v>
      </c>
      <c r="AJ3134">
        <v>76.235907789912702</v>
      </c>
      <c r="AK3134">
        <v>18.0475983467717</v>
      </c>
      <c r="AL3134">
        <v>78.427671766337397</v>
      </c>
      <c r="AM3134">
        <v>76.484743115903797</v>
      </c>
      <c r="AN3134">
        <v>1.0000000065382</v>
      </c>
    </row>
    <row r="3135" spans="1:40" x14ac:dyDescent="0.25">
      <c r="A3135" t="str">
        <f>"20190312172723517"</f>
        <v>20190312172723517</v>
      </c>
      <c r="B3135" t="str">
        <f>"1552382843512643"</f>
        <v>1552382843512643</v>
      </c>
      <c r="C3135" t="s">
        <v>40</v>
      </c>
      <c r="D3135">
        <v>3.5805039999999999</v>
      </c>
      <c r="E3135">
        <v>0.50349900000000003</v>
      </c>
      <c r="F3135" t="s">
        <v>41</v>
      </c>
      <c r="G3135">
        <v>-190.9144</v>
      </c>
      <c r="H3135" s="1">
        <v>-6.9221869999999998E-7</v>
      </c>
      <c r="I3135">
        <v>170.63550000000001</v>
      </c>
      <c r="J3135">
        <v>-187.5736</v>
      </c>
      <c r="K3135">
        <v>1.110692</v>
      </c>
      <c r="L3135">
        <v>187.77529999999999</v>
      </c>
      <c r="M3135">
        <v>4.8736340000000003E-2</v>
      </c>
      <c r="N3135">
        <v>0</v>
      </c>
      <c r="O3135">
        <v>-0.99872289999999997</v>
      </c>
      <c r="P3135">
        <v>-0.1838929</v>
      </c>
      <c r="Q3135">
        <v>0.1867509</v>
      </c>
      <c r="R3135">
        <v>-0.96504279999999998</v>
      </c>
      <c r="S3135">
        <v>-0.58135990000000004</v>
      </c>
      <c r="T3135">
        <v>-0.19399089999999999</v>
      </c>
      <c r="U3135">
        <v>-3.0362399999999998</v>
      </c>
      <c r="V3135">
        <v>0.23056560000000001</v>
      </c>
      <c r="W3135">
        <v>0.19962369999999999</v>
      </c>
      <c r="X3135">
        <v>0.95236019999999999</v>
      </c>
      <c r="Y3135">
        <v>0.2353392</v>
      </c>
      <c r="Z3135">
        <v>6.2189729999999999E-2</v>
      </c>
      <c r="AA3135">
        <v>0.96992160000000005</v>
      </c>
      <c r="AB3135">
        <v>25</v>
      </c>
      <c r="AC3135">
        <v>-3.3408000000000002</v>
      </c>
      <c r="AD3135">
        <v>-1.1106926922186999</v>
      </c>
      <c r="AE3135">
        <v>-17.139799999999902</v>
      </c>
      <c r="AF3135">
        <v>4.1554233885247402</v>
      </c>
      <c r="AG3135">
        <v>-1.1106926922186999</v>
      </c>
      <c r="AH3135">
        <v>16.8882728742552</v>
      </c>
      <c r="AI3135">
        <v>93.654078820346498</v>
      </c>
      <c r="AJ3135">
        <v>76.176754941163495</v>
      </c>
      <c r="AK3135">
        <v>17.4274192716464</v>
      </c>
      <c r="AL3135">
        <v>78.485045495368496</v>
      </c>
      <c r="AM3135">
        <v>76.390598680134502</v>
      </c>
      <c r="AN3135">
        <v>1.0000000340245401</v>
      </c>
    </row>
    <row r="3136" spans="1:40" x14ac:dyDescent="0.25">
      <c r="A3136" t="str">
        <f>"20190312172723538"</f>
        <v>20190312172723538</v>
      </c>
      <c r="B3136" t="str">
        <f>"1552382843532163"</f>
        <v>1552382843532163</v>
      </c>
      <c r="C3136" t="s">
        <v>40</v>
      </c>
      <c r="D3136">
        <v>3.5856629999999998</v>
      </c>
      <c r="E3136">
        <v>0.50348519999999997</v>
      </c>
      <c r="F3136" t="s">
        <v>41</v>
      </c>
      <c r="G3136">
        <v>-190.8426</v>
      </c>
      <c r="H3136" s="1">
        <v>-7.3103119999999901E-7</v>
      </c>
      <c r="I3136">
        <v>170.7706</v>
      </c>
      <c r="J3136">
        <v>-187.56180000000001</v>
      </c>
      <c r="K3136">
        <v>1.1107089999999999</v>
      </c>
      <c r="L3136">
        <v>187.54220000000001</v>
      </c>
      <c r="M3136">
        <v>4.9177180000000001E-2</v>
      </c>
      <c r="N3136">
        <v>0</v>
      </c>
      <c r="O3136">
        <v>-0.99870150000000002</v>
      </c>
      <c r="P3136">
        <v>-0.1855484</v>
      </c>
      <c r="Q3136">
        <v>0.1853697</v>
      </c>
      <c r="R3136">
        <v>-0.96499250000000003</v>
      </c>
      <c r="S3136">
        <v>-0.58360290000000004</v>
      </c>
      <c r="T3136">
        <v>-0.19829179999999999</v>
      </c>
      <c r="U3136">
        <v>-3.0358580000000002</v>
      </c>
      <c r="V3136">
        <v>0.23262869999999999</v>
      </c>
      <c r="W3136">
        <v>0.19824929999999999</v>
      </c>
      <c r="X3136">
        <v>0.95214549999999998</v>
      </c>
      <c r="Y3136">
        <v>0.23646529999999999</v>
      </c>
      <c r="Z3136">
        <v>6.3555310000000004E-2</v>
      </c>
      <c r="AA3136">
        <v>0.96955910000000001</v>
      </c>
      <c r="AB3136">
        <v>25</v>
      </c>
      <c r="AC3136">
        <v>-3.2808000000000002</v>
      </c>
      <c r="AD3136">
        <v>-1.1107097310312</v>
      </c>
      <c r="AE3136">
        <v>-16.771599999999999</v>
      </c>
      <c r="AF3136">
        <v>4.0844293093137196</v>
      </c>
      <c r="AG3136">
        <v>-1.1107097310312</v>
      </c>
      <c r="AH3136">
        <v>16.520164843790202</v>
      </c>
      <c r="AI3136">
        <v>93.734303116004</v>
      </c>
      <c r="AJ3136">
        <v>76.112740228565698</v>
      </c>
      <c r="AK3136">
        <v>17.0537997336485</v>
      </c>
      <c r="AL3136">
        <v>78.565398209230494</v>
      </c>
      <c r="AM3136">
        <v>76.2704309607346</v>
      </c>
      <c r="AN3136">
        <v>0.99999997509221406</v>
      </c>
    </row>
    <row r="3137" spans="1:40" x14ac:dyDescent="0.25">
      <c r="A3137" t="str">
        <f>"20190312172723561"</f>
        <v>20190312172723561</v>
      </c>
      <c r="B3137" t="str">
        <f>"1552382843552659"</f>
        <v>1552382843552659</v>
      </c>
      <c r="C3137" t="s">
        <v>40</v>
      </c>
      <c r="D3137">
        <v>3.5898129999999999</v>
      </c>
      <c r="E3137">
        <v>0.47806670000000001</v>
      </c>
      <c r="F3137" t="s">
        <v>41</v>
      </c>
      <c r="G3137">
        <v>-190.774</v>
      </c>
      <c r="H3137" s="1">
        <v>-7.7664980000000003E-7</v>
      </c>
      <c r="I3137">
        <v>170.9194</v>
      </c>
      <c r="J3137">
        <v>-187.54849999999999</v>
      </c>
      <c r="K3137">
        <v>1.1107389999999999</v>
      </c>
      <c r="L3137">
        <v>187.28460000000001</v>
      </c>
      <c r="M3137">
        <v>4.9724740000000003E-2</v>
      </c>
      <c r="N3137">
        <v>0</v>
      </c>
      <c r="O3137">
        <v>-0.99867450000000002</v>
      </c>
      <c r="P3137">
        <v>-0.18659719999999999</v>
      </c>
      <c r="Q3137">
        <v>0.18408169999999999</v>
      </c>
      <c r="R3137">
        <v>-0.96503680000000003</v>
      </c>
      <c r="S3137">
        <v>-0.58650210000000003</v>
      </c>
      <c r="T3137">
        <v>-0.20279539999999999</v>
      </c>
      <c r="U3137">
        <v>-3.0350190000000001</v>
      </c>
      <c r="V3137">
        <v>0.23418700000000001</v>
      </c>
      <c r="W3137">
        <v>0.19697600000000001</v>
      </c>
      <c r="X3137">
        <v>0.95202779999999998</v>
      </c>
      <c r="Y3137">
        <v>0.23792269999999999</v>
      </c>
      <c r="Z3137">
        <v>6.4989859999999997E-2</v>
      </c>
      <c r="AA3137">
        <v>0.96910739999999995</v>
      </c>
      <c r="AB3137">
        <v>25</v>
      </c>
      <c r="AC3137">
        <v>-3.22550000000001</v>
      </c>
      <c r="AD3137">
        <v>-1.1107397766497999</v>
      </c>
      <c r="AE3137">
        <v>-16.365200000000002</v>
      </c>
      <c r="AF3137">
        <v>4.0175213153609199</v>
      </c>
      <c r="AG3137">
        <v>-1.1107397766497999</v>
      </c>
      <c r="AH3137">
        <v>16.113099457660901</v>
      </c>
      <c r="AI3137">
        <v>93.826600504435106</v>
      </c>
      <c r="AJ3137">
        <v>75.999750901702001</v>
      </c>
      <c r="AK3137">
        <v>16.6435030718681</v>
      </c>
      <c r="AL3137">
        <v>78.639820972402802</v>
      </c>
      <c r="AM3137">
        <v>76.180332311220099</v>
      </c>
      <c r="AN3137">
        <v>1.00000001375892</v>
      </c>
    </row>
    <row r="3138" spans="1:40" x14ac:dyDescent="0.25">
      <c r="A3138" t="str">
        <f>"20190312172723582"</f>
        <v>20190312172723582</v>
      </c>
      <c r="B3138" t="str">
        <f>"1552382843572179"</f>
        <v>1552382843572179</v>
      </c>
      <c r="C3138" t="s">
        <v>40</v>
      </c>
      <c r="D3138">
        <v>3.4408449999999902</v>
      </c>
      <c r="E3138">
        <v>0.4674219</v>
      </c>
      <c r="F3138" t="s">
        <v>41</v>
      </c>
      <c r="G3138">
        <v>-189.5864</v>
      </c>
      <c r="H3138" s="1">
        <v>-7.3472630000000004E-7</v>
      </c>
      <c r="I3138">
        <v>171.17439999999999</v>
      </c>
      <c r="J3138">
        <v>-187.53569999999999</v>
      </c>
      <c r="K3138">
        <v>1.1107769999999999</v>
      </c>
      <c r="L3138">
        <v>187.0403</v>
      </c>
      <c r="M3138">
        <v>5.0314970000000001E-2</v>
      </c>
      <c r="N3138">
        <v>0</v>
      </c>
      <c r="O3138">
        <v>-0.9986448</v>
      </c>
      <c r="P3138">
        <v>-0.18685270000000001</v>
      </c>
      <c r="Q3138">
        <v>0.18220220000000001</v>
      </c>
      <c r="R3138">
        <v>-0.96534350000000002</v>
      </c>
      <c r="S3138">
        <v>-0.38885500000000001</v>
      </c>
      <c r="T3138">
        <v>-0.2119366</v>
      </c>
      <c r="U3138">
        <v>-3.0739290000000001</v>
      </c>
      <c r="V3138">
        <v>0.23500299999999999</v>
      </c>
      <c r="W3138">
        <v>0.19512109999999999</v>
      </c>
      <c r="X3138">
        <v>0.95220870000000002</v>
      </c>
      <c r="Y3138">
        <v>0.17497289999999999</v>
      </c>
      <c r="Z3138">
        <v>6.7852540000000003E-2</v>
      </c>
      <c r="AA3138">
        <v>0.98223240000000001</v>
      </c>
      <c r="AB3138">
        <v>25</v>
      </c>
      <c r="AC3138">
        <v>-2.0507</v>
      </c>
      <c r="AD3138">
        <v>-1.1107777347262999</v>
      </c>
      <c r="AE3138">
        <v>-15.8659</v>
      </c>
      <c r="AF3138">
        <v>2.8328083221957199</v>
      </c>
      <c r="AG3138">
        <v>-1.1107777347262999</v>
      </c>
      <c r="AH3138">
        <v>15.6670809811687</v>
      </c>
      <c r="AI3138">
        <v>93.990918663689101</v>
      </c>
      <c r="AJ3138">
        <v>79.750925806082904</v>
      </c>
      <c r="AK3138">
        <v>15.9598263347934</v>
      </c>
      <c r="AL3138">
        <v>78.748202351340495</v>
      </c>
      <c r="AM3138">
        <v>76.136566953636404</v>
      </c>
      <c r="AN3138">
        <v>1.0000000310149399</v>
      </c>
    </row>
    <row r="3139" spans="1:40" x14ac:dyDescent="0.25">
      <c r="A3139" t="str">
        <f>"20190312172723605"</f>
        <v>20190312172723605</v>
      </c>
      <c r="B3139" t="str">
        <f>"1552382843602434"</f>
        <v>1552382843602434</v>
      </c>
      <c r="C3139" t="s">
        <v>40</v>
      </c>
      <c r="D3139">
        <v>3.4257430000000002</v>
      </c>
      <c r="E3139">
        <v>0.46306540000000002</v>
      </c>
      <c r="F3139" t="s">
        <v>41</v>
      </c>
      <c r="G3139">
        <v>-189.12129999999999</v>
      </c>
      <c r="H3139" s="1">
        <v>-7.2413659999999997E-7</v>
      </c>
      <c r="I3139">
        <v>170.95740000000001</v>
      </c>
      <c r="J3139">
        <v>-187.52260000000001</v>
      </c>
      <c r="K3139">
        <v>1.1108260000000001</v>
      </c>
      <c r="L3139">
        <v>186.79570000000001</v>
      </c>
      <c r="M3139">
        <v>5.0986959999999998E-2</v>
      </c>
      <c r="N3139">
        <v>0</v>
      </c>
      <c r="O3139">
        <v>-0.99861100000000003</v>
      </c>
      <c r="P3139">
        <v>-0.18729680000000001</v>
      </c>
      <c r="Q3139">
        <v>0.1802368</v>
      </c>
      <c r="R3139">
        <v>-0.96562680000000001</v>
      </c>
      <c r="S3139">
        <v>-0.30455019999999999</v>
      </c>
      <c r="T3139">
        <v>-0.21334539999999999</v>
      </c>
      <c r="U3139">
        <v>-3.0890049999999998</v>
      </c>
      <c r="V3139">
        <v>0.2360795</v>
      </c>
      <c r="W3139">
        <v>0.19318689999999999</v>
      </c>
      <c r="X3139">
        <v>0.95233670000000004</v>
      </c>
      <c r="Y3139">
        <v>0.1485042</v>
      </c>
      <c r="Z3139">
        <v>6.8220669999999997E-2</v>
      </c>
      <c r="AA3139">
        <v>0.98655590000000004</v>
      </c>
      <c r="AB3139">
        <v>25</v>
      </c>
      <c r="AC3139">
        <v>-1.59869999999997</v>
      </c>
      <c r="AD3139">
        <v>-1.1108267241366001</v>
      </c>
      <c r="AE3139">
        <v>-15.8383</v>
      </c>
      <c r="AF3139">
        <v>2.3925878360867601</v>
      </c>
      <c r="AG3139">
        <v>-1.1108267241366001</v>
      </c>
      <c r="AH3139">
        <v>15.659921748384299</v>
      </c>
      <c r="AI3139">
        <v>94.011053639531795</v>
      </c>
      <c r="AJ3139">
        <v>81.313288635512393</v>
      </c>
      <c r="AK3139">
        <v>15.8805403475438</v>
      </c>
      <c r="AL3139">
        <v>78.861172666600893</v>
      </c>
      <c r="AM3139">
        <v>76.077326037832705</v>
      </c>
      <c r="AN3139">
        <v>0.99999994940937298</v>
      </c>
    </row>
    <row r="3140" spans="1:40" x14ac:dyDescent="0.25">
      <c r="A3140" t="str">
        <f>"20190312172723626"</f>
        <v>20190312172723626</v>
      </c>
      <c r="B3140" t="str">
        <f>"1552382843621955"</f>
        <v>1552382843621955</v>
      </c>
      <c r="C3140" t="s">
        <v>40</v>
      </c>
      <c r="D3140">
        <v>3.6109300000000002</v>
      </c>
      <c r="E3140">
        <v>0.46272920000000001</v>
      </c>
      <c r="F3140" t="s">
        <v>41</v>
      </c>
      <c r="G3140">
        <v>-188.90100000000001</v>
      </c>
      <c r="H3140" s="1">
        <v>-7.7795430000000004E-7</v>
      </c>
      <c r="I3140">
        <v>170.99180000000001</v>
      </c>
      <c r="J3140">
        <v>-187.50989999999999</v>
      </c>
      <c r="K3140">
        <v>1.1108629999999999</v>
      </c>
      <c r="L3140">
        <v>186.56120000000001</v>
      </c>
      <c r="M3140">
        <v>5.1720130000000003E-2</v>
      </c>
      <c r="N3140">
        <v>0</v>
      </c>
      <c r="O3140">
        <v>-0.99857320000000005</v>
      </c>
      <c r="P3140">
        <v>-0.18794269999999999</v>
      </c>
      <c r="Q3140">
        <v>0.1788891</v>
      </c>
      <c r="R3140">
        <v>-0.96575200000000005</v>
      </c>
      <c r="S3140">
        <v>-0.26994319999999999</v>
      </c>
      <c r="T3140">
        <v>-0.2175444</v>
      </c>
      <c r="U3140">
        <v>-3.0950319999999998</v>
      </c>
      <c r="V3140">
        <v>0.2374049</v>
      </c>
      <c r="W3140">
        <v>0.19187299999999999</v>
      </c>
      <c r="X3140">
        <v>0.95227289999999998</v>
      </c>
      <c r="Y3140">
        <v>0.13809009999999999</v>
      </c>
      <c r="Z3140">
        <v>6.9507159999999998E-2</v>
      </c>
      <c r="AA3140">
        <v>0.98797769999999996</v>
      </c>
      <c r="AB3140">
        <v>25</v>
      </c>
      <c r="AC3140">
        <v>-1.39109999999999</v>
      </c>
      <c r="AD3140">
        <v>-1.1108637779543</v>
      </c>
      <c r="AE3140">
        <v>-15.5694</v>
      </c>
      <c r="AF3140">
        <v>2.1835326669866699</v>
      </c>
      <c r="AG3140">
        <v>-1.1108637779543</v>
      </c>
      <c r="AH3140">
        <v>15.3988342315978</v>
      </c>
      <c r="AI3140">
        <v>94.085412107493894</v>
      </c>
      <c r="AJ3140">
        <v>81.929345181043203</v>
      </c>
      <c r="AK3140">
        <v>15.5924959173699</v>
      </c>
      <c r="AL3140">
        <v>78.937889504523497</v>
      </c>
      <c r="AM3140">
        <v>76.001325542696605</v>
      </c>
      <c r="AN3140">
        <v>1.0000000053737099</v>
      </c>
    </row>
    <row r="3141" spans="1:40" x14ac:dyDescent="0.25">
      <c r="A3141" t="str">
        <f>"20190312172723649"</f>
        <v>20190312172723649</v>
      </c>
      <c r="B3141" t="str">
        <f>"1552382843642451"</f>
        <v>1552382843642451</v>
      </c>
      <c r="C3141" t="s">
        <v>40</v>
      </c>
      <c r="D3141">
        <v>3.4908480000000002</v>
      </c>
      <c r="E3141">
        <v>0.46209830000000002</v>
      </c>
      <c r="F3141" t="s">
        <v>41</v>
      </c>
      <c r="G3141">
        <v>-188.8409</v>
      </c>
      <c r="H3141" s="1">
        <v>-8.6230030000000002E-7</v>
      </c>
      <c r="I3141">
        <v>171.1636</v>
      </c>
      <c r="J3141">
        <v>-187.49610000000001</v>
      </c>
      <c r="K3141">
        <v>1.1108979999999999</v>
      </c>
      <c r="L3141">
        <v>186.31370000000001</v>
      </c>
      <c r="M3141">
        <v>5.2596320000000002E-2</v>
      </c>
      <c r="N3141">
        <v>0</v>
      </c>
      <c r="O3141">
        <v>-0.99852739999999995</v>
      </c>
      <c r="P3141">
        <v>-0.18851560000000001</v>
      </c>
      <c r="Q3141">
        <v>0.1770669</v>
      </c>
      <c r="R3141">
        <v>-0.96597580000000005</v>
      </c>
      <c r="S3141">
        <v>-0.26760859999999997</v>
      </c>
      <c r="T3141">
        <v>-0.22333529999999999</v>
      </c>
      <c r="U3141">
        <v>-3.0956419999999998</v>
      </c>
      <c r="V3141">
        <v>0.2387968</v>
      </c>
      <c r="W3141">
        <v>0.19009110000000001</v>
      </c>
      <c r="X3141">
        <v>0.95228219999999997</v>
      </c>
      <c r="Y3141">
        <v>0.1381916</v>
      </c>
      <c r="Z3141">
        <v>7.1330879999999999E-2</v>
      </c>
      <c r="AA3141">
        <v>0.98783350000000003</v>
      </c>
      <c r="AB3141">
        <v>25</v>
      </c>
      <c r="AC3141">
        <v>-1.34479999999999</v>
      </c>
      <c r="AD3141">
        <v>-1.1108988623003</v>
      </c>
      <c r="AE3141">
        <v>-15.1501</v>
      </c>
      <c r="AF3141">
        <v>2.1284933134296899</v>
      </c>
      <c r="AG3141">
        <v>-1.1108988623003</v>
      </c>
      <c r="AH3141">
        <v>14.9784829581012</v>
      </c>
      <c r="AI3141">
        <v>94.199613808756894</v>
      </c>
      <c r="AJ3141">
        <v>81.912224820095702</v>
      </c>
      <c r="AK3141">
        <v>15.1696912227541</v>
      </c>
      <c r="AL3141">
        <v>79.041898855044096</v>
      </c>
      <c r="AM3141">
        <v>75.922638135304695</v>
      </c>
      <c r="AN3141">
        <v>0.99999996321314399</v>
      </c>
    </row>
    <row r="3142" spans="1:40" x14ac:dyDescent="0.25">
      <c r="A3142" t="str">
        <f>"20190312172723671"</f>
        <v>20190312172723671</v>
      </c>
      <c r="B3142" t="str">
        <f>"1552382843661974"</f>
        <v>1552382843661974</v>
      </c>
      <c r="C3142" t="s">
        <v>40</v>
      </c>
      <c r="D3142">
        <v>3.4520960000000001</v>
      </c>
      <c r="E3142">
        <v>0.46109600000000001</v>
      </c>
      <c r="F3142" t="s">
        <v>44</v>
      </c>
      <c r="G3142">
        <v>-187.57679999999999</v>
      </c>
      <c r="H3142">
        <v>1.042081</v>
      </c>
      <c r="I3142">
        <v>185.36940000000001</v>
      </c>
      <c r="J3142">
        <v>-187.48220000000001</v>
      </c>
      <c r="K3142">
        <v>1.1109249999999999</v>
      </c>
      <c r="L3142">
        <v>186.0712</v>
      </c>
      <c r="M3142">
        <v>5.3550960000000002E-2</v>
      </c>
      <c r="N3142">
        <v>0</v>
      </c>
      <c r="O3142">
        <v>-0.99847649999999999</v>
      </c>
      <c r="P3142">
        <v>-0.18834020000000001</v>
      </c>
      <c r="Q3142">
        <v>0.17398379999999999</v>
      </c>
      <c r="R3142">
        <v>-0.96657000000000004</v>
      </c>
      <c r="S3142">
        <v>-0.26373289999999999</v>
      </c>
      <c r="T3142">
        <v>-0.22580829999999999</v>
      </c>
      <c r="U3142">
        <v>-3.095596</v>
      </c>
      <c r="V3142">
        <v>0.2395418</v>
      </c>
      <c r="W3142">
        <v>0.18704960000000001</v>
      </c>
      <c r="X3142">
        <v>0.95269729999999997</v>
      </c>
      <c r="Y3142">
        <v>0.13790720000000001</v>
      </c>
      <c r="Z3142">
        <v>7.2117399999999998E-2</v>
      </c>
      <c r="AA3142">
        <v>0.98781609999999997</v>
      </c>
      <c r="AB3142">
        <v>25</v>
      </c>
      <c r="AC3142">
        <v>-9.4599999999985501E-2</v>
      </c>
      <c r="AD3142">
        <v>-6.8843999999999905E-2</v>
      </c>
      <c r="AE3142">
        <v>-0.70179999999999099</v>
      </c>
      <c r="AF3142">
        <v>0.13081328836057199</v>
      </c>
      <c r="AG3142">
        <v>-6.8843999999999905E-2</v>
      </c>
      <c r="AH3142">
        <v>0.68921259311880601</v>
      </c>
      <c r="AI3142">
        <v>95.604825898162701</v>
      </c>
      <c r="AJ3142">
        <v>79.253033977592494</v>
      </c>
      <c r="AK3142">
        <v>0.70488694927715501</v>
      </c>
      <c r="AL3142">
        <v>79.219347787737107</v>
      </c>
      <c r="AM3142">
        <v>75.886379647608706</v>
      </c>
      <c r="AN3142">
        <v>0.99999998611734398</v>
      </c>
    </row>
    <row r="3143" spans="1:40" x14ac:dyDescent="0.25">
      <c r="A3143" t="str">
        <f>"20190312172723695"</f>
        <v>20190312172723695</v>
      </c>
      <c r="B3143" t="str">
        <f>"1552382843682466"</f>
        <v>1552382843682466</v>
      </c>
      <c r="C3143" t="s">
        <v>40</v>
      </c>
      <c r="D3143">
        <v>3.428321</v>
      </c>
      <c r="E3143">
        <v>0.4601751</v>
      </c>
      <c r="F3143" t="s">
        <v>44</v>
      </c>
      <c r="G3143">
        <v>-187.55789999999999</v>
      </c>
      <c r="H3143">
        <v>1.0431429999999999</v>
      </c>
      <c r="I3143">
        <v>185.1506</v>
      </c>
      <c r="J3143">
        <v>-187.46729999999999</v>
      </c>
      <c r="K3143">
        <v>1.110957</v>
      </c>
      <c r="L3143">
        <v>185.8158</v>
      </c>
      <c r="M3143">
        <v>5.4633590000000003E-2</v>
      </c>
      <c r="N3143">
        <v>0</v>
      </c>
      <c r="O3143">
        <v>-0.99841789999999997</v>
      </c>
      <c r="P3143">
        <v>-0.18757979999999999</v>
      </c>
      <c r="Q3143">
        <v>0.17128979999999999</v>
      </c>
      <c r="R3143">
        <v>-0.96719909999999998</v>
      </c>
      <c r="S3143">
        <v>-0.25418089999999999</v>
      </c>
      <c r="T3143">
        <v>-0.2279639</v>
      </c>
      <c r="U3143">
        <v>-3.0952760000000001</v>
      </c>
      <c r="V3143">
        <v>0.23983389999999999</v>
      </c>
      <c r="W3143">
        <v>0.18438969999999999</v>
      </c>
      <c r="X3143">
        <v>0.95314219999999905</v>
      </c>
      <c r="Y3143">
        <v>0.135958</v>
      </c>
      <c r="Z3143">
        <v>7.2822369999999997E-2</v>
      </c>
      <c r="AA3143">
        <v>0.98803450000000004</v>
      </c>
      <c r="AB3143">
        <v>25</v>
      </c>
      <c r="AC3143">
        <v>-9.0599999999994907E-2</v>
      </c>
      <c r="AD3143">
        <v>-6.7813999999999999E-2</v>
      </c>
      <c r="AE3143">
        <v>-0.66519999999999802</v>
      </c>
      <c r="AF3143">
        <v>0.125529294864514</v>
      </c>
      <c r="AG3143">
        <v>-6.7813999999999999E-2</v>
      </c>
      <c r="AH3143">
        <v>0.65259727125157196</v>
      </c>
      <c r="AI3143">
        <v>95.826486490337899</v>
      </c>
      <c r="AJ3143">
        <v>79.111948275820595</v>
      </c>
      <c r="AK3143">
        <v>0.66801163231651794</v>
      </c>
      <c r="AL3143">
        <v>79.374446874198796</v>
      </c>
      <c r="AM3143">
        <v>75.876189863403596</v>
      </c>
      <c r="AN3143">
        <v>0.999999957238068</v>
      </c>
    </row>
    <row r="3144" spans="1:40" x14ac:dyDescent="0.25">
      <c r="A3144" t="str">
        <f>"20190312172723716"</f>
        <v>20190312172723716</v>
      </c>
      <c r="B3144" t="str">
        <f>"1552382843712722"</f>
        <v>1552382843712722</v>
      </c>
      <c r="C3144" t="s">
        <v>40</v>
      </c>
      <c r="D3144">
        <v>3.450272</v>
      </c>
      <c r="E3144">
        <v>0.45991500000000002</v>
      </c>
      <c r="F3144" t="s">
        <v>44</v>
      </c>
      <c r="G3144">
        <v>-187.53729999999999</v>
      </c>
      <c r="H3144">
        <v>1.044484</v>
      </c>
      <c r="I3144">
        <v>184.93170000000001</v>
      </c>
      <c r="J3144">
        <v>-187.45339999999999</v>
      </c>
      <c r="K3144">
        <v>1.110986</v>
      </c>
      <c r="L3144">
        <v>185.58250000000001</v>
      </c>
      <c r="M3144">
        <v>5.5672850000000003E-2</v>
      </c>
      <c r="N3144">
        <v>0</v>
      </c>
      <c r="O3144">
        <v>-0.99836049999999998</v>
      </c>
      <c r="P3144">
        <v>-0.18648300000000001</v>
      </c>
      <c r="Q3144">
        <v>0.17057659999999999</v>
      </c>
      <c r="R3144">
        <v>-0.96753690000000003</v>
      </c>
      <c r="S3144">
        <v>-0.2445679</v>
      </c>
      <c r="T3144">
        <v>-0.23284850000000001</v>
      </c>
      <c r="U3144">
        <v>-3.0955349999999999</v>
      </c>
      <c r="V3144">
        <v>0.23973949999999999</v>
      </c>
      <c r="W3144">
        <v>0.1836951</v>
      </c>
      <c r="X3144">
        <v>0.95330009999999998</v>
      </c>
      <c r="Y3144">
        <v>0.1339246</v>
      </c>
      <c r="Z3144">
        <v>7.4381050000000004E-2</v>
      </c>
      <c r="AA3144">
        <v>0.98819610000000002</v>
      </c>
      <c r="AB3144">
        <v>25</v>
      </c>
      <c r="AC3144">
        <v>-8.3899999999999794E-2</v>
      </c>
      <c r="AD3144">
        <v>-6.6502000000000006E-2</v>
      </c>
      <c r="AE3144">
        <v>-0.65080000000000304</v>
      </c>
      <c r="AF3144">
        <v>0.118784900297772</v>
      </c>
      <c r="AG3144">
        <v>-6.6502000000000006E-2</v>
      </c>
      <c r="AH3144">
        <v>0.63856040813014303</v>
      </c>
      <c r="AI3144">
        <v>95.845984565431905</v>
      </c>
      <c r="AJ3144">
        <v>79.462293728243196</v>
      </c>
      <c r="AK3144">
        <v>0.65291022612154503</v>
      </c>
      <c r="AL3144">
        <v>79.414936599457604</v>
      </c>
      <c r="AM3144">
        <v>75.883771733798397</v>
      </c>
      <c r="AN3144">
        <v>0.999999999142134</v>
      </c>
    </row>
    <row r="3145" spans="1:40" x14ac:dyDescent="0.25">
      <c r="A3145" t="str">
        <f>"20190312172723739"</f>
        <v>20190312172723739</v>
      </c>
      <c r="B3145" t="str">
        <f>"1552382843732243"</f>
        <v>1552382843732243</v>
      </c>
      <c r="C3145" t="s">
        <v>40</v>
      </c>
      <c r="D3145">
        <v>3.628628</v>
      </c>
      <c r="E3145">
        <v>0.45967659999999999</v>
      </c>
      <c r="F3145" t="s">
        <v>44</v>
      </c>
      <c r="G3145">
        <v>-187.5205</v>
      </c>
      <c r="H3145">
        <v>1.0448489999999999</v>
      </c>
      <c r="I3145">
        <v>184.71299999999999</v>
      </c>
      <c r="J3145">
        <v>-187.43819999999999</v>
      </c>
      <c r="K3145">
        <v>1.1110199999999999</v>
      </c>
      <c r="L3145">
        <v>185.3329</v>
      </c>
      <c r="M3145">
        <v>5.6816470000000001E-2</v>
      </c>
      <c r="N3145">
        <v>0</v>
      </c>
      <c r="O3145">
        <v>-0.99829619999999997</v>
      </c>
      <c r="P3145">
        <v>-0.18612029999999999</v>
      </c>
      <c r="Q3145">
        <v>0.1717902</v>
      </c>
      <c r="R3145">
        <v>-0.96739249999999999</v>
      </c>
      <c r="S3145">
        <v>-0.23893739999999999</v>
      </c>
      <c r="T3145">
        <v>-0.23556640000000001</v>
      </c>
      <c r="U3145">
        <v>-3.0961460000000001</v>
      </c>
      <c r="V3145">
        <v>0.2404539</v>
      </c>
      <c r="W3145">
        <v>0.1849122</v>
      </c>
      <c r="X3145">
        <v>0.95288479999999998</v>
      </c>
      <c r="Y3145">
        <v>0.13325329999999999</v>
      </c>
      <c r="Z3145">
        <v>7.5230959999999999E-2</v>
      </c>
      <c r="AA3145">
        <v>0.98822259999999995</v>
      </c>
      <c r="AB3145">
        <v>25</v>
      </c>
      <c r="AC3145">
        <v>-8.2300000000003495E-2</v>
      </c>
      <c r="AD3145">
        <v>-6.6171000000000202E-2</v>
      </c>
      <c r="AE3145">
        <v>-0.61990000000000101</v>
      </c>
      <c r="AF3145">
        <v>0.116090796980744</v>
      </c>
      <c r="AG3145">
        <v>-6.6171000000000202E-2</v>
      </c>
      <c r="AH3145">
        <v>0.60742072831699001</v>
      </c>
      <c r="AI3145">
        <v>96.107466506005807</v>
      </c>
      <c r="AJ3145">
        <v>79.180060435530905</v>
      </c>
      <c r="AK3145">
        <v>0.62194502616691705</v>
      </c>
      <c r="AL3145">
        <v>79.343986714342805</v>
      </c>
      <c r="AM3145">
        <v>75.837473908567404</v>
      </c>
      <c r="AN3145">
        <v>1.0000000209025399</v>
      </c>
    </row>
    <row r="3146" spans="1:40" x14ac:dyDescent="0.25">
      <c r="A3146" t="str">
        <f>"20190312172723761"</f>
        <v>20190312172723761</v>
      </c>
      <c r="B3146" t="str">
        <f>"1552382843752065"</f>
        <v>1552382843752065</v>
      </c>
      <c r="C3146" t="s">
        <v>40</v>
      </c>
      <c r="D3146">
        <v>3.4697420000000001</v>
      </c>
      <c r="E3146">
        <v>0.45928770000000002</v>
      </c>
      <c r="F3146" t="s">
        <v>44</v>
      </c>
      <c r="G3146">
        <v>-187.50210000000001</v>
      </c>
      <c r="H3146">
        <v>1.0488</v>
      </c>
      <c r="I3146">
        <v>184.4915</v>
      </c>
      <c r="J3146">
        <v>-187.42259999999999</v>
      </c>
      <c r="K3146">
        <v>1.1110390000000001</v>
      </c>
      <c r="L3146">
        <v>185.08150000000001</v>
      </c>
      <c r="M3146">
        <v>5.7980099999999903E-2</v>
      </c>
      <c r="N3146">
        <v>0</v>
      </c>
      <c r="O3146">
        <v>-0.99822920000000004</v>
      </c>
      <c r="P3146">
        <v>-0.18578649999999999</v>
      </c>
      <c r="Q3146">
        <v>0.1734964</v>
      </c>
      <c r="R3146">
        <v>-0.96715180000000001</v>
      </c>
      <c r="S3146">
        <v>-0.23466490000000001</v>
      </c>
      <c r="T3146">
        <v>-0.2292061</v>
      </c>
      <c r="U3146">
        <v>-3.0966640000000001</v>
      </c>
      <c r="V3146">
        <v>0.24121490000000001</v>
      </c>
      <c r="W3146">
        <v>0.1866139</v>
      </c>
      <c r="X3146">
        <v>0.95236050000000005</v>
      </c>
      <c r="Y3146">
        <v>0.133051799999999</v>
      </c>
      <c r="Z3146">
        <v>7.3196170000000005E-2</v>
      </c>
      <c r="AA3146">
        <v>0.98840249999999996</v>
      </c>
      <c r="AB3146">
        <v>25</v>
      </c>
      <c r="AC3146">
        <v>-7.9500000000024301E-2</v>
      </c>
      <c r="AD3146">
        <v>-6.2238999999999899E-2</v>
      </c>
      <c r="AE3146">
        <v>-0.59000000000000297</v>
      </c>
      <c r="AF3146">
        <v>0.112349576754317</v>
      </c>
      <c r="AG3146">
        <v>-6.2238999999999899E-2</v>
      </c>
      <c r="AH3146">
        <v>0.57807925478341704</v>
      </c>
      <c r="AI3146">
        <v>96.033060513398496</v>
      </c>
      <c r="AJ3146">
        <v>79.001685442693301</v>
      </c>
      <c r="AK3146">
        <v>0.59217543458744104</v>
      </c>
      <c r="AL3146">
        <v>79.244758595931401</v>
      </c>
      <c r="AM3146">
        <v>75.7869596760397</v>
      </c>
      <c r="AN3146">
        <v>0.99999994880773302</v>
      </c>
    </row>
    <row r="3147" spans="1:40" x14ac:dyDescent="0.25">
      <c r="A3147" t="str">
        <f>"20190312172723783"</f>
        <v>20190312172723783</v>
      </c>
      <c r="B3147" t="str">
        <f>"1552382843772565"</f>
        <v>1552382843772565</v>
      </c>
      <c r="C3147" t="s">
        <v>40</v>
      </c>
      <c r="D3147">
        <v>3.5578979999999998</v>
      </c>
      <c r="E3147">
        <v>0.4588701</v>
      </c>
      <c r="F3147" t="s">
        <v>41</v>
      </c>
      <c r="G3147">
        <v>-188.589</v>
      </c>
      <c r="H3147" s="1">
        <v>-4.8785739999999999E-6</v>
      </c>
      <c r="I3147">
        <v>169.42230000000001</v>
      </c>
      <c r="J3147">
        <v>-187.40799999999999</v>
      </c>
      <c r="K3147">
        <v>1.1110420000000001</v>
      </c>
      <c r="L3147">
        <v>184.85140000000001</v>
      </c>
      <c r="M3147">
        <v>5.9040670000000003E-2</v>
      </c>
      <c r="N3147">
        <v>0</v>
      </c>
      <c r="O3147">
        <v>-0.99816729999999998</v>
      </c>
      <c r="P3147">
        <v>-0.1858214</v>
      </c>
      <c r="Q3147">
        <v>0.17494949999999901</v>
      </c>
      <c r="R3147">
        <v>-0.96688359999999995</v>
      </c>
      <c r="S3147">
        <v>-0.2306976</v>
      </c>
      <c r="T3147">
        <v>-0.21973799999999999</v>
      </c>
      <c r="U3147">
        <v>-3.0970149999999999</v>
      </c>
      <c r="V3147">
        <v>0.24224699999999999</v>
      </c>
      <c r="W3147">
        <v>0.18805849999999999</v>
      </c>
      <c r="X3147">
        <v>0.9518143</v>
      </c>
      <c r="Y3147">
        <v>0.13285350000000001</v>
      </c>
      <c r="Z3147">
        <v>7.0177820000000002E-2</v>
      </c>
      <c r="AA3147">
        <v>0.98864810000000003</v>
      </c>
      <c r="AB3147">
        <v>25</v>
      </c>
      <c r="AC3147">
        <v>-1.18100000000004</v>
      </c>
      <c r="AD3147">
        <v>-1.111046878574</v>
      </c>
      <c r="AE3147">
        <v>-15.4291</v>
      </c>
      <c r="AF3147">
        <v>2.0792452099025001</v>
      </c>
      <c r="AG3147">
        <v>-1.111046878574</v>
      </c>
      <c r="AH3147">
        <v>15.2538105933714</v>
      </c>
      <c r="AI3147">
        <v>94.127876551274596</v>
      </c>
      <c r="AJ3147">
        <v>82.237857352144403</v>
      </c>
      <c r="AK3147">
        <v>15.434909245853699</v>
      </c>
      <c r="AL3147">
        <v>79.160498272736405</v>
      </c>
      <c r="AM3147">
        <v>75.720770087081107</v>
      </c>
      <c r="AN3147">
        <v>1.0000000350578599</v>
      </c>
    </row>
    <row r="3148" spans="1:40" x14ac:dyDescent="0.25">
      <c r="A3148" t="str">
        <f>"20190312172723805"</f>
        <v>20190312172723805</v>
      </c>
      <c r="B3148" t="str">
        <f>"1552382843801841"</f>
        <v>1552382843801841</v>
      </c>
      <c r="C3148" t="s">
        <v>40</v>
      </c>
      <c r="D3148">
        <v>3.584708</v>
      </c>
      <c r="E3148">
        <v>0.4585572</v>
      </c>
      <c r="F3148" t="s">
        <v>41</v>
      </c>
      <c r="G3148">
        <v>-188.5916</v>
      </c>
      <c r="H3148" s="1">
        <v>-4.5506089999999997E-6</v>
      </c>
      <c r="I3148">
        <v>168.7294</v>
      </c>
      <c r="J3148">
        <v>-187.39250000000001</v>
      </c>
      <c r="K3148">
        <v>1.1110420000000001</v>
      </c>
      <c r="L3148">
        <v>184.6103</v>
      </c>
      <c r="M3148">
        <v>6.014038E-2</v>
      </c>
      <c r="N3148">
        <v>0</v>
      </c>
      <c r="O3148">
        <v>-0.99810149999999997</v>
      </c>
      <c r="P3148">
        <v>-0.18694259999999999</v>
      </c>
      <c r="Q3148">
        <v>0.17490149999999999</v>
      </c>
      <c r="R3148">
        <v>-0.96667579999999997</v>
      </c>
      <c r="S3148">
        <v>-0.22741700000000001</v>
      </c>
      <c r="T3148">
        <v>-0.21347630000000001</v>
      </c>
      <c r="U3148">
        <v>-3.0976720000000002</v>
      </c>
      <c r="V3148">
        <v>0.24440819999999999</v>
      </c>
      <c r="W3148">
        <v>0.1880018</v>
      </c>
      <c r="X3148">
        <v>0.95127280000000003</v>
      </c>
      <c r="Y3148">
        <v>0.13289889999999999</v>
      </c>
      <c r="Z3148">
        <v>6.8168919999999994E-2</v>
      </c>
      <c r="AA3148">
        <v>0.98878250000000001</v>
      </c>
      <c r="AB3148">
        <v>25</v>
      </c>
      <c r="AC3148">
        <v>-1.1990999999999801</v>
      </c>
      <c r="AD3148">
        <v>-1.1110465506089999</v>
      </c>
      <c r="AE3148">
        <v>-15.880899999999899</v>
      </c>
      <c r="AF3148">
        <v>2.1416736910271101</v>
      </c>
      <c r="AG3148">
        <v>-1.1110465506089999</v>
      </c>
      <c r="AH3148">
        <v>15.7036020538829</v>
      </c>
      <c r="AI3148">
        <v>94.009995699853903</v>
      </c>
      <c r="AJ3148">
        <v>82.233854634368797</v>
      </c>
      <c r="AK3148">
        <v>15.8878666945305</v>
      </c>
      <c r="AL3148">
        <v>79.163805474885706</v>
      </c>
      <c r="AM3148">
        <v>75.590797984075394</v>
      </c>
      <c r="AN3148">
        <v>0.99999999252516003</v>
      </c>
    </row>
    <row r="3149" spans="1:40" x14ac:dyDescent="0.25">
      <c r="A3149" t="str">
        <f>"20190312172723838"</f>
        <v>20190312172723838</v>
      </c>
      <c r="B3149" t="str">
        <f>"1552382843832098"</f>
        <v>1552382843832098</v>
      </c>
      <c r="C3149" t="s">
        <v>40</v>
      </c>
      <c r="D3149">
        <v>3.4393989999999999</v>
      </c>
      <c r="E3149">
        <v>0.45876650000000002</v>
      </c>
      <c r="F3149" t="s">
        <v>41</v>
      </c>
      <c r="G3149">
        <v>-188.6001</v>
      </c>
      <c r="H3149" s="1">
        <v>-4.2994769999999997E-6</v>
      </c>
      <c r="I3149">
        <v>168.20140000000001</v>
      </c>
      <c r="J3149">
        <v>-187.3681</v>
      </c>
      <c r="K3149">
        <v>1.111013</v>
      </c>
      <c r="L3149">
        <v>184.24</v>
      </c>
      <c r="M3149">
        <v>6.1798350000000002E-2</v>
      </c>
      <c r="N3149">
        <v>0</v>
      </c>
      <c r="O3149">
        <v>-0.99800029999999995</v>
      </c>
      <c r="P3149">
        <v>-0.18893480000000001</v>
      </c>
      <c r="Q3149">
        <v>0.172507299999999</v>
      </c>
      <c r="R3149">
        <v>-0.96671890000000005</v>
      </c>
      <c r="S3149">
        <v>-0.22795099999999999</v>
      </c>
      <c r="T3149">
        <v>-0.2097154</v>
      </c>
      <c r="U3149">
        <v>-3.0972599999999999</v>
      </c>
      <c r="V3149">
        <v>0.24799379999999999</v>
      </c>
      <c r="W3149">
        <v>0.18559680000000001</v>
      </c>
      <c r="X3149">
        <v>0.95081700000000002</v>
      </c>
      <c r="Y3149">
        <v>0.13473019999999999</v>
      </c>
      <c r="Z3149">
        <v>6.6963300000000003E-2</v>
      </c>
      <c r="AA3149">
        <v>0.98861710000000003</v>
      </c>
      <c r="AB3149">
        <v>24</v>
      </c>
      <c r="AC3149">
        <v>-1.23199999999999</v>
      </c>
      <c r="AD3149">
        <v>-1.111017299477</v>
      </c>
      <c r="AE3149">
        <v>-16.038599999999999</v>
      </c>
      <c r="AF3149">
        <v>2.2103470254165001</v>
      </c>
      <c r="AG3149">
        <v>-1.111017299477</v>
      </c>
      <c r="AH3149">
        <v>15.856156991376301</v>
      </c>
      <c r="AI3149">
        <v>93.969817807786697</v>
      </c>
      <c r="AJ3149">
        <v>82.064113464969594</v>
      </c>
      <c r="AK3149">
        <v>16.047981429066901</v>
      </c>
      <c r="AL3149">
        <v>79.304071230327907</v>
      </c>
      <c r="AM3149">
        <v>75.381688489517103</v>
      </c>
      <c r="AN3149">
        <v>1.0000000322488301</v>
      </c>
    </row>
    <row r="3150" spans="1:40" x14ac:dyDescent="0.25">
      <c r="A3150" t="str">
        <f>"20190312172723861"</f>
        <v>20190312172723861</v>
      </c>
      <c r="B3150" t="str">
        <f>"1552382843852124"</f>
        <v>1552382843852124</v>
      </c>
      <c r="C3150" t="s">
        <v>40</v>
      </c>
      <c r="D3150">
        <v>3.4984220000000001</v>
      </c>
      <c r="E3150">
        <v>0.45868189999999998</v>
      </c>
      <c r="F3150" t="s">
        <v>41</v>
      </c>
      <c r="G3150">
        <v>-188.57069999999999</v>
      </c>
      <c r="H3150" s="1">
        <v>-4.4216010000000004E-6</v>
      </c>
      <c r="I3150">
        <v>168.4487</v>
      </c>
      <c r="J3150">
        <v>-187.35169999999999</v>
      </c>
      <c r="K3150">
        <v>1.1109899999999999</v>
      </c>
      <c r="L3150">
        <v>183.9958</v>
      </c>
      <c r="M3150">
        <v>6.2873709999999999E-2</v>
      </c>
      <c r="N3150">
        <v>0</v>
      </c>
      <c r="O3150">
        <v>-0.99793330000000002</v>
      </c>
      <c r="P3150">
        <v>-0.19112419999999999</v>
      </c>
      <c r="Q3150">
        <v>0.16969279999999901</v>
      </c>
      <c r="R3150">
        <v>-0.96678649999999999</v>
      </c>
      <c r="S3150">
        <v>-0.23577880000000001</v>
      </c>
      <c r="T3150">
        <v>-0.2178264</v>
      </c>
      <c r="U3150">
        <v>-3.0960540000000001</v>
      </c>
      <c r="V3150">
        <v>0.2512199</v>
      </c>
      <c r="W3150">
        <v>0.1827754</v>
      </c>
      <c r="X3150">
        <v>0.95051660000000004</v>
      </c>
      <c r="Y3150">
        <v>0.13829720000000001</v>
      </c>
      <c r="Z3150">
        <v>6.953674E-2</v>
      </c>
      <c r="AA3150">
        <v>0.98794660000000001</v>
      </c>
      <c r="AB3150">
        <v>24</v>
      </c>
      <c r="AC3150">
        <v>-1.2189999999999901</v>
      </c>
      <c r="AD3150">
        <v>-1.1109944216009999</v>
      </c>
      <c r="AE3150">
        <v>-15.5471</v>
      </c>
      <c r="AF3150">
        <v>2.1830977580326199</v>
      </c>
      <c r="AG3150">
        <v>-1.1109944216009999</v>
      </c>
      <c r="AH3150">
        <v>15.3617190942193</v>
      </c>
      <c r="AI3150">
        <v>94.095550723631405</v>
      </c>
      <c r="AJ3150">
        <v>81.911693656051995</v>
      </c>
      <c r="AK3150">
        <v>15.5557911388543</v>
      </c>
      <c r="AL3150">
        <v>79.468539566878206</v>
      </c>
      <c r="AM3150">
        <v>75.195347027876906</v>
      </c>
      <c r="AN3150">
        <v>1.00000004593836</v>
      </c>
    </row>
    <row r="3151" spans="1:40" x14ac:dyDescent="0.25">
      <c r="A3151" t="str">
        <f>"20190312172723885"</f>
        <v>20190312172723885</v>
      </c>
      <c r="B3151" t="str">
        <f>"1552382843872623"</f>
        <v>1552382843872623</v>
      </c>
      <c r="C3151" t="s">
        <v>40</v>
      </c>
      <c r="D3151">
        <v>3.5164529999999998</v>
      </c>
      <c r="E3151">
        <v>0.45873059999999899</v>
      </c>
      <c r="F3151" t="s">
        <v>41</v>
      </c>
      <c r="G3151">
        <v>-188.5521</v>
      </c>
      <c r="H3151" s="1">
        <v>-4.5189519999999998E-6</v>
      </c>
      <c r="I3151">
        <v>168.64760000000001</v>
      </c>
      <c r="J3151">
        <v>-187.3349</v>
      </c>
      <c r="K3151">
        <v>1.1109579999999999</v>
      </c>
      <c r="L3151">
        <v>183.74959999999999</v>
      </c>
      <c r="M3151">
        <v>6.3942460000000007E-2</v>
      </c>
      <c r="N3151">
        <v>0</v>
      </c>
      <c r="O3151">
        <v>-0.99786520000000001</v>
      </c>
      <c r="P3151">
        <v>-0.19406309999999999</v>
      </c>
      <c r="Q3151">
        <v>0.16831779999999999</v>
      </c>
      <c r="R3151">
        <v>-0.96644129999999995</v>
      </c>
      <c r="S3151">
        <v>-0.2420197</v>
      </c>
      <c r="T3151">
        <v>-0.22400149999999999</v>
      </c>
      <c r="U3151">
        <v>-3.0945279999999999</v>
      </c>
      <c r="V3151">
        <v>0.25515929999999998</v>
      </c>
      <c r="W3151">
        <v>0.18138699999999999</v>
      </c>
      <c r="X3151">
        <v>0.94973280000000004</v>
      </c>
      <c r="Y3151">
        <v>0.14136379999999901</v>
      </c>
      <c r="Z3151">
        <v>7.1504440000000002E-2</v>
      </c>
      <c r="AA3151">
        <v>0.98737200000000003</v>
      </c>
      <c r="AB3151">
        <v>24</v>
      </c>
      <c r="AC3151">
        <v>-1.2171999999999901</v>
      </c>
      <c r="AD3151">
        <v>-1.1109625189519901</v>
      </c>
      <c r="AE3151">
        <v>-15.101999999999901</v>
      </c>
      <c r="AF3151">
        <v>2.1687918854943802</v>
      </c>
      <c r="AG3151">
        <v>-1.1109625189519901</v>
      </c>
      <c r="AH3151">
        <v>14.9130685259037</v>
      </c>
      <c r="AI3151">
        <v>94.216241108477504</v>
      </c>
      <c r="AJ3151">
        <v>81.725543348788506</v>
      </c>
      <c r="AK3151">
        <v>15.1108407714264</v>
      </c>
      <c r="AL3151">
        <v>79.549440431634594</v>
      </c>
      <c r="AM3151">
        <v>74.961778721746299</v>
      </c>
      <c r="AN3151">
        <v>0.99999995177066403</v>
      </c>
    </row>
    <row r="3152" spans="1:40" x14ac:dyDescent="0.25">
      <c r="A3152" t="str">
        <f>"20190312172723906"</f>
        <v>20190312172723906</v>
      </c>
      <c r="B3152" t="str">
        <f>"1552382843901900"</f>
        <v>1552382843901900</v>
      </c>
      <c r="C3152" t="s">
        <v>40</v>
      </c>
      <c r="D3152">
        <v>3.713797</v>
      </c>
      <c r="E3152">
        <v>0.51078119999999905</v>
      </c>
      <c r="F3152" t="s">
        <v>41</v>
      </c>
      <c r="G3152">
        <v>-188.56950000000001</v>
      </c>
      <c r="H3152" s="1">
        <v>-4.4926970000000003E-6</v>
      </c>
      <c r="I3152">
        <v>168.5986</v>
      </c>
      <c r="J3152">
        <v>-187.31800000000001</v>
      </c>
      <c r="K3152">
        <v>1.1109249999999999</v>
      </c>
      <c r="L3152">
        <v>183.5051</v>
      </c>
      <c r="M3152">
        <v>6.4982319999999996E-2</v>
      </c>
      <c r="N3152">
        <v>0</v>
      </c>
      <c r="O3152">
        <v>-0.99779810000000002</v>
      </c>
      <c r="P3152">
        <v>-0.19775980000000001</v>
      </c>
      <c r="Q3152">
        <v>0.16725319999999999</v>
      </c>
      <c r="R3152">
        <v>-0.96587670000000003</v>
      </c>
      <c r="S3152">
        <v>-0.25204470000000001</v>
      </c>
      <c r="T3152">
        <v>-0.22680339999999999</v>
      </c>
      <c r="U3152">
        <v>-3.0930789999999999</v>
      </c>
      <c r="V3152">
        <v>0.25981340000000003</v>
      </c>
      <c r="W3152">
        <v>0.18030280000000001</v>
      </c>
      <c r="X3152">
        <v>0.94867690000000005</v>
      </c>
      <c r="Y3152">
        <v>0.1456047</v>
      </c>
      <c r="Z3152">
        <v>7.2388629999999995E-2</v>
      </c>
      <c r="AA3152">
        <v>0.98669099999999998</v>
      </c>
      <c r="AB3152">
        <v>24</v>
      </c>
      <c r="AC3152">
        <v>-1.25150000000002</v>
      </c>
      <c r="AD3152">
        <v>-1.1109294926969999</v>
      </c>
      <c r="AE3152">
        <v>-14.9064999999999</v>
      </c>
      <c r="AF3152">
        <v>2.2054350176182802</v>
      </c>
      <c r="AG3152">
        <v>-1.1109294926969999</v>
      </c>
      <c r="AH3152">
        <v>14.7125114621057</v>
      </c>
      <c r="AI3152">
        <v>94.270626444422007</v>
      </c>
      <c r="AJ3152">
        <v>81.474725424309199</v>
      </c>
      <c r="AK3152">
        <v>14.9183142974424</v>
      </c>
      <c r="AL3152">
        <v>79.612602265782897</v>
      </c>
      <c r="AM3152">
        <v>74.684000040309996</v>
      </c>
      <c r="AN3152">
        <v>0.99999998155050496</v>
      </c>
    </row>
    <row r="3153" spans="1:40" x14ac:dyDescent="0.25">
      <c r="A3153" t="str">
        <f>"20190312172723929"</f>
        <v>20190312172723929</v>
      </c>
      <c r="B3153" t="str">
        <f>"1552382843922396"</f>
        <v>1552382843922396</v>
      </c>
      <c r="C3153" t="s">
        <v>40</v>
      </c>
      <c r="D3153">
        <v>3.651154</v>
      </c>
      <c r="E3153">
        <v>0.52922550000000002</v>
      </c>
      <c r="F3153" t="s">
        <v>41</v>
      </c>
      <c r="G3153">
        <v>-190.70060000000001</v>
      </c>
      <c r="H3153" s="1">
        <v>-4.3239089999999998E-6</v>
      </c>
      <c r="I3153">
        <v>168.34440000000001</v>
      </c>
      <c r="J3153">
        <v>-187.30119999999999</v>
      </c>
      <c r="K3153">
        <v>1.110894</v>
      </c>
      <c r="L3153">
        <v>183.2646</v>
      </c>
      <c r="M3153">
        <v>6.5971459999999996E-2</v>
      </c>
      <c r="N3153">
        <v>0</v>
      </c>
      <c r="O3153">
        <v>-0.99773319999999999</v>
      </c>
      <c r="P3153">
        <v>-0.20158300000000001</v>
      </c>
      <c r="Q3153">
        <v>0.16633390000000001</v>
      </c>
      <c r="R3153">
        <v>-0.96524489999999996</v>
      </c>
      <c r="S3153">
        <v>-0.67085269999999997</v>
      </c>
      <c r="T3153">
        <v>-0.22032760000000001</v>
      </c>
      <c r="U3153">
        <v>-3.0067900000000001</v>
      </c>
      <c r="V3153">
        <v>0.26454220000000001</v>
      </c>
      <c r="W3153">
        <v>0.17935760000000001</v>
      </c>
      <c r="X3153">
        <v>0.94754859999999996</v>
      </c>
      <c r="Y3153">
        <v>0.28113159999999998</v>
      </c>
      <c r="Z3153">
        <v>7.0504929999999993E-2</v>
      </c>
      <c r="AA3153">
        <v>0.95707580000000003</v>
      </c>
      <c r="AB3153">
        <v>24</v>
      </c>
      <c r="AC3153">
        <v>-3.3994000000000102</v>
      </c>
      <c r="AD3153">
        <v>-1.110898323909</v>
      </c>
      <c r="AE3153">
        <v>-14.9201999999999</v>
      </c>
      <c r="AF3153">
        <v>4.3534440810405499</v>
      </c>
      <c r="AG3153">
        <v>-1.110898323909</v>
      </c>
      <c r="AH3153">
        <v>14.586534823049501</v>
      </c>
      <c r="AI3153">
        <v>94.173942483408297</v>
      </c>
      <c r="AJ3153">
        <v>73.381931562613502</v>
      </c>
      <c r="AK3153">
        <v>15.2628165355168</v>
      </c>
      <c r="AL3153">
        <v>79.667656317231703</v>
      </c>
      <c r="AM3153">
        <v>74.401016591953606</v>
      </c>
      <c r="AN3153">
        <v>1.0000000368102699</v>
      </c>
    </row>
    <row r="3154" spans="1:40" x14ac:dyDescent="0.25">
      <c r="A3154" t="str">
        <f>"20190312172723961"</f>
        <v>20190312172723961</v>
      </c>
      <c r="B3154" t="str">
        <f>"1552382843952182"</f>
        <v>1552382843952182</v>
      </c>
      <c r="C3154" t="s">
        <v>40</v>
      </c>
      <c r="D3154">
        <v>3.654175</v>
      </c>
      <c r="E3154">
        <v>0.53935529999999998</v>
      </c>
      <c r="F3154" t="s">
        <v>41</v>
      </c>
      <c r="G3154">
        <v>-191.39599999999999</v>
      </c>
      <c r="H3154" s="1">
        <v>-4.5675629999999997E-6</v>
      </c>
      <c r="I3154">
        <v>168.53540000000001</v>
      </c>
      <c r="J3154">
        <v>-187.2758</v>
      </c>
      <c r="K3154">
        <v>1.1108389999999999</v>
      </c>
      <c r="L3154">
        <v>182.9076</v>
      </c>
      <c r="M3154">
        <v>6.7351140000000004E-2</v>
      </c>
      <c r="N3154">
        <v>0</v>
      </c>
      <c r="O3154">
        <v>-0.99764109999999995</v>
      </c>
      <c r="P3154">
        <v>-0.2065102</v>
      </c>
      <c r="Q3154">
        <v>0.16549920000000001</v>
      </c>
      <c r="R3154">
        <v>-0.96434640000000005</v>
      </c>
      <c r="S3154">
        <v>-0.82679749999999996</v>
      </c>
      <c r="T3154">
        <v>-0.22430359999999999</v>
      </c>
      <c r="U3154">
        <v>-2.9739990000000001</v>
      </c>
      <c r="V3154">
        <v>0.27073649999999999</v>
      </c>
      <c r="W3154">
        <v>0.1784724</v>
      </c>
      <c r="X3154">
        <v>0.94596480000000005</v>
      </c>
      <c r="Y3154">
        <v>0.33144639999999997</v>
      </c>
      <c r="Z3154">
        <v>7.1476739999999997E-2</v>
      </c>
      <c r="AA3154">
        <v>0.9407626</v>
      </c>
      <c r="AB3154">
        <v>24</v>
      </c>
      <c r="AC3154">
        <v>-4.1201999999999801</v>
      </c>
      <c r="AD3154">
        <v>-1.110843567563</v>
      </c>
      <c r="AE3154">
        <v>-14.3721999999999</v>
      </c>
      <c r="AF3154">
        <v>5.0510291351155097</v>
      </c>
      <c r="AG3154">
        <v>-1.110843567563</v>
      </c>
      <c r="AH3154">
        <v>13.9848355300261</v>
      </c>
      <c r="AI3154">
        <v>94.272542626339799</v>
      </c>
      <c r="AJ3154">
        <v>70.141343864335596</v>
      </c>
      <c r="AK3154">
        <v>14.9104826735174</v>
      </c>
      <c r="AL3154">
        <v>79.719206216541494</v>
      </c>
      <c r="AM3154">
        <v>74.028801419229396</v>
      </c>
      <c r="AN3154">
        <v>1.0000000264165201</v>
      </c>
    </row>
    <row r="3155" spans="1:40" x14ac:dyDescent="0.25">
      <c r="A3155" t="str">
        <f>"20190312172723987"</f>
        <v>20190312172723987</v>
      </c>
      <c r="B3155" t="str">
        <f>"1552382843982439"</f>
        <v>1552382843982439</v>
      </c>
      <c r="C3155" t="s">
        <v>40</v>
      </c>
      <c r="D3155">
        <v>3.620339</v>
      </c>
      <c r="E3155">
        <v>0.54416900000000001</v>
      </c>
      <c r="F3155" t="s">
        <v>41</v>
      </c>
      <c r="G3155">
        <v>-191.87379999999999</v>
      </c>
      <c r="H3155" s="1">
        <v>-4.5170290000000003E-6</v>
      </c>
      <c r="I3155">
        <v>168.1832</v>
      </c>
      <c r="J3155">
        <v>-187.25700000000001</v>
      </c>
      <c r="K3155">
        <v>1.1107910000000001</v>
      </c>
      <c r="L3155">
        <v>182.6456</v>
      </c>
      <c r="M3155">
        <v>6.8293300000000001E-2</v>
      </c>
      <c r="N3155">
        <v>0</v>
      </c>
      <c r="O3155">
        <v>-0.99757709999999999</v>
      </c>
      <c r="P3155">
        <v>-0.20874309999999999</v>
      </c>
      <c r="Q3155">
        <v>0.16513720000000001</v>
      </c>
      <c r="R3155">
        <v>-0.96392789999999995</v>
      </c>
      <c r="S3155">
        <v>-0.92173769999999999</v>
      </c>
      <c r="T3155">
        <v>-0.2226851</v>
      </c>
      <c r="U3155">
        <v>-2.9517359999999999</v>
      </c>
      <c r="V3155">
        <v>0.27385209999999999</v>
      </c>
      <c r="W3155">
        <v>0.17807029999999999</v>
      </c>
      <c r="X3155">
        <v>0.94514339999999997</v>
      </c>
      <c r="Y3155">
        <v>0.361819</v>
      </c>
      <c r="Z3155">
        <v>7.073952E-2</v>
      </c>
      <c r="AA3155">
        <v>0.92956059999999996</v>
      </c>
      <c r="AB3155">
        <v>24</v>
      </c>
      <c r="AC3155">
        <v>-4.61679999999998</v>
      </c>
      <c r="AD3155">
        <v>-1.110795517029</v>
      </c>
      <c r="AE3155">
        <v>-14.462400000000001</v>
      </c>
      <c r="AF3155">
        <v>5.5640038885791601</v>
      </c>
      <c r="AG3155">
        <v>-1.110795517029</v>
      </c>
      <c r="AH3155">
        <v>14.038150148692701</v>
      </c>
      <c r="AI3155">
        <v>94.207085673882005</v>
      </c>
      <c r="AJ3155">
        <v>68.379160937802396</v>
      </c>
      <c r="AK3155">
        <v>15.141389155226699</v>
      </c>
      <c r="AL3155">
        <v>79.742619894754895</v>
      </c>
      <c r="AM3155">
        <v>73.841233591761807</v>
      </c>
      <c r="AN3155">
        <v>1.0000000254900201</v>
      </c>
    </row>
    <row r="3156" spans="1:40" x14ac:dyDescent="0.25">
      <c r="A3156" t="str">
        <f>"20190312172724006"</f>
        <v>20190312172724006</v>
      </c>
      <c r="B3156" t="str">
        <f>"1552382844001958"</f>
        <v>1552382844001958</v>
      </c>
      <c r="C3156" t="s">
        <v>40</v>
      </c>
      <c r="D3156">
        <v>3.660304</v>
      </c>
      <c r="E3156">
        <v>0.54603590000000002</v>
      </c>
      <c r="F3156" t="s">
        <v>41</v>
      </c>
      <c r="G3156">
        <v>-192.12459999999999</v>
      </c>
      <c r="H3156" s="1">
        <v>-4.4326209999999997E-6</v>
      </c>
      <c r="I3156">
        <v>167.8475</v>
      </c>
      <c r="J3156">
        <v>-187.24090000000001</v>
      </c>
      <c r="K3156">
        <v>1.110741</v>
      </c>
      <c r="L3156">
        <v>182.423</v>
      </c>
      <c r="M3156">
        <v>6.9000699999999998E-2</v>
      </c>
      <c r="N3156">
        <v>0</v>
      </c>
      <c r="O3156">
        <v>-0.99752859999999999</v>
      </c>
      <c r="P3156">
        <v>-0.21107670000000001</v>
      </c>
      <c r="Q3156">
        <v>0.16552349999999999</v>
      </c>
      <c r="R3156">
        <v>-0.96335309999999996</v>
      </c>
      <c r="S3156">
        <v>-0.96725459999999996</v>
      </c>
      <c r="T3156">
        <v>-0.2207315</v>
      </c>
      <c r="U3156">
        <v>-2.940598</v>
      </c>
      <c r="V3156">
        <v>0.27683609999999997</v>
      </c>
      <c r="W3156">
        <v>0.17840899999999901</v>
      </c>
      <c r="X3156">
        <v>0.94420979999999999</v>
      </c>
      <c r="Y3156">
        <v>0.3764942</v>
      </c>
      <c r="Z3156">
        <v>6.9994879999999995E-2</v>
      </c>
      <c r="AA3156">
        <v>0.92377100000000001</v>
      </c>
      <c r="AB3156">
        <v>24</v>
      </c>
      <c r="AC3156">
        <v>-4.88369999999997</v>
      </c>
      <c r="AD3156">
        <v>-1.110745432621</v>
      </c>
      <c r="AE3156">
        <v>-14.5755</v>
      </c>
      <c r="AF3156">
        <v>5.8473359005721903</v>
      </c>
      <c r="AG3156">
        <v>-1.110745432621</v>
      </c>
      <c r="AH3156">
        <v>14.129970611808</v>
      </c>
      <c r="AI3156">
        <v>94.154405316584999</v>
      </c>
      <c r="AJ3156">
        <v>67.519002444065194</v>
      </c>
      <c r="AK3156">
        <v>15.332356702110999</v>
      </c>
      <c r="AL3156">
        <v>79.722898493190996</v>
      </c>
      <c r="AM3156">
        <v>73.659210078999706</v>
      </c>
      <c r="AN3156">
        <v>1.0000000719801201</v>
      </c>
    </row>
    <row r="3157" spans="1:40" x14ac:dyDescent="0.25">
      <c r="A3157" t="str">
        <f>"20190312172724030"</f>
        <v>20190312172724030</v>
      </c>
      <c r="B3157" t="str">
        <f>"1552382844022455"</f>
        <v>1552382844022455</v>
      </c>
      <c r="C3157" t="s">
        <v>40</v>
      </c>
      <c r="D3157">
        <v>3.6826140000000001</v>
      </c>
      <c r="E3157">
        <v>0.54719050000000002</v>
      </c>
      <c r="F3157" t="s">
        <v>41</v>
      </c>
      <c r="G3157">
        <v>-192.2792</v>
      </c>
      <c r="H3157" s="1">
        <v>-4.3159350000000004E-6</v>
      </c>
      <c r="I3157">
        <v>167.47219999999999</v>
      </c>
      <c r="J3157">
        <v>-187.2234</v>
      </c>
      <c r="K3157">
        <v>1.1106499999999999</v>
      </c>
      <c r="L3157">
        <v>182.18180000000001</v>
      </c>
      <c r="M3157">
        <v>6.9627099999999997E-2</v>
      </c>
      <c r="N3157">
        <v>0</v>
      </c>
      <c r="O3157">
        <v>-0.99748490000000001</v>
      </c>
      <c r="P3157">
        <v>-0.213005</v>
      </c>
      <c r="Q3157">
        <v>0.16566</v>
      </c>
      <c r="R3157">
        <v>-0.96290520000000002</v>
      </c>
      <c r="S3157">
        <v>-0.98902889999999999</v>
      </c>
      <c r="T3157">
        <v>-0.21804229999999999</v>
      </c>
      <c r="U3157">
        <v>-2.9348749999999999</v>
      </c>
      <c r="V3157">
        <v>0.27936109999999997</v>
      </c>
      <c r="W3157">
        <v>0.1784761</v>
      </c>
      <c r="X3157">
        <v>0.94345310000000004</v>
      </c>
      <c r="Y3157">
        <v>0.38378709999999999</v>
      </c>
      <c r="Z3157">
        <v>6.9082450000000004E-2</v>
      </c>
      <c r="AA3157">
        <v>0.92083389999999998</v>
      </c>
      <c r="AB3157">
        <v>24</v>
      </c>
      <c r="AC3157">
        <v>-5.0557999999999996</v>
      </c>
      <c r="AD3157">
        <v>-1.110654315935</v>
      </c>
      <c r="AE3157">
        <v>-14.7096</v>
      </c>
      <c r="AF3157">
        <v>6.0370236138296303</v>
      </c>
      <c r="AG3157">
        <v>-1.110654315935</v>
      </c>
      <c r="AH3157">
        <v>14.249190393185</v>
      </c>
      <c r="AI3157">
        <v>94.105048623200403</v>
      </c>
      <c r="AJ3157">
        <v>67.038848201299004</v>
      </c>
      <c r="AK3157">
        <v>15.515109860541701</v>
      </c>
      <c r="AL3157">
        <v>79.718990978777498</v>
      </c>
      <c r="AM3157">
        <v>73.505719512460104</v>
      </c>
      <c r="AN3157">
        <v>1.0000000471820101</v>
      </c>
    </row>
    <row r="3158" spans="1:40" x14ac:dyDescent="0.25">
      <c r="A3158" t="str">
        <f>"20190312172724051"</f>
        <v>20190312172724051</v>
      </c>
      <c r="B3158" t="str">
        <f>"1552382844041980"</f>
        <v>1552382844041980</v>
      </c>
      <c r="C3158" t="s">
        <v>40</v>
      </c>
      <c r="D3158">
        <v>3.665098</v>
      </c>
      <c r="E3158">
        <v>0.54807280000000003</v>
      </c>
      <c r="F3158" t="s">
        <v>41</v>
      </c>
      <c r="G3158">
        <v>-192.35820000000001</v>
      </c>
      <c r="H3158" s="1">
        <v>-4.2193509999999999E-6</v>
      </c>
      <c r="I3158">
        <v>167.1902</v>
      </c>
      <c r="J3158">
        <v>-187.20580000000001</v>
      </c>
      <c r="K3158">
        <v>1.11053</v>
      </c>
      <c r="L3158">
        <v>181.9385</v>
      </c>
      <c r="M3158">
        <v>7.0083530000000005E-2</v>
      </c>
      <c r="N3158">
        <v>0</v>
      </c>
      <c r="O3158">
        <v>-0.99745309999999998</v>
      </c>
      <c r="P3158">
        <v>-0.21476899999999999</v>
      </c>
      <c r="Q3158">
        <v>0.16530980000000001</v>
      </c>
      <c r="R3158">
        <v>-0.96257349999999997</v>
      </c>
      <c r="S3158">
        <v>-1.00386</v>
      </c>
      <c r="T3158">
        <v>-0.2171324</v>
      </c>
      <c r="U3158">
        <v>-2.9308619999999999</v>
      </c>
      <c r="V3158">
        <v>0.2815819</v>
      </c>
      <c r="W3158">
        <v>0.17803740000000001</v>
      </c>
      <c r="X3158">
        <v>0.94287560000000004</v>
      </c>
      <c r="Y3158">
        <v>0.38876959999999999</v>
      </c>
      <c r="Z3158">
        <v>6.8751729999999997E-2</v>
      </c>
      <c r="AA3158">
        <v>0.91876630000000004</v>
      </c>
      <c r="AB3158">
        <v>24</v>
      </c>
      <c r="AC3158">
        <v>-5.1524000000000001</v>
      </c>
      <c r="AD3158">
        <v>-1.1105342193509999</v>
      </c>
      <c r="AE3158">
        <v>-14.7483</v>
      </c>
      <c r="AF3158">
        <v>6.14239351314761</v>
      </c>
      <c r="AG3158">
        <v>-1.1105342193509999</v>
      </c>
      <c r="AH3158">
        <v>14.2787457113964</v>
      </c>
      <c r="AI3158">
        <v>94.086564865224801</v>
      </c>
      <c r="AJ3158">
        <v>66.723718225145205</v>
      </c>
      <c r="AK3158">
        <v>15.5834804653334</v>
      </c>
      <c r="AL3158">
        <v>79.744535683070694</v>
      </c>
      <c r="AM3158">
        <v>73.3721854037382</v>
      </c>
      <c r="AN3158">
        <v>1.0000000396408599</v>
      </c>
    </row>
    <row r="3159" spans="1:40" x14ac:dyDescent="0.25">
      <c r="A3159" t="str">
        <f>"20190312172724073"</f>
        <v>20190312172724073</v>
      </c>
      <c r="B3159" t="str">
        <f>"1552382844062473"</f>
        <v>1552382844062473</v>
      </c>
      <c r="C3159" t="s">
        <v>40</v>
      </c>
      <c r="D3159">
        <v>3.6730200000000002</v>
      </c>
      <c r="E3159">
        <v>0.54872259999999995</v>
      </c>
      <c r="F3159" t="s">
        <v>41</v>
      </c>
      <c r="G3159">
        <v>-192.39070000000001</v>
      </c>
      <c r="H3159" s="1">
        <v>-4.145817E-6</v>
      </c>
      <c r="I3159">
        <v>167.0163</v>
      </c>
      <c r="J3159">
        <v>-187.18889999999999</v>
      </c>
      <c r="K3159">
        <v>1.110412</v>
      </c>
      <c r="L3159">
        <v>181.70439999999999</v>
      </c>
      <c r="M3159">
        <v>7.0381120000000005E-2</v>
      </c>
      <c r="N3159">
        <v>0</v>
      </c>
      <c r="O3159">
        <v>-0.99743210000000004</v>
      </c>
      <c r="P3159">
        <v>-0.21672820000000001</v>
      </c>
      <c r="Q3159">
        <v>0.16412739999999901</v>
      </c>
      <c r="R3159">
        <v>-0.96233679999999999</v>
      </c>
      <c r="S3159">
        <v>-1.017075</v>
      </c>
      <c r="T3159">
        <v>-0.21784110000000001</v>
      </c>
      <c r="U3159">
        <v>-2.9271240000000001</v>
      </c>
      <c r="V3159">
        <v>0.28385329999999998</v>
      </c>
      <c r="W3159">
        <v>0.17676749999999999</v>
      </c>
      <c r="X3159">
        <v>0.94243330000000003</v>
      </c>
      <c r="Y3159">
        <v>0.39310119999999998</v>
      </c>
      <c r="Z3159">
        <v>6.8940039999999994E-2</v>
      </c>
      <c r="AA3159">
        <v>0.91690720000000003</v>
      </c>
      <c r="AB3159">
        <v>24</v>
      </c>
      <c r="AC3159">
        <v>-5.20180000000002</v>
      </c>
      <c r="AD3159">
        <v>-1.1104161458169901</v>
      </c>
      <c r="AE3159">
        <v>-14.688099999999899</v>
      </c>
      <c r="AF3159">
        <v>6.1913121362430399</v>
      </c>
      <c r="AG3159">
        <v>-1.1104161458169901</v>
      </c>
      <c r="AH3159">
        <v>14.2133482938215</v>
      </c>
      <c r="AI3159">
        <v>94.096791553609407</v>
      </c>
      <c r="AJ3159">
        <v>66.462134496830998</v>
      </c>
      <c r="AK3159">
        <v>15.5429932672816</v>
      </c>
      <c r="AL3159">
        <v>79.818467723511304</v>
      </c>
      <c r="AM3159">
        <v>73.238122866778497</v>
      </c>
      <c r="AN3159">
        <v>0.99999998496301401</v>
      </c>
    </row>
    <row r="3160" spans="1:40" x14ac:dyDescent="0.25">
      <c r="A3160" t="str">
        <f>"20190312172724096"</f>
        <v>20190312172724096</v>
      </c>
      <c r="B3160" t="str">
        <f>"1552382844092727"</f>
        <v>1552382844092727</v>
      </c>
      <c r="C3160" t="s">
        <v>40</v>
      </c>
      <c r="D3160">
        <v>3.654687</v>
      </c>
      <c r="E3160">
        <v>0.54947060000000003</v>
      </c>
      <c r="F3160" t="s">
        <v>41</v>
      </c>
      <c r="G3160">
        <v>-192.3527</v>
      </c>
      <c r="H3160" s="1">
        <v>-4.1409539999999998E-6</v>
      </c>
      <c r="I3160">
        <v>167.0274</v>
      </c>
      <c r="J3160">
        <v>-187.1712</v>
      </c>
      <c r="K3160">
        <v>1.1102890000000001</v>
      </c>
      <c r="L3160">
        <v>181.4573</v>
      </c>
      <c r="M3160">
        <v>7.0519639999999995E-2</v>
      </c>
      <c r="N3160">
        <v>0</v>
      </c>
      <c r="O3160">
        <v>-0.99742240000000004</v>
      </c>
      <c r="P3160">
        <v>-0.2189932</v>
      </c>
      <c r="Q3160">
        <v>0.1633443</v>
      </c>
      <c r="R3160">
        <v>-0.96195710000000001</v>
      </c>
      <c r="S3160">
        <v>-1.0285799999999901</v>
      </c>
      <c r="T3160">
        <v>-0.22118309999999999</v>
      </c>
      <c r="U3160">
        <v>-2.923492</v>
      </c>
      <c r="V3160">
        <v>0.28627019999999997</v>
      </c>
      <c r="W3160">
        <v>0.175890299999999</v>
      </c>
      <c r="X3160">
        <v>0.94186619999999999</v>
      </c>
      <c r="Y3160">
        <v>0.39676929999999999</v>
      </c>
      <c r="Z3160">
        <v>6.9970829999999998E-2</v>
      </c>
      <c r="AA3160">
        <v>0.91524760000000005</v>
      </c>
      <c r="AB3160">
        <v>24</v>
      </c>
      <c r="AC3160">
        <v>-5.1814999999999998</v>
      </c>
      <c r="AD3160">
        <v>-1.11029314095399</v>
      </c>
      <c r="AE3160">
        <v>-14.4299</v>
      </c>
      <c r="AF3160">
        <v>6.1540057428201003</v>
      </c>
      <c r="AG3160">
        <v>-1.11029314095399</v>
      </c>
      <c r="AH3160">
        <v>13.9553547952718</v>
      </c>
      <c r="AI3160">
        <v>94.163589410302194</v>
      </c>
      <c r="AJ3160">
        <v>66.203571541113703</v>
      </c>
      <c r="AK3160">
        <v>15.2923662329748</v>
      </c>
      <c r="AL3160">
        <v>79.869527594273407</v>
      </c>
      <c r="AM3160">
        <v>73.093909289961502</v>
      </c>
      <c r="AN3160">
        <v>0.99999998187228401</v>
      </c>
    </row>
    <row r="3161" spans="1:40" x14ac:dyDescent="0.25">
      <c r="A3161" t="str">
        <f>"20190312172724120"</f>
        <v>20190312172724120</v>
      </c>
      <c r="B3161" t="str">
        <f>"1552382844112247"</f>
        <v>1552382844112247</v>
      </c>
      <c r="C3161" t="s">
        <v>40</v>
      </c>
      <c r="D3161">
        <v>3.637032</v>
      </c>
      <c r="E3161">
        <v>0.54995260000000001</v>
      </c>
      <c r="F3161" t="s">
        <v>41</v>
      </c>
      <c r="G3161">
        <v>-192.334</v>
      </c>
      <c r="H3161" s="1">
        <v>-4.1128529999999998E-6</v>
      </c>
      <c r="I3161">
        <v>166.9785</v>
      </c>
      <c r="J3161">
        <v>-187.15369999999999</v>
      </c>
      <c r="K3161">
        <v>1.1101540000000001</v>
      </c>
      <c r="L3161">
        <v>181.2107</v>
      </c>
      <c r="M3161">
        <v>7.0435090000000006E-2</v>
      </c>
      <c r="N3161">
        <v>0</v>
      </c>
      <c r="O3161">
        <v>-0.99742830000000005</v>
      </c>
      <c r="P3161">
        <v>-0.2222103</v>
      </c>
      <c r="Q3161">
        <v>0.1626638</v>
      </c>
      <c r="R3161">
        <v>-0.96133429999999997</v>
      </c>
      <c r="S3161">
        <v>-1.041077</v>
      </c>
      <c r="T3161">
        <v>-0.2238917</v>
      </c>
      <c r="U3161">
        <v>-2.9196620000000002</v>
      </c>
      <c r="V3161">
        <v>0.28941159999999999</v>
      </c>
      <c r="W3161">
        <v>0.1751045</v>
      </c>
      <c r="X3161">
        <v>0.94105229999999995</v>
      </c>
      <c r="Y3161">
        <v>0.4005242</v>
      </c>
      <c r="Z3161">
        <v>7.0801310000000006E-2</v>
      </c>
      <c r="AA3161">
        <v>0.91354669999999905</v>
      </c>
      <c r="AB3161">
        <v>24</v>
      </c>
      <c r="AC3161">
        <v>-5.1803000000000097</v>
      </c>
      <c r="AD3161">
        <v>-1.110158112853</v>
      </c>
      <c r="AE3161">
        <v>-14.232200000000001</v>
      </c>
      <c r="AF3161">
        <v>6.1369938407696596</v>
      </c>
      <c r="AG3161">
        <v>-1.110158112853</v>
      </c>
      <c r="AH3161">
        <v>13.7580214021653</v>
      </c>
      <c r="AI3161">
        <v>94.214655045271996</v>
      </c>
      <c r="AJ3161">
        <v>65.959945813276505</v>
      </c>
      <c r="AK3161">
        <v>15.1055717316365</v>
      </c>
      <c r="AL3161">
        <v>79.915261048678701</v>
      </c>
      <c r="AM3161">
        <v>72.905222332676601</v>
      </c>
      <c r="AN3161">
        <v>1.00000004573504</v>
      </c>
    </row>
    <row r="3162" spans="1:40" x14ac:dyDescent="0.25">
      <c r="A3162" t="str">
        <f>"20190312172724142"</f>
        <v>20190312172724142</v>
      </c>
      <c r="B3162" t="str">
        <f>"1552382844132743"</f>
        <v>1552382844132743</v>
      </c>
      <c r="C3162" t="s">
        <v>40</v>
      </c>
      <c r="D3162">
        <v>3.6334909999999998</v>
      </c>
      <c r="E3162">
        <v>0.55041640000000003</v>
      </c>
      <c r="F3162" t="s">
        <v>41</v>
      </c>
      <c r="G3162">
        <v>-192.3237</v>
      </c>
      <c r="H3162" s="1">
        <v>-4.0819200000000004E-6</v>
      </c>
      <c r="I3162">
        <v>166.91890000000001</v>
      </c>
      <c r="J3162">
        <v>-187.1361</v>
      </c>
      <c r="K3162">
        <v>1.1099889999999999</v>
      </c>
      <c r="L3162">
        <v>180.95939999999999</v>
      </c>
      <c r="M3162">
        <v>7.0084450000000006E-2</v>
      </c>
      <c r="N3162">
        <v>0</v>
      </c>
      <c r="O3162">
        <v>-0.99745289999999998</v>
      </c>
      <c r="P3162">
        <v>-0.22556399999999999</v>
      </c>
      <c r="Q3162">
        <v>0.16204009999999999</v>
      </c>
      <c r="R3162">
        <v>-0.96065809999999996</v>
      </c>
      <c r="S3162">
        <v>-1.054565</v>
      </c>
      <c r="T3162">
        <v>-0.22644790000000001</v>
      </c>
      <c r="U3162">
        <v>-2.915222</v>
      </c>
      <c r="V3162">
        <v>0.29244599999999998</v>
      </c>
      <c r="W3162">
        <v>0.1743547</v>
      </c>
      <c r="X3162">
        <v>0.94025309999999995</v>
      </c>
      <c r="Y3162">
        <v>0.40436260000000002</v>
      </c>
      <c r="Z3162">
        <v>7.1592580000000003E-2</v>
      </c>
      <c r="AA3162">
        <v>0.91179239999999995</v>
      </c>
      <c r="AB3162">
        <v>24</v>
      </c>
      <c r="AC3162">
        <v>-5.1875999999999998</v>
      </c>
      <c r="AD3162">
        <v>-1.1099930819199999</v>
      </c>
      <c r="AE3162">
        <v>-14.0404999999999</v>
      </c>
      <c r="AF3162">
        <v>6.1252648044410201</v>
      </c>
      <c r="AG3162">
        <v>-1.1099930819199999</v>
      </c>
      <c r="AH3162">
        <v>13.5677549477592</v>
      </c>
      <c r="AI3162">
        <v>94.264344655088394</v>
      </c>
      <c r="AJ3162">
        <v>65.702846489349795</v>
      </c>
      <c r="AK3162">
        <v>14.9276564767842</v>
      </c>
      <c r="AL3162">
        <v>79.958892758007295</v>
      </c>
      <c r="AM3162">
        <v>72.722790141132705</v>
      </c>
      <c r="AN3162">
        <v>1.00000005819384</v>
      </c>
    </row>
    <row r="3163" spans="1:40" x14ac:dyDescent="0.25">
      <c r="A3163" t="str">
        <f>"20190312172724164"</f>
        <v>20190312172724164</v>
      </c>
      <c r="B3163" t="str">
        <f>"1552382844162024"</f>
        <v>1552382844162024</v>
      </c>
      <c r="C3163" t="s">
        <v>40</v>
      </c>
      <c r="D3163">
        <v>3.6268410000000002</v>
      </c>
      <c r="E3163">
        <v>0.55107669999999997</v>
      </c>
      <c r="F3163" t="s">
        <v>41</v>
      </c>
      <c r="G3163">
        <v>-192.3313</v>
      </c>
      <c r="H3163" s="1">
        <v>-4.0295659999999998E-6</v>
      </c>
      <c r="I3163">
        <v>166.8038</v>
      </c>
      <c r="J3163">
        <v>-187.12029999999999</v>
      </c>
      <c r="K3163">
        <v>1.1098049999999999</v>
      </c>
      <c r="L3163">
        <v>180.72620000000001</v>
      </c>
      <c r="M3163">
        <v>6.9489339999999997E-2</v>
      </c>
      <c r="N3163">
        <v>0</v>
      </c>
      <c r="O3163">
        <v>-0.99749480000000001</v>
      </c>
      <c r="P3163">
        <v>-0.2297893</v>
      </c>
      <c r="Q3163">
        <v>0.1606746</v>
      </c>
      <c r="R3163">
        <v>-0.95988609999999996</v>
      </c>
      <c r="S3163">
        <v>-1.068192</v>
      </c>
      <c r="T3163">
        <v>-0.22822709999999999</v>
      </c>
      <c r="U3163">
        <v>-2.9105379999999998</v>
      </c>
      <c r="V3163">
        <v>0.29612119999999997</v>
      </c>
      <c r="W3163">
        <v>0.17284349999999901</v>
      </c>
      <c r="X3163">
        <v>0.93938140000000003</v>
      </c>
      <c r="Y3163">
        <v>0.40803689999999998</v>
      </c>
      <c r="Z3163">
        <v>7.2147500000000003E-2</v>
      </c>
      <c r="AA3163">
        <v>0.91011019999999998</v>
      </c>
      <c r="AB3163">
        <v>24</v>
      </c>
      <c r="AC3163">
        <v>-5.2110000000000101</v>
      </c>
      <c r="AD3163">
        <v>-1.1098090295659999</v>
      </c>
      <c r="AE3163">
        <v>-13.9224</v>
      </c>
      <c r="AF3163">
        <v>6.1317689907762301</v>
      </c>
      <c r="AG3163">
        <v>-1.1098090295659999</v>
      </c>
      <c r="AH3163">
        <v>13.451625995051501</v>
      </c>
      <c r="AI3163">
        <v>94.2932554933586</v>
      </c>
      <c r="AJ3163">
        <v>65.494675146049204</v>
      </c>
      <c r="AK3163">
        <v>14.8248611780717</v>
      </c>
      <c r="AL3163">
        <v>80.046812783415902</v>
      </c>
      <c r="AM3163">
        <v>72.503584923110097</v>
      </c>
      <c r="AN3163">
        <v>1.0000000276238199</v>
      </c>
    </row>
    <row r="3164" spans="1:40" x14ac:dyDescent="0.25">
      <c r="A3164" t="str">
        <f>"20190312172724187"</f>
        <v>20190312172724187</v>
      </c>
      <c r="B3164" t="str">
        <f>"1552382844182519"</f>
        <v>1552382844182519</v>
      </c>
      <c r="C3164" t="s">
        <v>40</v>
      </c>
      <c r="D3164">
        <v>3.6612900000000002</v>
      </c>
      <c r="E3164">
        <v>0.55151530000000004</v>
      </c>
      <c r="F3164" t="s">
        <v>41</v>
      </c>
      <c r="G3164">
        <v>-192.33369999999999</v>
      </c>
      <c r="H3164" s="1">
        <v>-4.026364E-6</v>
      </c>
      <c r="I3164">
        <v>166.79570000000001</v>
      </c>
      <c r="J3164">
        <v>-187.1045</v>
      </c>
      <c r="K3164">
        <v>1.109585</v>
      </c>
      <c r="L3164">
        <v>180.48869999999999</v>
      </c>
      <c r="M3164">
        <v>6.8590349999999994E-2</v>
      </c>
      <c r="N3164">
        <v>0</v>
      </c>
      <c r="O3164">
        <v>-0.99755680000000002</v>
      </c>
      <c r="P3164">
        <v>-0.23488390000000001</v>
      </c>
      <c r="Q3164">
        <v>0.1600878</v>
      </c>
      <c r="R3164">
        <v>-0.95875010000000005</v>
      </c>
      <c r="S3164">
        <v>-1.0867770000000001</v>
      </c>
      <c r="T3164">
        <v>-0.2313479</v>
      </c>
      <c r="U3164">
        <v>-2.903915</v>
      </c>
      <c r="V3164">
        <v>0.30036800000000002</v>
      </c>
      <c r="W3164">
        <v>0.17207790000000001</v>
      </c>
      <c r="X3164">
        <v>0.93817280000000003</v>
      </c>
      <c r="Y3164">
        <v>0.41297400000000001</v>
      </c>
      <c r="Z3164">
        <v>7.3127159999999997E-2</v>
      </c>
      <c r="AA3164">
        <v>0.9078022</v>
      </c>
      <c r="AB3164">
        <v>24</v>
      </c>
      <c r="AC3164">
        <v>-5.2291999999999899</v>
      </c>
      <c r="AD3164">
        <v>-1.109589026364</v>
      </c>
      <c r="AE3164">
        <v>-13.6929999999999</v>
      </c>
      <c r="AF3164">
        <v>6.1210949909366903</v>
      </c>
      <c r="AG3164">
        <v>-1.109589026364</v>
      </c>
      <c r="AH3164">
        <v>13.226246937804399</v>
      </c>
      <c r="AI3164">
        <v>94.353805810256304</v>
      </c>
      <c r="AJ3164">
        <v>65.165343571784206</v>
      </c>
      <c r="AK3164">
        <v>14.6161759621071</v>
      </c>
      <c r="AL3164">
        <v>80.091345127572893</v>
      </c>
      <c r="AM3164">
        <v>72.246869151790904</v>
      </c>
      <c r="AN3164">
        <v>0.99999997087612402</v>
      </c>
    </row>
    <row r="3165" spans="1:40" x14ac:dyDescent="0.25">
      <c r="A3165" t="str">
        <f>"20190312172724207"</f>
        <v>20190312172724207</v>
      </c>
      <c r="B3165" t="str">
        <f>"1552382844202039"</f>
        <v>1552382844202039</v>
      </c>
      <c r="C3165" t="s">
        <v>40</v>
      </c>
      <c r="D3165">
        <v>3.569976</v>
      </c>
      <c r="E3165">
        <v>0.55191089999999998</v>
      </c>
      <c r="F3165" t="s">
        <v>41</v>
      </c>
      <c r="G3165">
        <v>-192.38800000000001</v>
      </c>
      <c r="H3165" s="1">
        <v>-3.9723159999999997E-6</v>
      </c>
      <c r="I3165">
        <v>166.6508</v>
      </c>
      <c r="J3165">
        <v>-187.09</v>
      </c>
      <c r="K3165">
        <v>1.1093519999999999</v>
      </c>
      <c r="L3165">
        <v>180.25980000000001</v>
      </c>
      <c r="M3165">
        <v>6.7410079999999997E-2</v>
      </c>
      <c r="N3165">
        <v>0</v>
      </c>
      <c r="O3165">
        <v>-0.99763729999999995</v>
      </c>
      <c r="P3165">
        <v>-0.24112600000000001</v>
      </c>
      <c r="Q3165">
        <v>0.1592585</v>
      </c>
      <c r="R3165">
        <v>-0.95733789999999996</v>
      </c>
      <c r="S3165">
        <v>-1.106079</v>
      </c>
      <c r="T3165">
        <v>-0.2322873</v>
      </c>
      <c r="U3165">
        <v>-2.8968959999999999</v>
      </c>
      <c r="V3165">
        <v>0.30548249999999999</v>
      </c>
      <c r="W3165">
        <v>0.17105290000000001</v>
      </c>
      <c r="X3165">
        <v>0.93670770000000003</v>
      </c>
      <c r="Y3165">
        <v>0.41789559999999998</v>
      </c>
      <c r="Z3165">
        <v>7.3427099999999995E-2</v>
      </c>
      <c r="AA3165">
        <v>0.90552290000000002</v>
      </c>
      <c r="AB3165">
        <v>24</v>
      </c>
      <c r="AC3165">
        <v>-5.298</v>
      </c>
      <c r="AD3165">
        <v>-1.109355972316</v>
      </c>
      <c r="AE3165">
        <v>-13.609</v>
      </c>
      <c r="AF3165">
        <v>6.1678205023238197</v>
      </c>
      <c r="AG3165">
        <v>-1.109355972316</v>
      </c>
      <c r="AH3165">
        <v>13.1450171352857</v>
      </c>
      <c r="AI3165">
        <v>94.368988255057204</v>
      </c>
      <c r="AJ3165">
        <v>64.863392823659595</v>
      </c>
      <c r="AK3165">
        <v>14.5624227348733</v>
      </c>
      <c r="AL3165">
        <v>80.150957318979906</v>
      </c>
      <c r="AM3165">
        <v>71.937629654303393</v>
      </c>
      <c r="AN3165">
        <v>0.99999998382197397</v>
      </c>
    </row>
    <row r="3166" spans="1:40" x14ac:dyDescent="0.25">
      <c r="A3166" t="str">
        <f>"20190312172724231"</f>
        <v>20190312172724231</v>
      </c>
      <c r="B3166" t="str">
        <f>"1552382844222534"</f>
        <v>1552382844222534</v>
      </c>
      <c r="C3166" t="s">
        <v>40</v>
      </c>
      <c r="D3166">
        <v>3.5534080000000001</v>
      </c>
      <c r="E3166">
        <v>0.55220800000000003</v>
      </c>
      <c r="F3166" t="s">
        <v>41</v>
      </c>
      <c r="G3166">
        <v>-192.4308</v>
      </c>
      <c r="H3166" s="1">
        <v>-3.950487E-6</v>
      </c>
      <c r="I3166">
        <v>166.5806</v>
      </c>
      <c r="J3166">
        <v>-187.07509999999999</v>
      </c>
      <c r="K3166">
        <v>1.1090930000000001</v>
      </c>
      <c r="L3166">
        <v>180.01509999999999</v>
      </c>
      <c r="M3166">
        <v>6.5761109999999998E-2</v>
      </c>
      <c r="N3166">
        <v>0</v>
      </c>
      <c r="O3166">
        <v>-0.99774739999999995</v>
      </c>
      <c r="P3166">
        <v>-0.247725</v>
      </c>
      <c r="Q3166">
        <v>0.15834889999999999</v>
      </c>
      <c r="R3166">
        <v>-0.95580270000000001</v>
      </c>
      <c r="S3166">
        <v>-1.1278079999999999</v>
      </c>
      <c r="T3166">
        <v>-0.23425960000000001</v>
      </c>
      <c r="U3166">
        <v>-2.888611</v>
      </c>
      <c r="V3166">
        <v>0.31051620000000002</v>
      </c>
      <c r="W3166">
        <v>0.1699281</v>
      </c>
      <c r="X3166">
        <v>0.93525619999999998</v>
      </c>
      <c r="Y3166">
        <v>0.42316110000000001</v>
      </c>
      <c r="Z3166">
        <v>7.4065099999999995E-2</v>
      </c>
      <c r="AA3166">
        <v>0.9030222</v>
      </c>
      <c r="AB3166">
        <v>24</v>
      </c>
      <c r="AC3166">
        <v>-5.3557000000000103</v>
      </c>
      <c r="AD3166">
        <v>-1.1090969504870001</v>
      </c>
      <c r="AE3166">
        <v>-13.4344999999999</v>
      </c>
      <c r="AF3166">
        <v>6.19124036542844</v>
      </c>
      <c r="AG3166">
        <v>-1.1090969504870001</v>
      </c>
      <c r="AH3166">
        <v>12.9768716005716</v>
      </c>
      <c r="AI3166">
        <v>94.410933727153903</v>
      </c>
      <c r="AJ3166">
        <v>64.494280756160094</v>
      </c>
      <c r="AK3166">
        <v>14.420844283391</v>
      </c>
      <c r="AL3166">
        <v>80.216361478002995</v>
      </c>
      <c r="AM3166">
        <v>71.633218801516804</v>
      </c>
      <c r="AN3166">
        <v>1.0000000146352399</v>
      </c>
    </row>
    <row r="3167" spans="1:40" x14ac:dyDescent="0.25">
      <c r="A3167" t="str">
        <f>"20190312172724252"</f>
        <v>20190312172724252</v>
      </c>
      <c r="B3167" t="str">
        <f>"1552382844242054"</f>
        <v>1552382844242054</v>
      </c>
      <c r="C3167" t="s">
        <v>40</v>
      </c>
      <c r="D3167">
        <v>3.5534150000000002</v>
      </c>
      <c r="E3167">
        <v>0.55248019999999998</v>
      </c>
      <c r="F3167" t="s">
        <v>41</v>
      </c>
      <c r="G3167">
        <v>-192.47020000000001</v>
      </c>
      <c r="H3167" s="1">
        <v>-3.9251599999999999E-6</v>
      </c>
      <c r="I3167">
        <v>166.50479999999999</v>
      </c>
      <c r="J3167">
        <v>-187.0616</v>
      </c>
      <c r="K3167">
        <v>1.108862</v>
      </c>
      <c r="L3167">
        <v>179.78030000000001</v>
      </c>
      <c r="M3167">
        <v>6.3842709999999997E-2</v>
      </c>
      <c r="N3167">
        <v>0</v>
      </c>
      <c r="O3167">
        <v>-0.99787179999999998</v>
      </c>
      <c r="P3167">
        <v>-0.254025</v>
      </c>
      <c r="Q3167">
        <v>0.1568457</v>
      </c>
      <c r="R3167">
        <v>-0.95439569999999996</v>
      </c>
      <c r="S3167">
        <v>-1.1500239999999999</v>
      </c>
      <c r="T3167">
        <v>-0.23641470000000001</v>
      </c>
      <c r="U3167">
        <v>-2.8798680000000001</v>
      </c>
      <c r="V3167">
        <v>0.31500020000000001</v>
      </c>
      <c r="W3167">
        <v>0.16822670000000001</v>
      </c>
      <c r="X3167">
        <v>0.93406350000000005</v>
      </c>
      <c r="Y3167">
        <v>0.42834610000000001</v>
      </c>
      <c r="Z3167">
        <v>7.4769089999999996E-2</v>
      </c>
      <c r="AA3167">
        <v>0.90051610000000004</v>
      </c>
      <c r="AB3167">
        <v>24</v>
      </c>
      <c r="AC3167">
        <v>-5.4085999999999999</v>
      </c>
      <c r="AD3167">
        <v>-1.1088659251599999</v>
      </c>
      <c r="AE3167">
        <v>-13.275499999999999</v>
      </c>
      <c r="AF3167">
        <v>6.2080363648603196</v>
      </c>
      <c r="AG3167">
        <v>-1.1088659251599999</v>
      </c>
      <c r="AH3167">
        <v>12.8263349672647</v>
      </c>
      <c r="AI3167">
        <v>94.449599769485999</v>
      </c>
      <c r="AJ3167">
        <v>64.172691276451602</v>
      </c>
      <c r="AK3167">
        <v>14.2928012593713</v>
      </c>
      <c r="AL3167">
        <v>80.315268228991997</v>
      </c>
      <c r="AM3167">
        <v>71.364021737761604</v>
      </c>
      <c r="AN3167">
        <v>0.99999998531258905</v>
      </c>
    </row>
    <row r="3168" spans="1:40" x14ac:dyDescent="0.25">
      <c r="A3168" t="str">
        <f>"20190312172724274"</f>
        <v>20190312172724274</v>
      </c>
      <c r="B3168" t="str">
        <f>"1552382844262550"</f>
        <v>1552382844262550</v>
      </c>
      <c r="C3168" t="s">
        <v>40</v>
      </c>
      <c r="D3168">
        <v>3.5499399999999999</v>
      </c>
      <c r="E3168">
        <v>0.55272279999999996</v>
      </c>
      <c r="F3168" t="s">
        <v>41</v>
      </c>
      <c r="G3168">
        <v>-192.47499999999999</v>
      </c>
      <c r="H3168" s="1">
        <v>-3.930964E-6</v>
      </c>
      <c r="I3168">
        <v>166.51429999999999</v>
      </c>
      <c r="J3168">
        <v>-187.04900000000001</v>
      </c>
      <c r="K3168">
        <v>1.108662</v>
      </c>
      <c r="L3168">
        <v>179.54660000000001</v>
      </c>
      <c r="M3168">
        <v>6.1665459999999998E-2</v>
      </c>
      <c r="N3168">
        <v>0</v>
      </c>
      <c r="O3168">
        <v>-0.99800840000000002</v>
      </c>
      <c r="P3168">
        <v>-0.26042599999999999</v>
      </c>
      <c r="Q3168">
        <v>0.1560059</v>
      </c>
      <c r="R3168">
        <v>-0.95280659999999895</v>
      </c>
      <c r="S3168">
        <v>-1.1715390000000001</v>
      </c>
      <c r="T3168">
        <v>-0.2399762</v>
      </c>
      <c r="U3168">
        <v>-2.8709560000000001</v>
      </c>
      <c r="V3168">
        <v>0.31932260000000001</v>
      </c>
      <c r="W3168">
        <v>0.16721229999999901</v>
      </c>
      <c r="X3168">
        <v>0.93277710000000003</v>
      </c>
      <c r="Y3168">
        <v>0.43309890000000001</v>
      </c>
      <c r="Z3168">
        <v>7.5929049999999998E-2</v>
      </c>
      <c r="AA3168">
        <v>0.89814259999999901</v>
      </c>
      <c r="AB3168">
        <v>24</v>
      </c>
      <c r="AC3168">
        <v>-5.4259999999999797</v>
      </c>
      <c r="AD3168">
        <v>-1.1086659309639999</v>
      </c>
      <c r="AE3168">
        <v>-13.032299999999999</v>
      </c>
      <c r="AF3168">
        <v>6.1812605774799101</v>
      </c>
      <c r="AG3168">
        <v>-1.1086659309639999</v>
      </c>
      <c r="AH3168">
        <v>12.5951821924137</v>
      </c>
      <c r="AI3168">
        <v>94.518121252475794</v>
      </c>
      <c r="AJ3168">
        <v>63.85986309271</v>
      </c>
      <c r="AK3168">
        <v>14.0739382169058</v>
      </c>
      <c r="AL3168">
        <v>80.374224312614601</v>
      </c>
      <c r="AM3168">
        <v>71.102110314934706</v>
      </c>
      <c r="AN3168">
        <v>0.99999999721322996</v>
      </c>
    </row>
    <row r="3169" spans="1:40" x14ac:dyDescent="0.25">
      <c r="A3169" t="str">
        <f>"20190312172724297"</f>
        <v>20190312172724297</v>
      </c>
      <c r="B3169" t="str">
        <f>"1552382844291830"</f>
        <v>1552382844291830</v>
      </c>
      <c r="C3169" t="s">
        <v>40</v>
      </c>
      <c r="D3169">
        <v>3.5676709999999998</v>
      </c>
      <c r="E3169">
        <v>0.5529963</v>
      </c>
      <c r="F3169" t="s">
        <v>41</v>
      </c>
      <c r="G3169">
        <v>-192.5247</v>
      </c>
      <c r="H3169" s="1">
        <v>-3.8948060000000001E-6</v>
      </c>
      <c r="I3169">
        <v>166.40989999999999</v>
      </c>
      <c r="J3169">
        <v>-187.03639999999999</v>
      </c>
      <c r="K3169">
        <v>1.1084860000000001</v>
      </c>
      <c r="L3169">
        <v>179.297</v>
      </c>
      <c r="M3169">
        <v>5.907217E-2</v>
      </c>
      <c r="N3169">
        <v>0</v>
      </c>
      <c r="O3169">
        <v>-0.99816550000000004</v>
      </c>
      <c r="P3169">
        <v>-0.26744659999999998</v>
      </c>
      <c r="Q3169">
        <v>0.1553966</v>
      </c>
      <c r="R3169">
        <v>-0.95096000000000003</v>
      </c>
      <c r="S3169">
        <v>-1.1929780000000001</v>
      </c>
      <c r="T3169">
        <v>-0.24154220000000001</v>
      </c>
      <c r="U3169">
        <v>-2.8620760000000001</v>
      </c>
      <c r="V3169">
        <v>0.3238569</v>
      </c>
      <c r="W3169">
        <v>0.16644030000000001</v>
      </c>
      <c r="X3169">
        <v>0.93135080000000003</v>
      </c>
      <c r="Y3169">
        <v>0.43745889999999998</v>
      </c>
      <c r="Z3169">
        <v>7.6468830000000002E-2</v>
      </c>
      <c r="AA3169">
        <v>0.89598109999999997</v>
      </c>
      <c r="AB3169">
        <v>24</v>
      </c>
      <c r="AC3169">
        <v>-5.4882999999999997</v>
      </c>
      <c r="AD3169">
        <v>-1.108489894806</v>
      </c>
      <c r="AE3169">
        <v>-12.8871</v>
      </c>
      <c r="AF3169">
        <v>6.2012133420268798</v>
      </c>
      <c r="AG3169">
        <v>-1.108489894806</v>
      </c>
      <c r="AH3169">
        <v>12.462308437168501</v>
      </c>
      <c r="AI3169">
        <v>94.553046818200798</v>
      </c>
      <c r="AJ3169">
        <v>63.5451777699584</v>
      </c>
      <c r="AK3169">
        <v>13.9639868355474</v>
      </c>
      <c r="AL3169">
        <v>80.419085244084499</v>
      </c>
      <c r="AM3169">
        <v>70.825997377270696</v>
      </c>
      <c r="AN3169">
        <v>0.99999998890116903</v>
      </c>
    </row>
    <row r="3170" spans="1:40" x14ac:dyDescent="0.25">
      <c r="A3170" t="str">
        <f>"20190312172724321"</f>
        <v>20190312172724321</v>
      </c>
      <c r="B3170" t="str">
        <f>"1552382844312326"</f>
        <v>1552382844312326</v>
      </c>
      <c r="C3170" t="s">
        <v>40</v>
      </c>
      <c r="D3170">
        <v>3.5641430000000001</v>
      </c>
      <c r="E3170">
        <v>0.55316489999999996</v>
      </c>
      <c r="F3170" t="s">
        <v>41</v>
      </c>
      <c r="G3170">
        <v>-192.5976</v>
      </c>
      <c r="H3170" s="1">
        <v>-3.8385410000000003E-6</v>
      </c>
      <c r="I3170">
        <v>166.24979999999999</v>
      </c>
      <c r="J3170">
        <v>-187.02459999999999</v>
      </c>
      <c r="K3170">
        <v>1.1083320000000001</v>
      </c>
      <c r="L3170">
        <v>179.04480000000001</v>
      </c>
      <c r="M3170">
        <v>5.6203040000000003E-2</v>
      </c>
      <c r="N3170">
        <v>0</v>
      </c>
      <c r="O3170">
        <v>-0.99833079999999996</v>
      </c>
      <c r="P3170">
        <v>-0.2745862</v>
      </c>
      <c r="Q3170">
        <v>0.15392719999999999</v>
      </c>
      <c r="R3170">
        <v>-0.94916239999999996</v>
      </c>
      <c r="S3170">
        <v>-1.215805</v>
      </c>
      <c r="T3170">
        <v>-0.24233940000000001</v>
      </c>
      <c r="U3170">
        <v>-2.8523860000000001</v>
      </c>
      <c r="V3170">
        <v>0.32825189999999999</v>
      </c>
      <c r="W3170">
        <v>0.16482449999999901</v>
      </c>
      <c r="X3170">
        <v>0.93009869999999994</v>
      </c>
      <c r="Y3170">
        <v>0.44202720000000001</v>
      </c>
      <c r="Z3170">
        <v>7.6773869999999994E-2</v>
      </c>
      <c r="AA3170">
        <v>0.89371009999999995</v>
      </c>
      <c r="AB3170">
        <v>24</v>
      </c>
      <c r="AC3170">
        <v>-5.5730000000000004</v>
      </c>
      <c r="AD3170">
        <v>-1.10833583854099</v>
      </c>
      <c r="AE3170">
        <v>-12.795</v>
      </c>
      <c r="AF3170">
        <v>6.2439904386220499</v>
      </c>
      <c r="AG3170">
        <v>-1.10833583854099</v>
      </c>
      <c r="AH3170">
        <v>12.383423168646701</v>
      </c>
      <c r="AI3170">
        <v>94.569209043144198</v>
      </c>
      <c r="AJ3170">
        <v>63.241768201555402</v>
      </c>
      <c r="AK3170">
        <v>13.9127637190594</v>
      </c>
      <c r="AL3170">
        <v>80.512960611500503</v>
      </c>
      <c r="AM3170">
        <v>70.5609637530643</v>
      </c>
      <c r="AN3170">
        <v>1.0000000086977701</v>
      </c>
    </row>
    <row r="3171" spans="1:40" x14ac:dyDescent="0.25">
      <c r="A3171" t="str">
        <f>"20190312172724342"</f>
        <v>20190312172724342</v>
      </c>
      <c r="B3171" t="str">
        <f>"1552382844331846"</f>
        <v>1552382844331846</v>
      </c>
      <c r="C3171" t="s">
        <v>40</v>
      </c>
      <c r="D3171">
        <v>3.5844800000000001</v>
      </c>
      <c r="E3171">
        <v>0.56642530000000002</v>
      </c>
      <c r="F3171" t="s">
        <v>41</v>
      </c>
      <c r="G3171">
        <v>-192.58670000000001</v>
      </c>
      <c r="H3171" s="1">
        <v>-3.8459919999999999E-6</v>
      </c>
      <c r="I3171">
        <v>166.27180000000001</v>
      </c>
      <c r="J3171">
        <v>-187.01480000000001</v>
      </c>
      <c r="K3171">
        <v>1.108206</v>
      </c>
      <c r="L3171">
        <v>178.81880000000001</v>
      </c>
      <c r="M3171">
        <v>5.343639E-2</v>
      </c>
      <c r="N3171">
        <v>0</v>
      </c>
      <c r="O3171">
        <v>-0.9984828</v>
      </c>
      <c r="P3171">
        <v>-0.28126030000000002</v>
      </c>
      <c r="Q3171">
        <v>0.15284200000000001</v>
      </c>
      <c r="R3171">
        <v>-0.94738160000000005</v>
      </c>
      <c r="S3171">
        <v>-1.2378229999999999</v>
      </c>
      <c r="T3171">
        <v>-0.24665670000000001</v>
      </c>
      <c r="U3171">
        <v>-2.842606</v>
      </c>
      <c r="V3171">
        <v>0.33227990000000002</v>
      </c>
      <c r="W3171">
        <v>0.16361239999999999</v>
      </c>
      <c r="X3171">
        <v>0.92888159999999997</v>
      </c>
      <c r="Y3171">
        <v>0.44643769999999999</v>
      </c>
      <c r="Z3171">
        <v>7.8191979999999994E-2</v>
      </c>
      <c r="AA3171">
        <v>0.89139179999999996</v>
      </c>
      <c r="AB3171">
        <v>24</v>
      </c>
      <c r="AC3171">
        <v>-5.5718999999999896</v>
      </c>
      <c r="AD3171">
        <v>-1.108209845992</v>
      </c>
      <c r="AE3171">
        <v>-12.546999999999899</v>
      </c>
      <c r="AF3171">
        <v>6.1941013963880502</v>
      </c>
      <c r="AG3171">
        <v>-1.108209845992</v>
      </c>
      <c r="AH3171">
        <v>12.1521162628492</v>
      </c>
      <c r="AI3171">
        <v>94.645019965166199</v>
      </c>
      <c r="AJ3171">
        <v>62.991433068159402</v>
      </c>
      <c r="AK3171">
        <v>13.6846246144092</v>
      </c>
      <c r="AL3171">
        <v>80.5833644394949</v>
      </c>
      <c r="AM3171">
        <v>70.316833707034505</v>
      </c>
      <c r="AN3171">
        <v>0.99999998809816404</v>
      </c>
    </row>
    <row r="3172" spans="1:40" x14ac:dyDescent="0.25">
      <c r="A3172" t="str">
        <f>"20190312172724365"</f>
        <v>20190312172724365</v>
      </c>
      <c r="B3172" t="str">
        <f>"1552382844352342"</f>
        <v>1552382844352342</v>
      </c>
      <c r="C3172" t="s">
        <v>40</v>
      </c>
      <c r="D3172">
        <v>3.642919</v>
      </c>
      <c r="E3172">
        <v>0.57010469999999902</v>
      </c>
      <c r="F3172" t="s">
        <v>41</v>
      </c>
      <c r="G3172">
        <v>-194.72040000000001</v>
      </c>
      <c r="H3172" s="1">
        <v>-2.8524829999999898E-6</v>
      </c>
      <c r="I3172">
        <v>162.96899999999999</v>
      </c>
      <c r="J3172">
        <v>-187.00530000000001</v>
      </c>
      <c r="K3172">
        <v>1.1080680000000001</v>
      </c>
      <c r="L3172">
        <v>178.5772</v>
      </c>
      <c r="M3172">
        <v>5.0299379999999998E-2</v>
      </c>
      <c r="N3172">
        <v>0</v>
      </c>
      <c r="O3172">
        <v>-0.99864569999999997</v>
      </c>
      <c r="P3172">
        <v>-0.2876088</v>
      </c>
      <c r="Q3172">
        <v>0.15180639999999901</v>
      </c>
      <c r="R3172">
        <v>-0.94564090000000001</v>
      </c>
      <c r="S3172">
        <v>-1.358719</v>
      </c>
      <c r="T3172">
        <v>-0.1954081</v>
      </c>
      <c r="U3172">
        <v>-2.7947690000000001</v>
      </c>
      <c r="V3172">
        <v>0.335651599999999</v>
      </c>
      <c r="W3172">
        <v>0.16244939999999999</v>
      </c>
      <c r="X3172">
        <v>0.92787299999999995</v>
      </c>
      <c r="Y3172">
        <v>0.48107460000000002</v>
      </c>
      <c r="Z3172">
        <v>6.1868329999999999E-2</v>
      </c>
      <c r="AA3172">
        <v>0.87449390000000005</v>
      </c>
      <c r="AB3172">
        <v>24</v>
      </c>
      <c r="AC3172">
        <v>-7.7150999999999996</v>
      </c>
      <c r="AD3172">
        <v>-1.1080708524830001</v>
      </c>
      <c r="AE3172">
        <v>-15.6082</v>
      </c>
      <c r="AF3172">
        <v>8.4562337548923807</v>
      </c>
      <c r="AG3172">
        <v>-1.1080708524830001</v>
      </c>
      <c r="AH3172">
        <v>15.1390218671167</v>
      </c>
      <c r="AI3172">
        <v>93.656241887765901</v>
      </c>
      <c r="AJ3172">
        <v>60.813497092558997</v>
      </c>
      <c r="AK3172">
        <v>17.376009133991101</v>
      </c>
      <c r="AL3172">
        <v>80.650903660355297</v>
      </c>
      <c r="AM3172">
        <v>70.112761990827096</v>
      </c>
      <c r="AN3172">
        <v>1.0000000541359499</v>
      </c>
    </row>
    <row r="3173" spans="1:40" x14ac:dyDescent="0.25">
      <c r="A3173" t="str">
        <f>"20190312172724387"</f>
        <v>20190312172724387</v>
      </c>
      <c r="B3173" t="str">
        <f>"1552382844382599"</f>
        <v>1552382844382599</v>
      </c>
      <c r="C3173" t="s">
        <v>40</v>
      </c>
      <c r="D3173">
        <v>3.5765579999999999</v>
      </c>
      <c r="E3173">
        <v>0.57036330000000002</v>
      </c>
      <c r="F3173" t="s">
        <v>41</v>
      </c>
      <c r="G3173">
        <v>-195.42019999999999</v>
      </c>
      <c r="H3173" s="1">
        <v>-2.5630759999999998E-6</v>
      </c>
      <c r="I3173">
        <v>161.96289999999999</v>
      </c>
      <c r="J3173">
        <v>-186.99700000000001</v>
      </c>
      <c r="K3173">
        <v>1.107947</v>
      </c>
      <c r="L3173">
        <v>178.34309999999999</v>
      </c>
      <c r="M3173">
        <v>4.7094829999999997E-2</v>
      </c>
      <c r="N3173">
        <v>0</v>
      </c>
      <c r="O3173">
        <v>-0.99880159999999996</v>
      </c>
      <c r="P3173">
        <v>-0.29403649999999998</v>
      </c>
      <c r="Q3173">
        <v>0.15118860000000001</v>
      </c>
      <c r="R3173">
        <v>-0.94376059999999995</v>
      </c>
      <c r="S3173">
        <v>-1.405365</v>
      </c>
      <c r="T3173">
        <v>-0.18505840000000001</v>
      </c>
      <c r="U3173">
        <v>-2.77475</v>
      </c>
      <c r="V3173">
        <v>0.33904139999999999</v>
      </c>
      <c r="W3173">
        <v>0.16170789999999999</v>
      </c>
      <c r="X3173">
        <v>0.92676939999999997</v>
      </c>
      <c r="Y3173">
        <v>0.49256830000000001</v>
      </c>
      <c r="Z3173">
        <v>5.8589250000000002E-2</v>
      </c>
      <c r="AA3173">
        <v>0.86829940000000005</v>
      </c>
      <c r="AB3173">
        <v>24</v>
      </c>
      <c r="AC3173">
        <v>-8.42319999999998</v>
      </c>
      <c r="AD3173">
        <v>-1.1079495630759999</v>
      </c>
      <c r="AE3173">
        <v>-16.380199999999999</v>
      </c>
      <c r="AF3173">
        <v>9.15222774170938</v>
      </c>
      <c r="AG3173">
        <v>-1.1079495630759999</v>
      </c>
      <c r="AH3173">
        <v>15.9077381852837</v>
      </c>
      <c r="AI3173">
        <v>93.454755362613099</v>
      </c>
      <c r="AJ3173">
        <v>60.0868128702935</v>
      </c>
      <c r="AK3173">
        <v>18.3860533840726</v>
      </c>
      <c r="AL3173">
        <v>80.693957411092001</v>
      </c>
      <c r="AM3173">
        <v>69.905890701484793</v>
      </c>
      <c r="AN3173">
        <v>1.00000001830636</v>
      </c>
    </row>
    <row r="3174" spans="1:40" x14ac:dyDescent="0.25">
      <c r="A3174" t="str">
        <f>"20190312172724408"</f>
        <v>20190312172724408</v>
      </c>
      <c r="B3174" t="str">
        <f>"1552382844402119"</f>
        <v>1552382844402119</v>
      </c>
      <c r="C3174" t="s">
        <v>40</v>
      </c>
      <c r="D3174">
        <v>3.5656500000000002</v>
      </c>
      <c r="E3174">
        <v>0.57046770000000002</v>
      </c>
      <c r="F3174" t="s">
        <v>41</v>
      </c>
      <c r="G3174">
        <v>-195.75540000000001</v>
      </c>
      <c r="H3174" s="1">
        <v>-2.371307E-6</v>
      </c>
      <c r="I3174">
        <v>161.36850000000001</v>
      </c>
      <c r="J3174">
        <v>-186.9896</v>
      </c>
      <c r="K3174">
        <v>1.107842</v>
      </c>
      <c r="L3174">
        <v>178.1069</v>
      </c>
      <c r="M3174">
        <v>4.370011E-2</v>
      </c>
      <c r="N3174">
        <v>0</v>
      </c>
      <c r="O3174">
        <v>-0.99895610000000001</v>
      </c>
      <c r="P3174">
        <v>-0.30029609999999901</v>
      </c>
      <c r="Q3174">
        <v>0.15073529999999999</v>
      </c>
      <c r="R3174">
        <v>-0.94186099999999995</v>
      </c>
      <c r="S3174">
        <v>-1.4258420000000001</v>
      </c>
      <c r="T3174">
        <v>-0.18037139999999999</v>
      </c>
      <c r="U3174">
        <v>-2.7634280000000002</v>
      </c>
      <c r="V3174">
        <v>0.34209400000000001</v>
      </c>
      <c r="W3174">
        <v>0.1611389</v>
      </c>
      <c r="X3174">
        <v>0.92574610000000002</v>
      </c>
      <c r="Y3174">
        <v>0.4961758</v>
      </c>
      <c r="Z3174">
        <v>5.7179479999999998E-2</v>
      </c>
      <c r="AA3174">
        <v>0.86633719999999903</v>
      </c>
      <c r="AB3174">
        <v>24</v>
      </c>
      <c r="AC3174">
        <v>-8.7658000000000094</v>
      </c>
      <c r="AD3174">
        <v>-1.1078443713070001</v>
      </c>
      <c r="AE3174">
        <v>-16.738399999999899</v>
      </c>
      <c r="AF3174">
        <v>9.4564503376077695</v>
      </c>
      <c r="AG3174">
        <v>-1.1078443713070001</v>
      </c>
      <c r="AH3174">
        <v>16.283328675549701</v>
      </c>
      <c r="AI3174">
        <v>93.367047861542801</v>
      </c>
      <c r="AJ3174">
        <v>59.854366550874701</v>
      </c>
      <c r="AK3174">
        <v>18.8626234891825</v>
      </c>
      <c r="AL3174">
        <v>80.7269912710901</v>
      </c>
      <c r="AM3174">
        <v>69.719050522703299</v>
      </c>
      <c r="AN3174">
        <v>0.99999994579720797</v>
      </c>
    </row>
    <row r="3175" spans="1:40" x14ac:dyDescent="0.25">
      <c r="A3175" t="str">
        <f>"20190312172724431"</f>
        <v>20190312172724431</v>
      </c>
      <c r="B3175" t="str">
        <f>"1552382844422618"</f>
        <v>1552382844422618</v>
      </c>
      <c r="C3175" t="s">
        <v>40</v>
      </c>
      <c r="D3175">
        <v>3.5527269999999902</v>
      </c>
      <c r="E3175">
        <v>0.57067990000000002</v>
      </c>
      <c r="F3175" t="s">
        <v>41</v>
      </c>
      <c r="G3175">
        <v>-195.80520000000001</v>
      </c>
      <c r="H3175" s="1">
        <v>-2.3577240000000001E-6</v>
      </c>
      <c r="I3175">
        <v>161.31180000000001</v>
      </c>
      <c r="J3175">
        <v>-186.983</v>
      </c>
      <c r="K3175">
        <v>1.1077429999999999</v>
      </c>
      <c r="L3175">
        <v>177.85759999999999</v>
      </c>
      <c r="M3175">
        <v>3.9939219999999998E-2</v>
      </c>
      <c r="N3175">
        <v>0</v>
      </c>
      <c r="O3175">
        <v>-0.99911329999999998</v>
      </c>
      <c r="P3175">
        <v>-0.30586669999999999</v>
      </c>
      <c r="Q3175">
        <v>0.1507184</v>
      </c>
      <c r="R3175">
        <v>-0.94006920000000005</v>
      </c>
      <c r="S3175">
        <v>-1.4452510000000001</v>
      </c>
      <c r="T3175">
        <v>-0.18162410000000001</v>
      </c>
      <c r="U3175">
        <v>-2.7534640000000001</v>
      </c>
      <c r="V3175">
        <v>0.34413280000000002</v>
      </c>
      <c r="W3175">
        <v>0.16102269999999999</v>
      </c>
      <c r="X3175">
        <v>0.92501040000000001</v>
      </c>
      <c r="Y3175">
        <v>0.49897259999999999</v>
      </c>
      <c r="Z3175">
        <v>5.7636420000000001E-2</v>
      </c>
      <c r="AA3175">
        <v>0.864699</v>
      </c>
      <c r="AB3175">
        <v>24</v>
      </c>
      <c r="AC3175">
        <v>-8.8222000000000094</v>
      </c>
      <c r="AD3175">
        <v>-1.107745357724</v>
      </c>
      <c r="AE3175">
        <v>-16.5457999999999</v>
      </c>
      <c r="AF3175">
        <v>9.4430873130808202</v>
      </c>
      <c r="AG3175">
        <v>-1.107745357724</v>
      </c>
      <c r="AH3175">
        <v>16.123938770882901</v>
      </c>
      <c r="AI3175">
        <v>93.392708078046894</v>
      </c>
      <c r="AJ3175">
        <v>59.644355685992601</v>
      </c>
      <c r="AK3175">
        <v>18.718450771022901</v>
      </c>
      <c r="AL3175">
        <v>80.733737332245397</v>
      </c>
      <c r="AM3175">
        <v>69.593224797581797</v>
      </c>
      <c r="AN3175">
        <v>0.999999967029644</v>
      </c>
    </row>
    <row r="3176" spans="1:40" x14ac:dyDescent="0.25">
      <c r="A3176" t="str">
        <f>"20190312172724453"</f>
        <v>20190312172724453</v>
      </c>
      <c r="B3176" t="str">
        <f>"1552382844442134"</f>
        <v>1552382844442134</v>
      </c>
      <c r="C3176" t="s">
        <v>40</v>
      </c>
      <c r="D3176">
        <v>3.558605</v>
      </c>
      <c r="E3176">
        <v>0.57077480000000003</v>
      </c>
      <c r="F3176" t="s">
        <v>41</v>
      </c>
      <c r="G3176">
        <v>-195.9554</v>
      </c>
      <c r="H3176" s="1">
        <v>-2.2701219999999998E-6</v>
      </c>
      <c r="I3176">
        <v>161.04179999999999</v>
      </c>
      <c r="J3176">
        <v>-186.9778</v>
      </c>
      <c r="K3176">
        <v>1.1076729999999999</v>
      </c>
      <c r="L3176">
        <v>177.62729999999999</v>
      </c>
      <c r="M3176">
        <v>3.6346419999999997E-2</v>
      </c>
      <c r="N3176">
        <v>0</v>
      </c>
      <c r="O3176">
        <v>-0.99925039999999998</v>
      </c>
      <c r="P3176">
        <v>-0.31012820000000002</v>
      </c>
      <c r="Q3176">
        <v>0.15103269999999999</v>
      </c>
      <c r="R3176">
        <v>-0.93862120000000004</v>
      </c>
      <c r="S3176">
        <v>-1.4640500000000001</v>
      </c>
      <c r="T3176">
        <v>-0.1807531</v>
      </c>
      <c r="U3176">
        <v>-2.7438660000000001</v>
      </c>
      <c r="V3176">
        <v>0.34503309999999998</v>
      </c>
      <c r="W3176">
        <v>0.16127259999999999</v>
      </c>
      <c r="X3176">
        <v>0.92463139999999999</v>
      </c>
      <c r="Y3176">
        <v>0.50173029999999996</v>
      </c>
      <c r="Z3176">
        <v>5.7415389999999997E-2</v>
      </c>
      <c r="AA3176">
        <v>0.86311659999999901</v>
      </c>
      <c r="AB3176">
        <v>24</v>
      </c>
      <c r="AC3176">
        <v>-8.97759999999999</v>
      </c>
      <c r="AD3176">
        <v>-1.1076752701219901</v>
      </c>
      <c r="AE3176">
        <v>-16.5854999999999</v>
      </c>
      <c r="AF3176">
        <v>9.5416291652888301</v>
      </c>
      <c r="AG3176">
        <v>-1.1076752701219901</v>
      </c>
      <c r="AH3176">
        <v>16.1923492788959</v>
      </c>
      <c r="AI3176">
        <v>93.372882670023202</v>
      </c>
      <c r="AJ3176">
        <v>59.490526741304699</v>
      </c>
      <c r="AK3176">
        <v>18.8271560996793</v>
      </c>
      <c r="AL3176">
        <v>80.719229425931701</v>
      </c>
      <c r="AM3176">
        <v>69.536565368572496</v>
      </c>
      <c r="AN3176">
        <v>0.99999995873616399</v>
      </c>
    </row>
    <row r="3177" spans="1:40" x14ac:dyDescent="0.25">
      <c r="A3177" t="str">
        <f>"20190312172724476"</f>
        <v>20190312172724476</v>
      </c>
      <c r="B3177" t="str">
        <f>"1552382844472392"</f>
        <v>1552382844472392</v>
      </c>
      <c r="C3177" t="s">
        <v>40</v>
      </c>
      <c r="D3177">
        <v>3.5621429999999998</v>
      </c>
      <c r="E3177">
        <v>0.5708879</v>
      </c>
      <c r="F3177" t="s">
        <v>41</v>
      </c>
      <c r="G3177">
        <v>-196.17</v>
      </c>
      <c r="H3177" s="1">
        <v>-2.1265299999999999E-6</v>
      </c>
      <c r="I3177">
        <v>160.6173</v>
      </c>
      <c r="J3177">
        <v>-186.9735</v>
      </c>
      <c r="K3177">
        <v>1.1076140000000001</v>
      </c>
      <c r="L3177">
        <v>177.38849999999999</v>
      </c>
      <c r="M3177">
        <v>3.2505079999999999E-2</v>
      </c>
      <c r="N3177">
        <v>0</v>
      </c>
      <c r="O3177">
        <v>-0.99938269999999996</v>
      </c>
      <c r="P3177">
        <v>-0.31397190000000003</v>
      </c>
      <c r="Q3177">
        <v>0.15163209999999999</v>
      </c>
      <c r="R3177">
        <v>-0.93724580000000002</v>
      </c>
      <c r="S3177">
        <v>-1.4786680000000001</v>
      </c>
      <c r="T3177">
        <v>-0.1781828</v>
      </c>
      <c r="U3177">
        <v>-2.7362669999999998</v>
      </c>
      <c r="V3177">
        <v>0.34529199999999999</v>
      </c>
      <c r="W3177">
        <v>0.1618241</v>
      </c>
      <c r="X3177">
        <v>0.92443839999999999</v>
      </c>
      <c r="Y3177">
        <v>0.50299910000000003</v>
      </c>
      <c r="Z3177">
        <v>5.6662919999999999E-2</v>
      </c>
      <c r="AA3177">
        <v>0.86242750000000001</v>
      </c>
      <c r="AB3177">
        <v>24</v>
      </c>
      <c r="AC3177">
        <v>-9.1964999999999808</v>
      </c>
      <c r="AD3177">
        <v>-1.10761612653</v>
      </c>
      <c r="AE3177">
        <v>-16.771199999999901</v>
      </c>
      <c r="AF3177">
        <v>9.7042953024765097</v>
      </c>
      <c r="AG3177">
        <v>-1.10761612653</v>
      </c>
      <c r="AH3177">
        <v>16.4083537932325</v>
      </c>
      <c r="AI3177">
        <v>93.325270763046206</v>
      </c>
      <c r="AJ3177">
        <v>59.398908487191797</v>
      </c>
      <c r="AK3177">
        <v>19.0953982677845</v>
      </c>
      <c r="AL3177">
        <v>80.687210422852402</v>
      </c>
      <c r="AM3177">
        <v>69.518564302003398</v>
      </c>
      <c r="AN3177">
        <v>0.99999997999968404</v>
      </c>
    </row>
    <row r="3178" spans="1:40" x14ac:dyDescent="0.25">
      <c r="A3178" t="str">
        <f>"20190312172724498"</f>
        <v>20190312172724498</v>
      </c>
      <c r="B3178" t="str">
        <f>"1552382844491911"</f>
        <v>1552382844491911</v>
      </c>
      <c r="C3178" t="s">
        <v>40</v>
      </c>
      <c r="D3178">
        <v>3.5629</v>
      </c>
      <c r="E3178">
        <v>0.57082440000000001</v>
      </c>
      <c r="F3178" t="s">
        <v>41</v>
      </c>
      <c r="G3178">
        <v>-196.42609999999999</v>
      </c>
      <c r="H3178" s="1">
        <v>-1.9467100000000002E-6</v>
      </c>
      <c r="I3178">
        <v>160.09270000000001</v>
      </c>
      <c r="J3178">
        <v>-186.97020000000001</v>
      </c>
      <c r="K3178">
        <v>1.1075569999999999</v>
      </c>
      <c r="L3178">
        <v>177.14940000000001</v>
      </c>
      <c r="M3178">
        <v>2.8546450000000001E-2</v>
      </c>
      <c r="N3178">
        <v>0</v>
      </c>
      <c r="O3178">
        <v>-0.99950349999999999</v>
      </c>
      <c r="P3178">
        <v>-0.3175094</v>
      </c>
      <c r="Q3178">
        <v>0.15098329999999999</v>
      </c>
      <c r="R3178">
        <v>-0.93615809999999999</v>
      </c>
      <c r="S3178">
        <v>-1.4916990000000001</v>
      </c>
      <c r="T3178">
        <v>-0.17479069999999999</v>
      </c>
      <c r="U3178">
        <v>-2.7294160000000001</v>
      </c>
      <c r="V3178">
        <v>0.34514099999999998</v>
      </c>
      <c r="W3178">
        <v>0.1611399</v>
      </c>
      <c r="X3178">
        <v>0.9246143</v>
      </c>
      <c r="Y3178">
        <v>0.50368710000000005</v>
      </c>
      <c r="Z3178">
        <v>5.5650119999999997E-2</v>
      </c>
      <c r="AA3178">
        <v>0.86209190000000002</v>
      </c>
      <c r="AB3178">
        <v>24</v>
      </c>
      <c r="AC3178">
        <v>-9.4558999999999802</v>
      </c>
      <c r="AD3178">
        <v>-1.10755894671</v>
      </c>
      <c r="AE3178">
        <v>-17.056699999999999</v>
      </c>
      <c r="AF3178">
        <v>9.9070451142018694</v>
      </c>
      <c r="AG3178">
        <v>-1.10755894671</v>
      </c>
      <c r="AH3178">
        <v>16.7258471008459</v>
      </c>
      <c r="AI3178">
        <v>93.260842111473295</v>
      </c>
      <c r="AJ3178">
        <v>59.3609145417864</v>
      </c>
      <c r="AK3178">
        <v>19.471265776937699</v>
      </c>
      <c r="AL3178">
        <v>80.726933634903304</v>
      </c>
      <c r="AM3178">
        <v>69.530349515380294</v>
      </c>
      <c r="AN3178">
        <v>0.99999999050874999</v>
      </c>
    </row>
    <row r="3179" spans="1:40" x14ac:dyDescent="0.25">
      <c r="A3179" t="str">
        <f>"20190312172724523"</f>
        <v>20190312172724523</v>
      </c>
      <c r="B3179" t="str">
        <f>"1552382844512406"</f>
        <v>1552382844512406</v>
      </c>
      <c r="C3179" t="s">
        <v>40</v>
      </c>
      <c r="D3179">
        <v>3.522497</v>
      </c>
      <c r="E3179">
        <v>0.57082330000000003</v>
      </c>
      <c r="F3179" t="s">
        <v>41</v>
      </c>
      <c r="G3179">
        <v>-196.4272</v>
      </c>
      <c r="H3179" s="1">
        <v>-1.9021989999999999E-6</v>
      </c>
      <c r="I3179">
        <v>159.99799999999999</v>
      </c>
      <c r="J3179">
        <v>-186.96780000000001</v>
      </c>
      <c r="K3179">
        <v>1.107499</v>
      </c>
      <c r="L3179">
        <v>176.88939999999999</v>
      </c>
      <c r="M3179">
        <v>2.412483E-2</v>
      </c>
      <c r="N3179">
        <v>0</v>
      </c>
      <c r="O3179">
        <v>-0.99961979999999995</v>
      </c>
      <c r="P3179">
        <v>-0.3209225</v>
      </c>
      <c r="Q3179">
        <v>0.15162929999999999</v>
      </c>
      <c r="R3179">
        <v>-0.93488919999999998</v>
      </c>
      <c r="S3179">
        <v>-1.501755</v>
      </c>
      <c r="T3179">
        <v>-0.17587800000000001</v>
      </c>
      <c r="U3179">
        <v>-2.7236180000000001</v>
      </c>
      <c r="V3179">
        <v>0.3444468</v>
      </c>
      <c r="W3179">
        <v>0.161749799999999</v>
      </c>
      <c r="X3179">
        <v>0.92476670000000005</v>
      </c>
      <c r="Y3179">
        <v>0.50307309999999905</v>
      </c>
      <c r="Z3179">
        <v>5.6074190000000003E-2</v>
      </c>
      <c r="AA3179">
        <v>0.86242289999999899</v>
      </c>
      <c r="AB3179">
        <v>24</v>
      </c>
      <c r="AC3179">
        <v>-9.4593999999999792</v>
      </c>
      <c r="AD3179">
        <v>-1.1075009021989899</v>
      </c>
      <c r="AE3179">
        <v>-16.891400000000001</v>
      </c>
      <c r="AF3179">
        <v>9.8320089222620108</v>
      </c>
      <c r="AG3179">
        <v>-1.1075009021989899</v>
      </c>
      <c r="AH3179">
        <v>16.603918695311801</v>
      </c>
      <c r="AI3179">
        <v>93.284807293618599</v>
      </c>
      <c r="AJ3179">
        <v>59.368107606450998</v>
      </c>
      <c r="AK3179">
        <v>19.328348965608399</v>
      </c>
      <c r="AL3179">
        <v>80.691524732395493</v>
      </c>
      <c r="AM3179">
        <v>69.571204394706101</v>
      </c>
      <c r="AN3179">
        <v>1.00000002262958</v>
      </c>
    </row>
    <row r="3180" spans="1:40" x14ac:dyDescent="0.25">
      <c r="A3180" t="str">
        <f>"20190312172724544"</f>
        <v>20190312172724544</v>
      </c>
      <c r="B3180" t="str">
        <f>"1552382844531927"</f>
        <v>1552382844531927</v>
      </c>
      <c r="C3180" t="s">
        <v>40</v>
      </c>
      <c r="D3180">
        <v>3.5513509999999999</v>
      </c>
      <c r="E3180">
        <v>0.57068960000000002</v>
      </c>
      <c r="F3180" t="s">
        <v>50</v>
      </c>
      <c r="G3180">
        <v>-196.61600000000001</v>
      </c>
      <c r="H3180" s="1">
        <v>-1.49604E-5</v>
      </c>
      <c r="I3180">
        <v>159.54839999999999</v>
      </c>
      <c r="J3180">
        <v>-186.9667</v>
      </c>
      <c r="K3180">
        <v>1.10744</v>
      </c>
      <c r="L3180">
        <v>176.66069999999999</v>
      </c>
      <c r="M3180">
        <v>2.0141050000000001E-2</v>
      </c>
      <c r="N3180">
        <v>0</v>
      </c>
      <c r="O3180">
        <v>-0.99970809999999999</v>
      </c>
      <c r="P3180">
        <v>-0.32385439999999999</v>
      </c>
      <c r="Q3180">
        <v>0.15234529999999999</v>
      </c>
      <c r="R3180">
        <v>-0.93376119999999996</v>
      </c>
      <c r="S3180">
        <v>-1.512222</v>
      </c>
      <c r="T3180">
        <v>-0.17358789999999999</v>
      </c>
      <c r="U3180">
        <v>-2.7179720000000001</v>
      </c>
      <c r="V3180">
        <v>0.34368500000000002</v>
      </c>
      <c r="W3180">
        <v>0.16243339999999901</v>
      </c>
      <c r="X3180">
        <v>0.92493029999999998</v>
      </c>
      <c r="Y3180">
        <v>0.50294700000000003</v>
      </c>
      <c r="Z3180">
        <v>5.5408939999999997E-2</v>
      </c>
      <c r="AA3180">
        <v>0.86253939999999996</v>
      </c>
      <c r="AB3180">
        <v>24</v>
      </c>
      <c r="AC3180">
        <v>-9.6492999999999807</v>
      </c>
      <c r="AD3180">
        <v>-1.1074549603999999</v>
      </c>
      <c r="AE3180">
        <v>-17.112300000000001</v>
      </c>
      <c r="AF3180">
        <v>9.9603801196849204</v>
      </c>
      <c r="AG3180">
        <v>-1.1074549603999999</v>
      </c>
      <c r="AH3180">
        <v>16.8608825329109</v>
      </c>
      <c r="AI3180">
        <v>93.236715473727202</v>
      </c>
      <c r="AJ3180">
        <v>59.427998901921399</v>
      </c>
      <c r="AK3180">
        <v>19.614407674119299</v>
      </c>
      <c r="AL3180">
        <v>80.651832450737601</v>
      </c>
      <c r="AM3180">
        <v>69.615973502395903</v>
      </c>
      <c r="AN3180">
        <v>1.0000000242593201</v>
      </c>
    </row>
    <row r="3181" spans="1:40" x14ac:dyDescent="0.25">
      <c r="A3181" t="str">
        <f>"20190312172724565"</f>
        <v>20190312172724565</v>
      </c>
      <c r="B3181" t="str">
        <f>"1552382844562183"</f>
        <v>1552382844562183</v>
      </c>
      <c r="C3181" t="s">
        <v>40</v>
      </c>
      <c r="D3181">
        <v>3.5449619999999999</v>
      </c>
      <c r="E3181">
        <v>0.57068180000000002</v>
      </c>
      <c r="F3181" t="s">
        <v>50</v>
      </c>
      <c r="G3181">
        <v>-196.8621</v>
      </c>
      <c r="H3181" s="1">
        <v>-1.4823759999999999E-5</v>
      </c>
      <c r="I3181">
        <v>159.00530000000001</v>
      </c>
      <c r="J3181">
        <v>-186.9667</v>
      </c>
      <c r="K3181">
        <v>1.107383</v>
      </c>
      <c r="L3181">
        <v>176.4348</v>
      </c>
      <c r="M3181">
        <v>1.6118440000000001E-2</v>
      </c>
      <c r="N3181">
        <v>0</v>
      </c>
      <c r="O3181">
        <v>-0.99978080000000003</v>
      </c>
      <c r="P3181">
        <v>-0.32645459999999998</v>
      </c>
      <c r="Q3181">
        <v>0.15318090000000001</v>
      </c>
      <c r="R3181">
        <v>-0.93271809999999999</v>
      </c>
      <c r="S3181">
        <v>-1.5206599999999999</v>
      </c>
      <c r="T3181">
        <v>-0.17018639999999999</v>
      </c>
      <c r="U3181">
        <v>-2.713165</v>
      </c>
      <c r="V3181">
        <v>0.3425629</v>
      </c>
      <c r="W3181">
        <v>0.16323979999999999</v>
      </c>
      <c r="X3181">
        <v>0.92520449999999999</v>
      </c>
      <c r="Y3181">
        <v>0.50219150000000001</v>
      </c>
      <c r="Z3181">
        <v>5.4391639999999998E-2</v>
      </c>
      <c r="AA3181">
        <v>0.86304409999999898</v>
      </c>
      <c r="AB3181">
        <v>24</v>
      </c>
      <c r="AC3181">
        <v>-9.8953999999999898</v>
      </c>
      <c r="AD3181">
        <v>-1.10739782376</v>
      </c>
      <c r="AE3181">
        <v>-17.429499999999901</v>
      </c>
      <c r="AF3181">
        <v>10.1441077403144</v>
      </c>
      <c r="AG3181">
        <v>-1.10739782376</v>
      </c>
      <c r="AH3181">
        <v>17.215168177123601</v>
      </c>
      <c r="AI3181">
        <v>93.172134999288602</v>
      </c>
      <c r="AJ3181">
        <v>59.491108800777504</v>
      </c>
      <c r="AK3181">
        <v>20.012277910168699</v>
      </c>
      <c r="AL3181">
        <v>80.605003602132399</v>
      </c>
      <c r="AM3181">
        <v>69.682605021736194</v>
      </c>
      <c r="AN3181">
        <v>0.999999969790349</v>
      </c>
    </row>
    <row r="3182" spans="1:40" x14ac:dyDescent="0.25">
      <c r="A3182" t="str">
        <f>"20190312172724587"</f>
        <v>20190312172724587</v>
      </c>
      <c r="B3182" t="str">
        <f>"1552382844582679"</f>
        <v>1552382844582679</v>
      </c>
      <c r="C3182" t="s">
        <v>40</v>
      </c>
      <c r="D3182">
        <v>3.5226039999999998</v>
      </c>
      <c r="E3182">
        <v>0.57070399999999999</v>
      </c>
      <c r="F3182" t="s">
        <v>50</v>
      </c>
      <c r="G3182">
        <v>-197.08850000000001</v>
      </c>
      <c r="H3182" s="1">
        <v>-1.4699020000000001E-5</v>
      </c>
      <c r="I3182">
        <v>158.50960000000001</v>
      </c>
      <c r="J3182">
        <v>-186.96770000000001</v>
      </c>
      <c r="K3182">
        <v>1.1073299999999999</v>
      </c>
      <c r="L3182">
        <v>176.20349999999999</v>
      </c>
      <c r="M3182">
        <v>1.19103E-2</v>
      </c>
      <c r="N3182">
        <v>0</v>
      </c>
      <c r="O3182">
        <v>-0.9998397</v>
      </c>
      <c r="P3182">
        <v>-0.32989420000000003</v>
      </c>
      <c r="Q3182">
        <v>0.15377189999999999</v>
      </c>
      <c r="R3182">
        <v>-0.93140990000000001</v>
      </c>
      <c r="S3182">
        <v>-1.5294490000000001</v>
      </c>
      <c r="T3182">
        <v>-0.1673326</v>
      </c>
      <c r="U3182">
        <v>-2.7085880000000002</v>
      </c>
      <c r="V3182">
        <v>0.34210639999999998</v>
      </c>
      <c r="W3182">
        <v>0.16379449999999901</v>
      </c>
      <c r="X3182">
        <v>0.92527539999999997</v>
      </c>
      <c r="Y3182">
        <v>0.50132469999999996</v>
      </c>
      <c r="Z3182">
        <v>5.3541209999999999E-2</v>
      </c>
      <c r="AA3182">
        <v>0.86360110000000001</v>
      </c>
      <c r="AB3182">
        <v>24</v>
      </c>
      <c r="AC3182">
        <v>-10.120799999999999</v>
      </c>
      <c r="AD3182">
        <v>-1.10734469902</v>
      </c>
      <c r="AE3182">
        <v>-17.6938999999999</v>
      </c>
      <c r="AF3182">
        <v>10.3004424511357</v>
      </c>
      <c r="AG3182">
        <v>-1.10734469902</v>
      </c>
      <c r="AH3182">
        <v>17.520387102055299</v>
      </c>
      <c r="AI3182">
        <v>93.118660357171294</v>
      </c>
      <c r="AJ3182">
        <v>59.548226808704896</v>
      </c>
      <c r="AK3182">
        <v>20.3540976507796</v>
      </c>
      <c r="AL3182">
        <v>80.572788280057907</v>
      </c>
      <c r="AM3182">
        <v>69.708898857670903</v>
      </c>
      <c r="AN3182">
        <v>0.99999999649818405</v>
      </c>
    </row>
    <row r="3183" spans="1:40" x14ac:dyDescent="0.25">
      <c r="A3183" t="str">
        <f>"20190312172724610"</f>
        <v>20190312172724610</v>
      </c>
      <c r="B3183" t="str">
        <f>"1552382844602198"</f>
        <v>1552382844602198</v>
      </c>
      <c r="C3183" t="s">
        <v>40</v>
      </c>
      <c r="D3183">
        <v>3.5276580000000002</v>
      </c>
      <c r="E3183">
        <v>0.57079630000000003</v>
      </c>
      <c r="F3183" t="s">
        <v>50</v>
      </c>
      <c r="G3183">
        <v>-197.28030000000001</v>
      </c>
      <c r="H3183" s="1">
        <v>-1.459836E-5</v>
      </c>
      <c r="I3183">
        <v>158.1095</v>
      </c>
      <c r="J3183">
        <v>-186.9701</v>
      </c>
      <c r="K3183">
        <v>1.107286</v>
      </c>
      <c r="L3183">
        <v>175.9547</v>
      </c>
      <c r="M3183">
        <v>7.2805129999999997E-3</v>
      </c>
      <c r="N3183">
        <v>0</v>
      </c>
      <c r="O3183">
        <v>-0.99988410000000005</v>
      </c>
      <c r="P3183">
        <v>-0.33387850000000002</v>
      </c>
      <c r="Q3183">
        <v>0.15461059999999999</v>
      </c>
      <c r="R3183">
        <v>-0.92984999999999995</v>
      </c>
      <c r="S3183">
        <v>-1.540359</v>
      </c>
      <c r="T3183">
        <v>-0.16540099999999999</v>
      </c>
      <c r="U3183">
        <v>-2.7026520000000001</v>
      </c>
      <c r="V3183">
        <v>0.34180870000000002</v>
      </c>
      <c r="W3183">
        <v>0.16459599999999999</v>
      </c>
      <c r="X3183">
        <v>0.92524320000000004</v>
      </c>
      <c r="Y3183">
        <v>0.50078250000000002</v>
      </c>
      <c r="Z3183">
        <v>5.2989769999999999E-2</v>
      </c>
      <c r="AA3183">
        <v>0.86394959999999899</v>
      </c>
      <c r="AB3183">
        <v>24</v>
      </c>
      <c r="AC3183">
        <v>-10.3102</v>
      </c>
      <c r="AD3183">
        <v>-1.1073005983599999</v>
      </c>
      <c r="AE3183">
        <v>-17.845199999999998</v>
      </c>
      <c r="AF3183">
        <v>10.4098108946498</v>
      </c>
      <c r="AG3183">
        <v>-1.1073005983599999</v>
      </c>
      <c r="AH3183">
        <v>17.7185093168058</v>
      </c>
      <c r="AI3183">
        <v>93.084273232632597</v>
      </c>
      <c r="AJ3183">
        <v>59.565315503610798</v>
      </c>
      <c r="AK3183">
        <v>20.579986634768101</v>
      </c>
      <c r="AL3183">
        <v>80.526233948304693</v>
      </c>
      <c r="AM3183">
        <v>69.724469875551605</v>
      </c>
      <c r="AN3183">
        <v>1.0000000048789599</v>
      </c>
    </row>
    <row r="3184" spans="1:40" x14ac:dyDescent="0.25">
      <c r="A3184" t="str">
        <f>"20190312172724632"</f>
        <v>20190312172724632</v>
      </c>
      <c r="B3184" t="str">
        <f>"1552382844622694"</f>
        <v>1552382844622694</v>
      </c>
      <c r="C3184" t="s">
        <v>40</v>
      </c>
      <c r="D3184">
        <v>3.5472299999999999</v>
      </c>
      <c r="E3184">
        <v>0.57082569999999999</v>
      </c>
      <c r="F3184" t="s">
        <v>50</v>
      </c>
      <c r="G3184">
        <v>-197.45480000000001</v>
      </c>
      <c r="H3184" s="1">
        <v>-1.4506889999999999E-5</v>
      </c>
      <c r="I3184">
        <v>157.74590000000001</v>
      </c>
      <c r="J3184">
        <v>-186.9735</v>
      </c>
      <c r="K3184">
        <v>1.107254</v>
      </c>
      <c r="L3184">
        <v>175.7176</v>
      </c>
      <c r="M3184">
        <v>2.7795480000000002E-3</v>
      </c>
      <c r="N3184">
        <v>0</v>
      </c>
      <c r="O3184">
        <v>-0.99990679999999998</v>
      </c>
      <c r="P3184">
        <v>-0.338308099999999</v>
      </c>
      <c r="Q3184">
        <v>0.15527839999999901</v>
      </c>
      <c r="R3184">
        <v>-0.92813619999999997</v>
      </c>
      <c r="S3184">
        <v>-1.5524439999999999</v>
      </c>
      <c r="T3184">
        <v>-0.16395560000000001</v>
      </c>
      <c r="U3184">
        <v>-2.6961360000000001</v>
      </c>
      <c r="V3184">
        <v>0.34207799999999999</v>
      </c>
      <c r="W3184">
        <v>0.16522709999999999</v>
      </c>
      <c r="X3184">
        <v>0.9250311</v>
      </c>
      <c r="Y3184">
        <v>0.50071060000000001</v>
      </c>
      <c r="Z3184">
        <v>5.2586870000000001E-2</v>
      </c>
      <c r="AA3184">
        <v>0.86401589999999995</v>
      </c>
      <c r="AB3184">
        <v>24</v>
      </c>
      <c r="AC3184">
        <v>-10.481299999999999</v>
      </c>
      <c r="AD3184">
        <v>-1.1072685068899999</v>
      </c>
      <c r="AE3184">
        <v>-17.971699999999998</v>
      </c>
      <c r="AF3184">
        <v>10.501471140582501</v>
      </c>
      <c r="AG3184">
        <v>-1.1072685068899999</v>
      </c>
      <c r="AH3184">
        <v>17.8918150750854</v>
      </c>
      <c r="AI3184">
        <v>93.055122395874406</v>
      </c>
      <c r="AJ3184">
        <v>59.589505615278902</v>
      </c>
      <c r="AK3184">
        <v>20.775562238935699</v>
      </c>
      <c r="AL3184">
        <v>80.489572046398706</v>
      </c>
      <c r="AM3184">
        <v>69.705524556399695</v>
      </c>
      <c r="AN3184">
        <v>0.99999994431280803</v>
      </c>
    </row>
    <row r="3185" spans="1:40" x14ac:dyDescent="0.25">
      <c r="A3185" t="str">
        <f>"20190312172724654"</f>
        <v>20190312172724654</v>
      </c>
      <c r="B3185" t="str">
        <f>"1552382844642214"</f>
        <v>1552382844642214</v>
      </c>
      <c r="C3185" t="s">
        <v>40</v>
      </c>
      <c r="D3185">
        <v>3.5110839999999999</v>
      </c>
      <c r="E3185">
        <v>0.57082580000000005</v>
      </c>
      <c r="F3185" t="s">
        <v>50</v>
      </c>
      <c r="G3185">
        <v>-197.62690000000001</v>
      </c>
      <c r="H3185" s="1">
        <v>-1.442582E-5</v>
      </c>
      <c r="I3185">
        <v>157.4237</v>
      </c>
      <c r="J3185">
        <v>-186.97790000000001</v>
      </c>
      <c r="K3185">
        <v>1.1072249999999999</v>
      </c>
      <c r="L3185">
        <v>175.48750000000001</v>
      </c>
      <c r="M3185">
        <v>-1.6528160000000001E-3</v>
      </c>
      <c r="N3185">
        <v>0</v>
      </c>
      <c r="O3185">
        <v>-0.99990900000000005</v>
      </c>
      <c r="P3185">
        <v>-0.342622599999999</v>
      </c>
      <c r="Q3185">
        <v>0.155727</v>
      </c>
      <c r="R3185">
        <v>-0.92647650000000004</v>
      </c>
      <c r="S3185">
        <v>-1.565796</v>
      </c>
      <c r="T3185">
        <v>-0.16274140000000001</v>
      </c>
      <c r="U3185">
        <v>-2.6887509999999999</v>
      </c>
      <c r="V3185">
        <v>0.3422982</v>
      </c>
      <c r="W3185">
        <v>0.16564989999999999</v>
      </c>
      <c r="X3185">
        <v>0.92487410000000003</v>
      </c>
      <c r="Y3185">
        <v>0.50112079999999903</v>
      </c>
      <c r="Z3185">
        <v>5.2255860000000001E-2</v>
      </c>
      <c r="AA3185">
        <v>0.86379819999999996</v>
      </c>
      <c r="AB3185">
        <v>24</v>
      </c>
      <c r="AC3185">
        <v>-10.648999999999999</v>
      </c>
      <c r="AD3185">
        <v>-1.10723942582</v>
      </c>
      <c r="AE3185">
        <v>-18.063800000000001</v>
      </c>
      <c r="AF3185">
        <v>10.589600669213199</v>
      </c>
      <c r="AG3185">
        <v>-1.10723942582</v>
      </c>
      <c r="AH3185">
        <v>18.031103340169398</v>
      </c>
      <c r="AI3185">
        <v>93.031019561345403</v>
      </c>
      <c r="AJ3185">
        <v>59.574440518056598</v>
      </c>
      <c r="AK3185">
        <v>20.940064688136999</v>
      </c>
      <c r="AL3185">
        <v>80.465009678548398</v>
      </c>
      <c r="AM3185">
        <v>69.690361725451893</v>
      </c>
      <c r="AN3185">
        <v>1.0000000239720199</v>
      </c>
    </row>
    <row r="3186" spans="1:40" x14ac:dyDescent="0.25">
      <c r="A3186" t="str">
        <f>"20190312172724676"</f>
        <v>20190312172724676</v>
      </c>
      <c r="B3186" t="str">
        <f>"1552382844672471"</f>
        <v>1552382844672471</v>
      </c>
      <c r="C3186" t="s">
        <v>40</v>
      </c>
      <c r="D3186">
        <v>3.5598399999999999</v>
      </c>
      <c r="E3186">
        <v>0.570851</v>
      </c>
      <c r="F3186" t="s">
        <v>50</v>
      </c>
      <c r="G3186">
        <v>-197.81569999999999</v>
      </c>
      <c r="H3186" s="1">
        <v>-1.4339919999999999E-5</v>
      </c>
      <c r="I3186">
        <v>157.08240000000001</v>
      </c>
      <c r="J3186">
        <v>-186.98349999999999</v>
      </c>
      <c r="K3186">
        <v>1.107205</v>
      </c>
      <c r="L3186">
        <v>175.25550000000001</v>
      </c>
      <c r="M3186">
        <v>-6.1775780000000004E-3</v>
      </c>
      <c r="N3186">
        <v>0</v>
      </c>
      <c r="O3186">
        <v>-0.99989139999999999</v>
      </c>
      <c r="P3186">
        <v>-0.347298</v>
      </c>
      <c r="Q3186">
        <v>0.15597910000000001</v>
      </c>
      <c r="R3186">
        <v>-0.92469170000000001</v>
      </c>
      <c r="S3186">
        <v>-1.578873</v>
      </c>
      <c r="T3186">
        <v>-0.161304799999999</v>
      </c>
      <c r="U3186">
        <v>-2.6812900000000002</v>
      </c>
      <c r="V3186">
        <v>0.34279809999999999</v>
      </c>
      <c r="W3186">
        <v>0.16587750000000001</v>
      </c>
      <c r="X3186">
        <v>0.92464809999999997</v>
      </c>
      <c r="Y3186">
        <v>0.50139709999999904</v>
      </c>
      <c r="Z3186">
        <v>5.1855119999999998E-2</v>
      </c>
      <c r="AA3186">
        <v>0.86366200000000004</v>
      </c>
      <c r="AB3186">
        <v>24</v>
      </c>
      <c r="AC3186">
        <v>-10.8322</v>
      </c>
      <c r="AD3186">
        <v>-1.1072193399200001</v>
      </c>
      <c r="AE3186">
        <v>-18.173100000000002</v>
      </c>
      <c r="AF3186">
        <v>10.690437242129599</v>
      </c>
      <c r="AG3186">
        <v>-1.1072193399200001</v>
      </c>
      <c r="AH3186">
        <v>18.189855393392499</v>
      </c>
      <c r="AI3186">
        <v>93.004013226176497</v>
      </c>
      <c r="AJ3186">
        <v>59.556639253569998</v>
      </c>
      <c r="AK3186">
        <v>21.127759519815001</v>
      </c>
      <c r="AL3186">
        <v>80.451785946071396</v>
      </c>
      <c r="AM3186">
        <v>69.658565274914594</v>
      </c>
      <c r="AN3186">
        <v>0.99999999560173403</v>
      </c>
    </row>
    <row r="3187" spans="1:40" x14ac:dyDescent="0.25">
      <c r="A3187" t="str">
        <f>"20190312172724699"</f>
        <v>20190312172724699</v>
      </c>
      <c r="B3187" t="str">
        <f>"1552382844691990"</f>
        <v>1552382844691990</v>
      </c>
      <c r="C3187" t="s">
        <v>40</v>
      </c>
      <c r="D3187">
        <v>3.5341670000000001</v>
      </c>
      <c r="E3187">
        <v>0.57088289999999997</v>
      </c>
      <c r="F3187" t="s">
        <v>50</v>
      </c>
      <c r="G3187">
        <v>-198.00149999999999</v>
      </c>
      <c r="H3187" s="1">
        <v>-1.426585E-5</v>
      </c>
      <c r="I3187">
        <v>156.78799999999899</v>
      </c>
      <c r="J3187">
        <v>-186.99039999999999</v>
      </c>
      <c r="K3187">
        <v>1.1071839999999999</v>
      </c>
      <c r="L3187">
        <v>175.01300000000001</v>
      </c>
      <c r="M3187">
        <v>-1.096276E-2</v>
      </c>
      <c r="N3187">
        <v>0</v>
      </c>
      <c r="O3187">
        <v>-0.99985029999999997</v>
      </c>
      <c r="P3187">
        <v>-0.35224899999999998</v>
      </c>
      <c r="Q3187">
        <v>0.15650159999999999</v>
      </c>
      <c r="R3187">
        <v>-0.92272869999999996</v>
      </c>
      <c r="S3187">
        <v>-1.594452</v>
      </c>
      <c r="T3187">
        <v>-0.1602296</v>
      </c>
      <c r="U3187">
        <v>-2.672501</v>
      </c>
      <c r="V3187">
        <v>0.34334409999999999</v>
      </c>
      <c r="W3187">
        <v>0.16637729999999901</v>
      </c>
      <c r="X3187">
        <v>0.9243557</v>
      </c>
      <c r="Y3187">
        <v>0.50222920000000004</v>
      </c>
      <c r="Z3187">
        <v>5.156844E-2</v>
      </c>
      <c r="AA3187">
        <v>0.8631955</v>
      </c>
      <c r="AB3187">
        <v>24</v>
      </c>
      <c r="AC3187">
        <v>-11.011100000000001</v>
      </c>
      <c r="AD3187">
        <v>-1.1071982658499999</v>
      </c>
      <c r="AE3187">
        <v>-18.225000000000001</v>
      </c>
      <c r="AF3187">
        <v>10.7814730713177</v>
      </c>
      <c r="AG3187">
        <v>-1.1071982658499999</v>
      </c>
      <c r="AH3187">
        <v>18.2951610693536</v>
      </c>
      <c r="AI3187">
        <v>92.984621609602002</v>
      </c>
      <c r="AJ3187">
        <v>59.488842058220598</v>
      </c>
      <c r="AK3187">
        <v>21.264500185545</v>
      </c>
      <c r="AL3187">
        <v>80.422746206128295</v>
      </c>
      <c r="AM3187">
        <v>69.622912083525705</v>
      </c>
      <c r="AN3187">
        <v>1.0000000185412901</v>
      </c>
    </row>
    <row r="3188" spans="1:40" x14ac:dyDescent="0.25">
      <c r="A3188" t="str">
        <f>"20190312172724723"</f>
        <v>20190312172724723</v>
      </c>
      <c r="B3188" t="str">
        <f>"1552382844712486"</f>
        <v>1552382844712486</v>
      </c>
      <c r="C3188" t="s">
        <v>40</v>
      </c>
      <c r="D3188">
        <v>3.5894059999999999</v>
      </c>
      <c r="E3188">
        <v>0.57083019999999995</v>
      </c>
      <c r="F3188" t="s">
        <v>50</v>
      </c>
      <c r="G3188">
        <v>-198.19059999999999</v>
      </c>
      <c r="H3188" s="1">
        <v>-1.4187860000000001E-5</v>
      </c>
      <c r="I3188">
        <v>156.47799999999901</v>
      </c>
      <c r="J3188">
        <v>-186.99889999999999</v>
      </c>
      <c r="K3188">
        <v>1.1071599999999999</v>
      </c>
      <c r="L3188">
        <v>174.761</v>
      </c>
      <c r="M3188">
        <v>-1.5988510000000001E-2</v>
      </c>
      <c r="N3188">
        <v>0</v>
      </c>
      <c r="O3188">
        <v>-0.99978250000000002</v>
      </c>
      <c r="P3188">
        <v>-0.35739130000000002</v>
      </c>
      <c r="Q3188">
        <v>0.15662699999999999</v>
      </c>
      <c r="R3188">
        <v>-0.92072790000000004</v>
      </c>
      <c r="S3188">
        <v>-1.6096189999999999</v>
      </c>
      <c r="T3188">
        <v>-0.15911979999999901</v>
      </c>
      <c r="U3188">
        <v>-2.6637420000000001</v>
      </c>
      <c r="V3188">
        <v>0.3438659</v>
      </c>
      <c r="W3188">
        <v>0.16648080000000001</v>
      </c>
      <c r="X3188">
        <v>0.9241431</v>
      </c>
      <c r="Y3188">
        <v>0.50274989999999997</v>
      </c>
      <c r="Z3188">
        <v>5.1273300000000001E-2</v>
      </c>
      <c r="AA3188">
        <v>0.86290999999999995</v>
      </c>
      <c r="AB3188">
        <v>23</v>
      </c>
      <c r="AC3188">
        <v>-11.1916999999999</v>
      </c>
      <c r="AD3188">
        <v>-1.1071741878599899</v>
      </c>
      <c r="AE3188">
        <v>-18.283000000000001</v>
      </c>
      <c r="AF3188">
        <v>10.86893075903</v>
      </c>
      <c r="AG3188">
        <v>-1.1071741878599899</v>
      </c>
      <c r="AH3188">
        <v>18.410504830629499</v>
      </c>
      <c r="AI3188">
        <v>92.964520927279807</v>
      </c>
      <c r="AJ3188">
        <v>59.443854540642597</v>
      </c>
      <c r="AK3188">
        <v>21.408086758173599</v>
      </c>
      <c r="AL3188">
        <v>80.416732441776503</v>
      </c>
      <c r="AM3188">
        <v>69.590187962693093</v>
      </c>
      <c r="AN3188">
        <v>1.0000000416145201</v>
      </c>
    </row>
    <row r="3189" spans="1:40" x14ac:dyDescent="0.25">
      <c r="A3189" t="str">
        <f>"20190312172724745"</f>
        <v>20190312172724745</v>
      </c>
      <c r="B3189" t="str">
        <f>"1552382844741766"</f>
        <v>1552382844741766</v>
      </c>
      <c r="C3189" t="s">
        <v>40</v>
      </c>
      <c r="D3189">
        <v>3.53071</v>
      </c>
      <c r="E3189">
        <v>0.57015280000000002</v>
      </c>
      <c r="F3189" t="s">
        <v>50</v>
      </c>
      <c r="G3189">
        <v>-198.20050000000001</v>
      </c>
      <c r="H3189" s="1">
        <v>-1.417816E-5</v>
      </c>
      <c r="I3189">
        <v>156.43950000000001</v>
      </c>
      <c r="J3189">
        <v>-187.00800000000001</v>
      </c>
      <c r="K3189">
        <v>1.1071470000000001</v>
      </c>
      <c r="L3189">
        <v>174.52809999999999</v>
      </c>
      <c r="M3189">
        <v>-2.0667049999999999E-2</v>
      </c>
      <c r="N3189">
        <v>0</v>
      </c>
      <c r="O3189">
        <v>-0.99969669999999999</v>
      </c>
      <c r="P3189">
        <v>-0.36174339999999999</v>
      </c>
      <c r="Q3189">
        <v>0.15598609999999999</v>
      </c>
      <c r="R3189">
        <v>-0.9191357</v>
      </c>
      <c r="S3189">
        <v>-1.623489</v>
      </c>
      <c r="T3189">
        <v>-0.16046759999999999</v>
      </c>
      <c r="U3189">
        <v>-2.655411</v>
      </c>
      <c r="V3189">
        <v>0.34391339999999998</v>
      </c>
      <c r="W3189">
        <v>0.16583000000000001</v>
      </c>
      <c r="X3189">
        <v>0.92424240000000002</v>
      </c>
      <c r="Y3189">
        <v>0.50317939999999906</v>
      </c>
      <c r="Z3189">
        <v>5.1765940000000003E-2</v>
      </c>
      <c r="AA3189">
        <v>0.86263020000000001</v>
      </c>
      <c r="AB3189">
        <v>23</v>
      </c>
      <c r="AC3189">
        <v>-11.192500000000001</v>
      </c>
      <c r="AD3189">
        <v>-1.1071611781599999</v>
      </c>
      <c r="AE3189">
        <v>-18.0885999999999</v>
      </c>
      <c r="AF3189">
        <v>10.7870138780352</v>
      </c>
      <c r="AG3189">
        <v>-1.1071611781599999</v>
      </c>
      <c r="AH3189">
        <v>18.266585692220499</v>
      </c>
      <c r="AI3189">
        <v>92.987582780935398</v>
      </c>
      <c r="AJ3189">
        <v>59.436765401227397</v>
      </c>
      <c r="AK3189">
        <v>21.242731159871699</v>
      </c>
      <c r="AL3189">
        <v>80.454545902214505</v>
      </c>
      <c r="AM3189">
        <v>69.589613414573705</v>
      </c>
      <c r="AN3189">
        <v>1.0000000147786501</v>
      </c>
    </row>
    <row r="3190" spans="1:40" x14ac:dyDescent="0.25">
      <c r="A3190" t="str">
        <f>"20190312172724766"</f>
        <v>20190312172724766</v>
      </c>
      <c r="B3190" t="str">
        <f>"1552382844762263"</f>
        <v>1552382844762263</v>
      </c>
      <c r="C3190" t="s">
        <v>40</v>
      </c>
      <c r="D3190">
        <v>3.5231460000000001</v>
      </c>
      <c r="E3190">
        <v>0.56967440000000003</v>
      </c>
      <c r="F3190" t="s">
        <v>50</v>
      </c>
      <c r="G3190">
        <v>-198.0256</v>
      </c>
      <c r="H3190" s="1">
        <v>-1.422604E-5</v>
      </c>
      <c r="I3190">
        <v>156.62970000000001</v>
      </c>
      <c r="J3190">
        <v>-187.01769999999999</v>
      </c>
      <c r="K3190">
        <v>1.107137</v>
      </c>
      <c r="L3190">
        <v>174.30459999999999</v>
      </c>
      <c r="M3190">
        <v>-2.5177109999999999E-2</v>
      </c>
      <c r="N3190">
        <v>0</v>
      </c>
      <c r="O3190">
        <v>-0.99959319999999896</v>
      </c>
      <c r="P3190">
        <v>-0.36512270000000002</v>
      </c>
      <c r="Q3190">
        <v>0.15538779999999999</v>
      </c>
      <c r="R3190">
        <v>-0.91789980000000004</v>
      </c>
      <c r="S3190">
        <v>-1.631119</v>
      </c>
      <c r="T3190">
        <v>-0.16391220000000001</v>
      </c>
      <c r="U3190">
        <v>-2.6497959999999998</v>
      </c>
      <c r="V3190">
        <v>0.34313900000000003</v>
      </c>
      <c r="W3190">
        <v>0.16523699999999999</v>
      </c>
      <c r="X3190">
        <v>0.92463640000000002</v>
      </c>
      <c r="Y3190">
        <v>0.50186640000000005</v>
      </c>
      <c r="Z3190">
        <v>5.2945190000000003E-2</v>
      </c>
      <c r="AA3190">
        <v>0.86332319999999996</v>
      </c>
      <c r="AB3190">
        <v>23</v>
      </c>
      <c r="AC3190">
        <v>-11.007899999999999</v>
      </c>
      <c r="AD3190">
        <v>-1.10715122604</v>
      </c>
      <c r="AE3190">
        <v>-17.674899999999901</v>
      </c>
      <c r="AF3190">
        <v>10.529598338220501</v>
      </c>
      <c r="AG3190">
        <v>-1.10715122604</v>
      </c>
      <c r="AH3190">
        <v>17.895873852658799</v>
      </c>
      <c r="AI3190">
        <v>93.052192945771793</v>
      </c>
      <c r="AJ3190">
        <v>59.528238534706901</v>
      </c>
      <c r="AK3190">
        <v>20.793280788558899</v>
      </c>
      <c r="AL3190">
        <v>80.488997983434302</v>
      </c>
      <c r="AM3190">
        <v>69.639759680785403</v>
      </c>
      <c r="AN3190">
        <v>1.00000005584747</v>
      </c>
    </row>
    <row r="3191" spans="1:40" x14ac:dyDescent="0.25">
      <c r="A3191" t="str">
        <f>"20190312172724790"</f>
        <v>20190312172724790</v>
      </c>
      <c r="B3191" t="str">
        <f>"1552382844781783"</f>
        <v>1552382844781783</v>
      </c>
      <c r="C3191" t="s">
        <v>40</v>
      </c>
      <c r="D3191">
        <v>3.5085280000000001</v>
      </c>
      <c r="E3191">
        <v>0.56925419999999904</v>
      </c>
      <c r="F3191" t="s">
        <v>50</v>
      </c>
      <c r="G3191">
        <v>-197.90899999999999</v>
      </c>
      <c r="H3191" s="1">
        <v>-1.424628E-5</v>
      </c>
      <c r="I3191">
        <v>156.71019999999999</v>
      </c>
      <c r="J3191">
        <v>-187.02979999999999</v>
      </c>
      <c r="K3191">
        <v>1.1071359999999999</v>
      </c>
      <c r="L3191">
        <v>174.05760000000001</v>
      </c>
      <c r="M3191">
        <v>-3.0176270000000002E-2</v>
      </c>
      <c r="N3191">
        <v>0</v>
      </c>
      <c r="O3191">
        <v>-0.99945470000000003</v>
      </c>
      <c r="P3191">
        <v>-0.36921670000000001</v>
      </c>
      <c r="Q3191">
        <v>0.15534210000000001</v>
      </c>
      <c r="R3191">
        <v>-0.91626850000000004</v>
      </c>
      <c r="S3191">
        <v>-1.637421</v>
      </c>
      <c r="T3191">
        <v>-0.16645219999999999</v>
      </c>
      <c r="U3191">
        <v>-2.645187</v>
      </c>
      <c r="V3191">
        <v>0.34264060000000002</v>
      </c>
      <c r="W3191">
        <v>0.1651984</v>
      </c>
      <c r="X3191">
        <v>0.92482810000000004</v>
      </c>
      <c r="Y3191">
        <v>0.4996757</v>
      </c>
      <c r="Z3191">
        <v>5.3836219999999997E-2</v>
      </c>
      <c r="AA3191">
        <v>0.86453799999999903</v>
      </c>
      <c r="AB3191">
        <v>23</v>
      </c>
      <c r="AC3191">
        <v>-10.879200000000001</v>
      </c>
      <c r="AD3191">
        <v>-1.10715024627999</v>
      </c>
      <c r="AE3191">
        <v>-17.3474</v>
      </c>
      <c r="AF3191">
        <v>10.3205459193422</v>
      </c>
      <c r="AG3191">
        <v>-1.10715024627999</v>
      </c>
      <c r="AH3191">
        <v>17.616320752749999</v>
      </c>
      <c r="AI3191">
        <v>93.103951723587798</v>
      </c>
      <c r="AJ3191">
        <v>59.636036136251697</v>
      </c>
      <c r="AK3191">
        <v>20.446863001567198</v>
      </c>
      <c r="AL3191">
        <v>80.491240393837103</v>
      </c>
      <c r="AM3191">
        <v>69.670779440885298</v>
      </c>
      <c r="AN3191">
        <v>1.00000005334026</v>
      </c>
    </row>
    <row r="3192" spans="1:40" x14ac:dyDescent="0.25">
      <c r="A3192" t="str">
        <f>"20190312172724811"</f>
        <v>20190312172724811</v>
      </c>
      <c r="B3192" t="str">
        <f>"1552382844802278"</f>
        <v>1552382844802278</v>
      </c>
      <c r="C3192" t="s">
        <v>40</v>
      </c>
      <c r="D3192">
        <v>3.5182470000000001</v>
      </c>
      <c r="E3192">
        <v>0.56883819999999996</v>
      </c>
      <c r="F3192" t="s">
        <v>50</v>
      </c>
      <c r="G3192">
        <v>-197.9836</v>
      </c>
      <c r="H3192" s="1">
        <v>-1.4196070000000001E-5</v>
      </c>
      <c r="I3192">
        <v>156.51060000000001</v>
      </c>
      <c r="J3192">
        <v>-187.04169999999999</v>
      </c>
      <c r="K3192">
        <v>1.107145</v>
      </c>
      <c r="L3192">
        <v>173.83330000000001</v>
      </c>
      <c r="M3192">
        <v>-3.4721799999999997E-2</v>
      </c>
      <c r="N3192">
        <v>0</v>
      </c>
      <c r="O3192">
        <v>-0.99930719999999995</v>
      </c>
      <c r="P3192">
        <v>-0.37326579999999998</v>
      </c>
      <c r="Q3192">
        <v>0.15544769999999999</v>
      </c>
      <c r="R3192">
        <v>-0.91460859999999999</v>
      </c>
      <c r="S3192">
        <v>-1.6471709999999999</v>
      </c>
      <c r="T3192">
        <v>-0.1664872</v>
      </c>
      <c r="U3192">
        <v>-2.638611</v>
      </c>
      <c r="V3192">
        <v>0.34252310000000002</v>
      </c>
      <c r="W3192">
        <v>0.16531179999999901</v>
      </c>
      <c r="X3192">
        <v>0.92485130000000004</v>
      </c>
      <c r="Y3192">
        <v>0.49900220000000001</v>
      </c>
      <c r="Z3192">
        <v>5.3911559999999997E-2</v>
      </c>
      <c r="AA3192">
        <v>0.86492219999999997</v>
      </c>
      <c r="AB3192">
        <v>23</v>
      </c>
      <c r="AC3192">
        <v>-10.9419</v>
      </c>
      <c r="AD3192">
        <v>-1.10715919607</v>
      </c>
      <c r="AE3192">
        <v>-17.322699999999902</v>
      </c>
      <c r="AF3192">
        <v>10.303685384943901</v>
      </c>
      <c r="AG3192">
        <v>-1.10715919607</v>
      </c>
      <c r="AH3192">
        <v>17.640699295357599</v>
      </c>
      <c r="AI3192">
        <v>93.102076807835303</v>
      </c>
      <c r="AJ3192">
        <v>59.711397743045801</v>
      </c>
      <c r="AK3192">
        <v>20.459374516992899</v>
      </c>
      <c r="AL3192">
        <v>80.484651925610805</v>
      </c>
      <c r="AM3192">
        <v>69.677648671013699</v>
      </c>
      <c r="AN3192">
        <v>0.99999999618226998</v>
      </c>
    </row>
    <row r="3193" spans="1:40" x14ac:dyDescent="0.25">
      <c r="A3193" t="str">
        <f>"20190312172724833"</f>
        <v>20190312172724833</v>
      </c>
      <c r="B3193" t="str">
        <f>"1552382844821799"</f>
        <v>1552382844821799</v>
      </c>
      <c r="C3193" t="s">
        <v>40</v>
      </c>
      <c r="D3193">
        <v>3.4918879999999999</v>
      </c>
      <c r="E3193">
        <v>0.56848639999999995</v>
      </c>
      <c r="F3193" t="s">
        <v>50</v>
      </c>
      <c r="G3193">
        <v>-198.1026</v>
      </c>
      <c r="H3193" s="1">
        <v>-1.4134900000000001E-5</v>
      </c>
      <c r="I3193">
        <v>156.26750000000001</v>
      </c>
      <c r="J3193">
        <v>-187.05539999999999</v>
      </c>
      <c r="K3193">
        <v>1.1071580000000001</v>
      </c>
      <c r="L3193">
        <v>173.5986</v>
      </c>
      <c r="M3193">
        <v>-3.9479449999999999E-2</v>
      </c>
      <c r="N3193">
        <v>0</v>
      </c>
      <c r="O3193">
        <v>-0.99913050000000003</v>
      </c>
      <c r="P3193">
        <v>-0.3778242</v>
      </c>
      <c r="Q3193">
        <v>0.15553710000000001</v>
      </c>
      <c r="R3193">
        <v>-0.91271959999999996</v>
      </c>
      <c r="S3193">
        <v>-1.6572720000000001</v>
      </c>
      <c r="T3193">
        <v>-0.16588800000000001</v>
      </c>
      <c r="U3193">
        <v>-2.6319119999999998</v>
      </c>
      <c r="V3193">
        <v>0.342730599999999</v>
      </c>
      <c r="W3193">
        <v>0.1654091</v>
      </c>
      <c r="X3193">
        <v>0.9247571</v>
      </c>
      <c r="Y3193">
        <v>0.49825130000000001</v>
      </c>
      <c r="Z3193">
        <v>5.3780809999999998E-2</v>
      </c>
      <c r="AA3193">
        <v>0.86536309999999905</v>
      </c>
      <c r="AB3193">
        <v>23</v>
      </c>
      <c r="AC3193">
        <v>-11.0472</v>
      </c>
      <c r="AD3193">
        <v>-1.1071721348999899</v>
      </c>
      <c r="AE3193">
        <v>-17.3310999999999</v>
      </c>
      <c r="AF3193">
        <v>10.324340796510899</v>
      </c>
      <c r="AG3193">
        <v>-1.1071721348999899</v>
      </c>
      <c r="AH3193">
        <v>17.702390032266301</v>
      </c>
      <c r="AI3193">
        <v>93.092490491872098</v>
      </c>
      <c r="AJ3193">
        <v>59.748521778844399</v>
      </c>
      <c r="AK3193">
        <v>20.522973855493799</v>
      </c>
      <c r="AL3193">
        <v>80.478999880949502</v>
      </c>
      <c r="AM3193">
        <v>69.664443459461296</v>
      </c>
      <c r="AN3193">
        <v>1.0000000642697799</v>
      </c>
    </row>
    <row r="3194" spans="1:40" x14ac:dyDescent="0.25">
      <c r="A3194" t="str">
        <f>"20190312172724855"</f>
        <v>20190312172724855</v>
      </c>
      <c r="B3194" t="str">
        <f>"1552382844852055"</f>
        <v>1552382844852055</v>
      </c>
      <c r="C3194" t="s">
        <v>40</v>
      </c>
      <c r="D3194">
        <v>3.4963340000000001</v>
      </c>
      <c r="E3194">
        <v>0.56798689999999996</v>
      </c>
      <c r="F3194" t="s">
        <v>50</v>
      </c>
      <c r="G3194">
        <v>-198.19589999999999</v>
      </c>
      <c r="H3194" s="1">
        <v>-1.4087460000000001E-5</v>
      </c>
      <c r="I3194">
        <v>156.07900000000001</v>
      </c>
      <c r="J3194">
        <v>-187.06989999999999</v>
      </c>
      <c r="K3194">
        <v>1.107173</v>
      </c>
      <c r="L3194">
        <v>173.36840000000001</v>
      </c>
      <c r="M3194">
        <v>-4.4141359999999998E-2</v>
      </c>
      <c r="N3194">
        <v>0</v>
      </c>
      <c r="O3194">
        <v>-0.99893549999999998</v>
      </c>
      <c r="P3194">
        <v>-0.38210270000000002</v>
      </c>
      <c r="Q3194">
        <v>0.156416</v>
      </c>
      <c r="R3194">
        <v>-0.9107866</v>
      </c>
      <c r="S3194">
        <v>-1.668777</v>
      </c>
      <c r="T3194">
        <v>-0.1658483</v>
      </c>
      <c r="U3194">
        <v>-2.6243439999999998</v>
      </c>
      <c r="V3194">
        <v>0.34276210000000001</v>
      </c>
      <c r="W3194">
        <v>0.16629739999999901</v>
      </c>
      <c r="X3194">
        <v>0.92458609999999997</v>
      </c>
      <c r="Y3194">
        <v>0.49803750000000002</v>
      </c>
      <c r="Z3194">
        <v>5.3827809999999997E-2</v>
      </c>
      <c r="AA3194">
        <v>0.86548320000000001</v>
      </c>
      <c r="AB3194">
        <v>23</v>
      </c>
      <c r="AC3194">
        <v>-11.125999999999999</v>
      </c>
      <c r="AD3194">
        <v>-1.1071870874600001</v>
      </c>
      <c r="AE3194">
        <v>-17.289400000000001</v>
      </c>
      <c r="AF3194">
        <v>10.3219736480191</v>
      </c>
      <c r="AG3194">
        <v>-1.1071870874600001</v>
      </c>
      <c r="AH3194">
        <v>17.7123399302126</v>
      </c>
      <c r="AI3194">
        <v>93.091417497109504</v>
      </c>
      <c r="AJ3194">
        <v>59.768246476188303</v>
      </c>
      <c r="AK3194">
        <v>20.530367484300999</v>
      </c>
      <c r="AL3194">
        <v>80.427389306676602</v>
      </c>
      <c r="AM3194">
        <v>69.659274322798495</v>
      </c>
      <c r="AN3194">
        <v>1.0000000693781801</v>
      </c>
    </row>
    <row r="3195" spans="1:40" x14ac:dyDescent="0.25">
      <c r="A3195" t="str">
        <f>"20190312172724877"</f>
        <v>20190312172724877</v>
      </c>
      <c r="B3195" t="str">
        <f>"1552382844872550"</f>
        <v>1552382844872550</v>
      </c>
      <c r="C3195" t="s">
        <v>40</v>
      </c>
      <c r="D3195">
        <v>3.4992960000000002</v>
      </c>
      <c r="E3195">
        <v>0.56769409999999998</v>
      </c>
      <c r="F3195" t="s">
        <v>50</v>
      </c>
      <c r="G3195">
        <v>-198.4118</v>
      </c>
      <c r="H3195" s="1">
        <v>-1.3987180000000001E-5</v>
      </c>
      <c r="I3195">
        <v>155.68049999999999</v>
      </c>
      <c r="J3195">
        <v>-187.0855</v>
      </c>
      <c r="K3195">
        <v>1.107194</v>
      </c>
      <c r="L3195">
        <v>173.13659999999999</v>
      </c>
      <c r="M3195">
        <v>-4.882893E-2</v>
      </c>
      <c r="N3195">
        <v>0</v>
      </c>
      <c r="O3195">
        <v>-0.99871719999999997</v>
      </c>
      <c r="P3195">
        <v>-0.38655299999999998</v>
      </c>
      <c r="Q3195">
        <v>0.15684119999999999</v>
      </c>
      <c r="R3195">
        <v>-0.90883309999999995</v>
      </c>
      <c r="S3195">
        <v>-1.678574</v>
      </c>
      <c r="T3195">
        <v>-0.16386029999999999</v>
      </c>
      <c r="U3195">
        <v>-2.6177670000000002</v>
      </c>
      <c r="V3195">
        <v>0.34294709999999901</v>
      </c>
      <c r="W3195">
        <v>0.16672989999999999</v>
      </c>
      <c r="X3195">
        <v>0.92443949999999997</v>
      </c>
      <c r="Y3195">
        <v>0.49726979999999998</v>
      </c>
      <c r="Z3195">
        <v>5.324218E-2</v>
      </c>
      <c r="AA3195">
        <v>0.86596079999999998</v>
      </c>
      <c r="AB3195">
        <v>23</v>
      </c>
      <c r="AC3195">
        <v>-11.3263</v>
      </c>
      <c r="AD3195">
        <v>-1.10720798718</v>
      </c>
      <c r="AE3195">
        <v>-17.4560999999999</v>
      </c>
      <c r="AF3195">
        <v>10.4308160989056</v>
      </c>
      <c r="AG3195">
        <v>-1.10720798718</v>
      </c>
      <c r="AH3195">
        <v>17.937589820326099</v>
      </c>
      <c r="AI3195">
        <v>93.054385193389393</v>
      </c>
      <c r="AJ3195">
        <v>59.821741988601097</v>
      </c>
      <c r="AK3195">
        <v>20.7794360505364</v>
      </c>
      <c r="AL3195">
        <v>80.402257173878496</v>
      </c>
      <c r="AM3195">
        <v>69.646233333550597</v>
      </c>
      <c r="AN3195">
        <v>0.99999998105633403</v>
      </c>
    </row>
    <row r="3196" spans="1:40" x14ac:dyDescent="0.25">
      <c r="A3196" t="str">
        <f>"20190312172724900"</f>
        <v>20190312172724900</v>
      </c>
      <c r="B3196" t="str">
        <f>"1552382844892072"</f>
        <v>1552382844892072</v>
      </c>
      <c r="C3196" t="s">
        <v>40</v>
      </c>
      <c r="D3196">
        <v>3.5176690000000002</v>
      </c>
      <c r="E3196">
        <v>0.56744050000000001</v>
      </c>
      <c r="F3196" t="s">
        <v>50</v>
      </c>
      <c r="G3196">
        <v>-198.59780000000001</v>
      </c>
      <c r="H3196" s="1">
        <v>-1.390624E-5</v>
      </c>
      <c r="I3196">
        <v>155.3588</v>
      </c>
      <c r="J3196">
        <v>-187.1027</v>
      </c>
      <c r="K3196">
        <v>1.107213</v>
      </c>
      <c r="L3196">
        <v>172.89959999999999</v>
      </c>
      <c r="M3196">
        <v>-5.3615120000000002E-2</v>
      </c>
      <c r="N3196">
        <v>0</v>
      </c>
      <c r="O3196">
        <v>-0.99847160000000001</v>
      </c>
      <c r="P3196">
        <v>-0.39043119999999998</v>
      </c>
      <c r="Q3196">
        <v>0.156938299999999</v>
      </c>
      <c r="R3196">
        <v>-0.90715679999999999</v>
      </c>
      <c r="S3196">
        <v>-1.6902009999999901</v>
      </c>
      <c r="T3196">
        <v>-0.1625578</v>
      </c>
      <c r="U3196">
        <v>-2.6101070000000002</v>
      </c>
      <c r="V3196">
        <v>0.34246019999999999</v>
      </c>
      <c r="W3196">
        <v>0.16684280000000001</v>
      </c>
      <c r="X3196">
        <v>0.92459959999999997</v>
      </c>
      <c r="Y3196">
        <v>0.49700139999999998</v>
      </c>
      <c r="Z3196">
        <v>5.287584E-2</v>
      </c>
      <c r="AA3196">
        <v>0.8661373</v>
      </c>
      <c r="AB3196">
        <v>23</v>
      </c>
      <c r="AC3196">
        <v>-11.495100000000001</v>
      </c>
      <c r="AD3196">
        <v>-1.10722690624</v>
      </c>
      <c r="AE3196">
        <v>-17.540799999999901</v>
      </c>
      <c r="AF3196">
        <v>10.5087344612999</v>
      </c>
      <c r="AG3196">
        <v>-1.10722690624</v>
      </c>
      <c r="AH3196">
        <v>18.081532002483002</v>
      </c>
      <c r="AI3196">
        <v>93.030587703863702</v>
      </c>
      <c r="AJ3196">
        <v>59.8354425259244</v>
      </c>
      <c r="AK3196">
        <v>20.942809051243099</v>
      </c>
      <c r="AL3196">
        <v>80.395696425074405</v>
      </c>
      <c r="AM3196">
        <v>69.675996532249201</v>
      </c>
      <c r="AN3196">
        <v>0.99999996440801897</v>
      </c>
    </row>
    <row r="3197" spans="1:40" x14ac:dyDescent="0.25">
      <c r="A3197" t="str">
        <f>"20190312172724924"</f>
        <v>20190312172724924</v>
      </c>
      <c r="B3197" t="str">
        <f>"1552382844912566"</f>
        <v>1552382844912566</v>
      </c>
      <c r="C3197" t="s">
        <v>40</v>
      </c>
      <c r="D3197">
        <v>3.5059740000000001</v>
      </c>
      <c r="E3197">
        <v>0.5671834</v>
      </c>
      <c r="F3197" t="s">
        <v>50</v>
      </c>
      <c r="G3197">
        <v>-198.73159999999999</v>
      </c>
      <c r="H3197" s="1">
        <v>-1.381938E-5</v>
      </c>
      <c r="I3197">
        <v>155.1028</v>
      </c>
      <c r="J3197">
        <v>-187.1215</v>
      </c>
      <c r="K3197">
        <v>1.107224</v>
      </c>
      <c r="L3197">
        <v>172.65520000000001</v>
      </c>
      <c r="M3197">
        <v>-5.8543020000000001E-2</v>
      </c>
      <c r="N3197">
        <v>0</v>
      </c>
      <c r="O3197">
        <v>-0.9981949</v>
      </c>
      <c r="P3197">
        <v>-0.39450420000000003</v>
      </c>
      <c r="Q3197">
        <v>0.1575704</v>
      </c>
      <c r="R3197">
        <v>-0.90528350000000002</v>
      </c>
      <c r="S3197">
        <v>-1.700882</v>
      </c>
      <c r="T3197">
        <v>-0.16194620000000001</v>
      </c>
      <c r="U3197">
        <v>-2.6030120000000001</v>
      </c>
      <c r="V3197">
        <v>0.3420571</v>
      </c>
      <c r="W3197">
        <v>0.16748679999999999</v>
      </c>
      <c r="X3197">
        <v>0.92463240000000002</v>
      </c>
      <c r="Y3197">
        <v>0.49629600000000001</v>
      </c>
      <c r="Z3197">
        <v>5.2732069999999999E-2</v>
      </c>
      <c r="AA3197">
        <v>0.86655040000000005</v>
      </c>
      <c r="AB3197">
        <v>23</v>
      </c>
      <c r="AC3197">
        <v>-11.6100999999999</v>
      </c>
      <c r="AD3197">
        <v>-1.1072378193800001</v>
      </c>
      <c r="AE3197">
        <v>-17.552399999999999</v>
      </c>
      <c r="AF3197">
        <v>10.533362696308799</v>
      </c>
      <c r="AG3197">
        <v>-1.1072378193800001</v>
      </c>
      <c r="AH3197">
        <v>18.151794143346901</v>
      </c>
      <c r="AI3197">
        <v>93.020076961329096</v>
      </c>
      <c r="AJ3197">
        <v>59.873698049070903</v>
      </c>
      <c r="AK3197">
        <v>21.015835360582201</v>
      </c>
      <c r="AL3197">
        <v>80.358271497503097</v>
      </c>
      <c r="AM3197">
        <v>69.698626996254006</v>
      </c>
      <c r="AN3197">
        <v>0.99999998148220404</v>
      </c>
    </row>
    <row r="3198" spans="1:40" x14ac:dyDescent="0.25">
      <c r="A3198" t="str">
        <f>"20190312172724946"</f>
        <v>20190312172724946</v>
      </c>
      <c r="B3198" t="str">
        <f>"1552382844941847"</f>
        <v>1552382844941847</v>
      </c>
      <c r="C3198" t="s">
        <v>40</v>
      </c>
      <c r="D3198">
        <v>3.5056919999999998</v>
      </c>
      <c r="E3198">
        <v>0.56681649999999995</v>
      </c>
      <c r="F3198" t="s">
        <v>50</v>
      </c>
      <c r="G3198">
        <v>-198.91460000000001</v>
      </c>
      <c r="H3198" s="1">
        <v>-1.369085E-5</v>
      </c>
      <c r="I3198">
        <v>154.7654</v>
      </c>
      <c r="J3198">
        <v>-187.14089999999999</v>
      </c>
      <c r="K3198">
        <v>1.107237</v>
      </c>
      <c r="L3198">
        <v>172.4179</v>
      </c>
      <c r="M3198">
        <v>-6.3328770000000006E-2</v>
      </c>
      <c r="N3198">
        <v>0</v>
      </c>
      <c r="O3198">
        <v>-0.99790290000000004</v>
      </c>
      <c r="P3198">
        <v>-0.39862520000000001</v>
      </c>
      <c r="Q3198">
        <v>0.15796779999999999</v>
      </c>
      <c r="R3198">
        <v>-0.90340719999999997</v>
      </c>
      <c r="S3198">
        <v>-1.7113339999999999</v>
      </c>
      <c r="T3198">
        <v>-0.1606746</v>
      </c>
      <c r="U3198">
        <v>-2.5960540000000001</v>
      </c>
      <c r="V3198">
        <v>0.34183940000000002</v>
      </c>
      <c r="W3198">
        <v>0.16789399999999999</v>
      </c>
      <c r="X3198">
        <v>0.92463910000000005</v>
      </c>
      <c r="Y3198">
        <v>0.4956449</v>
      </c>
      <c r="Z3198">
        <v>5.2369779999999998E-2</v>
      </c>
      <c r="AA3198">
        <v>0.86694490000000002</v>
      </c>
      <c r="AB3198">
        <v>23</v>
      </c>
      <c r="AC3198">
        <v>-11.7737</v>
      </c>
      <c r="AD3198">
        <v>-1.1072506908499999</v>
      </c>
      <c r="AE3198">
        <v>-17.6525</v>
      </c>
      <c r="AF3198">
        <v>10.6031782430804</v>
      </c>
      <c r="AG3198">
        <v>-1.1072506908499999</v>
      </c>
      <c r="AH3198">
        <v>18.312873889645299</v>
      </c>
      <c r="AI3198">
        <v>92.995271024477205</v>
      </c>
      <c r="AJ3198">
        <v>59.929101834448403</v>
      </c>
      <c r="AK3198">
        <v>21.189967981216402</v>
      </c>
      <c r="AL3198">
        <v>80.334605894316397</v>
      </c>
      <c r="AM3198">
        <v>69.710629013075703</v>
      </c>
      <c r="AN3198">
        <v>1.00000001793858</v>
      </c>
    </row>
    <row r="3199" spans="1:40" x14ac:dyDescent="0.25">
      <c r="A3199" t="str">
        <f>"20190312172724967"</f>
        <v>20190312172724967</v>
      </c>
      <c r="B3199" t="str">
        <f>"1552382844962343"</f>
        <v>1552382844962343</v>
      </c>
      <c r="C3199" t="s">
        <v>40</v>
      </c>
      <c r="D3199">
        <v>3.4985780000000002</v>
      </c>
      <c r="E3199">
        <v>0.56657869999999999</v>
      </c>
      <c r="F3199" t="s">
        <v>50</v>
      </c>
      <c r="G3199">
        <v>-198.9999</v>
      </c>
      <c r="H3199" s="1">
        <v>-1.362422E-5</v>
      </c>
      <c r="I3199">
        <v>154.57560000000001</v>
      </c>
      <c r="J3199">
        <v>-187.15950000000001</v>
      </c>
      <c r="K3199">
        <v>1.107248</v>
      </c>
      <c r="L3199">
        <v>172.20339999999999</v>
      </c>
      <c r="M3199">
        <v>-6.7652240000000002E-2</v>
      </c>
      <c r="N3199">
        <v>0</v>
      </c>
      <c r="O3199">
        <v>-0.99761889999999998</v>
      </c>
      <c r="P3199">
        <v>-0.40192450000000002</v>
      </c>
      <c r="Q3199">
        <v>0.1584631</v>
      </c>
      <c r="R3199">
        <v>-0.90185709999999997</v>
      </c>
      <c r="S3199">
        <v>-1.72108499999999</v>
      </c>
      <c r="T3199">
        <v>-0.16069510000000001</v>
      </c>
      <c r="U3199">
        <v>-2.5894469999999998</v>
      </c>
      <c r="V3199">
        <v>0.34121699999999999</v>
      </c>
      <c r="W3199">
        <v>0.16840160000000001</v>
      </c>
      <c r="X3199">
        <v>0.92477670000000001</v>
      </c>
      <c r="Y3199">
        <v>0.49516569999999999</v>
      </c>
      <c r="Z3199">
        <v>5.242219E-2</v>
      </c>
      <c r="AA3199">
        <v>0.86721559999999898</v>
      </c>
      <c r="AB3199">
        <v>23</v>
      </c>
      <c r="AC3199">
        <v>-11.840399999999899</v>
      </c>
      <c r="AD3199">
        <v>-1.10726162422</v>
      </c>
      <c r="AE3199">
        <v>-17.627799999999901</v>
      </c>
      <c r="AF3199">
        <v>10.5918033476168</v>
      </c>
      <c r="AG3199">
        <v>-1.10726162422</v>
      </c>
      <c r="AH3199">
        <v>18.338648104792799</v>
      </c>
      <c r="AI3199">
        <v>92.992954456888896</v>
      </c>
      <c r="AJ3199">
        <v>59.990674954672102</v>
      </c>
      <c r="AK3199">
        <v>21.206563624747801</v>
      </c>
      <c r="AL3199">
        <v>80.305102720801003</v>
      </c>
      <c r="AM3199">
        <v>69.747335321886396</v>
      </c>
      <c r="AN3199">
        <v>1.00000004241722</v>
      </c>
    </row>
    <row r="3200" spans="1:40" x14ac:dyDescent="0.25">
      <c r="A3200" t="str">
        <f>"20190312172724991"</f>
        <v>20190312172724991</v>
      </c>
      <c r="B3200" t="str">
        <f>"1552382844981863"</f>
        <v>1552382844981863</v>
      </c>
      <c r="C3200" t="s">
        <v>40</v>
      </c>
      <c r="D3200">
        <v>3.531755</v>
      </c>
      <c r="E3200">
        <v>0.56637389999999999</v>
      </c>
      <c r="F3200" t="s">
        <v>50</v>
      </c>
      <c r="G3200">
        <v>-199.11750000000001</v>
      </c>
      <c r="H3200" s="1">
        <v>-1.3573610000000001E-5</v>
      </c>
      <c r="I3200">
        <v>154.3329</v>
      </c>
      <c r="J3200">
        <v>-187.1823</v>
      </c>
      <c r="K3200">
        <v>1.1072569999999999</v>
      </c>
      <c r="L3200">
        <v>171.9546</v>
      </c>
      <c r="M3200">
        <v>-7.2669629999999999E-2</v>
      </c>
      <c r="N3200">
        <v>0</v>
      </c>
      <c r="O3200">
        <v>-0.99726619999999999</v>
      </c>
      <c r="P3200">
        <v>-0.40580919999999998</v>
      </c>
      <c r="Q3200">
        <v>0.1583522</v>
      </c>
      <c r="R3200">
        <v>-0.90013549999999998</v>
      </c>
      <c r="S3200">
        <v>-1.72908</v>
      </c>
      <c r="T3200">
        <v>-0.1601061</v>
      </c>
      <c r="U3200">
        <v>-2.5840000000000001</v>
      </c>
      <c r="V3200">
        <v>0.34054489999999998</v>
      </c>
      <c r="W3200">
        <v>0.16830479999999901</v>
      </c>
      <c r="X3200">
        <v>0.92504200000000003</v>
      </c>
      <c r="Y3200">
        <v>0.49349939999999998</v>
      </c>
      <c r="Z3200">
        <v>5.2278619999999998E-2</v>
      </c>
      <c r="AA3200">
        <v>0.86817350000000004</v>
      </c>
      <c r="AB3200">
        <v>23</v>
      </c>
      <c r="AC3200">
        <v>-11.9352</v>
      </c>
      <c r="AD3200">
        <v>-1.1072705736099999</v>
      </c>
      <c r="AE3200">
        <v>-17.621700000000001</v>
      </c>
      <c r="AF3200">
        <v>10.594286053846201</v>
      </c>
      <c r="AG3200">
        <v>-1.1072705736099999</v>
      </c>
      <c r="AH3200">
        <v>18.392722375968201</v>
      </c>
      <c r="AI3200">
        <v>92.986211038810197</v>
      </c>
      <c r="AJ3200">
        <v>60.057875102864202</v>
      </c>
      <c r="AK3200">
        <v>21.254580247874699</v>
      </c>
      <c r="AL3200">
        <v>80.310729024114806</v>
      </c>
      <c r="AM3200">
        <v>69.789323845889498</v>
      </c>
      <c r="AN3200">
        <v>1.0000000181915201</v>
      </c>
    </row>
    <row r="3201" spans="1:40" x14ac:dyDescent="0.25">
      <c r="A3201" t="str">
        <f>"20190312172725012"</f>
        <v>20190312172725012</v>
      </c>
      <c r="B3201" t="str">
        <f>"1552382845002366"</f>
        <v>1552382845002366</v>
      </c>
      <c r="C3201" t="s">
        <v>40</v>
      </c>
      <c r="D3201">
        <v>3.5130279999999998</v>
      </c>
      <c r="E3201">
        <v>0.5661619</v>
      </c>
      <c r="F3201" t="s">
        <v>50</v>
      </c>
      <c r="G3201">
        <v>-199.1224</v>
      </c>
      <c r="H3201" s="1">
        <v>-1.3556150000000001E-5</v>
      </c>
      <c r="I3201">
        <v>154.26179999999999</v>
      </c>
      <c r="J3201">
        <v>-187.20339999999999</v>
      </c>
      <c r="K3201">
        <v>1.1072660000000001</v>
      </c>
      <c r="L3201">
        <v>171.73509999999999</v>
      </c>
      <c r="M3201">
        <v>-7.7097219999999994E-2</v>
      </c>
      <c r="N3201">
        <v>0</v>
      </c>
      <c r="O3201">
        <v>-0.99693350000000003</v>
      </c>
      <c r="P3201">
        <v>-0.40852929999999998</v>
      </c>
      <c r="Q3201">
        <v>0.15845719999999999</v>
      </c>
      <c r="R3201">
        <v>-0.8988855</v>
      </c>
      <c r="S3201">
        <v>-1.7391970000000001</v>
      </c>
      <c r="T3201">
        <v>-0.1612847</v>
      </c>
      <c r="U3201">
        <v>-2.577118</v>
      </c>
      <c r="V3201">
        <v>0.3392307</v>
      </c>
      <c r="W3201">
        <v>0.16843029999999901</v>
      </c>
      <c r="X3201">
        <v>0.92550189999999999</v>
      </c>
      <c r="Y3201">
        <v>0.49304320000000001</v>
      </c>
      <c r="Z3201">
        <v>5.27059E-2</v>
      </c>
      <c r="AA3201">
        <v>0.86840689999999998</v>
      </c>
      <c r="AB3201">
        <v>23</v>
      </c>
      <c r="AC3201">
        <v>-11.919</v>
      </c>
      <c r="AD3201">
        <v>-1.10727955615</v>
      </c>
      <c r="AE3201">
        <v>-17.473299999999899</v>
      </c>
      <c r="AF3201">
        <v>10.507457501334899</v>
      </c>
      <c r="AG3201">
        <v>-1.10727955615</v>
      </c>
      <c r="AH3201">
        <v>18.2901617910852</v>
      </c>
      <c r="AI3201">
        <v>93.004916232136196</v>
      </c>
      <c r="AJ3201">
        <v>60.123198780133102</v>
      </c>
      <c r="AK3201">
        <v>21.122564936624102</v>
      </c>
      <c r="AL3201">
        <v>80.303434091285894</v>
      </c>
      <c r="AM3201">
        <v>69.870245186855598</v>
      </c>
      <c r="AN3201">
        <v>1.0000000003420899</v>
      </c>
    </row>
    <row r="3202" spans="1:40" x14ac:dyDescent="0.25">
      <c r="A3202" t="str">
        <f>"20190312172725034"</f>
        <v>20190312172725034</v>
      </c>
      <c r="B3202" t="str">
        <f>"1552382845032615"</f>
        <v>1552382845032615</v>
      </c>
      <c r="C3202" t="s">
        <v>40</v>
      </c>
      <c r="D3202">
        <v>3.5298750000000001</v>
      </c>
      <c r="E3202">
        <v>0.56589489999999998</v>
      </c>
      <c r="F3202" t="s">
        <v>50</v>
      </c>
      <c r="G3202">
        <v>-199.17939999999999</v>
      </c>
      <c r="H3202" s="1">
        <v>-1.35194E-5</v>
      </c>
      <c r="I3202">
        <v>154.09569999999999</v>
      </c>
      <c r="J3202">
        <v>-187.22720000000001</v>
      </c>
      <c r="K3202">
        <v>1.1072770000000001</v>
      </c>
      <c r="L3202">
        <v>171.49940000000001</v>
      </c>
      <c r="M3202">
        <v>-8.1853640000000005E-2</v>
      </c>
      <c r="N3202">
        <v>0</v>
      </c>
      <c r="O3202">
        <v>-0.99655439999999995</v>
      </c>
      <c r="P3202">
        <v>-0.41171049999999998</v>
      </c>
      <c r="Q3202">
        <v>0.15850980000000001</v>
      </c>
      <c r="R3202">
        <v>-0.897424</v>
      </c>
      <c r="S3202">
        <v>-1.7463679999999999</v>
      </c>
      <c r="T3202">
        <v>-0.1614661</v>
      </c>
      <c r="U3202">
        <v>-2.5722200000000002</v>
      </c>
      <c r="V3202">
        <v>0.33808769999999999</v>
      </c>
      <c r="W3202">
        <v>0.16850079999999901</v>
      </c>
      <c r="X3202">
        <v>0.92590729999999999</v>
      </c>
      <c r="Y3202">
        <v>0.49131560000000002</v>
      </c>
      <c r="Z3202">
        <v>5.2806600000000002E-2</v>
      </c>
      <c r="AA3202">
        <v>0.86937929999999997</v>
      </c>
      <c r="AB3202">
        <v>23</v>
      </c>
      <c r="AC3202">
        <v>-11.9521999999999</v>
      </c>
      <c r="AD3202">
        <v>-1.1072905194</v>
      </c>
      <c r="AE3202">
        <v>-17.403700000000001</v>
      </c>
      <c r="AF3202">
        <v>10.458633389518999</v>
      </c>
      <c r="AG3202">
        <v>-1.1072905194</v>
      </c>
      <c r="AH3202">
        <v>18.273443635355299</v>
      </c>
      <c r="AI3202">
        <v>93.010471877374897</v>
      </c>
      <c r="AJ3202">
        <v>60.215742376149102</v>
      </c>
      <c r="AK3202">
        <v>21.083829039461101</v>
      </c>
      <c r="AL3202">
        <v>80.299336855070393</v>
      </c>
      <c r="AM3202">
        <v>69.940735578006894</v>
      </c>
      <c r="AN3202">
        <v>1.0000000703426</v>
      </c>
    </row>
    <row r="3203" spans="1:40" x14ac:dyDescent="0.25">
      <c r="A3203" t="str">
        <f>"20190312172725057"</f>
        <v>20190312172725057</v>
      </c>
      <c r="B3203" t="str">
        <f>"1552382845052135"</f>
        <v>1552382845052135</v>
      </c>
      <c r="C3203" t="s">
        <v>40</v>
      </c>
      <c r="D3203">
        <v>3.5141379999999902</v>
      </c>
      <c r="E3203">
        <v>0.56573409999999902</v>
      </c>
      <c r="F3203" t="s">
        <v>50</v>
      </c>
      <c r="G3203">
        <v>-199.1814</v>
      </c>
      <c r="H3203" s="1">
        <v>-1.3497889999999999E-5</v>
      </c>
      <c r="I3203">
        <v>154.0095</v>
      </c>
      <c r="J3203">
        <v>-187.25069999999999</v>
      </c>
      <c r="K3203">
        <v>1.1072850000000001</v>
      </c>
      <c r="L3203">
        <v>171.27619999999999</v>
      </c>
      <c r="M3203">
        <v>-8.6358969999999993E-2</v>
      </c>
      <c r="N3203">
        <v>0</v>
      </c>
      <c r="O3203">
        <v>-0.996174</v>
      </c>
      <c r="P3203">
        <v>-0.41463850000000002</v>
      </c>
      <c r="Q3203">
        <v>0.1589236</v>
      </c>
      <c r="R3203">
        <v>-0.89600119999999905</v>
      </c>
      <c r="S3203">
        <v>-1.754364</v>
      </c>
      <c r="T3203">
        <v>-0.16250209999999901</v>
      </c>
      <c r="U3203">
        <v>-2.566757</v>
      </c>
      <c r="V3203">
        <v>0.33692800000000001</v>
      </c>
      <c r="W3203">
        <v>0.16893179999999999</v>
      </c>
      <c r="X3203">
        <v>0.92625139999999995</v>
      </c>
      <c r="Y3203">
        <v>0.49007529999999999</v>
      </c>
      <c r="Z3203">
        <v>5.3183279999999999E-2</v>
      </c>
      <c r="AA3203">
        <v>0.87005619999999995</v>
      </c>
      <c r="AB3203">
        <v>23</v>
      </c>
      <c r="AC3203">
        <v>-11.9307</v>
      </c>
      <c r="AD3203">
        <v>-1.10729849788999</v>
      </c>
      <c r="AE3203">
        <v>-17.266699999999901</v>
      </c>
      <c r="AF3203">
        <v>10.365997126867599</v>
      </c>
      <c r="AG3203">
        <v>-1.10729849788999</v>
      </c>
      <c r="AH3203">
        <v>18.181986031552199</v>
      </c>
      <c r="AI3203">
        <v>93.028492315787105</v>
      </c>
      <c r="AJ3203">
        <v>60.3114726570386</v>
      </c>
      <c r="AK3203">
        <v>20.958640758627901</v>
      </c>
      <c r="AL3203">
        <v>80.274282955846601</v>
      </c>
      <c r="AM3203">
        <v>70.010921772643599</v>
      </c>
      <c r="AN3203">
        <v>1.00000004311859</v>
      </c>
    </row>
    <row r="3204" spans="1:40" x14ac:dyDescent="0.25">
      <c r="A3204" t="str">
        <f>"20190312172725078"</f>
        <v>20190312172725078</v>
      </c>
      <c r="B3204" t="str">
        <f>"1552382845072631"</f>
        <v>1552382845072631</v>
      </c>
      <c r="C3204" t="s">
        <v>40</v>
      </c>
      <c r="D3204">
        <v>3.5292520000000001</v>
      </c>
      <c r="E3204">
        <v>0.56556390000000001</v>
      </c>
      <c r="F3204" t="s">
        <v>50</v>
      </c>
      <c r="G3204">
        <v>-199.24459999999999</v>
      </c>
      <c r="H3204" s="1">
        <v>-1.34599E-5</v>
      </c>
      <c r="I3204">
        <v>153.83629999999999</v>
      </c>
      <c r="J3204">
        <v>-187.27600000000001</v>
      </c>
      <c r="K3204">
        <v>1.1072919999999999</v>
      </c>
      <c r="L3204">
        <v>171.04660000000001</v>
      </c>
      <c r="M3204">
        <v>-9.0995489999999998E-2</v>
      </c>
      <c r="N3204">
        <v>0</v>
      </c>
      <c r="O3204">
        <v>-0.99576129999999996</v>
      </c>
      <c r="P3204">
        <v>-0.41733559999999997</v>
      </c>
      <c r="Q3204">
        <v>0.15942590000000001</v>
      </c>
      <c r="R3204">
        <v>-0.89465899999999998</v>
      </c>
      <c r="S3204">
        <v>-1.7617799999999999</v>
      </c>
      <c r="T3204">
        <v>-0.16265180000000001</v>
      </c>
      <c r="U3204">
        <v>-2.5617679999999998</v>
      </c>
      <c r="V3204">
        <v>0.33541149999999997</v>
      </c>
      <c r="W3204">
        <v>0.16945439999999901</v>
      </c>
      <c r="X3204">
        <v>0.92670620000000004</v>
      </c>
      <c r="Y3204">
        <v>0.48851729999999999</v>
      </c>
      <c r="Z3204">
        <v>5.3268219999999998E-2</v>
      </c>
      <c r="AA3204">
        <v>0.87092669999999905</v>
      </c>
      <c r="AB3204">
        <v>23</v>
      </c>
      <c r="AC3204">
        <v>-11.9686</v>
      </c>
      <c r="AD3204">
        <v>-1.1073054598999901</v>
      </c>
      <c r="AE3204">
        <v>-17.2103</v>
      </c>
      <c r="AF3204">
        <v>10.323931229487901</v>
      </c>
      <c r="AG3204">
        <v>-1.1073054598999901</v>
      </c>
      <c r="AH3204">
        <v>18.1773548837036</v>
      </c>
      <c r="AI3204">
        <v>93.032101784409306</v>
      </c>
      <c r="AJ3204">
        <v>60.405346657312499</v>
      </c>
      <c r="AK3204">
        <v>20.933846086680401</v>
      </c>
      <c r="AL3204">
        <v>80.243901997611601</v>
      </c>
      <c r="AM3204">
        <v>70.102813135828995</v>
      </c>
      <c r="AN3204">
        <v>1.00000002456502</v>
      </c>
    </row>
    <row r="3205" spans="1:40" x14ac:dyDescent="0.25">
      <c r="A3205" t="str">
        <f>"20190312172725101"</f>
        <v>20190312172725101</v>
      </c>
      <c r="B3205" t="str">
        <f>"1552382845092151"</f>
        <v>1552382845092151</v>
      </c>
      <c r="C3205" t="s">
        <v>40</v>
      </c>
      <c r="D3205">
        <v>3.5036100000000001</v>
      </c>
      <c r="E3205">
        <v>0.56542000000000003</v>
      </c>
      <c r="F3205" t="s">
        <v>50</v>
      </c>
      <c r="G3205">
        <v>-199.3272</v>
      </c>
      <c r="H3205" s="1">
        <v>-1.341322E-5</v>
      </c>
      <c r="I3205">
        <v>153.6216</v>
      </c>
      <c r="J3205">
        <v>-187.3038</v>
      </c>
      <c r="K3205">
        <v>1.1073029999999999</v>
      </c>
      <c r="L3205">
        <v>170.8049</v>
      </c>
      <c r="M3205">
        <v>-9.5879519999999996E-2</v>
      </c>
      <c r="N3205">
        <v>0</v>
      </c>
      <c r="O3205">
        <v>-0.99530280000000004</v>
      </c>
      <c r="P3205">
        <v>-0.42029680000000003</v>
      </c>
      <c r="Q3205">
        <v>0.1598328</v>
      </c>
      <c r="R3205">
        <v>-0.89319879999999996</v>
      </c>
      <c r="S3205">
        <v>-1.7685550000000001</v>
      </c>
      <c r="T3205">
        <v>-0.1625009</v>
      </c>
      <c r="U3205">
        <v>-2.5571899999999999</v>
      </c>
      <c r="V3205">
        <v>0.33393840000000002</v>
      </c>
      <c r="W3205">
        <v>0.16988149999999999</v>
      </c>
      <c r="X3205">
        <v>0.92715979999999998</v>
      </c>
      <c r="Y3205">
        <v>0.48652830000000002</v>
      </c>
      <c r="Z3205">
        <v>5.325419E-2</v>
      </c>
      <c r="AA3205">
        <v>0.87204029999999999</v>
      </c>
      <c r="AB3205">
        <v>23</v>
      </c>
      <c r="AC3205">
        <v>-12.023400000000001</v>
      </c>
      <c r="AD3205">
        <v>-1.10731641322</v>
      </c>
      <c r="AE3205">
        <v>-17.183299999999999</v>
      </c>
      <c r="AF3205">
        <v>10.2916322335409</v>
      </c>
      <c r="AG3205">
        <v>-1.10731641322</v>
      </c>
      <c r="AH3205">
        <v>18.206267325117601</v>
      </c>
      <c r="AI3205">
        <v>93.030795701810206</v>
      </c>
      <c r="AJ3205">
        <v>60.521408038394803</v>
      </c>
      <c r="AK3205">
        <v>20.943066002452699</v>
      </c>
      <c r="AL3205">
        <v>80.219070086387802</v>
      </c>
      <c r="AM3205">
        <v>70.192323298438595</v>
      </c>
      <c r="AN3205">
        <v>0.99999993688642297</v>
      </c>
    </row>
    <row r="3206" spans="1:40" x14ac:dyDescent="0.25">
      <c r="A3206" t="str">
        <f>"20190312172725125"</f>
        <v>20190312172725125</v>
      </c>
      <c r="B3206" t="str">
        <f>"1552382845112647"</f>
        <v>1552382845112647</v>
      </c>
      <c r="C3206" t="s">
        <v>40</v>
      </c>
      <c r="D3206">
        <v>3.536775</v>
      </c>
      <c r="E3206">
        <v>0.5652701</v>
      </c>
      <c r="F3206" t="s">
        <v>50</v>
      </c>
      <c r="G3206">
        <v>-199.40459999999999</v>
      </c>
      <c r="H3206" s="1">
        <v>-1.33700799999999E-5</v>
      </c>
      <c r="I3206">
        <v>153.4229</v>
      </c>
      <c r="J3206">
        <v>-187.33179999999999</v>
      </c>
      <c r="K3206">
        <v>1.1073109999999999</v>
      </c>
      <c r="L3206">
        <v>170.571</v>
      </c>
      <c r="M3206">
        <v>-0.1006069</v>
      </c>
      <c r="N3206">
        <v>0</v>
      </c>
      <c r="O3206">
        <v>-0.99483630000000001</v>
      </c>
      <c r="P3206">
        <v>-0.42313519999999999</v>
      </c>
      <c r="Q3206">
        <v>0.1602692</v>
      </c>
      <c r="R3206">
        <v>-0.89177949999999995</v>
      </c>
      <c r="S3206">
        <v>-1.7765200000000001</v>
      </c>
      <c r="T3206">
        <v>-0.1625656</v>
      </c>
      <c r="U3206">
        <v>-2.5518649999999998</v>
      </c>
      <c r="V3206">
        <v>0.33248709999999998</v>
      </c>
      <c r="W3206">
        <v>0.170337299999999</v>
      </c>
      <c r="X3206">
        <v>0.92759769999999997</v>
      </c>
      <c r="Y3206">
        <v>0.4850643</v>
      </c>
      <c r="Z3206">
        <v>5.3307630000000002E-2</v>
      </c>
      <c r="AA3206">
        <v>0.87285219999999897</v>
      </c>
      <c r="AB3206">
        <v>23</v>
      </c>
      <c r="AC3206">
        <v>-12.072800000000001</v>
      </c>
      <c r="AD3206">
        <v>-1.10732437008</v>
      </c>
      <c r="AE3206">
        <v>-17.148099999999999</v>
      </c>
      <c r="AF3206">
        <v>10.2575655245444</v>
      </c>
      <c r="AG3206">
        <v>-1.10732437008</v>
      </c>
      <c r="AH3206">
        <v>18.224984661802701</v>
      </c>
      <c r="AI3206">
        <v>93.030880200027696</v>
      </c>
      <c r="AJ3206">
        <v>60.627891623685201</v>
      </c>
      <c r="AK3206">
        <v>20.942633159988301</v>
      </c>
      <c r="AL3206">
        <v>80.192568840480803</v>
      </c>
      <c r="AM3206">
        <v>70.280345369215695</v>
      </c>
      <c r="AN3206">
        <v>0.99999998024149395</v>
      </c>
    </row>
    <row r="3207" spans="1:40" x14ac:dyDescent="0.25">
      <c r="A3207" t="str">
        <f>"20190312172725147"</f>
        <v>20190312172725147</v>
      </c>
      <c r="B3207" t="str">
        <f>"1552382845141927"</f>
        <v>1552382845141927</v>
      </c>
      <c r="C3207" t="s">
        <v>40</v>
      </c>
      <c r="D3207">
        <v>3.5248110000000001</v>
      </c>
      <c r="E3207">
        <v>0.565121599999999</v>
      </c>
      <c r="F3207" t="s">
        <v>50</v>
      </c>
      <c r="G3207">
        <v>-199.4778</v>
      </c>
      <c r="H3207" s="1">
        <v>-1.332764E-5</v>
      </c>
      <c r="I3207">
        <v>153.22839999999999</v>
      </c>
      <c r="J3207">
        <v>-187.3614</v>
      </c>
      <c r="K3207">
        <v>1.1073230000000001</v>
      </c>
      <c r="L3207">
        <v>170.33369999999999</v>
      </c>
      <c r="M3207">
        <v>-0.1054016</v>
      </c>
      <c r="N3207">
        <v>0</v>
      </c>
      <c r="O3207">
        <v>-0.99433959999999999</v>
      </c>
      <c r="P3207">
        <v>-0.42585459999999897</v>
      </c>
      <c r="Q3207">
        <v>0.1607065</v>
      </c>
      <c r="R3207">
        <v>-0.89040490000000005</v>
      </c>
      <c r="S3207">
        <v>-1.783768</v>
      </c>
      <c r="T3207">
        <v>-0.16262170000000001</v>
      </c>
      <c r="U3207">
        <v>-2.5469360000000001</v>
      </c>
      <c r="V3207">
        <v>0.3308507</v>
      </c>
      <c r="W3207">
        <v>0.170795899999999</v>
      </c>
      <c r="X3207">
        <v>0.92809839999999999</v>
      </c>
      <c r="Y3207">
        <v>0.48330840000000003</v>
      </c>
      <c r="Z3207">
        <v>5.3357210000000002E-2</v>
      </c>
      <c r="AA3207">
        <v>0.8738226</v>
      </c>
      <c r="AB3207">
        <v>23</v>
      </c>
      <c r="AC3207">
        <v>-12.116400000000001</v>
      </c>
      <c r="AD3207">
        <v>-1.1073363276399999</v>
      </c>
      <c r="AE3207">
        <v>-17.1053</v>
      </c>
      <c r="AF3207">
        <v>10.2172961437873</v>
      </c>
      <c r="AG3207">
        <v>-1.1073363276399999</v>
      </c>
      <c r="AH3207">
        <v>18.2363136771482</v>
      </c>
      <c r="AI3207">
        <v>93.032336829195103</v>
      </c>
      <c r="AJ3207">
        <v>60.739310618429002</v>
      </c>
      <c r="AK3207">
        <v>20.932808477691299</v>
      </c>
      <c r="AL3207">
        <v>80.165902746802303</v>
      </c>
      <c r="AM3207">
        <v>70.379746133557305</v>
      </c>
      <c r="AN3207">
        <v>1.0000000326149201</v>
      </c>
    </row>
    <row r="3208" spans="1:40" x14ac:dyDescent="0.25">
      <c r="A3208" t="str">
        <f>"20190312172725169"</f>
        <v>20190312172725169</v>
      </c>
      <c r="B3208" t="str">
        <f>"1552382845162423"</f>
        <v>1552382845162423</v>
      </c>
      <c r="C3208" t="s">
        <v>40</v>
      </c>
      <c r="D3208">
        <v>3.5297299999999998</v>
      </c>
      <c r="E3208">
        <v>0.56505430000000001</v>
      </c>
      <c r="F3208" t="s">
        <v>50</v>
      </c>
      <c r="G3208">
        <v>-199.52330000000001</v>
      </c>
      <c r="H3208" s="1">
        <v>-1.3292099999999999E-5</v>
      </c>
      <c r="I3208">
        <v>153.0711</v>
      </c>
      <c r="J3208">
        <v>-187.3896</v>
      </c>
      <c r="K3208">
        <v>1.1073299999999999</v>
      </c>
      <c r="L3208">
        <v>170.1157</v>
      </c>
      <c r="M3208">
        <v>-0.1098104</v>
      </c>
      <c r="N3208">
        <v>0</v>
      </c>
      <c r="O3208">
        <v>-0.99386249999999998</v>
      </c>
      <c r="P3208">
        <v>-0.42837069999999999</v>
      </c>
      <c r="Q3208">
        <v>0.16148789999999999</v>
      </c>
      <c r="R3208">
        <v>-0.88905610000000002</v>
      </c>
      <c r="S3208">
        <v>-1.7909849999999901</v>
      </c>
      <c r="T3208">
        <v>-0.1630684</v>
      </c>
      <c r="U3208">
        <v>-2.5421299999999998</v>
      </c>
      <c r="V3208">
        <v>0.329374</v>
      </c>
      <c r="W3208">
        <v>0.17159639999999901</v>
      </c>
      <c r="X3208">
        <v>0.92847590000000002</v>
      </c>
      <c r="Y3208">
        <v>0.4818578</v>
      </c>
      <c r="Z3208">
        <v>5.3529199999999902E-2</v>
      </c>
      <c r="AA3208">
        <v>0.87461290000000003</v>
      </c>
      <c r="AB3208">
        <v>23</v>
      </c>
      <c r="AC3208">
        <v>-12.133699999999999</v>
      </c>
      <c r="AD3208">
        <v>-1.1073432920999999</v>
      </c>
      <c r="AE3208">
        <v>-17.044599999999999</v>
      </c>
      <c r="AF3208">
        <v>10.1600068598005</v>
      </c>
      <c r="AG3208">
        <v>-1.1073432920999999</v>
      </c>
      <c r="AH3208">
        <v>18.222984753470001</v>
      </c>
      <c r="AI3208">
        <v>93.038098375272895</v>
      </c>
      <c r="AJ3208">
        <v>60.8586714078277</v>
      </c>
      <c r="AK3208">
        <v>20.893279347267502</v>
      </c>
      <c r="AL3208">
        <v>80.119350159113296</v>
      </c>
      <c r="AM3208">
        <v>70.468014352906096</v>
      </c>
      <c r="AN3208">
        <v>1.0000000266248801</v>
      </c>
    </row>
    <row r="3209" spans="1:40" x14ac:dyDescent="0.25">
      <c r="A3209" t="str">
        <f>"20190312172725192"</f>
        <v>20190312172725192</v>
      </c>
      <c r="B3209" t="str">
        <f>"1552382845181943"</f>
        <v>1552382845181943</v>
      </c>
      <c r="C3209" t="s">
        <v>40</v>
      </c>
      <c r="D3209">
        <v>3.5288780000000002</v>
      </c>
      <c r="E3209">
        <v>0.56499639999999995</v>
      </c>
      <c r="F3209" t="s">
        <v>50</v>
      </c>
      <c r="G3209">
        <v>-199.6686</v>
      </c>
      <c r="H3209" s="1">
        <v>-1.3233569999999999E-5</v>
      </c>
      <c r="I3209">
        <v>152.78720000000001</v>
      </c>
      <c r="J3209">
        <v>-187.4221</v>
      </c>
      <c r="K3209">
        <v>1.10734</v>
      </c>
      <c r="L3209">
        <v>169.874</v>
      </c>
      <c r="M3209">
        <v>-0.1146972</v>
      </c>
      <c r="N3209">
        <v>0</v>
      </c>
      <c r="O3209">
        <v>-0.99331029999999998</v>
      </c>
      <c r="P3209">
        <v>-0.4312163</v>
      </c>
      <c r="Q3209">
        <v>0.1621455</v>
      </c>
      <c r="R3209">
        <v>-0.8875594</v>
      </c>
      <c r="S3209">
        <v>-1.798065</v>
      </c>
      <c r="T3209">
        <v>-0.16215289999999999</v>
      </c>
      <c r="U3209">
        <v>-2.5374759999999998</v>
      </c>
      <c r="V3209">
        <v>0.32779320000000001</v>
      </c>
      <c r="W3209">
        <v>0.17227429999999999</v>
      </c>
      <c r="X3209">
        <v>0.92890969999999995</v>
      </c>
      <c r="Y3209">
        <v>0.479939</v>
      </c>
      <c r="Z3209">
        <v>5.3254330000000002E-2</v>
      </c>
      <c r="AA3209">
        <v>0.87568400000000002</v>
      </c>
      <c r="AB3209">
        <v>23</v>
      </c>
      <c r="AC3209">
        <v>-12.2464999999999</v>
      </c>
      <c r="AD3209">
        <v>-1.10735323357</v>
      </c>
      <c r="AE3209">
        <v>-17.0868</v>
      </c>
      <c r="AF3209">
        <v>10.1774417621594</v>
      </c>
      <c r="AG3209">
        <v>-1.10735323357</v>
      </c>
      <c r="AH3209">
        <v>18.327926311477999</v>
      </c>
      <c r="AI3209">
        <v>93.023634608097296</v>
      </c>
      <c r="AJ3209">
        <v>60.956719139903399</v>
      </c>
      <c r="AK3209">
        <v>20.993318815399601</v>
      </c>
      <c r="AL3209">
        <v>80.079922167994994</v>
      </c>
      <c r="AM3209">
        <v>70.563107075525394</v>
      </c>
      <c r="AN3209">
        <v>1.0000000235804001</v>
      </c>
    </row>
    <row r="3210" spans="1:40" x14ac:dyDescent="0.25">
      <c r="A3210" t="str">
        <f>"20190312172725215"</f>
        <v>20190312172725215</v>
      </c>
      <c r="B3210" t="str">
        <f>"1552382845212199"</f>
        <v>1552382845212199</v>
      </c>
      <c r="C3210" t="s">
        <v>40</v>
      </c>
      <c r="D3210">
        <v>3.5275910000000001</v>
      </c>
      <c r="E3210">
        <v>0.56494049999999996</v>
      </c>
      <c r="F3210" t="s">
        <v>50</v>
      </c>
      <c r="G3210">
        <v>-199.81039999999999</v>
      </c>
      <c r="H3210" s="1">
        <v>-1.317568E-5</v>
      </c>
      <c r="I3210">
        <v>152.50720000000001</v>
      </c>
      <c r="J3210">
        <v>-187.45359999999999</v>
      </c>
      <c r="K3210">
        <v>1.107351</v>
      </c>
      <c r="L3210">
        <v>169.64779999999999</v>
      </c>
      <c r="M3210">
        <v>-0.1192714</v>
      </c>
      <c r="N3210">
        <v>0</v>
      </c>
      <c r="O3210">
        <v>-0.99277139999999997</v>
      </c>
      <c r="P3210">
        <v>-0.43418250000000003</v>
      </c>
      <c r="Q3210">
        <v>0.1627152</v>
      </c>
      <c r="R3210">
        <v>-0.88600780000000001</v>
      </c>
      <c r="S3210">
        <v>-1.806168</v>
      </c>
      <c r="T3210">
        <v>-0.16144849999999999</v>
      </c>
      <c r="U3210">
        <v>-2.5320279999999999</v>
      </c>
      <c r="V3210">
        <v>0.32663239999999999</v>
      </c>
      <c r="W3210">
        <v>0.17285989999999901</v>
      </c>
      <c r="X3210">
        <v>0.92920970000000003</v>
      </c>
      <c r="Y3210">
        <v>0.47865390000000002</v>
      </c>
      <c r="Z3210">
        <v>5.3047209999999997E-2</v>
      </c>
      <c r="AA3210">
        <v>0.87639979999999995</v>
      </c>
      <c r="AB3210">
        <v>23</v>
      </c>
      <c r="AC3210">
        <v>-12.3567999999999</v>
      </c>
      <c r="AD3210">
        <v>-1.1073641756799999</v>
      </c>
      <c r="AE3210">
        <v>-17.1405999999999</v>
      </c>
      <c r="AF3210">
        <v>10.196008177046</v>
      </c>
      <c r="AG3210">
        <v>-1.1073641756799999</v>
      </c>
      <c r="AH3210">
        <v>18.441519666810201</v>
      </c>
      <c r="AI3210">
        <v>93.008144777495204</v>
      </c>
      <c r="AJ3210">
        <v>61.062527151745897</v>
      </c>
      <c r="AK3210">
        <v>21.101528043848301</v>
      </c>
      <c r="AL3210">
        <v>80.045858174878305</v>
      </c>
      <c r="AM3210">
        <v>70.632591452659696</v>
      </c>
      <c r="AN3210">
        <v>0.99999996816592895</v>
      </c>
    </row>
    <row r="3211" spans="1:40" x14ac:dyDescent="0.25">
      <c r="A3211" t="str">
        <f>"20190312172725236"</f>
        <v>20190312172725236</v>
      </c>
      <c r="B3211" t="str">
        <f>"1552382845232696"</f>
        <v>1552382845232696</v>
      </c>
      <c r="C3211" t="s">
        <v>40</v>
      </c>
      <c r="D3211">
        <v>3.5068239999999999</v>
      </c>
      <c r="E3211">
        <v>0.56490149999999995</v>
      </c>
      <c r="F3211" t="s">
        <v>50</v>
      </c>
      <c r="G3211">
        <v>-199.8794</v>
      </c>
      <c r="H3211" s="1">
        <v>-1.3141619999999999E-5</v>
      </c>
      <c r="I3211">
        <v>152.3475</v>
      </c>
      <c r="J3211">
        <v>-187.4853</v>
      </c>
      <c r="K3211">
        <v>1.107361</v>
      </c>
      <c r="L3211">
        <v>169.42740000000001</v>
      </c>
      <c r="M3211">
        <v>-0.1237301</v>
      </c>
      <c r="N3211">
        <v>0</v>
      </c>
      <c r="O3211">
        <v>-0.99222580000000005</v>
      </c>
      <c r="P3211">
        <v>-0.43713940000000001</v>
      </c>
      <c r="Q3211">
        <v>0.16326499999999999</v>
      </c>
      <c r="R3211">
        <v>-0.88445119999999899</v>
      </c>
      <c r="S3211">
        <v>-1.8145899999999999</v>
      </c>
      <c r="T3211">
        <v>-0.16171340000000001</v>
      </c>
      <c r="U3211">
        <v>-2.526443</v>
      </c>
      <c r="V3211">
        <v>0.3255728</v>
      </c>
      <c r="W3211">
        <v>0.17342449999999901</v>
      </c>
      <c r="X3211">
        <v>0.92947630000000003</v>
      </c>
      <c r="Y3211">
        <v>0.47755340000000002</v>
      </c>
      <c r="Z3211">
        <v>5.3154340000000001E-2</v>
      </c>
      <c r="AA3211">
        <v>0.87699340000000003</v>
      </c>
      <c r="AB3211">
        <v>23</v>
      </c>
      <c r="AC3211">
        <v>-12.3941</v>
      </c>
      <c r="AD3211">
        <v>-1.10737414162</v>
      </c>
      <c r="AE3211">
        <v>-17.079899999999999</v>
      </c>
      <c r="AF3211">
        <v>10.1573894376137</v>
      </c>
      <c r="AG3211">
        <v>-1.10737414162</v>
      </c>
      <c r="AH3211">
        <v>18.431540266855301</v>
      </c>
      <c r="AI3211">
        <v>93.012081050083296</v>
      </c>
      <c r="AJ3211">
        <v>61.141394889873297</v>
      </c>
      <c r="AK3211">
        <v>21.0741669891264</v>
      </c>
      <c r="AL3211">
        <v>80.013012713213399</v>
      </c>
      <c r="AM3211">
        <v>70.6958913064326</v>
      </c>
      <c r="AN3211">
        <v>0.99999994878088805</v>
      </c>
    </row>
    <row r="3212" spans="1:40" x14ac:dyDescent="0.25">
      <c r="A3212" t="str">
        <f>"20190312172725257"</f>
        <v>20190312172725257</v>
      </c>
      <c r="B3212" t="str">
        <f>"1552382845252215"</f>
        <v>1552382845252215</v>
      </c>
      <c r="C3212" t="s">
        <v>40</v>
      </c>
      <c r="D3212">
        <v>3.5246810000000002</v>
      </c>
      <c r="E3212">
        <v>0.5448653</v>
      </c>
      <c r="F3212" t="s">
        <v>50</v>
      </c>
      <c r="G3212">
        <v>-200.006</v>
      </c>
      <c r="H3212" s="1">
        <v>-1.3067560000000001E-5</v>
      </c>
      <c r="I3212">
        <v>152.1189</v>
      </c>
      <c r="J3212">
        <v>-187.51759999999999</v>
      </c>
      <c r="K3212">
        <v>1.107372</v>
      </c>
      <c r="L3212">
        <v>169.21</v>
      </c>
      <c r="M3212">
        <v>-0.12812960000000001</v>
      </c>
      <c r="N3212">
        <v>0</v>
      </c>
      <c r="O3212">
        <v>-0.99166730000000003</v>
      </c>
      <c r="P3212">
        <v>-0.44091560000000002</v>
      </c>
      <c r="Q3212">
        <v>0.16332749999999999</v>
      </c>
      <c r="R3212">
        <v>-0.8825636</v>
      </c>
      <c r="S3212">
        <v>-1.8233029999999999</v>
      </c>
      <c r="T3212">
        <v>-0.16125980000000001</v>
      </c>
      <c r="U3212">
        <v>-2.5205229999999998</v>
      </c>
      <c r="V3212">
        <v>0.3254223</v>
      </c>
      <c r="W3212">
        <v>0.1734916</v>
      </c>
      <c r="X3212">
        <v>0.92951660000000003</v>
      </c>
      <c r="Y3212">
        <v>0.47663080000000002</v>
      </c>
      <c r="Z3212">
        <v>5.3026040000000003E-2</v>
      </c>
      <c r="AA3212">
        <v>0.87750289999999997</v>
      </c>
      <c r="AB3212">
        <v>23</v>
      </c>
      <c r="AC3212">
        <v>-12.488399999999899</v>
      </c>
      <c r="AD3212">
        <v>-1.1073850675599901</v>
      </c>
      <c r="AE3212">
        <v>-17.091100000000001</v>
      </c>
      <c r="AF3212">
        <v>10.1675461286363</v>
      </c>
      <c r="AG3212">
        <v>-1.1073850675599901</v>
      </c>
      <c r="AH3212">
        <v>18.499845086239201</v>
      </c>
      <c r="AI3212">
        <v>93.002890301755301</v>
      </c>
      <c r="AJ3212">
        <v>61.206730484531697</v>
      </c>
      <c r="AK3212">
        <v>21.1388165274372</v>
      </c>
      <c r="AL3212">
        <v>80.009110104600097</v>
      </c>
      <c r="AM3212">
        <v>70.704929898805105</v>
      </c>
      <c r="AN3212">
        <v>1.0000000591417</v>
      </c>
    </row>
    <row r="3213" spans="1:40" x14ac:dyDescent="0.25">
      <c r="A3213" t="str">
        <f>"20190312172725280"</f>
        <v>20190312172725280</v>
      </c>
      <c r="B3213" t="str">
        <f>"1552382845272711"</f>
        <v>1552382845272711</v>
      </c>
      <c r="C3213" t="s">
        <v>40</v>
      </c>
      <c r="D3213">
        <v>3.489471</v>
      </c>
      <c r="E3213">
        <v>0.54021759999999996</v>
      </c>
      <c r="F3213" t="s">
        <v>50</v>
      </c>
      <c r="G3213">
        <v>-196.3262</v>
      </c>
      <c r="H3213" s="1">
        <v>-1.3879E-5</v>
      </c>
      <c r="I3213">
        <v>155.73910000000001</v>
      </c>
      <c r="J3213">
        <v>-187.55369999999999</v>
      </c>
      <c r="K3213">
        <v>1.1073820000000001</v>
      </c>
      <c r="L3213">
        <v>168.9742</v>
      </c>
      <c r="M3213">
        <v>-0.13290080000000001</v>
      </c>
      <c r="N3213">
        <v>0</v>
      </c>
      <c r="O3213">
        <v>-0.991039</v>
      </c>
      <c r="P3213">
        <v>-0.44439659999999898</v>
      </c>
      <c r="Q3213">
        <v>0.16371469999999999</v>
      </c>
      <c r="R3213">
        <v>-0.88074370000000002</v>
      </c>
      <c r="S3213">
        <v>-1.694839</v>
      </c>
      <c r="T3213">
        <v>-0.21306929999999999</v>
      </c>
      <c r="U3213">
        <v>-2.591904</v>
      </c>
      <c r="V3213">
        <v>0.32462639999999998</v>
      </c>
      <c r="W3213">
        <v>0.17388979999999901</v>
      </c>
      <c r="X3213">
        <v>0.9297204</v>
      </c>
      <c r="Y3213">
        <v>0.42983900000000003</v>
      </c>
      <c r="Z3213">
        <v>7.0096160000000005E-2</v>
      </c>
      <c r="AA3213">
        <v>0.90018050000000005</v>
      </c>
      <c r="AB3213">
        <v>23</v>
      </c>
      <c r="AC3213">
        <v>-8.7725000000000009</v>
      </c>
      <c r="AD3213">
        <v>-1.10739587899999</v>
      </c>
      <c r="AE3213">
        <v>-13.2350999999999</v>
      </c>
      <c r="AF3213">
        <v>6.9019842622026202</v>
      </c>
      <c r="AG3213">
        <v>-1.10739587899999</v>
      </c>
      <c r="AH3213">
        <v>14.2145126299997</v>
      </c>
      <c r="AI3213">
        <v>94.008811946394303</v>
      </c>
      <c r="AJ3213">
        <v>64.100692210063897</v>
      </c>
      <c r="AK3213">
        <v>15.8403308581904</v>
      </c>
      <c r="AL3213">
        <v>79.985942111325201</v>
      </c>
      <c r="AM3213">
        <v>70.752554117370096</v>
      </c>
      <c r="AN3213">
        <v>0.99999999214858004</v>
      </c>
    </row>
    <row r="3214" spans="1:40" x14ac:dyDescent="0.25">
      <c r="A3214" t="str">
        <f>"20190312172725301"</f>
        <v>20190312172725301</v>
      </c>
      <c r="B3214" t="str">
        <f>"1552382845292231"</f>
        <v>1552382845292231</v>
      </c>
      <c r="C3214" t="s">
        <v>40</v>
      </c>
      <c r="D3214">
        <v>3.4978189999999998</v>
      </c>
      <c r="E3214">
        <v>0.53937800000000002</v>
      </c>
      <c r="F3214" t="s">
        <v>50</v>
      </c>
      <c r="G3214">
        <v>-196.6277</v>
      </c>
      <c r="H3214" s="1">
        <v>-1.352887E-5</v>
      </c>
      <c r="I3214">
        <v>154.86060000000001</v>
      </c>
      <c r="J3214">
        <v>-187.58850000000001</v>
      </c>
      <c r="K3214">
        <v>1.1073930000000001</v>
      </c>
      <c r="L3214">
        <v>168.75319999999999</v>
      </c>
      <c r="M3214">
        <v>-0.137374</v>
      </c>
      <c r="N3214">
        <v>0</v>
      </c>
      <c r="O3214">
        <v>-0.9904288</v>
      </c>
      <c r="P3214">
        <v>-0.4476851</v>
      </c>
      <c r="Q3214">
        <v>0.16379340000000001</v>
      </c>
      <c r="R3214">
        <v>-0.8790616</v>
      </c>
      <c r="S3214">
        <v>-1.67196699999999</v>
      </c>
      <c r="T3214">
        <v>-0.2040476</v>
      </c>
      <c r="U3214">
        <v>-2.6005549999999999</v>
      </c>
      <c r="V3214">
        <v>0.32390180000000002</v>
      </c>
      <c r="W3214">
        <v>0.17398039999999901</v>
      </c>
      <c r="X3214">
        <v>0.92995609999999995</v>
      </c>
      <c r="Y3214">
        <v>0.41888649999999999</v>
      </c>
      <c r="Z3214">
        <v>6.7222039999999997E-2</v>
      </c>
      <c r="AA3214">
        <v>0.90554699999999999</v>
      </c>
      <c r="AB3214">
        <v>23</v>
      </c>
      <c r="AC3214">
        <v>-9.0391999999999904</v>
      </c>
      <c r="AD3214">
        <v>-1.1074065288699999</v>
      </c>
      <c r="AE3214">
        <v>-13.8925999999999</v>
      </c>
      <c r="AF3214">
        <v>7.0135238178807899</v>
      </c>
      <c r="AG3214">
        <v>-1.1074065288699999</v>
      </c>
      <c r="AH3214">
        <v>14.9360497846026</v>
      </c>
      <c r="AI3214">
        <v>93.839502775422702</v>
      </c>
      <c r="AJ3214">
        <v>64.846649163793302</v>
      </c>
      <c r="AK3214">
        <v>16.537879209024801</v>
      </c>
      <c r="AL3214">
        <v>79.980670354450098</v>
      </c>
      <c r="AM3214">
        <v>70.796877778443005</v>
      </c>
      <c r="AN3214">
        <v>0.99999995177730305</v>
      </c>
    </row>
    <row r="3215" spans="1:40" x14ac:dyDescent="0.25">
      <c r="A3215" t="str">
        <f>"20190312172725326"</f>
        <v>20190312172725326</v>
      </c>
      <c r="B3215" t="str">
        <f>"1552382845322487"</f>
        <v>1552382845322487</v>
      </c>
      <c r="C3215" t="s">
        <v>40</v>
      </c>
      <c r="D3215">
        <v>3.4935559999999999</v>
      </c>
      <c r="E3215">
        <v>0.53877469999999905</v>
      </c>
      <c r="F3215" t="s">
        <v>50</v>
      </c>
      <c r="G3215">
        <v>-196.7236</v>
      </c>
      <c r="H3215" s="1">
        <v>-1.3428700000000001E-5</v>
      </c>
      <c r="I3215">
        <v>154.6009</v>
      </c>
      <c r="J3215">
        <v>-187.62729999999999</v>
      </c>
      <c r="K3215">
        <v>1.1074010000000001</v>
      </c>
      <c r="L3215">
        <v>168.5146</v>
      </c>
      <c r="M3215">
        <v>-0.14220429999999901</v>
      </c>
      <c r="N3215">
        <v>0</v>
      </c>
      <c r="O3215">
        <v>-0.98974689999999999</v>
      </c>
      <c r="P3215">
        <v>-0.45118469999999999</v>
      </c>
      <c r="Q3215">
        <v>0.16405449999999999</v>
      </c>
      <c r="R3215">
        <v>-0.8772221</v>
      </c>
      <c r="S3215">
        <v>-1.676239</v>
      </c>
      <c r="T3215">
        <v>-0.203205</v>
      </c>
      <c r="U3215">
        <v>-2.5968930000000001</v>
      </c>
      <c r="V3215">
        <v>0.323075</v>
      </c>
      <c r="W3215">
        <v>0.17425370000000001</v>
      </c>
      <c r="X3215">
        <v>0.93019260000000004</v>
      </c>
      <c r="Y3215">
        <v>0.41609889999999999</v>
      </c>
      <c r="Z3215">
        <v>6.6972110000000001E-2</v>
      </c>
      <c r="AA3215">
        <v>0.90684969999999998</v>
      </c>
      <c r="AB3215">
        <v>23</v>
      </c>
      <c r="AC3215">
        <v>-9.09630000000001</v>
      </c>
      <c r="AD3215">
        <v>-1.1074144287000001</v>
      </c>
      <c r="AE3215">
        <v>-13.9137</v>
      </c>
      <c r="AF3215">
        <v>6.9940360956079699</v>
      </c>
      <c r="AG3215">
        <v>-1.1074144287000001</v>
      </c>
      <c r="AH3215">
        <v>14.9993559452091</v>
      </c>
      <c r="AI3215">
        <v>93.828177551142701</v>
      </c>
      <c r="AJ3215">
        <v>65.000873675687302</v>
      </c>
      <c r="AK3215">
        <v>16.586849803221799</v>
      </c>
      <c r="AL3215">
        <v>79.964769413869902</v>
      </c>
      <c r="AM3215">
        <v>70.846835373826394</v>
      </c>
      <c r="AN3215">
        <v>1.00000004034172</v>
      </c>
    </row>
    <row r="3216" spans="1:40" x14ac:dyDescent="0.25">
      <c r="A3216" t="str">
        <f>"20190312172725348"</f>
        <v>20190312172725348</v>
      </c>
      <c r="B3216" t="str">
        <f>"1552382845342007"</f>
        <v>1552382845342007</v>
      </c>
      <c r="C3216" t="s">
        <v>40</v>
      </c>
      <c r="D3216">
        <v>3.4575650000000002</v>
      </c>
      <c r="E3216">
        <v>0.53861769999999998</v>
      </c>
      <c r="F3216" t="s">
        <v>50</v>
      </c>
      <c r="G3216">
        <v>-196.3434</v>
      </c>
      <c r="H3216" s="1">
        <v>-1.3599599999999999E-5</v>
      </c>
      <c r="I3216">
        <v>155.08420000000001</v>
      </c>
      <c r="J3216">
        <v>-187.6651</v>
      </c>
      <c r="K3216">
        <v>1.1074109999999999</v>
      </c>
      <c r="L3216">
        <v>168.2893</v>
      </c>
      <c r="M3216">
        <v>-0.1467647</v>
      </c>
      <c r="N3216">
        <v>0</v>
      </c>
      <c r="O3216">
        <v>-0.98908110000000005</v>
      </c>
      <c r="P3216">
        <v>-0.45471739999999999</v>
      </c>
      <c r="Q3216">
        <v>0.16402359999999999</v>
      </c>
      <c r="R3216">
        <v>-0.87540219999999902</v>
      </c>
      <c r="S3216">
        <v>-1.6834720000000001</v>
      </c>
      <c r="T3216">
        <v>-0.2138922</v>
      </c>
      <c r="U3216">
        <v>-2.5940089999999998</v>
      </c>
      <c r="V3216">
        <v>0.3225324</v>
      </c>
      <c r="W3216">
        <v>0.1742321</v>
      </c>
      <c r="X3216">
        <v>0.93038489999999996</v>
      </c>
      <c r="Y3216">
        <v>0.41401890000000002</v>
      </c>
      <c r="Z3216">
        <v>7.0454989999999995E-2</v>
      </c>
      <c r="AA3216">
        <v>0.90753760000000006</v>
      </c>
      <c r="AB3216">
        <v>23</v>
      </c>
      <c r="AC3216">
        <v>-8.6783000000000001</v>
      </c>
      <c r="AD3216">
        <v>-1.1074245995999901</v>
      </c>
      <c r="AE3216">
        <v>-13.2050999999999</v>
      </c>
      <c r="AF3216">
        <v>6.6136097894059596</v>
      </c>
      <c r="AG3216">
        <v>-1.1074245995999901</v>
      </c>
      <c r="AH3216">
        <v>14.2657946604585</v>
      </c>
      <c r="AI3216">
        <v>94.028559157861295</v>
      </c>
      <c r="AJ3216">
        <v>65.127602672070495</v>
      </c>
      <c r="AK3216">
        <v>15.7632205143712</v>
      </c>
      <c r="AL3216">
        <v>79.966026001359296</v>
      </c>
      <c r="AM3216">
        <v>70.880330405305699</v>
      </c>
      <c r="AN3216">
        <v>1.00000001793408</v>
      </c>
    </row>
    <row r="3217" spans="1:40" x14ac:dyDescent="0.25">
      <c r="A3217" t="str">
        <f>"20190312172725369"</f>
        <v>20190312172725369</v>
      </c>
      <c r="B3217" t="str">
        <f>"1552382845362503"</f>
        <v>1552382845362503</v>
      </c>
      <c r="C3217" t="s">
        <v>40</v>
      </c>
      <c r="D3217">
        <v>3.4771879999999999</v>
      </c>
      <c r="E3217">
        <v>0.53858549999999905</v>
      </c>
      <c r="F3217" t="s">
        <v>50</v>
      </c>
      <c r="G3217">
        <v>-196.3638</v>
      </c>
      <c r="H3217" s="1">
        <v>-1.3559540000000001E-5</v>
      </c>
      <c r="I3217">
        <v>154.98660000000001</v>
      </c>
      <c r="J3217">
        <v>-187.7029</v>
      </c>
      <c r="K3217">
        <v>1.1074139999999999</v>
      </c>
      <c r="L3217">
        <v>168.0702</v>
      </c>
      <c r="M3217">
        <v>-0.15120239999999999</v>
      </c>
      <c r="N3217">
        <v>0</v>
      </c>
      <c r="O3217">
        <v>-0.98841230000000002</v>
      </c>
      <c r="P3217">
        <v>-0.45825579999999999</v>
      </c>
      <c r="Q3217">
        <v>0.1640646</v>
      </c>
      <c r="R3217">
        <v>-0.87354699999999996</v>
      </c>
      <c r="S3217">
        <v>-1.6924589999999999</v>
      </c>
      <c r="T3217">
        <v>-0.2154634</v>
      </c>
      <c r="U3217">
        <v>-2.5882109999999998</v>
      </c>
      <c r="V3217">
        <v>0.3221194</v>
      </c>
      <c r="W3217">
        <v>0.17428099999999999</v>
      </c>
      <c r="X3217">
        <v>0.93051879999999998</v>
      </c>
      <c r="Y3217">
        <v>0.41305380000000003</v>
      </c>
      <c r="Z3217">
        <v>7.0983779999999996E-2</v>
      </c>
      <c r="AA3217">
        <v>0.90793599999999997</v>
      </c>
      <c r="AB3217">
        <v>23</v>
      </c>
      <c r="AC3217">
        <v>-8.6608999999999892</v>
      </c>
      <c r="AD3217">
        <v>-1.1074275595399901</v>
      </c>
      <c r="AE3217">
        <v>-13.083599999999899</v>
      </c>
      <c r="AF3217">
        <v>6.5502276950242901</v>
      </c>
      <c r="AG3217">
        <v>-1.1074275595399901</v>
      </c>
      <c r="AH3217">
        <v>14.1722161315699</v>
      </c>
      <c r="AI3217">
        <v>94.057256634856202</v>
      </c>
      <c r="AJ3217">
        <v>65.194188442068295</v>
      </c>
      <c r="AK3217">
        <v>15.6519515951277</v>
      </c>
      <c r="AL3217">
        <v>79.963180584414403</v>
      </c>
      <c r="AM3217">
        <v>70.905587631704407</v>
      </c>
      <c r="AN3217">
        <v>1.0000000059854</v>
      </c>
    </row>
    <row r="3218" spans="1:40" x14ac:dyDescent="0.25">
      <c r="A3218" t="str">
        <f>"20190312172725392"</f>
        <v>20190312172725392</v>
      </c>
      <c r="B3218" t="str">
        <f>"1552382845382024"</f>
        <v>1552382845382024</v>
      </c>
      <c r="C3218" t="s">
        <v>40</v>
      </c>
      <c r="D3218">
        <v>3.4260199999999998</v>
      </c>
      <c r="E3218">
        <v>0.5385624</v>
      </c>
      <c r="F3218" t="s">
        <v>50</v>
      </c>
      <c r="G3218">
        <v>-196.38640000000001</v>
      </c>
      <c r="H3218" s="1">
        <v>-1.3523460000000001E-5</v>
      </c>
      <c r="I3218">
        <v>154.89789999999999</v>
      </c>
      <c r="J3218">
        <v>-187.7439</v>
      </c>
      <c r="K3218">
        <v>1.1074280000000001</v>
      </c>
      <c r="L3218">
        <v>167.83840000000001</v>
      </c>
      <c r="M3218">
        <v>-0.155895899999999</v>
      </c>
      <c r="N3218">
        <v>0</v>
      </c>
      <c r="O3218">
        <v>-0.98768290000000003</v>
      </c>
      <c r="P3218">
        <v>-0.46189170000000002</v>
      </c>
      <c r="Q3218">
        <v>0.164357</v>
      </c>
      <c r="R3218">
        <v>-0.87157510000000005</v>
      </c>
      <c r="S3218">
        <v>-1.7021790000000001</v>
      </c>
      <c r="T3218">
        <v>-0.21708230000000001</v>
      </c>
      <c r="U3218">
        <v>-2.5820919999999998</v>
      </c>
      <c r="V3218">
        <v>0.32158300000000001</v>
      </c>
      <c r="W3218">
        <v>0.174582399999999</v>
      </c>
      <c r="X3218">
        <v>0.93064789999999997</v>
      </c>
      <c r="Y3218">
        <v>0.4120798</v>
      </c>
      <c r="Z3218">
        <v>7.1523639999999999E-2</v>
      </c>
      <c r="AA3218">
        <v>0.90833620000000004</v>
      </c>
      <c r="AB3218">
        <v>23</v>
      </c>
      <c r="AC3218">
        <v>-8.6425000000000107</v>
      </c>
      <c r="AD3218">
        <v>-1.1074415234599999</v>
      </c>
      <c r="AE3218">
        <v>-12.9405</v>
      </c>
      <c r="AF3218">
        <v>6.4864098640546297</v>
      </c>
      <c r="AG3218">
        <v>-1.1074415234599999</v>
      </c>
      <c r="AH3218">
        <v>14.058502399565601</v>
      </c>
      <c r="AI3218">
        <v>94.091257562175997</v>
      </c>
      <c r="AJ3218">
        <v>65.232015275645296</v>
      </c>
      <c r="AK3218">
        <v>15.522288148690601</v>
      </c>
      <c r="AL3218">
        <v>79.9456434907827</v>
      </c>
      <c r="AM3218">
        <v>70.937540584238207</v>
      </c>
      <c r="AN3218">
        <v>1.00000007702658</v>
      </c>
    </row>
    <row r="3219" spans="1:40" x14ac:dyDescent="0.25">
      <c r="A3219" t="str">
        <f>"20190312172725414"</f>
        <v>20190312172725414</v>
      </c>
      <c r="B3219" t="str">
        <f>"1552382845412279"</f>
        <v>1552382845412279</v>
      </c>
      <c r="C3219" t="s">
        <v>40</v>
      </c>
      <c r="D3219">
        <v>3.4605229999999998</v>
      </c>
      <c r="E3219">
        <v>0.53855819999999999</v>
      </c>
      <c r="F3219" t="s">
        <v>50</v>
      </c>
      <c r="G3219">
        <v>-196.47380000000001</v>
      </c>
      <c r="H3219" s="1">
        <v>-1.345588E-5</v>
      </c>
      <c r="I3219">
        <v>154.72229999999999</v>
      </c>
      <c r="J3219">
        <v>-187.7841</v>
      </c>
      <c r="K3219">
        <v>1.107442</v>
      </c>
      <c r="L3219">
        <v>167.61789999999999</v>
      </c>
      <c r="M3219">
        <v>-0.1603608</v>
      </c>
      <c r="N3219">
        <v>0</v>
      </c>
      <c r="O3219">
        <v>-0.98696799999999996</v>
      </c>
      <c r="P3219">
        <v>-0.46543479999999998</v>
      </c>
      <c r="Q3219">
        <v>0.16486049999999999</v>
      </c>
      <c r="R3219">
        <v>-0.8695929</v>
      </c>
      <c r="S3219">
        <v>-1.71376</v>
      </c>
      <c r="T3219">
        <v>-0.21740110000000001</v>
      </c>
      <c r="U3219">
        <v>-2.5748289999999998</v>
      </c>
      <c r="V3219">
        <v>0.32117659999999998</v>
      </c>
      <c r="W3219">
        <v>0.1750932</v>
      </c>
      <c r="X3219">
        <v>0.93069219999999997</v>
      </c>
      <c r="Y3219">
        <v>0.41197099999999998</v>
      </c>
      <c r="Z3219">
        <v>7.163725E-2</v>
      </c>
      <c r="AA3219">
        <v>0.90837659999999998</v>
      </c>
      <c r="AB3219">
        <v>23</v>
      </c>
      <c r="AC3219">
        <v>-8.6897000000000109</v>
      </c>
      <c r="AD3219">
        <v>-1.1074554558800001</v>
      </c>
      <c r="AE3219">
        <v>-12.8956</v>
      </c>
      <c r="AF3219">
        <v>6.4762405481465999</v>
      </c>
      <c r="AG3219">
        <v>-1.1074554558800001</v>
      </c>
      <c r="AH3219">
        <v>14.051025413385601</v>
      </c>
      <c r="AI3219">
        <v>94.094220540794595</v>
      </c>
      <c r="AJ3219">
        <v>65.254610441167202</v>
      </c>
      <c r="AK3219">
        <v>15.5112689484718</v>
      </c>
      <c r="AL3219">
        <v>79.915918226171598</v>
      </c>
      <c r="AM3219">
        <v>70.960736012122794</v>
      </c>
      <c r="AN3219">
        <v>1.00000000410731</v>
      </c>
    </row>
    <row r="3220" spans="1:40" x14ac:dyDescent="0.25">
      <c r="A3220" t="str">
        <f>"20190312172725436"</f>
        <v>20190312172725436</v>
      </c>
      <c r="B3220" t="str">
        <f>"1552382845431799"</f>
        <v>1552382845431799</v>
      </c>
      <c r="C3220" t="s">
        <v>40</v>
      </c>
      <c r="D3220">
        <v>3.4578899999999999</v>
      </c>
      <c r="E3220">
        <v>0.53855869999999995</v>
      </c>
      <c r="F3220" t="s">
        <v>50</v>
      </c>
      <c r="G3220">
        <v>-196.5993</v>
      </c>
      <c r="H3220" s="1">
        <v>-1.3391840000000001E-5</v>
      </c>
      <c r="I3220">
        <v>154.4982</v>
      </c>
      <c r="J3220">
        <v>-187.82499999999999</v>
      </c>
      <c r="K3220">
        <v>1.1074580000000001</v>
      </c>
      <c r="L3220">
        <v>167.39850000000001</v>
      </c>
      <c r="M3220">
        <v>-0.1647989</v>
      </c>
      <c r="N3220">
        <v>0</v>
      </c>
      <c r="O3220">
        <v>-0.98623660000000002</v>
      </c>
      <c r="P3220">
        <v>-0.46931339999999999</v>
      </c>
      <c r="Q3220">
        <v>0.16527120000000001</v>
      </c>
      <c r="R3220">
        <v>-0.86742750000000002</v>
      </c>
      <c r="S3220">
        <v>-1.725204</v>
      </c>
      <c r="T3220">
        <v>-0.21673719999999999</v>
      </c>
      <c r="U3220">
        <v>-2.5676269999999999</v>
      </c>
      <c r="V3220">
        <v>0.321158099999999</v>
      </c>
      <c r="W3220">
        <v>0.17550769999999999</v>
      </c>
      <c r="X3220">
        <v>0.93062049999999996</v>
      </c>
      <c r="Y3220">
        <v>0.4118523</v>
      </c>
      <c r="Z3220">
        <v>7.1426080000000003E-2</v>
      </c>
      <c r="AA3220">
        <v>0.908447</v>
      </c>
      <c r="AB3220">
        <v>23</v>
      </c>
      <c r="AC3220">
        <v>-8.7743000000000002</v>
      </c>
      <c r="AD3220">
        <v>-1.1074713918400001</v>
      </c>
      <c r="AE3220">
        <v>-12.9003</v>
      </c>
      <c r="AF3220">
        <v>6.4954341564298801</v>
      </c>
      <c r="AG3220">
        <v>-1.1074713918400001</v>
      </c>
      <c r="AH3220">
        <v>14.0989661529483</v>
      </c>
      <c r="AI3220">
        <v>94.080722816752001</v>
      </c>
      <c r="AJ3220">
        <v>65.264340423969003</v>
      </c>
      <c r="AK3220">
        <v>15.5627119855841</v>
      </c>
      <c r="AL3220">
        <v>79.891795508153393</v>
      </c>
      <c r="AM3220">
        <v>70.960392536655903</v>
      </c>
      <c r="AN3220">
        <v>0.99999999648757398</v>
      </c>
    </row>
    <row r="3221" spans="1:40" x14ac:dyDescent="0.25">
      <c r="A3221" t="str">
        <f>"20190312172725471"</f>
        <v>20190312172725471</v>
      </c>
      <c r="B3221" t="str">
        <f>"1552382845462055"</f>
        <v>1552382845462055</v>
      </c>
      <c r="C3221" t="s">
        <v>40</v>
      </c>
      <c r="D3221">
        <v>3.4677579999999999</v>
      </c>
      <c r="E3221">
        <v>0.53854930000000001</v>
      </c>
      <c r="F3221" t="s">
        <v>50</v>
      </c>
      <c r="G3221">
        <v>-196.72579999999999</v>
      </c>
      <c r="H3221" s="1">
        <v>-1.33481399999999E-5</v>
      </c>
      <c r="I3221">
        <v>154.2799</v>
      </c>
      <c r="J3221">
        <v>-187.8922</v>
      </c>
      <c r="K3221">
        <v>1.1074710000000001</v>
      </c>
      <c r="L3221">
        <v>167.0488</v>
      </c>
      <c r="M3221">
        <v>-0.17185400000000001</v>
      </c>
      <c r="N3221">
        <v>0</v>
      </c>
      <c r="O3221">
        <v>-0.98503169999999995</v>
      </c>
      <c r="P3221">
        <v>-0.47605619999999998</v>
      </c>
      <c r="Q3221">
        <v>0.16574720000000001</v>
      </c>
      <c r="R3221">
        <v>-0.86365429999999999</v>
      </c>
      <c r="S3221">
        <v>-1.7369079999999999</v>
      </c>
      <c r="T3221">
        <v>-0.21611089999999999</v>
      </c>
      <c r="U3221">
        <v>-2.559952</v>
      </c>
      <c r="V3221">
        <v>0.32175819999999999</v>
      </c>
      <c r="W3221">
        <v>0.17598839999999999</v>
      </c>
      <c r="X3221">
        <v>0.93032239999999999</v>
      </c>
      <c r="Y3221">
        <v>0.40944960000000002</v>
      </c>
      <c r="Z3221">
        <v>7.1222190000000005E-2</v>
      </c>
      <c r="AA3221">
        <v>0.90954849999999998</v>
      </c>
      <c r="AB3221">
        <v>23</v>
      </c>
      <c r="AC3221">
        <v>-8.8335999999999899</v>
      </c>
      <c r="AD3221">
        <v>-1.1074843481400001</v>
      </c>
      <c r="AE3221">
        <v>-12.7689</v>
      </c>
      <c r="AF3221">
        <v>6.4746303547064796</v>
      </c>
      <c r="AG3221">
        <v>-1.1074843481400001</v>
      </c>
      <c r="AH3221">
        <v>14.025762332144399</v>
      </c>
      <c r="AI3221">
        <v>94.100564443073296</v>
      </c>
      <c r="AJ3221">
        <v>65.220813022782295</v>
      </c>
      <c r="AK3221">
        <v>15.487716707418899</v>
      </c>
      <c r="AL3221">
        <v>79.863818120680307</v>
      </c>
      <c r="AM3221">
        <v>70.921714831449506</v>
      </c>
      <c r="AN3221">
        <v>1.00000001207178</v>
      </c>
    </row>
    <row r="3222" spans="1:40" x14ac:dyDescent="0.25">
      <c r="A3222" t="str">
        <f>"20190312172725493"</f>
        <v>20190312172725493</v>
      </c>
      <c r="B3222" t="str">
        <f>"1552382845482555"</f>
        <v>1552382845482555</v>
      </c>
      <c r="C3222" t="s">
        <v>40</v>
      </c>
      <c r="D3222">
        <v>3.4265270000000001</v>
      </c>
      <c r="E3222">
        <v>0.53853960000000001</v>
      </c>
      <c r="F3222" t="s">
        <v>50</v>
      </c>
      <c r="G3222">
        <v>-196.87209999999999</v>
      </c>
      <c r="H3222" s="1">
        <v>-1.329765E-5</v>
      </c>
      <c r="I3222">
        <v>154.02770000000001</v>
      </c>
      <c r="J3222">
        <v>-187.93530000000001</v>
      </c>
      <c r="K3222">
        <v>1.1074870000000001</v>
      </c>
      <c r="L3222">
        <v>166.83189999999999</v>
      </c>
      <c r="M3222">
        <v>-0.1762118</v>
      </c>
      <c r="N3222">
        <v>0</v>
      </c>
      <c r="O3222">
        <v>-0.98426159999999996</v>
      </c>
      <c r="P3222">
        <v>-0.47931639999999998</v>
      </c>
      <c r="Q3222">
        <v>0.1665885</v>
      </c>
      <c r="R3222">
        <v>-0.86168709999999904</v>
      </c>
      <c r="S3222">
        <v>-1.7565</v>
      </c>
      <c r="T3222">
        <v>-0.21662890000000001</v>
      </c>
      <c r="U3222">
        <v>-2.5469819999999999</v>
      </c>
      <c r="V3222">
        <v>0.32118219999999997</v>
      </c>
      <c r="W3222">
        <v>0.17684449999999999</v>
      </c>
      <c r="X3222">
        <v>0.93035909999999999</v>
      </c>
      <c r="Y3222">
        <v>0.4123115</v>
      </c>
      <c r="Z3222">
        <v>7.1415770000000003E-2</v>
      </c>
      <c r="AA3222">
        <v>0.90823949999999998</v>
      </c>
      <c r="AB3222">
        <v>23</v>
      </c>
      <c r="AC3222">
        <v>-8.9367999999999697</v>
      </c>
      <c r="AD3222">
        <v>-1.1075002976499999</v>
      </c>
      <c r="AE3222">
        <v>-12.8041999999999</v>
      </c>
      <c r="AF3222">
        <v>6.5077431542503499</v>
      </c>
      <c r="AG3222">
        <v>-1.1075002976499999</v>
      </c>
      <c r="AH3222">
        <v>14.1077455697584</v>
      </c>
      <c r="AI3222">
        <v>94.077392840732102</v>
      </c>
      <c r="AJ3222">
        <v>65.236659348039694</v>
      </c>
      <c r="AK3222">
        <v>15.575806975307099</v>
      </c>
      <c r="AL3222">
        <v>79.813985680573794</v>
      </c>
      <c r="AM3222">
        <v>70.954102246124094</v>
      </c>
      <c r="AN3222">
        <v>1.0000000188649401</v>
      </c>
    </row>
    <row r="3223" spans="1:40" x14ac:dyDescent="0.25">
      <c r="A3223" t="str">
        <f>"20190312172725527"</f>
        <v>20190312172725527</v>
      </c>
      <c r="B3223" t="str">
        <f>"1552382845522567"</f>
        <v>1552382845522567</v>
      </c>
      <c r="C3223" t="s">
        <v>40</v>
      </c>
      <c r="D3223">
        <v>3.4501460000000002</v>
      </c>
      <c r="E3223">
        <v>0.53853519999999999</v>
      </c>
      <c r="F3223" t="s">
        <v>50</v>
      </c>
      <c r="G3223">
        <v>-197.03469999999999</v>
      </c>
      <c r="H3223" s="1">
        <v>-1.3242869999999999E-5</v>
      </c>
      <c r="I3223">
        <v>153.7526</v>
      </c>
      <c r="J3223">
        <v>-188.00530000000001</v>
      </c>
      <c r="K3223">
        <v>1.1075159999999999</v>
      </c>
      <c r="L3223">
        <v>166.4889</v>
      </c>
      <c r="M3223">
        <v>-0.18307290000000001</v>
      </c>
      <c r="N3223">
        <v>0</v>
      </c>
      <c r="O3223">
        <v>-0.98300860000000001</v>
      </c>
      <c r="P3223">
        <v>-0.4843672</v>
      </c>
      <c r="Q3223">
        <v>0.16638159999999999</v>
      </c>
      <c r="R3223">
        <v>-0.85889799999999905</v>
      </c>
      <c r="S3223">
        <v>-1.7671809999999999</v>
      </c>
      <c r="T3223">
        <v>-0.21508669999999999</v>
      </c>
      <c r="U3223">
        <v>-2.5401150000000001</v>
      </c>
      <c r="V3223">
        <v>0.3201312</v>
      </c>
      <c r="W3223">
        <v>0.17666899999999999</v>
      </c>
      <c r="X3223">
        <v>0.93075459999999999</v>
      </c>
      <c r="Y3223">
        <v>0.40970459999999898</v>
      </c>
      <c r="Z3223">
        <v>7.0896849999999997E-2</v>
      </c>
      <c r="AA3223">
        <v>0.90945909999999996</v>
      </c>
      <c r="AB3223">
        <v>23</v>
      </c>
      <c r="AC3223">
        <v>-9.0293999999999794</v>
      </c>
      <c r="AD3223">
        <v>-1.1075292428700001</v>
      </c>
      <c r="AE3223">
        <v>-12.7363</v>
      </c>
      <c r="AF3223">
        <v>6.5121185600159901</v>
      </c>
      <c r="AG3223">
        <v>-1.1075292428700001</v>
      </c>
      <c r="AH3223">
        <v>14.103221866857099</v>
      </c>
      <c r="AI3223">
        <v>94.078093898838603</v>
      </c>
      <c r="AJ3223">
        <v>65.215016209154797</v>
      </c>
      <c r="AK3223">
        <v>15.573540900813599</v>
      </c>
      <c r="AL3223">
        <v>79.824201992809705</v>
      </c>
      <c r="AM3223">
        <v>71.019446175759896</v>
      </c>
      <c r="AN3223">
        <v>1.0000000230977899</v>
      </c>
    </row>
    <row r="3224" spans="1:40" x14ac:dyDescent="0.25">
      <c r="A3224" t="str">
        <f>"20190312172725549"</f>
        <v>20190312172725549</v>
      </c>
      <c r="B3224" t="str">
        <f>"1552382845542088"</f>
        <v>1552382845542088</v>
      </c>
      <c r="C3224" t="s">
        <v>40</v>
      </c>
      <c r="D3224">
        <v>3.4437839999999902</v>
      </c>
      <c r="E3224">
        <v>0.53853909999999905</v>
      </c>
      <c r="F3224" t="s">
        <v>50</v>
      </c>
      <c r="G3224">
        <v>-197.06049999999999</v>
      </c>
      <c r="H3224" s="1">
        <v>-1.3215769999999999E-5</v>
      </c>
      <c r="I3224">
        <v>153.63589999999999</v>
      </c>
      <c r="J3224">
        <v>-188.05179999999999</v>
      </c>
      <c r="K3224">
        <v>1.1075379999999999</v>
      </c>
      <c r="L3224">
        <v>166.2679</v>
      </c>
      <c r="M3224">
        <v>-0.18746260000000001</v>
      </c>
      <c r="N3224">
        <v>0</v>
      </c>
      <c r="O3224">
        <v>-0.98218079999999996</v>
      </c>
      <c r="P3224">
        <v>-0.48796879999999998</v>
      </c>
      <c r="Q3224">
        <v>0.1669225</v>
      </c>
      <c r="R3224">
        <v>-0.85675140000000005</v>
      </c>
      <c r="S3224">
        <v>-1.7823639999999901</v>
      </c>
      <c r="T3224">
        <v>-0.21800050000000001</v>
      </c>
      <c r="U3224">
        <v>-2.529922</v>
      </c>
      <c r="V3224">
        <v>0.31989430000000002</v>
      </c>
      <c r="W3224">
        <v>0.1772251</v>
      </c>
      <c r="X3224">
        <v>0.93073030000000001</v>
      </c>
      <c r="Y3224">
        <v>0.41096440000000001</v>
      </c>
      <c r="Z3224">
        <v>7.1862239999999994E-2</v>
      </c>
      <c r="AA3224">
        <v>0.90881469999999998</v>
      </c>
      <c r="AB3224">
        <v>23</v>
      </c>
      <c r="AC3224">
        <v>-9.0086999999999993</v>
      </c>
      <c r="AD3224">
        <v>-1.10755121576999</v>
      </c>
      <c r="AE3224">
        <v>-12.632</v>
      </c>
      <c r="AF3224">
        <v>6.4478668116369899</v>
      </c>
      <c r="AG3224">
        <v>-1.10755121576999</v>
      </c>
      <c r="AH3224">
        <v>14.025491067305699</v>
      </c>
      <c r="AI3224">
        <v>94.103841093705697</v>
      </c>
      <c r="AJ3224">
        <v>65.3105826802541</v>
      </c>
      <c r="AK3224">
        <v>15.4763062710466</v>
      </c>
      <c r="AL3224">
        <v>79.7918286890621</v>
      </c>
      <c r="AM3224">
        <v>71.032027874987804</v>
      </c>
      <c r="AN3224">
        <v>0.99999999529029504</v>
      </c>
    </row>
    <row r="3225" spans="1:40" x14ac:dyDescent="0.25">
      <c r="A3225" t="str">
        <f>"20190312172725571"</f>
        <v>20190312172725571</v>
      </c>
      <c r="B3225" t="str">
        <f>"1552382845562587"</f>
        <v>1552382845562587</v>
      </c>
      <c r="C3225" t="s">
        <v>40</v>
      </c>
      <c r="D3225">
        <v>3.4633039999999999</v>
      </c>
      <c r="E3225">
        <v>0.53852489999999997</v>
      </c>
      <c r="F3225" t="s">
        <v>50</v>
      </c>
      <c r="G3225">
        <v>-197.1671</v>
      </c>
      <c r="H3225" s="1">
        <v>-1.3175959999999999E-5</v>
      </c>
      <c r="I3225">
        <v>153.44</v>
      </c>
      <c r="J3225">
        <v>-188.0984</v>
      </c>
      <c r="K3225">
        <v>1.1075649999999999</v>
      </c>
      <c r="L3225">
        <v>166.05070000000001</v>
      </c>
      <c r="M3225">
        <v>-0.19174939999999999</v>
      </c>
      <c r="N3225">
        <v>0</v>
      </c>
      <c r="O3225">
        <v>-0.98135320000000004</v>
      </c>
      <c r="P3225">
        <v>-0.49063390000000001</v>
      </c>
      <c r="Q3225">
        <v>0.16806760000000001</v>
      </c>
      <c r="R3225">
        <v>-0.85500429999999905</v>
      </c>
      <c r="S3225">
        <v>-1.792786</v>
      </c>
      <c r="T3225">
        <v>-0.2178303</v>
      </c>
      <c r="U3225">
        <v>-2.5229490000000001</v>
      </c>
      <c r="V3225">
        <v>0.31876549999999998</v>
      </c>
      <c r="W3225">
        <v>0.17839539999999901</v>
      </c>
      <c r="X3225">
        <v>0.930894</v>
      </c>
      <c r="Y3225">
        <v>0.41066940000000002</v>
      </c>
      <c r="Z3225">
        <v>7.1803400000000003E-2</v>
      </c>
      <c r="AA3225">
        <v>0.90895269999999995</v>
      </c>
      <c r="AB3225">
        <v>23</v>
      </c>
      <c r="AC3225">
        <v>-9.0686999999999998</v>
      </c>
      <c r="AD3225">
        <v>-1.1075781759600001</v>
      </c>
      <c r="AE3225">
        <v>-12.6107</v>
      </c>
      <c r="AF3225">
        <v>6.4492896897358403</v>
      </c>
      <c r="AG3225">
        <v>-1.1075781759600001</v>
      </c>
      <c r="AH3225">
        <v>14.044317837091601</v>
      </c>
      <c r="AI3225">
        <v>94.099256009305805</v>
      </c>
      <c r="AJ3225">
        <v>65.334944631917594</v>
      </c>
      <c r="AK3225">
        <v>15.493964322511101</v>
      </c>
      <c r="AL3225">
        <v>79.723689682597694</v>
      </c>
      <c r="AM3225">
        <v>71.097286992427001</v>
      </c>
      <c r="AN3225">
        <v>1.0000000009837</v>
      </c>
    </row>
    <row r="3226" spans="1:40" x14ac:dyDescent="0.25">
      <c r="A3226" t="str">
        <f>"20190312172725593"</f>
        <v>20190312172725593</v>
      </c>
      <c r="B3226" t="str">
        <f>"1552382845583079"</f>
        <v>1552382845583079</v>
      </c>
      <c r="C3226" t="s">
        <v>40</v>
      </c>
      <c r="D3226">
        <v>3.4576199999999999</v>
      </c>
      <c r="E3226">
        <v>0.53849969999999903</v>
      </c>
      <c r="F3226" t="s">
        <v>50</v>
      </c>
      <c r="G3226">
        <v>-197.36170000000001</v>
      </c>
      <c r="H3226" s="1">
        <v>-1.310838E-5</v>
      </c>
      <c r="I3226">
        <v>153.1028</v>
      </c>
      <c r="J3226">
        <v>-188.14699999999999</v>
      </c>
      <c r="K3226">
        <v>1.1075980000000001</v>
      </c>
      <c r="L3226">
        <v>165.82929999999999</v>
      </c>
      <c r="M3226">
        <v>-0.19609599999999999</v>
      </c>
      <c r="N3226">
        <v>0</v>
      </c>
      <c r="O3226">
        <v>-0.98049359999999997</v>
      </c>
      <c r="P3226">
        <v>-0.49356100000000003</v>
      </c>
      <c r="Q3226">
        <v>0.1689515</v>
      </c>
      <c r="R3226">
        <v>-0.85314319999999899</v>
      </c>
      <c r="S3226">
        <v>-1.801132</v>
      </c>
      <c r="T3226">
        <v>-0.21535480000000001</v>
      </c>
      <c r="U3226">
        <v>-2.5175480000000001</v>
      </c>
      <c r="V3226">
        <v>0.31785849999999999</v>
      </c>
      <c r="W3226">
        <v>0.17930179999999901</v>
      </c>
      <c r="X3226">
        <v>0.93103000000000002</v>
      </c>
      <c r="Y3226">
        <v>0.409582</v>
      </c>
      <c r="Z3226">
        <v>7.0977869999999998E-2</v>
      </c>
      <c r="AA3226">
        <v>0.90950790000000004</v>
      </c>
      <c r="AB3226">
        <v>23</v>
      </c>
      <c r="AC3226">
        <v>-9.2146999999999899</v>
      </c>
      <c r="AD3226">
        <v>-1.10761110837999</v>
      </c>
      <c r="AE3226">
        <v>-12.7264999999999</v>
      </c>
      <c r="AF3226">
        <v>6.5075844917045096</v>
      </c>
      <c r="AG3226">
        <v>-1.10761110837999</v>
      </c>
      <c r="AH3226">
        <v>14.2158505351141</v>
      </c>
      <c r="AI3226">
        <v>94.052281932455699</v>
      </c>
      <c r="AJ3226">
        <v>65.403132287675504</v>
      </c>
      <c r="AK3226">
        <v>15.673731678218299</v>
      </c>
      <c r="AL3226">
        <v>79.670905836388897</v>
      </c>
      <c r="AM3226">
        <v>71.149827529759605</v>
      </c>
      <c r="AN3226">
        <v>1.0000000112027401</v>
      </c>
    </row>
    <row r="3227" spans="1:40" x14ac:dyDescent="0.25">
      <c r="A3227" t="str">
        <f>"20190312172725615"</f>
        <v>20190312172725615</v>
      </c>
      <c r="B3227" t="str">
        <f>"1552382845612359"</f>
        <v>1552382845612359</v>
      </c>
      <c r="C3227" t="s">
        <v>40</v>
      </c>
      <c r="D3227">
        <v>3.4032390000000001</v>
      </c>
      <c r="E3227">
        <v>0.53845949999999998</v>
      </c>
      <c r="F3227" t="s">
        <v>50</v>
      </c>
      <c r="G3227">
        <v>-197.53729999999999</v>
      </c>
      <c r="H3227" s="1">
        <v>-1.304818E-5</v>
      </c>
      <c r="I3227">
        <v>152.80170000000001</v>
      </c>
      <c r="J3227">
        <v>-188.1944</v>
      </c>
      <c r="K3227">
        <v>1.1076239999999999</v>
      </c>
      <c r="L3227">
        <v>165.6174</v>
      </c>
      <c r="M3227">
        <v>-0.20023969999999999</v>
      </c>
      <c r="N3227">
        <v>0</v>
      </c>
      <c r="O3227">
        <v>-0.97965599999999997</v>
      </c>
      <c r="P3227">
        <v>-0.49593140000000002</v>
      </c>
      <c r="Q3227">
        <v>0.17007320000000001</v>
      </c>
      <c r="R3227">
        <v>-0.85154430000000003</v>
      </c>
      <c r="S3227">
        <v>-1.8102419999999999</v>
      </c>
      <c r="T3227">
        <v>-0.2135222</v>
      </c>
      <c r="U3227">
        <v>-2.5114290000000001</v>
      </c>
      <c r="V3227">
        <v>0.31655109999999997</v>
      </c>
      <c r="W3227">
        <v>0.1804473</v>
      </c>
      <c r="X3227">
        <v>0.93125409999999997</v>
      </c>
      <c r="Y3227">
        <v>0.40897489999999997</v>
      </c>
      <c r="Z3227">
        <v>7.0367689999999997E-2</v>
      </c>
      <c r="AA3227">
        <v>0.90982850000000004</v>
      </c>
      <c r="AB3227">
        <v>23</v>
      </c>
      <c r="AC3227">
        <v>-9.3428999999999807</v>
      </c>
      <c r="AD3227">
        <v>-1.10763704818</v>
      </c>
      <c r="AE3227">
        <v>-12.8156999999999</v>
      </c>
      <c r="AF3227">
        <v>6.5552295483803</v>
      </c>
      <c r="AG3227">
        <v>-1.10763704818</v>
      </c>
      <c r="AH3227">
        <v>14.3570550245324</v>
      </c>
      <c r="AI3227">
        <v>94.014442006611304</v>
      </c>
      <c r="AJ3227">
        <v>65.459227291782597</v>
      </c>
      <c r="AK3227">
        <v>15.8215967348403</v>
      </c>
      <c r="AL3227">
        <v>79.604185293399397</v>
      </c>
      <c r="AM3227">
        <v>71.226119347913098</v>
      </c>
      <c r="AN3227">
        <v>1.0000000128776501</v>
      </c>
    </row>
    <row r="3228" spans="1:40" x14ac:dyDescent="0.25">
      <c r="A3228" t="str">
        <f>"20190312172725637"</f>
        <v>20190312172725637</v>
      </c>
      <c r="B3228" t="str">
        <f>"1552382845632856"</f>
        <v>1552382845632856</v>
      </c>
      <c r="C3228" t="s">
        <v>40</v>
      </c>
      <c r="D3228">
        <v>2.9934180000000001</v>
      </c>
      <c r="E3228">
        <v>0.53856309999999996</v>
      </c>
      <c r="F3228" t="s">
        <v>50</v>
      </c>
      <c r="G3228">
        <v>-197.69110000000001</v>
      </c>
      <c r="H3228" s="1">
        <v>-1.299216E-5</v>
      </c>
      <c r="I3228">
        <v>152.5248</v>
      </c>
      <c r="J3228">
        <v>-188.24510000000001</v>
      </c>
      <c r="K3228">
        <v>1.1076410000000001</v>
      </c>
      <c r="L3228">
        <v>165.39510000000001</v>
      </c>
      <c r="M3228">
        <v>-0.20456630000000001</v>
      </c>
      <c r="N3228">
        <v>0</v>
      </c>
      <c r="O3228">
        <v>-0.97876169999999996</v>
      </c>
      <c r="P3228">
        <v>-0.4989594</v>
      </c>
      <c r="Q3228">
        <v>0.17010249999999999</v>
      </c>
      <c r="R3228">
        <v>-0.84976770000000001</v>
      </c>
      <c r="S3228">
        <v>-1.81813</v>
      </c>
      <c r="T3228">
        <v>-0.21205450000000001</v>
      </c>
      <c r="U3228">
        <v>-2.5065309999999998</v>
      </c>
      <c r="V3228">
        <v>0.31574289999999999</v>
      </c>
      <c r="W3228">
        <v>0.18049599999999999</v>
      </c>
      <c r="X3228">
        <v>0.93151899999999999</v>
      </c>
      <c r="Y3228">
        <v>0.40768720000000003</v>
      </c>
      <c r="Z3228">
        <v>6.9863510000000004E-2</v>
      </c>
      <c r="AA3228">
        <v>0.91044510000000001</v>
      </c>
      <c r="AB3228">
        <v>23</v>
      </c>
      <c r="AC3228">
        <v>-9.4459999999999908</v>
      </c>
      <c r="AD3228">
        <v>-1.1076539921599999</v>
      </c>
      <c r="AE3228">
        <v>-12.8703</v>
      </c>
      <c r="AF3228">
        <v>6.5814607519103303</v>
      </c>
      <c r="AG3228">
        <v>-1.1076539921599999</v>
      </c>
      <c r="AH3228">
        <v>14.4609724000897</v>
      </c>
      <c r="AI3228">
        <v>93.987948581907105</v>
      </c>
      <c r="AJ3228">
        <v>65.528824736137494</v>
      </c>
      <c r="AK3228">
        <v>15.926777632385001</v>
      </c>
      <c r="AL3228">
        <v>79.601348442130401</v>
      </c>
      <c r="AM3228">
        <v>71.275660480919896</v>
      </c>
      <c r="AN3228">
        <v>1.0000000161386999</v>
      </c>
    </row>
    <row r="3229" spans="1:40" x14ac:dyDescent="0.25">
      <c r="A3229" t="str">
        <f>"20190312172725772"</f>
        <v>20190312172725772</v>
      </c>
      <c r="B3229" t="str">
        <f>"1552382845762663"</f>
        <v>1552382845762663</v>
      </c>
      <c r="C3229" t="s">
        <v>40</v>
      </c>
      <c r="D3229">
        <v>3.1587230000000002</v>
      </c>
      <c r="E3229">
        <v>0.54628409999999905</v>
      </c>
      <c r="F3229" t="s">
        <v>50</v>
      </c>
      <c r="G3229">
        <v>-197.77969999999999</v>
      </c>
      <c r="H3229" s="1">
        <v>-1.295632E-5</v>
      </c>
      <c r="I3229">
        <v>152.35120000000001</v>
      </c>
      <c r="J3229">
        <v>-188.5676</v>
      </c>
      <c r="K3229">
        <v>1.107774</v>
      </c>
      <c r="L3229">
        <v>164.07210000000001</v>
      </c>
      <c r="M3229">
        <v>-0.22989789999999999</v>
      </c>
      <c r="N3229">
        <v>0</v>
      </c>
      <c r="O3229">
        <v>-0.97312359999999998</v>
      </c>
      <c r="P3229">
        <v>-0.51655209999999996</v>
      </c>
      <c r="Q3229">
        <v>0.17233129999999999</v>
      </c>
      <c r="R3229">
        <v>-0.83873500000000001</v>
      </c>
      <c r="S3229">
        <v>-1.8273470000000001</v>
      </c>
      <c r="T3229">
        <v>-0.21228530000000001</v>
      </c>
      <c r="U3229">
        <v>-2.499908</v>
      </c>
      <c r="V3229">
        <v>0.31101960000000001</v>
      </c>
      <c r="W3229">
        <v>0.1828457</v>
      </c>
      <c r="X3229">
        <v>0.93264899999999995</v>
      </c>
      <c r="Y3229">
        <v>0.38723829999999998</v>
      </c>
      <c r="Z3229">
        <v>6.9739499999999996E-2</v>
      </c>
      <c r="AA3229">
        <v>0.91933830000000005</v>
      </c>
      <c r="AB3229">
        <v>22</v>
      </c>
      <c r="AC3229">
        <v>-9.2120999999999906</v>
      </c>
      <c r="AD3229">
        <v>-1.10778695632</v>
      </c>
      <c r="AE3229">
        <v>-11.7209</v>
      </c>
      <c r="AF3229">
        <v>6.23602339892172</v>
      </c>
      <c r="AG3229">
        <v>-1.10778695632</v>
      </c>
      <c r="AH3229">
        <v>13.450653962747699</v>
      </c>
      <c r="AI3229">
        <v>94.273175972819601</v>
      </c>
      <c r="AJ3229">
        <v>65.126508356785706</v>
      </c>
      <c r="AK3229">
        <v>14.867255018935801</v>
      </c>
      <c r="AL3229">
        <v>79.464441604149599</v>
      </c>
      <c r="AM3229">
        <v>71.557498889347201</v>
      </c>
      <c r="AN3229">
        <v>0.99999994939682302</v>
      </c>
    </row>
    <row r="3230" spans="1:40" x14ac:dyDescent="0.25">
      <c r="A3230" t="str">
        <f>"20190312172725794"</f>
        <v>20190312172725794</v>
      </c>
      <c r="B3230" t="str">
        <f>"1552382845792920"</f>
        <v>1552382845792920</v>
      </c>
      <c r="C3230" t="s">
        <v>40</v>
      </c>
      <c r="D3230">
        <v>3.4852289999999999</v>
      </c>
      <c r="E3230">
        <v>0.54469599999999996</v>
      </c>
      <c r="F3230" t="s">
        <v>50</v>
      </c>
      <c r="G3230">
        <v>-192.15</v>
      </c>
      <c r="H3230" s="1">
        <v>-1.4961380000000001E-5</v>
      </c>
      <c r="I3230">
        <v>159.5522</v>
      </c>
      <c r="J3230">
        <v>-188.62379999999999</v>
      </c>
      <c r="K3230">
        <v>1.1077969999999999</v>
      </c>
      <c r="L3230">
        <v>163.85579999999999</v>
      </c>
      <c r="M3230">
        <v>-0.2339543</v>
      </c>
      <c r="N3230">
        <v>0</v>
      </c>
      <c r="O3230">
        <v>-0.97215629999999997</v>
      </c>
      <c r="P3230">
        <v>-0.51938119999999999</v>
      </c>
      <c r="Q3230">
        <v>0.17275460000000001</v>
      </c>
      <c r="R3230">
        <v>-0.83689880000000005</v>
      </c>
      <c r="S3230">
        <v>-1.9717249999999999</v>
      </c>
      <c r="T3230">
        <v>-0.60972709999999997</v>
      </c>
      <c r="U3230">
        <v>-2.4877470000000002</v>
      </c>
      <c r="V3230">
        <v>0.31029000000000001</v>
      </c>
      <c r="W3230">
        <v>0.1832896</v>
      </c>
      <c r="X3230">
        <v>0.93280490000000005</v>
      </c>
      <c r="Y3230">
        <v>0.40870329999999999</v>
      </c>
      <c r="Z3230">
        <v>0.19303329999999999</v>
      </c>
      <c r="AA3230">
        <v>0.89202000000000004</v>
      </c>
      <c r="AB3230">
        <v>22</v>
      </c>
      <c r="AC3230">
        <v>-3.52620000000001</v>
      </c>
      <c r="AD3230">
        <v>-1.1078119613799999</v>
      </c>
      <c r="AE3230">
        <v>-4.3035999999999799</v>
      </c>
      <c r="AF3230">
        <v>2.3290490359272402</v>
      </c>
      <c r="AG3230">
        <v>-1.1078119613799999</v>
      </c>
      <c r="AH3230">
        <v>4.8181646919401304</v>
      </c>
      <c r="AI3230">
        <v>101.695456505351</v>
      </c>
      <c r="AJ3230">
        <v>64.201376296323204</v>
      </c>
      <c r="AK3230">
        <v>5.46501855003154</v>
      </c>
      <c r="AL3230">
        <v>79.438571033947596</v>
      </c>
      <c r="AM3230">
        <v>71.600712843322398</v>
      </c>
      <c r="AN3230">
        <v>0.999999971516084</v>
      </c>
    </row>
    <row r="3231" spans="1:40" x14ac:dyDescent="0.25">
      <c r="A3231" t="str">
        <f>"20190312172725816"</f>
        <v>20190312172725816</v>
      </c>
      <c r="B3231" t="str">
        <f>"1552382845812440"</f>
        <v>1552382845812440</v>
      </c>
      <c r="C3231" t="s">
        <v>40</v>
      </c>
      <c r="D3231">
        <v>3.5364309999999999</v>
      </c>
      <c r="E3231">
        <v>0.54377089999999995</v>
      </c>
      <c r="F3231" t="s">
        <v>50</v>
      </c>
      <c r="G3231">
        <v>-192.584</v>
      </c>
      <c r="H3231" s="1">
        <v>-1.478542E-5</v>
      </c>
      <c r="I3231">
        <v>158.85299999999901</v>
      </c>
      <c r="J3231">
        <v>-188.67930000000001</v>
      </c>
      <c r="K3231">
        <v>1.1078319999999999</v>
      </c>
      <c r="L3231">
        <v>163.64529999999999</v>
      </c>
      <c r="M3231">
        <v>-0.23787759999999999</v>
      </c>
      <c r="N3231">
        <v>0</v>
      </c>
      <c r="O3231">
        <v>-0.97120390000000001</v>
      </c>
      <c r="P3231">
        <v>-0.5222774</v>
      </c>
      <c r="Q3231">
        <v>0.173954</v>
      </c>
      <c r="R3231">
        <v>-0.83484550000000002</v>
      </c>
      <c r="S3231">
        <v>-1.9630129999999999</v>
      </c>
      <c r="T3231">
        <v>-0.54911540000000003</v>
      </c>
      <c r="U3231">
        <v>-2.4797820000000002</v>
      </c>
      <c r="V3231">
        <v>0.30981189999999997</v>
      </c>
      <c r="W3231">
        <v>0.18450259999999999</v>
      </c>
      <c r="X3231">
        <v>0.93272469999999996</v>
      </c>
      <c r="Y3231">
        <v>0.40662239999999999</v>
      </c>
      <c r="Z3231">
        <v>0.17495649999999999</v>
      </c>
      <c r="AA3231">
        <v>0.89668740000000002</v>
      </c>
      <c r="AB3231">
        <v>22</v>
      </c>
      <c r="AC3231">
        <v>-3.9046999999999898</v>
      </c>
      <c r="AD3231">
        <v>-1.10784678542</v>
      </c>
      <c r="AE3231">
        <v>-4.7923000000000098</v>
      </c>
      <c r="AF3231">
        <v>2.5699714260609698</v>
      </c>
      <c r="AG3231">
        <v>-1.10784678542</v>
      </c>
      <c r="AH3231">
        <v>5.4098806665424704</v>
      </c>
      <c r="AI3231">
        <v>100.479633100732</v>
      </c>
      <c r="AJ3231">
        <v>64.589878721379307</v>
      </c>
      <c r="AK3231">
        <v>6.09088552321953</v>
      </c>
      <c r="AL3231">
        <v>79.367865656696196</v>
      </c>
      <c r="AM3231">
        <v>71.625683930402204</v>
      </c>
      <c r="AN3231">
        <v>0.99999999438923004</v>
      </c>
    </row>
    <row r="3232" spans="1:40" x14ac:dyDescent="0.25">
      <c r="A3232" t="str">
        <f>"20190312172725838"</f>
        <v>20190312172725838</v>
      </c>
      <c r="B3232" t="str">
        <f>"1552382845831960"</f>
        <v>1552382845831960</v>
      </c>
      <c r="C3232" t="s">
        <v>40</v>
      </c>
      <c r="D3232">
        <v>3.4233989999999999</v>
      </c>
      <c r="E3232">
        <v>0.54393930000000001</v>
      </c>
      <c r="F3232" t="s">
        <v>50</v>
      </c>
      <c r="G3232">
        <v>-202.3289</v>
      </c>
      <c r="H3232" s="1">
        <v>-1.048652E-5</v>
      </c>
      <c r="I3232">
        <v>146.51249999999999</v>
      </c>
      <c r="J3232">
        <v>-188.73820000000001</v>
      </c>
      <c r="K3232">
        <v>1.1078600000000001</v>
      </c>
      <c r="L3232">
        <v>163.42519999999999</v>
      </c>
      <c r="M3232">
        <v>-0.24195510000000001</v>
      </c>
      <c r="N3232">
        <v>0</v>
      </c>
      <c r="O3232">
        <v>-0.97019610000000001</v>
      </c>
      <c r="P3232">
        <v>-0.52528240000000004</v>
      </c>
      <c r="Q3232">
        <v>0.17545639999999901</v>
      </c>
      <c r="R3232">
        <v>-0.83264259999999901</v>
      </c>
      <c r="S3232">
        <v>-1.9279790000000001</v>
      </c>
      <c r="T3232">
        <v>-0.15648039999999999</v>
      </c>
      <c r="U3232">
        <v>-2.4199679999999999</v>
      </c>
      <c r="V3232">
        <v>0.30933070000000001</v>
      </c>
      <c r="W3232">
        <v>0.18601760000000001</v>
      </c>
      <c r="X3232">
        <v>0.93258350000000001</v>
      </c>
      <c r="Y3232">
        <v>0.41449970000000003</v>
      </c>
      <c r="Z3232">
        <v>5.1664990000000001E-2</v>
      </c>
      <c r="AA3232">
        <v>0.90858170000000005</v>
      </c>
      <c r="AB3232">
        <v>22</v>
      </c>
      <c r="AC3232">
        <v>-13.590699999999901</v>
      </c>
      <c r="AD3232">
        <v>-1.10787048652</v>
      </c>
      <c r="AE3232">
        <v>-16.912700000000001</v>
      </c>
      <c r="AF3232">
        <v>9.0706861789524798</v>
      </c>
      <c r="AG3232">
        <v>-1.10787048652</v>
      </c>
      <c r="AH3232">
        <v>19.647493813293199</v>
      </c>
      <c r="AI3232">
        <v>92.930690318998799</v>
      </c>
      <c r="AJ3232">
        <v>65.218580033034996</v>
      </c>
      <c r="AK3232">
        <v>21.6686118132966</v>
      </c>
      <c r="AL3232">
        <v>79.279533604745694</v>
      </c>
      <c r="AM3232">
        <v>71.649718307944397</v>
      </c>
      <c r="AN3232">
        <v>1.0000000069722501</v>
      </c>
    </row>
    <row r="3233" spans="1:40" x14ac:dyDescent="0.25">
      <c r="A3233" t="str">
        <f>"20190312172725872"</f>
        <v>20190312172725872</v>
      </c>
      <c r="B3233" t="str">
        <f>"1552382845862215"</f>
        <v>1552382845862215</v>
      </c>
      <c r="C3233" t="s">
        <v>40</v>
      </c>
      <c r="D3233">
        <v>3.3908870000000002</v>
      </c>
      <c r="E3233">
        <v>0.54487989999999997</v>
      </c>
      <c r="F3233" t="s">
        <v>50</v>
      </c>
      <c r="G3233">
        <v>-201.63239999999999</v>
      </c>
      <c r="H3233" s="1">
        <v>-1.1051860000000001E-5</v>
      </c>
      <c r="I3233">
        <v>147.37459999999999</v>
      </c>
      <c r="J3233">
        <v>-188.82810000000001</v>
      </c>
      <c r="K3233">
        <v>1.1078950000000001</v>
      </c>
      <c r="L3233">
        <v>163.09649999999999</v>
      </c>
      <c r="M3233">
        <v>-0.24800369999999999</v>
      </c>
      <c r="N3233">
        <v>0</v>
      </c>
      <c r="O3233">
        <v>-0.96866770000000002</v>
      </c>
      <c r="P3233">
        <v>-0.52988480000000004</v>
      </c>
      <c r="Q3233">
        <v>0.176833399999999</v>
      </c>
      <c r="R3233">
        <v>-0.82942909999999903</v>
      </c>
      <c r="S3233">
        <v>-1.9396359999999999</v>
      </c>
      <c r="T3233">
        <v>-0.16665489999999999</v>
      </c>
      <c r="U3233">
        <v>-2.4144589999999999</v>
      </c>
      <c r="V3233">
        <v>0.30874269999999998</v>
      </c>
      <c r="W3233">
        <v>0.18741260000000001</v>
      </c>
      <c r="X3233">
        <v>0.93249910000000003</v>
      </c>
      <c r="Y3233">
        <v>0.4123928</v>
      </c>
      <c r="Z3233">
        <v>5.4935079999999997E-2</v>
      </c>
      <c r="AA3233">
        <v>0.9093483</v>
      </c>
      <c r="AB3233">
        <v>22</v>
      </c>
      <c r="AC3233">
        <v>-12.8042999999999</v>
      </c>
      <c r="AD3233">
        <v>-1.1079060518599999</v>
      </c>
      <c r="AE3233">
        <v>-15.7219</v>
      </c>
      <c r="AF3233">
        <v>8.4794592908496593</v>
      </c>
      <c r="AG3233">
        <v>-1.1079060518599999</v>
      </c>
      <c r="AH3233">
        <v>18.3516497076502</v>
      </c>
      <c r="AI3233">
        <v>93.136876174800904</v>
      </c>
      <c r="AJ3233">
        <v>65.200497433527701</v>
      </c>
      <c r="AK3233">
        <v>20.246277007816101</v>
      </c>
      <c r="AL3233">
        <v>79.198175744694197</v>
      </c>
      <c r="AM3233">
        <v>71.680722002639001</v>
      </c>
      <c r="AN3233">
        <v>1.00000005447142</v>
      </c>
    </row>
    <row r="3234" spans="1:40" x14ac:dyDescent="0.25">
      <c r="A3234" t="str">
        <f>"20190312172725894"</f>
        <v>20190312172725894</v>
      </c>
      <c r="B3234" t="str">
        <f>"1552382845892472"</f>
        <v>1552382845892472</v>
      </c>
      <c r="C3234" t="s">
        <v>40</v>
      </c>
      <c r="D3234">
        <v>3.404426</v>
      </c>
      <c r="E3234">
        <v>0.54529519999999998</v>
      </c>
      <c r="F3234" t="s">
        <v>50</v>
      </c>
      <c r="G3234">
        <v>-201.8964</v>
      </c>
      <c r="H3234" s="1">
        <v>-1.084923E-5</v>
      </c>
      <c r="I3234">
        <v>147.08709999999999</v>
      </c>
      <c r="J3234">
        <v>-188.88669999999999</v>
      </c>
      <c r="K3234">
        <v>1.1079159999999999</v>
      </c>
      <c r="L3234">
        <v>162.88640000000001</v>
      </c>
      <c r="M3234">
        <v>-0.25184610000000002</v>
      </c>
      <c r="N3234">
        <v>0</v>
      </c>
      <c r="O3234">
        <v>-0.96767570000000003</v>
      </c>
      <c r="P3234">
        <v>-0.53293809999999997</v>
      </c>
      <c r="Q3234">
        <v>0.17758589999999999</v>
      </c>
      <c r="R3234">
        <v>-0.82730919999999897</v>
      </c>
      <c r="S3234">
        <v>-1.9595180000000001</v>
      </c>
      <c r="T3234">
        <v>-0.16612389999999999</v>
      </c>
      <c r="U3234">
        <v>-2.4005130000000001</v>
      </c>
      <c r="V3234">
        <v>0.3085155</v>
      </c>
      <c r="W3234">
        <v>0.18817510000000001</v>
      </c>
      <c r="X3234">
        <v>0.93242069999999999</v>
      </c>
      <c r="Y3234">
        <v>0.41589399999999999</v>
      </c>
      <c r="Z3234">
        <v>5.4749590000000001E-2</v>
      </c>
      <c r="AA3234">
        <v>0.90776349999999995</v>
      </c>
      <c r="AB3234">
        <v>22</v>
      </c>
      <c r="AC3234">
        <v>-13.0097</v>
      </c>
      <c r="AD3234">
        <v>-1.1079268492299901</v>
      </c>
      <c r="AE3234">
        <v>-15.799300000000001</v>
      </c>
      <c r="AF3234">
        <v>8.5857810908795997</v>
      </c>
      <c r="AG3234">
        <v>-1.1079268492299901</v>
      </c>
      <c r="AH3234">
        <v>18.512435912880601</v>
      </c>
      <c r="AI3234">
        <v>93.1076969534966</v>
      </c>
      <c r="AJ3234">
        <v>65.118859918491097</v>
      </c>
      <c r="AK3234">
        <v>20.436570707245899</v>
      </c>
      <c r="AL3234">
        <v>79.153695999895206</v>
      </c>
      <c r="AM3234">
        <v>71.691867084423905</v>
      </c>
      <c r="AN3234">
        <v>1.0000000218943701</v>
      </c>
    </row>
    <row r="3235" spans="1:40" x14ac:dyDescent="0.25">
      <c r="A3235" t="str">
        <f>"20190312172725915"</f>
        <v>20190312172725915</v>
      </c>
      <c r="B3235" t="str">
        <f>"1552382845911992"</f>
        <v>1552382845911992</v>
      </c>
      <c r="C3235" t="s">
        <v>40</v>
      </c>
      <c r="D3235">
        <v>3.4119470000000001</v>
      </c>
      <c r="E3235">
        <v>0.54523969999999999</v>
      </c>
      <c r="F3235" t="s">
        <v>50</v>
      </c>
      <c r="G3235">
        <v>-201.60740000000001</v>
      </c>
      <c r="H3235" s="1">
        <v>-1.10845899999999E-5</v>
      </c>
      <c r="I3235">
        <v>147.44739999999999</v>
      </c>
      <c r="J3235">
        <v>-188.94470000000001</v>
      </c>
      <c r="K3235">
        <v>1.1079410000000001</v>
      </c>
      <c r="L3235">
        <v>162.6814</v>
      </c>
      <c r="M3235">
        <v>-0.25558350000000002</v>
      </c>
      <c r="N3235">
        <v>0</v>
      </c>
      <c r="O3235">
        <v>-0.96669539999999998</v>
      </c>
      <c r="P3235">
        <v>-0.53570099999999998</v>
      </c>
      <c r="Q3235">
        <v>0.17853949999999999</v>
      </c>
      <c r="R3235">
        <v>-0.82531699999999997</v>
      </c>
      <c r="S3235">
        <v>-1.9716640000000001</v>
      </c>
      <c r="T3235">
        <v>-0.17172419999999999</v>
      </c>
      <c r="U3235">
        <v>-2.3929900000000002</v>
      </c>
      <c r="V3235">
        <v>0.30807960000000001</v>
      </c>
      <c r="W3235">
        <v>0.18913969999999999</v>
      </c>
      <c r="X3235">
        <v>0.93236960000000002</v>
      </c>
      <c r="Y3235">
        <v>0.41646329999999998</v>
      </c>
      <c r="Z3235">
        <v>5.6551360000000002E-2</v>
      </c>
      <c r="AA3235">
        <v>0.90739199999999998</v>
      </c>
      <c r="AB3235">
        <v>22</v>
      </c>
      <c r="AC3235">
        <v>-12.662699999999999</v>
      </c>
      <c r="AD3235">
        <v>-1.1079520845899999</v>
      </c>
      <c r="AE3235">
        <v>-15.234</v>
      </c>
      <c r="AF3235">
        <v>8.3221208512687994</v>
      </c>
      <c r="AG3235">
        <v>-1.1079520845899999</v>
      </c>
      <c r="AH3235">
        <v>17.908584209814599</v>
      </c>
      <c r="AI3235">
        <v>93.211220392358697</v>
      </c>
      <c r="AJ3235">
        <v>65.075702167909498</v>
      </c>
      <c r="AK3235">
        <v>19.778843284805401</v>
      </c>
      <c r="AL3235">
        <v>79.097417313044602</v>
      </c>
      <c r="AM3235">
        <v>71.715077326658502</v>
      </c>
      <c r="AN3235">
        <v>0.99999996852820405</v>
      </c>
    </row>
    <row r="3236" spans="1:40" x14ac:dyDescent="0.25">
      <c r="A3236" t="str">
        <f>"20190312172725940"</f>
        <v>20190312172725940</v>
      </c>
      <c r="B3236" t="str">
        <f>"1552382845932488"</f>
        <v>1552382845932488</v>
      </c>
      <c r="C3236" t="s">
        <v>40</v>
      </c>
      <c r="D3236">
        <v>3.4136869999999999</v>
      </c>
      <c r="E3236">
        <v>0.54531280000000004</v>
      </c>
      <c r="F3236" t="s">
        <v>50</v>
      </c>
      <c r="G3236">
        <v>-201.51320000000001</v>
      </c>
      <c r="H3236" s="1">
        <v>-1.1150499999999999E-5</v>
      </c>
      <c r="I3236">
        <v>147.52850000000001</v>
      </c>
      <c r="J3236">
        <v>-189.01150000000001</v>
      </c>
      <c r="K3236">
        <v>1.1079589999999999</v>
      </c>
      <c r="L3236">
        <v>162.44890000000001</v>
      </c>
      <c r="M3236">
        <v>-0.25980619999999999</v>
      </c>
      <c r="N3236">
        <v>0</v>
      </c>
      <c r="O3236">
        <v>-0.96556929999999996</v>
      </c>
      <c r="P3236">
        <v>-0.53891099999999903</v>
      </c>
      <c r="Q3236">
        <v>0.17937990000000001</v>
      </c>
      <c r="R3236">
        <v>-0.8230421</v>
      </c>
      <c r="S3236">
        <v>-1.9802249999999999</v>
      </c>
      <c r="T3236">
        <v>-0.17456279999999999</v>
      </c>
      <c r="U3236">
        <v>-2.3874050000000002</v>
      </c>
      <c r="V3236">
        <v>0.30767929999999999</v>
      </c>
      <c r="W3236">
        <v>0.1899914</v>
      </c>
      <c r="X3236">
        <v>0.93232859999999995</v>
      </c>
      <c r="Y3236">
        <v>0.4154291</v>
      </c>
      <c r="Z3236">
        <v>5.7442109999999998E-2</v>
      </c>
      <c r="AA3236">
        <v>0.90781000000000001</v>
      </c>
      <c r="AB3236">
        <v>22</v>
      </c>
      <c r="AC3236">
        <v>-12.5017</v>
      </c>
      <c r="AD3236">
        <v>-1.1079701504999999</v>
      </c>
      <c r="AE3236">
        <v>-14.920400000000001</v>
      </c>
      <c r="AF3236">
        <v>8.1691029458060793</v>
      </c>
      <c r="AG3236">
        <v>-1.1079701504999999</v>
      </c>
      <c r="AH3236">
        <v>17.599240909989</v>
      </c>
      <c r="AI3236">
        <v>93.268252077276003</v>
      </c>
      <c r="AJ3236">
        <v>65.100516125998595</v>
      </c>
      <c r="AK3236">
        <v>19.4343798820906</v>
      </c>
      <c r="AL3236">
        <v>79.047717143958906</v>
      </c>
      <c r="AM3236">
        <v>71.736508095170393</v>
      </c>
      <c r="AN3236">
        <v>0.99999995105020301</v>
      </c>
    </row>
    <row r="3237" spans="1:40" x14ac:dyDescent="0.25">
      <c r="A3237" t="str">
        <f>"20190312172725962"</f>
        <v>20190312172725962</v>
      </c>
      <c r="B3237" t="str">
        <f>"1552382845952007"</f>
        <v>1552382845952007</v>
      </c>
      <c r="C3237" t="s">
        <v>40</v>
      </c>
      <c r="D3237">
        <v>3.380557</v>
      </c>
      <c r="E3237">
        <v>0.54534969999999905</v>
      </c>
      <c r="F3237" t="s">
        <v>50</v>
      </c>
      <c r="G3237">
        <v>-201.47380000000001</v>
      </c>
      <c r="H3237" s="1">
        <v>-1.1176359999999999E-5</v>
      </c>
      <c r="I3237">
        <v>147.55670000000001</v>
      </c>
      <c r="J3237">
        <v>-189.07509999999999</v>
      </c>
      <c r="K3237">
        <v>1.1079749999999999</v>
      </c>
      <c r="L3237">
        <v>162.23070000000001</v>
      </c>
      <c r="M3237">
        <v>-0.26375130000000002</v>
      </c>
      <c r="N3237">
        <v>0</v>
      </c>
      <c r="O3237">
        <v>-0.96449890000000005</v>
      </c>
      <c r="P3237">
        <v>-0.54211129999999996</v>
      </c>
      <c r="Q3237">
        <v>0.1794867</v>
      </c>
      <c r="R3237">
        <v>-0.82091389999999997</v>
      </c>
      <c r="S3237">
        <v>-1.991409</v>
      </c>
      <c r="T3237">
        <v>-0.17704800000000001</v>
      </c>
      <c r="U3237">
        <v>-2.3796840000000001</v>
      </c>
      <c r="V3237">
        <v>0.30749769999999998</v>
      </c>
      <c r="W3237">
        <v>0.19010740000000001</v>
      </c>
      <c r="X3237">
        <v>0.93236490000000005</v>
      </c>
      <c r="Y3237">
        <v>0.41564259999999997</v>
      </c>
      <c r="Z3237">
        <v>5.8224379999999999E-2</v>
      </c>
      <c r="AA3237">
        <v>0.90766250000000004</v>
      </c>
      <c r="AB3237">
        <v>22</v>
      </c>
      <c r="AC3237">
        <v>-12.3987</v>
      </c>
      <c r="AD3237">
        <v>-1.1079861763600001</v>
      </c>
      <c r="AE3237">
        <v>-14.673999999999999</v>
      </c>
      <c r="AF3237">
        <v>8.0621441613761498</v>
      </c>
      <c r="AG3237">
        <v>-1.1079861763600001</v>
      </c>
      <c r="AH3237">
        <v>17.367003175136801</v>
      </c>
      <c r="AI3237">
        <v>93.3118464287043</v>
      </c>
      <c r="AJ3237">
        <v>65.098236588602902</v>
      </c>
      <c r="AK3237">
        <v>19.179118883072501</v>
      </c>
      <c r="AL3237">
        <v>79.040947805694501</v>
      </c>
      <c r="AM3237">
        <v>71.747236307065606</v>
      </c>
      <c r="AN3237">
        <v>0.99999998289602898</v>
      </c>
    </row>
    <row r="3238" spans="1:40" x14ac:dyDescent="0.25">
      <c r="A3238" t="str">
        <f>"20190312172725985"</f>
        <v>20190312172725985</v>
      </c>
      <c r="B3238" t="str">
        <f>"1552382845972507"</f>
        <v>1552382845972507</v>
      </c>
      <c r="C3238" t="s">
        <v>40</v>
      </c>
      <c r="D3238">
        <v>3.3702160000000001</v>
      </c>
      <c r="E3238">
        <v>0.54543379999999997</v>
      </c>
      <c r="F3238" t="s">
        <v>50</v>
      </c>
      <c r="G3238">
        <v>-201.24039999999999</v>
      </c>
      <c r="H3238" s="1">
        <v>-1.13546E-5</v>
      </c>
      <c r="I3238">
        <v>147.80799999999999</v>
      </c>
      <c r="J3238">
        <v>-189.13550000000001</v>
      </c>
      <c r="K3238">
        <v>1.107988</v>
      </c>
      <c r="L3238">
        <v>162.02690000000001</v>
      </c>
      <c r="M3238">
        <v>-0.267426</v>
      </c>
      <c r="N3238">
        <v>0</v>
      </c>
      <c r="O3238">
        <v>-0.96348659999999997</v>
      </c>
      <c r="P3238">
        <v>-0.54505059999999905</v>
      </c>
      <c r="Q3238">
        <v>0.179339</v>
      </c>
      <c r="R3238">
        <v>-0.8189978</v>
      </c>
      <c r="S3238">
        <v>-2.001328</v>
      </c>
      <c r="T3238">
        <v>-0.18227599999999999</v>
      </c>
      <c r="U3238">
        <v>-2.3726959999999999</v>
      </c>
      <c r="V3238">
        <v>0.30726999999999999</v>
      </c>
      <c r="W3238">
        <v>0.1899689</v>
      </c>
      <c r="X3238">
        <v>0.93246819999999997</v>
      </c>
      <c r="Y3238">
        <v>0.41564679999999998</v>
      </c>
      <c r="Z3238">
        <v>5.9906210000000001E-2</v>
      </c>
      <c r="AA3238">
        <v>0.90755110000000005</v>
      </c>
      <c r="AB3238">
        <v>22</v>
      </c>
      <c r="AC3238">
        <v>-12.104899999999899</v>
      </c>
      <c r="AD3238">
        <v>-1.1079993546</v>
      </c>
      <c r="AE3238">
        <v>-14.2189</v>
      </c>
      <c r="AF3238">
        <v>7.8335218583079804</v>
      </c>
      <c r="AG3238">
        <v>-1.1079993546</v>
      </c>
      <c r="AH3238">
        <v>16.878958415724501</v>
      </c>
      <c r="AI3238">
        <v>93.407582943860504</v>
      </c>
      <c r="AJ3238">
        <v>65.103993161133005</v>
      </c>
      <c r="AK3238">
        <v>18.641109529052699</v>
      </c>
      <c r="AL3238">
        <v>79.049030643897595</v>
      </c>
      <c r="AM3238">
        <v>71.761744085982301</v>
      </c>
      <c r="AN3238">
        <v>0.99999998993922401</v>
      </c>
    </row>
    <row r="3239" spans="1:40" x14ac:dyDescent="0.25">
      <c r="A3239" t="str">
        <f>"20190312172726007"</f>
        <v>20190312172726007</v>
      </c>
      <c r="B3239" t="str">
        <f>"1552382846002760"</f>
        <v>1552382846002760</v>
      </c>
      <c r="C3239" t="s">
        <v>40</v>
      </c>
      <c r="D3239">
        <v>3.3981629999999998</v>
      </c>
      <c r="E3239">
        <v>0.54569860000000003</v>
      </c>
      <c r="F3239" t="s">
        <v>50</v>
      </c>
      <c r="G3239">
        <v>-201.0692</v>
      </c>
      <c r="H3239" s="1">
        <v>-1.1483130000000001E-5</v>
      </c>
      <c r="I3239">
        <v>147.98480000000001</v>
      </c>
      <c r="J3239">
        <v>-189.2</v>
      </c>
      <c r="K3239">
        <v>1.107998</v>
      </c>
      <c r="L3239">
        <v>161.81190000000001</v>
      </c>
      <c r="M3239">
        <v>-0.27129259999999999</v>
      </c>
      <c r="N3239">
        <v>0</v>
      </c>
      <c r="O3239">
        <v>-0.96240499999999995</v>
      </c>
      <c r="P3239">
        <v>-0.54869299999999999</v>
      </c>
      <c r="Q3239">
        <v>0.1792697</v>
      </c>
      <c r="R3239">
        <v>-0.81657729999999995</v>
      </c>
      <c r="S3239">
        <v>-2.010605</v>
      </c>
      <c r="T3239">
        <v>-0.18667610000000001</v>
      </c>
      <c r="U3239">
        <v>-2.3658139999999999</v>
      </c>
      <c r="V3239">
        <v>0.30767040000000001</v>
      </c>
      <c r="W3239">
        <v>0.1899015</v>
      </c>
      <c r="X3239">
        <v>0.93234989999999995</v>
      </c>
      <c r="Y3239">
        <v>0.41530909999999899</v>
      </c>
      <c r="Z3239">
        <v>6.1315550000000003E-2</v>
      </c>
      <c r="AA3239">
        <v>0.90761150000000002</v>
      </c>
      <c r="AB3239">
        <v>22</v>
      </c>
      <c r="AC3239">
        <v>-11.869199999999999</v>
      </c>
      <c r="AD3239">
        <v>-1.10800948313</v>
      </c>
      <c r="AE3239">
        <v>-13.8271</v>
      </c>
      <c r="AF3239">
        <v>7.6442049078589198</v>
      </c>
      <c r="AG3239">
        <v>-1.10800948313</v>
      </c>
      <c r="AH3239">
        <v>16.4678752173288</v>
      </c>
      <c r="AI3239">
        <v>93.4923509037651</v>
      </c>
      <c r="AJ3239">
        <v>65.099794653315996</v>
      </c>
      <c r="AK3239">
        <v>18.1893503969095</v>
      </c>
      <c r="AL3239">
        <v>79.052964039788506</v>
      </c>
      <c r="AM3239">
        <v>71.7373908615712</v>
      </c>
      <c r="AN3239">
        <v>0.99999999538420903</v>
      </c>
    </row>
    <row r="3240" spans="1:40" x14ac:dyDescent="0.25">
      <c r="A3240" t="str">
        <f>"20190312172726029"</f>
        <v>20190312172726029</v>
      </c>
      <c r="B3240" t="str">
        <f>"1552382846022280"</f>
        <v>1552382846022280</v>
      </c>
      <c r="C3240" t="s">
        <v>40</v>
      </c>
      <c r="D3240">
        <v>3.402587</v>
      </c>
      <c r="E3240">
        <v>0.54582790000000003</v>
      </c>
      <c r="F3240" t="s">
        <v>50</v>
      </c>
      <c r="G3240">
        <v>-200.92599999999999</v>
      </c>
      <c r="H3240" s="1">
        <v>-1.159779E-5</v>
      </c>
      <c r="I3240">
        <v>148.1568</v>
      </c>
      <c r="J3240">
        <v>-189.2629</v>
      </c>
      <c r="K3240">
        <v>1.108006</v>
      </c>
      <c r="L3240">
        <v>161.6053</v>
      </c>
      <c r="M3240">
        <v>-0.27500190000000002</v>
      </c>
      <c r="N3240">
        <v>0</v>
      </c>
      <c r="O3240">
        <v>-0.96135179999999998</v>
      </c>
      <c r="P3240">
        <v>-0.55281389999999997</v>
      </c>
      <c r="Q3240">
        <v>0.17913799999999999</v>
      </c>
      <c r="R3240">
        <v>-0.8138225</v>
      </c>
      <c r="S3240">
        <v>-2.0233759999999998</v>
      </c>
      <c r="T3240">
        <v>-0.191192</v>
      </c>
      <c r="U3240">
        <v>-2.3562620000000001</v>
      </c>
      <c r="V3240">
        <v>0.308778</v>
      </c>
      <c r="W3240">
        <v>0.18976290000000001</v>
      </c>
      <c r="X3240">
        <v>0.9320119</v>
      </c>
      <c r="Y3240">
        <v>0.41639369999999998</v>
      </c>
      <c r="Z3240">
        <v>6.2768499999999894E-2</v>
      </c>
      <c r="AA3240">
        <v>0.90701509999999996</v>
      </c>
      <c r="AB3240">
        <v>22</v>
      </c>
      <c r="AC3240">
        <v>-11.663099999999901</v>
      </c>
      <c r="AD3240">
        <v>-1.10801759779</v>
      </c>
      <c r="AE3240">
        <v>-13.4484999999999</v>
      </c>
      <c r="AF3240">
        <v>7.4856419156092802</v>
      </c>
      <c r="AG3240">
        <v>-1.10801759779</v>
      </c>
      <c r="AH3240">
        <v>16.075260769635701</v>
      </c>
      <c r="AI3240">
        <v>93.575444473601706</v>
      </c>
      <c r="AJ3240">
        <v>65.030382501544395</v>
      </c>
      <c r="AK3240">
        <v>17.767288670405701</v>
      </c>
      <c r="AL3240">
        <v>79.061052321190203</v>
      </c>
      <c r="AM3240">
        <v>71.669830199356497</v>
      </c>
      <c r="AN3240">
        <v>0.99999999662100902</v>
      </c>
    </row>
    <row r="3241" spans="1:40" x14ac:dyDescent="0.25">
      <c r="A3241" t="str">
        <f>"20190312172726051"</f>
        <v>20190312172726051</v>
      </c>
      <c r="B3241" t="str">
        <f>"1552382846042779"</f>
        <v>1552382846042779</v>
      </c>
      <c r="C3241" t="s">
        <v>40</v>
      </c>
      <c r="D3241">
        <v>3.4014280000000001</v>
      </c>
      <c r="E3241">
        <v>0.54591669999999903</v>
      </c>
      <c r="F3241" t="s">
        <v>50</v>
      </c>
      <c r="G3241">
        <v>-200.86959999999999</v>
      </c>
      <c r="H3241" s="1">
        <v>-1.164518E-5</v>
      </c>
      <c r="I3241">
        <v>148.232</v>
      </c>
      <c r="J3241">
        <v>-189.33029999999999</v>
      </c>
      <c r="K3241">
        <v>1.1080019999999999</v>
      </c>
      <c r="L3241">
        <v>161.387</v>
      </c>
      <c r="M3241">
        <v>-0.27891820000000001</v>
      </c>
      <c r="N3241">
        <v>0</v>
      </c>
      <c r="O3241">
        <v>-0.96022300000000005</v>
      </c>
      <c r="P3241">
        <v>-0.55701699999999998</v>
      </c>
      <c r="Q3241">
        <v>0.1796625</v>
      </c>
      <c r="R3241">
        <v>-0.81083519999999998</v>
      </c>
      <c r="S3241">
        <v>-2.0361180000000001</v>
      </c>
      <c r="T3241">
        <v>-0.1943743</v>
      </c>
      <c r="U3241">
        <v>-2.3460239999999999</v>
      </c>
      <c r="V3241">
        <v>0.3098361</v>
      </c>
      <c r="W3241">
        <v>0.19027740000000001</v>
      </c>
      <c r="X3241">
        <v>0.93155569999999999</v>
      </c>
      <c r="Y3241">
        <v>0.41741549999999999</v>
      </c>
      <c r="Z3241">
        <v>6.3791059999999997E-2</v>
      </c>
      <c r="AA3241">
        <v>0.90647390000000005</v>
      </c>
      <c r="AB3241">
        <v>22</v>
      </c>
      <c r="AC3241">
        <v>-11.5392999999999</v>
      </c>
      <c r="AD3241">
        <v>-1.10801364518</v>
      </c>
      <c r="AE3241">
        <v>-13.154999999999999</v>
      </c>
      <c r="AF3241">
        <v>7.3821885786868497</v>
      </c>
      <c r="AG3241">
        <v>-1.10801364518</v>
      </c>
      <c r="AH3241">
        <v>15.788352065507</v>
      </c>
      <c r="AI3241">
        <v>93.637576449068604</v>
      </c>
      <c r="AJ3241">
        <v>64.940534122117</v>
      </c>
      <c r="AK3241">
        <v>17.464147943532701</v>
      </c>
      <c r="AL3241">
        <v>79.031026172264603</v>
      </c>
      <c r="AM3241">
        <v>71.602837371651106</v>
      </c>
      <c r="AN3241">
        <v>0.99999996000822899</v>
      </c>
    </row>
    <row r="3242" spans="1:40" x14ac:dyDescent="0.25">
      <c r="A3242" t="str">
        <f>"20190312172726073"</f>
        <v>20190312172726073</v>
      </c>
      <c r="B3242" t="str">
        <f>"1552382846062295"</f>
        <v>1552382846062295</v>
      </c>
      <c r="C3242" t="s">
        <v>40</v>
      </c>
      <c r="D3242">
        <v>3.3843749999999999</v>
      </c>
      <c r="E3242">
        <v>0.54592050000000003</v>
      </c>
      <c r="F3242" t="s">
        <v>50</v>
      </c>
      <c r="G3242">
        <v>-200.96600000000001</v>
      </c>
      <c r="H3242" s="1">
        <v>-1.157013E-5</v>
      </c>
      <c r="I3242">
        <v>148.1234</v>
      </c>
      <c r="J3242">
        <v>-189.39510000000001</v>
      </c>
      <c r="K3242">
        <v>1.108006</v>
      </c>
      <c r="L3242">
        <v>161.18020000000001</v>
      </c>
      <c r="M3242">
        <v>-0.28262769999999998</v>
      </c>
      <c r="N3242">
        <v>0</v>
      </c>
      <c r="O3242">
        <v>-0.95913760000000003</v>
      </c>
      <c r="P3242">
        <v>-0.56119830000000004</v>
      </c>
      <c r="Q3242">
        <v>0.18023320000000001</v>
      </c>
      <c r="R3242">
        <v>-0.80781950000000002</v>
      </c>
      <c r="S3242">
        <v>-2.0489350000000002</v>
      </c>
      <c r="T3242">
        <v>-0.1951109</v>
      </c>
      <c r="U3242">
        <v>-2.3356020000000002</v>
      </c>
      <c r="V3242">
        <v>0.31108819999999998</v>
      </c>
      <c r="W3242">
        <v>0.19083439999999999</v>
      </c>
      <c r="X3242">
        <v>0.93102439999999997</v>
      </c>
      <c r="Y3242">
        <v>0.41871150000000001</v>
      </c>
      <c r="Z3242">
        <v>6.4016420000000004E-2</v>
      </c>
      <c r="AA3242">
        <v>0.9058602</v>
      </c>
      <c r="AB3242">
        <v>22</v>
      </c>
      <c r="AC3242">
        <v>-11.5708999999999</v>
      </c>
      <c r="AD3242">
        <v>-1.1080175701299999</v>
      </c>
      <c r="AE3242">
        <v>-13.056800000000001</v>
      </c>
      <c r="AF3242">
        <v>7.3787629808530699</v>
      </c>
      <c r="AG3242">
        <v>-1.1080175701299999</v>
      </c>
      <c r="AH3242">
        <v>15.731464677499901</v>
      </c>
      <c r="AI3242">
        <v>93.648648591357201</v>
      </c>
      <c r="AJ3242">
        <v>64.871314850782795</v>
      </c>
      <c r="AK3242">
        <v>17.411284471938099</v>
      </c>
      <c r="AL3242">
        <v>78.998517563691706</v>
      </c>
      <c r="AM3242">
        <v>71.523702172808299</v>
      </c>
      <c r="AN3242">
        <v>1.0000000348989699</v>
      </c>
    </row>
    <row r="3243" spans="1:40" x14ac:dyDescent="0.25">
      <c r="A3243" t="str">
        <f>"20190312172726095"</f>
        <v>20190312172726095</v>
      </c>
      <c r="B3243" t="str">
        <f>"1552382846092551"</f>
        <v>1552382846092551</v>
      </c>
      <c r="C3243" t="s">
        <v>40</v>
      </c>
      <c r="D3243">
        <v>3.3874740000000001</v>
      </c>
      <c r="E3243">
        <v>0.54600360000000003</v>
      </c>
      <c r="F3243" t="s">
        <v>50</v>
      </c>
      <c r="G3243">
        <v>-201.1148</v>
      </c>
      <c r="H3243" s="1">
        <v>-1.145547E-5</v>
      </c>
      <c r="I3243">
        <v>147.9597</v>
      </c>
      <c r="J3243">
        <v>-189.46199999999999</v>
      </c>
      <c r="K3243">
        <v>1.108009</v>
      </c>
      <c r="L3243">
        <v>160.96969999999999</v>
      </c>
      <c r="M3243">
        <v>-0.28640460000000001</v>
      </c>
      <c r="N3243">
        <v>0</v>
      </c>
      <c r="O3243">
        <v>-0.9580168</v>
      </c>
      <c r="P3243">
        <v>-0.5647683</v>
      </c>
      <c r="Q3243">
        <v>0.18066409999999999</v>
      </c>
      <c r="R3243">
        <v>-0.80523149999999999</v>
      </c>
      <c r="S3243">
        <v>-2.0612490000000001</v>
      </c>
      <c r="T3243">
        <v>-0.19487789999999999</v>
      </c>
      <c r="U3243">
        <v>-2.3252109999999999</v>
      </c>
      <c r="V3243">
        <v>0.31157069999999998</v>
      </c>
      <c r="W3243">
        <v>0.19125990000000001</v>
      </c>
      <c r="X3243">
        <v>0.93077560000000004</v>
      </c>
      <c r="Y3243">
        <v>0.41983480000000001</v>
      </c>
      <c r="Z3243">
        <v>6.3926609999999995E-2</v>
      </c>
      <c r="AA3243">
        <v>0.9053464</v>
      </c>
      <c r="AB3243">
        <v>22</v>
      </c>
      <c r="AC3243">
        <v>-11.6527999999999</v>
      </c>
      <c r="AD3243">
        <v>-1.1080204554699999</v>
      </c>
      <c r="AE3243">
        <v>-13.0099999999999</v>
      </c>
      <c r="AF3243">
        <v>7.40829395289951</v>
      </c>
      <c r="AG3243">
        <v>-1.1080204554699999</v>
      </c>
      <c r="AH3243">
        <v>15.739261546357699</v>
      </c>
      <c r="AI3243">
        <v>93.644554969287199</v>
      </c>
      <c r="AJ3243">
        <v>64.794159788723206</v>
      </c>
      <c r="AK3243">
        <v>17.430860066186099</v>
      </c>
      <c r="AL3243">
        <v>78.973679610742494</v>
      </c>
      <c r="AM3243">
        <v>71.492386176017803</v>
      </c>
      <c r="AN3243">
        <v>0.99999993400092702</v>
      </c>
    </row>
    <row r="3244" spans="1:40" x14ac:dyDescent="0.25">
      <c r="A3244" t="str">
        <f>"20190312172726117"</f>
        <v>20190312172726117</v>
      </c>
      <c r="B3244" t="str">
        <f>"1552382846112072"</f>
        <v>1552382846112072</v>
      </c>
      <c r="C3244" t="s">
        <v>40</v>
      </c>
      <c r="D3244">
        <v>3.3841290000000002</v>
      </c>
      <c r="E3244">
        <v>0.54607059999999996</v>
      </c>
      <c r="F3244" t="s">
        <v>50</v>
      </c>
      <c r="G3244">
        <v>-201.17599999999999</v>
      </c>
      <c r="H3244" s="1">
        <v>-1.140369E-5</v>
      </c>
      <c r="I3244">
        <v>147.87690000000001</v>
      </c>
      <c r="J3244">
        <v>-189.52869999999999</v>
      </c>
      <c r="K3244">
        <v>1.1080110000000001</v>
      </c>
      <c r="L3244">
        <v>160.76220000000001</v>
      </c>
      <c r="M3244">
        <v>-0.29013100000000003</v>
      </c>
      <c r="N3244">
        <v>0</v>
      </c>
      <c r="O3244">
        <v>-0.95689480000000005</v>
      </c>
      <c r="P3244">
        <v>-0.56795109999999904</v>
      </c>
      <c r="Q3244">
        <v>0.181066</v>
      </c>
      <c r="R3244">
        <v>-0.80289900000000003</v>
      </c>
      <c r="S3244">
        <v>-2.0722960000000001</v>
      </c>
      <c r="T3244">
        <v>-0.1960171</v>
      </c>
      <c r="U3244">
        <v>-2.316208</v>
      </c>
      <c r="V3244">
        <v>0.3116603</v>
      </c>
      <c r="W3244">
        <v>0.1916591</v>
      </c>
      <c r="X3244">
        <v>0.93066360000000004</v>
      </c>
      <c r="Y3244">
        <v>0.42043619999999998</v>
      </c>
      <c r="Z3244">
        <v>6.4273670000000005E-2</v>
      </c>
      <c r="AA3244">
        <v>0.90504269999999998</v>
      </c>
      <c r="AB3244">
        <v>22</v>
      </c>
      <c r="AC3244">
        <v>-11.6473</v>
      </c>
      <c r="AD3244">
        <v>-1.1080224036899999</v>
      </c>
      <c r="AE3244">
        <v>-12.885300000000001</v>
      </c>
      <c r="AF3244">
        <v>7.3774468647188698</v>
      </c>
      <c r="AG3244">
        <v>-1.1080224036899999</v>
      </c>
      <c r="AH3244">
        <v>15.646830710276801</v>
      </c>
      <c r="AI3244">
        <v>93.664892212800297</v>
      </c>
      <c r="AJ3244">
        <v>64.756223738826293</v>
      </c>
      <c r="AK3244">
        <v>17.334293962111399</v>
      </c>
      <c r="AL3244">
        <v>78.950377269103598</v>
      </c>
      <c r="AM3244">
        <v>71.485350559523496</v>
      </c>
      <c r="AN3244">
        <v>1.00000004478692</v>
      </c>
    </row>
    <row r="3245" spans="1:40" x14ac:dyDescent="0.25">
      <c r="A3245" t="str">
        <f>"20190312172726142"</f>
        <v>20190312172726142</v>
      </c>
      <c r="B3245" t="str">
        <f>"1552382846132568"</f>
        <v>1552382846132568</v>
      </c>
      <c r="C3245" t="s">
        <v>40</v>
      </c>
      <c r="D3245">
        <v>3.3657149999999998</v>
      </c>
      <c r="E3245">
        <v>0.54609099999999999</v>
      </c>
      <c r="F3245" t="s">
        <v>50</v>
      </c>
      <c r="G3245">
        <v>-201.26349999999999</v>
      </c>
      <c r="H3245" s="1">
        <v>-1.1328460000000001E-5</v>
      </c>
      <c r="I3245">
        <v>147.75450000000001</v>
      </c>
      <c r="J3245">
        <v>-189.60400000000001</v>
      </c>
      <c r="K3245">
        <v>1.1080139999999901</v>
      </c>
      <c r="L3245">
        <v>160.5316</v>
      </c>
      <c r="M3245">
        <v>-0.29427550000000002</v>
      </c>
      <c r="N3245">
        <v>0</v>
      </c>
      <c r="O3245">
        <v>-0.95562840000000004</v>
      </c>
      <c r="P3245">
        <v>-0.57173059999999998</v>
      </c>
      <c r="Q3245">
        <v>0.1814317</v>
      </c>
      <c r="R3245">
        <v>-0.80012950000000005</v>
      </c>
      <c r="S3245">
        <v>-2.0821079999999998</v>
      </c>
      <c r="T3245">
        <v>-0.19659699999999999</v>
      </c>
      <c r="U3245">
        <v>-2.3079529999999999</v>
      </c>
      <c r="V3245">
        <v>0.31204100000000001</v>
      </c>
      <c r="W3245">
        <v>0.19202040000000001</v>
      </c>
      <c r="X3245">
        <v>0.93046150000000005</v>
      </c>
      <c r="Y3245">
        <v>0.42022999999999999</v>
      </c>
      <c r="Z3245">
        <v>6.443024E-2</v>
      </c>
      <c r="AA3245">
        <v>0.90512729999999997</v>
      </c>
      <c r="AB3245">
        <v>22</v>
      </c>
      <c r="AC3245">
        <v>-11.6594999999999</v>
      </c>
      <c r="AD3245">
        <v>-1.1080253284599999</v>
      </c>
      <c r="AE3245">
        <v>-12.7770999999999</v>
      </c>
      <c r="AF3245">
        <v>7.3526420410454998</v>
      </c>
      <c r="AG3245">
        <v>-1.1080253284599999</v>
      </c>
      <c r="AH3245">
        <v>15.578718513170299</v>
      </c>
      <c r="AI3245">
        <v>93.680216774518101</v>
      </c>
      <c r="AJ3245">
        <v>64.734232785233203</v>
      </c>
      <c r="AK3245">
        <v>17.262257547170801</v>
      </c>
      <c r="AL3245">
        <v>78.929284158925299</v>
      </c>
      <c r="AM3245">
        <v>71.460528063547201</v>
      </c>
      <c r="AN3245">
        <v>1.0000000113397001</v>
      </c>
    </row>
    <row r="3246" spans="1:40" x14ac:dyDescent="0.25">
      <c r="A3246" t="str">
        <f>"20190312172726165"</f>
        <v>20190312172726165</v>
      </c>
      <c r="B3246" t="str">
        <f>"1552382846162824"</f>
        <v>1552382846162824</v>
      </c>
      <c r="C3246" t="s">
        <v>40</v>
      </c>
      <c r="D3246">
        <v>3.374457</v>
      </c>
      <c r="E3246">
        <v>0.54610509999999901</v>
      </c>
      <c r="F3246" t="s">
        <v>50</v>
      </c>
      <c r="G3246">
        <v>-201.3777</v>
      </c>
      <c r="H3246" s="1">
        <v>-1.123267E-5</v>
      </c>
      <c r="I3246">
        <v>147.6027</v>
      </c>
      <c r="J3246">
        <v>-189.6754</v>
      </c>
      <c r="K3246">
        <v>1.1080190000000001</v>
      </c>
      <c r="L3246">
        <v>160.31569999999999</v>
      </c>
      <c r="M3246">
        <v>-0.29815750000000002</v>
      </c>
      <c r="N3246">
        <v>0</v>
      </c>
      <c r="O3246">
        <v>-0.9544243</v>
      </c>
      <c r="P3246">
        <v>-0.57509009999999905</v>
      </c>
      <c r="Q3246">
        <v>0.18179609999999999</v>
      </c>
      <c r="R3246">
        <v>-0.79763499999999998</v>
      </c>
      <c r="S3246">
        <v>-2.0930939999999998</v>
      </c>
      <c r="T3246">
        <v>-0.19698209999999999</v>
      </c>
      <c r="U3246">
        <v>-2.2984619999999998</v>
      </c>
      <c r="V3246">
        <v>0.31219760000000002</v>
      </c>
      <c r="W3246">
        <v>0.1923821</v>
      </c>
      <c r="X3246">
        <v>0.9303342</v>
      </c>
      <c r="Y3246">
        <v>0.42076439999999998</v>
      </c>
      <c r="Z3246">
        <v>6.4532850000000003E-2</v>
      </c>
      <c r="AA3246">
        <v>0.90487169999999895</v>
      </c>
      <c r="AB3246">
        <v>22</v>
      </c>
      <c r="AC3246">
        <v>-11.702299999999999</v>
      </c>
      <c r="AD3246">
        <v>-1.10803023267</v>
      </c>
      <c r="AE3246">
        <v>-12.7129999999999</v>
      </c>
      <c r="AF3246">
        <v>7.3489143140420898</v>
      </c>
      <c r="AG3246">
        <v>-1.10803023267</v>
      </c>
      <c r="AH3246">
        <v>15.5601174098074</v>
      </c>
      <c r="AI3246">
        <v>93.684159880819706</v>
      </c>
      <c r="AJ3246">
        <v>64.719022870826294</v>
      </c>
      <c r="AK3246">
        <v>17.243883738840101</v>
      </c>
      <c r="AL3246">
        <v>78.908166070790301</v>
      </c>
      <c r="AM3246">
        <v>71.449495990060498</v>
      </c>
      <c r="AN3246">
        <v>0.99999996876790398</v>
      </c>
    </row>
    <row r="3247" spans="1:40" x14ac:dyDescent="0.25">
      <c r="A3247" t="str">
        <f>"20190312172726188"</f>
        <v>20190312172726188</v>
      </c>
      <c r="B3247" t="str">
        <f>"1552382846182344"</f>
        <v>1552382846182344</v>
      </c>
      <c r="C3247" t="s">
        <v>40</v>
      </c>
      <c r="D3247">
        <v>3.3742619999999999</v>
      </c>
      <c r="E3247">
        <v>0.54614280000000004</v>
      </c>
      <c r="F3247" t="s">
        <v>50</v>
      </c>
      <c r="G3247">
        <v>-201.4547</v>
      </c>
      <c r="H3247" s="1">
        <v>-1.11638E-5</v>
      </c>
      <c r="I3247">
        <v>147.48599999999999</v>
      </c>
      <c r="J3247">
        <v>-189.74449999999999</v>
      </c>
      <c r="K3247">
        <v>1.108025</v>
      </c>
      <c r="L3247">
        <v>160.1096</v>
      </c>
      <c r="M3247">
        <v>-0.30186540000000001</v>
      </c>
      <c r="N3247">
        <v>0</v>
      </c>
      <c r="O3247">
        <v>-0.9532581</v>
      </c>
      <c r="P3247">
        <v>-0.57844549999999995</v>
      </c>
      <c r="Q3247">
        <v>0.18208179999999999</v>
      </c>
      <c r="R3247">
        <v>-0.79513990000000001</v>
      </c>
      <c r="S3247">
        <v>-2.1026609999999999</v>
      </c>
      <c r="T3247">
        <v>-0.19778979999999999</v>
      </c>
      <c r="U3247">
        <v>-2.2901760000000002</v>
      </c>
      <c r="V3247">
        <v>0.31252150000000001</v>
      </c>
      <c r="W3247">
        <v>0.19266469999999999</v>
      </c>
      <c r="X3247">
        <v>0.93016699999999997</v>
      </c>
      <c r="Y3247">
        <v>0.42091099999999998</v>
      </c>
      <c r="Z3247">
        <v>6.4769129999999994E-2</v>
      </c>
      <c r="AA3247">
        <v>0.9047866</v>
      </c>
      <c r="AB3247">
        <v>22</v>
      </c>
      <c r="AC3247">
        <v>-11.7102</v>
      </c>
      <c r="AD3247">
        <v>-1.1080361638</v>
      </c>
      <c r="AE3247">
        <v>-12.6236</v>
      </c>
      <c r="AF3247">
        <v>7.3225403015741</v>
      </c>
      <c r="AG3247">
        <v>-1.1080361638</v>
      </c>
      <c r="AH3247">
        <v>15.5056165560219</v>
      </c>
      <c r="AI3247">
        <v>93.697151440982296</v>
      </c>
      <c r="AJ3247">
        <v>64.720937499234694</v>
      </c>
      <c r="AK3247">
        <v>17.183465465116299</v>
      </c>
      <c r="AL3247">
        <v>78.891666076171205</v>
      </c>
      <c r="AM3247">
        <v>71.428460248071005</v>
      </c>
      <c r="AN3247">
        <v>1.00000001123866</v>
      </c>
    </row>
    <row r="3248" spans="1:40" x14ac:dyDescent="0.25">
      <c r="A3248" t="str">
        <f>"20190312172726207"</f>
        <v>20190312172726207</v>
      </c>
      <c r="B3248" t="str">
        <f>"1552382846202840"</f>
        <v>1552382846202840</v>
      </c>
      <c r="C3248" t="s">
        <v>40</v>
      </c>
      <c r="D3248">
        <v>3.3696630000000001</v>
      </c>
      <c r="E3248">
        <v>0.54619819999999997</v>
      </c>
      <c r="F3248" t="s">
        <v>50</v>
      </c>
      <c r="G3248">
        <v>-201.54140000000001</v>
      </c>
      <c r="H3248" s="1">
        <v>-1.109002E-5</v>
      </c>
      <c r="I3248">
        <v>147.3672</v>
      </c>
      <c r="J3248">
        <v>-189.80850000000001</v>
      </c>
      <c r="K3248">
        <v>1.108033</v>
      </c>
      <c r="L3248">
        <v>159.9213</v>
      </c>
      <c r="M3248">
        <v>-0.30525540000000001</v>
      </c>
      <c r="N3248">
        <v>0</v>
      </c>
      <c r="O3248">
        <v>-0.95217810000000003</v>
      </c>
      <c r="P3248">
        <v>-0.58143489999999998</v>
      </c>
      <c r="Q3248">
        <v>0.18212610000000001</v>
      </c>
      <c r="R3248">
        <v>-0.79294639999999905</v>
      </c>
      <c r="S3248">
        <v>-2.1123660000000002</v>
      </c>
      <c r="T3248">
        <v>-0.19840759999999999</v>
      </c>
      <c r="U3248">
        <v>-2.2816930000000002</v>
      </c>
      <c r="V3248">
        <v>0.31271579999999999</v>
      </c>
      <c r="W3248">
        <v>0.19270870000000001</v>
      </c>
      <c r="X3248">
        <v>0.93009260000000005</v>
      </c>
      <c r="Y3248">
        <v>0.42142610000000003</v>
      </c>
      <c r="Z3248">
        <v>6.4948480000000003E-2</v>
      </c>
      <c r="AA3248">
        <v>0.90453399999999995</v>
      </c>
      <c r="AB3248">
        <v>22</v>
      </c>
      <c r="AC3248">
        <v>-11.732900000000001</v>
      </c>
      <c r="AD3248">
        <v>-1.1080440900199999</v>
      </c>
      <c r="AE3248">
        <v>-12.5541</v>
      </c>
      <c r="AF3248">
        <v>7.3098541408144104</v>
      </c>
      <c r="AG3248">
        <v>-1.1080440900199999</v>
      </c>
      <c r="AH3248">
        <v>15.4723013616419</v>
      </c>
      <c r="AI3248">
        <v>93.7048354979283</v>
      </c>
      <c r="AJ3248">
        <v>64.711712450974503</v>
      </c>
      <c r="AK3248">
        <v>17.1479980957217</v>
      </c>
      <c r="AL3248">
        <v>78.889097123309497</v>
      </c>
      <c r="AM3248">
        <v>71.416322217971</v>
      </c>
      <c r="AN3248">
        <v>1.00000002960004</v>
      </c>
    </row>
    <row r="3249" spans="1:40" x14ac:dyDescent="0.25">
      <c r="A3249" t="str">
        <f>"20190312172726231"</f>
        <v>20190312172726231</v>
      </c>
      <c r="B3249" t="str">
        <f>"1552382846222360"</f>
        <v>1552382846222360</v>
      </c>
      <c r="C3249" t="s">
        <v>40</v>
      </c>
      <c r="D3249">
        <v>3.381777</v>
      </c>
      <c r="E3249">
        <v>0.5462475</v>
      </c>
      <c r="F3249" t="s">
        <v>50</v>
      </c>
      <c r="G3249">
        <v>-201.59719999999999</v>
      </c>
      <c r="H3249" s="1">
        <v>-1.1041980000000001E-5</v>
      </c>
      <c r="I3249">
        <v>147.28890000000001</v>
      </c>
      <c r="J3249">
        <v>-189.8817</v>
      </c>
      <c r="K3249">
        <v>1.1080350000000001</v>
      </c>
      <c r="L3249">
        <v>159.70849999999999</v>
      </c>
      <c r="M3249">
        <v>-0.3090888</v>
      </c>
      <c r="N3249">
        <v>0</v>
      </c>
      <c r="O3249">
        <v>-0.95094049999999997</v>
      </c>
      <c r="P3249">
        <v>-0.58490350000000002</v>
      </c>
      <c r="Q3249">
        <v>0.18229090000000001</v>
      </c>
      <c r="R3249">
        <v>-0.79035349999999904</v>
      </c>
      <c r="S3249">
        <v>-2.121613</v>
      </c>
      <c r="T3249">
        <v>-0.1994148</v>
      </c>
      <c r="U3249">
        <v>-2.2734529999999999</v>
      </c>
      <c r="V3249">
        <v>0.31305569999999999</v>
      </c>
      <c r="W3249">
        <v>0.19287109999999999</v>
      </c>
      <c r="X3249">
        <v>0.92994460000000001</v>
      </c>
      <c r="Y3249">
        <v>0.42136230000000002</v>
      </c>
      <c r="Z3249">
        <v>6.5246040000000005E-2</v>
      </c>
      <c r="AA3249">
        <v>0.90454230000000002</v>
      </c>
      <c r="AB3249">
        <v>22</v>
      </c>
      <c r="AC3249">
        <v>-11.715499999999899</v>
      </c>
      <c r="AD3249">
        <v>-1.10804604198</v>
      </c>
      <c r="AE3249">
        <v>-12.4195999999999</v>
      </c>
      <c r="AF3249">
        <v>7.2719989217238403</v>
      </c>
      <c r="AG3249">
        <v>-1.10804604198</v>
      </c>
      <c r="AH3249">
        <v>15.368062045785701</v>
      </c>
      <c r="AI3249">
        <v>93.728835402028494</v>
      </c>
      <c r="AJ3249">
        <v>64.676999229243506</v>
      </c>
      <c r="AK3249">
        <v>17.037812811268299</v>
      </c>
      <c r="AL3249">
        <v>78.8796145759175</v>
      </c>
      <c r="AM3249">
        <v>71.394755467047304</v>
      </c>
      <c r="AN3249">
        <v>1.0000000457934199</v>
      </c>
    </row>
    <row r="3250" spans="1:40" x14ac:dyDescent="0.25">
      <c r="A3250" t="str">
        <f>"20190312172726252"</f>
        <v>20190312172726252</v>
      </c>
      <c r="B3250" t="str">
        <f>"1552382846242856"</f>
        <v>1552382846242856</v>
      </c>
      <c r="C3250" t="s">
        <v>40</v>
      </c>
      <c r="D3250">
        <v>3.3858489999999999</v>
      </c>
      <c r="E3250">
        <v>0.54626149999999996</v>
      </c>
      <c r="F3250" t="s">
        <v>50</v>
      </c>
      <c r="G3250">
        <v>-201.67740000000001</v>
      </c>
      <c r="H3250" s="1">
        <v>-1.0974179999999999E-5</v>
      </c>
      <c r="I3250">
        <v>147.1806</v>
      </c>
      <c r="J3250">
        <v>-189.95490000000001</v>
      </c>
      <c r="K3250">
        <v>1.1080460000000001</v>
      </c>
      <c r="L3250">
        <v>159.4984</v>
      </c>
      <c r="M3250">
        <v>-0.31287490000000001</v>
      </c>
      <c r="N3250">
        <v>0</v>
      </c>
      <c r="O3250">
        <v>-0.94970169999999998</v>
      </c>
      <c r="P3250">
        <v>-0.5887386</v>
      </c>
      <c r="Q3250">
        <v>0.18210689999999999</v>
      </c>
      <c r="R3250">
        <v>-0.7875434</v>
      </c>
      <c r="S3250">
        <v>-2.1319119999999998</v>
      </c>
      <c r="T3250">
        <v>-0.20026430000000001</v>
      </c>
      <c r="U3250">
        <v>-2.2642519999999999</v>
      </c>
      <c r="V3250">
        <v>0.3138571</v>
      </c>
      <c r="W3250">
        <v>0.19268160000000001</v>
      </c>
      <c r="X3250">
        <v>0.92971369999999998</v>
      </c>
      <c r="Y3250">
        <v>0.42175509999999999</v>
      </c>
      <c r="Z3250">
        <v>6.5494949999999996E-2</v>
      </c>
      <c r="AA3250">
        <v>0.90434119999999996</v>
      </c>
      <c r="AB3250">
        <v>22</v>
      </c>
      <c r="AC3250">
        <v>-11.722499999999901</v>
      </c>
      <c r="AD3250">
        <v>-1.1080569741799999</v>
      </c>
      <c r="AE3250">
        <v>-12.3178</v>
      </c>
      <c r="AF3250">
        <v>7.2488078499487996</v>
      </c>
      <c r="AG3250">
        <v>-1.1080569741799999</v>
      </c>
      <c r="AH3250">
        <v>15.302286098866899</v>
      </c>
      <c r="AI3250">
        <v>93.744106230884896</v>
      </c>
      <c r="AJ3250">
        <v>64.652733734125306</v>
      </c>
      <c r="AK3250">
        <v>16.9685876063709</v>
      </c>
      <c r="AL3250">
        <v>78.890679398809596</v>
      </c>
      <c r="AM3250">
        <v>71.346105794439595</v>
      </c>
      <c r="AN3250">
        <v>1.00000002108332</v>
      </c>
    </row>
    <row r="3251" spans="1:40" x14ac:dyDescent="0.25">
      <c r="A3251" t="str">
        <f>"20190312172726274"</f>
        <v>20190312172726274</v>
      </c>
      <c r="B3251" t="str">
        <f>"1552382846262376"</f>
        <v>1552382846262376</v>
      </c>
      <c r="C3251" t="s">
        <v>40</v>
      </c>
      <c r="D3251">
        <v>3.3606729999999998</v>
      </c>
      <c r="E3251">
        <v>0.56863730000000001</v>
      </c>
      <c r="F3251" t="s">
        <v>50</v>
      </c>
      <c r="G3251">
        <v>-201.72</v>
      </c>
      <c r="H3251" s="1">
        <v>-1.093798E-5</v>
      </c>
      <c r="I3251">
        <v>147.1224</v>
      </c>
      <c r="J3251">
        <v>-190.02520000000001</v>
      </c>
      <c r="K3251">
        <v>1.1080479999999999</v>
      </c>
      <c r="L3251">
        <v>159.29910000000001</v>
      </c>
      <c r="M3251">
        <v>-0.31646809999999997</v>
      </c>
      <c r="N3251">
        <v>0</v>
      </c>
      <c r="O3251">
        <v>-0.94851019999999997</v>
      </c>
      <c r="P3251">
        <v>-0.59215469999999903</v>
      </c>
      <c r="Q3251">
        <v>0.18191499999999999</v>
      </c>
      <c r="R3251">
        <v>-0.78502229999999995</v>
      </c>
      <c r="S3251">
        <v>-2.1428219999999998</v>
      </c>
      <c r="T3251">
        <v>-0.2018152</v>
      </c>
      <c r="U3251">
        <v>-2.254089</v>
      </c>
      <c r="V3251">
        <v>0.31436160000000002</v>
      </c>
      <c r="W3251">
        <v>0.1924865</v>
      </c>
      <c r="X3251">
        <v>0.92958370000000001</v>
      </c>
      <c r="Y3251">
        <v>0.42263600000000001</v>
      </c>
      <c r="Z3251">
        <v>6.5982819999999998E-2</v>
      </c>
      <c r="AA3251">
        <v>0.90389439999999999</v>
      </c>
      <c r="AB3251">
        <v>22</v>
      </c>
      <c r="AC3251">
        <v>-11.694799999999899</v>
      </c>
      <c r="AD3251">
        <v>-1.1080589379800001</v>
      </c>
      <c r="AE3251">
        <v>-12.1767</v>
      </c>
      <c r="AF3251">
        <v>7.2086873411803198</v>
      </c>
      <c r="AG3251">
        <v>-1.1080589379800001</v>
      </c>
      <c r="AH3251">
        <v>15.1866843929759</v>
      </c>
      <c r="AI3251">
        <v>93.771127527734606</v>
      </c>
      <c r="AJ3251">
        <v>64.607637307882896</v>
      </c>
      <c r="AK3251">
        <v>16.8472060189454</v>
      </c>
      <c r="AL3251">
        <v>78.902071508703102</v>
      </c>
      <c r="AM3251">
        <v>71.315768845893501</v>
      </c>
      <c r="AN3251">
        <v>1.0000000617712399</v>
      </c>
    </row>
    <row r="3252" spans="1:40" x14ac:dyDescent="0.25">
      <c r="A3252" t="str">
        <f>"20190312172726301"</f>
        <v>20190312172726301</v>
      </c>
      <c r="B3252" t="str">
        <f>"1552382846292632"</f>
        <v>1552382846292632</v>
      </c>
      <c r="C3252" t="s">
        <v>40</v>
      </c>
      <c r="D3252">
        <v>3.3740070000000002</v>
      </c>
      <c r="E3252">
        <v>0.57744099999999998</v>
      </c>
      <c r="F3252" t="s">
        <v>50</v>
      </c>
      <c r="G3252">
        <v>-202.24010000000001</v>
      </c>
      <c r="H3252" s="1">
        <v>-1.0945579999999999E-5</v>
      </c>
      <c r="I3252">
        <v>147.92320000000001</v>
      </c>
      <c r="J3252">
        <v>-190.11410000000001</v>
      </c>
      <c r="K3252">
        <v>1.10805</v>
      </c>
      <c r="L3252">
        <v>159.0505</v>
      </c>
      <c r="M3252">
        <v>-0.32095780000000002</v>
      </c>
      <c r="N3252">
        <v>0</v>
      </c>
      <c r="O3252">
        <v>-0.94700059999999997</v>
      </c>
      <c r="P3252">
        <v>-0.59633080000000005</v>
      </c>
      <c r="Q3252">
        <v>0.18155350000000001</v>
      </c>
      <c r="R3252">
        <v>-0.78193889999999999</v>
      </c>
      <c r="S3252">
        <v>-2.295776</v>
      </c>
      <c r="T3252">
        <v>-0.20825930000000001</v>
      </c>
      <c r="U3252">
        <v>-2.1380919999999999</v>
      </c>
      <c r="V3252">
        <v>0.31488460000000001</v>
      </c>
      <c r="W3252">
        <v>0.1921206</v>
      </c>
      <c r="X3252">
        <v>0.92948229999999998</v>
      </c>
      <c r="Y3252">
        <v>0.4725549</v>
      </c>
      <c r="Z3252">
        <v>6.8089750000000004E-2</v>
      </c>
      <c r="AA3252">
        <v>0.87866690000000003</v>
      </c>
      <c r="AB3252">
        <v>22</v>
      </c>
      <c r="AC3252">
        <v>-12.125999999999999</v>
      </c>
      <c r="AD3252">
        <v>-1.1080609455799999</v>
      </c>
      <c r="AE3252">
        <v>-11.1272999999999</v>
      </c>
      <c r="AF3252">
        <v>7.8769254393049</v>
      </c>
      <c r="AG3252">
        <v>-1.1080609455799999</v>
      </c>
      <c r="AH3252">
        <v>14.3656439244717</v>
      </c>
      <c r="AI3252">
        <v>93.869188119805401</v>
      </c>
      <c r="AJ3252">
        <v>61.263296602405099</v>
      </c>
      <c r="AK3252">
        <v>16.420885445072599</v>
      </c>
      <c r="AL3252">
        <v>78.923433975701002</v>
      </c>
      <c r="AM3252">
        <v>71.284947039376405</v>
      </c>
      <c r="AN3252">
        <v>0.99999999113740401</v>
      </c>
    </row>
    <row r="3253" spans="1:40" x14ac:dyDescent="0.25">
      <c r="A3253" t="str">
        <f>"20190312172726319"</f>
        <v>20190312172726319</v>
      </c>
      <c r="B3253" t="str">
        <f>"1552382846312152"</f>
        <v>1552382846312152</v>
      </c>
      <c r="C3253" t="s">
        <v>40</v>
      </c>
      <c r="D3253">
        <v>3.3498260000000002</v>
      </c>
      <c r="E3253">
        <v>0.57982149999999999</v>
      </c>
      <c r="F3253" t="s">
        <v>50</v>
      </c>
      <c r="G3253">
        <v>-202.7183</v>
      </c>
      <c r="H3253" s="1">
        <v>-1.0738939999999999E-5</v>
      </c>
      <c r="I3253">
        <v>147.94149999999999</v>
      </c>
      <c r="J3253">
        <v>-190.1763</v>
      </c>
      <c r="K3253">
        <v>1.1080449999999999</v>
      </c>
      <c r="L3253">
        <v>158.87870000000001</v>
      </c>
      <c r="M3253">
        <v>-0.32406750000000001</v>
      </c>
      <c r="N3253">
        <v>0</v>
      </c>
      <c r="O3253">
        <v>-0.94594089999999997</v>
      </c>
      <c r="P3253">
        <v>-0.59933719999999902</v>
      </c>
      <c r="Q3253">
        <v>0.18163219999999999</v>
      </c>
      <c r="R3253">
        <v>-0.77961829999999999</v>
      </c>
      <c r="S3253">
        <v>-2.3630520000000002</v>
      </c>
      <c r="T3253">
        <v>-0.20774139999999999</v>
      </c>
      <c r="U3253">
        <v>-2.0827330000000002</v>
      </c>
      <c r="V3253">
        <v>0.31541829999999998</v>
      </c>
      <c r="W3253">
        <v>0.19219169999999999</v>
      </c>
      <c r="X3253">
        <v>0.92928670000000002</v>
      </c>
      <c r="Y3253">
        <v>0.49362889999999998</v>
      </c>
      <c r="Z3253">
        <v>6.7904909999999999E-2</v>
      </c>
      <c r="AA3253">
        <v>0.867017499999999</v>
      </c>
      <c r="AB3253">
        <v>22</v>
      </c>
      <c r="AC3253">
        <v>-12.542</v>
      </c>
      <c r="AD3253">
        <v>-1.1080557389399901</v>
      </c>
      <c r="AE3253">
        <v>-10.937200000000001</v>
      </c>
      <c r="AF3253">
        <v>8.2836055201053806</v>
      </c>
      <c r="AG3253">
        <v>-1.1080557389399901</v>
      </c>
      <c r="AH3253">
        <v>14.3480537759573</v>
      </c>
      <c r="AI3253">
        <v>93.826298303450699</v>
      </c>
      <c r="AJ3253">
        <v>60.0007403288432</v>
      </c>
      <c r="AK3253">
        <v>16.604594397066101</v>
      </c>
      <c r="AL3253">
        <v>78.919283684515193</v>
      </c>
      <c r="AM3253">
        <v>71.251770693648098</v>
      </c>
      <c r="AN3253">
        <v>1.00000006216033</v>
      </c>
    </row>
    <row r="3254" spans="1:40" x14ac:dyDescent="0.25">
      <c r="A3254" t="str">
        <f>"20190312172726348"</f>
        <v>20190312172726348</v>
      </c>
      <c r="B3254" t="str">
        <f>"1552382846342408"</f>
        <v>1552382846342408</v>
      </c>
      <c r="C3254" t="s">
        <v>40</v>
      </c>
      <c r="D3254">
        <v>3.3541249999999998</v>
      </c>
      <c r="E3254">
        <v>0.58236100000000002</v>
      </c>
      <c r="F3254" t="s">
        <v>50</v>
      </c>
      <c r="G3254">
        <v>-202.8862</v>
      </c>
      <c r="H3254" s="1">
        <v>-1.065281E-5</v>
      </c>
      <c r="I3254">
        <v>147.9023</v>
      </c>
      <c r="J3254">
        <v>-190.26949999999999</v>
      </c>
      <c r="K3254">
        <v>1.1080369999999999</v>
      </c>
      <c r="L3254">
        <v>158.62469999999999</v>
      </c>
      <c r="M3254">
        <v>-0.32868969999999997</v>
      </c>
      <c r="N3254">
        <v>0</v>
      </c>
      <c r="O3254">
        <v>-0.94434459999999998</v>
      </c>
      <c r="P3254">
        <v>-0.60357309999999997</v>
      </c>
      <c r="Q3254">
        <v>0.18214440000000001</v>
      </c>
      <c r="R3254">
        <v>-0.77622349999999996</v>
      </c>
      <c r="S3254">
        <v>-2.3870390000000001</v>
      </c>
      <c r="T3254">
        <v>-0.2081037</v>
      </c>
      <c r="U3254">
        <v>-2.0614780000000001</v>
      </c>
      <c r="V3254">
        <v>0.31598140000000002</v>
      </c>
      <c r="W3254">
        <v>0.19268950000000001</v>
      </c>
      <c r="X3254">
        <v>0.92899219999999905</v>
      </c>
      <c r="Y3254">
        <v>0.49811290000000003</v>
      </c>
      <c r="Z3254">
        <v>6.7970379999999997E-2</v>
      </c>
      <c r="AA3254">
        <v>0.86444409999999905</v>
      </c>
      <c r="AB3254">
        <v>22</v>
      </c>
      <c r="AC3254">
        <v>-12.6167</v>
      </c>
      <c r="AD3254">
        <v>-1.1080476528100001</v>
      </c>
      <c r="AE3254">
        <v>-10.722399999999899</v>
      </c>
      <c r="AF3254">
        <v>8.3534993359173306</v>
      </c>
      <c r="AG3254">
        <v>-1.1080476528100001</v>
      </c>
      <c r="AH3254">
        <v>14.210238837965001</v>
      </c>
      <c r="AI3254">
        <v>93.845686926963793</v>
      </c>
      <c r="AJ3254">
        <v>59.550827306263002</v>
      </c>
      <c r="AK3254">
        <v>16.520884013516898</v>
      </c>
      <c r="AL3254">
        <v>78.890217859523005</v>
      </c>
      <c r="AM3254">
        <v>71.215108924840806</v>
      </c>
      <c r="AN3254">
        <v>0.99999999810852402</v>
      </c>
    </row>
    <row r="3255" spans="1:40" x14ac:dyDescent="0.25">
      <c r="A3255" t="str">
        <f>"20190312172726366"</f>
        <v>20190312172726366</v>
      </c>
      <c r="B3255" t="str">
        <f>"1552382846362904"</f>
        <v>1552382846362904</v>
      </c>
      <c r="C3255" t="s">
        <v>40</v>
      </c>
      <c r="D3255">
        <v>3.3562650000000001</v>
      </c>
      <c r="E3255">
        <v>0.58353469999999996</v>
      </c>
      <c r="F3255" t="s">
        <v>50</v>
      </c>
      <c r="G3255">
        <v>-203.4057</v>
      </c>
      <c r="H3255" s="1">
        <v>-1.031938E-5</v>
      </c>
      <c r="I3255">
        <v>147.55590000000001</v>
      </c>
      <c r="J3255">
        <v>-190.3323</v>
      </c>
      <c r="K3255">
        <v>1.1080299999999901</v>
      </c>
      <c r="L3255">
        <v>158.4556</v>
      </c>
      <c r="M3255">
        <v>-0.33179509999999901</v>
      </c>
      <c r="N3255">
        <v>0</v>
      </c>
      <c r="O3255">
        <v>-0.94325800000000004</v>
      </c>
      <c r="P3255">
        <v>-0.60702290000000003</v>
      </c>
      <c r="Q3255">
        <v>0.18247849999999999</v>
      </c>
      <c r="R3255">
        <v>-0.77344999999999997</v>
      </c>
      <c r="S3255">
        <v>-2.4149479999999999</v>
      </c>
      <c r="T3255">
        <v>-0.2037013</v>
      </c>
      <c r="U3255">
        <v>-2.0348660000000001</v>
      </c>
      <c r="V3255">
        <v>0.31709749999999998</v>
      </c>
      <c r="W3255">
        <v>0.19300120000000001</v>
      </c>
      <c r="X3255">
        <v>0.92854709999999996</v>
      </c>
      <c r="Y3255">
        <v>0.50582640000000001</v>
      </c>
      <c r="Z3255">
        <v>6.6540660000000001E-2</v>
      </c>
      <c r="AA3255">
        <v>0.86006519999999997</v>
      </c>
      <c r="AB3255">
        <v>22</v>
      </c>
      <c r="AC3255">
        <v>-13.0733999999999</v>
      </c>
      <c r="AD3255">
        <v>-1.1080403193799999</v>
      </c>
      <c r="AE3255">
        <v>-10.8996999999999</v>
      </c>
      <c r="AF3255">
        <v>8.6791106505316193</v>
      </c>
      <c r="AG3255">
        <v>-1.1080403193799999</v>
      </c>
      <c r="AH3255">
        <v>14.5585129846404</v>
      </c>
      <c r="AI3255">
        <v>93.740330879733605</v>
      </c>
      <c r="AJ3255">
        <v>59.198562326860703</v>
      </c>
      <c r="AK3255">
        <v>16.985435389105699</v>
      </c>
      <c r="AL3255">
        <v>78.872017169241204</v>
      </c>
      <c r="AM3255">
        <v>71.145037710521393</v>
      </c>
      <c r="AN3255">
        <v>1.00000000231304</v>
      </c>
    </row>
    <row r="3256" spans="1:40" x14ac:dyDescent="0.25">
      <c r="A3256" t="str">
        <f>"20190312172726388"</f>
        <v>20190312172726388</v>
      </c>
      <c r="B3256" t="str">
        <f>"1552382846382423"</f>
        <v>1552382846382423</v>
      </c>
      <c r="C3256" t="s">
        <v>40</v>
      </c>
      <c r="D3256">
        <v>3.3676900000000001</v>
      </c>
      <c r="E3256">
        <v>0.58438489999999998</v>
      </c>
      <c r="F3256" t="s">
        <v>50</v>
      </c>
      <c r="G3256">
        <v>-203.75649999999999</v>
      </c>
      <c r="H3256" s="1">
        <v>-1.009489E-5</v>
      </c>
      <c r="I3256">
        <v>147.32409999999999</v>
      </c>
      <c r="J3256">
        <v>-190.40790000000001</v>
      </c>
      <c r="K3256">
        <v>1.1080139999999901</v>
      </c>
      <c r="L3256">
        <v>158.25450000000001</v>
      </c>
      <c r="M3256">
        <v>-0.33552799999999999</v>
      </c>
      <c r="N3256">
        <v>0</v>
      </c>
      <c r="O3256">
        <v>-0.94193680000000002</v>
      </c>
      <c r="P3256">
        <v>-0.61097789999999996</v>
      </c>
      <c r="Q3256">
        <v>0.1831573</v>
      </c>
      <c r="R3256">
        <v>-0.77016859999999998</v>
      </c>
      <c r="S3256">
        <v>-2.43248</v>
      </c>
      <c r="T3256">
        <v>-0.20077909999999999</v>
      </c>
      <c r="U3256">
        <v>-2.0170439999999998</v>
      </c>
      <c r="V3256">
        <v>0.31825029999999999</v>
      </c>
      <c r="W3256">
        <v>0.19364729999999999</v>
      </c>
      <c r="X3256">
        <v>0.92801800000000001</v>
      </c>
      <c r="Y3256">
        <v>0.50924440000000004</v>
      </c>
      <c r="Z3256">
        <v>6.5573919999999994E-2</v>
      </c>
      <c r="AA3256">
        <v>0.85812009999999905</v>
      </c>
      <c r="AB3256">
        <v>22</v>
      </c>
      <c r="AC3256">
        <v>-13.3485999999999</v>
      </c>
      <c r="AD3256">
        <v>-1.10802409488999</v>
      </c>
      <c r="AE3256">
        <v>-10.930400000000001</v>
      </c>
      <c r="AF3256">
        <v>8.8702800919982803</v>
      </c>
      <c r="AG3256">
        <v>-1.10802409488999</v>
      </c>
      <c r="AH3256">
        <v>14.715181642091499</v>
      </c>
      <c r="AI3256">
        <v>93.689768756426304</v>
      </c>
      <c r="AJ3256">
        <v>58.918516953680601</v>
      </c>
      <c r="AK3256">
        <v>17.217611828157398</v>
      </c>
      <c r="AL3256">
        <v>78.8342862013032</v>
      </c>
      <c r="AM3256">
        <v>71.071339314464097</v>
      </c>
      <c r="AN3256">
        <v>0.99999996928568902</v>
      </c>
    </row>
    <row r="3257" spans="1:40" x14ac:dyDescent="0.25">
      <c r="A3257" t="str">
        <f>"20190312172726409"</f>
        <v>20190312172726409</v>
      </c>
      <c r="B3257" t="str">
        <f>"1552382846402920"</f>
        <v>1552382846402920</v>
      </c>
      <c r="C3257" t="s">
        <v>40</v>
      </c>
      <c r="D3257">
        <v>3.3810519999999902</v>
      </c>
      <c r="E3257">
        <v>0.58508269999999996</v>
      </c>
      <c r="F3257" t="s">
        <v>50</v>
      </c>
      <c r="G3257">
        <v>-204.11689999999999</v>
      </c>
      <c r="H3257" s="1">
        <v>-9.8865499999999994E-6</v>
      </c>
      <c r="I3257">
        <v>147.06299999999999</v>
      </c>
      <c r="J3257">
        <v>-190.48390000000001</v>
      </c>
      <c r="K3257">
        <v>1.107982</v>
      </c>
      <c r="L3257">
        <v>158.05510000000001</v>
      </c>
      <c r="M3257">
        <v>-0.33929150000000002</v>
      </c>
      <c r="N3257">
        <v>0</v>
      </c>
      <c r="O3257">
        <v>-0.94058779999999997</v>
      </c>
      <c r="P3257">
        <v>-0.6148304</v>
      </c>
      <c r="Q3257">
        <v>0.1836303</v>
      </c>
      <c r="R3257">
        <v>-0.76698369999999905</v>
      </c>
      <c r="S3257">
        <v>-2.4491420000000002</v>
      </c>
      <c r="T3257">
        <v>-0.1979504</v>
      </c>
      <c r="U3257">
        <v>-1.99939</v>
      </c>
      <c r="V3257">
        <v>0.31925209999999998</v>
      </c>
      <c r="W3257">
        <v>0.1940809</v>
      </c>
      <c r="X3257">
        <v>0.92758320000000005</v>
      </c>
      <c r="Y3257">
        <v>0.51242710000000002</v>
      </c>
      <c r="Z3257">
        <v>6.4642270000000002E-2</v>
      </c>
      <c r="AA3257">
        <v>0.85629429999999995</v>
      </c>
      <c r="AB3257">
        <v>22</v>
      </c>
      <c r="AC3257">
        <v>-13.6329999999999</v>
      </c>
      <c r="AD3257">
        <v>-1.10799188655</v>
      </c>
      <c r="AE3257">
        <v>-10.992100000000001</v>
      </c>
      <c r="AF3257">
        <v>9.0580481585608208</v>
      </c>
      <c r="AG3257">
        <v>-1.10799188655</v>
      </c>
      <c r="AH3257">
        <v>14.9062432311799</v>
      </c>
      <c r="AI3257">
        <v>93.634668888889095</v>
      </c>
      <c r="AJ3257">
        <v>58.714285715862701</v>
      </c>
      <c r="AK3257">
        <v>17.4777564272582</v>
      </c>
      <c r="AL3257">
        <v>78.808962051680894</v>
      </c>
      <c r="AM3257">
        <v>71.007754008204202</v>
      </c>
      <c r="AN3257">
        <v>0.99999994601072795</v>
      </c>
    </row>
    <row r="3258" spans="1:40" x14ac:dyDescent="0.25">
      <c r="A3258" t="str">
        <f>"20190312172726432"</f>
        <v>20190312172726432</v>
      </c>
      <c r="B3258" t="str">
        <f>"1552382846422440"</f>
        <v>1552382846422440</v>
      </c>
      <c r="C3258" t="s">
        <v>40</v>
      </c>
      <c r="D3258">
        <v>3.3634140000000001</v>
      </c>
      <c r="E3258">
        <v>0.58555579999999996</v>
      </c>
      <c r="F3258" t="s">
        <v>50</v>
      </c>
      <c r="G3258">
        <v>-204.3768</v>
      </c>
      <c r="H3258" s="1">
        <v>-9.7396989999999999E-6</v>
      </c>
      <c r="I3258">
        <v>146.87719999999999</v>
      </c>
      <c r="J3258">
        <v>-190.56129999999999</v>
      </c>
      <c r="K3258">
        <v>1.1079349999999999</v>
      </c>
      <c r="L3258">
        <v>157.85470000000001</v>
      </c>
      <c r="M3258">
        <v>-0.34314810000000001</v>
      </c>
      <c r="N3258">
        <v>0</v>
      </c>
      <c r="O3258">
        <v>-0.93918749999999995</v>
      </c>
      <c r="P3258">
        <v>-0.61827749999999904</v>
      </c>
      <c r="Q3258">
        <v>0.18514820000000001</v>
      </c>
      <c r="R3258">
        <v>-0.763841199999999</v>
      </c>
      <c r="S3258">
        <v>-2.4645229999999998</v>
      </c>
      <c r="T3258">
        <v>-0.196551</v>
      </c>
      <c r="U3258">
        <v>-1.9828950000000001</v>
      </c>
      <c r="V3258">
        <v>0.31978060000000003</v>
      </c>
      <c r="W3258">
        <v>0.1955546</v>
      </c>
      <c r="X3258">
        <v>0.92709149999999996</v>
      </c>
      <c r="Y3258">
        <v>0.5150207</v>
      </c>
      <c r="Z3258">
        <v>6.4169290000000004E-2</v>
      </c>
      <c r="AA3258">
        <v>0.85477239999999999</v>
      </c>
      <c r="AB3258">
        <v>22</v>
      </c>
      <c r="AC3258">
        <v>-13.8155</v>
      </c>
      <c r="AD3258">
        <v>-1.1079447396989901</v>
      </c>
      <c r="AE3258">
        <v>-10.977499999999999</v>
      </c>
      <c r="AF3258">
        <v>9.1730846544361597</v>
      </c>
      <c r="AG3258">
        <v>-1.1079447396989901</v>
      </c>
      <c r="AH3258">
        <v>14.9929124442969</v>
      </c>
      <c r="AI3258">
        <v>93.606902595025602</v>
      </c>
      <c r="AJ3258">
        <v>58.540535010040699</v>
      </c>
      <c r="AK3258">
        <v>17.611372666150402</v>
      </c>
      <c r="AL3258">
        <v>78.722875737390396</v>
      </c>
      <c r="AM3258">
        <v>70.969208985958701</v>
      </c>
      <c r="AN3258">
        <v>0.99999994154488303</v>
      </c>
    </row>
    <row r="3259" spans="1:40" x14ac:dyDescent="0.25">
      <c r="A3259" t="str">
        <f>"20190312172726454"</f>
        <v>20190312172726454</v>
      </c>
      <c r="B3259" t="str">
        <f>"1552382846442941"</f>
        <v>1552382846442941</v>
      </c>
      <c r="C3259" t="s">
        <v>40</v>
      </c>
      <c r="D3259">
        <v>3.335375</v>
      </c>
      <c r="E3259">
        <v>0.58597379999999999</v>
      </c>
      <c r="F3259" t="s">
        <v>50</v>
      </c>
      <c r="G3259">
        <v>-204.93809999999999</v>
      </c>
      <c r="H3259" s="1">
        <v>-9.4121810000000008E-6</v>
      </c>
      <c r="I3259">
        <v>146.43700000000001</v>
      </c>
      <c r="J3259">
        <v>-190.64089999999999</v>
      </c>
      <c r="K3259">
        <v>1.107891</v>
      </c>
      <c r="L3259">
        <v>157.65119999999999</v>
      </c>
      <c r="M3259">
        <v>-0.3471339</v>
      </c>
      <c r="N3259">
        <v>0</v>
      </c>
      <c r="O3259">
        <v>-0.93772160000000004</v>
      </c>
      <c r="P3259">
        <v>-0.62217559999999905</v>
      </c>
      <c r="Q3259">
        <v>0.1866526</v>
      </c>
      <c r="R3259">
        <v>-0.76030159999999902</v>
      </c>
      <c r="S3259">
        <v>-2.478043</v>
      </c>
      <c r="T3259">
        <v>-0.19096930000000001</v>
      </c>
      <c r="U3259">
        <v>-1.968002</v>
      </c>
      <c r="V3259">
        <v>0.32074619999999998</v>
      </c>
      <c r="W3259">
        <v>0.1970092</v>
      </c>
      <c r="X3259">
        <v>0.92644979999999999</v>
      </c>
      <c r="Y3259">
        <v>0.51689960000000001</v>
      </c>
      <c r="Z3259">
        <v>6.233139E-2</v>
      </c>
      <c r="AA3259">
        <v>0.85377369999999997</v>
      </c>
      <c r="AB3259">
        <v>22</v>
      </c>
      <c r="AC3259">
        <v>-14.2972</v>
      </c>
      <c r="AD3259">
        <v>-1.1079004121810001</v>
      </c>
      <c r="AE3259">
        <v>-11.2141999999999</v>
      </c>
      <c r="AF3259">
        <v>9.4795613333948801</v>
      </c>
      <c r="AG3259">
        <v>-1.1079004121810001</v>
      </c>
      <c r="AH3259">
        <v>15.4228681430573</v>
      </c>
      <c r="AI3259">
        <v>93.502079240803198</v>
      </c>
      <c r="AJ3259">
        <v>58.423318782765499</v>
      </c>
      <c r="AK3259">
        <v>18.137099772428801</v>
      </c>
      <c r="AL3259">
        <v>78.637880469295197</v>
      </c>
      <c r="AM3259">
        <v>70.9036341206087</v>
      </c>
      <c r="AN3259">
        <v>0.99999999080955904</v>
      </c>
    </row>
    <row r="3260" spans="1:40" x14ac:dyDescent="0.25">
      <c r="A3260" t="str">
        <f>"20190312172726477"</f>
        <v>20190312172726477</v>
      </c>
      <c r="B3260" t="str">
        <f>"1552382846472216"</f>
        <v>1552382846472216</v>
      </c>
      <c r="C3260" t="s">
        <v>40</v>
      </c>
      <c r="D3260">
        <v>3.358352</v>
      </c>
      <c r="E3260">
        <v>0.58649530000000005</v>
      </c>
      <c r="F3260" t="s">
        <v>50</v>
      </c>
      <c r="G3260">
        <v>-205.4939</v>
      </c>
      <c r="H3260" s="1">
        <v>-9.0552249999999993E-6</v>
      </c>
      <c r="I3260">
        <v>146.01339999999999</v>
      </c>
      <c r="J3260">
        <v>-190.72139999999999</v>
      </c>
      <c r="K3260">
        <v>1.107847</v>
      </c>
      <c r="L3260">
        <v>157.44810000000001</v>
      </c>
      <c r="M3260">
        <v>-0.35119529999999999</v>
      </c>
      <c r="N3260">
        <v>0</v>
      </c>
      <c r="O3260">
        <v>-0.93620809999999999</v>
      </c>
      <c r="P3260">
        <v>-0.62600019999999901</v>
      </c>
      <c r="Q3260">
        <v>0.18851519999999999</v>
      </c>
      <c r="R3260">
        <v>-0.75669430000000004</v>
      </c>
      <c r="S3260">
        <v>-2.4917600000000002</v>
      </c>
      <c r="T3260">
        <v>-0.18586279999999999</v>
      </c>
      <c r="U3260">
        <v>-1.9523619999999999</v>
      </c>
      <c r="V3260">
        <v>0.32159989999999999</v>
      </c>
      <c r="W3260">
        <v>0.19882089999999999</v>
      </c>
      <c r="X3260">
        <v>0.9257666</v>
      </c>
      <c r="Y3260">
        <v>0.51887919999999998</v>
      </c>
      <c r="Z3260">
        <v>6.0652520000000001E-2</v>
      </c>
      <c r="AA3260">
        <v>0.85269319999999904</v>
      </c>
      <c r="AB3260">
        <v>22</v>
      </c>
      <c r="AC3260">
        <v>-14.772500000000001</v>
      </c>
      <c r="AD3260">
        <v>-1.1078560552249901</v>
      </c>
      <c r="AE3260">
        <v>-11.434699999999999</v>
      </c>
      <c r="AF3260">
        <v>9.7807876620142604</v>
      </c>
      <c r="AG3260">
        <v>-1.1078560552249901</v>
      </c>
      <c r="AH3260">
        <v>15.838987091299501</v>
      </c>
      <c r="AI3260">
        <v>93.405799114366701</v>
      </c>
      <c r="AJ3260">
        <v>58.304111690460999</v>
      </c>
      <c r="AK3260">
        <v>18.648449383443701</v>
      </c>
      <c r="AL3260">
        <v>78.531983308150203</v>
      </c>
      <c r="AM3260">
        <v>70.843403545304497</v>
      </c>
      <c r="AN3260">
        <v>1.00000002181618</v>
      </c>
    </row>
    <row r="3261" spans="1:40" x14ac:dyDescent="0.25">
      <c r="A3261" t="str">
        <f>"20190312172726502"</f>
        <v>20190312172726502</v>
      </c>
      <c r="B3261" t="str">
        <f>"1552382846492713"</f>
        <v>1552382846492713</v>
      </c>
      <c r="C3261" t="s">
        <v>40</v>
      </c>
      <c r="D3261">
        <v>3.3290320000000002</v>
      </c>
      <c r="E3261">
        <v>0.58679780000000004</v>
      </c>
      <c r="F3261" t="s">
        <v>50</v>
      </c>
      <c r="G3261">
        <v>-206.08279999999999</v>
      </c>
      <c r="H3261" s="1">
        <v>-8.6797139999999992E-6</v>
      </c>
      <c r="I3261">
        <v>145.58019999999999</v>
      </c>
      <c r="J3261">
        <v>-190.81639999999999</v>
      </c>
      <c r="K3261">
        <v>1.1077980000000001</v>
      </c>
      <c r="L3261">
        <v>157.21209999999999</v>
      </c>
      <c r="M3261">
        <v>-0.35604190000000002</v>
      </c>
      <c r="N3261">
        <v>0</v>
      </c>
      <c r="O3261">
        <v>-0.93437530000000002</v>
      </c>
      <c r="P3261">
        <v>-0.63037480000000001</v>
      </c>
      <c r="Q3261">
        <v>0.1898812</v>
      </c>
      <c r="R3261">
        <v>-0.75270999999999999</v>
      </c>
      <c r="S3261">
        <v>-2.5062410000000002</v>
      </c>
      <c r="T3261">
        <v>-0.1807492</v>
      </c>
      <c r="U3261">
        <v>-1.9362790000000001</v>
      </c>
      <c r="V3261">
        <v>0.32232830000000001</v>
      </c>
      <c r="W3261">
        <v>0.2001357</v>
      </c>
      <c r="X3261">
        <v>0.92522979999999999</v>
      </c>
      <c r="Y3261">
        <v>0.52034840000000004</v>
      </c>
      <c r="Z3261">
        <v>5.8951679999999999E-2</v>
      </c>
      <c r="AA3261">
        <v>0.85191679999999903</v>
      </c>
      <c r="AB3261">
        <v>22</v>
      </c>
      <c r="AC3261">
        <v>-15.266400000000001</v>
      </c>
      <c r="AD3261">
        <v>-1.1078066797139901</v>
      </c>
      <c r="AE3261">
        <v>-11.6319</v>
      </c>
      <c r="AF3261">
        <v>10.090382185002699</v>
      </c>
      <c r="AG3261">
        <v>-1.1078066797139901</v>
      </c>
      <c r="AH3261">
        <v>16.251338231196399</v>
      </c>
      <c r="AI3261">
        <v>93.314420870855599</v>
      </c>
      <c r="AJ3261">
        <v>58.164041733598602</v>
      </c>
      <c r="AK3261">
        <v>19.1611336455802</v>
      </c>
      <c r="AL3261">
        <v>78.455105573908099</v>
      </c>
      <c r="AM3261">
        <v>70.792865093581099</v>
      </c>
      <c r="AN3261">
        <v>1.0000000071016999</v>
      </c>
    </row>
    <row r="3262" spans="1:40" x14ac:dyDescent="0.25">
      <c r="A3262" t="str">
        <f>"20190312172726521"</f>
        <v>20190312172726521</v>
      </c>
      <c r="B3262" t="str">
        <f>"1552382846512232"</f>
        <v>1552382846512232</v>
      </c>
      <c r="C3262" t="s">
        <v>40</v>
      </c>
      <c r="D3262">
        <v>3.3640240000000001</v>
      </c>
      <c r="E3262">
        <v>0.58713409999999999</v>
      </c>
      <c r="F3262" t="s">
        <v>50</v>
      </c>
      <c r="G3262">
        <v>-206.67420000000001</v>
      </c>
      <c r="H3262" s="1">
        <v>-8.3021229999999993E-6</v>
      </c>
      <c r="I3262">
        <v>145.14330000000001</v>
      </c>
      <c r="J3262">
        <v>-190.88820000000001</v>
      </c>
      <c r="K3262">
        <v>1.107712</v>
      </c>
      <c r="L3262">
        <v>157.03639999999999</v>
      </c>
      <c r="M3262">
        <v>-0.3597862</v>
      </c>
      <c r="N3262">
        <v>0</v>
      </c>
      <c r="O3262">
        <v>-0.93294200000000005</v>
      </c>
      <c r="P3262">
        <v>-0.63466469999999997</v>
      </c>
      <c r="Q3262">
        <v>0.19177259999999999</v>
      </c>
      <c r="R3262">
        <v>-0.74861509999999998</v>
      </c>
      <c r="S3262">
        <v>-2.5210720000000002</v>
      </c>
      <c r="T3262">
        <v>-0.17611940000000001</v>
      </c>
      <c r="U3262">
        <v>-1.918701</v>
      </c>
      <c r="V3262">
        <v>0.3241192</v>
      </c>
      <c r="W3262">
        <v>0.2018346</v>
      </c>
      <c r="X3262">
        <v>0.92423460000000002</v>
      </c>
      <c r="Y3262">
        <v>0.52317579999999997</v>
      </c>
      <c r="Z3262">
        <v>5.7440989999999997E-2</v>
      </c>
      <c r="AA3262">
        <v>0.85028680000000001</v>
      </c>
      <c r="AB3262">
        <v>22</v>
      </c>
      <c r="AC3262">
        <v>-15.786</v>
      </c>
      <c r="AD3262">
        <v>-1.107720302123</v>
      </c>
      <c r="AE3262">
        <v>-11.893099999999899</v>
      </c>
      <c r="AF3262">
        <v>10.416634147097399</v>
      </c>
      <c r="AG3262">
        <v>-1.107720302123</v>
      </c>
      <c r="AH3262">
        <v>16.724077930611699</v>
      </c>
      <c r="AI3262">
        <v>93.217862193239895</v>
      </c>
      <c r="AJ3262">
        <v>58.0831813542733</v>
      </c>
      <c r="AK3262">
        <v>19.7339325490736</v>
      </c>
      <c r="AL3262">
        <v>78.355738352012196</v>
      </c>
      <c r="AM3262">
        <v>70.674776565257602</v>
      </c>
      <c r="AN3262">
        <v>1.0000000287014701</v>
      </c>
    </row>
    <row r="3263" spans="1:40" x14ac:dyDescent="0.25">
      <c r="A3263" t="str">
        <f>"20190312172726556"</f>
        <v>20190312172726556</v>
      </c>
      <c r="B3263" t="str">
        <f>"1552382846552249"</f>
        <v>1552382846552249</v>
      </c>
      <c r="C3263" t="s">
        <v>40</v>
      </c>
      <c r="D3263">
        <v>3.328074</v>
      </c>
      <c r="E3263">
        <v>0.58761989999999997</v>
      </c>
      <c r="F3263" t="s">
        <v>50</v>
      </c>
      <c r="G3263">
        <v>-207.4384</v>
      </c>
      <c r="H3263" s="1">
        <v>-7.828335E-6</v>
      </c>
      <c r="I3263">
        <v>144.63229999999999</v>
      </c>
      <c r="J3263">
        <v>-191.01390000000001</v>
      </c>
      <c r="K3263">
        <v>1.1075269999999999</v>
      </c>
      <c r="L3263">
        <v>156.73429999999999</v>
      </c>
      <c r="M3263">
        <v>-0.3664366</v>
      </c>
      <c r="N3263">
        <v>0</v>
      </c>
      <c r="O3263">
        <v>-0.93035469999999998</v>
      </c>
      <c r="P3263">
        <v>-0.64094189999999995</v>
      </c>
      <c r="Q3263">
        <v>0.19354740000000001</v>
      </c>
      <c r="R3263">
        <v>-0.74278730000000004</v>
      </c>
      <c r="S3263">
        <v>-2.5361479999999998</v>
      </c>
      <c r="T3263">
        <v>-0.16974690000000001</v>
      </c>
      <c r="U3263">
        <v>-1.900803</v>
      </c>
      <c r="V3263">
        <v>0.32554309999999997</v>
      </c>
      <c r="W3263">
        <v>0.2032051</v>
      </c>
      <c r="X3263">
        <v>0.92343350000000002</v>
      </c>
      <c r="Y3263">
        <v>0.52346800000000004</v>
      </c>
      <c r="Z3263">
        <v>5.5311909999999999E-2</v>
      </c>
      <c r="AA3263">
        <v>0.85024820000000001</v>
      </c>
      <c r="AB3263">
        <v>22</v>
      </c>
      <c r="AC3263">
        <v>-16.424499999999899</v>
      </c>
      <c r="AD3263">
        <v>-1.1075348283349999</v>
      </c>
      <c r="AE3263">
        <v>-12.102</v>
      </c>
      <c r="AF3263">
        <v>10.8150139129644</v>
      </c>
      <c r="AG3263">
        <v>-1.1075348283349999</v>
      </c>
      <c r="AH3263">
        <v>17.2283375272557</v>
      </c>
      <c r="AI3263">
        <v>93.116496222331193</v>
      </c>
      <c r="AJ3263">
        <v>57.881631638460497</v>
      </c>
      <c r="AK3263">
        <v>20.371715030567199</v>
      </c>
      <c r="AL3263">
        <v>78.275552856013505</v>
      </c>
      <c r="AM3263">
        <v>70.580636165727299</v>
      </c>
      <c r="AN3263">
        <v>1.00000002577293</v>
      </c>
    </row>
    <row r="3264" spans="1:40" x14ac:dyDescent="0.25">
      <c r="A3264" t="str">
        <f>"20190312172726578"</f>
        <v>20190312172726578</v>
      </c>
      <c r="B3264" t="str">
        <f>"1552382846572744"</f>
        <v>1552382846572744</v>
      </c>
      <c r="C3264" t="s">
        <v>40</v>
      </c>
      <c r="D3264">
        <v>3.326533</v>
      </c>
      <c r="E3264">
        <v>0.58782100000000004</v>
      </c>
      <c r="F3264" t="s">
        <v>50</v>
      </c>
      <c r="G3264">
        <v>-208.3614</v>
      </c>
      <c r="H3264" s="1">
        <v>-7.2580209999999997E-6</v>
      </c>
      <c r="I3264">
        <v>144.02250000000001</v>
      </c>
      <c r="J3264">
        <v>-191.0993</v>
      </c>
      <c r="K3264">
        <v>1.107459</v>
      </c>
      <c r="L3264">
        <v>156.53299999999999</v>
      </c>
      <c r="M3264">
        <v>-0.37100569999999999</v>
      </c>
      <c r="N3264">
        <v>0</v>
      </c>
      <c r="O3264">
        <v>-0.9285426</v>
      </c>
      <c r="P3264">
        <v>-0.64560280000000003</v>
      </c>
      <c r="Q3264">
        <v>0.19490969999999999</v>
      </c>
      <c r="R3264">
        <v>-0.73838179999999998</v>
      </c>
      <c r="S3264">
        <v>-2.5577999999999999</v>
      </c>
      <c r="T3264">
        <v>-0.16330020000000001</v>
      </c>
      <c r="U3264">
        <v>-1.8742829999999999</v>
      </c>
      <c r="V3264">
        <v>0.3269958</v>
      </c>
      <c r="W3264">
        <v>0.2044319</v>
      </c>
      <c r="X3264">
        <v>0.9226491</v>
      </c>
      <c r="Y3264">
        <v>0.52854109999999999</v>
      </c>
      <c r="Z3264">
        <v>5.3224220000000003E-2</v>
      </c>
      <c r="AA3264">
        <v>0.84723760000000004</v>
      </c>
      <c r="AB3264">
        <v>22</v>
      </c>
      <c r="AC3264">
        <v>-17.2621</v>
      </c>
      <c r="AD3264">
        <v>-1.107466258021</v>
      </c>
      <c r="AE3264">
        <v>-12.510499999999899</v>
      </c>
      <c r="AF3264">
        <v>11.357410113696</v>
      </c>
      <c r="AG3264">
        <v>-1.107466258021</v>
      </c>
      <c r="AH3264">
        <v>17.973838565691</v>
      </c>
      <c r="AI3264">
        <v>92.981726220024797</v>
      </c>
      <c r="AJ3264">
        <v>57.711796762839001</v>
      </c>
      <c r="AK3264">
        <v>21.290282261841</v>
      </c>
      <c r="AL3264">
        <v>78.203755056493705</v>
      </c>
      <c r="AM3264">
        <v>70.485179116100696</v>
      </c>
      <c r="AN3264">
        <v>1.00000000834303</v>
      </c>
    </row>
    <row r="3265" spans="1:40" x14ac:dyDescent="0.25">
      <c r="A3265" t="str">
        <f>"20190312172726600"</f>
        <v>20190312172726600</v>
      </c>
      <c r="B3265" t="str">
        <f>"1552382846592264"</f>
        <v>1552382846592264</v>
      </c>
      <c r="C3265" t="s">
        <v>40</v>
      </c>
      <c r="D3265">
        <v>3.3117200000000002</v>
      </c>
      <c r="E3265">
        <v>0.58801230000000004</v>
      </c>
      <c r="F3265" t="s">
        <v>50</v>
      </c>
      <c r="G3265">
        <v>-208.9828</v>
      </c>
      <c r="H3265" s="1">
        <v>-6.8802270000000003E-6</v>
      </c>
      <c r="I3265">
        <v>143.6352</v>
      </c>
      <c r="J3265">
        <v>-191.1824</v>
      </c>
      <c r="K3265">
        <v>1.107415</v>
      </c>
      <c r="L3265">
        <v>156.3398</v>
      </c>
      <c r="M3265">
        <v>-0.3755406</v>
      </c>
      <c r="N3265">
        <v>0</v>
      </c>
      <c r="O3265">
        <v>-0.92671809999999999</v>
      </c>
      <c r="P3265">
        <v>-0.65060010000000001</v>
      </c>
      <c r="Q3265">
        <v>0.1960124</v>
      </c>
      <c r="R3265">
        <v>-0.73368880000000003</v>
      </c>
      <c r="S3265">
        <v>-2.5727690000000001</v>
      </c>
      <c r="T3265">
        <v>-0.15932270000000001</v>
      </c>
      <c r="U3265">
        <v>-1.855499</v>
      </c>
      <c r="V3265">
        <v>0.3289031</v>
      </c>
      <c r="W3265">
        <v>0.2054522</v>
      </c>
      <c r="X3265">
        <v>0.92174400000000001</v>
      </c>
      <c r="Y3265">
        <v>0.53085990000000005</v>
      </c>
      <c r="Z3265">
        <v>5.19149E-2</v>
      </c>
      <c r="AA3265">
        <v>0.84586790000000001</v>
      </c>
      <c r="AB3265">
        <v>22</v>
      </c>
      <c r="AC3265">
        <v>-17.8003999999999</v>
      </c>
      <c r="AD3265">
        <v>-1.1074218802269999</v>
      </c>
      <c r="AE3265">
        <v>-12.704599999999999</v>
      </c>
      <c r="AF3265">
        <v>11.695823334489599</v>
      </c>
      <c r="AG3265">
        <v>-1.1074218802269999</v>
      </c>
      <c r="AH3265">
        <v>18.4126438495508</v>
      </c>
      <c r="AI3265">
        <v>92.906315210209499</v>
      </c>
      <c r="AJ3265">
        <v>57.576038872181499</v>
      </c>
      <c r="AK3265">
        <v>21.841339707600302</v>
      </c>
      <c r="AL3265">
        <v>78.144027459967901</v>
      </c>
      <c r="AM3265">
        <v>70.362230177176897</v>
      </c>
      <c r="AN3265">
        <v>0.99999992860522202</v>
      </c>
    </row>
    <row r="3266" spans="1:40" x14ac:dyDescent="0.25">
      <c r="A3266" t="str">
        <f>"20190312172726621"</f>
        <v>20190312172726621</v>
      </c>
      <c r="B3266" t="str">
        <f>"1552382846612760"</f>
        <v>1552382846612760</v>
      </c>
      <c r="C3266" t="s">
        <v>40</v>
      </c>
      <c r="D3266">
        <v>3.3008280000000001</v>
      </c>
      <c r="E3266">
        <v>0.58824299999999996</v>
      </c>
      <c r="F3266" t="s">
        <v>50</v>
      </c>
      <c r="G3266">
        <v>-209.51759999999999</v>
      </c>
      <c r="H3266" s="1">
        <v>-6.5636589999999999E-6</v>
      </c>
      <c r="I3266">
        <v>143.33439999999999</v>
      </c>
      <c r="J3266">
        <v>-191.26830000000001</v>
      </c>
      <c r="K3266">
        <v>1.107342</v>
      </c>
      <c r="L3266">
        <v>156.14340000000001</v>
      </c>
      <c r="M3266">
        <v>-0.38032009999999999</v>
      </c>
      <c r="N3266">
        <v>0</v>
      </c>
      <c r="O3266">
        <v>-0.92476729999999996</v>
      </c>
      <c r="P3266">
        <v>-0.65579699999999996</v>
      </c>
      <c r="Q3266">
        <v>0.1974533</v>
      </c>
      <c r="R3266">
        <v>-0.72865859999999905</v>
      </c>
      <c r="S3266">
        <v>-2.5880429999999999</v>
      </c>
      <c r="T3266">
        <v>-0.1563145</v>
      </c>
      <c r="U3266">
        <v>-1.835739</v>
      </c>
      <c r="V3266">
        <v>0.330897099999999</v>
      </c>
      <c r="W3266">
        <v>0.20677590000000001</v>
      </c>
      <c r="X3266">
        <v>0.92073389999999999</v>
      </c>
      <c r="Y3266">
        <v>0.53318319999999997</v>
      </c>
      <c r="Z3266">
        <v>5.0921439999999998E-2</v>
      </c>
      <c r="AA3266">
        <v>0.84446599999999905</v>
      </c>
      <c r="AB3266">
        <v>22</v>
      </c>
      <c r="AC3266">
        <v>-18.249299999999899</v>
      </c>
      <c r="AD3266">
        <v>-1.1073485636589999</v>
      </c>
      <c r="AE3266">
        <v>-12.808999999999999</v>
      </c>
      <c r="AF3266">
        <v>11.9762666114467</v>
      </c>
      <c r="AG3266">
        <v>-1.1073485636589999</v>
      </c>
      <c r="AH3266">
        <v>18.741213202635599</v>
      </c>
      <c r="AI3266">
        <v>92.850318157574094</v>
      </c>
      <c r="AJ3266">
        <v>57.420051642114302</v>
      </c>
      <c r="AK3266">
        <v>22.268593469200798</v>
      </c>
      <c r="AL3266">
        <v>78.066522137590894</v>
      </c>
      <c r="AM3266">
        <v>70.232370891032105</v>
      </c>
      <c r="AN3266">
        <v>1.0000000391092101</v>
      </c>
    </row>
    <row r="3267" spans="1:40" x14ac:dyDescent="0.25">
      <c r="A3267" t="str">
        <f>"20190312172726645"</f>
        <v>20190312172726645</v>
      </c>
      <c r="B3267" t="str">
        <f>"1552382846642041"</f>
        <v>1552382846642041</v>
      </c>
      <c r="C3267" t="s">
        <v>40</v>
      </c>
      <c r="D3267">
        <v>3.3405399999999998</v>
      </c>
      <c r="E3267">
        <v>0.5884644</v>
      </c>
      <c r="F3267" t="s">
        <v>41</v>
      </c>
      <c r="G3267">
        <v>-210.19049999999999</v>
      </c>
      <c r="H3267" s="1">
        <v>-5.2311900000000001E-6</v>
      </c>
      <c r="I3267">
        <v>142.9597</v>
      </c>
      <c r="J3267">
        <v>-191.36330000000001</v>
      </c>
      <c r="K3267">
        <v>1.107235</v>
      </c>
      <c r="L3267">
        <v>155.92949999999999</v>
      </c>
      <c r="M3267">
        <v>-0.38568259999999899</v>
      </c>
      <c r="N3267">
        <v>0</v>
      </c>
      <c r="O3267">
        <v>-0.92254409999999998</v>
      </c>
      <c r="P3267">
        <v>-0.66126370000000001</v>
      </c>
      <c r="Q3267">
        <v>0.198408</v>
      </c>
      <c r="R3267">
        <v>-0.72343930000000001</v>
      </c>
      <c r="S3267">
        <v>-2.6043400000000001</v>
      </c>
      <c r="T3267">
        <v>-0.1524085</v>
      </c>
      <c r="U3267">
        <v>-1.8145290000000001</v>
      </c>
      <c r="V3267">
        <v>0.33265159999999899</v>
      </c>
      <c r="W3267">
        <v>0.20757220000000001</v>
      </c>
      <c r="X3267">
        <v>0.91992209999999996</v>
      </c>
      <c r="Y3267">
        <v>0.53543929999999995</v>
      </c>
      <c r="Z3267">
        <v>4.9628440000000003E-2</v>
      </c>
      <c r="AA3267">
        <v>0.84311440000000004</v>
      </c>
      <c r="AB3267">
        <v>22</v>
      </c>
      <c r="AC3267">
        <v>-18.827199999999898</v>
      </c>
      <c r="AD3267">
        <v>-1.10724023119</v>
      </c>
      <c r="AE3267">
        <v>-12.9697999999999</v>
      </c>
      <c r="AF3267">
        <v>12.3387522700222</v>
      </c>
      <c r="AG3267">
        <v>-1.10724023119</v>
      </c>
      <c r="AH3267">
        <v>19.1830915760086</v>
      </c>
      <c r="AI3267">
        <v>92.779224087392507</v>
      </c>
      <c r="AJ3267">
        <v>57.250479278061803</v>
      </c>
      <c r="AK3267">
        <v>22.835537894345201</v>
      </c>
      <c r="AL3267">
        <v>78.019885063247997</v>
      </c>
      <c r="AM3267">
        <v>70.119581661219797</v>
      </c>
      <c r="AN3267">
        <v>0.99999998763190401</v>
      </c>
    </row>
    <row r="3268" spans="1:40" x14ac:dyDescent="0.25">
      <c r="A3268" t="str">
        <f>"20190312172726666"</f>
        <v>20190312172726666</v>
      </c>
      <c r="B3268" t="str">
        <f>"1552382846662536"</f>
        <v>1552382846662536</v>
      </c>
      <c r="C3268" t="s">
        <v>40</v>
      </c>
      <c r="D3268">
        <v>3.3033640000000002</v>
      </c>
      <c r="E3268">
        <v>0.588553199999999</v>
      </c>
      <c r="F3268" t="s">
        <v>41</v>
      </c>
      <c r="G3268">
        <v>-210.7064</v>
      </c>
      <c r="H3268" s="1">
        <v>-4.9883210000000001E-6</v>
      </c>
      <c r="I3268">
        <v>142.70740000000001</v>
      </c>
      <c r="J3268">
        <v>-191.4461</v>
      </c>
      <c r="K3268">
        <v>1.107132</v>
      </c>
      <c r="L3268">
        <v>155.74639999999999</v>
      </c>
      <c r="M3268">
        <v>-0.39039649999999998</v>
      </c>
      <c r="N3268">
        <v>0</v>
      </c>
      <c r="O3268">
        <v>-0.92055980000000004</v>
      </c>
      <c r="P3268">
        <v>-0.66636319999999905</v>
      </c>
      <c r="Q3268">
        <v>0.19912640000000001</v>
      </c>
      <c r="R3268">
        <v>-0.71854689999999999</v>
      </c>
      <c r="S3268">
        <v>-2.6213989999999998</v>
      </c>
      <c r="T3268">
        <v>-0.15005460000000001</v>
      </c>
      <c r="U3268">
        <v>-1.7918700000000001</v>
      </c>
      <c r="V3268">
        <v>0.33459460000000002</v>
      </c>
      <c r="W3268">
        <v>0.20815149999999999</v>
      </c>
      <c r="X3268">
        <v>0.91908619999999996</v>
      </c>
      <c r="Y3268">
        <v>0.53867670000000001</v>
      </c>
      <c r="Z3268">
        <v>4.8854889999999998E-2</v>
      </c>
      <c r="AA3268">
        <v>0.84109489999999998</v>
      </c>
      <c r="AB3268">
        <v>22</v>
      </c>
      <c r="AC3268">
        <v>-19.260300000000001</v>
      </c>
      <c r="AD3268">
        <v>-1.107136988321</v>
      </c>
      <c r="AE3268">
        <v>-13.0389999999999</v>
      </c>
      <c r="AF3268">
        <v>12.612313444658501</v>
      </c>
      <c r="AG3268">
        <v>-1.107136988321</v>
      </c>
      <c r="AH3268">
        <v>19.479759468503001</v>
      </c>
      <c r="AI3268">
        <v>92.731424939891198</v>
      </c>
      <c r="AJ3268">
        <v>57.078664897177703</v>
      </c>
      <c r="AK3268">
        <v>23.232675947637901</v>
      </c>
      <c r="AL3268">
        <v>77.985952840323407</v>
      </c>
      <c r="AM3268">
        <v>69.995894634398496</v>
      </c>
      <c r="AN3268">
        <v>1.0000000181659201</v>
      </c>
    </row>
    <row r="3269" spans="1:40" x14ac:dyDescent="0.25">
      <c r="A3269" t="str">
        <f>"20190312172726688"</f>
        <v>20190312172726688</v>
      </c>
      <c r="B3269" t="str">
        <f>"1552382846682057"</f>
        <v>1552382846682057</v>
      </c>
      <c r="C3269" t="s">
        <v>40</v>
      </c>
      <c r="D3269">
        <v>3.2666179999999998</v>
      </c>
      <c r="E3269">
        <v>0.58862499999999995</v>
      </c>
      <c r="F3269" t="s">
        <v>41</v>
      </c>
      <c r="G3269">
        <v>-211.24379999999999</v>
      </c>
      <c r="H3269" s="1">
        <v>-4.7358709999999997E-6</v>
      </c>
      <c r="I3269">
        <v>142.44759999999999</v>
      </c>
      <c r="J3269">
        <v>-191.5368</v>
      </c>
      <c r="K3269">
        <v>1.107013</v>
      </c>
      <c r="L3269">
        <v>155.54910000000001</v>
      </c>
      <c r="M3269">
        <v>-0.39563419999999999</v>
      </c>
      <c r="N3269">
        <v>0</v>
      </c>
      <c r="O3269">
        <v>-0.91832080000000005</v>
      </c>
      <c r="P3269">
        <v>-0.67189889999999997</v>
      </c>
      <c r="Q3269">
        <v>0.1989891</v>
      </c>
      <c r="R3269">
        <v>-0.71341140000000003</v>
      </c>
      <c r="S3269">
        <v>-2.6364290000000001</v>
      </c>
      <c r="T3269">
        <v>-0.14743599999999901</v>
      </c>
      <c r="U3269">
        <v>-1.770996</v>
      </c>
      <c r="V3269">
        <v>0.33651550000000002</v>
      </c>
      <c r="W3269">
        <v>0.20788380000000001</v>
      </c>
      <c r="X3269">
        <v>0.91844519999999996</v>
      </c>
      <c r="Y3269">
        <v>0.54072469999999995</v>
      </c>
      <c r="Z3269">
        <v>4.7984470000000001E-2</v>
      </c>
      <c r="AA3269">
        <v>0.83982990000000002</v>
      </c>
      <c r="AB3269">
        <v>22</v>
      </c>
      <c r="AC3269">
        <v>-19.706999999999901</v>
      </c>
      <c r="AD3269">
        <v>-1.1070177358710001</v>
      </c>
      <c r="AE3269">
        <v>-13.1015</v>
      </c>
      <c r="AF3269">
        <v>12.8867826162176</v>
      </c>
      <c r="AG3269">
        <v>-1.1070177358710001</v>
      </c>
      <c r="AH3269">
        <v>19.786435514308799</v>
      </c>
      <c r="AI3269">
        <v>92.684162351064998</v>
      </c>
      <c r="AJ3269">
        <v>56.924051598916797</v>
      </c>
      <c r="AK3269">
        <v>23.638901937845599</v>
      </c>
      <c r="AL3269">
        <v>78.001633365544393</v>
      </c>
      <c r="AM3269">
        <v>69.877321058183497</v>
      </c>
      <c r="AN3269">
        <v>0.99999997072286395</v>
      </c>
    </row>
    <row r="3270" spans="1:40" x14ac:dyDescent="0.25">
      <c r="A3270" t="str">
        <f>"20190312172726711"</f>
        <v>20190312172726711</v>
      </c>
      <c r="B3270" t="str">
        <f>"1552382846702552"</f>
        <v>1552382846702552</v>
      </c>
      <c r="C3270" t="s">
        <v>40</v>
      </c>
      <c r="D3270">
        <v>3.2445889999999999</v>
      </c>
      <c r="E3270">
        <v>0.588667099999999</v>
      </c>
      <c r="F3270" t="s">
        <v>41</v>
      </c>
      <c r="G3270">
        <v>-211.38329999999999</v>
      </c>
      <c r="H3270" s="1">
        <v>-4.6847399999999996E-6</v>
      </c>
      <c r="I3270">
        <v>142.4614</v>
      </c>
      <c r="J3270">
        <v>-191.63059999999999</v>
      </c>
      <c r="K3270">
        <v>1.106895</v>
      </c>
      <c r="L3270">
        <v>155.34889999999999</v>
      </c>
      <c r="M3270">
        <v>-0.40115879999999998</v>
      </c>
      <c r="N3270">
        <v>0</v>
      </c>
      <c r="O3270">
        <v>-0.91592099999999999</v>
      </c>
      <c r="P3270">
        <v>-0.67721359999999997</v>
      </c>
      <c r="Q3270">
        <v>0.19925889999999999</v>
      </c>
      <c r="R3270">
        <v>-0.70829229999999999</v>
      </c>
      <c r="S3270">
        <v>-2.6519170000000001</v>
      </c>
      <c r="T3270">
        <v>-0.1479211</v>
      </c>
      <c r="U3270">
        <v>-1.7487950000000001</v>
      </c>
      <c r="V3270">
        <v>0.337947</v>
      </c>
      <c r="W3270">
        <v>0.20803489999999999</v>
      </c>
      <c r="X3270">
        <v>0.91788519999999896</v>
      </c>
      <c r="Y3270">
        <v>0.54280779999999995</v>
      </c>
      <c r="Z3270">
        <v>4.8122289999999998E-2</v>
      </c>
      <c r="AA3270">
        <v>0.83847709999999998</v>
      </c>
      <c r="AB3270">
        <v>22</v>
      </c>
      <c r="AC3270">
        <v>-19.752700000000001</v>
      </c>
      <c r="AD3270">
        <v>-1.1068996847399999</v>
      </c>
      <c r="AE3270">
        <v>-12.8874999999999</v>
      </c>
      <c r="AF3270">
        <v>12.8946127375825</v>
      </c>
      <c r="AG3270">
        <v>-1.1068996847399999</v>
      </c>
      <c r="AH3270">
        <v>19.686121875820099</v>
      </c>
      <c r="AI3270">
        <v>92.692953156168599</v>
      </c>
      <c r="AJ3270">
        <v>56.774787940354898</v>
      </c>
      <c r="AK3270">
        <v>23.559279680710599</v>
      </c>
      <c r="AL3270">
        <v>77.9927824295535</v>
      </c>
      <c r="AM3270">
        <v>69.7873007117593</v>
      </c>
      <c r="AN3270">
        <v>0.99999996740302399</v>
      </c>
    </row>
    <row r="3271" spans="1:40" x14ac:dyDescent="0.25">
      <c r="A3271" t="str">
        <f>"20190312172726733"</f>
        <v>20190312172726733</v>
      </c>
      <c r="B3271" t="str">
        <f>"1552382846722072"</f>
        <v>1552382846722072</v>
      </c>
      <c r="C3271" t="s">
        <v>40</v>
      </c>
      <c r="D3271">
        <v>3.291201</v>
      </c>
      <c r="E3271">
        <v>0.58868719999999997</v>
      </c>
      <c r="F3271" t="s">
        <v>41</v>
      </c>
      <c r="G3271">
        <v>-211.6087</v>
      </c>
      <c r="H3271" s="1">
        <v>-4.5879760000000001E-6</v>
      </c>
      <c r="I3271">
        <v>142.40389999999999</v>
      </c>
      <c r="J3271">
        <v>-191.72640000000001</v>
      </c>
      <c r="K3271">
        <v>1.1067959999999999</v>
      </c>
      <c r="L3271">
        <v>155.1482</v>
      </c>
      <c r="M3271">
        <v>-0.4068659</v>
      </c>
      <c r="N3271">
        <v>0</v>
      </c>
      <c r="O3271">
        <v>-0.91339990000000004</v>
      </c>
      <c r="P3271">
        <v>-0.68288059999999995</v>
      </c>
      <c r="Q3271">
        <v>0.20022429999999999</v>
      </c>
      <c r="R3271">
        <v>-0.70255540000000005</v>
      </c>
      <c r="S3271">
        <v>-2.666382</v>
      </c>
      <c r="T3271">
        <v>-0.14773259999999999</v>
      </c>
      <c r="U3271">
        <v>-1.7277070000000001</v>
      </c>
      <c r="V3271">
        <v>0.3397694</v>
      </c>
      <c r="W3271">
        <v>0.20888689999999999</v>
      </c>
      <c r="X3271">
        <v>0.91701849999999996</v>
      </c>
      <c r="Y3271">
        <v>0.54432009999999997</v>
      </c>
      <c r="Z3271">
        <v>4.8032329999999998E-2</v>
      </c>
      <c r="AA3271">
        <v>0.8375013</v>
      </c>
      <c r="AB3271">
        <v>22</v>
      </c>
      <c r="AC3271">
        <v>-19.882299999999901</v>
      </c>
      <c r="AD3271">
        <v>-1.1068005879759999</v>
      </c>
      <c r="AE3271">
        <v>-12.744300000000001</v>
      </c>
      <c r="AF3271">
        <v>12.947873551856899</v>
      </c>
      <c r="AG3271">
        <v>-1.1068005879759999</v>
      </c>
      <c r="AH3271">
        <v>19.6884138413801</v>
      </c>
      <c r="AI3271">
        <v>92.689159230978305</v>
      </c>
      <c r="AJ3271">
        <v>56.669510577690303</v>
      </c>
      <c r="AK3271">
        <v>23.5903810195144</v>
      </c>
      <c r="AL3271">
        <v>77.942869735703994</v>
      </c>
      <c r="AM3271">
        <v>69.669560486125803</v>
      </c>
      <c r="AN3271">
        <v>0.99999995575510903</v>
      </c>
    </row>
    <row r="3272" spans="1:40" x14ac:dyDescent="0.25">
      <c r="A3272" t="str">
        <f>"20190312172726758"</f>
        <v>20190312172726758</v>
      </c>
      <c r="B3272" t="str">
        <f>"1552382846752330"</f>
        <v>1552382846752330</v>
      </c>
      <c r="C3272" t="s">
        <v>40</v>
      </c>
      <c r="D3272">
        <v>3.292173</v>
      </c>
      <c r="E3272">
        <v>0.58939710000000001</v>
      </c>
      <c r="F3272" t="s">
        <v>41</v>
      </c>
      <c r="G3272">
        <v>-212.3262</v>
      </c>
      <c r="H3272" s="1">
        <v>-4.2505939999999998E-6</v>
      </c>
      <c r="I3272">
        <v>142.05510000000001</v>
      </c>
      <c r="J3272">
        <v>-191.82910000000001</v>
      </c>
      <c r="K3272">
        <v>1.106703</v>
      </c>
      <c r="L3272">
        <v>154.93680000000001</v>
      </c>
      <c r="M3272">
        <v>-0.41305599999999998</v>
      </c>
      <c r="N3272">
        <v>0</v>
      </c>
      <c r="O3272">
        <v>-0.91061780000000003</v>
      </c>
      <c r="P3272">
        <v>-0.68891669999999905</v>
      </c>
      <c r="Q3272">
        <v>0.20098460000000001</v>
      </c>
      <c r="R3272">
        <v>-0.69641889999999995</v>
      </c>
      <c r="S3272">
        <v>-2.6817630000000001</v>
      </c>
      <c r="T3272">
        <v>-0.14408760000000001</v>
      </c>
      <c r="U3272">
        <v>-1.7045140000000001</v>
      </c>
      <c r="V3272">
        <v>0.3416091</v>
      </c>
      <c r="W3272">
        <v>0.2095388</v>
      </c>
      <c r="X3272">
        <v>0.91618599999999994</v>
      </c>
      <c r="Y3272">
        <v>0.54601390000000005</v>
      </c>
      <c r="Z3272">
        <v>4.6820830000000001E-2</v>
      </c>
      <c r="AA3272">
        <v>0.83646669999999901</v>
      </c>
      <c r="AB3272">
        <v>22</v>
      </c>
      <c r="AC3272">
        <v>-20.4970999999999</v>
      </c>
      <c r="AD3272">
        <v>-1.1067072505940001</v>
      </c>
      <c r="AE3272">
        <v>-12.881699999999899</v>
      </c>
      <c r="AF3272">
        <v>13.3173965961909</v>
      </c>
      <c r="AG3272">
        <v>-1.1067072505940001</v>
      </c>
      <c r="AH3272">
        <v>20.15624734312</v>
      </c>
      <c r="AI3272">
        <v>92.622913924957999</v>
      </c>
      <c r="AJ3272">
        <v>56.5469358537161</v>
      </c>
      <c r="AK3272">
        <v>24.183716835833799</v>
      </c>
      <c r="AL3272">
        <v>77.904674321309102</v>
      </c>
      <c r="AM3272">
        <v>69.551527295049198</v>
      </c>
      <c r="AN3272">
        <v>1.00000003625212</v>
      </c>
    </row>
    <row r="3273" spans="1:40" x14ac:dyDescent="0.25">
      <c r="A3273" t="str">
        <f>"20190312172726779"</f>
        <v>20190312172726779</v>
      </c>
      <c r="B3273" t="str">
        <f>"1552382846772825"</f>
        <v>1552382846772825</v>
      </c>
      <c r="C3273" t="s">
        <v>40</v>
      </c>
      <c r="D3273">
        <v>3.2216459999999998</v>
      </c>
      <c r="E3273">
        <v>0.58976070000000003</v>
      </c>
      <c r="F3273" t="s">
        <v>41</v>
      </c>
      <c r="G3273">
        <v>-212.70150000000001</v>
      </c>
      <c r="H3273" s="1">
        <v>-4.0614450000000004E-6</v>
      </c>
      <c r="I3273">
        <v>141.98759999999999</v>
      </c>
      <c r="J3273">
        <v>-191.92140000000001</v>
      </c>
      <c r="K3273">
        <v>1.106619</v>
      </c>
      <c r="L3273">
        <v>154.75020000000001</v>
      </c>
      <c r="M3273">
        <v>-0.41867779999999999</v>
      </c>
      <c r="N3273">
        <v>0</v>
      </c>
      <c r="O3273">
        <v>-0.90804629999999997</v>
      </c>
      <c r="P3273">
        <v>-0.69451949999999996</v>
      </c>
      <c r="Q3273">
        <v>0.2021241</v>
      </c>
      <c r="R3273">
        <v>-0.69049850000000002</v>
      </c>
      <c r="S3273">
        <v>-2.701965</v>
      </c>
      <c r="T3273">
        <v>-0.1432648</v>
      </c>
      <c r="U3273">
        <v>-1.67628499999999</v>
      </c>
      <c r="V3273">
        <v>0.34354580000000001</v>
      </c>
      <c r="W3273">
        <v>0.2105775</v>
      </c>
      <c r="X3273">
        <v>0.91522320000000001</v>
      </c>
      <c r="Y3273">
        <v>0.54996099999999903</v>
      </c>
      <c r="Z3273">
        <v>4.6531389999999999E-2</v>
      </c>
      <c r="AA3273">
        <v>0.83389310000000005</v>
      </c>
      <c r="AB3273">
        <v>22</v>
      </c>
      <c r="AC3273">
        <v>-20.780100000000001</v>
      </c>
      <c r="AD3273">
        <v>-1.1066230614449999</v>
      </c>
      <c r="AE3273">
        <v>-12.762600000000001</v>
      </c>
      <c r="AF3273">
        <v>13.499165519543</v>
      </c>
      <c r="AG3273">
        <v>-1.1066230614449999</v>
      </c>
      <c r="AH3273">
        <v>20.249132337034201</v>
      </c>
      <c r="AI3273">
        <v>92.603568320740493</v>
      </c>
      <c r="AJ3273">
        <v>56.310434034310703</v>
      </c>
      <c r="AK3273">
        <v>24.361433552376699</v>
      </c>
      <c r="AL3273">
        <v>77.843803296541907</v>
      </c>
      <c r="AM3273">
        <v>69.425455327883796</v>
      </c>
      <c r="AN3273">
        <v>1.00000005301106</v>
      </c>
    </row>
    <row r="3274" spans="1:40" x14ac:dyDescent="0.25">
      <c r="A3274" t="str">
        <f>"20190312172726802"</f>
        <v>20190312172726802</v>
      </c>
      <c r="B3274" t="str">
        <f>"1552382846792344"</f>
        <v>1552382846792344</v>
      </c>
      <c r="C3274" t="s">
        <v>40</v>
      </c>
      <c r="D3274">
        <v>3.2567710000000001</v>
      </c>
      <c r="E3274">
        <v>0.59009869999999898</v>
      </c>
      <c r="F3274" t="s">
        <v>41</v>
      </c>
      <c r="G3274">
        <v>-213.51179999999999</v>
      </c>
      <c r="H3274" s="1">
        <v>-3.5857240000000001E-6</v>
      </c>
      <c r="I3274">
        <v>141.63919999999999</v>
      </c>
      <c r="J3274">
        <v>-192.01859999999999</v>
      </c>
      <c r="K3274">
        <v>1.1065130000000001</v>
      </c>
      <c r="L3274">
        <v>154.5574</v>
      </c>
      <c r="M3274">
        <v>-0.4246607</v>
      </c>
      <c r="N3274">
        <v>0</v>
      </c>
      <c r="O3274">
        <v>-0.90526379999999995</v>
      </c>
      <c r="P3274">
        <v>-0.70020000000000004</v>
      </c>
      <c r="Q3274">
        <v>0.20165739999999999</v>
      </c>
      <c r="R3274">
        <v>-0.68487519999999902</v>
      </c>
      <c r="S3274">
        <v>-2.7187039999999998</v>
      </c>
      <c r="T3274">
        <v>-0.1393481</v>
      </c>
      <c r="U3274">
        <v>-1.650955</v>
      </c>
      <c r="V3274">
        <v>0.34506409999999998</v>
      </c>
      <c r="W3274">
        <v>0.21000830000000001</v>
      </c>
      <c r="X3274">
        <v>0.9147826</v>
      </c>
      <c r="Y3274">
        <v>0.55246059999999997</v>
      </c>
      <c r="Z3274">
        <v>4.5234139999999999E-2</v>
      </c>
      <c r="AA3274">
        <v>0.83231069999999996</v>
      </c>
      <c r="AB3274">
        <v>22</v>
      </c>
      <c r="AC3274">
        <v>-21.493200000000002</v>
      </c>
      <c r="AD3274">
        <v>-1.10651658572399</v>
      </c>
      <c r="AE3274">
        <v>-12.918200000000001</v>
      </c>
      <c r="AF3274">
        <v>13.9451351714479</v>
      </c>
      <c r="AG3274">
        <v>-1.10651658572399</v>
      </c>
      <c r="AH3274">
        <v>20.782904462215999</v>
      </c>
      <c r="AI3274">
        <v>92.531473461830899</v>
      </c>
      <c r="AJ3274">
        <v>56.138756999990797</v>
      </c>
      <c r="AK3274">
        <v>25.052351023208001</v>
      </c>
      <c r="AL3274">
        <v>77.877160888771101</v>
      </c>
      <c r="AM3274">
        <v>69.333080258390495</v>
      </c>
      <c r="AN3274">
        <v>0.99999996222022902</v>
      </c>
    </row>
    <row r="3275" spans="1:40" x14ac:dyDescent="0.25">
      <c r="A3275" t="str">
        <f>"20190312172726824"</f>
        <v>20190312172726824</v>
      </c>
      <c r="B3275" t="str">
        <f>"1552382846812844"</f>
        <v>1552382846812844</v>
      </c>
      <c r="C3275" t="s">
        <v>40</v>
      </c>
      <c r="D3275">
        <v>3.288888</v>
      </c>
      <c r="E3275">
        <v>0.5903891</v>
      </c>
      <c r="F3275" t="s">
        <v>41</v>
      </c>
      <c r="G3275">
        <v>-213.41669999999999</v>
      </c>
      <c r="H3275" s="1">
        <v>-3.6811460000000002E-6</v>
      </c>
      <c r="I3275">
        <v>141.8288</v>
      </c>
      <c r="J3275">
        <v>-192.1207</v>
      </c>
      <c r="K3275">
        <v>1.1063700000000001</v>
      </c>
      <c r="L3275">
        <v>154.3586</v>
      </c>
      <c r="M3275">
        <v>-0.431031</v>
      </c>
      <c r="N3275">
        <v>0</v>
      </c>
      <c r="O3275">
        <v>-0.90224769999999999</v>
      </c>
      <c r="P3275">
        <v>-0.70579789999999998</v>
      </c>
      <c r="Q3275">
        <v>0.20162559999999999</v>
      </c>
      <c r="R3275">
        <v>-0.67911429999999995</v>
      </c>
      <c r="S3275">
        <v>-2.7343139999999999</v>
      </c>
      <c r="T3275">
        <v>-0.14139399999999999</v>
      </c>
      <c r="U3275">
        <v>-1.626495</v>
      </c>
      <c r="V3275">
        <v>0.34619549999999999</v>
      </c>
      <c r="W3275">
        <v>0.20985210000000001</v>
      </c>
      <c r="X3275">
        <v>0.91439090000000001</v>
      </c>
      <c r="Y3275">
        <v>0.55414919999999901</v>
      </c>
      <c r="Z3275">
        <v>4.5858709999999997E-2</v>
      </c>
      <c r="AA3275">
        <v>0.83115319999999904</v>
      </c>
      <c r="AB3275">
        <v>22</v>
      </c>
      <c r="AC3275">
        <v>-21.2959999999999</v>
      </c>
      <c r="AD3275">
        <v>-1.1063736811460001</v>
      </c>
      <c r="AE3275">
        <v>-12.5297999999999</v>
      </c>
      <c r="AF3275">
        <v>13.787006962205</v>
      </c>
      <c r="AG3275">
        <v>-1.1063736811460001</v>
      </c>
      <c r="AH3275">
        <v>20.444881036534699</v>
      </c>
      <c r="AI3275">
        <v>92.568945163598102</v>
      </c>
      <c r="AJ3275">
        <v>56.0062400202956</v>
      </c>
      <c r="AK3275">
        <v>24.683978291521001</v>
      </c>
      <c r="AL3275">
        <v>77.886314597907699</v>
      </c>
      <c r="AM3275">
        <v>69.262944857220504</v>
      </c>
      <c r="AN3275">
        <v>0.999999973048734</v>
      </c>
    </row>
    <row r="3276" spans="1:40" x14ac:dyDescent="0.25">
      <c r="A3276" t="str">
        <f>"20190312172726846"</f>
        <v>20190312172726846</v>
      </c>
      <c r="B3276" t="str">
        <f>"1552382846842120"</f>
        <v>1552382846842120</v>
      </c>
      <c r="C3276" t="s">
        <v>40</v>
      </c>
      <c r="D3276">
        <v>3.238788</v>
      </c>
      <c r="E3276">
        <v>0.59073589999999998</v>
      </c>
      <c r="F3276" t="s">
        <v>41</v>
      </c>
      <c r="G3276">
        <v>-213.45249999999999</v>
      </c>
      <c r="H3276" s="1">
        <v>-3.6896549999999998E-6</v>
      </c>
      <c r="I3276">
        <v>141.92439999999999</v>
      </c>
      <c r="J3276">
        <v>-192.2183</v>
      </c>
      <c r="K3276">
        <v>1.106806</v>
      </c>
      <c r="L3276">
        <v>154.17150000000001</v>
      </c>
      <c r="M3276">
        <v>-0.43654549999999998</v>
      </c>
      <c r="N3276">
        <v>0</v>
      </c>
      <c r="O3276">
        <v>-0.89958009999999999</v>
      </c>
      <c r="P3276">
        <v>-0.71116409999999997</v>
      </c>
      <c r="Q3276">
        <v>0.2009746</v>
      </c>
      <c r="R3276">
        <v>-0.67368760000000005</v>
      </c>
      <c r="S3276">
        <v>-2.749298</v>
      </c>
      <c r="T3276">
        <v>-0.142592</v>
      </c>
      <c r="U3276">
        <v>-1.6025389999999999</v>
      </c>
      <c r="V3276">
        <v>0.34767320000000002</v>
      </c>
      <c r="W3276">
        <v>0.21013509999999999</v>
      </c>
      <c r="X3276">
        <v>0.9137651</v>
      </c>
      <c r="Y3276">
        <v>0.55641229999999997</v>
      </c>
      <c r="Z3276">
        <v>4.622064E-2</v>
      </c>
      <c r="AA3276">
        <v>0.82961980000000002</v>
      </c>
      <c r="AB3276">
        <v>22</v>
      </c>
      <c r="AC3276">
        <v>-21.234199999999898</v>
      </c>
      <c r="AD3276">
        <v>-1.1068096896549999</v>
      </c>
      <c r="AE3276">
        <v>-12.2471</v>
      </c>
      <c r="AF3276">
        <v>13.728721842137199</v>
      </c>
      <c r="AG3276">
        <v>-1.1068096896549999</v>
      </c>
      <c r="AH3276">
        <v>20.2475263027276</v>
      </c>
      <c r="AI3276">
        <v>92.5905331637844</v>
      </c>
      <c r="AJ3276">
        <v>55.860986521603003</v>
      </c>
      <c r="AK3276">
        <v>24.488061427714801</v>
      </c>
      <c r="AL3276">
        <v>77.869730879975705</v>
      </c>
      <c r="AM3276">
        <v>69.168969895347502</v>
      </c>
      <c r="AN3276">
        <v>1.0000000361141199</v>
      </c>
    </row>
    <row r="3277" spans="1:40" x14ac:dyDescent="0.25">
      <c r="A3277" t="str">
        <f>"20190312172726870"</f>
        <v>20190312172726870</v>
      </c>
      <c r="B3277" t="str">
        <f>"1552382846862617"</f>
        <v>1552382846862617</v>
      </c>
      <c r="C3277" t="s">
        <v>40</v>
      </c>
      <c r="D3277">
        <v>3.3276530000000002</v>
      </c>
      <c r="E3277">
        <v>0.59088399999999996</v>
      </c>
      <c r="F3277" t="s">
        <v>41</v>
      </c>
      <c r="G3277">
        <v>-213.06110000000001</v>
      </c>
      <c r="H3277" s="1">
        <v>-3.9637050000000002E-6</v>
      </c>
      <c r="I3277">
        <v>142.25899999999999</v>
      </c>
      <c r="J3277">
        <v>-192.32079999999999</v>
      </c>
      <c r="K3277">
        <v>1.107675</v>
      </c>
      <c r="L3277">
        <v>153.97730000000001</v>
      </c>
      <c r="M3277">
        <v>-0.44179619999999997</v>
      </c>
      <c r="N3277">
        <v>0</v>
      </c>
      <c r="O3277">
        <v>-0.89698709999999904</v>
      </c>
      <c r="P3277">
        <v>-0.71604489999999998</v>
      </c>
      <c r="Q3277">
        <v>0.1994281</v>
      </c>
      <c r="R3277">
        <v>-0.66896060000000002</v>
      </c>
      <c r="S3277">
        <v>-2.763611</v>
      </c>
      <c r="T3277">
        <v>-0.1467552</v>
      </c>
      <c r="U3277">
        <v>-1.5795140000000001</v>
      </c>
      <c r="V3277">
        <v>0.34852179999999999</v>
      </c>
      <c r="W3277">
        <v>0.2104568</v>
      </c>
      <c r="X3277">
        <v>0.91336759999999995</v>
      </c>
      <c r="Y3277">
        <v>0.55855180000000004</v>
      </c>
      <c r="Z3277">
        <v>4.7538749999999998E-2</v>
      </c>
      <c r="AA3277">
        <v>0.82810620000000001</v>
      </c>
      <c r="AB3277">
        <v>22</v>
      </c>
      <c r="AC3277">
        <v>-20.740300000000001</v>
      </c>
      <c r="AD3277">
        <v>-1.107678963705</v>
      </c>
      <c r="AE3277">
        <v>-11.718299999999999</v>
      </c>
      <c r="AF3277">
        <v>13.399256518433001</v>
      </c>
      <c r="AG3277">
        <v>-1.107678963705</v>
      </c>
      <c r="AH3277">
        <v>19.6339642942803</v>
      </c>
      <c r="AI3277">
        <v>92.667999347363406</v>
      </c>
      <c r="AJ3277">
        <v>55.688303299302</v>
      </c>
      <c r="AK3277">
        <v>23.796209400710801</v>
      </c>
      <c r="AL3277">
        <v>77.850876048148706</v>
      </c>
      <c r="AM3277">
        <v>69.114201133080101</v>
      </c>
      <c r="AN3277">
        <v>0.99999994123561797</v>
      </c>
    </row>
    <row r="3278" spans="1:40" x14ac:dyDescent="0.25">
      <c r="A3278" t="str">
        <f>"20190312172726889"</f>
        <v>20190312172726889</v>
      </c>
      <c r="B3278" t="str">
        <f>"1552382846882137"</f>
        <v>1552382846882137</v>
      </c>
      <c r="C3278" t="s">
        <v>40</v>
      </c>
      <c r="D3278">
        <v>3.285285</v>
      </c>
      <c r="E3278">
        <v>0.59101049999999999</v>
      </c>
      <c r="F3278" t="s">
        <v>41</v>
      </c>
      <c r="G3278">
        <v>-212.34139999999999</v>
      </c>
      <c r="H3278" s="1">
        <v>-4.3623599999999997E-6</v>
      </c>
      <c r="I3278">
        <v>142.71809999999999</v>
      </c>
      <c r="J3278">
        <v>-192.41</v>
      </c>
      <c r="K3278">
        <v>1.1084130000000001</v>
      </c>
      <c r="L3278">
        <v>153.8098</v>
      </c>
      <c r="M3278">
        <v>-0.44604050000000001</v>
      </c>
      <c r="N3278">
        <v>0</v>
      </c>
      <c r="O3278">
        <v>-0.89485479999999995</v>
      </c>
      <c r="P3278">
        <v>-0.72009650000000003</v>
      </c>
      <c r="Q3278">
        <v>0.19753960000000001</v>
      </c>
      <c r="R3278">
        <v>-0.665161</v>
      </c>
      <c r="S3278">
        <v>-2.7746119999999999</v>
      </c>
      <c r="T3278">
        <v>-0.15351090000000001</v>
      </c>
      <c r="U3278">
        <v>-1.5603940000000001</v>
      </c>
      <c r="V3278">
        <v>0.34928209999999998</v>
      </c>
      <c r="W3278">
        <v>0.2103873</v>
      </c>
      <c r="X3278">
        <v>0.91309320000000005</v>
      </c>
      <c r="Y3278">
        <v>0.56025139999999995</v>
      </c>
      <c r="Z3278">
        <v>4.9706319999999998E-2</v>
      </c>
      <c r="AA3278">
        <v>0.82682990000000001</v>
      </c>
      <c r="AB3278">
        <v>21</v>
      </c>
      <c r="AC3278">
        <v>-19.9314</v>
      </c>
      <c r="AD3278">
        <v>-1.10841736235999</v>
      </c>
      <c r="AE3278">
        <v>-11.091699999999999</v>
      </c>
      <c r="AF3278">
        <v>12.8598172964917</v>
      </c>
      <c r="AG3278">
        <v>-1.10841736235999</v>
      </c>
      <c r="AH3278">
        <v>18.774000958530401</v>
      </c>
      <c r="AI3278">
        <v>92.788597807494696</v>
      </c>
      <c r="AJ3278">
        <v>55.589632165378703</v>
      </c>
      <c r="AK3278">
        <v>22.783033203224502</v>
      </c>
      <c r="AL3278">
        <v>77.854949985714399</v>
      </c>
      <c r="AM3278">
        <v>69.066836386592399</v>
      </c>
      <c r="AN3278">
        <v>0.99999999663396999</v>
      </c>
    </row>
    <row r="3279" spans="1:40" x14ac:dyDescent="0.25">
      <c r="A3279" t="str">
        <f>"20190312172726914"</f>
        <v>20190312172726914</v>
      </c>
      <c r="B3279" t="str">
        <f>"1552382846902636"</f>
        <v>1552382846902636</v>
      </c>
      <c r="C3279" t="s">
        <v>40</v>
      </c>
      <c r="D3279">
        <v>3.2021459999999999</v>
      </c>
      <c r="E3279">
        <v>0.59107129999999997</v>
      </c>
      <c r="F3279" t="s">
        <v>41</v>
      </c>
      <c r="G3279">
        <v>-211.51429999999999</v>
      </c>
      <c r="H3279" s="1">
        <v>-4.7665640000000001E-6</v>
      </c>
      <c r="I3279">
        <v>143.2063</v>
      </c>
      <c r="J3279">
        <v>-192.51070000000001</v>
      </c>
      <c r="K3279">
        <v>1.1089020000000001</v>
      </c>
      <c r="L3279">
        <v>153.62280000000001</v>
      </c>
      <c r="M3279">
        <v>-0.45081110000000002</v>
      </c>
      <c r="N3279">
        <v>0</v>
      </c>
      <c r="O3279">
        <v>-0.89242389999999905</v>
      </c>
      <c r="P3279">
        <v>-0.72422319999999996</v>
      </c>
      <c r="Q3279">
        <v>0.19623660000000001</v>
      </c>
      <c r="R3279">
        <v>-0.66105389999999997</v>
      </c>
      <c r="S3279">
        <v>-2.783417</v>
      </c>
      <c r="T3279">
        <v>-0.1614912</v>
      </c>
      <c r="U3279">
        <v>-1.5448759999999999</v>
      </c>
      <c r="V3279">
        <v>0.34982649999999998</v>
      </c>
      <c r="W3279">
        <v>0.21091550000000001</v>
      </c>
      <c r="X3279">
        <v>0.91276290000000004</v>
      </c>
      <c r="Y3279">
        <v>0.56032999999999999</v>
      </c>
      <c r="Z3279">
        <v>5.2237319999999997E-2</v>
      </c>
      <c r="AA3279">
        <v>0.82662060000000004</v>
      </c>
      <c r="AB3279">
        <v>20</v>
      </c>
      <c r="AC3279">
        <v>-19.003599999999899</v>
      </c>
      <c r="AD3279">
        <v>-1.108906766564</v>
      </c>
      <c r="AE3279">
        <v>-10.416499999999999</v>
      </c>
      <c r="AF3279">
        <v>12.233501755536301</v>
      </c>
      <c r="AG3279">
        <v>-1.108906766564</v>
      </c>
      <c r="AH3279">
        <v>17.819427517426199</v>
      </c>
      <c r="AI3279">
        <v>92.936905952280895</v>
      </c>
      <c r="AJ3279">
        <v>55.529385906707503</v>
      </c>
      <c r="AK3279">
        <v>21.643018192212601</v>
      </c>
      <c r="AL3279">
        <v>77.823991976803796</v>
      </c>
      <c r="AM3279">
        <v>69.030115809270399</v>
      </c>
      <c r="AN3279">
        <v>1.0000000199294501</v>
      </c>
    </row>
    <row r="3280" spans="1:40" x14ac:dyDescent="0.25">
      <c r="A3280" t="str">
        <f>"20190312172726935"</f>
        <v>20190312172726935</v>
      </c>
      <c r="B3280" t="str">
        <f>"1552382846931913"</f>
        <v>1552382846931913</v>
      </c>
      <c r="C3280" t="s">
        <v>40</v>
      </c>
      <c r="D3280">
        <v>3.3990840000000002</v>
      </c>
      <c r="E3280">
        <v>0.62831879999999996</v>
      </c>
      <c r="F3280" t="s">
        <v>41</v>
      </c>
      <c r="G3280">
        <v>-211.0497</v>
      </c>
      <c r="H3280" s="1">
        <v>-4.9919289999999998E-6</v>
      </c>
      <c r="I3280">
        <v>143.4708</v>
      </c>
      <c r="J3280">
        <v>-192.60489999999999</v>
      </c>
      <c r="K3280">
        <v>1.1087129999999901</v>
      </c>
      <c r="L3280">
        <v>153.45089999999999</v>
      </c>
      <c r="M3280">
        <v>-0.4562659</v>
      </c>
      <c r="N3280">
        <v>0</v>
      </c>
      <c r="O3280">
        <v>-0.88962319999999995</v>
      </c>
      <c r="P3280">
        <v>-0.72896919999999898</v>
      </c>
      <c r="Q3280">
        <v>0.19552130000000001</v>
      </c>
      <c r="R3280">
        <v>-0.65603020000000001</v>
      </c>
      <c r="S3280">
        <v>-2.7920530000000001</v>
      </c>
      <c r="T3280">
        <v>-0.16700690000000001</v>
      </c>
      <c r="U3280">
        <v>-1.528931</v>
      </c>
      <c r="V3280">
        <v>0.35086489999999998</v>
      </c>
      <c r="W3280">
        <v>0.21096999999999999</v>
      </c>
      <c r="X3280">
        <v>0.91235160000000004</v>
      </c>
      <c r="Y3280">
        <v>0.55987469999999995</v>
      </c>
      <c r="Z3280">
        <v>5.3955070000000001E-2</v>
      </c>
      <c r="AA3280">
        <v>0.82681879999999996</v>
      </c>
      <c r="AB3280">
        <v>20</v>
      </c>
      <c r="AC3280">
        <v>-18.444800000000001</v>
      </c>
      <c r="AD3280">
        <v>-1.10871799192899</v>
      </c>
      <c r="AE3280">
        <v>-9.9800999999999895</v>
      </c>
      <c r="AF3280">
        <v>11.8246177464569</v>
      </c>
      <c r="AG3280">
        <v>-1.10871799192899</v>
      </c>
      <c r="AH3280">
        <v>17.2494410308521</v>
      </c>
      <c r="AI3280">
        <v>93.034697681860706</v>
      </c>
      <c r="AJ3280">
        <v>55.569077976973603</v>
      </c>
      <c r="AK3280">
        <v>20.9426372816867</v>
      </c>
      <c r="AL3280">
        <v>77.820796987808905</v>
      </c>
      <c r="AM3280">
        <v>68.964653311412206</v>
      </c>
      <c r="AN3280">
        <v>0.999999980487284</v>
      </c>
    </row>
    <row r="3281" spans="1:40" x14ac:dyDescent="0.25">
      <c r="A3281" t="str">
        <f>"20190312172726969"</f>
        <v>20190312172726969</v>
      </c>
      <c r="B3281" t="str">
        <f>"1552382846962168"</f>
        <v>1552382846962168</v>
      </c>
      <c r="C3281" t="s">
        <v>40</v>
      </c>
      <c r="D3281">
        <v>3.2751160000000001</v>
      </c>
      <c r="E3281">
        <v>0.63491759999999997</v>
      </c>
      <c r="F3281" t="s">
        <v>41</v>
      </c>
      <c r="G3281">
        <v>-211.4813</v>
      </c>
      <c r="H3281" s="1">
        <v>-5.1587089999999999E-6</v>
      </c>
      <c r="I3281">
        <v>145.34549999999999</v>
      </c>
      <c r="J3281">
        <v>-192.75479999999999</v>
      </c>
      <c r="K3281">
        <v>1.106951</v>
      </c>
      <c r="L3281">
        <v>153.18620000000001</v>
      </c>
      <c r="M3281">
        <v>-0.46662120000000001</v>
      </c>
      <c r="N3281">
        <v>0</v>
      </c>
      <c r="O3281">
        <v>-0.88424879999999995</v>
      </c>
      <c r="P3281">
        <v>-0.73721110000000001</v>
      </c>
      <c r="Q3281">
        <v>0.19694490000000001</v>
      </c>
      <c r="R3281">
        <v>-0.64632219999999996</v>
      </c>
      <c r="S3281">
        <v>-3.0024570000000002</v>
      </c>
      <c r="T3281">
        <v>-0.176351799999999</v>
      </c>
      <c r="U3281">
        <v>-1.2892459999999999</v>
      </c>
      <c r="V3281">
        <v>0.35263919999999999</v>
      </c>
      <c r="W3281">
        <v>0.21071500000000001</v>
      </c>
      <c r="X3281">
        <v>0.91172620000000004</v>
      </c>
      <c r="Y3281">
        <v>0.62692760000000003</v>
      </c>
      <c r="Z3281">
        <v>5.6547710000000001E-2</v>
      </c>
      <c r="AA3281">
        <v>0.77702269999999996</v>
      </c>
      <c r="AB3281">
        <v>20</v>
      </c>
      <c r="AC3281">
        <v>-18.726500000000001</v>
      </c>
      <c r="AD3281">
        <v>-1.106956158709</v>
      </c>
      <c r="AE3281">
        <v>-7.8407000000000204</v>
      </c>
      <c r="AF3281">
        <v>12.864381264431399</v>
      </c>
      <c r="AG3281">
        <v>-1.106956158709</v>
      </c>
      <c r="AH3281">
        <v>15.627739930834601</v>
      </c>
      <c r="AI3281">
        <v>93.130241490838401</v>
      </c>
      <c r="AJ3281">
        <v>50.539606354749701</v>
      </c>
      <c r="AK3281">
        <v>20.271751591802801</v>
      </c>
      <c r="AL3281">
        <v>77.835742908981103</v>
      </c>
      <c r="AM3281">
        <v>68.854431327135103</v>
      </c>
      <c r="AN3281">
        <v>0.99999994018403804</v>
      </c>
    </row>
    <row r="3282" spans="1:40" x14ac:dyDescent="0.25">
      <c r="A3282" t="str">
        <f>"20190312172726994"</f>
        <v>20190312172726994</v>
      </c>
      <c r="B3282" t="str">
        <f>"1552382846982765"</f>
        <v>1552382846982765</v>
      </c>
      <c r="C3282" t="s">
        <v>40</v>
      </c>
      <c r="D3282">
        <v>3.256551</v>
      </c>
      <c r="E3282">
        <v>0.6364765</v>
      </c>
      <c r="F3282" t="s">
        <v>41</v>
      </c>
      <c r="G3282">
        <v>-213.55019999999999</v>
      </c>
      <c r="H3282" s="1">
        <v>-4.295108E-6</v>
      </c>
      <c r="I3282">
        <v>144.95590000000001</v>
      </c>
      <c r="J3282">
        <v>-192.87</v>
      </c>
      <c r="K3282">
        <v>1.1058570000000001</v>
      </c>
      <c r="L3282">
        <v>152.99180000000001</v>
      </c>
      <c r="M3282">
        <v>-0.47410639999999998</v>
      </c>
      <c r="N3282">
        <v>0</v>
      </c>
      <c r="O3282">
        <v>-0.88027449999999996</v>
      </c>
      <c r="P3282">
        <v>-0.74307480000000004</v>
      </c>
      <c r="Q3282">
        <v>0.1981213</v>
      </c>
      <c r="R3282">
        <v>-0.63920849999999996</v>
      </c>
      <c r="S3282">
        <v>-3.0533600000000001</v>
      </c>
      <c r="T3282">
        <v>-0.16253229999999999</v>
      </c>
      <c r="U3282">
        <v>-1.2084349999999999</v>
      </c>
      <c r="V3282">
        <v>0.35380409999999901</v>
      </c>
      <c r="W3282">
        <v>0.21050849999999999</v>
      </c>
      <c r="X3282">
        <v>0.91132250000000004</v>
      </c>
      <c r="Y3282">
        <v>0.64277479999999998</v>
      </c>
      <c r="Z3282">
        <v>5.2073000000000001E-2</v>
      </c>
      <c r="AA3282">
        <v>0.7642833</v>
      </c>
      <c r="AB3282">
        <v>20</v>
      </c>
      <c r="AC3282">
        <v>-20.6801999999999</v>
      </c>
      <c r="AD3282">
        <v>-1.10586129510799</v>
      </c>
      <c r="AE3282">
        <v>-8.0358999999999892</v>
      </c>
      <c r="AF3282">
        <v>14.361149615387401</v>
      </c>
      <c r="AG3282">
        <v>-1.10586129510799</v>
      </c>
      <c r="AH3282">
        <v>16.839446806421599</v>
      </c>
      <c r="AI3282">
        <v>92.860543784394594</v>
      </c>
      <c r="AJ3282">
        <v>49.5415305960125</v>
      </c>
      <c r="AK3282">
        <v>22.159253512378601</v>
      </c>
      <c r="AL3282">
        <v>77.847845890627497</v>
      </c>
      <c r="AM3282">
        <v>68.782219399517004</v>
      </c>
      <c r="AN3282">
        <v>0.999999934377652</v>
      </c>
    </row>
    <row r="3283" spans="1:40" x14ac:dyDescent="0.25">
      <c r="A3283" t="str">
        <f>"20190312172727015"</f>
        <v>20190312172727015</v>
      </c>
      <c r="B3283" t="str">
        <f>"1552382847012044"</f>
        <v>1552382847012044</v>
      </c>
      <c r="C3283" t="s">
        <v>40</v>
      </c>
      <c r="D3283">
        <v>3.2519079999999998</v>
      </c>
      <c r="E3283">
        <v>0.63816619999999902</v>
      </c>
      <c r="F3283" t="s">
        <v>41</v>
      </c>
      <c r="G3283">
        <v>-214.37880000000001</v>
      </c>
      <c r="H3283" s="1">
        <v>-3.950618E-6</v>
      </c>
      <c r="I3283">
        <v>144.80770000000001</v>
      </c>
      <c r="J3283">
        <v>-192.96770000000001</v>
      </c>
      <c r="K3283">
        <v>1.105545</v>
      </c>
      <c r="L3283">
        <v>152.8313</v>
      </c>
      <c r="M3283">
        <v>-0.48040640000000001</v>
      </c>
      <c r="N3283">
        <v>0</v>
      </c>
      <c r="O3283">
        <v>-0.87685780000000002</v>
      </c>
      <c r="P3283">
        <v>-0.74830200000000002</v>
      </c>
      <c r="Q3283">
        <v>0.19839370000000001</v>
      </c>
      <c r="R3283">
        <v>-0.63299640000000001</v>
      </c>
      <c r="S3283">
        <v>-3.0734409999999999</v>
      </c>
      <c r="T3283">
        <v>-0.1580192</v>
      </c>
      <c r="U3283">
        <v>-1.169449</v>
      </c>
      <c r="V3283">
        <v>0.3549117</v>
      </c>
      <c r="W3283">
        <v>0.21033650000000001</v>
      </c>
      <c r="X3283">
        <v>0.91093150000000001</v>
      </c>
      <c r="Y3283">
        <v>0.64749780000000001</v>
      </c>
      <c r="Z3283">
        <v>5.0585720000000001E-2</v>
      </c>
      <c r="AA3283">
        <v>0.76038649999999997</v>
      </c>
      <c r="AB3283">
        <v>20</v>
      </c>
      <c r="AC3283">
        <v>-21.411100000000001</v>
      </c>
      <c r="AD3283">
        <v>-1.1055489506180001</v>
      </c>
      <c r="AE3283">
        <v>-8.0235999999999805</v>
      </c>
      <c r="AF3283">
        <v>14.887560019257601</v>
      </c>
      <c r="AG3283">
        <v>-1.1055489506180001</v>
      </c>
      <c r="AH3283">
        <v>17.284038455229801</v>
      </c>
      <c r="AI3283">
        <v>92.774608499518806</v>
      </c>
      <c r="AJ3283">
        <v>49.260123280405097</v>
      </c>
      <c r="AK3283">
        <v>22.83855659036</v>
      </c>
      <c r="AL3283">
        <v>77.857926999992799</v>
      </c>
      <c r="AM3283">
        <v>68.7134134015336</v>
      </c>
      <c r="AN3283">
        <v>0.99999997786069394</v>
      </c>
    </row>
    <row r="3284" spans="1:40" x14ac:dyDescent="0.25">
      <c r="A3284" t="str">
        <f>"20190312172727035"</f>
        <v>20190312172727035</v>
      </c>
      <c r="B3284" t="str">
        <f>"1552382847032540"</f>
        <v>1552382847032540</v>
      </c>
      <c r="C3284" t="s">
        <v>40</v>
      </c>
      <c r="D3284">
        <v>3.2158639999999998</v>
      </c>
      <c r="E3284">
        <v>0.63839489999999999</v>
      </c>
      <c r="F3284" t="s">
        <v>41</v>
      </c>
      <c r="G3284">
        <v>-214.18209999999999</v>
      </c>
      <c r="H3284" s="1">
        <v>-4.0679929999999999E-6</v>
      </c>
      <c r="I3284">
        <v>145.04339999999999</v>
      </c>
      <c r="J3284">
        <v>-193.06729999999999</v>
      </c>
      <c r="K3284">
        <v>1.1056140000000001</v>
      </c>
      <c r="L3284">
        <v>152.67070000000001</v>
      </c>
      <c r="M3284">
        <v>-0.48740459999999902</v>
      </c>
      <c r="N3284">
        <v>0</v>
      </c>
      <c r="O3284">
        <v>-0.87299110000000002</v>
      </c>
      <c r="P3284">
        <v>-0.75371679999999996</v>
      </c>
      <c r="Q3284">
        <v>0.19852439999999999</v>
      </c>
      <c r="R3284">
        <v>-0.62649759999999999</v>
      </c>
      <c r="S3284">
        <v>-3.0917050000000001</v>
      </c>
      <c r="T3284">
        <v>-0.1611187</v>
      </c>
      <c r="U3284">
        <v>-1.134979</v>
      </c>
      <c r="V3284">
        <v>0.35541810000000001</v>
      </c>
      <c r="W3284">
        <v>0.21038960000000001</v>
      </c>
      <c r="X3284">
        <v>0.91072180000000003</v>
      </c>
      <c r="Y3284">
        <v>0.65029559999999997</v>
      </c>
      <c r="Z3284">
        <v>5.1484269999999999E-2</v>
      </c>
      <c r="AA3284">
        <v>0.75793469999999996</v>
      </c>
      <c r="AB3284">
        <v>20</v>
      </c>
      <c r="AC3284">
        <v>-21.114799999999999</v>
      </c>
      <c r="AD3284">
        <v>-1.1056180679930001</v>
      </c>
      <c r="AE3284">
        <v>-7.6273000000000097</v>
      </c>
      <c r="AF3284">
        <v>14.6822214477163</v>
      </c>
      <c r="AG3284">
        <v>-1.1056180679930001</v>
      </c>
      <c r="AH3284">
        <v>16.911739724076401</v>
      </c>
      <c r="AI3284">
        <v>92.826230447134506</v>
      </c>
      <c r="AJ3284">
        <v>49.036549074802998</v>
      </c>
      <c r="AK3284">
        <v>22.4231344474174</v>
      </c>
      <c r="AL3284">
        <v>77.854815270508894</v>
      </c>
      <c r="AM3284">
        <v>68.681297658948296</v>
      </c>
      <c r="AN3284">
        <v>1.0000000032955001</v>
      </c>
    </row>
    <row r="3285" spans="1:40" x14ac:dyDescent="0.25">
      <c r="A3285" t="str">
        <f>"20190312172727058"</f>
        <v>20190312172727058</v>
      </c>
      <c r="B3285" t="str">
        <f>"1552382847052060"</f>
        <v>1552382847052060</v>
      </c>
      <c r="C3285" t="s">
        <v>40</v>
      </c>
      <c r="D3285">
        <v>3.2405219999999999</v>
      </c>
      <c r="E3285">
        <v>0.63843609999999995</v>
      </c>
      <c r="F3285" t="s">
        <v>41</v>
      </c>
      <c r="G3285">
        <v>-213.90530000000001</v>
      </c>
      <c r="H3285" s="1">
        <v>-4.2056820000000002E-6</v>
      </c>
      <c r="I3285">
        <v>145.22049999999999</v>
      </c>
      <c r="J3285">
        <v>-193.17779999999999</v>
      </c>
      <c r="K3285">
        <v>1.105802</v>
      </c>
      <c r="L3285">
        <v>152.49539999999999</v>
      </c>
      <c r="M3285">
        <v>-0.49591239999999998</v>
      </c>
      <c r="N3285">
        <v>0</v>
      </c>
      <c r="O3285">
        <v>-0.8681934</v>
      </c>
      <c r="P3285">
        <v>-0.76030559999999903</v>
      </c>
      <c r="Q3285">
        <v>0.19874549999999999</v>
      </c>
      <c r="R3285">
        <v>-0.61841389999999996</v>
      </c>
      <c r="S3285">
        <v>-3.101807</v>
      </c>
      <c r="T3285">
        <v>-0.1645751</v>
      </c>
      <c r="U3285">
        <v>-1.108994</v>
      </c>
      <c r="V3285">
        <v>0.35606130000000003</v>
      </c>
      <c r="W3285">
        <v>0.21051410000000001</v>
      </c>
      <c r="X3285">
        <v>0.91044170000000002</v>
      </c>
      <c r="Y3285">
        <v>0.64923999999999904</v>
      </c>
      <c r="Z3285">
        <v>5.2474550000000002E-2</v>
      </c>
      <c r="AA3285">
        <v>0.75877139999999998</v>
      </c>
      <c r="AB3285">
        <v>20</v>
      </c>
      <c r="AC3285">
        <v>-20.727499999999999</v>
      </c>
      <c r="AD3285">
        <v>-1.1058062056819999</v>
      </c>
      <c r="AE3285">
        <v>-7.2748999999999997</v>
      </c>
      <c r="AF3285">
        <v>14.353631595760101</v>
      </c>
      <c r="AG3285">
        <v>-1.1058062056819999</v>
      </c>
      <c r="AH3285">
        <v>16.555673835449799</v>
      </c>
      <c r="AI3285">
        <v>92.889081441504402</v>
      </c>
      <c r="AJ3285">
        <v>49.074983916816201</v>
      </c>
      <c r="AK3285">
        <v>21.9394595078622</v>
      </c>
      <c r="AL3285">
        <v>77.847518024962298</v>
      </c>
      <c r="AM3285">
        <v>68.640211496728298</v>
      </c>
      <c r="AN3285">
        <v>0.99999996237769395</v>
      </c>
    </row>
    <row r="3286" spans="1:40" x14ac:dyDescent="0.25">
      <c r="A3286" t="str">
        <f>"20190312172727080"</f>
        <v>20190312172727080</v>
      </c>
      <c r="B3286" t="str">
        <f>"1552382847072556"</f>
        <v>1552382847072556</v>
      </c>
      <c r="C3286" t="s">
        <v>40</v>
      </c>
      <c r="D3286">
        <v>3.262432</v>
      </c>
      <c r="E3286">
        <v>0.63853059999999995</v>
      </c>
      <c r="F3286" t="s">
        <v>41</v>
      </c>
      <c r="G3286">
        <v>-213.74850000000001</v>
      </c>
      <c r="H3286" s="1">
        <v>-4.2936690000000003E-6</v>
      </c>
      <c r="I3286">
        <v>145.37700000000001</v>
      </c>
      <c r="J3286">
        <v>-193.28229999999999</v>
      </c>
      <c r="K3286">
        <v>1.105866</v>
      </c>
      <c r="L3286">
        <v>152.33250000000001</v>
      </c>
      <c r="M3286">
        <v>-0.50408640000000005</v>
      </c>
      <c r="N3286">
        <v>0</v>
      </c>
      <c r="O3286">
        <v>-0.86348119999999995</v>
      </c>
      <c r="P3286">
        <v>-0.7664784</v>
      </c>
      <c r="Q3286">
        <v>0.19953219999999999</v>
      </c>
      <c r="R3286">
        <v>-0.61049010000000004</v>
      </c>
      <c r="S3286">
        <v>-3.113251</v>
      </c>
      <c r="T3286">
        <v>-0.16735739999999999</v>
      </c>
      <c r="U3286">
        <v>-1.077332</v>
      </c>
      <c r="V3286">
        <v>0.35668129999999998</v>
      </c>
      <c r="W3286">
        <v>0.21104500000000001</v>
      </c>
      <c r="X3286">
        <v>0.91007610000000005</v>
      </c>
      <c r="Y3286">
        <v>0.64977850000000004</v>
      </c>
      <c r="Z3286">
        <v>5.3279729999999997E-2</v>
      </c>
      <c r="AA3286">
        <v>0.75825410000000004</v>
      </c>
      <c r="AB3286">
        <v>20</v>
      </c>
      <c r="AC3286">
        <v>-20.466200000000001</v>
      </c>
      <c r="AD3286">
        <v>-1.1058702936689999</v>
      </c>
      <c r="AE3286">
        <v>-6.9554999999999998</v>
      </c>
      <c r="AF3286">
        <v>14.1311246249824</v>
      </c>
      <c r="AG3286">
        <v>-1.1058702936689999</v>
      </c>
      <c r="AH3286">
        <v>16.2824847803343</v>
      </c>
      <c r="AI3286">
        <v>92.936361865623596</v>
      </c>
      <c r="AJ3286">
        <v>49.0461781161261</v>
      </c>
      <c r="AK3286">
        <v>21.587749833992099</v>
      </c>
      <c r="AL3286">
        <v>77.816401370223105</v>
      </c>
      <c r="AM3286">
        <v>68.598560513290195</v>
      </c>
      <c r="AN3286">
        <v>1.0000000247929399</v>
      </c>
    </row>
    <row r="3287" spans="1:40" x14ac:dyDescent="0.25">
      <c r="A3287" t="str">
        <f>"20190312172727103"</f>
        <v>20190312172727103</v>
      </c>
      <c r="B3287" t="str">
        <f>"1552382847092076"</f>
        <v>1552382847092076</v>
      </c>
      <c r="C3287" t="s">
        <v>40</v>
      </c>
      <c r="D3287">
        <v>3.28965</v>
      </c>
      <c r="E3287">
        <v>0.63833709999999999</v>
      </c>
      <c r="F3287" t="s">
        <v>41</v>
      </c>
      <c r="G3287">
        <v>-213.935</v>
      </c>
      <c r="H3287" s="1">
        <v>-4.2296150000000003E-6</v>
      </c>
      <c r="I3287">
        <v>145.4196</v>
      </c>
      <c r="J3287">
        <v>-193.39920000000001</v>
      </c>
      <c r="K3287">
        <v>1.1057790000000001</v>
      </c>
      <c r="L3287">
        <v>152.1541</v>
      </c>
      <c r="M3287">
        <v>-0.51283509999999999</v>
      </c>
      <c r="N3287">
        <v>0</v>
      </c>
      <c r="O3287">
        <v>-0.85832169999999897</v>
      </c>
      <c r="P3287">
        <v>-0.77317349999999996</v>
      </c>
      <c r="Q3287">
        <v>0.19997709999999999</v>
      </c>
      <c r="R3287">
        <v>-0.60184099999999996</v>
      </c>
      <c r="S3287">
        <v>-3.1245569999999998</v>
      </c>
      <c r="T3287">
        <v>-0.16730829999999999</v>
      </c>
      <c r="U3287">
        <v>-1.0458529999999999</v>
      </c>
      <c r="V3287">
        <v>0.35758820000000002</v>
      </c>
      <c r="W3287">
        <v>0.2110805</v>
      </c>
      <c r="X3287">
        <v>0.90971190000000002</v>
      </c>
      <c r="Y3287">
        <v>0.64976690000000004</v>
      </c>
      <c r="Z3287">
        <v>5.3157129999999997E-2</v>
      </c>
      <c r="AA3287">
        <v>0.75827250000000002</v>
      </c>
      <c r="AB3287">
        <v>20</v>
      </c>
      <c r="AC3287">
        <v>-20.535799999999899</v>
      </c>
      <c r="AD3287">
        <v>-1.1057832296150001</v>
      </c>
      <c r="AE3287">
        <v>-6.7344999999999899</v>
      </c>
      <c r="AF3287">
        <v>14.1376367280895</v>
      </c>
      <c r="AG3287">
        <v>-1.1057832296150001</v>
      </c>
      <c r="AH3287">
        <v>16.271565884749599</v>
      </c>
      <c r="AI3287">
        <v>92.936671541166504</v>
      </c>
      <c r="AJ3287">
        <v>49.014081997726599</v>
      </c>
      <c r="AK3287">
        <v>21.5837759705773</v>
      </c>
      <c r="AL3287">
        <v>77.814320429301105</v>
      </c>
      <c r="AM3287">
        <v>68.541276790531995</v>
      </c>
      <c r="AN3287">
        <v>1.0000000196305401</v>
      </c>
    </row>
    <row r="3288" spans="1:40" x14ac:dyDescent="0.25">
      <c r="A3288" t="str">
        <f>"20190312172727125"</f>
        <v>20190312172727125</v>
      </c>
      <c r="B3288" t="str">
        <f>"1552382847122332"</f>
        <v>1552382847122332</v>
      </c>
      <c r="C3288" t="s">
        <v>40</v>
      </c>
      <c r="D3288">
        <v>3.2320220000000002</v>
      </c>
      <c r="E3288">
        <v>0.63816919999999899</v>
      </c>
      <c r="F3288" t="s">
        <v>41</v>
      </c>
      <c r="G3288">
        <v>-214.16739999999999</v>
      </c>
      <c r="H3288" s="1">
        <v>-4.1447000000000003E-6</v>
      </c>
      <c r="I3288">
        <v>145.4442</v>
      </c>
      <c r="J3288">
        <v>-193.5094</v>
      </c>
      <c r="K3288">
        <v>1.105604</v>
      </c>
      <c r="L3288">
        <v>151.9898</v>
      </c>
      <c r="M3288">
        <v>-0.52065779999999995</v>
      </c>
      <c r="N3288">
        <v>0</v>
      </c>
      <c r="O3288">
        <v>-0.85360499999999995</v>
      </c>
      <c r="P3288">
        <v>-0.77937140000000005</v>
      </c>
      <c r="Q3288">
        <v>0.19972770000000001</v>
      </c>
      <c r="R3288">
        <v>-0.59387670000000004</v>
      </c>
      <c r="S3288">
        <v>-3.1348880000000001</v>
      </c>
      <c r="T3288">
        <v>-0.16691410000000001</v>
      </c>
      <c r="U3288">
        <v>-1.012848</v>
      </c>
      <c r="V3288">
        <v>0.35874050000000002</v>
      </c>
      <c r="W3288">
        <v>0.21040829999999999</v>
      </c>
      <c r="X3288">
        <v>0.9094139</v>
      </c>
      <c r="Y3288">
        <v>0.65079690000000001</v>
      </c>
      <c r="Z3288">
        <v>5.2968109999999999E-2</v>
      </c>
      <c r="AA3288">
        <v>0.75740189999999996</v>
      </c>
      <c r="AB3288">
        <v>20</v>
      </c>
      <c r="AC3288">
        <v>-20.657999999999902</v>
      </c>
      <c r="AD3288">
        <v>-1.1056081446999999</v>
      </c>
      <c r="AE3288">
        <v>-6.5456000000000003</v>
      </c>
      <c r="AF3288">
        <v>14.190764686138399</v>
      </c>
      <c r="AG3288">
        <v>-1.1056081446999999</v>
      </c>
      <c r="AH3288">
        <v>16.302908168545301</v>
      </c>
      <c r="AI3288">
        <v>92.928272305577593</v>
      </c>
      <c r="AJ3288">
        <v>48.962262313190799</v>
      </c>
      <c r="AK3288">
        <v>21.6422038272215</v>
      </c>
      <c r="AL3288">
        <v>77.853719516420597</v>
      </c>
      <c r="AM3288">
        <v>68.472035078258301</v>
      </c>
      <c r="AN3288">
        <v>1.0000000202811701</v>
      </c>
    </row>
    <row r="3289" spans="1:40" x14ac:dyDescent="0.25">
      <c r="A3289" t="str">
        <f>"20190312172727148"</f>
        <v>20190312172727148</v>
      </c>
      <c r="B3289" t="str">
        <f>"1552382847142828"</f>
        <v>1552382847142828</v>
      </c>
      <c r="C3289" t="s">
        <v>40</v>
      </c>
      <c r="D3289">
        <v>3.2757839999999998</v>
      </c>
      <c r="E3289">
        <v>0.63783529999999999</v>
      </c>
      <c r="F3289" t="s">
        <v>41</v>
      </c>
      <c r="G3289">
        <v>-214.08709999999999</v>
      </c>
      <c r="H3289" s="1">
        <v>-4.1965280000000003E-6</v>
      </c>
      <c r="I3289">
        <v>145.5625</v>
      </c>
      <c r="J3289">
        <v>-193.6266</v>
      </c>
      <c r="K3289">
        <v>1.1054139999999999</v>
      </c>
      <c r="L3289">
        <v>151.8193</v>
      </c>
      <c r="M3289">
        <v>-0.52875729999999999</v>
      </c>
      <c r="N3289">
        <v>0</v>
      </c>
      <c r="O3289">
        <v>-0.84861710000000001</v>
      </c>
      <c r="P3289">
        <v>-0.78541340000000004</v>
      </c>
      <c r="Q3289">
        <v>0.20011680000000001</v>
      </c>
      <c r="R3289">
        <v>-0.58572950000000001</v>
      </c>
      <c r="S3289">
        <v>-3.1442109999999999</v>
      </c>
      <c r="T3289">
        <v>-0.168934</v>
      </c>
      <c r="U3289">
        <v>-0.98208620000000002</v>
      </c>
      <c r="V3289">
        <v>0.35956949999999999</v>
      </c>
      <c r="W3289">
        <v>0.21036630000000001</v>
      </c>
      <c r="X3289">
        <v>0.90909609999999996</v>
      </c>
      <c r="Y3289">
        <v>0.65093809999999996</v>
      </c>
      <c r="Z3289">
        <v>5.3516019999999997E-2</v>
      </c>
      <c r="AA3289">
        <v>0.75724209999999903</v>
      </c>
      <c r="AB3289">
        <v>20</v>
      </c>
      <c r="AC3289">
        <v>-20.4605</v>
      </c>
      <c r="AD3289">
        <v>-1.1054181965280001</v>
      </c>
      <c r="AE3289">
        <v>-6.2567999999999904</v>
      </c>
      <c r="AF3289">
        <v>14.0192407634445</v>
      </c>
      <c r="AG3289">
        <v>-1.1054181965280001</v>
      </c>
      <c r="AH3289">
        <v>16.087459297617599</v>
      </c>
      <c r="AI3289">
        <v>92.965450658356005</v>
      </c>
      <c r="AJ3289">
        <v>48.929833260012501</v>
      </c>
      <c r="AK3289">
        <v>21.367438022026501</v>
      </c>
      <c r="AL3289">
        <v>77.8561803172597</v>
      </c>
      <c r="AM3289">
        <v>68.4200043580732</v>
      </c>
      <c r="AN3289">
        <v>0.99999996227057397</v>
      </c>
    </row>
    <row r="3290" spans="1:40" x14ac:dyDescent="0.25">
      <c r="A3290" t="str">
        <f>"20190312172727172"</f>
        <v>20190312172727172</v>
      </c>
      <c r="B3290" t="str">
        <f>"1552382847162349"</f>
        <v>1552382847162349</v>
      </c>
      <c r="C3290" t="s">
        <v>40</v>
      </c>
      <c r="D3290">
        <v>3.2457020000000001</v>
      </c>
      <c r="E3290">
        <v>0.63742359999999998</v>
      </c>
      <c r="F3290" t="s">
        <v>41</v>
      </c>
      <c r="G3290">
        <v>-214.15710000000001</v>
      </c>
      <c r="H3290" s="1">
        <v>-4.1790449999999999E-6</v>
      </c>
      <c r="I3290">
        <v>145.61539999999999</v>
      </c>
      <c r="J3290">
        <v>-193.74629999999999</v>
      </c>
      <c r="K3290">
        <v>1.105286</v>
      </c>
      <c r="L3290">
        <v>151.64949999999999</v>
      </c>
      <c r="M3290">
        <v>-0.53702589999999994</v>
      </c>
      <c r="N3290">
        <v>0</v>
      </c>
      <c r="O3290">
        <v>-0.84341379999999999</v>
      </c>
      <c r="P3290">
        <v>-0.79127340000000002</v>
      </c>
      <c r="Q3290">
        <v>0.20093910000000001</v>
      </c>
      <c r="R3290">
        <v>-0.57750290000000004</v>
      </c>
      <c r="S3290">
        <v>-3.1524809999999999</v>
      </c>
      <c r="T3290">
        <v>-0.16973829999999901</v>
      </c>
      <c r="U3290">
        <v>-0.95262150000000001</v>
      </c>
      <c r="V3290">
        <v>0.36007030000000001</v>
      </c>
      <c r="W3290">
        <v>0.21082780000000001</v>
      </c>
      <c r="X3290">
        <v>0.90879100000000002</v>
      </c>
      <c r="Y3290">
        <v>0.65055180000000001</v>
      </c>
      <c r="Z3290">
        <v>5.3664469999999999E-2</v>
      </c>
      <c r="AA3290">
        <v>0.75756349999999995</v>
      </c>
      <c r="AB3290">
        <v>20</v>
      </c>
      <c r="AC3290">
        <v>-20.410799999999998</v>
      </c>
      <c r="AD3290">
        <v>-1.1052901790449901</v>
      </c>
      <c r="AE3290">
        <v>-6.0340999999999898</v>
      </c>
      <c r="AF3290">
        <v>13.9384849915386</v>
      </c>
      <c r="AG3290">
        <v>-1.1052901790449901</v>
      </c>
      <c r="AH3290">
        <v>16.009255793697999</v>
      </c>
      <c r="AI3290">
        <v>92.980726184105805</v>
      </c>
      <c r="AJ3290">
        <v>48.955486272283203</v>
      </c>
      <c r="AK3290">
        <v>21.2555710651888</v>
      </c>
      <c r="AL3290">
        <v>77.829132553879901</v>
      </c>
      <c r="AM3290">
        <v>68.386131067281994</v>
      </c>
      <c r="AN3290">
        <v>1.0000000319379601</v>
      </c>
    </row>
    <row r="3291" spans="1:40" x14ac:dyDescent="0.25">
      <c r="A3291" t="str">
        <f>"20190312172727195"</f>
        <v>20190312172727195</v>
      </c>
      <c r="B3291" t="str">
        <f>"1552382847192604"</f>
        <v>1552382847192604</v>
      </c>
      <c r="C3291" t="s">
        <v>40</v>
      </c>
      <c r="D3291">
        <v>3.2835640000000001</v>
      </c>
      <c r="E3291">
        <v>0.63685970000000003</v>
      </c>
      <c r="F3291" t="s">
        <v>41</v>
      </c>
      <c r="G3291">
        <v>-214.38399999999999</v>
      </c>
      <c r="H3291" s="1">
        <v>-4.0920879999999998E-6</v>
      </c>
      <c r="I3291">
        <v>145.6163</v>
      </c>
      <c r="J3291">
        <v>-193.87049999999999</v>
      </c>
      <c r="K3291">
        <v>1.105229</v>
      </c>
      <c r="L3291">
        <v>151.47739999999999</v>
      </c>
      <c r="M3291">
        <v>-0.54561660000000001</v>
      </c>
      <c r="N3291">
        <v>0</v>
      </c>
      <c r="O3291">
        <v>-0.83788629999999997</v>
      </c>
      <c r="P3291">
        <v>-0.79759449999999998</v>
      </c>
      <c r="Q3291">
        <v>0.20168639999999999</v>
      </c>
      <c r="R3291">
        <v>-0.56847700000000001</v>
      </c>
      <c r="S3291">
        <v>-3.1600950000000001</v>
      </c>
      <c r="T3291">
        <v>-0.169244899999999</v>
      </c>
      <c r="U3291">
        <v>-0.92381290000000005</v>
      </c>
      <c r="V3291">
        <v>0.36099100000000001</v>
      </c>
      <c r="W3291">
        <v>0.2112986</v>
      </c>
      <c r="X3291">
        <v>0.90831629999999997</v>
      </c>
      <c r="Y3291">
        <v>0.64966650000000004</v>
      </c>
      <c r="Z3291">
        <v>5.3384510000000003E-2</v>
      </c>
      <c r="AA3291">
        <v>0.75834269999999904</v>
      </c>
      <c r="AB3291">
        <v>20</v>
      </c>
      <c r="AC3291">
        <v>-20.513500000000001</v>
      </c>
      <c r="AD3291">
        <v>-1.105233092088</v>
      </c>
      <c r="AE3291">
        <v>-5.8610999999999898</v>
      </c>
      <c r="AF3291">
        <v>13.9543593022746</v>
      </c>
      <c r="AG3291">
        <v>-1.105233092088</v>
      </c>
      <c r="AH3291">
        <v>16.062339540556799</v>
      </c>
      <c r="AI3291">
        <v>92.973514999315697</v>
      </c>
      <c r="AJ3291">
        <v>49.017110764283501</v>
      </c>
      <c r="AK3291">
        <v>21.305971821087098</v>
      </c>
      <c r="AL3291">
        <v>77.8015362499372</v>
      </c>
      <c r="AM3291">
        <v>68.3257051760053</v>
      </c>
      <c r="AN3291">
        <v>1.0000000506443201</v>
      </c>
    </row>
    <row r="3292" spans="1:40" x14ac:dyDescent="0.25">
      <c r="A3292" t="str">
        <f>"20190312172727217"</f>
        <v>20190312172727217</v>
      </c>
      <c r="B3292" t="str">
        <f>"1552382847212124"</f>
        <v>1552382847212124</v>
      </c>
      <c r="C3292" t="s">
        <v>40</v>
      </c>
      <c r="D3292">
        <v>3.2946870000000001</v>
      </c>
      <c r="E3292">
        <v>0.63650699999999905</v>
      </c>
      <c r="F3292" t="s">
        <v>41</v>
      </c>
      <c r="G3292">
        <v>-214.68020000000001</v>
      </c>
      <c r="H3292" s="1">
        <v>-3.9781409999999997E-6</v>
      </c>
      <c r="I3292">
        <v>145.61529999999999</v>
      </c>
      <c r="J3292">
        <v>-193.98330000000001</v>
      </c>
      <c r="K3292">
        <v>1.1052169999999999</v>
      </c>
      <c r="L3292">
        <v>151.32429999999999</v>
      </c>
      <c r="M3292">
        <v>-0.55339240000000001</v>
      </c>
      <c r="N3292">
        <v>0</v>
      </c>
      <c r="O3292">
        <v>-0.83277449999999997</v>
      </c>
      <c r="P3292">
        <v>-0.80385229999999996</v>
      </c>
      <c r="Q3292">
        <v>0.20162640000000001</v>
      </c>
      <c r="R3292">
        <v>-0.55961499999999997</v>
      </c>
      <c r="S3292">
        <v>-3.1678160000000002</v>
      </c>
      <c r="T3292">
        <v>-0.16824720000000001</v>
      </c>
      <c r="U3292">
        <v>-0.8923645</v>
      </c>
      <c r="V3292">
        <v>0.3626125</v>
      </c>
      <c r="W3292">
        <v>0.21104039999999999</v>
      </c>
      <c r="X3292">
        <v>0.90773020000000004</v>
      </c>
      <c r="Y3292">
        <v>0.65007440000000005</v>
      </c>
      <c r="Z3292">
        <v>5.2985030000000002E-2</v>
      </c>
      <c r="AA3292">
        <v>0.75802099999999994</v>
      </c>
      <c r="AB3292">
        <v>20</v>
      </c>
      <c r="AC3292">
        <v>-20.696899999999999</v>
      </c>
      <c r="AD3292">
        <v>-1.1052209781410001</v>
      </c>
      <c r="AE3292">
        <v>-5.7089999999999996</v>
      </c>
      <c r="AF3292">
        <v>14.041039076377</v>
      </c>
      <c r="AG3292">
        <v>-1.1052209781410001</v>
      </c>
      <c r="AH3292">
        <v>16.1669484490399</v>
      </c>
      <c r="AI3292">
        <v>92.954655988337606</v>
      </c>
      <c r="AJ3292">
        <v>49.025595525763002</v>
      </c>
      <c r="AK3292">
        <v>21.441607073836199</v>
      </c>
      <c r="AL3292">
        <v>77.816670645027997</v>
      </c>
      <c r="AM3292">
        <v>68.224690965138805</v>
      </c>
      <c r="AN3292">
        <v>0.99999999579022503</v>
      </c>
    </row>
    <row r="3293" spans="1:40" x14ac:dyDescent="0.25">
      <c r="A3293" t="str">
        <f>"20190312172727239"</f>
        <v>20190312172727239</v>
      </c>
      <c r="B3293" t="str">
        <f>"1552382847232620"</f>
        <v>1552382847232620</v>
      </c>
      <c r="C3293" t="s">
        <v>40</v>
      </c>
      <c r="D3293">
        <v>3.314457</v>
      </c>
      <c r="E3293">
        <v>0.63614179999999998</v>
      </c>
      <c r="F3293" t="s">
        <v>41</v>
      </c>
      <c r="G3293">
        <v>-214.5676</v>
      </c>
      <c r="H3293" s="1">
        <v>-4.0447929999999998E-6</v>
      </c>
      <c r="I3293">
        <v>145.74719999999999</v>
      </c>
      <c r="J3293">
        <v>-194.10380000000001</v>
      </c>
      <c r="K3293">
        <v>1.1052150000000001</v>
      </c>
      <c r="L3293">
        <v>151.16419999999999</v>
      </c>
      <c r="M3293">
        <v>-0.5616466</v>
      </c>
      <c r="N3293">
        <v>0</v>
      </c>
      <c r="O3293">
        <v>-0.827233</v>
      </c>
      <c r="P3293">
        <v>-0.81025340000000001</v>
      </c>
      <c r="Q3293">
        <v>0.20166539999999999</v>
      </c>
      <c r="R3293">
        <v>-0.55029139999999999</v>
      </c>
      <c r="S3293">
        <v>-3.1757970000000002</v>
      </c>
      <c r="T3293">
        <v>-0.170516</v>
      </c>
      <c r="U3293">
        <v>-0.86044310000000002</v>
      </c>
      <c r="V3293">
        <v>0.36407319999999999</v>
      </c>
      <c r="W3293">
        <v>0.21089959999999999</v>
      </c>
      <c r="X3293">
        <v>0.90717800000000004</v>
      </c>
      <c r="Y3293">
        <v>0.65006640000000004</v>
      </c>
      <c r="Z3293">
        <v>5.3582680000000001E-2</v>
      </c>
      <c r="AA3293">
        <v>0.75798589999999999</v>
      </c>
      <c r="AB3293">
        <v>20</v>
      </c>
      <c r="AC3293">
        <v>-20.4637999999999</v>
      </c>
      <c r="AD3293">
        <v>-1.1052190447929999</v>
      </c>
      <c r="AE3293">
        <v>-5.4169999999999998</v>
      </c>
      <c r="AF3293">
        <v>13.8497950757884</v>
      </c>
      <c r="AG3293">
        <v>-1.1052190447929999</v>
      </c>
      <c r="AH3293">
        <v>15.933019503683401</v>
      </c>
      <c r="AI3293">
        <v>92.996843933308497</v>
      </c>
      <c r="AJ3293">
        <v>49.001162348787503</v>
      </c>
      <c r="AK3293">
        <v>21.139996293354901</v>
      </c>
      <c r="AL3293">
        <v>77.824922831161203</v>
      </c>
      <c r="AM3293">
        <v>68.133175410277204</v>
      </c>
      <c r="AN3293">
        <v>0.99999992996119702</v>
      </c>
    </row>
    <row r="3294" spans="1:40" x14ac:dyDescent="0.25">
      <c r="A3294" t="str">
        <f>"20190312172727258"</f>
        <v>20190312172727258</v>
      </c>
      <c r="B3294" t="str">
        <f>"1552382847252140"</f>
        <v>1552382847252140</v>
      </c>
      <c r="C3294" t="s">
        <v>40</v>
      </c>
      <c r="D3294">
        <v>3.3037429999999999</v>
      </c>
      <c r="E3294">
        <v>0.63576109999999997</v>
      </c>
      <c r="F3294" t="s">
        <v>41</v>
      </c>
      <c r="G3294">
        <v>-214.53749999999999</v>
      </c>
      <c r="H3294" s="1">
        <v>-4.0759640000000003E-6</v>
      </c>
      <c r="I3294">
        <v>145.8578</v>
      </c>
      <c r="J3294">
        <v>-194.21180000000001</v>
      </c>
      <c r="K3294">
        <v>1.1052040000000001</v>
      </c>
      <c r="L3294">
        <v>151.02369999999999</v>
      </c>
      <c r="M3294">
        <v>-0.5689845</v>
      </c>
      <c r="N3294">
        <v>0</v>
      </c>
      <c r="O3294">
        <v>-0.82220530000000003</v>
      </c>
      <c r="P3294">
        <v>-0.81612659999999904</v>
      </c>
      <c r="Q3294">
        <v>0.20155310000000001</v>
      </c>
      <c r="R3294">
        <v>-0.54158459999999997</v>
      </c>
      <c r="S3294">
        <v>-3.1838679999999999</v>
      </c>
      <c r="T3294">
        <v>-0.17220940000000001</v>
      </c>
      <c r="U3294">
        <v>-0.82681269999999996</v>
      </c>
      <c r="V3294">
        <v>0.36575049999999998</v>
      </c>
      <c r="W3294">
        <v>0.21062600000000001</v>
      </c>
      <c r="X3294">
        <v>0.90656669999999995</v>
      </c>
      <c r="Y3294">
        <v>0.65125010000000005</v>
      </c>
      <c r="Z3294">
        <v>5.4033039999999997E-2</v>
      </c>
      <c r="AA3294">
        <v>0.75693710000000003</v>
      </c>
      <c r="AB3294">
        <v>20</v>
      </c>
      <c r="AC3294">
        <v>-20.325699999999902</v>
      </c>
      <c r="AD3294">
        <v>-1.1052080759639999</v>
      </c>
      <c r="AE3294">
        <v>-5.1658999999999899</v>
      </c>
      <c r="AF3294">
        <v>13.736052139875699</v>
      </c>
      <c r="AG3294">
        <v>-1.1052080759639999</v>
      </c>
      <c r="AH3294">
        <v>15.7704991874917</v>
      </c>
      <c r="AI3294">
        <v>93.025029186765096</v>
      </c>
      <c r="AJ3294">
        <v>48.944244030662297</v>
      </c>
      <c r="AK3294">
        <v>20.9430002125588</v>
      </c>
      <c r="AL3294">
        <v>77.840959559538604</v>
      </c>
      <c r="AM3294">
        <v>68.028596398745094</v>
      </c>
      <c r="AN3294">
        <v>0.99999996083756904</v>
      </c>
    </row>
    <row r="3295" spans="1:40" x14ac:dyDescent="0.25">
      <c r="A3295" t="str">
        <f>"20190312172727281"</f>
        <v>20190312172727281</v>
      </c>
      <c r="B3295" t="str">
        <f>"1552382847272636"</f>
        <v>1552382847272636</v>
      </c>
      <c r="C3295" t="s">
        <v>40</v>
      </c>
      <c r="D3295">
        <v>3.3432770000000001</v>
      </c>
      <c r="E3295">
        <v>0.62584200000000001</v>
      </c>
      <c r="F3295" t="s">
        <v>41</v>
      </c>
      <c r="G3295">
        <v>-214.43899999999999</v>
      </c>
      <c r="H3295" s="1">
        <v>-4.1353290000000002E-6</v>
      </c>
      <c r="I3295">
        <v>145.97919999999999</v>
      </c>
      <c r="J3295">
        <v>-194.33940000000001</v>
      </c>
      <c r="K3295">
        <v>1.1051789999999999</v>
      </c>
      <c r="L3295">
        <v>150.86099999999999</v>
      </c>
      <c r="M3295">
        <v>-0.57758830000000005</v>
      </c>
      <c r="N3295">
        <v>0</v>
      </c>
      <c r="O3295">
        <v>-0.81618669999999904</v>
      </c>
      <c r="P3295">
        <v>-0.82238040000000001</v>
      </c>
      <c r="Q3295">
        <v>0.2021048</v>
      </c>
      <c r="R3295">
        <v>-0.53183150000000001</v>
      </c>
      <c r="S3295">
        <v>-3.190887</v>
      </c>
      <c r="T3295">
        <v>-0.17434929999999901</v>
      </c>
      <c r="U3295">
        <v>-0.79577640000000005</v>
      </c>
      <c r="V3295">
        <v>0.36694060000000001</v>
      </c>
      <c r="W3295">
        <v>0.21100540000000001</v>
      </c>
      <c r="X3295">
        <v>0.90599739999999995</v>
      </c>
      <c r="Y3295">
        <v>0.65057519999999902</v>
      </c>
      <c r="Z3295">
        <v>5.4552429999999999E-2</v>
      </c>
      <c r="AA3295">
        <v>0.75748000000000004</v>
      </c>
      <c r="AB3295">
        <v>20</v>
      </c>
      <c r="AC3295">
        <v>-20.099599999999999</v>
      </c>
      <c r="AD3295">
        <v>-1.105183135329</v>
      </c>
      <c r="AE3295">
        <v>-4.8817999999999904</v>
      </c>
      <c r="AF3295">
        <v>13.548245368693101</v>
      </c>
      <c r="AG3295">
        <v>-1.105183135329</v>
      </c>
      <c r="AH3295">
        <v>15.551157547158599</v>
      </c>
      <c r="AI3295">
        <v>93.067229936118295</v>
      </c>
      <c r="AJ3295">
        <v>48.937458886977801</v>
      </c>
      <c r="AK3295">
        <v>20.654657668174501</v>
      </c>
      <c r="AL3295">
        <v>77.818722072171596</v>
      </c>
      <c r="AM3295">
        <v>67.951419441013101</v>
      </c>
      <c r="AN3295">
        <v>0.999999985782139</v>
      </c>
    </row>
    <row r="3296" spans="1:40" x14ac:dyDescent="0.25">
      <c r="A3296" t="str">
        <f>"20190312172727305"</f>
        <v>20190312172727305</v>
      </c>
      <c r="B3296" t="str">
        <f>"1552382847301916"</f>
        <v>1552382847301916</v>
      </c>
      <c r="C3296" t="s">
        <v>40</v>
      </c>
      <c r="D3296">
        <v>3.312853</v>
      </c>
      <c r="E3296">
        <v>0.62439820000000001</v>
      </c>
      <c r="F3296" t="s">
        <v>41</v>
      </c>
      <c r="G3296">
        <v>-212.89250000000001</v>
      </c>
      <c r="H3296" s="1">
        <v>-4.7350170000000002E-6</v>
      </c>
      <c r="I3296">
        <v>146.0119</v>
      </c>
      <c r="J3296">
        <v>-194.47219999999999</v>
      </c>
      <c r="K3296">
        <v>1.105132</v>
      </c>
      <c r="L3296">
        <v>150.69569999999999</v>
      </c>
      <c r="M3296">
        <v>-0.58646739999999997</v>
      </c>
      <c r="N3296">
        <v>0</v>
      </c>
      <c r="O3296">
        <v>-0.809832199999999</v>
      </c>
      <c r="P3296">
        <v>-0.82875619999999905</v>
      </c>
      <c r="Q3296">
        <v>0.2028644</v>
      </c>
      <c r="R3296">
        <v>-0.5215455</v>
      </c>
      <c r="S3296">
        <v>-3.1600799999999998</v>
      </c>
      <c r="T3296">
        <v>-0.1882423</v>
      </c>
      <c r="U3296">
        <v>-0.82592770000000004</v>
      </c>
      <c r="V3296">
        <v>0.36822300000000002</v>
      </c>
      <c r="W3296">
        <v>0.2115959</v>
      </c>
      <c r="X3296">
        <v>0.90533920000000001</v>
      </c>
      <c r="Y3296">
        <v>0.63334579999999996</v>
      </c>
      <c r="Z3296">
        <v>5.8686759999999998E-2</v>
      </c>
      <c r="AA3296">
        <v>0.77164049999999995</v>
      </c>
      <c r="AB3296">
        <v>20</v>
      </c>
      <c r="AC3296">
        <v>-18.420300000000001</v>
      </c>
      <c r="AD3296">
        <v>-1.105136735017</v>
      </c>
      <c r="AE3296">
        <v>-4.68379999999999</v>
      </c>
      <c r="AF3296">
        <v>12.1308296260683</v>
      </c>
      <c r="AG3296">
        <v>-1.105136735017</v>
      </c>
      <c r="AH3296">
        <v>14.548473616874499</v>
      </c>
      <c r="AI3296">
        <v>93.338960355945602</v>
      </c>
      <c r="AJ3296">
        <v>50.177927136979001</v>
      </c>
      <c r="AK3296">
        <v>18.974626193964301</v>
      </c>
      <c r="AL3296">
        <v>77.784107960017394</v>
      </c>
      <c r="AM3296">
        <v>67.867254349248995</v>
      </c>
      <c r="AN3296">
        <v>1.0000000348412199</v>
      </c>
    </row>
    <row r="3297" spans="1:40" x14ac:dyDescent="0.25">
      <c r="A3297" t="str">
        <f>"20190312172727326"</f>
        <v>20190312172727326</v>
      </c>
      <c r="B3297" t="str">
        <f>"1552382847322413"</f>
        <v>1552382847322413</v>
      </c>
      <c r="C3297" t="s">
        <v>40</v>
      </c>
      <c r="D3297">
        <v>3.3724799999999999</v>
      </c>
      <c r="E3297">
        <v>0.62414499999999995</v>
      </c>
      <c r="F3297" t="s">
        <v>41</v>
      </c>
      <c r="G3297">
        <v>-213.40020000000001</v>
      </c>
      <c r="H3297" s="1">
        <v>-4.5262960000000001E-6</v>
      </c>
      <c r="I3297">
        <v>145.93450000000001</v>
      </c>
      <c r="J3297">
        <v>-194.58860000000001</v>
      </c>
      <c r="K3297">
        <v>1.1050899999999999</v>
      </c>
      <c r="L3297">
        <v>150.554</v>
      </c>
      <c r="M3297">
        <v>-0.594199699999999</v>
      </c>
      <c r="N3297">
        <v>0</v>
      </c>
      <c r="O3297">
        <v>-0.80417720000000004</v>
      </c>
      <c r="P3297">
        <v>-0.83380129999999997</v>
      </c>
      <c r="Q3297">
        <v>0.20395430000000001</v>
      </c>
      <c r="R3297">
        <v>-0.51300889999999999</v>
      </c>
      <c r="S3297">
        <v>-3.164215</v>
      </c>
      <c r="T3297">
        <v>-0.18474640000000001</v>
      </c>
      <c r="U3297">
        <v>-0.795929</v>
      </c>
      <c r="V3297">
        <v>0.36867280000000002</v>
      </c>
      <c r="W3297">
        <v>0.212561</v>
      </c>
      <c r="X3297">
        <v>0.90492989999999995</v>
      </c>
      <c r="Y3297">
        <v>0.63312669999999904</v>
      </c>
      <c r="Z3297">
        <v>5.7491279999999999E-2</v>
      </c>
      <c r="AA3297">
        <v>0.77191019999999999</v>
      </c>
      <c r="AB3297">
        <v>20</v>
      </c>
      <c r="AC3297">
        <v>-18.811599999999999</v>
      </c>
      <c r="AD3297">
        <v>-1.1050945262959999</v>
      </c>
      <c r="AE3297">
        <v>-4.61949999999998</v>
      </c>
      <c r="AF3297">
        <v>12.3441750648658</v>
      </c>
      <c r="AG3297">
        <v>-1.1050945262959999</v>
      </c>
      <c r="AH3297">
        <v>14.8461046016401</v>
      </c>
      <c r="AI3297">
        <v>93.275812176257006</v>
      </c>
      <c r="AJ3297">
        <v>50.257300498472198</v>
      </c>
      <c r="AK3297">
        <v>19.3392531858638</v>
      </c>
      <c r="AL3297">
        <v>77.727523850238498</v>
      </c>
      <c r="AM3297">
        <v>67.833781486193203</v>
      </c>
      <c r="AN3297">
        <v>0.99999996804742397</v>
      </c>
    </row>
    <row r="3298" spans="1:40" x14ac:dyDescent="0.25">
      <c r="A3298" t="str">
        <f>"20190312172727349"</f>
        <v>20190312172727349</v>
      </c>
      <c r="B3298" t="str">
        <f>"1552382847342908"</f>
        <v>1552382847342908</v>
      </c>
      <c r="C3298" t="s">
        <v>40</v>
      </c>
      <c r="D3298">
        <v>3.2670889999999999</v>
      </c>
      <c r="E3298">
        <v>0.6228494</v>
      </c>
      <c r="F3298" t="s">
        <v>41</v>
      </c>
      <c r="G3298">
        <v>-213.7159</v>
      </c>
      <c r="H3298" s="1">
        <v>-4.4056650000000001E-6</v>
      </c>
      <c r="I3298">
        <v>145.93799999999999</v>
      </c>
      <c r="J3298">
        <v>-194.72059999999999</v>
      </c>
      <c r="K3298">
        <v>1.105043</v>
      </c>
      <c r="L3298">
        <v>150.39699999999999</v>
      </c>
      <c r="M3298">
        <v>-0.60290849999999996</v>
      </c>
      <c r="N3298">
        <v>0</v>
      </c>
      <c r="O3298">
        <v>-0.79767010000000005</v>
      </c>
      <c r="P3298">
        <v>-0.83954479999999998</v>
      </c>
      <c r="Q3298">
        <v>0.20482610000000001</v>
      </c>
      <c r="R3298">
        <v>-0.503200599999999</v>
      </c>
      <c r="S3298">
        <v>-3.1718440000000001</v>
      </c>
      <c r="T3298">
        <v>-0.183255</v>
      </c>
      <c r="U3298">
        <v>-0.76547240000000005</v>
      </c>
      <c r="V3298">
        <v>0.36931629999999999</v>
      </c>
      <c r="W3298">
        <v>0.2133004</v>
      </c>
      <c r="X3298">
        <v>0.90449349999999995</v>
      </c>
      <c r="Y3298">
        <v>0.63218739999999995</v>
      </c>
      <c r="Z3298">
        <v>5.6812719999999997E-2</v>
      </c>
      <c r="AA3298">
        <v>0.77272989999999997</v>
      </c>
      <c r="AB3298">
        <v>19</v>
      </c>
      <c r="AC3298">
        <v>-18.9953</v>
      </c>
      <c r="AD3298">
        <v>-1.1050474056649999</v>
      </c>
      <c r="AE3298">
        <v>-4.4590000000000298</v>
      </c>
      <c r="AF3298">
        <v>12.425154084742999</v>
      </c>
      <c r="AG3298">
        <v>-1.1050474056649999</v>
      </c>
      <c r="AH3298">
        <v>14.9629238451693</v>
      </c>
      <c r="AI3298">
        <v>93.251875313444799</v>
      </c>
      <c r="AJ3298">
        <v>50.293890722373398</v>
      </c>
      <c r="AK3298">
        <v>19.480623034048701</v>
      </c>
      <c r="AL3298">
        <v>77.684165923520894</v>
      </c>
      <c r="AM3298">
        <v>67.789176231338104</v>
      </c>
      <c r="AN3298">
        <v>1.0000000408140399</v>
      </c>
    </row>
    <row r="3299" spans="1:40" x14ac:dyDescent="0.25">
      <c r="A3299" t="str">
        <f>"20190312172727373"</f>
        <v>20190312172727373</v>
      </c>
      <c r="B3299" t="str">
        <f>"1552382847362428"</f>
        <v>1552382847362428</v>
      </c>
      <c r="C3299" t="s">
        <v>40</v>
      </c>
      <c r="D3299">
        <v>3.2517520000000002</v>
      </c>
      <c r="E3299">
        <v>0.62209890000000001</v>
      </c>
      <c r="F3299" t="s">
        <v>41</v>
      </c>
      <c r="G3299">
        <v>-214.07069999999999</v>
      </c>
      <c r="H3299" s="1">
        <v>-4.2622740000000004E-6</v>
      </c>
      <c r="I3299">
        <v>145.89750000000001</v>
      </c>
      <c r="J3299">
        <v>-194.85419999999999</v>
      </c>
      <c r="K3299">
        <v>1.104997</v>
      </c>
      <c r="L3299">
        <v>150.24180000000001</v>
      </c>
      <c r="M3299">
        <v>-0.61164490000000005</v>
      </c>
      <c r="N3299">
        <v>0</v>
      </c>
      <c r="O3299">
        <v>-0.79099219999999903</v>
      </c>
      <c r="P3299">
        <v>-0.84500849999999905</v>
      </c>
      <c r="Q3299">
        <v>0.20563680000000001</v>
      </c>
      <c r="R3299">
        <v>-0.49363380000000001</v>
      </c>
      <c r="S3299">
        <v>-3.1750790000000002</v>
      </c>
      <c r="T3299">
        <v>-0.1813227</v>
      </c>
      <c r="U3299">
        <v>-0.73829650000000002</v>
      </c>
      <c r="V3299">
        <v>0.36952649999999998</v>
      </c>
      <c r="W3299">
        <v>0.21400140000000001</v>
      </c>
      <c r="X3299">
        <v>0.90424199999999999</v>
      </c>
      <c r="Y3299">
        <v>0.630162</v>
      </c>
      <c r="Z3299">
        <v>5.6020830000000001E-2</v>
      </c>
      <c r="AA3299">
        <v>0.77444019999999902</v>
      </c>
      <c r="AB3299">
        <v>19</v>
      </c>
      <c r="AC3299">
        <v>-19.2165</v>
      </c>
      <c r="AD3299">
        <v>-1.105001262274</v>
      </c>
      <c r="AE3299">
        <v>-4.3442999999999996</v>
      </c>
      <c r="AF3299">
        <v>12.504986223269</v>
      </c>
      <c r="AG3299">
        <v>-1.105001262274</v>
      </c>
      <c r="AH3299">
        <v>15.144027002696999</v>
      </c>
      <c r="AI3299">
        <v>93.220281267022798</v>
      </c>
      <c r="AJ3299">
        <v>50.4522457572916</v>
      </c>
      <c r="AK3299">
        <v>19.670720934734199</v>
      </c>
      <c r="AL3299">
        <v>77.643051934866193</v>
      </c>
      <c r="AM3299">
        <v>67.772185519619001</v>
      </c>
      <c r="AN3299">
        <v>1.0000000139841001</v>
      </c>
    </row>
    <row r="3300" spans="1:40" x14ac:dyDescent="0.25">
      <c r="A3300" t="str">
        <f>"20190312172727396"</f>
        <v>20190312172727396</v>
      </c>
      <c r="B3300" t="str">
        <f>"1552382847392684"</f>
        <v>1552382847392684</v>
      </c>
      <c r="C3300" t="s">
        <v>40</v>
      </c>
      <c r="D3300">
        <v>3.2167819999999998</v>
      </c>
      <c r="E3300">
        <v>0.61354030000000004</v>
      </c>
      <c r="F3300" t="s">
        <v>41</v>
      </c>
      <c r="G3300">
        <v>-214.49039999999999</v>
      </c>
      <c r="H3300" s="1">
        <v>-4.0960789999999997E-6</v>
      </c>
      <c r="I3300">
        <v>145.86920000000001</v>
      </c>
      <c r="J3300">
        <v>-194.99019999999999</v>
      </c>
      <c r="K3300">
        <v>1.104962</v>
      </c>
      <c r="L3300">
        <v>150.08750000000001</v>
      </c>
      <c r="M3300">
        <v>-0.62042730000000001</v>
      </c>
      <c r="N3300">
        <v>0</v>
      </c>
      <c r="O3300">
        <v>-0.78412360000000003</v>
      </c>
      <c r="P3300">
        <v>-0.85045079999999995</v>
      </c>
      <c r="Q3300">
        <v>0.2061982</v>
      </c>
      <c r="R3300">
        <v>-0.48395880000000002</v>
      </c>
      <c r="S3300">
        <v>-3.1801300000000001</v>
      </c>
      <c r="T3300">
        <v>-0.1789579</v>
      </c>
      <c r="U3300">
        <v>-0.70814509999999997</v>
      </c>
      <c r="V3300">
        <v>0.36968699999999999</v>
      </c>
      <c r="W3300">
        <v>0.2144742</v>
      </c>
      <c r="X3300">
        <v>0.90406439999999999</v>
      </c>
      <c r="Y3300">
        <v>0.62882039999999995</v>
      </c>
      <c r="Z3300">
        <v>5.508296E-2</v>
      </c>
      <c r="AA3300">
        <v>0.77559709999999904</v>
      </c>
      <c r="AB3300">
        <v>19</v>
      </c>
      <c r="AC3300">
        <v>-19.5002</v>
      </c>
      <c r="AD3300">
        <v>-1.104966096079</v>
      </c>
      <c r="AE3300">
        <v>-4.2182999999999904</v>
      </c>
      <c r="AF3300">
        <v>12.6360550225619</v>
      </c>
      <c r="AG3300">
        <v>-1.104966096079</v>
      </c>
      <c r="AH3300">
        <v>15.3607049834539</v>
      </c>
      <c r="AI3300">
        <v>93.179696484758693</v>
      </c>
      <c r="AJ3300">
        <v>50.558531475536498</v>
      </c>
      <c r="AK3300">
        <v>19.920895918492299</v>
      </c>
      <c r="AL3300">
        <v>77.615319015831702</v>
      </c>
      <c r="AM3300">
        <v>67.759529027233896</v>
      </c>
      <c r="AN3300">
        <v>1.00000004989099</v>
      </c>
    </row>
    <row r="3301" spans="1:40" x14ac:dyDescent="0.25">
      <c r="A3301" t="str">
        <f>"20190312172727417"</f>
        <v>20190312172727417</v>
      </c>
      <c r="B3301" t="str">
        <f>"1552382847412204"</f>
        <v>1552382847412204</v>
      </c>
      <c r="C3301" t="s">
        <v>40</v>
      </c>
      <c r="D3301">
        <v>3.2648570000000001</v>
      </c>
      <c r="E3301">
        <v>0.62972989999999995</v>
      </c>
      <c r="F3301" t="s">
        <v>41</v>
      </c>
      <c r="G3301">
        <v>-214.32300000000001</v>
      </c>
      <c r="H3301" s="1">
        <v>-4.112578E-6</v>
      </c>
      <c r="I3301">
        <v>145.59989999999999</v>
      </c>
      <c r="J3301">
        <v>-195.11259999999999</v>
      </c>
      <c r="K3301">
        <v>1.1049420000000001</v>
      </c>
      <c r="L3301">
        <v>149.95169999999999</v>
      </c>
      <c r="M3301">
        <v>-0.62823569999999995</v>
      </c>
      <c r="N3301">
        <v>0</v>
      </c>
      <c r="O3301">
        <v>-0.77788230000000003</v>
      </c>
      <c r="P3301">
        <v>-0.8548926</v>
      </c>
      <c r="Q3301">
        <v>0.20647209999999999</v>
      </c>
      <c r="R3301">
        <v>-0.47595019999999999</v>
      </c>
      <c r="S3301">
        <v>-3.1545559999999999</v>
      </c>
      <c r="T3301">
        <v>-0.18029880000000001</v>
      </c>
      <c r="U3301">
        <v>-0.73225399999999996</v>
      </c>
      <c r="V3301">
        <v>0.36910409999999999</v>
      </c>
      <c r="W3301">
        <v>0.21470059999999999</v>
      </c>
      <c r="X3301">
        <v>0.90424879999999996</v>
      </c>
      <c r="Y3301">
        <v>0.61395299999999997</v>
      </c>
      <c r="Z3301">
        <v>5.5264199999999902E-2</v>
      </c>
      <c r="AA3301">
        <v>0.78740559999999904</v>
      </c>
      <c r="AB3301">
        <v>19</v>
      </c>
      <c r="AC3301">
        <v>-19.2104</v>
      </c>
      <c r="AD3301">
        <v>-1.104946112578</v>
      </c>
      <c r="AE3301">
        <v>-4.3517999999999901</v>
      </c>
      <c r="AF3301">
        <v>12.172506368053099</v>
      </c>
      <c r="AG3301">
        <v>-1.104946112578</v>
      </c>
      <c r="AH3301">
        <v>15.407056374733299</v>
      </c>
      <c r="AI3301">
        <v>93.220824808444505</v>
      </c>
      <c r="AJ3301">
        <v>51.689130822520603</v>
      </c>
      <c r="AK3301">
        <v>19.666423246899999</v>
      </c>
      <c r="AL3301">
        <v>77.602037718673998</v>
      </c>
      <c r="AM3301">
        <v>67.795274579149506</v>
      </c>
      <c r="AN3301">
        <v>1.0000000382893</v>
      </c>
    </row>
    <row r="3302" spans="1:40" x14ac:dyDescent="0.25">
      <c r="A3302" t="str">
        <f>"20190312172727438"</f>
        <v>20190312172727438</v>
      </c>
      <c r="B3302" t="str">
        <f>"1552382847432700"</f>
        <v>1552382847432700</v>
      </c>
      <c r="C3302" t="s">
        <v>40</v>
      </c>
      <c r="D3302">
        <v>3.1981890000000002</v>
      </c>
      <c r="E3302">
        <v>0.63236809999999999</v>
      </c>
      <c r="F3302" t="s">
        <v>41</v>
      </c>
      <c r="G3302">
        <v>-226.68299999999999</v>
      </c>
      <c r="H3302" s="1">
        <v>-2.6295980000000001E-6</v>
      </c>
      <c r="I3302">
        <v>144.21770000000001</v>
      </c>
      <c r="J3302">
        <v>-195.24690000000001</v>
      </c>
      <c r="K3302">
        <v>1.1049329999999999</v>
      </c>
      <c r="L3302">
        <v>149.80600000000001</v>
      </c>
      <c r="M3302">
        <v>-0.63669659999999995</v>
      </c>
      <c r="N3302">
        <v>0</v>
      </c>
      <c r="O3302">
        <v>-0.77097280000000001</v>
      </c>
      <c r="P3302">
        <v>-0.85950309999999897</v>
      </c>
      <c r="Q3302">
        <v>0.20719470000000001</v>
      </c>
      <c r="R3302">
        <v>-0.46725260000000002</v>
      </c>
      <c r="S3302">
        <v>-3.211624</v>
      </c>
      <c r="T3302">
        <v>-0.1124049</v>
      </c>
      <c r="U3302">
        <v>-0.58331299999999997</v>
      </c>
      <c r="V3302">
        <v>0.36828349999999999</v>
      </c>
      <c r="W3302">
        <v>0.21538599999999999</v>
      </c>
      <c r="X3302">
        <v>0.90442040000000001</v>
      </c>
      <c r="Y3302">
        <v>0.64414249999999995</v>
      </c>
      <c r="Z3302">
        <v>3.4543560000000001E-2</v>
      </c>
      <c r="AA3302">
        <v>0.7641251</v>
      </c>
      <c r="AB3302">
        <v>19</v>
      </c>
      <c r="AC3302">
        <v>-31.4360999999999</v>
      </c>
      <c r="AD3302">
        <v>-1.104935629598</v>
      </c>
      <c r="AE3302">
        <v>-5.5883000000000003</v>
      </c>
      <c r="AF3302">
        <v>20.655847629775302</v>
      </c>
      <c r="AG3302">
        <v>-1.104935629598</v>
      </c>
      <c r="AH3302">
        <v>24.297243724921799</v>
      </c>
      <c r="AI3302">
        <v>91.984363137822299</v>
      </c>
      <c r="AJ3302">
        <v>49.631095935651103</v>
      </c>
      <c r="AK3302">
        <v>31.909888383983802</v>
      </c>
      <c r="AL3302">
        <v>77.561826737325205</v>
      </c>
      <c r="AM3302">
        <v>67.843655920028198</v>
      </c>
      <c r="AN3302">
        <v>1.0000000626522001</v>
      </c>
    </row>
    <row r="3303" spans="1:40" x14ac:dyDescent="0.25">
      <c r="A3303" t="str">
        <f>"20190312172727471"</f>
        <v>20190312172727471</v>
      </c>
      <c r="B3303" t="str">
        <f>"1552382847461979"</f>
        <v>1552382847461979</v>
      </c>
      <c r="C3303" t="s">
        <v>40</v>
      </c>
      <c r="D3303">
        <v>3.1621090000000001</v>
      </c>
      <c r="E3303">
        <v>0.63450269999999898</v>
      </c>
      <c r="F3303" t="s">
        <v>41</v>
      </c>
      <c r="G3303">
        <v>-229.3793</v>
      </c>
      <c r="H3303" s="1">
        <v>-1.4644060000000001E-6</v>
      </c>
      <c r="I3303">
        <v>144.1857</v>
      </c>
      <c r="J3303">
        <v>-195.4444</v>
      </c>
      <c r="K3303">
        <v>1.104905</v>
      </c>
      <c r="L3303">
        <v>149.5975</v>
      </c>
      <c r="M3303">
        <v>-0.64893679999999998</v>
      </c>
      <c r="N3303">
        <v>0</v>
      </c>
      <c r="O3303">
        <v>-0.76069960000000003</v>
      </c>
      <c r="P3303">
        <v>-0.8662415</v>
      </c>
      <c r="Q3303">
        <v>0.20776069999999999</v>
      </c>
      <c r="R3303">
        <v>-0.45438000000000001</v>
      </c>
      <c r="S3303">
        <v>-3.2267299999999999</v>
      </c>
      <c r="T3303">
        <v>-0.1044558</v>
      </c>
      <c r="U3303">
        <v>-0.53131099999999998</v>
      </c>
      <c r="V3303">
        <v>0.3672338</v>
      </c>
      <c r="W3303">
        <v>0.21591360000000001</v>
      </c>
      <c r="X3303">
        <v>0.90472129999999995</v>
      </c>
      <c r="Y3303">
        <v>0.64461449999999998</v>
      </c>
      <c r="Z3303">
        <v>3.1865169999999998E-2</v>
      </c>
      <c r="AA3303">
        <v>0.76384350000000001</v>
      </c>
      <c r="AB3303">
        <v>19</v>
      </c>
      <c r="AC3303">
        <v>-33.934899999999999</v>
      </c>
      <c r="AD3303">
        <v>-1.1049064644059901</v>
      </c>
      <c r="AE3303">
        <v>-5.4118000000000004</v>
      </c>
      <c r="AF3303">
        <v>22.2817349202051</v>
      </c>
      <c r="AG3303">
        <v>-1.1049064644059901</v>
      </c>
      <c r="AH3303">
        <v>26.1142001746753</v>
      </c>
      <c r="AI3303">
        <v>91.843515823821804</v>
      </c>
      <c r="AJ3303">
        <v>49.527793444400899</v>
      </c>
      <c r="AK3303">
        <v>34.346003844878197</v>
      </c>
      <c r="AL3303">
        <v>77.530868137444301</v>
      </c>
      <c r="AM3303">
        <v>67.907362831239993</v>
      </c>
      <c r="AN3303">
        <v>0.99999998860054495</v>
      </c>
    </row>
    <row r="3304" spans="1:40" x14ac:dyDescent="0.25">
      <c r="A3304" t="str">
        <f>"20190312172727494"</f>
        <v>20190312172727494</v>
      </c>
      <c r="B3304" t="str">
        <f>"1552382847482476"</f>
        <v>1552382847482476</v>
      </c>
      <c r="C3304" t="s">
        <v>40</v>
      </c>
      <c r="D3304">
        <v>3.1845319999999999</v>
      </c>
      <c r="E3304">
        <v>0.63426139999999998</v>
      </c>
      <c r="F3304" t="s">
        <v>41</v>
      </c>
      <c r="G3304">
        <v>-229.12</v>
      </c>
      <c r="H3304" s="1">
        <v>-1.7229160000000001E-6</v>
      </c>
      <c r="I3304">
        <v>144.73920000000001</v>
      </c>
      <c r="J3304">
        <v>-195.58529999999999</v>
      </c>
      <c r="K3304">
        <v>1.104889</v>
      </c>
      <c r="L3304">
        <v>149.45310000000001</v>
      </c>
      <c r="M3304">
        <v>-0.65750739999999996</v>
      </c>
      <c r="N3304">
        <v>0</v>
      </c>
      <c r="O3304">
        <v>-0.75330439999999999</v>
      </c>
      <c r="P3304">
        <v>-0.87105569999999899</v>
      </c>
      <c r="Q3304">
        <v>0.20758309999999999</v>
      </c>
      <c r="R3304">
        <v>-0.44516410000000001</v>
      </c>
      <c r="S3304">
        <v>-3.2433169999999998</v>
      </c>
      <c r="T3304">
        <v>-0.1064142</v>
      </c>
      <c r="U3304">
        <v>-0.46789550000000002</v>
      </c>
      <c r="V3304">
        <v>0.36662420000000001</v>
      </c>
      <c r="W3304">
        <v>0.21571609999999999</v>
      </c>
      <c r="X3304">
        <v>0.90501560000000003</v>
      </c>
      <c r="Y3304">
        <v>0.65113290000000001</v>
      </c>
      <c r="Z3304">
        <v>3.2361279999999999E-2</v>
      </c>
      <c r="AA3304">
        <v>0.75827349999999905</v>
      </c>
      <c r="AB3304">
        <v>19</v>
      </c>
      <c r="AC3304">
        <v>-33.534700000000001</v>
      </c>
      <c r="AD3304">
        <v>-1.1048907229160001</v>
      </c>
      <c r="AE3304">
        <v>-4.71389999999999</v>
      </c>
      <c r="AF3304">
        <v>22.1412426961313</v>
      </c>
      <c r="AG3304">
        <v>-1.1048907229160001</v>
      </c>
      <c r="AH3304">
        <v>25.575860792077901</v>
      </c>
      <c r="AI3304">
        <v>91.870709706136694</v>
      </c>
      <c r="AJ3304">
        <v>49.116979202425</v>
      </c>
      <c r="AK3304">
        <v>33.846418819342198</v>
      </c>
      <c r="AL3304">
        <v>77.542457150203504</v>
      </c>
      <c r="AM3304">
        <v>67.947001037003105</v>
      </c>
      <c r="AN3304">
        <v>0.99999998803410495</v>
      </c>
    </row>
    <row r="3305" spans="1:40" x14ac:dyDescent="0.25">
      <c r="A3305" t="str">
        <f>"20190312172727515"</f>
        <v>20190312172727515</v>
      </c>
      <c r="B3305" t="str">
        <f>"1552382847512733"</f>
        <v>1552382847512733</v>
      </c>
      <c r="C3305" t="s">
        <v>40</v>
      </c>
      <c r="D3305">
        <v>3.1391209999999998</v>
      </c>
      <c r="E3305">
        <v>0.63266309999999903</v>
      </c>
      <c r="F3305" t="s">
        <v>41</v>
      </c>
      <c r="G3305">
        <v>-227.96340000000001</v>
      </c>
      <c r="H3305" s="1">
        <v>-2.319737E-6</v>
      </c>
      <c r="I3305">
        <v>145.11750000000001</v>
      </c>
      <c r="J3305">
        <v>-195.7191</v>
      </c>
      <c r="K3305">
        <v>1.1048739999999999</v>
      </c>
      <c r="L3305">
        <v>149.31899999999999</v>
      </c>
      <c r="M3305">
        <v>-0.66551680000000002</v>
      </c>
      <c r="N3305">
        <v>0</v>
      </c>
      <c r="O3305">
        <v>-0.74623839999999997</v>
      </c>
      <c r="P3305">
        <v>-0.87520049999999905</v>
      </c>
      <c r="Q3305">
        <v>0.20762</v>
      </c>
      <c r="R3305">
        <v>-0.436942</v>
      </c>
      <c r="S3305">
        <v>-3.24823</v>
      </c>
      <c r="T3305">
        <v>-0.1108445</v>
      </c>
      <c r="U3305">
        <v>-0.4349518</v>
      </c>
      <c r="V3305">
        <v>0.3654734</v>
      </c>
      <c r="W3305">
        <v>0.21575340000000001</v>
      </c>
      <c r="X3305">
        <v>0.9054721</v>
      </c>
      <c r="Y3305">
        <v>0.65068490000000001</v>
      </c>
      <c r="Z3305">
        <v>3.3558280000000003E-2</v>
      </c>
      <c r="AA3305">
        <v>0.758606</v>
      </c>
      <c r="AB3305">
        <v>19</v>
      </c>
      <c r="AC3305">
        <v>-32.244300000000003</v>
      </c>
      <c r="AD3305">
        <v>-1.104876319737</v>
      </c>
      <c r="AE3305">
        <v>-4.2014999999999798</v>
      </c>
      <c r="AF3305">
        <v>21.243532701340399</v>
      </c>
      <c r="AG3305">
        <v>-1.104876319737</v>
      </c>
      <c r="AH3305">
        <v>24.568730562844099</v>
      </c>
      <c r="AI3305">
        <v>91.948323695353395</v>
      </c>
      <c r="AJ3305">
        <v>49.151427390487498</v>
      </c>
      <c r="AK3305">
        <v>32.498168483538699</v>
      </c>
      <c r="AL3305">
        <v>77.540269007513899</v>
      </c>
      <c r="AM3305">
        <v>68.019644321534003</v>
      </c>
      <c r="AN3305">
        <v>1.0000000297987599</v>
      </c>
    </row>
    <row r="3306" spans="1:40" x14ac:dyDescent="0.25">
      <c r="A3306" t="str">
        <f>"20190312172727539"</f>
        <v>20190312172727539</v>
      </c>
      <c r="B3306" t="str">
        <f>"1552382847532252"</f>
        <v>1552382847532252</v>
      </c>
      <c r="C3306" t="s">
        <v>40</v>
      </c>
      <c r="D3306">
        <v>3.2203330000000001</v>
      </c>
      <c r="E3306">
        <v>0.63170269999999995</v>
      </c>
      <c r="F3306" t="s">
        <v>41</v>
      </c>
      <c r="G3306">
        <v>-228.14619999999999</v>
      </c>
      <c r="H3306" s="1">
        <v>-2.2561779999999999E-6</v>
      </c>
      <c r="I3306">
        <v>145.17339999999999</v>
      </c>
      <c r="J3306">
        <v>-195.86150000000001</v>
      </c>
      <c r="K3306">
        <v>1.1048659999999999</v>
      </c>
      <c r="L3306">
        <v>149.17949999999999</v>
      </c>
      <c r="M3306">
        <v>-0.67390329999999998</v>
      </c>
      <c r="N3306">
        <v>0</v>
      </c>
      <c r="O3306">
        <v>-0.73867399999999905</v>
      </c>
      <c r="P3306">
        <v>-0.87950030000000001</v>
      </c>
      <c r="Q3306">
        <v>0.2077754</v>
      </c>
      <c r="R3306">
        <v>-0.42814590000000002</v>
      </c>
      <c r="S3306">
        <v>-3.2468110000000001</v>
      </c>
      <c r="T3306">
        <v>-0.11062719999999999</v>
      </c>
      <c r="U3306">
        <v>-0.41508479999999998</v>
      </c>
      <c r="V3306">
        <v>0.36429640000000002</v>
      </c>
      <c r="W3306">
        <v>0.21591350000000001</v>
      </c>
      <c r="X3306">
        <v>0.90590809999999999</v>
      </c>
      <c r="Y3306">
        <v>0.64662940000000002</v>
      </c>
      <c r="Z3306">
        <v>3.331365E-2</v>
      </c>
      <c r="AA3306">
        <v>0.76207650000000005</v>
      </c>
      <c r="AB3306">
        <v>19</v>
      </c>
      <c r="AC3306">
        <v>-32.284699999999901</v>
      </c>
      <c r="AD3306">
        <v>-1.1048682561780001</v>
      </c>
      <c r="AE3306">
        <v>-4.0061</v>
      </c>
      <c r="AF3306">
        <v>21.126051516434401</v>
      </c>
      <c r="AG3306">
        <v>-1.1048682561780001</v>
      </c>
      <c r="AH3306">
        <v>24.690147599916799</v>
      </c>
      <c r="AI3306">
        <v>91.9473844221707</v>
      </c>
      <c r="AJ3306">
        <v>49.448147987377403</v>
      </c>
      <c r="AK3306">
        <v>32.513599847513497</v>
      </c>
      <c r="AL3306">
        <v>77.530874100328603</v>
      </c>
      <c r="AM3306">
        <v>68.093266268291003</v>
      </c>
      <c r="AN3306">
        <v>0.99999999609041001</v>
      </c>
    </row>
    <row r="3307" spans="1:40" x14ac:dyDescent="0.25">
      <c r="A3307" t="str">
        <f>"20190312172727560"</f>
        <v>20190312172727560</v>
      </c>
      <c r="B3307" t="str">
        <f>"1552382847552748"</f>
        <v>1552382847552748</v>
      </c>
      <c r="C3307" t="s">
        <v>40</v>
      </c>
      <c r="D3307">
        <v>3.204691</v>
      </c>
      <c r="E3307">
        <v>0.62044960000000005</v>
      </c>
      <c r="F3307" t="s">
        <v>41</v>
      </c>
      <c r="G3307">
        <v>-228.5471</v>
      </c>
      <c r="H3307" s="1">
        <v>-2.1102729999999998E-6</v>
      </c>
      <c r="I3307">
        <v>145.2714</v>
      </c>
      <c r="J3307">
        <v>-195.99950000000001</v>
      </c>
      <c r="K3307">
        <v>1.104859</v>
      </c>
      <c r="L3307">
        <v>149.04730000000001</v>
      </c>
      <c r="M3307">
        <v>-0.68189390000000005</v>
      </c>
      <c r="N3307">
        <v>0</v>
      </c>
      <c r="O3307">
        <v>-0.73130439999999997</v>
      </c>
      <c r="P3307">
        <v>-0.88314179999999998</v>
      </c>
      <c r="Q3307">
        <v>0.20821819999999999</v>
      </c>
      <c r="R3307">
        <v>-0.42036469999999998</v>
      </c>
      <c r="S3307">
        <v>-3.247925</v>
      </c>
      <c r="T3307">
        <v>-0.10978930000000001</v>
      </c>
      <c r="U3307">
        <v>-0.38833620000000002</v>
      </c>
      <c r="V3307">
        <v>0.36236829999999998</v>
      </c>
      <c r="W3307">
        <v>0.21638189999999999</v>
      </c>
      <c r="X3307">
        <v>0.90656939999999997</v>
      </c>
      <c r="Y3307">
        <v>0.6445668</v>
      </c>
      <c r="Z3307">
        <v>3.2899600000000001E-2</v>
      </c>
      <c r="AA3307">
        <v>0.76383990000000002</v>
      </c>
      <c r="AB3307">
        <v>19</v>
      </c>
      <c r="AC3307">
        <v>-32.547599999999903</v>
      </c>
      <c r="AD3307">
        <v>-1.1048611102729999</v>
      </c>
      <c r="AE3307">
        <v>-3.7759</v>
      </c>
      <c r="AF3307">
        <v>21.205606429636699</v>
      </c>
      <c r="AG3307">
        <v>-1.1048611102729999</v>
      </c>
      <c r="AH3307">
        <v>24.929674367018499</v>
      </c>
      <c r="AI3307">
        <v>91.933467838751397</v>
      </c>
      <c r="AJ3307">
        <v>49.6149441647812</v>
      </c>
      <c r="AK3307">
        <v>32.747322427447799</v>
      </c>
      <c r="AL3307">
        <v>77.503386956569202</v>
      </c>
      <c r="AM3307">
        <v>68.212728151564903</v>
      </c>
      <c r="AN3307">
        <v>0.99999999425442898</v>
      </c>
    </row>
    <row r="3308" spans="1:40" x14ac:dyDescent="0.25">
      <c r="A3308" t="str">
        <f>"20190312172727586"</f>
        <v>20190312172727586</v>
      </c>
      <c r="B3308" t="str">
        <f>"1552382847582028"</f>
        <v>1552382847582028</v>
      </c>
      <c r="C3308" t="s">
        <v>40</v>
      </c>
      <c r="D3308">
        <v>3.2432080000000001</v>
      </c>
      <c r="E3308">
        <v>0.61967499999999998</v>
      </c>
      <c r="F3308" t="s">
        <v>41</v>
      </c>
      <c r="G3308">
        <v>-226.518</v>
      </c>
      <c r="H3308" s="1">
        <v>-2.872889E-6</v>
      </c>
      <c r="I3308">
        <v>144.86590000000001</v>
      </c>
      <c r="J3308">
        <v>-196.15809999999999</v>
      </c>
      <c r="K3308">
        <v>1.1048659999999999</v>
      </c>
      <c r="L3308">
        <v>148.89879999999999</v>
      </c>
      <c r="M3308">
        <v>-0.69091499999999995</v>
      </c>
      <c r="N3308">
        <v>0</v>
      </c>
      <c r="O3308">
        <v>-0.72278739999999997</v>
      </c>
      <c r="P3308">
        <v>-0.88747480000000001</v>
      </c>
      <c r="Q3308">
        <v>0.20860819999999999</v>
      </c>
      <c r="R3308">
        <v>-0.41093940000000001</v>
      </c>
      <c r="S3308">
        <v>-3.214737</v>
      </c>
      <c r="T3308">
        <v>-0.1163833</v>
      </c>
      <c r="U3308">
        <v>-0.44044489999999997</v>
      </c>
      <c r="V3308">
        <v>0.36070049999999998</v>
      </c>
      <c r="W3308">
        <v>0.21679760000000001</v>
      </c>
      <c r="X3308">
        <v>0.90713500000000002</v>
      </c>
      <c r="Y3308">
        <v>0.62161959999999905</v>
      </c>
      <c r="Z3308">
        <v>3.455507E-2</v>
      </c>
      <c r="AA3308">
        <v>0.78255680000000005</v>
      </c>
      <c r="AB3308">
        <v>19</v>
      </c>
      <c r="AC3308">
        <v>-30.3599</v>
      </c>
      <c r="AD3308">
        <v>-1.1048688728889999</v>
      </c>
      <c r="AE3308">
        <v>-4.0328999999999802</v>
      </c>
      <c r="AF3308">
        <v>19.134517835738599</v>
      </c>
      <c r="AG3308">
        <v>-1.1048688728889999</v>
      </c>
      <c r="AH3308">
        <v>23.862550681907699</v>
      </c>
      <c r="AI3308">
        <v>92.068763417051599</v>
      </c>
      <c r="AJ3308">
        <v>51.2751330482673</v>
      </c>
      <c r="AK3308">
        <v>30.606728558914799</v>
      </c>
      <c r="AL3308">
        <v>77.478989790396895</v>
      </c>
      <c r="AM3308">
        <v>68.315943095808606</v>
      </c>
      <c r="AN3308">
        <v>0.99999997914550398</v>
      </c>
    </row>
    <row r="3309" spans="1:40" x14ac:dyDescent="0.25">
      <c r="A3309" t="str">
        <f>"20190312172727607"</f>
        <v>20190312172727607</v>
      </c>
      <c r="B3309" t="str">
        <f>"1552382847602524"</f>
        <v>1552382847602524</v>
      </c>
      <c r="C3309" t="s">
        <v>40</v>
      </c>
      <c r="D3309">
        <v>3.2248709999999998</v>
      </c>
      <c r="E3309">
        <v>0.6192145</v>
      </c>
      <c r="F3309" t="s">
        <v>41</v>
      </c>
      <c r="G3309">
        <v>-226.2054</v>
      </c>
      <c r="H3309" s="1">
        <v>-3.0589230000000001E-6</v>
      </c>
      <c r="I3309">
        <v>145.06100000000001</v>
      </c>
      <c r="J3309">
        <v>-196.2988</v>
      </c>
      <c r="K3309">
        <v>1.1048659999999999</v>
      </c>
      <c r="L3309">
        <v>148.77029999999999</v>
      </c>
      <c r="M3309">
        <v>-0.69876590000000005</v>
      </c>
      <c r="N3309">
        <v>0</v>
      </c>
      <c r="O3309">
        <v>-0.71520059999999996</v>
      </c>
      <c r="P3309">
        <v>-0.89132149999999999</v>
      </c>
      <c r="Q3309">
        <v>0.20889160000000001</v>
      </c>
      <c r="R3309">
        <v>-0.40238109999999999</v>
      </c>
      <c r="S3309">
        <v>-3.2178650000000002</v>
      </c>
      <c r="T3309">
        <v>-0.11832429999999999</v>
      </c>
      <c r="U3309">
        <v>-0.41099550000000001</v>
      </c>
      <c r="V3309">
        <v>0.35947079999999998</v>
      </c>
      <c r="W3309">
        <v>0.2171043</v>
      </c>
      <c r="X3309">
        <v>0.90754970000000001</v>
      </c>
      <c r="Y3309">
        <v>0.62018949999999995</v>
      </c>
      <c r="Z3309">
        <v>3.4936429999999997E-2</v>
      </c>
      <c r="AA3309">
        <v>0.78367359999999997</v>
      </c>
      <c r="AB3309">
        <v>19</v>
      </c>
      <c r="AC3309">
        <v>-29.906600000000001</v>
      </c>
      <c r="AD3309">
        <v>-1.1048690589229999</v>
      </c>
      <c r="AE3309">
        <v>-3.7092999999999798</v>
      </c>
      <c r="AF3309">
        <v>18.774064812809399</v>
      </c>
      <c r="AG3309">
        <v>-1.1048690589229999</v>
      </c>
      <c r="AH3309">
        <v>23.521512771039799</v>
      </c>
      <c r="AI3309">
        <v>92.102518228702195</v>
      </c>
      <c r="AJ3309">
        <v>51.404332884454703</v>
      </c>
      <c r="AK3309">
        <v>30.115574181328899</v>
      </c>
      <c r="AL3309">
        <v>77.460988636042202</v>
      </c>
      <c r="AM3309">
        <v>68.392007406077198</v>
      </c>
      <c r="AN3309">
        <v>0.99999999555061003</v>
      </c>
    </row>
    <row r="3310" spans="1:40" x14ac:dyDescent="0.25">
      <c r="A3310" t="str">
        <f>"20190312172727628"</f>
        <v>20190312172727628</v>
      </c>
      <c r="B3310" t="str">
        <f>"1552382847622045"</f>
        <v>1552382847622045</v>
      </c>
      <c r="C3310" t="s">
        <v>40</v>
      </c>
      <c r="D3310">
        <v>3.190042</v>
      </c>
      <c r="E3310">
        <v>0.6187338</v>
      </c>
      <c r="F3310" t="s">
        <v>41</v>
      </c>
      <c r="G3310">
        <v>-226.1046</v>
      </c>
      <c r="H3310" s="1">
        <v>-3.145639E-6</v>
      </c>
      <c r="I3310">
        <v>145.22450000000001</v>
      </c>
      <c r="J3310">
        <v>-196.4375</v>
      </c>
      <c r="K3310">
        <v>1.1048720000000001</v>
      </c>
      <c r="L3310">
        <v>148.6464</v>
      </c>
      <c r="M3310">
        <v>-0.70636699999999997</v>
      </c>
      <c r="N3310">
        <v>0</v>
      </c>
      <c r="O3310">
        <v>-0.70769459999999995</v>
      </c>
      <c r="P3310">
        <v>-0.89522299999999999</v>
      </c>
      <c r="Q3310">
        <v>0.20871709999999999</v>
      </c>
      <c r="R3310">
        <v>-0.39371709999999999</v>
      </c>
      <c r="S3310">
        <v>-3.2207949999999999</v>
      </c>
      <c r="T3310">
        <v>-0.11939130000000001</v>
      </c>
      <c r="U3310">
        <v>-0.38314819999999999</v>
      </c>
      <c r="V3310">
        <v>0.35859340000000001</v>
      </c>
      <c r="W3310">
        <v>0.21695120000000001</v>
      </c>
      <c r="X3310">
        <v>0.9079334</v>
      </c>
      <c r="Y3310">
        <v>0.61856610000000001</v>
      </c>
      <c r="Z3310">
        <v>3.5047729999999999E-2</v>
      </c>
      <c r="AA3310">
        <v>0.7849507</v>
      </c>
      <c r="AB3310">
        <v>19</v>
      </c>
      <c r="AC3310">
        <v>-29.667100000000001</v>
      </c>
      <c r="AD3310">
        <v>-1.10487514563899</v>
      </c>
      <c r="AE3310">
        <v>-3.4218999999999902</v>
      </c>
      <c r="AF3310">
        <v>18.554720051174801</v>
      </c>
      <c r="AG3310">
        <v>-1.10487514563899</v>
      </c>
      <c r="AH3310">
        <v>23.348063974930799</v>
      </c>
      <c r="AI3310">
        <v>92.121711458394202</v>
      </c>
      <c r="AJ3310">
        <v>51.525813770601999</v>
      </c>
      <c r="AK3310">
        <v>29.843432722164799</v>
      </c>
      <c r="AL3310">
        <v>77.469975548996899</v>
      </c>
      <c r="AM3310">
        <v>68.448179648584201</v>
      </c>
      <c r="AN3310">
        <v>1.0000000542702701</v>
      </c>
    </row>
    <row r="3311" spans="1:40" x14ac:dyDescent="0.25">
      <c r="A3311" t="str">
        <f>"20190312172727662"</f>
        <v>20190312172727662</v>
      </c>
      <c r="B3311" t="str">
        <f>"1552382847652301"</f>
        <v>1552382847652301</v>
      </c>
      <c r="C3311" t="s">
        <v>40</v>
      </c>
      <c r="D3311">
        <v>3.2472020000000001</v>
      </c>
      <c r="E3311">
        <v>0.61408289999999999</v>
      </c>
      <c r="F3311" t="s">
        <v>41</v>
      </c>
      <c r="G3311">
        <v>-225.7783</v>
      </c>
      <c r="H3311" s="1">
        <v>-3.3345680000000002E-6</v>
      </c>
      <c r="I3311">
        <v>145.4085</v>
      </c>
      <c r="J3311">
        <v>-196.6583</v>
      </c>
      <c r="K3311">
        <v>1.104903</v>
      </c>
      <c r="L3311">
        <v>148.45490000000001</v>
      </c>
      <c r="M3311">
        <v>-0.71816639999999998</v>
      </c>
      <c r="N3311">
        <v>0</v>
      </c>
      <c r="O3311">
        <v>-0.6957179</v>
      </c>
      <c r="P3311">
        <v>-0.90218339999999997</v>
      </c>
      <c r="Q3311">
        <v>0.20803679999999999</v>
      </c>
      <c r="R3311">
        <v>-0.3778704</v>
      </c>
      <c r="S3311">
        <v>-3.2229920000000001</v>
      </c>
      <c r="T3311">
        <v>-0.12136710000000001</v>
      </c>
      <c r="U3311">
        <v>-0.35566710000000001</v>
      </c>
      <c r="V3311">
        <v>0.35942390000000002</v>
      </c>
      <c r="W3311">
        <v>0.21626790000000001</v>
      </c>
      <c r="X3311">
        <v>0.90776800000000002</v>
      </c>
      <c r="Y3311">
        <v>0.61199239999999999</v>
      </c>
      <c r="Z3311">
        <v>3.5217310000000002E-2</v>
      </c>
      <c r="AA3311">
        <v>0.79007910000000003</v>
      </c>
      <c r="AB3311">
        <v>19</v>
      </c>
      <c r="AC3311">
        <v>-29.12</v>
      </c>
      <c r="AD3311">
        <v>-1.1049063345679999</v>
      </c>
      <c r="AE3311">
        <v>-3.0464000000000002</v>
      </c>
      <c r="AF3311">
        <v>18.047711929000599</v>
      </c>
      <c r="AG3311">
        <v>-1.1049063345679999</v>
      </c>
      <c r="AH3311">
        <v>23.002143745562201</v>
      </c>
      <c r="AI3311">
        <v>92.164235488569204</v>
      </c>
      <c r="AJ3311">
        <v>51.881914705036799</v>
      </c>
      <c r="AK3311">
        <v>29.258149988881101</v>
      </c>
      <c r="AL3311">
        <v>77.510077708689295</v>
      </c>
      <c r="AM3311">
        <v>68.399283945448104</v>
      </c>
      <c r="AN3311">
        <v>1.0000000431428</v>
      </c>
    </row>
    <row r="3312" spans="1:40" x14ac:dyDescent="0.25">
      <c r="A3312" t="str">
        <f>"20190312172727683"</f>
        <v>20190312172727683</v>
      </c>
      <c r="B3312" t="str">
        <f>"1552382847672799"</f>
        <v>1552382847672799</v>
      </c>
      <c r="C3312" t="s">
        <v>40</v>
      </c>
      <c r="D3312">
        <v>3.3320400000000001</v>
      </c>
      <c r="E3312">
        <v>0.61324690000000004</v>
      </c>
      <c r="F3312" t="s">
        <v>41</v>
      </c>
      <c r="G3312">
        <v>-222.2535</v>
      </c>
      <c r="H3312" s="1">
        <v>-4.6060399999999999E-6</v>
      </c>
      <c r="I3312">
        <v>145.80009999999999</v>
      </c>
      <c r="J3312">
        <v>-196.8022</v>
      </c>
      <c r="K3312">
        <v>1.104919</v>
      </c>
      <c r="L3312">
        <v>148.33330000000001</v>
      </c>
      <c r="M3312">
        <v>-0.72567190000000004</v>
      </c>
      <c r="N3312">
        <v>0</v>
      </c>
      <c r="O3312">
        <v>-0.68788570000000004</v>
      </c>
      <c r="P3312">
        <v>-0.90618310000000002</v>
      </c>
      <c r="Q3312">
        <v>0.2072116</v>
      </c>
      <c r="R3312">
        <v>-0.36864029999999998</v>
      </c>
      <c r="S3312">
        <v>-3.2175449999999999</v>
      </c>
      <c r="T3312">
        <v>-0.13889649999999901</v>
      </c>
      <c r="U3312">
        <v>-0.33372499999999999</v>
      </c>
      <c r="V3312">
        <v>0.35894720000000002</v>
      </c>
      <c r="W3312">
        <v>0.21546660000000001</v>
      </c>
      <c r="X3312">
        <v>0.90814700000000004</v>
      </c>
      <c r="Y3312">
        <v>0.60834119999999903</v>
      </c>
      <c r="Z3312">
        <v>4.0089800000000002E-2</v>
      </c>
      <c r="AA3312">
        <v>0.79266239999999999</v>
      </c>
      <c r="AB3312">
        <v>19</v>
      </c>
      <c r="AC3312">
        <v>-25.4513</v>
      </c>
      <c r="AD3312">
        <v>-1.1049236060400001</v>
      </c>
      <c r="AE3312">
        <v>-2.5332000000000199</v>
      </c>
      <c r="AF3312">
        <v>15.641795605313201</v>
      </c>
      <c r="AG3312">
        <v>-1.1049236060400001</v>
      </c>
      <c r="AH3312">
        <v>20.176350265112099</v>
      </c>
      <c r="AI3312">
        <v>92.478238609055396</v>
      </c>
      <c r="AJ3312">
        <v>52.215225799494803</v>
      </c>
      <c r="AK3312">
        <v>25.553311643582902</v>
      </c>
      <c r="AL3312">
        <v>77.557096372599901</v>
      </c>
      <c r="AM3312">
        <v>68.433475956460001</v>
      </c>
      <c r="AN3312">
        <v>0.99999996085619902</v>
      </c>
    </row>
    <row r="3313" spans="1:40" x14ac:dyDescent="0.25">
      <c r="A3313" t="str">
        <f>"20190312172727705"</f>
        <v>20190312172727705</v>
      </c>
      <c r="B3313" t="str">
        <f>"1552382847702077"</f>
        <v>1552382847702077</v>
      </c>
      <c r="C3313" t="s">
        <v>40</v>
      </c>
      <c r="D3313">
        <v>3.3095050000000001</v>
      </c>
      <c r="E3313">
        <v>0.61181919999999901</v>
      </c>
      <c r="F3313" t="s">
        <v>41</v>
      </c>
      <c r="G3313">
        <v>-221.83590000000001</v>
      </c>
      <c r="H3313" s="1">
        <v>-4.7763600000000003E-6</v>
      </c>
      <c r="I3313">
        <v>145.959</v>
      </c>
      <c r="J3313">
        <v>-196.946</v>
      </c>
      <c r="K3313">
        <v>1.104948</v>
      </c>
      <c r="L3313">
        <v>148.21449999999999</v>
      </c>
      <c r="M3313">
        <v>-0.7330198</v>
      </c>
      <c r="N3313">
        <v>0</v>
      </c>
      <c r="O3313">
        <v>-0.68005059999999995</v>
      </c>
      <c r="P3313">
        <v>-0.90995720000000002</v>
      </c>
      <c r="Q3313">
        <v>0.20655870000000001</v>
      </c>
      <c r="R3313">
        <v>-0.359599</v>
      </c>
      <c r="S3313">
        <v>-3.2188720000000002</v>
      </c>
      <c r="T3313">
        <v>-0.14207320000000001</v>
      </c>
      <c r="U3313">
        <v>-0.30528260000000002</v>
      </c>
      <c r="V3313">
        <v>0.3583095</v>
      </c>
      <c r="W3313">
        <v>0.21484210000000001</v>
      </c>
      <c r="X3313">
        <v>0.90854669999999904</v>
      </c>
      <c r="Y3313">
        <v>0.60674549999999905</v>
      </c>
      <c r="Z3313">
        <v>4.0754150000000003E-2</v>
      </c>
      <c r="AA3313">
        <v>0.79385069999999902</v>
      </c>
      <c r="AB3313">
        <v>19</v>
      </c>
      <c r="AC3313">
        <v>-24.889900000000001</v>
      </c>
      <c r="AD3313">
        <v>-1.10495277636</v>
      </c>
      <c r="AE3313">
        <v>-2.2554999999999801</v>
      </c>
      <c r="AF3313">
        <v>15.2448934628051</v>
      </c>
      <c r="AG3313">
        <v>-1.10495277636</v>
      </c>
      <c r="AH3313">
        <v>19.742161113453701</v>
      </c>
      <c r="AI3313">
        <v>92.536480728189005</v>
      </c>
      <c r="AJ3313">
        <v>52.324686208828702</v>
      </c>
      <c r="AK3313">
        <v>24.967591448912898</v>
      </c>
      <c r="AL3313">
        <v>77.5937357431865</v>
      </c>
      <c r="AM3313">
        <v>68.476887270399203</v>
      </c>
      <c r="AN3313">
        <v>0.99999996590177398</v>
      </c>
    </row>
    <row r="3314" spans="1:40" x14ac:dyDescent="0.25">
      <c r="A3314" t="str">
        <f>"20190312172727728"</f>
        <v>20190312172727728</v>
      </c>
      <c r="B3314" t="str">
        <f>"1552382847722574"</f>
        <v>1552382847722574</v>
      </c>
      <c r="C3314" t="s">
        <v>40</v>
      </c>
      <c r="D3314">
        <v>3.3282850000000002</v>
      </c>
      <c r="E3314">
        <v>0.60497060000000002</v>
      </c>
      <c r="F3314" t="s">
        <v>41</v>
      </c>
      <c r="G3314">
        <v>-220.9015</v>
      </c>
      <c r="H3314" s="1">
        <v>-5.1211409999999996E-6</v>
      </c>
      <c r="I3314">
        <v>146.11019999999999</v>
      </c>
      <c r="J3314">
        <v>-197.0977</v>
      </c>
      <c r="K3314">
        <v>1.104975</v>
      </c>
      <c r="L3314">
        <v>148.09190000000001</v>
      </c>
      <c r="M3314">
        <v>-0.74061269999999901</v>
      </c>
      <c r="N3314">
        <v>0</v>
      </c>
      <c r="O3314">
        <v>-0.67177390000000003</v>
      </c>
      <c r="P3314">
        <v>-0.91349919999999996</v>
      </c>
      <c r="Q3314">
        <v>0.20658099999999999</v>
      </c>
      <c r="R3314">
        <v>-0.35049089999999999</v>
      </c>
      <c r="S3314">
        <v>-3.2187960000000002</v>
      </c>
      <c r="T3314">
        <v>-0.14846790000000001</v>
      </c>
      <c r="U3314">
        <v>-0.28274539999999998</v>
      </c>
      <c r="V3314">
        <v>0.35715799999999998</v>
      </c>
      <c r="W3314">
        <v>0.2149026</v>
      </c>
      <c r="X3314">
        <v>0.90898570000000001</v>
      </c>
      <c r="Y3314">
        <v>0.60323309999999997</v>
      </c>
      <c r="Z3314">
        <v>4.2268979999999998E-2</v>
      </c>
      <c r="AA3314">
        <v>0.79644409999999999</v>
      </c>
      <c r="AB3314">
        <v>19</v>
      </c>
      <c r="AC3314">
        <v>-23.803799999999899</v>
      </c>
      <c r="AD3314">
        <v>-1.104980121141</v>
      </c>
      <c r="AE3314">
        <v>-1.98170000000001</v>
      </c>
      <c r="AF3314">
        <v>14.4936272579786</v>
      </c>
      <c r="AG3314">
        <v>-1.104980121141</v>
      </c>
      <c r="AH3314">
        <v>18.9221735682016</v>
      </c>
      <c r="AI3314">
        <v>92.654291151245602</v>
      </c>
      <c r="AJ3314">
        <v>52.549331114589997</v>
      </c>
      <c r="AK3314">
        <v>23.860738980729099</v>
      </c>
      <c r="AL3314">
        <v>77.590186667863506</v>
      </c>
      <c r="AM3314">
        <v>68.549179916087894</v>
      </c>
      <c r="AN3314">
        <v>0.99999998362762499</v>
      </c>
    </row>
    <row r="3315" spans="1:40" x14ac:dyDescent="0.25">
      <c r="A3315" t="str">
        <f>"20190312172727751"</f>
        <v>20190312172727751</v>
      </c>
      <c r="B3315" t="str">
        <f>"1552382847742093"</f>
        <v>1552382847742093</v>
      </c>
      <c r="C3315" t="s">
        <v>40</v>
      </c>
      <c r="D3315">
        <v>3.3100459999999998</v>
      </c>
      <c r="E3315">
        <v>0.60386090000000003</v>
      </c>
      <c r="F3315" t="s">
        <v>41</v>
      </c>
      <c r="G3315">
        <v>-218.62100000000001</v>
      </c>
      <c r="H3315" s="1">
        <v>-2.3466410000000002E-6</v>
      </c>
      <c r="I3315">
        <v>146.05930000000001</v>
      </c>
      <c r="J3315">
        <v>-197.25700000000001</v>
      </c>
      <c r="K3315">
        <v>1.1050059999999999</v>
      </c>
      <c r="L3315">
        <v>147.96639999999999</v>
      </c>
      <c r="M3315">
        <v>-0.74840209999999996</v>
      </c>
      <c r="N3315">
        <v>0</v>
      </c>
      <c r="O3315">
        <v>-0.66308549999999999</v>
      </c>
      <c r="P3315">
        <v>-0.91684500000000002</v>
      </c>
      <c r="Q3315">
        <v>0.2063921</v>
      </c>
      <c r="R3315">
        <v>-0.34175739999999999</v>
      </c>
      <c r="S3315">
        <v>-3.2051539999999998</v>
      </c>
      <c r="T3315">
        <v>-0.16454830000000001</v>
      </c>
      <c r="U3315">
        <v>-0.30268859999999997</v>
      </c>
      <c r="V3315">
        <v>0.35522759999999998</v>
      </c>
      <c r="W3315">
        <v>0.2147685</v>
      </c>
      <c r="X3315">
        <v>0.90977350000000001</v>
      </c>
      <c r="Y3315">
        <v>0.58836129999999998</v>
      </c>
      <c r="Z3315">
        <v>4.6309259999999998E-2</v>
      </c>
      <c r="AA3315">
        <v>0.80727099999999996</v>
      </c>
      <c r="AB3315">
        <v>19</v>
      </c>
      <c r="AC3315">
        <v>-21.363999999999901</v>
      </c>
      <c r="AD3315">
        <v>-1.1050083466409999</v>
      </c>
      <c r="AE3315">
        <v>-1.90709999999998</v>
      </c>
      <c r="AF3315">
        <v>12.706506510049</v>
      </c>
      <c r="AG3315">
        <v>-1.1050083466409999</v>
      </c>
      <c r="AH3315">
        <v>17.209585116677001</v>
      </c>
      <c r="AI3315">
        <v>92.956973559547507</v>
      </c>
      <c r="AJ3315">
        <v>53.560104768506697</v>
      </c>
      <c r="AK3315">
        <v>21.420694923933102</v>
      </c>
      <c r="AL3315">
        <v>77.5980537917481</v>
      </c>
      <c r="AM3315">
        <v>68.671483347731296</v>
      </c>
      <c r="AN3315">
        <v>0.99999998884812902</v>
      </c>
    </row>
    <row r="3316" spans="1:40" x14ac:dyDescent="0.25">
      <c r="A3316" t="str">
        <f>"20190312172727774"</f>
        <v>20190312172727774</v>
      </c>
      <c r="B3316" t="str">
        <f>"1552382847762592"</f>
        <v>1552382847762592</v>
      </c>
      <c r="C3316" t="s">
        <v>40</v>
      </c>
      <c r="D3316">
        <v>3.33392</v>
      </c>
      <c r="E3316">
        <v>0.60265340000000001</v>
      </c>
      <c r="F3316" t="s">
        <v>41</v>
      </c>
      <c r="G3316">
        <v>-218.39189999999999</v>
      </c>
      <c r="H3316" s="1">
        <v>-2.4703689999999999E-6</v>
      </c>
      <c r="I3316">
        <v>146.1173</v>
      </c>
      <c r="J3316">
        <v>-197.40860000000001</v>
      </c>
      <c r="K3316">
        <v>1.105027</v>
      </c>
      <c r="L3316">
        <v>147.84970000000001</v>
      </c>
      <c r="M3316">
        <v>-0.75565709999999997</v>
      </c>
      <c r="N3316">
        <v>0</v>
      </c>
      <c r="O3316">
        <v>-0.65480530000000003</v>
      </c>
      <c r="P3316">
        <v>-0.91965079999999999</v>
      </c>
      <c r="Q3316">
        <v>0.20671870000000001</v>
      </c>
      <c r="R3316">
        <v>-0.33393129999999999</v>
      </c>
      <c r="S3316">
        <v>-3.205292</v>
      </c>
      <c r="T3316">
        <v>-0.1675838</v>
      </c>
      <c r="U3316">
        <v>-0.2804413</v>
      </c>
      <c r="V3316">
        <v>0.3528983</v>
      </c>
      <c r="W3316">
        <v>0.2151537</v>
      </c>
      <c r="X3316">
        <v>0.91058870000000003</v>
      </c>
      <c r="Y3316">
        <v>0.584978199999999</v>
      </c>
      <c r="Z3316">
        <v>4.6791220000000001E-2</v>
      </c>
      <c r="AA3316">
        <v>0.80969820000000003</v>
      </c>
      <c r="AB3316">
        <v>19</v>
      </c>
      <c r="AC3316">
        <v>-20.9832999999999</v>
      </c>
      <c r="AD3316">
        <v>-1.105029470369</v>
      </c>
      <c r="AE3316">
        <v>-1.7324000000000099</v>
      </c>
      <c r="AF3316">
        <v>12.3980448763549</v>
      </c>
      <c r="AG3316">
        <v>-1.105029470369</v>
      </c>
      <c r="AH3316">
        <v>16.9456910553683</v>
      </c>
      <c r="AI3316">
        <v>93.012601877119806</v>
      </c>
      <c r="AJ3316">
        <v>53.809526210175903</v>
      </c>
      <c r="AK3316">
        <v>21.025913826287798</v>
      </c>
      <c r="AL3316">
        <v>77.575455965656701</v>
      </c>
      <c r="AM3316">
        <v>68.816178943574599</v>
      </c>
      <c r="AN3316">
        <v>1.00000005266713</v>
      </c>
    </row>
    <row r="3317" spans="1:40" x14ac:dyDescent="0.25">
      <c r="A3317" t="str">
        <f>"20190312172727796"</f>
        <v>20190312172727796</v>
      </c>
      <c r="B3317" t="str">
        <f>"1552382847791870"</f>
        <v>1552382847791870</v>
      </c>
      <c r="C3317" t="s">
        <v>40</v>
      </c>
      <c r="D3317">
        <v>3.3687550000000002</v>
      </c>
      <c r="E3317">
        <v>0.60100180000000003</v>
      </c>
      <c r="F3317" t="s">
        <v>41</v>
      </c>
      <c r="G3317">
        <v>-218.52670000000001</v>
      </c>
      <c r="H3317" s="1">
        <v>-2.4076390000000001E-6</v>
      </c>
      <c r="I3317">
        <v>146.12100000000001</v>
      </c>
      <c r="J3317">
        <v>-197.5677</v>
      </c>
      <c r="K3317">
        <v>1.105046</v>
      </c>
      <c r="L3317">
        <v>147.72999999999999</v>
      </c>
      <c r="M3317">
        <v>-0.7631038</v>
      </c>
      <c r="N3317">
        <v>0</v>
      </c>
      <c r="O3317">
        <v>-0.64611189999999996</v>
      </c>
      <c r="P3317">
        <v>-0.92250080000000001</v>
      </c>
      <c r="Q3317">
        <v>0.20695730000000001</v>
      </c>
      <c r="R3317">
        <v>-0.3258239</v>
      </c>
      <c r="S3317">
        <v>-3.2045590000000002</v>
      </c>
      <c r="T3317">
        <v>-0.16768189999999999</v>
      </c>
      <c r="U3317">
        <v>-0.26231379999999999</v>
      </c>
      <c r="V3317">
        <v>0.35043459999999899</v>
      </c>
      <c r="W3317">
        <v>0.21545259999999999</v>
      </c>
      <c r="X3317">
        <v>0.91146899999999997</v>
      </c>
      <c r="Y3317">
        <v>0.58023549999999902</v>
      </c>
      <c r="Z3317">
        <v>4.6395840000000001E-2</v>
      </c>
      <c r="AA3317">
        <v>0.81312629999999997</v>
      </c>
      <c r="AB3317">
        <v>19</v>
      </c>
      <c r="AC3317">
        <v>-20.959</v>
      </c>
      <c r="AD3317">
        <v>-1.1050484076389999</v>
      </c>
      <c r="AE3317">
        <v>-1.60899999999998</v>
      </c>
      <c r="AF3317">
        <v>12.281390404758101</v>
      </c>
      <c r="AG3317">
        <v>-1.1050484076389999</v>
      </c>
      <c r="AH3317">
        <v>16.988344080927199</v>
      </c>
      <c r="AI3317">
        <v>93.017547612612205</v>
      </c>
      <c r="AJ3317">
        <v>54.135689641324397</v>
      </c>
      <c r="AK3317">
        <v>20.991844055949102</v>
      </c>
      <c r="AL3317">
        <v>77.557918109992002</v>
      </c>
      <c r="AM3317">
        <v>68.969630058089294</v>
      </c>
      <c r="AN3317">
        <v>0.999999984842459</v>
      </c>
    </row>
    <row r="3318" spans="1:40" x14ac:dyDescent="0.25">
      <c r="A3318" t="str">
        <f>"20190312172727820"</f>
        <v>20190312172727820</v>
      </c>
      <c r="B3318" t="str">
        <f>"1552382847812365"</f>
        <v>1552382847812365</v>
      </c>
      <c r="C3318" t="s">
        <v>40</v>
      </c>
      <c r="D3318">
        <v>3.3944649999999998</v>
      </c>
      <c r="E3318">
        <v>0.60001070000000001</v>
      </c>
      <c r="F3318" t="s">
        <v>41</v>
      </c>
      <c r="G3318">
        <v>-218.67519999999999</v>
      </c>
      <c r="H3318" s="1">
        <v>-2.3348410000000001E-6</v>
      </c>
      <c r="I3318">
        <v>146.1113</v>
      </c>
      <c r="J3318">
        <v>-197.72739999999999</v>
      </c>
      <c r="K3318">
        <v>1.1050599999999999</v>
      </c>
      <c r="L3318">
        <v>147.61259999999999</v>
      </c>
      <c r="M3318">
        <v>-0.77041789999999999</v>
      </c>
      <c r="N3318">
        <v>0</v>
      </c>
      <c r="O3318">
        <v>-0.63737310000000003</v>
      </c>
      <c r="P3318">
        <v>-0.92556099999999997</v>
      </c>
      <c r="Q3318">
        <v>0.20658609999999999</v>
      </c>
      <c r="R3318">
        <v>-0.31726769999999999</v>
      </c>
      <c r="S3318">
        <v>-3.2028810000000001</v>
      </c>
      <c r="T3318">
        <v>-0.16768089999999999</v>
      </c>
      <c r="U3318">
        <v>-0.24563599999999999</v>
      </c>
      <c r="V3318">
        <v>0.3485143</v>
      </c>
      <c r="W3318">
        <v>0.21513180000000001</v>
      </c>
      <c r="X3318">
        <v>0.91228069999999895</v>
      </c>
      <c r="Y3318">
        <v>0.57513689999999995</v>
      </c>
      <c r="Z3318">
        <v>4.5966739999999999E-2</v>
      </c>
      <c r="AA3318">
        <v>0.81676479999999996</v>
      </c>
      <c r="AB3318">
        <v>19</v>
      </c>
      <c r="AC3318">
        <v>-20.947800000000001</v>
      </c>
      <c r="AD3318">
        <v>-1.105062334841</v>
      </c>
      <c r="AE3318">
        <v>-1.5012999999999801</v>
      </c>
      <c r="AF3318">
        <v>12.1625532864199</v>
      </c>
      <c r="AG3318">
        <v>-1.105062334841</v>
      </c>
      <c r="AH3318">
        <v>17.050052910333999</v>
      </c>
      <c r="AI3318">
        <v>93.020346062770003</v>
      </c>
      <c r="AJ3318">
        <v>54.498065149447797</v>
      </c>
      <c r="AK3318">
        <v>20.9726767355547</v>
      </c>
      <c r="AL3318">
        <v>77.576740067329496</v>
      </c>
      <c r="AM3318">
        <v>69.091878571810796</v>
      </c>
      <c r="AN3318">
        <v>0.99999999213410995</v>
      </c>
    </row>
    <row r="3319" spans="1:40" x14ac:dyDescent="0.25">
      <c r="A3319" t="str">
        <f>"20190312172727841"</f>
        <v>20190312172727841</v>
      </c>
      <c r="B3319" t="str">
        <f>"1552382847831885"</f>
        <v>1552382847831885</v>
      </c>
      <c r="C3319" t="s">
        <v>40</v>
      </c>
      <c r="D3319">
        <v>3.3886080000000001</v>
      </c>
      <c r="E3319">
        <v>0.59949869999999905</v>
      </c>
      <c r="F3319" t="s">
        <v>41</v>
      </c>
      <c r="G3319">
        <v>-218.4699</v>
      </c>
      <c r="H3319" s="1">
        <v>-2.445167E-6</v>
      </c>
      <c r="I3319">
        <v>146.161</v>
      </c>
      <c r="J3319">
        <v>-197.87450000000001</v>
      </c>
      <c r="K3319">
        <v>1.105081</v>
      </c>
      <c r="L3319">
        <v>147.50700000000001</v>
      </c>
      <c r="M3319">
        <v>-0.77701189999999998</v>
      </c>
      <c r="N3319">
        <v>0</v>
      </c>
      <c r="O3319">
        <v>-0.62931819999999905</v>
      </c>
      <c r="P3319">
        <v>-0.92820709999999995</v>
      </c>
      <c r="Q3319">
        <v>0.20659150000000001</v>
      </c>
      <c r="R3319">
        <v>-0.30943769999999998</v>
      </c>
      <c r="S3319">
        <v>-3.2025600000000001</v>
      </c>
      <c r="T3319">
        <v>-0.17061760000000001</v>
      </c>
      <c r="U3319">
        <v>-0.22412109999999999</v>
      </c>
      <c r="V3319">
        <v>0.34670529999999999</v>
      </c>
      <c r="W3319">
        <v>0.2151816</v>
      </c>
      <c r="X3319">
        <v>0.91295800000000005</v>
      </c>
      <c r="Y3319">
        <v>0.57203329999999997</v>
      </c>
      <c r="Z3319">
        <v>4.6395480000000003E-2</v>
      </c>
      <c r="AA3319">
        <v>0.81891720000000001</v>
      </c>
      <c r="AB3319">
        <v>19</v>
      </c>
      <c r="AC3319">
        <v>-20.595399999999898</v>
      </c>
      <c r="AD3319">
        <v>-1.105083445167</v>
      </c>
      <c r="AE3319">
        <v>-1.3460000000000001</v>
      </c>
      <c r="AF3319">
        <v>11.882395398065301</v>
      </c>
      <c r="AG3319">
        <v>-1.105083445167</v>
      </c>
      <c r="AH3319">
        <v>16.803539533081398</v>
      </c>
      <c r="AI3319">
        <v>93.073607116131001</v>
      </c>
      <c r="AJ3319">
        <v>54.734476828751902</v>
      </c>
      <c r="AK3319">
        <v>20.6099847320801</v>
      </c>
      <c r="AL3319">
        <v>77.573818381279807</v>
      </c>
      <c r="AM3319">
        <v>69.205205547526305</v>
      </c>
      <c r="AN3319">
        <v>0.99999999789532501</v>
      </c>
    </row>
    <row r="3320" spans="1:40" x14ac:dyDescent="0.25">
      <c r="A3320" t="str">
        <f>"20190312172727863"</f>
        <v>20190312172727863</v>
      </c>
      <c r="B3320" t="str">
        <f>"1552382847852380"</f>
        <v>1552382847852380</v>
      </c>
      <c r="C3320" t="s">
        <v>40</v>
      </c>
      <c r="D3320">
        <v>3.3736359999999999</v>
      </c>
      <c r="E3320">
        <v>0.59243970000000001</v>
      </c>
      <c r="F3320" t="s">
        <v>41</v>
      </c>
      <c r="G3320">
        <v>-218.46190000000001</v>
      </c>
      <c r="H3320" s="1">
        <v>-2.463193E-6</v>
      </c>
      <c r="I3320">
        <v>146.21449999999999</v>
      </c>
      <c r="J3320">
        <v>-198.02629999999999</v>
      </c>
      <c r="K3320">
        <v>1.1051029999999999</v>
      </c>
      <c r="L3320">
        <v>147.40029999999999</v>
      </c>
      <c r="M3320">
        <v>-0.78368000000000004</v>
      </c>
      <c r="N3320">
        <v>0</v>
      </c>
      <c r="O3320">
        <v>-0.62099469999999901</v>
      </c>
      <c r="P3320">
        <v>-0.93052579999999996</v>
      </c>
      <c r="Q3320">
        <v>0.20755599999999999</v>
      </c>
      <c r="R3320">
        <v>-0.3017319</v>
      </c>
      <c r="S3320">
        <v>-3.2032780000000001</v>
      </c>
      <c r="T3320">
        <v>-0.17194470000000001</v>
      </c>
      <c r="U3320">
        <v>-0.20109560000000001</v>
      </c>
      <c r="V3320">
        <v>0.34439750000000002</v>
      </c>
      <c r="W3320">
        <v>0.21619659999999999</v>
      </c>
      <c r="X3320">
        <v>0.9135915</v>
      </c>
      <c r="Y3320">
        <v>0.56915099999999996</v>
      </c>
      <c r="Z3320">
        <v>4.6353600000000002E-2</v>
      </c>
      <c r="AA3320">
        <v>0.82092540000000003</v>
      </c>
      <c r="AB3320">
        <v>19</v>
      </c>
      <c r="AC3320">
        <v>-20.435600000000001</v>
      </c>
      <c r="AD3320">
        <v>-1.105105463193</v>
      </c>
      <c r="AE3320">
        <v>-1.1858</v>
      </c>
      <c r="AF3320">
        <v>11.728171507226801</v>
      </c>
      <c r="AG3320">
        <v>-1.105105463193</v>
      </c>
      <c r="AH3320">
        <v>16.704430037188899</v>
      </c>
      <c r="AI3320">
        <v>93.099196659458002</v>
      </c>
      <c r="AJ3320">
        <v>54.927327271721701</v>
      </c>
      <c r="AK3320">
        <v>20.440382771735099</v>
      </c>
      <c r="AL3320">
        <v>77.514261572702097</v>
      </c>
      <c r="AM3320">
        <v>69.345011960768105</v>
      </c>
      <c r="AN3320">
        <v>1.0000000183650199</v>
      </c>
    </row>
    <row r="3321" spans="1:40" x14ac:dyDescent="0.25">
      <c r="A3321" t="str">
        <f>"20190312172727885"</f>
        <v>20190312172727885</v>
      </c>
      <c r="B3321" t="str">
        <f>"1552382847882636"</f>
        <v>1552382847882636</v>
      </c>
      <c r="C3321" t="s">
        <v>40</v>
      </c>
      <c r="D3321">
        <v>3.3822990000000002</v>
      </c>
      <c r="E3321">
        <v>0.5907673</v>
      </c>
      <c r="F3321" t="s">
        <v>41</v>
      </c>
      <c r="G3321">
        <v>-217.2783</v>
      </c>
      <c r="H3321" s="1">
        <v>-2.9724180000000002E-6</v>
      </c>
      <c r="I3321">
        <v>146.0258</v>
      </c>
      <c r="J3321">
        <v>-198.1842</v>
      </c>
      <c r="K3321">
        <v>1.105137</v>
      </c>
      <c r="L3321">
        <v>147.29179999999999</v>
      </c>
      <c r="M3321">
        <v>-0.79047630000000002</v>
      </c>
      <c r="N3321">
        <v>0</v>
      </c>
      <c r="O3321">
        <v>-0.61232019999999998</v>
      </c>
      <c r="P3321">
        <v>-0.93310749999999998</v>
      </c>
      <c r="Q3321">
        <v>0.2080651</v>
      </c>
      <c r="R3321">
        <v>-0.2932901</v>
      </c>
      <c r="S3321">
        <v>-3.1909640000000001</v>
      </c>
      <c r="T3321">
        <v>-0.18316730000000001</v>
      </c>
      <c r="U3321">
        <v>-0.227829</v>
      </c>
      <c r="V3321">
        <v>0.34252529999999998</v>
      </c>
      <c r="W3321">
        <v>0.2167492</v>
      </c>
      <c r="X3321">
        <v>0.91416419999999998</v>
      </c>
      <c r="Y3321">
        <v>0.55275819999999998</v>
      </c>
      <c r="Z3321">
        <v>4.8670720000000001E-2</v>
      </c>
      <c r="AA3321">
        <v>0.83191930000000003</v>
      </c>
      <c r="AB3321">
        <v>19</v>
      </c>
      <c r="AC3321">
        <v>-19.094100000000001</v>
      </c>
      <c r="AD3321">
        <v>-1.105139972418</v>
      </c>
      <c r="AE3321">
        <v>-1.26599999999999</v>
      </c>
      <c r="AF3321">
        <v>10.6565467609979</v>
      </c>
      <c r="AG3321">
        <v>-1.105139972418</v>
      </c>
      <c r="AH3321">
        <v>15.8175509971887</v>
      </c>
      <c r="AI3321">
        <v>93.316262839378894</v>
      </c>
      <c r="AJ3321">
        <v>56.031196594860802</v>
      </c>
      <c r="AK3321">
        <v>19.104403753497099</v>
      </c>
      <c r="AL3321">
        <v>77.481830598576096</v>
      </c>
      <c r="AM3321">
        <v>69.459686770505002</v>
      </c>
      <c r="AN3321">
        <v>0.99999999070118495</v>
      </c>
    </row>
    <row r="3322" spans="1:40" x14ac:dyDescent="0.25">
      <c r="A3322" t="str">
        <f>"20190312172727908"</f>
        <v>20190312172727908</v>
      </c>
      <c r="B3322" t="str">
        <f>"1552382847902157"</f>
        <v>1552382847902157</v>
      </c>
      <c r="C3322" t="s">
        <v>40</v>
      </c>
      <c r="D3322">
        <v>3.3857059999999999</v>
      </c>
      <c r="E3322">
        <v>0.58983969999999997</v>
      </c>
      <c r="F3322" t="s">
        <v>41</v>
      </c>
      <c r="G3322">
        <v>-217.5522</v>
      </c>
      <c r="H3322" s="1">
        <v>-2.8377209999999999E-6</v>
      </c>
      <c r="I3322">
        <v>146.0061</v>
      </c>
      <c r="J3322">
        <v>-198.3493</v>
      </c>
      <c r="K3322">
        <v>1.105159</v>
      </c>
      <c r="L3322">
        <v>147.18119999999999</v>
      </c>
      <c r="M3322">
        <v>-0.79742259999999998</v>
      </c>
      <c r="N3322">
        <v>0</v>
      </c>
      <c r="O3322">
        <v>-0.60324659999999997</v>
      </c>
      <c r="P3322">
        <v>-0.93613279999999999</v>
      </c>
      <c r="Q3322">
        <v>0.20845859999999999</v>
      </c>
      <c r="R3322">
        <v>-0.28319749999999999</v>
      </c>
      <c r="S3322">
        <v>-3.189133</v>
      </c>
      <c r="T3322">
        <v>-0.18197260000000001</v>
      </c>
      <c r="U3322">
        <v>-0.21171570000000001</v>
      </c>
      <c r="V3322">
        <v>0.34188950000000001</v>
      </c>
      <c r="W3322">
        <v>0.21716260000000001</v>
      </c>
      <c r="X3322">
        <v>0.91430409999999995</v>
      </c>
      <c r="Y3322">
        <v>0.54742230000000003</v>
      </c>
      <c r="Z3322">
        <v>4.7843209999999997E-2</v>
      </c>
      <c r="AA3322">
        <v>0.8354878</v>
      </c>
      <c r="AB3322">
        <v>19</v>
      </c>
      <c r="AC3322">
        <v>-19.2029</v>
      </c>
      <c r="AD3322">
        <v>-1.105161837721</v>
      </c>
      <c r="AE3322">
        <v>-1.17509999999998</v>
      </c>
      <c r="AF3322">
        <v>10.613133074635201</v>
      </c>
      <c r="AG3322">
        <v>-1.105161837721</v>
      </c>
      <c r="AH3322">
        <v>15.970689013380699</v>
      </c>
      <c r="AI3322">
        <v>93.298531537253695</v>
      </c>
      <c r="AJ3322">
        <v>56.3944434897845</v>
      </c>
      <c r="AK3322">
        <v>19.207365355758501</v>
      </c>
      <c r="AL3322">
        <v>77.457566785367405</v>
      </c>
      <c r="AM3322">
        <v>69.497514676110299</v>
      </c>
      <c r="AN3322">
        <v>1.00000000616291</v>
      </c>
    </row>
    <row r="3323" spans="1:40" x14ac:dyDescent="0.25">
      <c r="A3323" t="str">
        <f>"20190312172727929"</f>
        <v>20190312172727929</v>
      </c>
      <c r="B3323" t="str">
        <f>"1552382847922652"</f>
        <v>1552382847922652</v>
      </c>
      <c r="C3323" t="s">
        <v>40</v>
      </c>
      <c r="D3323">
        <v>3.4354309999999999</v>
      </c>
      <c r="E3323">
        <v>0.58913450000000001</v>
      </c>
      <c r="F3323" t="s">
        <v>41</v>
      </c>
      <c r="G3323">
        <v>-217.63829999999999</v>
      </c>
      <c r="H3323" s="1">
        <v>-2.8118290000000001E-6</v>
      </c>
      <c r="I3323">
        <v>146.0617</v>
      </c>
      <c r="J3323">
        <v>-198.49979999999999</v>
      </c>
      <c r="K3323">
        <v>1.1051799999999901</v>
      </c>
      <c r="L3323">
        <v>147.08279999999999</v>
      </c>
      <c r="M3323">
        <v>-0.80362</v>
      </c>
      <c r="N3323">
        <v>0</v>
      </c>
      <c r="O3323">
        <v>-0.59496590000000005</v>
      </c>
      <c r="P3323">
        <v>-0.93872639999999996</v>
      </c>
      <c r="Q3323">
        <v>0.2083139</v>
      </c>
      <c r="R3323">
        <v>-0.27458759999999999</v>
      </c>
      <c r="S3323">
        <v>-3.1893919999999998</v>
      </c>
      <c r="T3323">
        <v>-0.18273600000000001</v>
      </c>
      <c r="U3323">
        <v>-0.1851044</v>
      </c>
      <c r="V3323">
        <v>0.34083350000000001</v>
      </c>
      <c r="W3323">
        <v>0.21704670000000001</v>
      </c>
      <c r="X3323">
        <v>0.91472580000000003</v>
      </c>
      <c r="Y3323">
        <v>0.54571930000000002</v>
      </c>
      <c r="Z3323">
        <v>4.7646290000000001E-2</v>
      </c>
      <c r="AA3323">
        <v>0.83661240000000003</v>
      </c>
      <c r="AB3323">
        <v>19</v>
      </c>
      <c r="AC3323">
        <v>-19.138500000000001</v>
      </c>
      <c r="AD3323">
        <v>-1.1051828118289999</v>
      </c>
      <c r="AE3323">
        <v>-1.0210999999999899</v>
      </c>
      <c r="AF3323">
        <v>10.532268705527301</v>
      </c>
      <c r="AG3323">
        <v>-1.1051828118289999</v>
      </c>
      <c r="AH3323">
        <v>15.936292416205401</v>
      </c>
      <c r="AI3323">
        <v>93.311230824825699</v>
      </c>
      <c r="AJ3323">
        <v>56.539351504994102</v>
      </c>
      <c r="AK3323">
        <v>19.134145633077001</v>
      </c>
      <c r="AL3323">
        <v>77.464369762586699</v>
      </c>
      <c r="AM3323">
        <v>69.564239712373606</v>
      </c>
      <c r="AN3323">
        <v>1.0000000169443899</v>
      </c>
    </row>
    <row r="3324" spans="1:40" x14ac:dyDescent="0.25">
      <c r="A3324" t="str">
        <f>"20190312172727952"</f>
        <v>20190312172727952</v>
      </c>
      <c r="B3324" t="str">
        <f>"1552382847943149"</f>
        <v>1552382847943149</v>
      </c>
      <c r="C3324" t="s">
        <v>40</v>
      </c>
      <c r="D3324">
        <v>3.4029340000000001</v>
      </c>
      <c r="E3324">
        <v>0.58329449999999905</v>
      </c>
      <c r="F3324" t="s">
        <v>41</v>
      </c>
      <c r="G3324">
        <v>-217.4949</v>
      </c>
      <c r="H3324" s="1">
        <v>-2.8947929999999998E-6</v>
      </c>
      <c r="I3324">
        <v>146.11879999999999</v>
      </c>
      <c r="J3324">
        <v>-198.67</v>
      </c>
      <c r="K3324">
        <v>1.1052070000000001</v>
      </c>
      <c r="L3324">
        <v>146.9742</v>
      </c>
      <c r="M3324">
        <v>-0.81047630000000004</v>
      </c>
      <c r="N3324">
        <v>0</v>
      </c>
      <c r="O3324">
        <v>-0.58559189999999905</v>
      </c>
      <c r="P3324">
        <v>-0.94147959999999997</v>
      </c>
      <c r="Q3324">
        <v>0.20771719999999999</v>
      </c>
      <c r="R3324">
        <v>-0.26546150000000002</v>
      </c>
      <c r="S3324">
        <v>-3.1896819999999999</v>
      </c>
      <c r="T3324">
        <v>-0.1855832</v>
      </c>
      <c r="U3324">
        <v>-0.16186519999999999</v>
      </c>
      <c r="V3324">
        <v>0.3391421</v>
      </c>
      <c r="W3324">
        <v>0.2164922</v>
      </c>
      <c r="X3324">
        <v>0.91548549999999995</v>
      </c>
      <c r="Y3324">
        <v>0.5420355</v>
      </c>
      <c r="Z3324">
        <v>4.7864009999999999E-2</v>
      </c>
      <c r="AA3324">
        <v>0.83899140000000005</v>
      </c>
      <c r="AB3324">
        <v>19</v>
      </c>
      <c r="AC3324">
        <v>-18.8249</v>
      </c>
      <c r="AD3324">
        <v>-1.105209894793</v>
      </c>
      <c r="AE3324">
        <v>-0.85540000000000205</v>
      </c>
      <c r="AF3324">
        <v>10.296097790568201</v>
      </c>
      <c r="AG3324">
        <v>-1.105209894793</v>
      </c>
      <c r="AH3324">
        <v>15.7056839699507</v>
      </c>
      <c r="AI3324">
        <v>93.368041930370794</v>
      </c>
      <c r="AJ3324">
        <v>56.752551023987003</v>
      </c>
      <c r="AK3324">
        <v>18.812220166382801</v>
      </c>
      <c r="AL3324">
        <v>77.496913471062399</v>
      </c>
      <c r="AM3324">
        <v>69.672823862383694</v>
      </c>
      <c r="AN3324">
        <v>0.99999996868174901</v>
      </c>
    </row>
    <row r="3325" spans="1:40" x14ac:dyDescent="0.25">
      <c r="A3325" t="str">
        <f>"20190312172727975"</f>
        <v>20190312172727975</v>
      </c>
      <c r="B3325" t="str">
        <f>"1552382847972429"</f>
        <v>1552382847972429</v>
      </c>
      <c r="C3325" t="s">
        <v>40</v>
      </c>
      <c r="D3325">
        <v>3.3964249999999998</v>
      </c>
      <c r="E3325">
        <v>0.58132659999999903</v>
      </c>
      <c r="F3325" t="s">
        <v>41</v>
      </c>
      <c r="G3325">
        <v>-216.22489999999999</v>
      </c>
      <c r="H3325" s="1">
        <v>-3.4536790000000001E-6</v>
      </c>
      <c r="I3325">
        <v>146.0027</v>
      </c>
      <c r="J3325">
        <v>-198.828</v>
      </c>
      <c r="K3325">
        <v>1.105232</v>
      </c>
      <c r="L3325">
        <v>146.8758</v>
      </c>
      <c r="M3325">
        <v>-0.81670480000000001</v>
      </c>
      <c r="N3325">
        <v>0</v>
      </c>
      <c r="O3325">
        <v>-0.57687359999999999</v>
      </c>
      <c r="P3325">
        <v>-0.94339839999999997</v>
      </c>
      <c r="Q3325">
        <v>0.20833989999999999</v>
      </c>
      <c r="R3325">
        <v>-0.25805820000000002</v>
      </c>
      <c r="S3325">
        <v>-3.1810459999999998</v>
      </c>
      <c r="T3325">
        <v>-0.2002698</v>
      </c>
      <c r="U3325">
        <v>-0.17604059999999999</v>
      </c>
      <c r="V3325">
        <v>0.33643299999999998</v>
      </c>
      <c r="W3325">
        <v>0.21717139999999999</v>
      </c>
      <c r="X3325">
        <v>0.91632380000000002</v>
      </c>
      <c r="Y3325">
        <v>0.52886959999999905</v>
      </c>
      <c r="Z3325">
        <v>5.0906020000000003E-2</v>
      </c>
      <c r="AA3325">
        <v>0.84717509999999996</v>
      </c>
      <c r="AB3325">
        <v>19</v>
      </c>
      <c r="AC3325">
        <v>-17.396899999999899</v>
      </c>
      <c r="AD3325">
        <v>-1.1052354536789999</v>
      </c>
      <c r="AE3325">
        <v>-0.87309999999999299</v>
      </c>
      <c r="AF3325">
        <v>9.2863401978522297</v>
      </c>
      <c r="AG3325">
        <v>-1.1052354536789999</v>
      </c>
      <c r="AH3325">
        <v>14.6543475850692</v>
      </c>
      <c r="AI3325">
        <v>93.645169985356006</v>
      </c>
      <c r="AJ3325">
        <v>57.637899228128603</v>
      </c>
      <c r="AK3325">
        <v>17.384118120351602</v>
      </c>
      <c r="AL3325">
        <v>77.457049455912298</v>
      </c>
      <c r="AM3325">
        <v>69.839029454960894</v>
      </c>
      <c r="AN3325">
        <v>0.99999994345669796</v>
      </c>
    </row>
    <row r="3326" spans="1:40" x14ac:dyDescent="0.25">
      <c r="A3326" t="str">
        <f>"20190312172727999"</f>
        <v>20190312172727999</v>
      </c>
      <c r="B3326" t="str">
        <f>"1552382847992924"</f>
        <v>1552382847992924</v>
      </c>
      <c r="C3326" t="s">
        <v>40</v>
      </c>
      <c r="D3326">
        <v>3.4181599999999999</v>
      </c>
      <c r="E3326">
        <v>0.58007529999999996</v>
      </c>
      <c r="F3326" t="s">
        <v>41</v>
      </c>
      <c r="G3326">
        <v>-216.63419999999999</v>
      </c>
      <c r="H3326" s="1">
        <v>-3.2571219999999999E-6</v>
      </c>
      <c r="I3326">
        <v>145.95140000000001</v>
      </c>
      <c r="J3326">
        <v>-199.0001</v>
      </c>
      <c r="K3326">
        <v>1.1052470000000001</v>
      </c>
      <c r="L3326">
        <v>146.7713</v>
      </c>
      <c r="M3326">
        <v>-0.82333869999999898</v>
      </c>
      <c r="N3326">
        <v>0</v>
      </c>
      <c r="O3326">
        <v>-0.56736509999999996</v>
      </c>
      <c r="P3326">
        <v>-0.94556560000000001</v>
      </c>
      <c r="Q3326">
        <v>0.20887130000000001</v>
      </c>
      <c r="R3326">
        <v>-0.249556</v>
      </c>
      <c r="S3326">
        <v>-3.1784059999999998</v>
      </c>
      <c r="T3326">
        <v>-0.1972843</v>
      </c>
      <c r="U3326">
        <v>-0.1650085</v>
      </c>
      <c r="V3326">
        <v>0.33397789999999999</v>
      </c>
      <c r="W3326">
        <v>0.21775549999999999</v>
      </c>
      <c r="X3326">
        <v>0.91708299999999998</v>
      </c>
      <c r="Y3326">
        <v>0.52200009999999997</v>
      </c>
      <c r="Z3326">
        <v>4.950562E-2</v>
      </c>
      <c r="AA3326">
        <v>0.85150749999999997</v>
      </c>
      <c r="AB3326">
        <v>19</v>
      </c>
      <c r="AC3326">
        <v>-17.634099999999901</v>
      </c>
      <c r="AD3326">
        <v>-1.105250257122</v>
      </c>
      <c r="AE3326">
        <v>-0.81989999999998897</v>
      </c>
      <c r="AF3326">
        <v>9.2944648458306691</v>
      </c>
      <c r="AG3326">
        <v>-1.105250257122</v>
      </c>
      <c r="AH3326">
        <v>14.927081982917301</v>
      </c>
      <c r="AI3326">
        <v>93.596575315015997</v>
      </c>
      <c r="AJ3326">
        <v>58.091218188529503</v>
      </c>
      <c r="AK3326">
        <v>17.618922538736101</v>
      </c>
      <c r="AL3326">
        <v>77.4227626871252</v>
      </c>
      <c r="AM3326">
        <v>69.989685090208894</v>
      </c>
      <c r="AN3326">
        <v>0.99999996217882903</v>
      </c>
    </row>
    <row r="3327" spans="1:40" x14ac:dyDescent="0.25">
      <c r="A3327" t="str">
        <f>"20190312172728043"</f>
        <v>20190312172728043</v>
      </c>
      <c r="B3327" t="str">
        <f>"1552382848032942"</f>
        <v>1552382848032942</v>
      </c>
      <c r="C3327" t="s">
        <v>40</v>
      </c>
      <c r="D3327">
        <v>3.4357259999999998</v>
      </c>
      <c r="E3327">
        <v>0.57448959999999905</v>
      </c>
      <c r="F3327" t="s">
        <v>41</v>
      </c>
      <c r="G3327">
        <v>-217.03</v>
      </c>
      <c r="H3327" s="1">
        <v>-3.0683509999999998E-6</v>
      </c>
      <c r="I3327">
        <v>145.94499999999999</v>
      </c>
      <c r="J3327">
        <v>-199.31870000000001</v>
      </c>
      <c r="K3327">
        <v>1.105246</v>
      </c>
      <c r="L3327">
        <v>146.5847</v>
      </c>
      <c r="M3327">
        <v>-0.83521119999999904</v>
      </c>
      <c r="N3327">
        <v>0</v>
      </c>
      <c r="O3327">
        <v>-0.54973890000000003</v>
      </c>
      <c r="P3327">
        <v>-0.94989760000000001</v>
      </c>
      <c r="Q3327">
        <v>0.2065024</v>
      </c>
      <c r="R3327">
        <v>-0.23463059999999999</v>
      </c>
      <c r="S3327">
        <v>-3.177292</v>
      </c>
      <c r="T3327">
        <v>-0.19477179999999999</v>
      </c>
      <c r="U3327">
        <v>-0.14559939999999999</v>
      </c>
      <c r="V3327">
        <v>0.32914510000000002</v>
      </c>
      <c r="W3327">
        <v>0.215501</v>
      </c>
      <c r="X3327">
        <v>0.91935999999999996</v>
      </c>
      <c r="Y3327">
        <v>0.50910390000000005</v>
      </c>
      <c r="Z3327">
        <v>4.7619920000000003E-2</v>
      </c>
      <c r="AA3327">
        <v>0.85938669999999995</v>
      </c>
      <c r="AB3327">
        <v>18</v>
      </c>
      <c r="AC3327">
        <v>-17.711299999999898</v>
      </c>
      <c r="AD3327">
        <v>-1.1052490683509999</v>
      </c>
      <c r="AE3327">
        <v>-0.63970000000000404</v>
      </c>
      <c r="AF3327">
        <v>9.1676154626747302</v>
      </c>
      <c r="AG3327">
        <v>-1.1052490683509999</v>
      </c>
      <c r="AH3327">
        <v>15.0872535133719</v>
      </c>
      <c r="AI3327">
        <v>93.5823546609668</v>
      </c>
      <c r="AJ3327">
        <v>58.7154696385821</v>
      </c>
      <c r="AK3327">
        <v>17.688752566286698</v>
      </c>
      <c r="AL3327">
        <v>77.555078396092796</v>
      </c>
      <c r="AM3327">
        <v>70.301847080285</v>
      </c>
      <c r="AN3327">
        <v>0.99999999372750503</v>
      </c>
    </row>
    <row r="3328" spans="1:40" x14ac:dyDescent="0.25">
      <c r="A3328" t="str">
        <f>"20190312172728065"</f>
        <v>20190312172728065</v>
      </c>
      <c r="B3328" t="str">
        <f>"1552382848052460"</f>
        <v>1552382848052460</v>
      </c>
      <c r="C3328" t="s">
        <v>40</v>
      </c>
      <c r="D3328">
        <v>3.4399060000000001</v>
      </c>
      <c r="E3328">
        <v>0.57176329999999997</v>
      </c>
      <c r="F3328" t="s">
        <v>41</v>
      </c>
      <c r="G3328">
        <v>-215.65289999999999</v>
      </c>
      <c r="H3328" s="1">
        <v>-3.6503570000000001E-6</v>
      </c>
      <c r="I3328">
        <v>145.8732</v>
      </c>
      <c r="J3328">
        <v>-199.4802</v>
      </c>
      <c r="K3328">
        <v>1.1052709999999999</v>
      </c>
      <c r="L3328">
        <v>146.49359999999999</v>
      </c>
      <c r="M3328">
        <v>-0.84102809999999995</v>
      </c>
      <c r="N3328">
        <v>0</v>
      </c>
      <c r="O3328">
        <v>-0.54079790000000005</v>
      </c>
      <c r="P3328">
        <v>-0.95160339999999999</v>
      </c>
      <c r="Q3328">
        <v>0.2058334</v>
      </c>
      <c r="R3328">
        <v>-0.22821920000000001</v>
      </c>
      <c r="S3328">
        <v>-3.1707459999999998</v>
      </c>
      <c r="T3328">
        <v>-0.21454799999999999</v>
      </c>
      <c r="U3328">
        <v>-0.13812260000000001</v>
      </c>
      <c r="V3328">
        <v>0.3255825</v>
      </c>
      <c r="W3328">
        <v>0.21490919999999999</v>
      </c>
      <c r="X3328">
        <v>0.92076599999999997</v>
      </c>
      <c r="Y3328">
        <v>0.50147779999999997</v>
      </c>
      <c r="Z3328">
        <v>5.179247E-2</v>
      </c>
      <c r="AA3328">
        <v>0.86361889999999997</v>
      </c>
      <c r="AB3328">
        <v>18</v>
      </c>
      <c r="AC3328">
        <v>-16.172699999999899</v>
      </c>
      <c r="AD3328">
        <v>-1.1052746503569999</v>
      </c>
      <c r="AE3328">
        <v>-0.62039999999998896</v>
      </c>
      <c r="AF3328">
        <v>8.1870668916077403</v>
      </c>
      <c r="AG3328">
        <v>-1.1052746503569999</v>
      </c>
      <c r="AH3328">
        <v>13.8739604873691</v>
      </c>
      <c r="AI3328">
        <v>93.924927731617402</v>
      </c>
      <c r="AJ3328">
        <v>59.455014097561097</v>
      </c>
      <c r="AK3328">
        <v>16.147336496941598</v>
      </c>
      <c r="AL3328">
        <v>77.589799393388603</v>
      </c>
      <c r="AM3328">
        <v>70.526425381750499</v>
      </c>
      <c r="AN3328">
        <v>0.99999997765344395</v>
      </c>
    </row>
    <row r="3329" spans="1:40" x14ac:dyDescent="0.25">
      <c r="A3329" t="str">
        <f>"20190312172728086"</f>
        <v>20190312172728086</v>
      </c>
      <c r="B3329" t="str">
        <f>"1552382848082716"</f>
        <v>1552382848082716</v>
      </c>
      <c r="C3329" t="s">
        <v>40</v>
      </c>
      <c r="D3329">
        <v>3.4426139999999998</v>
      </c>
      <c r="E3329">
        <v>0.5713956</v>
      </c>
      <c r="F3329" t="s">
        <v>41</v>
      </c>
      <c r="G3329">
        <v>-214.97</v>
      </c>
      <c r="H3329" s="1">
        <v>-3.9042930000000001E-6</v>
      </c>
      <c r="I3329">
        <v>145.82640000000001</v>
      </c>
      <c r="J3329">
        <v>-199.6405</v>
      </c>
      <c r="K3329">
        <v>1.10531</v>
      </c>
      <c r="L3329">
        <v>146.40539999999999</v>
      </c>
      <c r="M3329">
        <v>-0.84667009999999898</v>
      </c>
      <c r="N3329">
        <v>0</v>
      </c>
      <c r="O3329">
        <v>-0.53192139999999999</v>
      </c>
      <c r="P3329">
        <v>-0.95312680000000005</v>
      </c>
      <c r="Q3329">
        <v>0.20647109999999999</v>
      </c>
      <c r="R3329">
        <v>-0.22117700000000001</v>
      </c>
      <c r="S3329">
        <v>-3.1687319999999999</v>
      </c>
      <c r="T3329">
        <v>-0.2261041</v>
      </c>
      <c r="U3329">
        <v>-0.1364899</v>
      </c>
      <c r="V3329">
        <v>0.32261679999999998</v>
      </c>
      <c r="W3329">
        <v>0.21561089999999999</v>
      </c>
      <c r="X3329">
        <v>0.92164550000000001</v>
      </c>
      <c r="Y3329">
        <v>0.4925716</v>
      </c>
      <c r="Z3329">
        <v>5.375576E-2</v>
      </c>
      <c r="AA3329">
        <v>0.86861010000000005</v>
      </c>
      <c r="AB3329">
        <v>18</v>
      </c>
      <c r="AC3329">
        <v>-15.3294999999999</v>
      </c>
      <c r="AD3329">
        <v>-1.105313904293</v>
      </c>
      <c r="AE3329">
        <v>-0.57899999999997898</v>
      </c>
      <c r="AF3329">
        <v>7.6250835930332199</v>
      </c>
      <c r="AG3329">
        <v>-1.105313904293</v>
      </c>
      <c r="AH3329">
        <v>13.219771962403399</v>
      </c>
      <c r="AI3329">
        <v>94.142493964546901</v>
      </c>
      <c r="AJ3329">
        <v>60.023914726540802</v>
      </c>
      <c r="AK3329">
        <v>15.3011760778613</v>
      </c>
      <c r="AL3329">
        <v>77.548630630561505</v>
      </c>
      <c r="AM3329">
        <v>70.707690053369205</v>
      </c>
      <c r="AN3329">
        <v>1.00000004375564</v>
      </c>
    </row>
    <row r="3330" spans="1:40" x14ac:dyDescent="0.25">
      <c r="A3330" t="str">
        <f>"20190312172728109"</f>
        <v>20190312172728109</v>
      </c>
      <c r="B3330" t="str">
        <f>"1552382848102237"</f>
        <v>1552382848102237</v>
      </c>
      <c r="C3330" t="s">
        <v>40</v>
      </c>
      <c r="D3330">
        <v>3.4448539999999999</v>
      </c>
      <c r="E3330">
        <v>0.56799080000000002</v>
      </c>
      <c r="F3330" t="s">
        <v>41</v>
      </c>
      <c r="G3330">
        <v>-215.51910000000001</v>
      </c>
      <c r="H3330" s="1">
        <v>-3.693704E-6</v>
      </c>
      <c r="I3330">
        <v>145.8279</v>
      </c>
      <c r="J3330">
        <v>-199.8099</v>
      </c>
      <c r="K3330">
        <v>1.105345</v>
      </c>
      <c r="L3330">
        <v>146.31450000000001</v>
      </c>
      <c r="M3330">
        <v>-0.85248449999999998</v>
      </c>
      <c r="N3330">
        <v>0</v>
      </c>
      <c r="O3330">
        <v>-0.52255289999999999</v>
      </c>
      <c r="P3330">
        <v>-0.95465699999999998</v>
      </c>
      <c r="Q3330">
        <v>0.20764589999999999</v>
      </c>
      <c r="R3330">
        <v>-0.21333869999999999</v>
      </c>
      <c r="S3330">
        <v>-3.1685789999999998</v>
      </c>
      <c r="T3330">
        <v>-0.22056519999999999</v>
      </c>
      <c r="U3330">
        <v>-0.1152344</v>
      </c>
      <c r="V3330">
        <v>0.31988070000000002</v>
      </c>
      <c r="W3330">
        <v>0.21684880000000001</v>
      </c>
      <c r="X3330">
        <v>0.92230849999999998</v>
      </c>
      <c r="Y3330">
        <v>0.48894399999999899</v>
      </c>
      <c r="Z3330">
        <v>5.1782389999999998E-2</v>
      </c>
      <c r="AA3330">
        <v>0.87077689999999996</v>
      </c>
      <c r="AB3330">
        <v>18</v>
      </c>
      <c r="AC3330">
        <v>-15.709199999999999</v>
      </c>
      <c r="AD3330">
        <v>-1.105348693704</v>
      </c>
      <c r="AE3330">
        <v>-0.48660000000000903</v>
      </c>
      <c r="AF3330">
        <v>7.7565167927266696</v>
      </c>
      <c r="AG3330">
        <v>-1.105348693704</v>
      </c>
      <c r="AH3330">
        <v>13.580375951278601</v>
      </c>
      <c r="AI3330">
        <v>94.042787003833496</v>
      </c>
      <c r="AJ3330">
        <v>60.266881638282797</v>
      </c>
      <c r="AK3330">
        <v>15.678391482183001</v>
      </c>
      <c r="AL3330">
        <v>77.475985237796607</v>
      </c>
      <c r="AM3330">
        <v>70.872117029260494</v>
      </c>
      <c r="AN3330">
        <v>1.00000001673308</v>
      </c>
    </row>
    <row r="3331" spans="1:40" x14ac:dyDescent="0.25">
      <c r="A3331" t="str">
        <f>"20190312172728131"</f>
        <v>20190312172728131</v>
      </c>
      <c r="B3331" t="str">
        <f>"1552382848122733"</f>
        <v>1552382848122733</v>
      </c>
      <c r="C3331" t="s">
        <v>40</v>
      </c>
      <c r="D3331">
        <v>3.455206</v>
      </c>
      <c r="E3331">
        <v>0.56758189999999997</v>
      </c>
      <c r="F3331" t="s">
        <v>41</v>
      </c>
      <c r="G3331">
        <v>-215.98740000000001</v>
      </c>
      <c r="H3331" s="1">
        <v>-3.493496E-6</v>
      </c>
      <c r="I3331">
        <v>145.7131</v>
      </c>
      <c r="J3331">
        <v>-199.97890000000001</v>
      </c>
      <c r="K3331">
        <v>1.10538</v>
      </c>
      <c r="L3331">
        <v>146.22630000000001</v>
      </c>
      <c r="M3331">
        <v>-0.85812500000000003</v>
      </c>
      <c r="N3331">
        <v>0</v>
      </c>
      <c r="O3331">
        <v>-0.51323779999999997</v>
      </c>
      <c r="P3331">
        <v>-0.95638889999999999</v>
      </c>
      <c r="Q3331">
        <v>0.20788409999999999</v>
      </c>
      <c r="R3331">
        <v>-0.2051946</v>
      </c>
      <c r="S3331">
        <v>-3.1632229999999999</v>
      </c>
      <c r="T3331">
        <v>-0.2161313</v>
      </c>
      <c r="U3331">
        <v>-0.1175995</v>
      </c>
      <c r="V3331">
        <v>0.31764239999999999</v>
      </c>
      <c r="W3331">
        <v>0.21715000000000001</v>
      </c>
      <c r="X3331">
        <v>0.92301089999999997</v>
      </c>
      <c r="Y3331">
        <v>0.47884520000000003</v>
      </c>
      <c r="Z3331">
        <v>4.9932690000000002E-2</v>
      </c>
      <c r="AA3331">
        <v>0.87647819999999899</v>
      </c>
      <c r="AB3331">
        <v>18</v>
      </c>
      <c r="AC3331">
        <v>-16.008499999999898</v>
      </c>
      <c r="AD3331">
        <v>-1.1053834934960001</v>
      </c>
      <c r="AE3331">
        <v>-0.51320000000001098</v>
      </c>
      <c r="AF3331">
        <v>7.73972397468693</v>
      </c>
      <c r="AG3331">
        <v>-1.1053834934960001</v>
      </c>
      <c r="AH3331">
        <v>13.9357713452415</v>
      </c>
      <c r="AI3331">
        <v>93.966714023989198</v>
      </c>
      <c r="AJ3331">
        <v>60.952846195844998</v>
      </c>
      <c r="AK3331">
        <v>15.9790776598304</v>
      </c>
      <c r="AL3331">
        <v>77.458305889001593</v>
      </c>
      <c r="AM3331">
        <v>71.009753322684205</v>
      </c>
      <c r="AN3331">
        <v>0.99999996914828404</v>
      </c>
    </row>
    <row r="3332" spans="1:40" x14ac:dyDescent="0.25">
      <c r="A3332" t="str">
        <f>"20190312172728154"</f>
        <v>20190312172728154</v>
      </c>
      <c r="B3332" t="str">
        <f>"1552382848152989"</f>
        <v>1552382848152989</v>
      </c>
      <c r="C3332" t="s">
        <v>40</v>
      </c>
      <c r="D3332">
        <v>3.4605359999999998</v>
      </c>
      <c r="E3332">
        <v>0.56676169999999904</v>
      </c>
      <c r="F3332" t="s">
        <v>41</v>
      </c>
      <c r="G3332">
        <v>-216.39080000000001</v>
      </c>
      <c r="H3332" s="1">
        <v>-3.3147350000000001E-6</v>
      </c>
      <c r="I3332">
        <v>145.7355</v>
      </c>
      <c r="J3332">
        <v>-200.1507</v>
      </c>
      <c r="K3332">
        <v>1.1054090000000001</v>
      </c>
      <c r="L3332">
        <v>146.13890000000001</v>
      </c>
      <c r="M3332">
        <v>-0.86370440000000004</v>
      </c>
      <c r="N3332">
        <v>0</v>
      </c>
      <c r="O3332">
        <v>-0.50379189999999996</v>
      </c>
      <c r="P3332">
        <v>-0.95795319999999995</v>
      </c>
      <c r="Q3332">
        <v>0.20790810000000001</v>
      </c>
      <c r="R3332">
        <v>-0.1977373</v>
      </c>
      <c r="S3332">
        <v>-3.162811</v>
      </c>
      <c r="T3332">
        <v>-0.21302370000000001</v>
      </c>
      <c r="U3332">
        <v>-9.4589229999999996E-2</v>
      </c>
      <c r="V3332">
        <v>0.31466650000000002</v>
      </c>
      <c r="W3332">
        <v>0.21725330000000001</v>
      </c>
      <c r="X3332">
        <v>0.92400539999999998</v>
      </c>
      <c r="Y3332">
        <v>0.47567199999999998</v>
      </c>
      <c r="Z3332">
        <v>4.8583750000000002E-2</v>
      </c>
      <c r="AA3332">
        <v>0.87827999999999995</v>
      </c>
      <c r="AB3332">
        <v>18</v>
      </c>
      <c r="AC3332">
        <v>-16.240100000000002</v>
      </c>
      <c r="AD3332">
        <v>-1.1054123147349999</v>
      </c>
      <c r="AE3332">
        <v>-0.40340000000000398</v>
      </c>
      <c r="AF3332">
        <v>7.79792271153595</v>
      </c>
      <c r="AG3332">
        <v>-1.1054123147349999</v>
      </c>
      <c r="AH3332">
        <v>14.16576780718</v>
      </c>
      <c r="AI3332">
        <v>93.910707956300797</v>
      </c>
      <c r="AJ3332">
        <v>61.168248344624097</v>
      </c>
      <c r="AK3332">
        <v>16.207976819072499</v>
      </c>
      <c r="AL3332">
        <v>77.452242759038896</v>
      </c>
      <c r="AM3332">
        <v>71.193920861890305</v>
      </c>
      <c r="AN3332">
        <v>0.99999999090614999</v>
      </c>
    </row>
    <row r="3333" spans="1:40" x14ac:dyDescent="0.25">
      <c r="A3333" t="str">
        <f>"20190312172728200"</f>
        <v>20190312172728200</v>
      </c>
      <c r="B3333" t="str">
        <f>"1552382848193005"</f>
        <v>1552382848193005</v>
      </c>
      <c r="C3333" t="s">
        <v>40</v>
      </c>
      <c r="D3333">
        <v>3.4769489999999998</v>
      </c>
      <c r="E3333">
        <v>0.56213329999999995</v>
      </c>
      <c r="F3333" t="s">
        <v>41</v>
      </c>
      <c r="G3333">
        <v>-216.41679999999999</v>
      </c>
      <c r="H3333" s="1">
        <v>-3.3057399999999998E-6</v>
      </c>
      <c r="I3333">
        <v>145.74789999999999</v>
      </c>
      <c r="J3333">
        <v>-200.49250000000001</v>
      </c>
      <c r="K3333">
        <v>1.105504</v>
      </c>
      <c r="L3333">
        <v>145.9717</v>
      </c>
      <c r="M3333">
        <v>-0.87432209999999999</v>
      </c>
      <c r="N3333">
        <v>0</v>
      </c>
      <c r="O3333">
        <v>-0.48513260000000002</v>
      </c>
      <c r="P3333">
        <v>-0.96077999999999997</v>
      </c>
      <c r="Q3333">
        <v>0.20678659999999999</v>
      </c>
      <c r="R3333">
        <v>-0.18477399999999999</v>
      </c>
      <c r="S3333">
        <v>-3.1626129999999999</v>
      </c>
      <c r="T3333">
        <v>-0.21492510000000001</v>
      </c>
      <c r="U3333">
        <v>-7.6019290000000003E-2</v>
      </c>
      <c r="V3333">
        <v>0.30732090000000001</v>
      </c>
      <c r="W3333">
        <v>0.2163265</v>
      </c>
      <c r="X3333">
        <v>0.9266913</v>
      </c>
      <c r="Y3333">
        <v>0.46192879999999997</v>
      </c>
      <c r="Z3333">
        <v>4.7453019999999999E-2</v>
      </c>
      <c r="AA3333">
        <v>0.88564669999999901</v>
      </c>
      <c r="AB3333">
        <v>18</v>
      </c>
      <c r="AC3333">
        <v>-15.924299999999899</v>
      </c>
      <c r="AD3333">
        <v>-1.10550730574</v>
      </c>
      <c r="AE3333">
        <v>-0.22380000000001099</v>
      </c>
      <c r="AF3333">
        <v>7.4943919394126901</v>
      </c>
      <c r="AG3333">
        <v>-1.10550730574</v>
      </c>
      <c r="AH3333">
        <v>13.9656996850581</v>
      </c>
      <c r="AI3333">
        <v>93.989935210359405</v>
      </c>
      <c r="AJ3333">
        <v>61.780726975030497</v>
      </c>
      <c r="AK3333">
        <v>15.888008831751399</v>
      </c>
      <c r="AL3333">
        <v>77.506638573769905</v>
      </c>
      <c r="AM3333">
        <v>71.652804324541506</v>
      </c>
      <c r="AN3333">
        <v>1.00000002783737</v>
      </c>
    </row>
    <row r="3334" spans="1:40" x14ac:dyDescent="0.25">
      <c r="A3334" t="str">
        <f>"20190312172728222"</f>
        <v>20190312172728222</v>
      </c>
      <c r="B3334" t="str">
        <f>"1552382848212525"</f>
        <v>1552382848212525</v>
      </c>
      <c r="C3334" t="s">
        <v>40</v>
      </c>
      <c r="D3334">
        <v>3.5005310000000001</v>
      </c>
      <c r="E3334">
        <v>0.56149209999999905</v>
      </c>
      <c r="F3334" t="s">
        <v>41</v>
      </c>
      <c r="G3334">
        <v>-216.0686</v>
      </c>
      <c r="H3334" s="1">
        <v>-3.4410160000000002E-6</v>
      </c>
      <c r="I3334">
        <v>145.6377</v>
      </c>
      <c r="J3334">
        <v>-200.65799999999999</v>
      </c>
      <c r="K3334">
        <v>1.105556</v>
      </c>
      <c r="L3334">
        <v>145.8938</v>
      </c>
      <c r="M3334">
        <v>-0.8792278</v>
      </c>
      <c r="N3334">
        <v>0</v>
      </c>
      <c r="O3334">
        <v>-0.47618389999999999</v>
      </c>
      <c r="P3334">
        <v>-0.96207279999999995</v>
      </c>
      <c r="Q3334">
        <v>0.206396</v>
      </c>
      <c r="R3334">
        <v>-0.17837239999999999</v>
      </c>
      <c r="S3334">
        <v>-3.1576689999999998</v>
      </c>
      <c r="T3334">
        <v>-0.22411420000000001</v>
      </c>
      <c r="U3334">
        <v>-6.7703250000000006E-2</v>
      </c>
      <c r="V3334">
        <v>0.30402249999999997</v>
      </c>
      <c r="W3334">
        <v>0.2160253</v>
      </c>
      <c r="X3334">
        <v>0.92784880000000003</v>
      </c>
      <c r="Y3334">
        <v>0.45501619999999998</v>
      </c>
      <c r="Z3334">
        <v>4.8751530000000001E-2</v>
      </c>
      <c r="AA3334">
        <v>0.88914760000000004</v>
      </c>
      <c r="AB3334">
        <v>18</v>
      </c>
      <c r="AC3334">
        <v>-15.410600000000001</v>
      </c>
      <c r="AD3334">
        <v>-1.1055594410159999</v>
      </c>
      <c r="AE3334">
        <v>-0.25610000000000299</v>
      </c>
      <c r="AF3334">
        <v>7.0774319566794501</v>
      </c>
      <c r="AG3334">
        <v>-1.1055594410159999</v>
      </c>
      <c r="AH3334">
        <v>13.602806731691601</v>
      </c>
      <c r="AI3334">
        <v>94.123853176522402</v>
      </c>
      <c r="AJ3334">
        <v>62.512399130482301</v>
      </c>
      <c r="AK3334">
        <v>15.3736350860427</v>
      </c>
      <c r="AL3334">
        <v>77.524313695509704</v>
      </c>
      <c r="AM3334">
        <v>71.857901001849598</v>
      </c>
      <c r="AN3334">
        <v>1.0000000032038801</v>
      </c>
    </row>
    <row r="3335" spans="1:40" x14ac:dyDescent="0.25">
      <c r="A3335" t="str">
        <f>"20190312172728244"</f>
        <v>20190312172728244</v>
      </c>
      <c r="B3335" t="str">
        <f>"1552382848242781"</f>
        <v>1552382848242781</v>
      </c>
      <c r="C3335" t="s">
        <v>40</v>
      </c>
      <c r="D3335">
        <v>3.488264</v>
      </c>
      <c r="E3335">
        <v>0.56115879999999996</v>
      </c>
      <c r="F3335" t="s">
        <v>41</v>
      </c>
      <c r="G3335">
        <v>-215.92269999999999</v>
      </c>
      <c r="H3335" s="1">
        <v>-3.50626E-6</v>
      </c>
      <c r="I3335">
        <v>145.64500000000001</v>
      </c>
      <c r="J3335">
        <v>-200.8288</v>
      </c>
      <c r="K3335">
        <v>1.105631</v>
      </c>
      <c r="L3335">
        <v>145.81549999999999</v>
      </c>
      <c r="M3335">
        <v>-0.88413129999999995</v>
      </c>
      <c r="N3335">
        <v>0</v>
      </c>
      <c r="O3335">
        <v>-0.46701749999999997</v>
      </c>
      <c r="P3335">
        <v>-0.96336290000000002</v>
      </c>
      <c r="Q3335">
        <v>0.2066153</v>
      </c>
      <c r="R3335">
        <v>-0.17100360000000001</v>
      </c>
      <c r="S3335">
        <v>-3.157791</v>
      </c>
      <c r="T3335">
        <v>-0.22870480000000001</v>
      </c>
      <c r="U3335">
        <v>-5.1467899999999997E-2</v>
      </c>
      <c r="V3335">
        <v>0.30141059999999997</v>
      </c>
      <c r="W3335">
        <v>0.21632419999999999</v>
      </c>
      <c r="X3335">
        <v>0.92863099999999998</v>
      </c>
      <c r="Y3335">
        <v>0.45027149999999999</v>
      </c>
      <c r="Z3335">
        <v>4.8993170000000003E-2</v>
      </c>
      <c r="AA3335">
        <v>0.89154650000000002</v>
      </c>
      <c r="AB3335">
        <v>18</v>
      </c>
      <c r="AC3335">
        <v>-15.0938999999999</v>
      </c>
      <c r="AD3335">
        <v>-1.1056345062599999</v>
      </c>
      <c r="AE3335">
        <v>-0.170499999999975</v>
      </c>
      <c r="AF3335">
        <v>6.8622677697998098</v>
      </c>
      <c r="AG3335">
        <v>-1.1056345062599999</v>
      </c>
      <c r="AH3335">
        <v>13.354356897393499</v>
      </c>
      <c r="AI3335">
        <v>94.211585351472905</v>
      </c>
      <c r="AJ3335">
        <v>62.803188495494801</v>
      </c>
      <c r="AK3335">
        <v>15.0549657837149</v>
      </c>
      <c r="AL3335">
        <v>77.506773472579297</v>
      </c>
      <c r="AM3335">
        <v>72.017854743096507</v>
      </c>
      <c r="AN3335">
        <v>1.00000002172949</v>
      </c>
    </row>
    <row r="3336" spans="1:40" x14ac:dyDescent="0.25">
      <c r="A3336" t="str">
        <f>"20190312172728267"</f>
        <v>20190312172728267</v>
      </c>
      <c r="B3336" t="str">
        <f>"1552382848262301"</f>
        <v>1552382848262301</v>
      </c>
      <c r="C3336" t="s">
        <v>40</v>
      </c>
      <c r="D3336">
        <v>3.5355210000000001</v>
      </c>
      <c r="E3336">
        <v>0.55855449999999995</v>
      </c>
      <c r="F3336" t="s">
        <v>41</v>
      </c>
      <c r="G3336">
        <v>-216.0042</v>
      </c>
      <c r="H3336" s="1">
        <v>-3.4790029999999999E-6</v>
      </c>
      <c r="I3336">
        <v>145.6677</v>
      </c>
      <c r="J3336">
        <v>-200.99369999999999</v>
      </c>
      <c r="K3336">
        <v>1.1057189999999999</v>
      </c>
      <c r="L3336">
        <v>145.74170000000001</v>
      </c>
      <c r="M3336">
        <v>-0.88870159999999998</v>
      </c>
      <c r="N3336">
        <v>0</v>
      </c>
      <c r="O3336">
        <v>-0.45826149999999999</v>
      </c>
      <c r="P3336">
        <v>-0.96421840000000003</v>
      </c>
      <c r="Q3336">
        <v>0.20805309999999999</v>
      </c>
      <c r="R3336">
        <v>-0.16430710000000001</v>
      </c>
      <c r="S3336">
        <v>-3.1579739999999998</v>
      </c>
      <c r="T3336">
        <v>-0.23008020000000001</v>
      </c>
      <c r="U3336">
        <v>-3.074646E-2</v>
      </c>
      <c r="V3336">
        <v>0.2985102</v>
      </c>
      <c r="W3336">
        <v>0.21784719999999999</v>
      </c>
      <c r="X3336">
        <v>0.92921169999999997</v>
      </c>
      <c r="Y3336">
        <v>0.44730809999999999</v>
      </c>
      <c r="Z3336">
        <v>4.8617399999999998E-2</v>
      </c>
      <c r="AA3336">
        <v>0.89305759999999901</v>
      </c>
      <c r="AB3336">
        <v>18</v>
      </c>
      <c r="AC3336">
        <v>-15.0105</v>
      </c>
      <c r="AD3336">
        <v>-1.105722479003</v>
      </c>
      <c r="AE3336">
        <v>-7.4000000000012195E-2</v>
      </c>
      <c r="AF3336">
        <v>6.7768992686124596</v>
      </c>
      <c r="AG3336">
        <v>-1.105722479003</v>
      </c>
      <c r="AH3336">
        <v>13.302959727362399</v>
      </c>
      <c r="AI3336">
        <v>94.235711067485795</v>
      </c>
      <c r="AJ3336">
        <v>63.004435905821502</v>
      </c>
      <c r="AK3336">
        <v>14.970561893440101</v>
      </c>
      <c r="AL3336">
        <v>77.417380714691106</v>
      </c>
      <c r="AM3336">
        <v>72.190332257468995</v>
      </c>
      <c r="AN3336">
        <v>1.0000000627343799</v>
      </c>
    </row>
    <row r="3337" spans="1:40" x14ac:dyDescent="0.25">
      <c r="A3337" t="str">
        <f>"20190312172728289"</f>
        <v>20190312172728289</v>
      </c>
      <c r="B3337" t="str">
        <f>"1552382848282797"</f>
        <v>1552382848282797</v>
      </c>
      <c r="C3337" t="s">
        <v>40</v>
      </c>
      <c r="D3337">
        <v>3.5177999999999998</v>
      </c>
      <c r="E3337">
        <v>0.52951380000000003</v>
      </c>
      <c r="F3337" t="s">
        <v>41</v>
      </c>
      <c r="G3337">
        <v>-216.2235</v>
      </c>
      <c r="H3337" s="1">
        <v>-3.358287E-6</v>
      </c>
      <c r="I3337">
        <v>145.60210000000001</v>
      </c>
      <c r="J3337">
        <v>-201.1651</v>
      </c>
      <c r="K3337">
        <v>1.105831</v>
      </c>
      <c r="L3337">
        <v>145.667</v>
      </c>
      <c r="M3337">
        <v>-0.89327219999999996</v>
      </c>
      <c r="N3337">
        <v>0</v>
      </c>
      <c r="O3337">
        <v>-0.44928760000000001</v>
      </c>
      <c r="P3337">
        <v>-0.96471600000000002</v>
      </c>
      <c r="Q3337">
        <v>0.20989070000000001</v>
      </c>
      <c r="R3337">
        <v>-0.1589622</v>
      </c>
      <c r="S3337">
        <v>-3.1558380000000001</v>
      </c>
      <c r="T3337">
        <v>-0.22912160000000001</v>
      </c>
      <c r="U3337">
        <v>-2.893066E-2</v>
      </c>
      <c r="V3337">
        <v>0.29407129999999998</v>
      </c>
      <c r="W3337">
        <v>0.21980179999999999</v>
      </c>
      <c r="X3337">
        <v>0.93016620000000005</v>
      </c>
      <c r="Y3337">
        <v>0.438857</v>
      </c>
      <c r="Z3337">
        <v>4.7553690000000003E-2</v>
      </c>
      <c r="AA3337">
        <v>0.89729769999999898</v>
      </c>
      <c r="AB3337">
        <v>18</v>
      </c>
      <c r="AC3337">
        <v>-15.058400000000001</v>
      </c>
      <c r="AD3337">
        <v>-1.1058343582870001</v>
      </c>
      <c r="AE3337">
        <v>-6.4899999999994407E-2</v>
      </c>
      <c r="AF3337">
        <v>6.67228578982788</v>
      </c>
      <c r="AG3337">
        <v>-1.1058343582870001</v>
      </c>
      <c r="AH3337">
        <v>13.409479051388701</v>
      </c>
      <c r="AI3337">
        <v>94.222584482570596</v>
      </c>
      <c r="AJ3337">
        <v>63.545990369930301</v>
      </c>
      <c r="AK3337">
        <v>15.018535072327801</v>
      </c>
      <c r="AL3337">
        <v>77.302607460377104</v>
      </c>
      <c r="AM3337">
        <v>72.455691752263903</v>
      </c>
      <c r="AN3337">
        <v>0.99999996019468396</v>
      </c>
    </row>
    <row r="3338" spans="1:40" x14ac:dyDescent="0.25">
      <c r="A3338" t="str">
        <f>"20190312172728311"</f>
        <v>20190312172728311</v>
      </c>
      <c r="B3338" t="str">
        <f>"1552382848302317"</f>
        <v>1552382848302317</v>
      </c>
      <c r="C3338" t="s">
        <v>40</v>
      </c>
      <c r="D3338">
        <v>3.5350320000000002</v>
      </c>
      <c r="E3338">
        <v>0.52921499999999999</v>
      </c>
      <c r="F3338" t="s">
        <v>41</v>
      </c>
      <c r="G3338">
        <v>-216.51929999999999</v>
      </c>
      <c r="H3338" s="1">
        <v>-2.9198699999999998E-6</v>
      </c>
      <c r="I3338">
        <v>144.47980000000001</v>
      </c>
      <c r="J3338">
        <v>-201.33009999999999</v>
      </c>
      <c r="K3338">
        <v>1.105939</v>
      </c>
      <c r="L3338">
        <v>145.5968</v>
      </c>
      <c r="M3338">
        <v>-0.89750529999999995</v>
      </c>
      <c r="N3338">
        <v>0</v>
      </c>
      <c r="O3338">
        <v>-0.44077169999999999</v>
      </c>
      <c r="P3338">
        <v>-0.96518669999999995</v>
      </c>
      <c r="Q3338">
        <v>0.2111644</v>
      </c>
      <c r="R3338">
        <v>-0.15435119999999999</v>
      </c>
      <c r="S3338">
        <v>-3.1188660000000001</v>
      </c>
      <c r="T3338">
        <v>-0.2246244</v>
      </c>
      <c r="U3338">
        <v>-0.2411346</v>
      </c>
      <c r="V3338">
        <v>0.28948380000000001</v>
      </c>
      <c r="W3338">
        <v>0.22119759999999999</v>
      </c>
      <c r="X3338">
        <v>0.93127369999999998</v>
      </c>
      <c r="Y3338">
        <v>0.36830950000000001</v>
      </c>
      <c r="Z3338">
        <v>4.3898060000000003E-2</v>
      </c>
      <c r="AA3338">
        <v>0.92866629999999994</v>
      </c>
      <c r="AB3338">
        <v>18</v>
      </c>
      <c r="AC3338">
        <v>-15.1892</v>
      </c>
      <c r="AD3338">
        <v>-1.10594191987</v>
      </c>
      <c r="AE3338">
        <v>-1.11699999999999</v>
      </c>
      <c r="AF3338">
        <v>5.6631767874961199</v>
      </c>
      <c r="AG3338">
        <v>-1.10594191987</v>
      </c>
      <c r="AH3338">
        <v>14.0520785729069</v>
      </c>
      <c r="AI3338">
        <v>94.1750650170044</v>
      </c>
      <c r="AJ3338">
        <v>68.049901849505702</v>
      </c>
      <c r="AK3338">
        <v>15.190641562347199</v>
      </c>
      <c r="AL3338">
        <v>77.220616158479999</v>
      </c>
      <c r="AM3338">
        <v>72.732290486080203</v>
      </c>
      <c r="AN3338">
        <v>0.99999997650994399</v>
      </c>
    </row>
    <row r="3339" spans="1:40" x14ac:dyDescent="0.25">
      <c r="A3339" t="str">
        <f>"20190312172728333"</f>
        <v>20190312172728333</v>
      </c>
      <c r="B3339" t="str">
        <f>"1552382848322813"</f>
        <v>1552382848322813</v>
      </c>
      <c r="C3339" t="s">
        <v>40</v>
      </c>
      <c r="D3339">
        <v>3.52948</v>
      </c>
      <c r="E3339">
        <v>0.528783</v>
      </c>
      <c r="F3339" t="s">
        <v>41</v>
      </c>
      <c r="G3339">
        <v>-216.87270000000001</v>
      </c>
      <c r="H3339" s="1">
        <v>-2.742946E-6</v>
      </c>
      <c r="I3339">
        <v>144.4427</v>
      </c>
      <c r="J3339">
        <v>-201.4965</v>
      </c>
      <c r="K3339">
        <v>1.1060460000000001</v>
      </c>
      <c r="L3339">
        <v>145.52780000000001</v>
      </c>
      <c r="M3339">
        <v>-0.90162160000000002</v>
      </c>
      <c r="N3339">
        <v>0</v>
      </c>
      <c r="O3339">
        <v>-0.43229000000000001</v>
      </c>
      <c r="P3339">
        <v>-0.96600529999999996</v>
      </c>
      <c r="Q3339">
        <v>0.21166470000000001</v>
      </c>
      <c r="R3339">
        <v>-0.14843129999999999</v>
      </c>
      <c r="S3339">
        <v>-3.11972</v>
      </c>
      <c r="T3339">
        <v>-0.2219845</v>
      </c>
      <c r="U3339">
        <v>-0.2316589</v>
      </c>
      <c r="V3339">
        <v>0.28630070000000002</v>
      </c>
      <c r="W3339">
        <v>0.22179560000000001</v>
      </c>
      <c r="X3339">
        <v>0.93211509999999997</v>
      </c>
      <c r="Y3339">
        <v>0.3624464</v>
      </c>
      <c r="Z3339">
        <v>4.2627739999999997E-2</v>
      </c>
      <c r="AA3339">
        <v>0.93102929999999995</v>
      </c>
      <c r="AB3339">
        <v>18</v>
      </c>
      <c r="AC3339">
        <v>-15.376200000000001</v>
      </c>
      <c r="AD3339">
        <v>-1.10604874294599</v>
      </c>
      <c r="AE3339">
        <v>-1.0851000000000099</v>
      </c>
      <c r="AF3339">
        <v>5.6401665329311497</v>
      </c>
      <c r="AG3339">
        <v>-1.10604874294599</v>
      </c>
      <c r="AH3339">
        <v>14.260630038421599</v>
      </c>
      <c r="AI3339">
        <v>94.125229230186406</v>
      </c>
      <c r="AJ3339">
        <v>68.420899448856304</v>
      </c>
      <c r="AK3339">
        <v>15.3753176043196</v>
      </c>
      <c r="AL3339">
        <v>77.185480458947296</v>
      </c>
      <c r="AM3339">
        <v>72.925573098797003</v>
      </c>
      <c r="AN3339">
        <v>0.99999996932392898</v>
      </c>
    </row>
    <row r="3340" spans="1:40" x14ac:dyDescent="0.25">
      <c r="A3340" t="str">
        <f>"20190312172728355"</f>
        <v>20190312172728355</v>
      </c>
      <c r="B3340" t="str">
        <f>"1552382848352092"</f>
        <v>1552382848352092</v>
      </c>
      <c r="C3340" t="s">
        <v>40</v>
      </c>
      <c r="D3340">
        <v>3.516032</v>
      </c>
      <c r="E3340">
        <v>0.52854880000000004</v>
      </c>
      <c r="F3340" t="s">
        <v>41</v>
      </c>
      <c r="G3340">
        <v>-216.95230000000001</v>
      </c>
      <c r="H3340" s="1">
        <v>-2.7045410000000002E-6</v>
      </c>
      <c r="I3340">
        <v>144.43979999999999</v>
      </c>
      <c r="J3340">
        <v>-201.6677</v>
      </c>
      <c r="K3340">
        <v>1.106149</v>
      </c>
      <c r="L3340">
        <v>145.45840000000001</v>
      </c>
      <c r="M3340">
        <v>-0.90569239999999995</v>
      </c>
      <c r="N3340">
        <v>0</v>
      </c>
      <c r="O3340">
        <v>-0.42369590000000001</v>
      </c>
      <c r="P3340">
        <v>-0.9668658</v>
      </c>
      <c r="Q3340">
        <v>0.21254809999999999</v>
      </c>
      <c r="R3340">
        <v>-0.14139930000000001</v>
      </c>
      <c r="S3340">
        <v>-3.120743</v>
      </c>
      <c r="T3340">
        <v>-0.2233272</v>
      </c>
      <c r="U3340">
        <v>-0.21968080000000001</v>
      </c>
      <c r="V3340">
        <v>0.28408</v>
      </c>
      <c r="W3340">
        <v>0.22275710000000001</v>
      </c>
      <c r="X3340">
        <v>0.93256519999999998</v>
      </c>
      <c r="Y3340">
        <v>0.35716949999999997</v>
      </c>
      <c r="Z3340">
        <v>4.2135649999999997E-2</v>
      </c>
      <c r="AA3340">
        <v>0.93308869999999999</v>
      </c>
      <c r="AB3340">
        <v>18</v>
      </c>
      <c r="AC3340">
        <v>-15.284599999999999</v>
      </c>
      <c r="AD3340">
        <v>-1.1061517045409901</v>
      </c>
      <c r="AE3340">
        <v>-1.0186000000000199</v>
      </c>
      <c r="AF3340">
        <v>5.52523771448673</v>
      </c>
      <c r="AG3340">
        <v>-1.1061517045409901</v>
      </c>
      <c r="AH3340">
        <v>14.2021180167498</v>
      </c>
      <c r="AI3340">
        <v>94.1516300590756</v>
      </c>
      <c r="AJ3340">
        <v>68.7418140236217</v>
      </c>
      <c r="AK3340">
        <v>15.2791354322401</v>
      </c>
      <c r="AL3340">
        <v>77.128977617148394</v>
      </c>
      <c r="AM3340">
        <v>73.058103806934398</v>
      </c>
      <c r="AN3340">
        <v>1.00000001212572</v>
      </c>
    </row>
    <row r="3341" spans="1:40" x14ac:dyDescent="0.25">
      <c r="A3341" t="str">
        <f>"20190312172728378"</f>
        <v>20190312172728378</v>
      </c>
      <c r="B3341" t="str">
        <f>"1552382848372588"</f>
        <v>1552382848372588</v>
      </c>
      <c r="C3341" t="s">
        <v>40</v>
      </c>
      <c r="D3341">
        <v>3.532753</v>
      </c>
      <c r="E3341">
        <v>0.52821700000000005</v>
      </c>
      <c r="F3341" t="s">
        <v>41</v>
      </c>
      <c r="G3341">
        <v>-216.9787</v>
      </c>
      <c r="H3341" s="1">
        <v>-2.7002710000000001E-6</v>
      </c>
      <c r="I3341">
        <v>144.47069999999999</v>
      </c>
      <c r="J3341">
        <v>-201.84389999999999</v>
      </c>
      <c r="K3341">
        <v>1.106255</v>
      </c>
      <c r="L3341">
        <v>145.3888</v>
      </c>
      <c r="M3341">
        <v>-0.90970519999999999</v>
      </c>
      <c r="N3341">
        <v>0</v>
      </c>
      <c r="O3341">
        <v>-0.41501159999999998</v>
      </c>
      <c r="P3341">
        <v>-0.96773529999999996</v>
      </c>
      <c r="Q3341">
        <v>0.21347559999999999</v>
      </c>
      <c r="R3341">
        <v>-0.13385449999999999</v>
      </c>
      <c r="S3341">
        <v>-3.1229550000000001</v>
      </c>
      <c r="T3341">
        <v>-0.2256196</v>
      </c>
      <c r="U3341">
        <v>-0.2014618</v>
      </c>
      <c r="V3341">
        <v>0.28229029999999999</v>
      </c>
      <c r="W3341">
        <v>0.22375539999999999</v>
      </c>
      <c r="X3341">
        <v>0.93286959999999997</v>
      </c>
      <c r="Y3341">
        <v>0.35369210000000001</v>
      </c>
      <c r="Z3341">
        <v>4.1855959999999998E-2</v>
      </c>
      <c r="AA3341">
        <v>0.9344249</v>
      </c>
      <c r="AB3341">
        <v>18</v>
      </c>
      <c r="AC3341">
        <v>-15.1348</v>
      </c>
      <c r="AD3341">
        <v>-1.1062577002709999</v>
      </c>
      <c r="AE3341">
        <v>-0.91810000000000902</v>
      </c>
      <c r="AF3341">
        <v>5.4176283138824202</v>
      </c>
      <c r="AG3341">
        <v>-1.1062577002709999</v>
      </c>
      <c r="AH3341">
        <v>14.075730013535299</v>
      </c>
      <c r="AI3341">
        <v>94.195012918805006</v>
      </c>
      <c r="AJ3341">
        <v>68.948710554977893</v>
      </c>
      <c r="AK3341">
        <v>15.122852841336799</v>
      </c>
      <c r="AL3341">
        <v>77.070297885743599</v>
      </c>
      <c r="AM3341">
        <v>73.163962160741804</v>
      </c>
      <c r="AN3341">
        <v>0.999999991553704</v>
      </c>
    </row>
    <row r="3342" spans="1:40" x14ac:dyDescent="0.25">
      <c r="A3342" t="str">
        <f>"20190312172728402"</f>
        <v>20190312172728402</v>
      </c>
      <c r="B3342" t="str">
        <f>"1552382848392108"</f>
        <v>1552382848392108</v>
      </c>
      <c r="C3342" t="s">
        <v>40</v>
      </c>
      <c r="D3342">
        <v>3.5441440000000002</v>
      </c>
      <c r="E3342">
        <v>0.52796980000000004</v>
      </c>
      <c r="F3342" t="s">
        <v>41</v>
      </c>
      <c r="G3342">
        <v>-217.16040000000001</v>
      </c>
      <c r="H3342" s="1">
        <v>-2.6219470000000001E-6</v>
      </c>
      <c r="I3342">
        <v>144.4991</v>
      </c>
      <c r="J3342">
        <v>-202.0256</v>
      </c>
      <c r="K3342">
        <v>1.106379</v>
      </c>
      <c r="L3342">
        <v>145.31870000000001</v>
      </c>
      <c r="M3342">
        <v>-0.9136552</v>
      </c>
      <c r="N3342">
        <v>0</v>
      </c>
      <c r="O3342">
        <v>-0.40624320000000003</v>
      </c>
      <c r="P3342">
        <v>-0.96873900000000002</v>
      </c>
      <c r="Q3342">
        <v>0.2133459</v>
      </c>
      <c r="R3342">
        <v>-0.12660399999999999</v>
      </c>
      <c r="S3342">
        <v>-3.124695</v>
      </c>
      <c r="T3342">
        <v>-0.2256852</v>
      </c>
      <c r="U3342">
        <v>-0.18150330000000001</v>
      </c>
      <c r="V3342">
        <v>0.2802384</v>
      </c>
      <c r="W3342">
        <v>0.2237094</v>
      </c>
      <c r="X3342">
        <v>0.93349910000000003</v>
      </c>
      <c r="Y3342">
        <v>0.35070679999999999</v>
      </c>
      <c r="Z3342">
        <v>4.117353E-2</v>
      </c>
      <c r="AA3342">
        <v>0.93557979999999996</v>
      </c>
      <c r="AB3342">
        <v>18</v>
      </c>
      <c r="AC3342">
        <v>-15.1348</v>
      </c>
      <c r="AD3342">
        <v>-1.106381621947</v>
      </c>
      <c r="AE3342">
        <v>-0.81960000000000799</v>
      </c>
      <c r="AF3342">
        <v>5.3714988413301397</v>
      </c>
      <c r="AG3342">
        <v>-1.106381621947</v>
      </c>
      <c r="AH3342">
        <v>14.0873057519631</v>
      </c>
      <c r="AI3342">
        <v>94.197059673808695</v>
      </c>
      <c r="AJ3342">
        <v>69.128118495935496</v>
      </c>
      <c r="AK3342">
        <v>15.117184375573601</v>
      </c>
      <c r="AL3342">
        <v>77.073002323537096</v>
      </c>
      <c r="AM3342">
        <v>73.290132430009393</v>
      </c>
      <c r="AN3342">
        <v>1.00000001309186</v>
      </c>
    </row>
    <row r="3343" spans="1:40" x14ac:dyDescent="0.25">
      <c r="A3343" t="str">
        <f>"20190312172728445"</f>
        <v>20190312172728445</v>
      </c>
      <c r="B3343" t="str">
        <f>"1552382848442861"</f>
        <v>1552382848442861</v>
      </c>
      <c r="C3343" t="s">
        <v>40</v>
      </c>
      <c r="D3343">
        <v>3.5591569999999999</v>
      </c>
      <c r="E3343">
        <v>0.52722199999999997</v>
      </c>
      <c r="F3343" t="s">
        <v>41</v>
      </c>
      <c r="G3343">
        <v>-217.19069999999999</v>
      </c>
      <c r="H3343" s="1">
        <v>-2.6173119999999998E-6</v>
      </c>
      <c r="I3343">
        <v>144.53540000000001</v>
      </c>
      <c r="J3343">
        <v>-202.3586</v>
      </c>
      <c r="K3343">
        <v>1.1066590000000001</v>
      </c>
      <c r="L3343">
        <v>145.19460000000001</v>
      </c>
      <c r="M3343">
        <v>-0.9203827</v>
      </c>
      <c r="N3343">
        <v>0</v>
      </c>
      <c r="O3343">
        <v>-0.39076430000000001</v>
      </c>
      <c r="P3343">
        <v>-0.97025919999999999</v>
      </c>
      <c r="Q3343">
        <v>0.21277479999999999</v>
      </c>
      <c r="R3343">
        <v>-0.1154304</v>
      </c>
      <c r="S3343">
        <v>-3.125931</v>
      </c>
      <c r="T3343">
        <v>-0.22805549999999999</v>
      </c>
      <c r="U3343">
        <v>-0.16146849999999999</v>
      </c>
      <c r="V3343">
        <v>0.27510590000000001</v>
      </c>
      <c r="W3343">
        <v>0.22333900000000001</v>
      </c>
      <c r="X3343">
        <v>0.93511310000000003</v>
      </c>
      <c r="Y3343">
        <v>0.34091250000000001</v>
      </c>
      <c r="Z3343">
        <v>4.0204730000000001E-2</v>
      </c>
      <c r="AA3343">
        <v>0.93923489999999998</v>
      </c>
      <c r="AB3343">
        <v>18</v>
      </c>
      <c r="AC3343">
        <v>-14.832099999999899</v>
      </c>
      <c r="AD3343">
        <v>-1.1066616173119901</v>
      </c>
      <c r="AE3343">
        <v>-0.65919999999999801</v>
      </c>
      <c r="AF3343">
        <v>5.1609804101745</v>
      </c>
      <c r="AG3343">
        <v>-1.1066616173119901</v>
      </c>
      <c r="AH3343">
        <v>13.8333249706786</v>
      </c>
      <c r="AI3343">
        <v>94.286485005202294</v>
      </c>
      <c r="AJ3343">
        <v>69.540302619533506</v>
      </c>
      <c r="AK3343">
        <v>14.8061236815663</v>
      </c>
      <c r="AL3343">
        <v>77.094775898706501</v>
      </c>
      <c r="AM3343">
        <v>73.606363615931102</v>
      </c>
      <c r="AN3343">
        <v>1.0000000374636999</v>
      </c>
    </row>
    <row r="3344" spans="1:40" x14ac:dyDescent="0.25">
      <c r="A3344" t="str">
        <f>"20190312172728478"</f>
        <v>20190312172728478</v>
      </c>
      <c r="B3344" t="str">
        <f>"1552382848472142"</f>
        <v>1552382848472142</v>
      </c>
      <c r="C3344" t="s">
        <v>40</v>
      </c>
      <c r="D3344">
        <v>3.5745979999999999</v>
      </c>
      <c r="E3344">
        <v>0.52280190000000004</v>
      </c>
      <c r="F3344" t="s">
        <v>41</v>
      </c>
      <c r="G3344">
        <v>-217.13759999999999</v>
      </c>
      <c r="H3344" s="1">
        <v>-2.650366E-6</v>
      </c>
      <c r="I3344">
        <v>144.56540000000001</v>
      </c>
      <c r="J3344">
        <v>-202.61</v>
      </c>
      <c r="K3344">
        <v>1.1068739999999999</v>
      </c>
      <c r="L3344">
        <v>145.1044</v>
      </c>
      <c r="M3344">
        <v>-0.92503599999999997</v>
      </c>
      <c r="N3344">
        <v>0</v>
      </c>
      <c r="O3344">
        <v>-0.3796194</v>
      </c>
      <c r="P3344">
        <v>-0.97163809999999995</v>
      </c>
      <c r="Q3344">
        <v>0.21056150000000001</v>
      </c>
      <c r="R3344">
        <v>-0.1076259</v>
      </c>
      <c r="S3344">
        <v>-3.1274570000000002</v>
      </c>
      <c r="T3344">
        <v>-0.23418449999999999</v>
      </c>
      <c r="U3344">
        <v>-0.13314819999999999</v>
      </c>
      <c r="V3344">
        <v>0.27134740000000002</v>
      </c>
      <c r="W3344">
        <v>0.22128780000000001</v>
      </c>
      <c r="X3344">
        <v>0.93669749999999996</v>
      </c>
      <c r="Y3344">
        <v>0.33800639999999998</v>
      </c>
      <c r="Z3344">
        <v>4.0398400000000001E-2</v>
      </c>
      <c r="AA3344">
        <v>0.94027640000000001</v>
      </c>
      <c r="AB3344">
        <v>18</v>
      </c>
      <c r="AC3344">
        <v>-14.5275999999999</v>
      </c>
      <c r="AD3344">
        <v>-1.1068766503659999</v>
      </c>
      <c r="AE3344">
        <v>-0.53899999999998705</v>
      </c>
      <c r="AF3344">
        <v>4.9879440785119797</v>
      </c>
      <c r="AG3344">
        <v>-1.1068766503659999</v>
      </c>
      <c r="AH3344">
        <v>13.5658722094977</v>
      </c>
      <c r="AI3344">
        <v>94.379180456235204</v>
      </c>
      <c r="AJ3344">
        <v>69.812369959564805</v>
      </c>
      <c r="AK3344">
        <v>14.4961253738339</v>
      </c>
      <c r="AL3344">
        <v>77.215316463395993</v>
      </c>
      <c r="AM3344">
        <v>73.8444800309816</v>
      </c>
      <c r="AN3344">
        <v>0.99999995421092303</v>
      </c>
    </row>
    <row r="3345" spans="1:40" x14ac:dyDescent="0.25">
      <c r="A3345" t="str">
        <f>"20190312172728501"</f>
        <v>20190312172728501</v>
      </c>
      <c r="B3345" t="str">
        <f>"1552382848492474"</f>
        <v>1552382848492474</v>
      </c>
      <c r="C3345" t="s">
        <v>40</v>
      </c>
      <c r="D3345">
        <v>3.58073</v>
      </c>
      <c r="E3345">
        <v>0.52239389999999997</v>
      </c>
      <c r="F3345" t="s">
        <v>41</v>
      </c>
      <c r="G3345">
        <v>-216.21729999999999</v>
      </c>
      <c r="H3345" s="1">
        <v>-3.064484E-6</v>
      </c>
      <c r="I3345">
        <v>144.48679999999999</v>
      </c>
      <c r="J3345">
        <v>-202.78190000000001</v>
      </c>
      <c r="K3345">
        <v>1.1070279999999999</v>
      </c>
      <c r="L3345">
        <v>145.04419999999999</v>
      </c>
      <c r="M3345">
        <v>-0.92801199999999995</v>
      </c>
      <c r="N3345">
        <v>0</v>
      </c>
      <c r="O3345">
        <v>-0.37228679999999997</v>
      </c>
      <c r="P3345">
        <v>-0.97247799999999995</v>
      </c>
      <c r="Q3345">
        <v>0.2088507</v>
      </c>
      <c r="R3345">
        <v>-0.1032863</v>
      </c>
      <c r="S3345">
        <v>-3.1269680000000002</v>
      </c>
      <c r="T3345">
        <v>-0.25436009999999998</v>
      </c>
      <c r="U3345">
        <v>-0.14192199999999999</v>
      </c>
      <c r="V3345">
        <v>0.26813789999999998</v>
      </c>
      <c r="W3345">
        <v>0.21969440000000001</v>
      </c>
      <c r="X3345">
        <v>0.93799600000000005</v>
      </c>
      <c r="Y3345">
        <v>0.32760889999999998</v>
      </c>
      <c r="Z3345">
        <v>4.2888919999999997E-2</v>
      </c>
      <c r="AA3345">
        <v>0.94383950000000005</v>
      </c>
      <c r="AB3345">
        <v>18</v>
      </c>
      <c r="AC3345">
        <v>-13.4353999999999</v>
      </c>
      <c r="AD3345">
        <v>-1.107031064484</v>
      </c>
      <c r="AE3345">
        <v>-0.55740000000000101</v>
      </c>
      <c r="AF3345">
        <v>4.4547958127073199</v>
      </c>
      <c r="AG3345">
        <v>-1.107031064484</v>
      </c>
      <c r="AH3345">
        <v>12.591629017077899</v>
      </c>
      <c r="AI3345">
        <v>94.738058032313404</v>
      </c>
      <c r="AJ3345">
        <v>70.516716163294106</v>
      </c>
      <c r="AK3345">
        <v>13.4022328294343</v>
      </c>
      <c r="AL3345">
        <v>77.308916102997998</v>
      </c>
      <c r="AM3345">
        <v>74.046752221274303</v>
      </c>
      <c r="AN3345">
        <v>1.00000002941188</v>
      </c>
    </row>
    <row r="3346" spans="1:40" x14ac:dyDescent="0.25">
      <c r="A3346" t="str">
        <f>"20190312172728522"</f>
        <v>20190312172728522</v>
      </c>
      <c r="B3346" t="str">
        <f>"1552382848512970"</f>
        <v>1552382848512970</v>
      </c>
      <c r="C3346" t="s">
        <v>40</v>
      </c>
      <c r="D3346">
        <v>3.581642</v>
      </c>
      <c r="E3346">
        <v>0.52189300000000005</v>
      </c>
      <c r="F3346" t="s">
        <v>41</v>
      </c>
      <c r="G3346">
        <v>-216.13560000000001</v>
      </c>
      <c r="H3346" s="1">
        <v>-3.101971E-6</v>
      </c>
      <c r="I3346">
        <v>144.48249999999999</v>
      </c>
      <c r="J3346">
        <v>-202.9555</v>
      </c>
      <c r="K3346">
        <v>1.107186</v>
      </c>
      <c r="L3346">
        <v>144.9846</v>
      </c>
      <c r="M3346">
        <v>-0.93084999999999996</v>
      </c>
      <c r="N3346">
        <v>0</v>
      </c>
      <c r="O3346">
        <v>-0.36513440000000003</v>
      </c>
      <c r="P3346">
        <v>-0.97304679999999999</v>
      </c>
      <c r="Q3346">
        <v>0.20809349999999999</v>
      </c>
      <c r="R3346">
        <v>-9.9383159999999998E-2</v>
      </c>
      <c r="S3346">
        <v>-3.1266020000000001</v>
      </c>
      <c r="T3346">
        <v>-0.25919799999999998</v>
      </c>
      <c r="U3346">
        <v>-0.1315308</v>
      </c>
      <c r="V3346">
        <v>0.26463730000000002</v>
      </c>
      <c r="W3346">
        <v>0.21904870000000001</v>
      </c>
      <c r="X3346">
        <v>0.93914039999999999</v>
      </c>
      <c r="Y3346">
        <v>0.3234147</v>
      </c>
      <c r="Z3346">
        <v>4.2985969999999998E-2</v>
      </c>
      <c r="AA3346">
        <v>0.94528040000000002</v>
      </c>
      <c r="AB3346">
        <v>18</v>
      </c>
      <c r="AC3346">
        <v>-13.180099999999999</v>
      </c>
      <c r="AD3346">
        <v>-1.1071891019710001</v>
      </c>
      <c r="AE3346">
        <v>-0.50210000000001198</v>
      </c>
      <c r="AF3346">
        <v>4.31514527691672</v>
      </c>
      <c r="AG3346">
        <v>-1.1071891019710001</v>
      </c>
      <c r="AH3346">
        <v>12.3661068772431</v>
      </c>
      <c r="AI3346">
        <v>94.832023499734603</v>
      </c>
      <c r="AJ3346">
        <v>70.763598356551</v>
      </c>
      <c r="AK3346">
        <v>13.1440840596757</v>
      </c>
      <c r="AL3346">
        <v>77.3468347907028</v>
      </c>
      <c r="AM3346">
        <v>74.262868172819395</v>
      </c>
      <c r="AN3346">
        <v>0.99999996221756904</v>
      </c>
    </row>
    <row r="3347" spans="1:40" x14ac:dyDescent="0.25">
      <c r="A3347" t="str">
        <f>"20190312172728546"</f>
        <v>20190312172728546</v>
      </c>
      <c r="B3347" t="str">
        <f>"1552382848542250"</f>
        <v>1552382848542250</v>
      </c>
      <c r="C3347" t="s">
        <v>40</v>
      </c>
      <c r="D3347">
        <v>3.558125</v>
      </c>
      <c r="E3347">
        <v>0.52125940000000004</v>
      </c>
      <c r="F3347" t="s">
        <v>41</v>
      </c>
      <c r="G3347">
        <v>-216.14920000000001</v>
      </c>
      <c r="H3347" s="1">
        <v>-3.0895729999999999E-6</v>
      </c>
      <c r="I3347">
        <v>144.46</v>
      </c>
      <c r="J3347">
        <v>-203.12970000000001</v>
      </c>
      <c r="K3347">
        <v>1.107356</v>
      </c>
      <c r="L3347">
        <v>144.92590000000001</v>
      </c>
      <c r="M3347">
        <v>-0.93352919999999995</v>
      </c>
      <c r="N3347">
        <v>0</v>
      </c>
      <c r="O3347">
        <v>-0.35823059999999901</v>
      </c>
      <c r="P3347">
        <v>-0.97294630000000004</v>
      </c>
      <c r="Q3347">
        <v>0.20994579999999999</v>
      </c>
      <c r="R3347">
        <v>-9.6428360000000005E-2</v>
      </c>
      <c r="S3347">
        <v>-3.1265260000000001</v>
      </c>
      <c r="T3347">
        <v>-0.26237290000000002</v>
      </c>
      <c r="U3347">
        <v>-0.1243134</v>
      </c>
      <c r="V3347">
        <v>0.2603029</v>
      </c>
      <c r="W3347">
        <v>0.2210116</v>
      </c>
      <c r="X3347">
        <v>0.93989160000000005</v>
      </c>
      <c r="Y3347">
        <v>0.31856669999999998</v>
      </c>
      <c r="Z3347">
        <v>4.2769740000000001E-2</v>
      </c>
      <c r="AA3347">
        <v>0.94693510000000003</v>
      </c>
      <c r="AB3347">
        <v>18</v>
      </c>
      <c r="AC3347">
        <v>-13.019499999999899</v>
      </c>
      <c r="AD3347">
        <v>-1.1073590895730001</v>
      </c>
      <c r="AE3347">
        <v>-0.46590000000000398</v>
      </c>
      <c r="AF3347">
        <v>4.19912416588675</v>
      </c>
      <c r="AG3347">
        <v>-1.1073590895730001</v>
      </c>
      <c r="AH3347">
        <v>12.2337907357775</v>
      </c>
      <c r="AI3347">
        <v>94.893365368241604</v>
      </c>
      <c r="AJ3347">
        <v>71.055738244048499</v>
      </c>
      <c r="AK3347">
        <v>12.981699568261099</v>
      </c>
      <c r="AL3347">
        <v>77.231543587364698</v>
      </c>
      <c r="AM3347">
        <v>74.519933586390806</v>
      </c>
      <c r="AN3347">
        <v>0.99999997341676405</v>
      </c>
    </row>
    <row r="3348" spans="1:40" x14ac:dyDescent="0.25">
      <c r="A3348" t="str">
        <f>"20190312172728567"</f>
        <v>20190312172728567</v>
      </c>
      <c r="B3348" t="str">
        <f>"1552382848562746"</f>
        <v>1552382848562746</v>
      </c>
      <c r="C3348" t="s">
        <v>40</v>
      </c>
      <c r="D3348">
        <v>3.568276</v>
      </c>
      <c r="E3348">
        <v>0.52084609999999998</v>
      </c>
      <c r="F3348" t="s">
        <v>41</v>
      </c>
      <c r="G3348">
        <v>-216.68610000000001</v>
      </c>
      <c r="H3348" s="1">
        <v>-2.8186969999999999E-6</v>
      </c>
      <c r="I3348">
        <v>144.39580000000001</v>
      </c>
      <c r="J3348">
        <v>-203.2928</v>
      </c>
      <c r="K3348">
        <v>1.1075250000000001</v>
      </c>
      <c r="L3348">
        <v>144.87200000000001</v>
      </c>
      <c r="M3348">
        <v>-0.93588570000000004</v>
      </c>
      <c r="N3348">
        <v>0</v>
      </c>
      <c r="O3348">
        <v>-0.3520295</v>
      </c>
      <c r="P3348">
        <v>-0.97292319999999999</v>
      </c>
      <c r="Q3348">
        <v>0.21122299999999999</v>
      </c>
      <c r="R3348">
        <v>-9.383619E-2</v>
      </c>
      <c r="S3348">
        <v>-3.126404</v>
      </c>
      <c r="T3348">
        <v>-0.25538290000000002</v>
      </c>
      <c r="U3348">
        <v>-0.12226869999999999</v>
      </c>
      <c r="V3348">
        <v>0.25638359999999999</v>
      </c>
      <c r="W3348">
        <v>0.22239210000000001</v>
      </c>
      <c r="X3348">
        <v>0.94064300000000001</v>
      </c>
      <c r="Y3348">
        <v>0.31305240000000001</v>
      </c>
      <c r="Z3348">
        <v>4.0935359999999997E-2</v>
      </c>
      <c r="AA3348">
        <v>0.94885330000000001</v>
      </c>
      <c r="AB3348">
        <v>18</v>
      </c>
      <c r="AC3348">
        <v>-13.3933</v>
      </c>
      <c r="AD3348">
        <v>-1.1075278186969999</v>
      </c>
      <c r="AE3348">
        <v>-0.47620000000000501</v>
      </c>
      <c r="AF3348">
        <v>4.24061929027134</v>
      </c>
      <c r="AG3348">
        <v>-1.1075278186969999</v>
      </c>
      <c r="AH3348">
        <v>12.617292422637</v>
      </c>
      <c r="AI3348">
        <v>94.756330573065497</v>
      </c>
      <c r="AJ3348">
        <v>71.422718290477604</v>
      </c>
      <c r="AK3348">
        <v>13.356853593288401</v>
      </c>
      <c r="AL3348">
        <v>77.150428829675704</v>
      </c>
      <c r="AM3348">
        <v>74.753691969207296</v>
      </c>
      <c r="AN3348">
        <v>1.0000000249701799</v>
      </c>
    </row>
    <row r="3349" spans="1:40" x14ac:dyDescent="0.25">
      <c r="A3349" t="str">
        <f>"20190312172728591"</f>
        <v>20190312172728591</v>
      </c>
      <c r="B3349" t="str">
        <f>"1552382848582266"</f>
        <v>1552382848582266</v>
      </c>
      <c r="C3349" t="s">
        <v>40</v>
      </c>
      <c r="D3349">
        <v>3.5710670000000002</v>
      </c>
      <c r="E3349">
        <v>0.52055070000000003</v>
      </c>
      <c r="F3349" t="s">
        <v>41</v>
      </c>
      <c r="G3349">
        <v>-217.05889999999999</v>
      </c>
      <c r="H3349" s="1">
        <v>-2.6305640000000001E-6</v>
      </c>
      <c r="I3349">
        <v>144.3511</v>
      </c>
      <c r="J3349">
        <v>-203.47280000000001</v>
      </c>
      <c r="K3349">
        <v>1.1077049999999999</v>
      </c>
      <c r="L3349">
        <v>144.8135</v>
      </c>
      <c r="M3349">
        <v>-0.93832119999999997</v>
      </c>
      <c r="N3349">
        <v>0</v>
      </c>
      <c r="O3349">
        <v>-0.3454873</v>
      </c>
      <c r="P3349">
        <v>-0.97310079999999999</v>
      </c>
      <c r="Q3349">
        <v>0.21194060000000001</v>
      </c>
      <c r="R3349">
        <v>-9.031148E-2</v>
      </c>
      <c r="S3349">
        <v>-3.1266780000000001</v>
      </c>
      <c r="T3349">
        <v>-0.2515521</v>
      </c>
      <c r="U3349">
        <v>-0.1183167</v>
      </c>
      <c r="V3349">
        <v>0.25306489999999998</v>
      </c>
      <c r="W3349">
        <v>0.22321489999999999</v>
      </c>
      <c r="X3349">
        <v>0.94134649999999997</v>
      </c>
      <c r="Y3349">
        <v>0.30772290000000002</v>
      </c>
      <c r="Z3349">
        <v>3.9611439999999998E-2</v>
      </c>
      <c r="AA3349">
        <v>0.95065109999999997</v>
      </c>
      <c r="AB3349">
        <v>18</v>
      </c>
      <c r="AC3349">
        <v>-13.586099999999901</v>
      </c>
      <c r="AD3349">
        <v>-1.1077076305639999</v>
      </c>
      <c r="AE3349">
        <v>-0.46240000000000198</v>
      </c>
      <c r="AF3349">
        <v>4.2322524823928402</v>
      </c>
      <c r="AG3349">
        <v>-1.1077076305639999</v>
      </c>
      <c r="AH3349">
        <v>12.8239682038224</v>
      </c>
      <c r="AI3349">
        <v>94.689262060933103</v>
      </c>
      <c r="AJ3349">
        <v>71.735728188434507</v>
      </c>
      <c r="AK3349">
        <v>13.549654525565501</v>
      </c>
      <c r="AL3349">
        <v>77.102069755623901</v>
      </c>
      <c r="AM3349">
        <v>74.952770019123903</v>
      </c>
      <c r="AN3349">
        <v>0.99999998412813396</v>
      </c>
    </row>
    <row r="3350" spans="1:40" x14ac:dyDescent="0.25">
      <c r="A3350" t="str">
        <f>"20190312172728613"</f>
        <v>20190312172728613</v>
      </c>
      <c r="B3350" t="str">
        <f>"1552382848602763"</f>
        <v>1552382848602763</v>
      </c>
      <c r="C3350" t="s">
        <v>40</v>
      </c>
      <c r="D3350">
        <v>3.5992449999999998</v>
      </c>
      <c r="E3350">
        <v>0.52042149999999998</v>
      </c>
      <c r="F3350" t="s">
        <v>41</v>
      </c>
      <c r="G3350">
        <v>-217.34800000000001</v>
      </c>
      <c r="H3350" s="1">
        <v>-2.4872359999999998E-6</v>
      </c>
      <c r="I3350">
        <v>144.32599999999999</v>
      </c>
      <c r="J3350">
        <v>-203.6508</v>
      </c>
      <c r="K3350">
        <v>1.107872</v>
      </c>
      <c r="L3350">
        <v>144.75659999999999</v>
      </c>
      <c r="M3350">
        <v>-0.94057550000000001</v>
      </c>
      <c r="N3350">
        <v>0</v>
      </c>
      <c r="O3350">
        <v>-0.33930369999999999</v>
      </c>
      <c r="P3350">
        <v>-0.97335510000000003</v>
      </c>
      <c r="Q3350">
        <v>0.2122435</v>
      </c>
      <c r="R3350">
        <v>-8.6790870000000006E-2</v>
      </c>
      <c r="S3350">
        <v>-3.1270899999999999</v>
      </c>
      <c r="T3350">
        <v>-0.2496477</v>
      </c>
      <c r="U3350">
        <v>-0.1098633</v>
      </c>
      <c r="V3350">
        <v>0.2501486</v>
      </c>
      <c r="W3350">
        <v>0.2236146</v>
      </c>
      <c r="X3350">
        <v>0.9420309</v>
      </c>
      <c r="Y3350">
        <v>0.30409350000000002</v>
      </c>
      <c r="Z3350">
        <v>3.870063E-2</v>
      </c>
      <c r="AA3350">
        <v>0.95185580000000003</v>
      </c>
      <c r="AB3350">
        <v>18</v>
      </c>
      <c r="AC3350">
        <v>-13.697199999999899</v>
      </c>
      <c r="AD3350">
        <v>-1.107874487236</v>
      </c>
      <c r="AE3350">
        <v>-0.43059999999999798</v>
      </c>
      <c r="AF3350">
        <v>4.2153534104899899</v>
      </c>
      <c r="AG3350">
        <v>-1.107874487236</v>
      </c>
      <c r="AH3350">
        <v>12.9459872290806</v>
      </c>
      <c r="AI3350">
        <v>94.652005910829899</v>
      </c>
      <c r="AJ3350">
        <v>71.964190548821193</v>
      </c>
      <c r="AK3350">
        <v>13.6599844652296</v>
      </c>
      <c r="AL3350">
        <v>77.078575152572697</v>
      </c>
      <c r="AM3350">
        <v>75.128769833774797</v>
      </c>
      <c r="AN3350">
        <v>1.0000000139849601</v>
      </c>
    </row>
    <row r="3351" spans="1:40" x14ac:dyDescent="0.25">
      <c r="A3351" t="str">
        <f>"20190312172728636"</f>
        <v>20190312172728636</v>
      </c>
      <c r="B3351" t="str">
        <f>"1552382848633019"</f>
        <v>1552382848633019</v>
      </c>
      <c r="C3351" t="s">
        <v>40</v>
      </c>
      <c r="D3351">
        <v>3.5731700000000002</v>
      </c>
      <c r="E3351">
        <v>0.52015449999999996</v>
      </c>
      <c r="F3351" t="s">
        <v>41</v>
      </c>
      <c r="G3351">
        <v>-217.53030000000001</v>
      </c>
      <c r="H3351" s="1">
        <v>-2.3973080000000001E-6</v>
      </c>
      <c r="I3351">
        <v>144.31190000000001</v>
      </c>
      <c r="J3351">
        <v>-203.82830000000001</v>
      </c>
      <c r="K3351">
        <v>1.108009</v>
      </c>
      <c r="L3351">
        <v>144.70079999999999</v>
      </c>
      <c r="M3351">
        <v>-0.94269619999999998</v>
      </c>
      <c r="N3351">
        <v>0</v>
      </c>
      <c r="O3351">
        <v>-0.33336830000000001</v>
      </c>
      <c r="P3351">
        <v>-0.97349379999999996</v>
      </c>
      <c r="Q3351">
        <v>0.21292730000000001</v>
      </c>
      <c r="R3351">
        <v>-8.3497290000000002E-2</v>
      </c>
      <c r="S3351">
        <v>-3.1276250000000001</v>
      </c>
      <c r="T3351">
        <v>-0.24965080000000001</v>
      </c>
      <c r="U3351">
        <v>-0.1002045</v>
      </c>
      <c r="V3351">
        <v>0.24726409999999999</v>
      </c>
      <c r="W3351">
        <v>0.2243763</v>
      </c>
      <c r="X3351">
        <v>0.94261119999999998</v>
      </c>
      <c r="Y3351">
        <v>0.30105959999999898</v>
      </c>
      <c r="Z3351">
        <v>3.8129669999999997E-2</v>
      </c>
      <c r="AA3351">
        <v>0.95284270000000004</v>
      </c>
      <c r="AB3351">
        <v>18</v>
      </c>
      <c r="AC3351">
        <v>-13.7019999999999</v>
      </c>
      <c r="AD3351">
        <v>-1.1080113973079999</v>
      </c>
      <c r="AE3351">
        <v>-0.38889999999997799</v>
      </c>
      <c r="AF3351">
        <v>4.1743214179603596</v>
      </c>
      <c r="AG3351">
        <v>-1.1080113973079999</v>
      </c>
      <c r="AH3351">
        <v>12.963007604392599</v>
      </c>
      <c r="AI3351">
        <v>94.651370084405997</v>
      </c>
      <c r="AJ3351">
        <v>72.150508478210398</v>
      </c>
      <c r="AK3351">
        <v>13.663535951888401</v>
      </c>
      <c r="AL3351">
        <v>77.033795800340599</v>
      </c>
      <c r="AM3351">
        <v>75.301439904905706</v>
      </c>
      <c r="AN3351">
        <v>1.00000006675796</v>
      </c>
    </row>
    <row r="3352" spans="1:40" x14ac:dyDescent="0.25">
      <c r="A3352" t="str">
        <f>"20190312172728657"</f>
        <v>20190312172728657</v>
      </c>
      <c r="B3352" t="str">
        <f>"1552382848652539"</f>
        <v>1552382848652539</v>
      </c>
      <c r="C3352" t="s">
        <v>40</v>
      </c>
      <c r="D3352">
        <v>3.5650270000000002</v>
      </c>
      <c r="E3352">
        <v>0.51713500000000001</v>
      </c>
      <c r="F3352" t="s">
        <v>41</v>
      </c>
      <c r="G3352">
        <v>-217.7706</v>
      </c>
      <c r="H3352" s="1">
        <v>-2.2764209999999999E-6</v>
      </c>
      <c r="I3352">
        <v>144.28450000000001</v>
      </c>
      <c r="J3352">
        <v>-203.98390000000001</v>
      </c>
      <c r="K3352">
        <v>1.108109</v>
      </c>
      <c r="L3352">
        <v>144.6525</v>
      </c>
      <c r="M3352">
        <v>-0.94445509999999999</v>
      </c>
      <c r="N3352">
        <v>0</v>
      </c>
      <c r="O3352">
        <v>-0.32835310000000001</v>
      </c>
      <c r="P3352">
        <v>-0.97360869999999999</v>
      </c>
      <c r="Q3352">
        <v>0.21343599999999999</v>
      </c>
      <c r="R3352">
        <v>-8.0816739999999998E-2</v>
      </c>
      <c r="S3352">
        <v>-3.1280519999999998</v>
      </c>
      <c r="T3352">
        <v>-0.24859020000000001</v>
      </c>
      <c r="U3352">
        <v>-9.3399049999999997E-2</v>
      </c>
      <c r="V3352">
        <v>0.24475060000000001</v>
      </c>
      <c r="W3352">
        <v>0.2249408</v>
      </c>
      <c r="X3352">
        <v>0.94313239999999998</v>
      </c>
      <c r="Y3352">
        <v>0.2981086</v>
      </c>
      <c r="Z3352">
        <v>3.7470730000000001E-2</v>
      </c>
      <c r="AA3352">
        <v>0.95379619999999998</v>
      </c>
      <c r="AB3352">
        <v>18</v>
      </c>
      <c r="AC3352">
        <v>-13.7866999999999</v>
      </c>
      <c r="AD3352">
        <v>-1.1081112764209999</v>
      </c>
      <c r="AE3352">
        <v>-0.367999999999995</v>
      </c>
      <c r="AF3352">
        <v>4.1529311327010197</v>
      </c>
      <c r="AG3352">
        <v>-1.1081112764209999</v>
      </c>
      <c r="AH3352">
        <v>13.058692137833001</v>
      </c>
      <c r="AI3352">
        <v>94.623189199648294</v>
      </c>
      <c r="AJ3352">
        <v>72.358271975132197</v>
      </c>
      <c r="AK3352">
        <v>13.747879398096</v>
      </c>
      <c r="AL3352">
        <v>77.000602611586103</v>
      </c>
      <c r="AM3352">
        <v>75.452180317818602</v>
      </c>
      <c r="AN3352">
        <v>0.99999997181737899</v>
      </c>
    </row>
    <row r="3353" spans="1:40" x14ac:dyDescent="0.25">
      <c r="A3353" t="str">
        <f>"20190312172728678"</f>
        <v>20190312172728678</v>
      </c>
      <c r="B3353" t="str">
        <f>"1552382848673034"</f>
        <v>1552382848673034</v>
      </c>
      <c r="C3353" t="s">
        <v>40</v>
      </c>
      <c r="D3353">
        <v>3.5707520000000001</v>
      </c>
      <c r="E3353">
        <v>0.51726280000000002</v>
      </c>
      <c r="F3353" t="s">
        <v>41</v>
      </c>
      <c r="G3353">
        <v>-217.66759999999999</v>
      </c>
      <c r="H3353" s="1">
        <v>-2.2936500000000001E-6</v>
      </c>
      <c r="I3353">
        <v>144.1662</v>
      </c>
      <c r="J3353">
        <v>-204.1523</v>
      </c>
      <c r="K3353">
        <v>1.1082069999999999</v>
      </c>
      <c r="L3353">
        <v>144.60120000000001</v>
      </c>
      <c r="M3353">
        <v>-0.94624909999999995</v>
      </c>
      <c r="N3353">
        <v>0</v>
      </c>
      <c r="O3353">
        <v>-0.32314799999999999</v>
      </c>
      <c r="P3353">
        <v>-0.97371390000000002</v>
      </c>
      <c r="Q3353">
        <v>0.21364459999999999</v>
      </c>
      <c r="R3353">
        <v>-7.8976740000000004E-2</v>
      </c>
      <c r="S3353">
        <v>-3.1276250000000001</v>
      </c>
      <c r="T3353">
        <v>-0.25327749999999999</v>
      </c>
      <c r="U3353">
        <v>-0.1111603</v>
      </c>
      <c r="V3353">
        <v>0.24125569999999999</v>
      </c>
      <c r="W3353">
        <v>0.225214</v>
      </c>
      <c r="X3353">
        <v>0.94396729999999995</v>
      </c>
      <c r="Y3353">
        <v>0.28740009999999999</v>
      </c>
      <c r="Z3353">
        <v>3.7336609999999999E-2</v>
      </c>
      <c r="AA3353">
        <v>0.95708260000000001</v>
      </c>
      <c r="AB3353">
        <v>18</v>
      </c>
      <c r="AC3353">
        <v>-13.5152999999999</v>
      </c>
      <c r="AD3353">
        <v>-1.1082092936500001</v>
      </c>
      <c r="AE3353">
        <v>-0.435000000000002</v>
      </c>
      <c r="AF3353">
        <v>3.9298012467021701</v>
      </c>
      <c r="AG3353">
        <v>-1.1082092936500001</v>
      </c>
      <c r="AH3353">
        <v>12.844356423915301</v>
      </c>
      <c r="AI3353">
        <v>94.7164861147305</v>
      </c>
      <c r="AJ3353">
        <v>72.988221683637406</v>
      </c>
      <c r="AK3353">
        <v>13.477720787347099</v>
      </c>
      <c r="AL3353">
        <v>76.984537036407701</v>
      </c>
      <c r="AM3353">
        <v>75.663447164512107</v>
      </c>
      <c r="AN3353">
        <v>0.99999996102388899</v>
      </c>
    </row>
    <row r="3354" spans="1:40" x14ac:dyDescent="0.25">
      <c r="A3354" t="str">
        <f>"20190312172728702"</f>
        <v>20190312172728702</v>
      </c>
      <c r="B3354" t="str">
        <f>"1552382848692554"</f>
        <v>1552382848692554</v>
      </c>
      <c r="C3354" t="s">
        <v>40</v>
      </c>
      <c r="D3354">
        <v>3.597756</v>
      </c>
      <c r="E3354">
        <v>0.51714090000000001</v>
      </c>
      <c r="F3354" t="s">
        <v>41</v>
      </c>
      <c r="G3354">
        <v>-217.81829999999999</v>
      </c>
      <c r="H3354" s="1">
        <v>-2.2157619999999998E-6</v>
      </c>
      <c r="I3354">
        <v>144.1414</v>
      </c>
      <c r="J3354">
        <v>-204.32560000000001</v>
      </c>
      <c r="K3354">
        <v>1.1083240000000001</v>
      </c>
      <c r="L3354">
        <v>144.54900000000001</v>
      </c>
      <c r="M3354">
        <v>-0.94798139999999997</v>
      </c>
      <c r="N3354">
        <v>0</v>
      </c>
      <c r="O3354">
        <v>-0.31803150000000002</v>
      </c>
      <c r="P3354">
        <v>-0.97380310000000003</v>
      </c>
      <c r="Q3354">
        <v>0.21360779999999999</v>
      </c>
      <c r="R3354">
        <v>-7.7971109999999996E-2</v>
      </c>
      <c r="S3354">
        <v>-3.1281279999999998</v>
      </c>
      <c r="T3354">
        <v>-0.25366569999999999</v>
      </c>
      <c r="U3354">
        <v>-0.105239899999999</v>
      </c>
      <c r="V3354">
        <v>0.23705290000000001</v>
      </c>
      <c r="W3354">
        <v>0.2252535</v>
      </c>
      <c r="X3354">
        <v>0.94502209999999998</v>
      </c>
      <c r="Y3354">
        <v>0.28406229999999999</v>
      </c>
      <c r="Z3354">
        <v>3.6860230000000001E-2</v>
      </c>
      <c r="AA3354">
        <v>0.95809699999999998</v>
      </c>
      <c r="AB3354">
        <v>18</v>
      </c>
      <c r="AC3354">
        <v>-13.4926999999999</v>
      </c>
      <c r="AD3354">
        <v>-1.108326215762</v>
      </c>
      <c r="AE3354">
        <v>-0.40760000000000202</v>
      </c>
      <c r="AF3354">
        <v>3.8789231473357901</v>
      </c>
      <c r="AG3354">
        <v>-1.108326215762</v>
      </c>
      <c r="AH3354">
        <v>12.8351429084871</v>
      </c>
      <c r="AI3354">
        <v>94.7252521293277</v>
      </c>
      <c r="AJ3354">
        <v>73.184598278716294</v>
      </c>
      <c r="AK3354">
        <v>13.4541935939978</v>
      </c>
      <c r="AL3354">
        <v>76.982214590869404</v>
      </c>
      <c r="AM3354">
        <v>75.918265264351206</v>
      </c>
      <c r="AN3354">
        <v>0.99999999307453402</v>
      </c>
    </row>
    <row r="3355" spans="1:40" x14ac:dyDescent="0.25">
      <c r="A3355" t="str">
        <f>"20190312172728724"</f>
        <v>20190312172728724</v>
      </c>
      <c r="B3355" t="str">
        <f>"1552382848713050"</f>
        <v>1552382848713050</v>
      </c>
      <c r="C3355" t="s">
        <v>40</v>
      </c>
      <c r="D3355">
        <v>3.5657519999999998</v>
      </c>
      <c r="E3355">
        <v>0.51727190000000001</v>
      </c>
      <c r="F3355" t="s">
        <v>41</v>
      </c>
      <c r="G3355">
        <v>-217.95910000000001</v>
      </c>
      <c r="H3355" s="1">
        <v>-2.1395999999999998E-6</v>
      </c>
      <c r="I3355">
        <v>144.1052</v>
      </c>
      <c r="J3355">
        <v>-204.49809999999999</v>
      </c>
      <c r="K3355">
        <v>1.1084560000000001</v>
      </c>
      <c r="L3355">
        <v>144.49770000000001</v>
      </c>
      <c r="M3355">
        <v>-0.949596</v>
      </c>
      <c r="N3355">
        <v>0</v>
      </c>
      <c r="O3355">
        <v>-0.3131796</v>
      </c>
      <c r="P3355">
        <v>-0.97393229999999997</v>
      </c>
      <c r="Q3355">
        <v>0.2133649</v>
      </c>
      <c r="R3355">
        <v>-7.7015990000000006E-2</v>
      </c>
      <c r="S3355">
        <v>-3.1283569999999998</v>
      </c>
      <c r="T3355">
        <v>-0.25431670000000001</v>
      </c>
      <c r="U3355">
        <v>-0.10182190000000001</v>
      </c>
      <c r="V3355">
        <v>0.23307249999999999</v>
      </c>
      <c r="W3355">
        <v>0.22509409999999999</v>
      </c>
      <c r="X3355">
        <v>0.94604960000000005</v>
      </c>
      <c r="Y3355">
        <v>0.2802249</v>
      </c>
      <c r="Z3355">
        <v>3.6421259999999997E-2</v>
      </c>
      <c r="AA3355">
        <v>0.95924319999999996</v>
      </c>
      <c r="AB3355">
        <v>18</v>
      </c>
      <c r="AC3355">
        <v>-13.461</v>
      </c>
      <c r="AD3355">
        <v>-1.1084581395999999</v>
      </c>
      <c r="AE3355">
        <v>-0.39250000000001201</v>
      </c>
      <c r="AF3355">
        <v>3.8174877549408301</v>
      </c>
      <c r="AG3355">
        <v>-1.1084581395999999</v>
      </c>
      <c r="AH3355">
        <v>12.819779839245101</v>
      </c>
      <c r="AI3355">
        <v>94.737195850299898</v>
      </c>
      <c r="AJ3355">
        <v>73.417464803868995</v>
      </c>
      <c r="AK3355">
        <v>13.421946480786</v>
      </c>
      <c r="AL3355">
        <v>76.991588291183803</v>
      </c>
      <c r="AM3355">
        <v>76.160000187170397</v>
      </c>
      <c r="AN3355">
        <v>0.99999999488560998</v>
      </c>
    </row>
    <row r="3356" spans="1:40" x14ac:dyDescent="0.25">
      <c r="A3356" t="str">
        <f>"20190312172728746"</f>
        <v>20190312172728746</v>
      </c>
      <c r="B3356" t="str">
        <f>"1552382848742330"</f>
        <v>1552382848742330</v>
      </c>
      <c r="C3356" t="s">
        <v>40</v>
      </c>
      <c r="D3356">
        <v>3.5729479999999998</v>
      </c>
      <c r="E3356">
        <v>0.51703779999999999</v>
      </c>
      <c r="F3356" t="s">
        <v>41</v>
      </c>
      <c r="G3356">
        <v>-218.1191</v>
      </c>
      <c r="H3356" s="1">
        <v>-2.0560739999999998E-6</v>
      </c>
      <c r="I3356">
        <v>144.07550000000001</v>
      </c>
      <c r="J3356">
        <v>-204.6609</v>
      </c>
      <c r="K3356">
        <v>1.1086020000000001</v>
      </c>
      <c r="L3356">
        <v>144.44990000000001</v>
      </c>
      <c r="M3356">
        <v>-0.95102059999999999</v>
      </c>
      <c r="N3356">
        <v>0</v>
      </c>
      <c r="O3356">
        <v>-0.30882759999999998</v>
      </c>
      <c r="P3356">
        <v>-0.97413640000000001</v>
      </c>
      <c r="Q3356">
        <v>0.21259430000000001</v>
      </c>
      <c r="R3356">
        <v>-7.6565030000000006E-2</v>
      </c>
      <c r="S3356">
        <v>-3.1283720000000002</v>
      </c>
      <c r="T3356">
        <v>-0.25458190000000003</v>
      </c>
      <c r="U3356">
        <v>-9.6969600000000003E-2</v>
      </c>
      <c r="V3356">
        <v>0.22913069999999999</v>
      </c>
      <c r="W3356">
        <v>0.22441440000000001</v>
      </c>
      <c r="X3356">
        <v>0.94717340000000005</v>
      </c>
      <c r="Y3356">
        <v>0.277335099999999</v>
      </c>
      <c r="Z3356">
        <v>3.6005299999999997E-2</v>
      </c>
      <c r="AA3356">
        <v>0.96009840000000002</v>
      </c>
      <c r="AB3356">
        <v>18</v>
      </c>
      <c r="AC3356">
        <v>-13.4582</v>
      </c>
      <c r="AD3356">
        <v>-1.108604056074</v>
      </c>
      <c r="AE3356">
        <v>-0.374400000000008</v>
      </c>
      <c r="AF3356">
        <v>3.7749586883321502</v>
      </c>
      <c r="AG3356">
        <v>-1.108604056074</v>
      </c>
      <c r="AH3356">
        <v>12.828865038863301</v>
      </c>
      <c r="AI3356">
        <v>94.739001609662594</v>
      </c>
      <c r="AJ3356">
        <v>73.603212627182003</v>
      </c>
      <c r="AK3356">
        <v>13.4186099964611</v>
      </c>
      <c r="AL3356">
        <v>77.031555815388998</v>
      </c>
      <c r="AM3356">
        <v>76.400837853308303</v>
      </c>
      <c r="AN3356">
        <v>1.0000000751386999</v>
      </c>
    </row>
    <row r="3357" spans="1:40" x14ac:dyDescent="0.25">
      <c r="A3357" t="str">
        <f>"20190312172728768"</f>
        <v>20190312172728768</v>
      </c>
      <c r="B3357" t="str">
        <f>"1552382848762827"</f>
        <v>1552382848762827</v>
      </c>
      <c r="C3357" t="s">
        <v>40</v>
      </c>
      <c r="D3357">
        <v>3.5772140000000001</v>
      </c>
      <c r="E3357">
        <v>0.51703639999999995</v>
      </c>
      <c r="F3357" t="s">
        <v>41</v>
      </c>
      <c r="G3357">
        <v>-218.06209999999999</v>
      </c>
      <c r="H3357" s="1">
        <v>-2.0707840000000001E-6</v>
      </c>
      <c r="I3357">
        <v>144.02959999999999</v>
      </c>
      <c r="J3357">
        <v>-204.83359999999999</v>
      </c>
      <c r="K3357">
        <v>1.1087640000000001</v>
      </c>
      <c r="L3357">
        <v>144.3997</v>
      </c>
      <c r="M3357">
        <v>-0.95242349999999998</v>
      </c>
      <c r="N3357">
        <v>0</v>
      </c>
      <c r="O3357">
        <v>-0.3044752</v>
      </c>
      <c r="P3357">
        <v>-0.97430289999999997</v>
      </c>
      <c r="Q3357">
        <v>0.21180009999999999</v>
      </c>
      <c r="R3357">
        <v>-7.6647820000000005E-2</v>
      </c>
      <c r="S3357">
        <v>-3.1284329999999998</v>
      </c>
      <c r="T3357">
        <v>-0.25879730000000001</v>
      </c>
      <c r="U3357">
        <v>-9.8114010000000001E-2</v>
      </c>
      <c r="V3357">
        <v>0.22465879999999999</v>
      </c>
      <c r="W3357">
        <v>0.22372239999999999</v>
      </c>
      <c r="X3357">
        <v>0.94840749999999996</v>
      </c>
      <c r="Y3357">
        <v>0.27255649999999998</v>
      </c>
      <c r="Z3357">
        <v>3.6056150000000002E-2</v>
      </c>
      <c r="AA3357">
        <v>0.96146390000000004</v>
      </c>
      <c r="AB3357">
        <v>18</v>
      </c>
      <c r="AC3357">
        <v>-13.228499999999899</v>
      </c>
      <c r="AD3357">
        <v>-1.1087660707839999</v>
      </c>
      <c r="AE3357">
        <v>-0.37010000000000698</v>
      </c>
      <c r="AF3357">
        <v>3.6499752727056798</v>
      </c>
      <c r="AG3357">
        <v>-1.1087660707839999</v>
      </c>
      <c r="AH3357">
        <v>12.6243729128691</v>
      </c>
      <c r="AI3357">
        <v>94.822726857366504</v>
      </c>
      <c r="AJ3357">
        <v>73.874291385948396</v>
      </c>
      <c r="AK3357">
        <v>13.1881186351302</v>
      </c>
      <c r="AL3357">
        <v>77.072238428203704</v>
      </c>
      <c r="AM3357">
        <v>76.6734110741303</v>
      </c>
      <c r="AN3357">
        <v>1.00000003736772</v>
      </c>
    </row>
    <row r="3358" spans="1:40" x14ac:dyDescent="0.25">
      <c r="A3358" t="str">
        <f>"20190312172728791"</f>
        <v>20190312172728791</v>
      </c>
      <c r="B3358" t="str">
        <f>"1552382848782346"</f>
        <v>1552382848782346</v>
      </c>
      <c r="C3358" t="s">
        <v>40</v>
      </c>
      <c r="D3358">
        <v>3.5602049999999998</v>
      </c>
      <c r="E3358">
        <v>0.51690150000000001</v>
      </c>
      <c r="F3358" t="s">
        <v>41</v>
      </c>
      <c r="G3358">
        <v>-218.08789999999999</v>
      </c>
      <c r="H3358" s="1">
        <v>-2.046499E-6</v>
      </c>
      <c r="I3358">
        <v>143.98410000000001</v>
      </c>
      <c r="J3358">
        <v>-205.0094</v>
      </c>
      <c r="K3358">
        <v>1.1089260000000001</v>
      </c>
      <c r="L3358">
        <v>144.34909999999999</v>
      </c>
      <c r="M3358">
        <v>-0.95372659999999998</v>
      </c>
      <c r="N3358">
        <v>0</v>
      </c>
      <c r="O3358">
        <v>-0.30036950000000001</v>
      </c>
      <c r="P3358">
        <v>-0.97440079999999996</v>
      </c>
      <c r="Q3358">
        <v>0.21111050000000001</v>
      </c>
      <c r="R3358">
        <v>-7.730331E-2</v>
      </c>
      <c r="S3358">
        <v>-3.1283110000000001</v>
      </c>
      <c r="T3358">
        <v>-0.26169320000000001</v>
      </c>
      <c r="U3358">
        <v>-9.8068240000000001E-2</v>
      </c>
      <c r="V3358">
        <v>0.21986530000000001</v>
      </c>
      <c r="W3358">
        <v>0.22313630000000001</v>
      </c>
      <c r="X3358">
        <v>0.94966799999999996</v>
      </c>
      <c r="Y3358">
        <v>0.26840819999999999</v>
      </c>
      <c r="Z3358">
        <v>3.5957240000000001E-2</v>
      </c>
      <c r="AA3358">
        <v>0.96263399999999999</v>
      </c>
      <c r="AB3358">
        <v>18</v>
      </c>
      <c r="AC3358">
        <v>-13.078499999999901</v>
      </c>
      <c r="AD3358">
        <v>-1.1089280464989999</v>
      </c>
      <c r="AE3358">
        <v>-0.36499999999998001</v>
      </c>
      <c r="AF3358">
        <v>3.5550624848578298</v>
      </c>
      <c r="AG3358">
        <v>-1.1089280464989999</v>
      </c>
      <c r="AH3358">
        <v>12.4943477498189</v>
      </c>
      <c r="AI3358">
        <v>94.879283831707994</v>
      </c>
      <c r="AJ3358">
        <v>74.117163222668395</v>
      </c>
      <c r="AK3358">
        <v>13.037519563818901</v>
      </c>
      <c r="AL3358">
        <v>77.106689075153795</v>
      </c>
      <c r="AM3358">
        <v>76.964654083691499</v>
      </c>
      <c r="AN3358">
        <v>0.99999993437288703</v>
      </c>
    </row>
    <row r="3359" spans="1:40" x14ac:dyDescent="0.25">
      <c r="A3359" t="str">
        <f>"20190312172728815"</f>
        <v>20190312172728815</v>
      </c>
      <c r="B3359" t="str">
        <f>"1552382848812602"</f>
        <v>1552382848812602</v>
      </c>
      <c r="C3359" t="s">
        <v>40</v>
      </c>
      <c r="D3359">
        <v>3.6118640000000002</v>
      </c>
      <c r="E3359">
        <v>0.51690859999999905</v>
      </c>
      <c r="F3359" t="s">
        <v>41</v>
      </c>
      <c r="G3359">
        <v>-218.19800000000001</v>
      </c>
      <c r="H3359" s="1">
        <v>-1.9792390000000001E-6</v>
      </c>
      <c r="I3359">
        <v>143.92699999999999</v>
      </c>
      <c r="J3359">
        <v>-205.1885</v>
      </c>
      <c r="K3359">
        <v>1.1090629999999999</v>
      </c>
      <c r="L3359">
        <v>144.298</v>
      </c>
      <c r="M3359">
        <v>-0.95494990000000002</v>
      </c>
      <c r="N3359">
        <v>0</v>
      </c>
      <c r="O3359">
        <v>-0.29645860000000002</v>
      </c>
      <c r="P3359">
        <v>-0.97457709999999997</v>
      </c>
      <c r="Q3359">
        <v>0.21015120000000001</v>
      </c>
      <c r="R3359">
        <v>-7.7694390000000002E-2</v>
      </c>
      <c r="S3359">
        <v>-3.1278839999999999</v>
      </c>
      <c r="T3359">
        <v>-0.26299909999999999</v>
      </c>
      <c r="U3359">
        <v>-0.1001129</v>
      </c>
      <c r="V3359">
        <v>0.21555579999999999</v>
      </c>
      <c r="W3359">
        <v>0.2222605</v>
      </c>
      <c r="X3359">
        <v>0.95086059999999994</v>
      </c>
      <c r="Y3359">
        <v>0.26383579999999901</v>
      </c>
      <c r="Z3359">
        <v>3.5632539999999997E-2</v>
      </c>
      <c r="AA3359">
        <v>0.96390929999999997</v>
      </c>
      <c r="AB3359">
        <v>18</v>
      </c>
      <c r="AC3359">
        <v>-13.0094999999999</v>
      </c>
      <c r="AD3359">
        <v>-1.1090649792389999</v>
      </c>
      <c r="AE3359">
        <v>-0.37099999999998001</v>
      </c>
      <c r="AF3359">
        <v>3.4775591689148699</v>
      </c>
      <c r="AG3359">
        <v>-1.1090649792389999</v>
      </c>
      <c r="AH3359">
        <v>12.444187495104799</v>
      </c>
      <c r="AI3359">
        <v>94.905933421277695</v>
      </c>
      <c r="AJ3359">
        <v>74.386847133094506</v>
      </c>
      <c r="AK3359">
        <v>12.9684712019112</v>
      </c>
      <c r="AL3359">
        <v>77.158161618527004</v>
      </c>
      <c r="AM3359">
        <v>77.227187243741398</v>
      </c>
      <c r="AN3359">
        <v>0.99999995670312403</v>
      </c>
    </row>
    <row r="3360" spans="1:40" x14ac:dyDescent="0.25">
      <c r="A3360" t="str">
        <f>"20190312172728837"</f>
        <v>20190312172728837</v>
      </c>
      <c r="B3360" t="str">
        <f>"1552382848832122"</f>
        <v>1552382848832122</v>
      </c>
      <c r="C3360" t="s">
        <v>40</v>
      </c>
      <c r="D3360">
        <v>3.5676709999999998</v>
      </c>
      <c r="E3360">
        <v>0.51694689999999999</v>
      </c>
      <c r="F3360" t="s">
        <v>41</v>
      </c>
      <c r="G3360">
        <v>-218.2647</v>
      </c>
      <c r="H3360" s="1">
        <v>-1.934384E-6</v>
      </c>
      <c r="I3360">
        <v>143.8768</v>
      </c>
      <c r="J3360">
        <v>-205.35720000000001</v>
      </c>
      <c r="K3360">
        <v>1.109173</v>
      </c>
      <c r="L3360">
        <v>144.25020000000001</v>
      </c>
      <c r="M3360">
        <v>-0.95600989999999997</v>
      </c>
      <c r="N3360">
        <v>0</v>
      </c>
      <c r="O3360">
        <v>-0.2930236</v>
      </c>
      <c r="P3360">
        <v>-0.97455959999999997</v>
      </c>
      <c r="Q3360">
        <v>0.2099461</v>
      </c>
      <c r="R3360">
        <v>-7.8462959999999998E-2</v>
      </c>
      <c r="S3360">
        <v>-3.1274259999999998</v>
      </c>
      <c r="T3360">
        <v>-0.26525379999999998</v>
      </c>
      <c r="U3360">
        <v>-0.1007233</v>
      </c>
      <c r="V3360">
        <v>0.21132239999999999</v>
      </c>
      <c r="W3360">
        <v>0.2221206</v>
      </c>
      <c r="X3360">
        <v>0.95184310000000005</v>
      </c>
      <c r="Y3360">
        <v>0.26016610000000001</v>
      </c>
      <c r="Z3360">
        <v>3.5506709999999997E-2</v>
      </c>
      <c r="AA3360">
        <v>0.96491079999999996</v>
      </c>
      <c r="AB3360">
        <v>18</v>
      </c>
      <c r="AC3360">
        <v>-12.907500000000001</v>
      </c>
      <c r="AD3360">
        <v>-1.1091749343840001</v>
      </c>
      <c r="AE3360">
        <v>-0.37340000000000301</v>
      </c>
      <c r="AF3360">
        <v>3.4004508436073801</v>
      </c>
      <c r="AG3360">
        <v>-1.1091749343840001</v>
      </c>
      <c r="AH3360">
        <v>12.359059268347901</v>
      </c>
      <c r="AI3360">
        <v>94.945509387351606</v>
      </c>
      <c r="AJ3360">
        <v>74.616380889589806</v>
      </c>
      <c r="AK3360">
        <v>12.8662224826633</v>
      </c>
      <c r="AL3360">
        <v>77.166383397046005</v>
      </c>
      <c r="AM3360">
        <v>77.482567015498304</v>
      </c>
      <c r="AN3360">
        <v>1.00000000235186</v>
      </c>
    </row>
    <row r="3361" spans="1:40" x14ac:dyDescent="0.25">
      <c r="A3361" t="str">
        <f>"20190312172728858"</f>
        <v>20190312172728858</v>
      </c>
      <c r="B3361" t="str">
        <f>"1552382848852620"</f>
        <v>1552382848852620</v>
      </c>
      <c r="C3361" t="s">
        <v>40</v>
      </c>
      <c r="D3361">
        <v>3.5048080000000001</v>
      </c>
      <c r="E3361">
        <v>0.51525770000000004</v>
      </c>
      <c r="F3361" t="s">
        <v>41</v>
      </c>
      <c r="G3361">
        <v>-218.41229999999999</v>
      </c>
      <c r="H3361" s="1">
        <v>-1.848211E-6</v>
      </c>
      <c r="I3361">
        <v>143.8152</v>
      </c>
      <c r="J3361">
        <v>-205.51329999999999</v>
      </c>
      <c r="K3361">
        <v>1.109275</v>
      </c>
      <c r="L3361">
        <v>144.2063</v>
      </c>
      <c r="M3361">
        <v>-0.95690629999999999</v>
      </c>
      <c r="N3361">
        <v>0</v>
      </c>
      <c r="O3361">
        <v>-0.29008400000000001</v>
      </c>
      <c r="P3361">
        <v>-0.97443679999999999</v>
      </c>
      <c r="Q3361">
        <v>0.21005770000000001</v>
      </c>
      <c r="R3361">
        <v>-7.9679819999999998E-2</v>
      </c>
      <c r="S3361">
        <v>-3.127167</v>
      </c>
      <c r="T3361">
        <v>-0.26568819999999999</v>
      </c>
      <c r="U3361">
        <v>-0.1042023</v>
      </c>
      <c r="V3361">
        <v>0.2071308</v>
      </c>
      <c r="W3361">
        <v>0.2222903</v>
      </c>
      <c r="X3361">
        <v>0.95272449999999997</v>
      </c>
      <c r="Y3361">
        <v>0.25614039999999999</v>
      </c>
      <c r="Z3361">
        <v>3.5155180000000001E-2</v>
      </c>
      <c r="AA3361">
        <v>0.96600010000000003</v>
      </c>
      <c r="AB3361">
        <v>17</v>
      </c>
      <c r="AC3361">
        <v>-12.898999999999999</v>
      </c>
      <c r="AD3361">
        <v>-1.109276848211</v>
      </c>
      <c r="AE3361">
        <v>-0.39109999999999401</v>
      </c>
      <c r="AF3361">
        <v>3.3431517017423502</v>
      </c>
      <c r="AG3361">
        <v>-1.109276848211</v>
      </c>
      <c r="AH3361">
        <v>12.3663460946907</v>
      </c>
      <c r="AI3361">
        <v>94.949052999584893</v>
      </c>
      <c r="AJ3361">
        <v>74.872124008187399</v>
      </c>
      <c r="AK3361">
        <v>12.858214267949901</v>
      </c>
      <c r="AL3361">
        <v>77.156411736264204</v>
      </c>
      <c r="AM3361">
        <v>77.734262783550605</v>
      </c>
      <c r="AN3361">
        <v>1.00000005934148</v>
      </c>
    </row>
    <row r="3362" spans="1:40" x14ac:dyDescent="0.25">
      <c r="A3362" t="str">
        <f>"20190312172728881"</f>
        <v>20190312172728881</v>
      </c>
      <c r="B3362" t="str">
        <f>"1552382848872139"</f>
        <v>1552382848872139</v>
      </c>
      <c r="C3362" t="s">
        <v>40</v>
      </c>
      <c r="D3362">
        <v>3.534141</v>
      </c>
      <c r="E3362">
        <v>0.51370169999999904</v>
      </c>
      <c r="F3362" t="s">
        <v>41</v>
      </c>
      <c r="G3362">
        <v>-218.91829999999999</v>
      </c>
      <c r="H3362" s="1">
        <v>-1.573308E-6</v>
      </c>
      <c r="I3362">
        <v>143.68090000000001</v>
      </c>
      <c r="J3362">
        <v>-205.6908</v>
      </c>
      <c r="K3362">
        <v>1.1094090000000001</v>
      </c>
      <c r="L3362">
        <v>144.1567</v>
      </c>
      <c r="M3362">
        <v>-0.95782959999999995</v>
      </c>
      <c r="N3362">
        <v>0</v>
      </c>
      <c r="O3362">
        <v>-0.28702090000000002</v>
      </c>
      <c r="P3362">
        <v>-0.97440959999999999</v>
      </c>
      <c r="Q3362">
        <v>0.20969209999999999</v>
      </c>
      <c r="R3362">
        <v>-8.0964640000000004E-2</v>
      </c>
      <c r="S3362">
        <v>-3.1244200000000002</v>
      </c>
      <c r="T3362">
        <v>-0.2585498</v>
      </c>
      <c r="U3362">
        <v>-0.12246700000000001</v>
      </c>
      <c r="V3362">
        <v>0.20276060000000001</v>
      </c>
      <c r="W3362">
        <v>0.22199550000000001</v>
      </c>
      <c r="X3362">
        <v>0.95373269999999999</v>
      </c>
      <c r="Y3362">
        <v>0.24751020000000001</v>
      </c>
      <c r="Z3362">
        <v>3.3635119999999998E-2</v>
      </c>
      <c r="AA3362">
        <v>0.96830130000000003</v>
      </c>
      <c r="AB3362">
        <v>17</v>
      </c>
      <c r="AC3362">
        <v>-13.2274999999999</v>
      </c>
      <c r="AD3362">
        <v>-1.109410573308</v>
      </c>
      <c r="AE3362">
        <v>-0.47579999999999201</v>
      </c>
      <c r="AF3362">
        <v>3.31782790939039</v>
      </c>
      <c r="AG3362">
        <v>-1.109410573308</v>
      </c>
      <c r="AH3362">
        <v>12.7180688607341</v>
      </c>
      <c r="AI3362">
        <v>94.824680847815998</v>
      </c>
      <c r="AJ3362">
        <v>75.378827311448205</v>
      </c>
      <c r="AK3362">
        <v>13.190452964279499</v>
      </c>
      <c r="AL3362">
        <v>77.173734120642393</v>
      </c>
      <c r="AM3362">
        <v>77.9977895975926</v>
      </c>
      <c r="AN3362">
        <v>0.99999996299094895</v>
      </c>
    </row>
    <row r="3363" spans="1:40" x14ac:dyDescent="0.25">
      <c r="A3363" t="str">
        <f>"20190312172728902"</f>
        <v>20190312172728902</v>
      </c>
      <c r="B3363" t="str">
        <f>"1552382848892635"</f>
        <v>1552382848892635</v>
      </c>
      <c r="C3363" t="s">
        <v>40</v>
      </c>
      <c r="D3363">
        <v>3.5092089999999998</v>
      </c>
      <c r="E3363">
        <v>0.51245600000000002</v>
      </c>
      <c r="F3363" t="s">
        <v>41</v>
      </c>
      <c r="G3363">
        <v>-219.36269999999999</v>
      </c>
      <c r="H3363" s="1">
        <v>-1.3282480000000001E-6</v>
      </c>
      <c r="I3363">
        <v>143.54949999999999</v>
      </c>
      <c r="J3363">
        <v>-205.84809999999999</v>
      </c>
      <c r="K3363">
        <v>1.1095410000000001</v>
      </c>
      <c r="L3363">
        <v>144.113</v>
      </c>
      <c r="M3363">
        <v>-0.95856710000000001</v>
      </c>
      <c r="N3363">
        <v>0</v>
      </c>
      <c r="O3363">
        <v>-0.28454990000000002</v>
      </c>
      <c r="P3363">
        <v>-0.97417819999999999</v>
      </c>
      <c r="Q3363">
        <v>0.20969969999999999</v>
      </c>
      <c r="R3363">
        <v>-8.3685460000000003E-2</v>
      </c>
      <c r="S3363">
        <v>-3.1217800000000002</v>
      </c>
      <c r="T3363">
        <v>-0.2533185</v>
      </c>
      <c r="U3363">
        <v>-0.13865659999999999</v>
      </c>
      <c r="V3363">
        <v>0.1975459</v>
      </c>
      <c r="W3363">
        <v>0.2220782</v>
      </c>
      <c r="X3363">
        <v>0.95480719999999997</v>
      </c>
      <c r="Y3363">
        <v>0.24006189999999999</v>
      </c>
      <c r="Z3363">
        <v>3.2482270000000001E-2</v>
      </c>
      <c r="AA3363">
        <v>0.97021400000000002</v>
      </c>
      <c r="AB3363">
        <v>17</v>
      </c>
      <c r="AC3363">
        <v>-13.5146</v>
      </c>
      <c r="AD3363">
        <v>-1.1095423282479999</v>
      </c>
      <c r="AE3363">
        <v>-0.563500000000004</v>
      </c>
      <c r="AF3363">
        <v>3.2836294770883598</v>
      </c>
      <c r="AG3363">
        <v>-1.1095423282479999</v>
      </c>
      <c r="AH3363">
        <v>13.0285142657479</v>
      </c>
      <c r="AI3363">
        <v>94.7207850626923</v>
      </c>
      <c r="AJ3363">
        <v>75.854121016569394</v>
      </c>
      <c r="AK3363">
        <v>13.481672399734901</v>
      </c>
      <c r="AL3363">
        <v>77.168874275768104</v>
      </c>
      <c r="AM3363">
        <v>78.310654834483302</v>
      </c>
      <c r="AN3363">
        <v>0.99999994934694303</v>
      </c>
    </row>
    <row r="3364" spans="1:40" x14ac:dyDescent="0.25">
      <c r="A3364" t="str">
        <f>"20190312172728925"</f>
        <v>20190312172728925</v>
      </c>
      <c r="B3364" t="str">
        <f>"1552382848922891"</f>
        <v>1552382848922891</v>
      </c>
      <c r="C3364" t="s">
        <v>40</v>
      </c>
      <c r="D3364">
        <v>3.535587</v>
      </c>
      <c r="E3364">
        <v>0.51104490000000002</v>
      </c>
      <c r="F3364" t="s">
        <v>41</v>
      </c>
      <c r="G3364">
        <v>-219.81139999999999</v>
      </c>
      <c r="H3364" s="1">
        <v>-1.080988E-6</v>
      </c>
      <c r="I3364">
        <v>143.41739999999999</v>
      </c>
      <c r="J3364">
        <v>-206.02510000000001</v>
      </c>
      <c r="K3364">
        <v>1.1096999999999999</v>
      </c>
      <c r="L3364">
        <v>144.06389999999999</v>
      </c>
      <c r="M3364">
        <v>-0.95931409999999995</v>
      </c>
      <c r="N3364">
        <v>0</v>
      </c>
      <c r="O3364">
        <v>-0.28202139999999998</v>
      </c>
      <c r="P3364">
        <v>-0.97395509999999996</v>
      </c>
      <c r="Q3364">
        <v>0.21010770000000001</v>
      </c>
      <c r="R3364">
        <v>-8.5243910000000006E-2</v>
      </c>
      <c r="S3364">
        <v>-3.119507</v>
      </c>
      <c r="T3364">
        <v>-0.24787960000000001</v>
      </c>
      <c r="U3364">
        <v>-0.15539549999999999</v>
      </c>
      <c r="V3364">
        <v>0.19337499999999999</v>
      </c>
      <c r="W3364">
        <v>0.2225636</v>
      </c>
      <c r="X3364">
        <v>0.9555477</v>
      </c>
      <c r="Y3364">
        <v>0.23237160000000001</v>
      </c>
      <c r="Z3364">
        <v>3.130368E-2</v>
      </c>
      <c r="AA3364">
        <v>0.97212319999999997</v>
      </c>
      <c r="AB3364">
        <v>17</v>
      </c>
      <c r="AC3364">
        <v>-13.786299999999899</v>
      </c>
      <c r="AD3364">
        <v>-1.1097010809879999</v>
      </c>
      <c r="AE3364">
        <v>-0.64650000000000296</v>
      </c>
      <c r="AF3364">
        <v>3.24713738430466</v>
      </c>
      <c r="AG3364">
        <v>-1.1097010809879999</v>
      </c>
      <c r="AH3364">
        <v>13.3227975639857</v>
      </c>
      <c r="AI3364">
        <v>94.626549386920203</v>
      </c>
      <c r="AJ3364">
        <v>76.302478580227003</v>
      </c>
      <c r="AK3364">
        <v>13.757625980256799</v>
      </c>
      <c r="AL3364">
        <v>77.140348721900907</v>
      </c>
      <c r="AM3364">
        <v>78.559512196667697</v>
      </c>
      <c r="AN3364">
        <v>0.99999992682262195</v>
      </c>
    </row>
    <row r="3365" spans="1:40" x14ac:dyDescent="0.25">
      <c r="A3365" t="str">
        <f>"20190312172728947"</f>
        <v>20190312172728947</v>
      </c>
      <c r="B3365" t="str">
        <f>"1552382848942411"</f>
        <v>1552382848942411</v>
      </c>
      <c r="C3365" t="s">
        <v>40</v>
      </c>
      <c r="D3365">
        <v>3.5538599999999998</v>
      </c>
      <c r="E3365">
        <v>0.51033470000000003</v>
      </c>
      <c r="F3365" t="s">
        <v>41</v>
      </c>
      <c r="G3365">
        <v>-220.4385</v>
      </c>
      <c r="H3365" s="1">
        <v>-4.7749440000000002E-6</v>
      </c>
      <c r="I3365">
        <v>143.27019999999999</v>
      </c>
      <c r="J3365">
        <v>-206.18450000000001</v>
      </c>
      <c r="K3365">
        <v>1.1098479999999999</v>
      </c>
      <c r="L3365">
        <v>144.0198</v>
      </c>
      <c r="M3365">
        <v>-0.95991000000000004</v>
      </c>
      <c r="N3365">
        <v>0</v>
      </c>
      <c r="O3365">
        <v>-0.279987599999999</v>
      </c>
      <c r="P3365">
        <v>-0.97374289999999997</v>
      </c>
      <c r="Q3365">
        <v>0.21011669999999999</v>
      </c>
      <c r="R3365">
        <v>-8.7612930000000006E-2</v>
      </c>
      <c r="S3365">
        <v>-3.1169739999999999</v>
      </c>
      <c r="T3365">
        <v>-0.2399811</v>
      </c>
      <c r="U3365">
        <v>-0.1716461</v>
      </c>
      <c r="V3365">
        <v>0.1889325</v>
      </c>
      <c r="W3365">
        <v>0.22264310000000001</v>
      </c>
      <c r="X3365">
        <v>0.95641759999999998</v>
      </c>
      <c r="Y3365">
        <v>0.22533539999999999</v>
      </c>
      <c r="Z3365">
        <v>2.9904690000000001E-2</v>
      </c>
      <c r="AA3365">
        <v>0.97382219999999997</v>
      </c>
      <c r="AB3365">
        <v>17</v>
      </c>
      <c r="AC3365">
        <v>-14.2539999999999</v>
      </c>
      <c r="AD3365">
        <v>-1.1098527749439999</v>
      </c>
      <c r="AE3365">
        <v>-0.74960000000001503</v>
      </c>
      <c r="AF3365">
        <v>3.2520274567122098</v>
      </c>
      <c r="AG3365">
        <v>-1.1098527749439999</v>
      </c>
      <c r="AH3365">
        <v>13.810190072618299</v>
      </c>
      <c r="AI3365">
        <v>94.472865265398099</v>
      </c>
      <c r="AJ3365">
        <v>76.749373607707</v>
      </c>
      <c r="AK3365">
        <v>14.2312615604909</v>
      </c>
      <c r="AL3365">
        <v>77.135677859808098</v>
      </c>
      <c r="AM3365">
        <v>78.825556076537495</v>
      </c>
      <c r="AN3365">
        <v>1.0000000325617999</v>
      </c>
    </row>
    <row r="3366" spans="1:40" x14ac:dyDescent="0.25">
      <c r="A3366" t="str">
        <f>"20190312172728970"</f>
        <v>20190312172728970</v>
      </c>
      <c r="B3366" t="str">
        <f>"1552382848962907"</f>
        <v>1552382848962907</v>
      </c>
      <c r="C3366" t="s">
        <v>40</v>
      </c>
      <c r="D3366">
        <v>3.5339839999999998</v>
      </c>
      <c r="E3366">
        <v>0.50973139999999995</v>
      </c>
      <c r="F3366" t="s">
        <v>41</v>
      </c>
      <c r="G3366">
        <v>-220.7997</v>
      </c>
      <c r="H3366" s="1">
        <v>-4.6304989999999997E-6</v>
      </c>
      <c r="I3366">
        <v>143.1489</v>
      </c>
      <c r="J3366">
        <v>-206.35740000000001</v>
      </c>
      <c r="K3366">
        <v>1.109985</v>
      </c>
      <c r="L3366">
        <v>143.97210000000001</v>
      </c>
      <c r="M3366">
        <v>-0.96047289999999996</v>
      </c>
      <c r="N3366">
        <v>0</v>
      </c>
      <c r="O3366">
        <v>-0.27805150000000001</v>
      </c>
      <c r="P3366">
        <v>-0.97346869999999996</v>
      </c>
      <c r="Q3366">
        <v>0.21025360000000001</v>
      </c>
      <c r="R3366">
        <v>-9.0292330000000004E-2</v>
      </c>
      <c r="S3366">
        <v>-3.1152340000000001</v>
      </c>
      <c r="T3366">
        <v>-0.23656479999999999</v>
      </c>
      <c r="U3366">
        <v>-0.18562319999999999</v>
      </c>
      <c r="V3366">
        <v>0.1842733</v>
      </c>
      <c r="W3366">
        <v>0.2228463</v>
      </c>
      <c r="X3366">
        <v>0.95727890000000004</v>
      </c>
      <c r="Y3366">
        <v>0.21904560000000001</v>
      </c>
      <c r="Z3366">
        <v>2.9109739999999999E-2</v>
      </c>
      <c r="AA3366">
        <v>0.97528029999999999</v>
      </c>
      <c r="AB3366">
        <v>17</v>
      </c>
      <c r="AC3366">
        <v>-14.4422999999999</v>
      </c>
      <c r="AD3366">
        <v>-1.109989630499</v>
      </c>
      <c r="AE3366">
        <v>-0.82320000000001403</v>
      </c>
      <c r="AF3366">
        <v>3.2064517509237498</v>
      </c>
      <c r="AG3366">
        <v>-1.109989630499</v>
      </c>
      <c r="AH3366">
        <v>14.0190511083012</v>
      </c>
      <c r="AI3366">
        <v>94.4135718646085</v>
      </c>
      <c r="AJ3366">
        <v>77.116852984817399</v>
      </c>
      <c r="AK3366">
        <v>14.423841505922701</v>
      </c>
      <c r="AL3366">
        <v>77.123734994302893</v>
      </c>
      <c r="AM3366">
        <v>79.104014551665102</v>
      </c>
      <c r="AN3366">
        <v>1.0000000074508899</v>
      </c>
    </row>
    <row r="3367" spans="1:40" x14ac:dyDescent="0.25">
      <c r="A3367" t="str">
        <f>"20190312172728995"</f>
        <v>20190312172728995</v>
      </c>
      <c r="B3367" t="str">
        <f>"1552382848982427"</f>
        <v>1552382848982427</v>
      </c>
      <c r="C3367" t="s">
        <v>40</v>
      </c>
      <c r="D3367">
        <v>3.5583779999999998</v>
      </c>
      <c r="E3367">
        <v>0.50924629999999904</v>
      </c>
      <c r="F3367" t="s">
        <v>41</v>
      </c>
      <c r="G3367">
        <v>-221.2079</v>
      </c>
      <c r="H3367" s="1">
        <v>-4.4692390000000004E-6</v>
      </c>
      <c r="I3367">
        <v>143.023</v>
      </c>
      <c r="J3367">
        <v>-206.53880000000001</v>
      </c>
      <c r="K3367">
        <v>1.1100950000000001</v>
      </c>
      <c r="L3367">
        <v>143.92189999999999</v>
      </c>
      <c r="M3367">
        <v>-0.96097880000000002</v>
      </c>
      <c r="N3367">
        <v>0</v>
      </c>
      <c r="O3367">
        <v>-0.27629860000000001</v>
      </c>
      <c r="P3367">
        <v>-0.97315280000000004</v>
      </c>
      <c r="Q3367">
        <v>0.2108698</v>
      </c>
      <c r="R3367">
        <v>-9.2236960000000007E-2</v>
      </c>
      <c r="S3367">
        <v>-3.1135860000000002</v>
      </c>
      <c r="T3367">
        <v>-0.23272190000000001</v>
      </c>
      <c r="U3367">
        <v>-0.1989746</v>
      </c>
      <c r="V3367">
        <v>0.18050330000000001</v>
      </c>
      <c r="W3367">
        <v>0.2235105</v>
      </c>
      <c r="X3367">
        <v>0.95784219999999998</v>
      </c>
      <c r="Y3367">
        <v>0.21313019999999999</v>
      </c>
      <c r="Z3367">
        <v>2.82998E-2</v>
      </c>
      <c r="AA3367">
        <v>0.97661390000000003</v>
      </c>
      <c r="AB3367">
        <v>17</v>
      </c>
      <c r="AC3367">
        <v>-14.669099999999901</v>
      </c>
      <c r="AD3367">
        <v>-1.1100994692389901</v>
      </c>
      <c r="AE3367">
        <v>-0.89889999999999703</v>
      </c>
      <c r="AF3367">
        <v>3.17141881403596</v>
      </c>
      <c r="AG3367">
        <v>-1.1100994692389901</v>
      </c>
      <c r="AH3367">
        <v>14.264953926919199</v>
      </c>
      <c r="AI3367">
        <v>94.344148558250893</v>
      </c>
      <c r="AJ3367">
        <v>77.465722668753401</v>
      </c>
      <c r="AK3367">
        <v>14.655344713201201</v>
      </c>
      <c r="AL3367">
        <v>77.084694770451605</v>
      </c>
      <c r="AM3367">
        <v>79.327890542121395</v>
      </c>
      <c r="AN3367">
        <v>1.0000000325109799</v>
      </c>
    </row>
    <row r="3368" spans="1:40" x14ac:dyDescent="0.25">
      <c r="A3368" t="str">
        <f>"20190312172729016"</f>
        <v>20190312172729016</v>
      </c>
      <c r="B3368" t="str">
        <f>"1552382849012682"</f>
        <v>1552382849012682</v>
      </c>
      <c r="C3368" t="s">
        <v>40</v>
      </c>
      <c r="D3368">
        <v>3.5447829999999998</v>
      </c>
      <c r="E3368">
        <v>0.50853959999999998</v>
      </c>
      <c r="F3368" t="s">
        <v>41</v>
      </c>
      <c r="G3368">
        <v>-221.6934</v>
      </c>
      <c r="H3368" s="1">
        <v>-4.2808450000000003E-6</v>
      </c>
      <c r="I3368">
        <v>142.89230000000001</v>
      </c>
      <c r="J3368">
        <v>-206.70249999999999</v>
      </c>
      <c r="K3368">
        <v>1.1101570000000001</v>
      </c>
      <c r="L3368">
        <v>143.8768</v>
      </c>
      <c r="M3368">
        <v>-0.96138199999999996</v>
      </c>
      <c r="N3368">
        <v>0</v>
      </c>
      <c r="O3368">
        <v>-0.27489269999999999</v>
      </c>
      <c r="P3368">
        <v>-0.97291749999999999</v>
      </c>
      <c r="Q3368">
        <v>0.21093519999999999</v>
      </c>
      <c r="R3368">
        <v>-9.4541710000000001E-2</v>
      </c>
      <c r="S3368">
        <v>-3.1121059999999998</v>
      </c>
      <c r="T3368">
        <v>-0.227967</v>
      </c>
      <c r="U3368">
        <v>-0.21144099999999999</v>
      </c>
      <c r="V3368">
        <v>0.17678060000000001</v>
      </c>
      <c r="W3368">
        <v>0.22360669999999999</v>
      </c>
      <c r="X3368">
        <v>0.95851379999999997</v>
      </c>
      <c r="Y3368">
        <v>0.20784459999999999</v>
      </c>
      <c r="Z3368">
        <v>2.7437619999999999E-2</v>
      </c>
      <c r="AA3368">
        <v>0.97777700000000001</v>
      </c>
      <c r="AB3368">
        <v>17</v>
      </c>
      <c r="AC3368">
        <v>-14.9909</v>
      </c>
      <c r="AD3368">
        <v>-1.1101612808450001</v>
      </c>
      <c r="AE3368">
        <v>-0.98449999999999704</v>
      </c>
      <c r="AF3368">
        <v>3.15745013294086</v>
      </c>
      <c r="AG3368">
        <v>-1.1101612808450001</v>
      </c>
      <c r="AH3368">
        <v>14.6041761080055</v>
      </c>
      <c r="AI3368">
        <v>94.249269691507095</v>
      </c>
      <c r="AJ3368">
        <v>77.800316734514496</v>
      </c>
      <c r="AK3368">
        <v>14.982787097370601</v>
      </c>
      <c r="AL3368">
        <v>77.079039638056898</v>
      </c>
      <c r="AM3368">
        <v>79.550253085473003</v>
      </c>
      <c r="AN3368">
        <v>1.0000000208058399</v>
      </c>
    </row>
    <row r="3369" spans="1:40" x14ac:dyDescent="0.25">
      <c r="A3369" t="str">
        <f>"20190312172729039"</f>
        <v>20190312172729039</v>
      </c>
      <c r="B3369" t="str">
        <f>"1552382849032202"</f>
        <v>1552382849032202</v>
      </c>
      <c r="C3369" t="s">
        <v>40</v>
      </c>
      <c r="D3369">
        <v>3.529989</v>
      </c>
      <c r="E3369">
        <v>0.508247</v>
      </c>
      <c r="F3369" t="s">
        <v>41</v>
      </c>
      <c r="G3369">
        <v>-222.10650000000001</v>
      </c>
      <c r="H3369" s="1">
        <v>-4.1167550000000004E-6</v>
      </c>
      <c r="I3369">
        <v>142.75960000000001</v>
      </c>
      <c r="J3369">
        <v>-206.87110000000001</v>
      </c>
      <c r="K3369">
        <v>1.1102030000000001</v>
      </c>
      <c r="L3369">
        <v>143.8304</v>
      </c>
      <c r="M3369">
        <v>-0.96175290000000002</v>
      </c>
      <c r="N3369">
        <v>0</v>
      </c>
      <c r="O3369">
        <v>-0.27359319999999998</v>
      </c>
      <c r="P3369">
        <v>-0.97275940000000005</v>
      </c>
      <c r="Q3369">
        <v>0.21027570000000001</v>
      </c>
      <c r="R3369">
        <v>-9.7589010000000004E-2</v>
      </c>
      <c r="S3369">
        <v>-3.1101839999999998</v>
      </c>
      <c r="T3369">
        <v>-0.2241505</v>
      </c>
      <c r="U3369">
        <v>-0.22555539999999999</v>
      </c>
      <c r="V3369">
        <v>0.17248279999999999</v>
      </c>
      <c r="W3369">
        <v>0.22297130000000001</v>
      </c>
      <c r="X3369">
        <v>0.95944430000000003</v>
      </c>
      <c r="Y3369">
        <v>0.20212189999999999</v>
      </c>
      <c r="Z3369">
        <v>2.6692899999999999E-2</v>
      </c>
      <c r="AA3369">
        <v>0.97899659999999999</v>
      </c>
      <c r="AB3369">
        <v>17</v>
      </c>
      <c r="AC3369">
        <v>-15.235399999999901</v>
      </c>
      <c r="AD3369">
        <v>-1.1102071167550001</v>
      </c>
      <c r="AE3369">
        <v>-1.07079999999999</v>
      </c>
      <c r="AF3369">
        <v>3.1222385713727898</v>
      </c>
      <c r="AG3369">
        <v>-1.1102071167550001</v>
      </c>
      <c r="AH3369">
        <v>14.8684206993274</v>
      </c>
      <c r="AI3369">
        <v>94.1794608169226</v>
      </c>
      <c r="AJ3369">
        <v>78.140699849944795</v>
      </c>
      <c r="AK3369">
        <v>15.233215931997099</v>
      </c>
      <c r="AL3369">
        <v>77.1163872980364</v>
      </c>
      <c r="AM3369">
        <v>79.808588886972203</v>
      </c>
      <c r="AN3369">
        <v>0.99999994086100796</v>
      </c>
    </row>
    <row r="3370" spans="1:40" x14ac:dyDescent="0.25">
      <c r="A3370" t="str">
        <f>"20190312172729061"</f>
        <v>20190312172729061</v>
      </c>
      <c r="B3370" t="str">
        <f>"1552382849052699"</f>
        <v>1552382849052699</v>
      </c>
      <c r="C3370" t="s">
        <v>40</v>
      </c>
      <c r="D3370">
        <v>3.5564749999999998</v>
      </c>
      <c r="E3370">
        <v>0.50798840000000001</v>
      </c>
      <c r="F3370" t="s">
        <v>41</v>
      </c>
      <c r="G3370">
        <v>-222.26439999999999</v>
      </c>
      <c r="H3370" s="1">
        <v>-4.0454920000000003E-6</v>
      </c>
      <c r="I3370">
        <v>142.66079999999999</v>
      </c>
      <c r="J3370">
        <v>-207.03460000000001</v>
      </c>
      <c r="K3370">
        <v>1.1102289999999999</v>
      </c>
      <c r="L3370">
        <v>143.78550000000001</v>
      </c>
      <c r="M3370">
        <v>-0.96207480000000001</v>
      </c>
      <c r="N3370">
        <v>0</v>
      </c>
      <c r="O3370">
        <v>-0.27245940000000002</v>
      </c>
      <c r="P3370">
        <v>-0.97278030000000004</v>
      </c>
      <c r="Q3370">
        <v>0.20883699999999999</v>
      </c>
      <c r="R3370">
        <v>-0.1004261</v>
      </c>
      <c r="S3370">
        <v>-3.1087950000000002</v>
      </c>
      <c r="T3370">
        <v>-0.22421540000000001</v>
      </c>
      <c r="U3370">
        <v>-0.2362061</v>
      </c>
      <c r="V3370">
        <v>0.1686067</v>
      </c>
      <c r="W3370">
        <v>0.2215529</v>
      </c>
      <c r="X3370">
        <v>0.96046140000000002</v>
      </c>
      <c r="Y3370">
        <v>0.1976115</v>
      </c>
      <c r="Z3370">
        <v>2.6465900000000001E-2</v>
      </c>
      <c r="AA3370">
        <v>0.97992310000000005</v>
      </c>
      <c r="AB3370">
        <v>17</v>
      </c>
      <c r="AC3370">
        <v>-15.2297999999999</v>
      </c>
      <c r="AD3370">
        <v>-1.110233045492</v>
      </c>
      <c r="AE3370">
        <v>-1.12470000000001</v>
      </c>
      <c r="AF3370">
        <v>3.0516006828325501</v>
      </c>
      <c r="AG3370">
        <v>-1.110233045492</v>
      </c>
      <c r="AH3370">
        <v>14.8813193087628</v>
      </c>
      <c r="AI3370">
        <v>94.1800306886839</v>
      </c>
      <c r="AJ3370">
        <v>78.411436727854493</v>
      </c>
      <c r="AK3370">
        <v>15.231498564229399</v>
      </c>
      <c r="AL3370">
        <v>77.199741383973404</v>
      </c>
      <c r="AM3370">
        <v>80.043314103465207</v>
      </c>
      <c r="AN3370">
        <v>1.0000000038366299</v>
      </c>
    </row>
    <row r="3371" spans="1:40" x14ac:dyDescent="0.25">
      <c r="A3371" t="str">
        <f>"20190312172729081"</f>
        <v>20190312172729081</v>
      </c>
      <c r="B3371" t="str">
        <f>"1552382849072219"</f>
        <v>1552382849072219</v>
      </c>
      <c r="C3371" t="s">
        <v>40</v>
      </c>
      <c r="D3371">
        <v>3.551126</v>
      </c>
      <c r="E3371">
        <v>0.50773820000000003</v>
      </c>
      <c r="F3371" t="s">
        <v>41</v>
      </c>
      <c r="G3371">
        <v>-222.2433</v>
      </c>
      <c r="H3371" s="1">
        <v>-4.0383069999999999E-6</v>
      </c>
      <c r="I3371">
        <v>142.57980000000001</v>
      </c>
      <c r="J3371">
        <v>-207.18790000000001</v>
      </c>
      <c r="K3371">
        <v>1.110258</v>
      </c>
      <c r="L3371">
        <v>143.74340000000001</v>
      </c>
      <c r="M3371">
        <v>-0.96234710000000001</v>
      </c>
      <c r="N3371">
        <v>0</v>
      </c>
      <c r="O3371">
        <v>-0.27149630000000002</v>
      </c>
      <c r="P3371">
        <v>-0.97277670000000005</v>
      </c>
      <c r="Q3371">
        <v>0.2074249</v>
      </c>
      <c r="R3371">
        <v>-0.1033485</v>
      </c>
      <c r="S3371">
        <v>-3.107224</v>
      </c>
      <c r="T3371">
        <v>-0.22682759999999999</v>
      </c>
      <c r="U3371">
        <v>-0.24630740000000001</v>
      </c>
      <c r="V3371">
        <v>0.16481229999999999</v>
      </c>
      <c r="W3371">
        <v>0.22016140000000001</v>
      </c>
      <c r="X3371">
        <v>0.9614395</v>
      </c>
      <c r="Y3371">
        <v>0.19340940000000001</v>
      </c>
      <c r="Z3371">
        <v>2.6560759999999999E-2</v>
      </c>
      <c r="AA3371">
        <v>0.98075849999999998</v>
      </c>
      <c r="AB3371">
        <v>17</v>
      </c>
      <c r="AC3371">
        <v>-15.055399999999899</v>
      </c>
      <c r="AD3371">
        <v>-1.1102620383070001</v>
      </c>
      <c r="AE3371">
        <v>-1.1636</v>
      </c>
      <c r="AF3371">
        <v>2.9520035279262</v>
      </c>
      <c r="AG3371">
        <v>-1.1102620383070001</v>
      </c>
      <c r="AH3371">
        <v>14.7261398329294</v>
      </c>
      <c r="AI3371">
        <v>94.227803974552302</v>
      </c>
      <c r="AJ3371">
        <v>78.664721656112306</v>
      </c>
      <c r="AK3371">
        <v>15.0600863543867</v>
      </c>
      <c r="AL3371">
        <v>77.281487346897805</v>
      </c>
      <c r="AM3371">
        <v>80.272763014201502</v>
      </c>
      <c r="AN3371">
        <v>1.0000000242207401</v>
      </c>
    </row>
    <row r="3372" spans="1:40" x14ac:dyDescent="0.25">
      <c r="A3372" t="str">
        <f>"20190312172729104"</f>
        <v>20190312172729104</v>
      </c>
      <c r="B3372" t="str">
        <f>"1552382849092714"</f>
        <v>1552382849092714</v>
      </c>
      <c r="C3372" t="s">
        <v>40</v>
      </c>
      <c r="D3372">
        <v>3.5526149999999999</v>
      </c>
      <c r="E3372">
        <v>0.50756389999999996</v>
      </c>
      <c r="F3372" t="s">
        <v>41</v>
      </c>
      <c r="G3372">
        <v>-222.20939999999999</v>
      </c>
      <c r="H3372" s="1">
        <v>-4.0348239999999997E-6</v>
      </c>
      <c r="I3372">
        <v>142.49520000000001</v>
      </c>
      <c r="J3372">
        <v>-207.35640000000001</v>
      </c>
      <c r="K3372">
        <v>1.11029</v>
      </c>
      <c r="L3372">
        <v>143.69720000000001</v>
      </c>
      <c r="M3372">
        <v>-0.96262000000000003</v>
      </c>
      <c r="N3372">
        <v>0</v>
      </c>
      <c r="O3372">
        <v>-0.27052730000000003</v>
      </c>
      <c r="P3372">
        <v>-0.97271129999999995</v>
      </c>
      <c r="Q3372">
        <v>0.20647080000000001</v>
      </c>
      <c r="R3372">
        <v>-0.10584300000000001</v>
      </c>
      <c r="S3372">
        <v>-3.1054840000000001</v>
      </c>
      <c r="T3372">
        <v>-0.2295315</v>
      </c>
      <c r="U3372">
        <v>-0.25804139999999998</v>
      </c>
      <c r="V3372">
        <v>0.16140209999999999</v>
      </c>
      <c r="W3372">
        <v>0.2192268</v>
      </c>
      <c r="X3372">
        <v>0.96223119999999995</v>
      </c>
      <c r="Y3372">
        <v>0.1886804</v>
      </c>
      <c r="Z3372">
        <v>2.6641709999999999E-2</v>
      </c>
      <c r="AA3372">
        <v>0.98167709999999997</v>
      </c>
      <c r="AB3372">
        <v>17</v>
      </c>
      <c r="AC3372">
        <v>-14.8529999999999</v>
      </c>
      <c r="AD3372">
        <v>-1.110294034824</v>
      </c>
      <c r="AE3372">
        <v>-1.20199999999999</v>
      </c>
      <c r="AF3372">
        <v>2.8455299643246201</v>
      </c>
      <c r="AG3372">
        <v>-1.110294034824</v>
      </c>
      <c r="AH3372">
        <v>14.5435293723445</v>
      </c>
      <c r="AI3372">
        <v>94.2847221604911</v>
      </c>
      <c r="AJ3372">
        <v>78.929581802995102</v>
      </c>
      <c r="AK3372">
        <v>14.8608223267046</v>
      </c>
      <c r="AL3372">
        <v>77.336376111765603</v>
      </c>
      <c r="AM3372">
        <v>80.4780011993426</v>
      </c>
      <c r="AN3372">
        <v>0.99999995498804395</v>
      </c>
    </row>
    <row r="3373" spans="1:40" x14ac:dyDescent="0.25">
      <c r="A3373" t="str">
        <f>"20190312172729125"</f>
        <v>20190312172729125</v>
      </c>
      <c r="B3373" t="str">
        <f>"1552382849121994"</f>
        <v>1552382849121994</v>
      </c>
      <c r="C3373" t="s">
        <v>40</v>
      </c>
      <c r="D3373">
        <v>3.5838800000000002</v>
      </c>
      <c r="E3373">
        <v>0.50743539999999998</v>
      </c>
      <c r="F3373" t="s">
        <v>41</v>
      </c>
      <c r="G3373">
        <v>-222.2792</v>
      </c>
      <c r="H3373" s="1">
        <v>-3.9946730000000004E-6</v>
      </c>
      <c r="I3373">
        <v>142.40280000000001</v>
      </c>
      <c r="J3373">
        <v>-207.5171</v>
      </c>
      <c r="K3373">
        <v>1.110322</v>
      </c>
      <c r="L3373">
        <v>143.6532</v>
      </c>
      <c r="M3373">
        <v>-0.96285770000000004</v>
      </c>
      <c r="N3373">
        <v>0</v>
      </c>
      <c r="O3373">
        <v>-0.26968049999999999</v>
      </c>
      <c r="P3373">
        <v>-0.97267709999999996</v>
      </c>
      <c r="Q3373">
        <v>0.2052129</v>
      </c>
      <c r="R3373">
        <v>-0.108567899999999</v>
      </c>
      <c r="S3373">
        <v>-3.103882</v>
      </c>
      <c r="T3373">
        <v>-0.23093759999999999</v>
      </c>
      <c r="U3373">
        <v>-0.26922610000000002</v>
      </c>
      <c r="V3373">
        <v>0.1579005</v>
      </c>
      <c r="W3373">
        <v>0.2179905</v>
      </c>
      <c r="X3373">
        <v>0.96309270000000002</v>
      </c>
      <c r="Y3373">
        <v>0.18425949999999999</v>
      </c>
      <c r="Z3373">
        <v>2.6587179999999998E-2</v>
      </c>
      <c r="AA3373">
        <v>0.982518</v>
      </c>
      <c r="AB3373">
        <v>17</v>
      </c>
      <c r="AC3373">
        <v>-14.7621</v>
      </c>
      <c r="AD3373">
        <v>-1.110325994673</v>
      </c>
      <c r="AE3373">
        <v>-1.25039999999998</v>
      </c>
      <c r="AF3373">
        <v>2.76182668930424</v>
      </c>
      <c r="AG3373">
        <v>-1.110325994673</v>
      </c>
      <c r="AH3373">
        <v>14.471018688444</v>
      </c>
      <c r="AI3373">
        <v>94.310075750289499</v>
      </c>
      <c r="AJ3373">
        <v>79.194910501443999</v>
      </c>
      <c r="AK3373">
        <v>14.7739937849417</v>
      </c>
      <c r="AL3373">
        <v>77.408967083270696</v>
      </c>
      <c r="AM3373">
        <v>80.689106757797006</v>
      </c>
      <c r="AN3373">
        <v>0.999999987391895</v>
      </c>
    </row>
    <row r="3374" spans="1:40" x14ac:dyDescent="0.25">
      <c r="A3374" t="str">
        <f>"20190312172729150"</f>
        <v>20190312172729150</v>
      </c>
      <c r="B3374" t="str">
        <f>"1552382849142490"</f>
        <v>1552382849142490</v>
      </c>
      <c r="C3374" t="s">
        <v>40</v>
      </c>
      <c r="D3374">
        <v>3.5315639999999999</v>
      </c>
      <c r="E3374">
        <v>0.507409</v>
      </c>
      <c r="F3374" t="s">
        <v>41</v>
      </c>
      <c r="G3374">
        <v>-222.31200000000001</v>
      </c>
      <c r="H3374" s="1">
        <v>-3.9684400000000002E-6</v>
      </c>
      <c r="I3374">
        <v>142.31780000000001</v>
      </c>
      <c r="J3374">
        <v>-207.68989999999999</v>
      </c>
      <c r="K3374">
        <v>1.110349</v>
      </c>
      <c r="L3374">
        <v>143.60589999999999</v>
      </c>
      <c r="M3374">
        <v>-0.96309080000000002</v>
      </c>
      <c r="N3374">
        <v>0</v>
      </c>
      <c r="O3374">
        <v>-0.26884669999999999</v>
      </c>
      <c r="P3374">
        <v>-0.97280230000000001</v>
      </c>
      <c r="Q3374">
        <v>0.2033211</v>
      </c>
      <c r="R3374">
        <v>-0.1109786</v>
      </c>
      <c r="S3374">
        <v>-3.102112</v>
      </c>
      <c r="T3374">
        <v>-0.2328066</v>
      </c>
      <c r="U3374">
        <v>-0.2799835</v>
      </c>
      <c r="V3374">
        <v>0.15475839999999999</v>
      </c>
      <c r="W3374">
        <v>0.2161189</v>
      </c>
      <c r="X3374">
        <v>0.96402410000000005</v>
      </c>
      <c r="Y3374">
        <v>0.1799714</v>
      </c>
      <c r="Z3374">
        <v>2.6589979999999999E-2</v>
      </c>
      <c r="AA3374">
        <v>0.98331239999999998</v>
      </c>
      <c r="AB3374">
        <v>17</v>
      </c>
      <c r="AC3374">
        <v>-14.6221</v>
      </c>
      <c r="AD3374">
        <v>-1.11035296844</v>
      </c>
      <c r="AE3374">
        <v>-1.28809999999998</v>
      </c>
      <c r="AF3374">
        <v>2.67547598914076</v>
      </c>
      <c r="AG3374">
        <v>-1.11035296844</v>
      </c>
      <c r="AH3374">
        <v>14.347894412315901</v>
      </c>
      <c r="AI3374">
        <v>94.350483213884999</v>
      </c>
      <c r="AJ3374">
        <v>79.437272649943495</v>
      </c>
      <c r="AK3374">
        <v>14.637388071304199</v>
      </c>
      <c r="AL3374">
        <v>77.518821062076299</v>
      </c>
      <c r="AM3374">
        <v>80.879907513938903</v>
      </c>
      <c r="AN3374">
        <v>1.00000000334429</v>
      </c>
    </row>
    <row r="3375" spans="1:40" x14ac:dyDescent="0.25">
      <c r="A3375" t="str">
        <f>"20190312172729172"</f>
        <v>20190312172729172</v>
      </c>
      <c r="B3375" t="str">
        <f>"1552382849162011"</f>
        <v>1552382849162011</v>
      </c>
      <c r="C3375" t="s">
        <v>40</v>
      </c>
      <c r="D3375">
        <v>3.5780569999999998</v>
      </c>
      <c r="E3375">
        <v>0.50743309999999997</v>
      </c>
      <c r="F3375" t="s">
        <v>41</v>
      </c>
      <c r="G3375">
        <v>-222.19649999999999</v>
      </c>
      <c r="H3375" s="1">
        <v>-3.9963369999999997E-6</v>
      </c>
      <c r="I3375">
        <v>142.2535</v>
      </c>
      <c r="J3375">
        <v>-207.8588</v>
      </c>
      <c r="K3375">
        <v>1.1103510000000001</v>
      </c>
      <c r="L3375">
        <v>143.55969999999999</v>
      </c>
      <c r="M3375">
        <v>-0.96329719999999996</v>
      </c>
      <c r="N3375">
        <v>0</v>
      </c>
      <c r="O3375">
        <v>-0.26810669999999998</v>
      </c>
      <c r="P3375">
        <v>-0.97303340000000005</v>
      </c>
      <c r="Q3375">
        <v>0.20144770000000001</v>
      </c>
      <c r="R3375">
        <v>-0.1123604</v>
      </c>
      <c r="S3375">
        <v>-3.1004939999999999</v>
      </c>
      <c r="T3375">
        <v>-0.23731569999999999</v>
      </c>
      <c r="U3375">
        <v>-0.28903200000000001</v>
      </c>
      <c r="V3375">
        <v>0.1527376</v>
      </c>
      <c r="W3375">
        <v>0.21425669999999999</v>
      </c>
      <c r="X3375">
        <v>0.9647618</v>
      </c>
      <c r="Y3375">
        <v>0.17628659999999999</v>
      </c>
      <c r="Z3375">
        <v>2.6916969999999998E-2</v>
      </c>
      <c r="AA3375">
        <v>0.98397080000000003</v>
      </c>
      <c r="AB3375">
        <v>17</v>
      </c>
      <c r="AC3375">
        <v>-14.3376999999999</v>
      </c>
      <c r="AD3375">
        <v>-1.1103549963370001</v>
      </c>
      <c r="AE3375">
        <v>-1.30619999999998</v>
      </c>
      <c r="AF3375">
        <v>2.5707131441508499</v>
      </c>
      <c r="AG3375">
        <v>-1.1103549963370001</v>
      </c>
      <c r="AH3375">
        <v>14.0791790920031</v>
      </c>
      <c r="AI3375">
        <v>94.436256624833305</v>
      </c>
      <c r="AJ3375">
        <v>79.652368938229003</v>
      </c>
      <c r="AK3375">
        <v>14.3549551790348</v>
      </c>
      <c r="AL3375">
        <v>77.628077051592101</v>
      </c>
      <c r="AM3375">
        <v>81.003803933184102</v>
      </c>
      <c r="AN3375">
        <v>1.00000001934394</v>
      </c>
    </row>
    <row r="3376" spans="1:40" x14ac:dyDescent="0.25">
      <c r="A3376" t="str">
        <f>"20190312172729195"</f>
        <v>20190312172729195</v>
      </c>
      <c r="B3376" t="str">
        <f>"1552382849182508"</f>
        <v>1552382849182508</v>
      </c>
      <c r="C3376" t="s">
        <v>40</v>
      </c>
      <c r="D3376">
        <v>3.5562930000000001</v>
      </c>
      <c r="E3376">
        <v>0.50749639999999996</v>
      </c>
      <c r="F3376" t="s">
        <v>41</v>
      </c>
      <c r="G3376">
        <v>-222.08580000000001</v>
      </c>
      <c r="H3376" s="1">
        <v>-4.0257710000000003E-6</v>
      </c>
      <c r="I3376">
        <v>142.2072</v>
      </c>
      <c r="J3376">
        <v>-208.02600000000001</v>
      </c>
      <c r="K3376">
        <v>1.110336</v>
      </c>
      <c r="L3376">
        <v>143.51410000000001</v>
      </c>
      <c r="M3376">
        <v>-0.96348699999999998</v>
      </c>
      <c r="N3376">
        <v>0</v>
      </c>
      <c r="O3376">
        <v>-0.267424</v>
      </c>
      <c r="P3376">
        <v>-0.97319299999999997</v>
      </c>
      <c r="Q3376">
        <v>0.199938</v>
      </c>
      <c r="R3376">
        <v>-0.11366759999999999</v>
      </c>
      <c r="S3376">
        <v>-3.0991970000000002</v>
      </c>
      <c r="T3376">
        <v>-0.2418778</v>
      </c>
      <c r="U3376">
        <v>-0.29463200000000001</v>
      </c>
      <c r="V3376">
        <v>0.15083589999999999</v>
      </c>
      <c r="W3376">
        <v>0.2127511</v>
      </c>
      <c r="X3376">
        <v>0.96539399999999997</v>
      </c>
      <c r="Y3376">
        <v>0.17374809999999999</v>
      </c>
      <c r="Z3376">
        <v>2.7290780000000001E-2</v>
      </c>
      <c r="AA3376">
        <v>0.98441190000000001</v>
      </c>
      <c r="AB3376">
        <v>17</v>
      </c>
      <c r="AC3376">
        <v>-14.059799999999999</v>
      </c>
      <c r="AD3376">
        <v>-1.1103400257710001</v>
      </c>
      <c r="AE3376">
        <v>-1.3069000000000099</v>
      </c>
      <c r="AF3376">
        <v>2.48559929365052</v>
      </c>
      <c r="AG3376">
        <v>-1.1103400257710001</v>
      </c>
      <c r="AH3376">
        <v>13.8117606388229</v>
      </c>
      <c r="AI3376">
        <v>94.523813070511196</v>
      </c>
      <c r="AJ3376">
        <v>79.7981061693919</v>
      </c>
      <c r="AK3376">
        <v>14.0774923464928</v>
      </c>
      <c r="AL3376">
        <v>77.716377824103404</v>
      </c>
      <c r="AM3376">
        <v>81.119741326982506</v>
      </c>
      <c r="AN3376">
        <v>1.000000037258</v>
      </c>
    </row>
    <row r="3377" spans="1:40" x14ac:dyDescent="0.25">
      <c r="A3377" t="str">
        <f>"20190312172729219"</f>
        <v>20190312172729219</v>
      </c>
      <c r="B3377" t="str">
        <f>"1552382849212763"</f>
        <v>1552382849212763</v>
      </c>
      <c r="C3377" t="s">
        <v>40</v>
      </c>
      <c r="D3377">
        <v>3.5588649999999999</v>
      </c>
      <c r="E3377">
        <v>0.50762309999999999</v>
      </c>
      <c r="F3377" t="s">
        <v>41</v>
      </c>
      <c r="G3377">
        <v>-222.054</v>
      </c>
      <c r="H3377" s="1">
        <v>-4.0271830000000003E-6</v>
      </c>
      <c r="I3377">
        <v>142.1541</v>
      </c>
      <c r="J3377">
        <v>-208.202</v>
      </c>
      <c r="K3377">
        <v>1.110312</v>
      </c>
      <c r="L3377">
        <v>143.46610000000001</v>
      </c>
      <c r="M3377">
        <v>-0.96367650000000005</v>
      </c>
      <c r="N3377">
        <v>0</v>
      </c>
      <c r="O3377">
        <v>-0.26674049999999999</v>
      </c>
      <c r="P3377">
        <v>-0.97330470000000002</v>
      </c>
      <c r="Q3377">
        <v>0.19872229999999999</v>
      </c>
      <c r="R3377">
        <v>-0.1148363</v>
      </c>
      <c r="S3377">
        <v>-3.0979459999999999</v>
      </c>
      <c r="T3377">
        <v>-0.24520729999999999</v>
      </c>
      <c r="U3377">
        <v>-0.30032350000000002</v>
      </c>
      <c r="V3377">
        <v>0.149061</v>
      </c>
      <c r="W3377">
        <v>0.211533</v>
      </c>
      <c r="X3377">
        <v>0.96593720000000005</v>
      </c>
      <c r="Y3377">
        <v>0.1711925</v>
      </c>
      <c r="Z3377">
        <v>2.75199E-2</v>
      </c>
      <c r="AA3377">
        <v>0.98485319999999998</v>
      </c>
      <c r="AB3377">
        <v>17</v>
      </c>
      <c r="AC3377">
        <v>-13.852</v>
      </c>
      <c r="AD3377">
        <v>-1.1103160271829999</v>
      </c>
      <c r="AE3377">
        <v>-1.31200000000001</v>
      </c>
      <c r="AF3377">
        <v>2.4153804379711601</v>
      </c>
      <c r="AG3377">
        <v>-1.1103160271829999</v>
      </c>
      <c r="AH3377">
        <v>13.6133366341603</v>
      </c>
      <c r="AI3377">
        <v>94.591378848418699</v>
      </c>
      <c r="AJ3377">
        <v>79.938857142240394</v>
      </c>
      <c r="AK3377">
        <v>13.870464976176001</v>
      </c>
      <c r="AL3377">
        <v>77.7877953097031</v>
      </c>
      <c r="AM3377">
        <v>81.227458685307298</v>
      </c>
      <c r="AN3377">
        <v>1.0000000330769101</v>
      </c>
    </row>
    <row r="3378" spans="1:40" x14ac:dyDescent="0.25">
      <c r="A3378" t="str">
        <f>"20190312172729260"</f>
        <v>20190312172729260</v>
      </c>
      <c r="B3378" t="str">
        <f>"1552382849252779"</f>
        <v>1552382849252779</v>
      </c>
      <c r="C3378" t="s">
        <v>40</v>
      </c>
      <c r="D3378">
        <v>3.777218</v>
      </c>
      <c r="E3378">
        <v>0.50778869999999998</v>
      </c>
      <c r="F3378" t="s">
        <v>41</v>
      </c>
      <c r="G3378">
        <v>-222.1146</v>
      </c>
      <c r="H3378" s="1">
        <v>-3.9972490000000003E-6</v>
      </c>
      <c r="I3378">
        <v>142.10159999999999</v>
      </c>
      <c r="J3378">
        <v>-208.5086</v>
      </c>
      <c r="K3378">
        <v>1.110257</v>
      </c>
      <c r="L3378">
        <v>143.38290000000001</v>
      </c>
      <c r="M3378">
        <v>-0.96399950000000001</v>
      </c>
      <c r="N3378">
        <v>0</v>
      </c>
      <c r="O3378">
        <v>-0.26557120000000001</v>
      </c>
      <c r="P3378">
        <v>-0.97343159999999895</v>
      </c>
      <c r="Q3378">
        <v>0.19657740000000001</v>
      </c>
      <c r="R3378">
        <v>-0.11742420000000001</v>
      </c>
      <c r="S3378">
        <v>-3.096924</v>
      </c>
      <c r="T3378">
        <v>-0.24715480000000001</v>
      </c>
      <c r="U3378">
        <v>-0.3037262</v>
      </c>
      <c r="V3378">
        <v>0.14544689999999999</v>
      </c>
      <c r="W3378">
        <v>0.20938119999999999</v>
      </c>
      <c r="X3378">
        <v>0.96695640000000005</v>
      </c>
      <c r="Y3378">
        <v>0.1688827</v>
      </c>
      <c r="Z3378">
        <v>2.756308E-2</v>
      </c>
      <c r="AA3378">
        <v>0.98525070000000003</v>
      </c>
      <c r="AB3378">
        <v>17</v>
      </c>
      <c r="AC3378">
        <v>-13.6059999999999</v>
      </c>
      <c r="AD3378">
        <v>-1.1102609972490001</v>
      </c>
      <c r="AE3378">
        <v>-1.2813000000000101</v>
      </c>
      <c r="AF3378">
        <v>2.3628046693370202</v>
      </c>
      <c r="AG3378">
        <v>-1.1102609972490001</v>
      </c>
      <c r="AH3378">
        <v>13.369403705764199</v>
      </c>
      <c r="AI3378">
        <v>94.675108292023594</v>
      </c>
      <c r="AJ3378">
        <v>79.977482052160596</v>
      </c>
      <c r="AK3378">
        <v>13.621911790756601</v>
      </c>
      <c r="AL3378">
        <v>77.913908340035107</v>
      </c>
      <c r="AM3378">
        <v>81.445856528970893</v>
      </c>
      <c r="AN3378">
        <v>0.99999998356700404</v>
      </c>
    </row>
    <row r="3379" spans="1:40" x14ac:dyDescent="0.25">
      <c r="A3379" t="str">
        <f>"20190312172729395"</f>
        <v>20190312172729395</v>
      </c>
      <c r="B3379" t="str">
        <f>"1552382849392347"</f>
        <v>1552382849392347</v>
      </c>
      <c r="C3379" t="s">
        <v>40</v>
      </c>
      <c r="D3379">
        <v>3.7262580000000001</v>
      </c>
      <c r="E3379">
        <v>0.50071309999999902</v>
      </c>
      <c r="F3379" t="s">
        <v>41</v>
      </c>
      <c r="G3379">
        <v>-222.18459999999999</v>
      </c>
      <c r="H3379" s="1">
        <v>-3.955112E-6</v>
      </c>
      <c r="I3379">
        <v>141.9982</v>
      </c>
      <c r="J3379">
        <v>-209.49379999999999</v>
      </c>
      <c r="K3379">
        <v>1.1100779999999999</v>
      </c>
      <c r="L3379">
        <v>143.11850000000001</v>
      </c>
      <c r="M3379">
        <v>-0.96512770000000003</v>
      </c>
      <c r="N3379">
        <v>0</v>
      </c>
      <c r="O3379">
        <v>-0.26144250000000002</v>
      </c>
      <c r="P3379">
        <v>-0.97480469999999997</v>
      </c>
      <c r="Q3379">
        <v>0.18716630000000001</v>
      </c>
      <c r="R3379">
        <v>-0.1213466</v>
      </c>
      <c r="S3379">
        <v>-3.0948329999999999</v>
      </c>
      <c r="T3379">
        <v>-0.25124819999999998</v>
      </c>
      <c r="U3379">
        <v>-0.31332399999999999</v>
      </c>
      <c r="V3379">
        <v>0.13792389999999999</v>
      </c>
      <c r="W3379">
        <v>0.19995869999999999</v>
      </c>
      <c r="X3379">
        <v>0.97004820000000003</v>
      </c>
      <c r="Y3379">
        <v>0.16156010000000001</v>
      </c>
      <c r="Z3379">
        <v>2.7412019999999999E-2</v>
      </c>
      <c r="AA3379">
        <v>0.98648210000000003</v>
      </c>
      <c r="AB3379">
        <v>17</v>
      </c>
      <c r="AC3379">
        <v>-12.6907999999999</v>
      </c>
      <c r="AD3379">
        <v>-1.110081955112</v>
      </c>
      <c r="AE3379">
        <v>-1.1203000000000101</v>
      </c>
      <c r="AF3379">
        <v>2.22002454601816</v>
      </c>
      <c r="AG3379">
        <v>-1.110081955112</v>
      </c>
      <c r="AH3379">
        <v>12.447738315213901</v>
      </c>
      <c r="AI3379">
        <v>95.017365023340105</v>
      </c>
      <c r="AJ3379">
        <v>79.887755650279203</v>
      </c>
      <c r="AK3379">
        <v>12.6927924467405</v>
      </c>
      <c r="AL3379">
        <v>78.4654560338453</v>
      </c>
      <c r="AM3379">
        <v>81.907781060853694</v>
      </c>
      <c r="AN3379">
        <v>0.99999999711007004</v>
      </c>
    </row>
    <row r="3380" spans="1:40" x14ac:dyDescent="0.25">
      <c r="A3380" t="str">
        <f>"20190312172729418"</f>
        <v>20190312172729418</v>
      </c>
      <c r="B3380" t="str">
        <f>"1552382849412843"</f>
        <v>1552382849412843</v>
      </c>
      <c r="C3380" t="s">
        <v>40</v>
      </c>
      <c r="D3380">
        <v>3.515838</v>
      </c>
      <c r="E3380">
        <v>0.50102789999999997</v>
      </c>
      <c r="F3380" t="s">
        <v>44</v>
      </c>
      <c r="G3380">
        <v>-210.28649999999999</v>
      </c>
      <c r="H3380">
        <v>0.97202060000000001</v>
      </c>
      <c r="I3380">
        <v>143.01740000000001</v>
      </c>
      <c r="J3380">
        <v>-209.66229999999999</v>
      </c>
      <c r="K3380">
        <v>1.1100589999999999</v>
      </c>
      <c r="L3380">
        <v>143.07380000000001</v>
      </c>
      <c r="M3380">
        <v>-0.96534089999999995</v>
      </c>
      <c r="N3380">
        <v>0</v>
      </c>
      <c r="O3380">
        <v>-0.26065359999999999</v>
      </c>
      <c r="P3380">
        <v>-0.97463889999999997</v>
      </c>
      <c r="Q3380">
        <v>0.18815660000000001</v>
      </c>
      <c r="R3380">
        <v>-0.1211455</v>
      </c>
      <c r="S3380">
        <v>-3.132584</v>
      </c>
      <c r="T3380">
        <v>-0.54557929999999999</v>
      </c>
      <c r="U3380">
        <v>-0.39952090000000001</v>
      </c>
      <c r="V3380">
        <v>0.1372932</v>
      </c>
      <c r="W3380">
        <v>0.2009378</v>
      </c>
      <c r="X3380">
        <v>0.9699354</v>
      </c>
      <c r="Y3380">
        <v>0.13076109999999999</v>
      </c>
      <c r="Z3380">
        <v>5.556005E-2</v>
      </c>
      <c r="AA3380">
        <v>0.98985590000000001</v>
      </c>
      <c r="AB3380">
        <v>17</v>
      </c>
      <c r="AC3380">
        <v>-0.62420000000000098</v>
      </c>
      <c r="AD3380">
        <v>-0.13803839999999901</v>
      </c>
      <c r="AE3380">
        <v>-5.6399999999996397E-2</v>
      </c>
      <c r="AF3380">
        <v>0.10325550632625401</v>
      </c>
      <c r="AG3380">
        <v>-0.13803839999999901</v>
      </c>
      <c r="AH3380">
        <v>0.58876105264004897</v>
      </c>
      <c r="AI3380">
        <v>103.003428002337</v>
      </c>
      <c r="AJ3380">
        <v>80.052763273098194</v>
      </c>
      <c r="AK3380">
        <v>0.61347850538309001</v>
      </c>
      <c r="AL3380">
        <v>78.408196227847</v>
      </c>
      <c r="AM3380">
        <v>81.943373871212998</v>
      </c>
      <c r="AN3380">
        <v>1.0000000512041101</v>
      </c>
    </row>
    <row r="3381" spans="1:40" x14ac:dyDescent="0.25">
      <c r="A3381" t="str">
        <f>"20190312172729441"</f>
        <v>20190312172729441</v>
      </c>
      <c r="B3381" t="str">
        <f>"1552382849432363"</f>
        <v>1552382849432363</v>
      </c>
      <c r="C3381" t="s">
        <v>40</v>
      </c>
      <c r="D3381">
        <v>3.6093310000000001</v>
      </c>
      <c r="E3381">
        <v>0.50268259999999998</v>
      </c>
      <c r="F3381" t="s">
        <v>44</v>
      </c>
      <c r="G3381">
        <v>-210.44030000000001</v>
      </c>
      <c r="H3381">
        <v>0.99085570000000001</v>
      </c>
      <c r="I3381">
        <v>142.97559999999999</v>
      </c>
      <c r="J3381">
        <v>-209.82390000000001</v>
      </c>
      <c r="K3381">
        <v>1.110034</v>
      </c>
      <c r="L3381">
        <v>143.03120000000001</v>
      </c>
      <c r="M3381">
        <v>-0.96555780000000002</v>
      </c>
      <c r="N3381">
        <v>0</v>
      </c>
      <c r="O3381">
        <v>-0.2598492</v>
      </c>
      <c r="P3381">
        <v>-0.97447700000000004</v>
      </c>
      <c r="Q3381">
        <v>0.18964239999999999</v>
      </c>
      <c r="R3381">
        <v>-0.1201276</v>
      </c>
      <c r="S3381">
        <v>-3.121353</v>
      </c>
      <c r="T3381">
        <v>-0.47826479999999999</v>
      </c>
      <c r="U3381">
        <v>-0.39437870000000003</v>
      </c>
      <c r="V3381">
        <v>0.13744149999999999</v>
      </c>
      <c r="W3381">
        <v>0.20240659999999999</v>
      </c>
      <c r="X3381">
        <v>0.9696089</v>
      </c>
      <c r="Y3381">
        <v>0.13235999999999901</v>
      </c>
      <c r="Z3381">
        <v>4.8970300000000001E-2</v>
      </c>
      <c r="AA3381">
        <v>0.98999130000000002</v>
      </c>
      <c r="AB3381">
        <v>17</v>
      </c>
      <c r="AC3381">
        <v>-0.61639999999999795</v>
      </c>
      <c r="AD3381">
        <v>-0.1191783</v>
      </c>
      <c r="AE3381">
        <v>-5.5600000000026698E-2</v>
      </c>
      <c r="AF3381">
        <v>0.102687684938472</v>
      </c>
      <c r="AG3381">
        <v>-0.1191783</v>
      </c>
      <c r="AH3381">
        <v>0.587872438138487</v>
      </c>
      <c r="AI3381">
        <v>101.293644525064</v>
      </c>
      <c r="AJ3381">
        <v>80.091722396160904</v>
      </c>
      <c r="AK3381">
        <v>0.60855750044823398</v>
      </c>
      <c r="AL3381">
        <v>78.322274252403005</v>
      </c>
      <c r="AM3381">
        <v>81.932105710169196</v>
      </c>
      <c r="AN3381">
        <v>1.00000000830251</v>
      </c>
    </row>
    <row r="3382" spans="1:40" x14ac:dyDescent="0.25">
      <c r="A3382" t="str">
        <f>"20190312172729461"</f>
        <v>20190312172729461</v>
      </c>
      <c r="B3382" t="str">
        <f>"1552382849452859"</f>
        <v>1552382849452859</v>
      </c>
      <c r="C3382" t="s">
        <v>40</v>
      </c>
      <c r="D3382">
        <v>3.9189470000000002</v>
      </c>
      <c r="E3382">
        <v>0.50196430000000003</v>
      </c>
      <c r="F3382" t="s">
        <v>41</v>
      </c>
      <c r="G3382">
        <v>-226.87389999999999</v>
      </c>
      <c r="H3382" s="1">
        <v>-1.689237E-6</v>
      </c>
      <c r="I3382">
        <v>140.99119999999999</v>
      </c>
      <c r="J3382">
        <v>-209.97630000000001</v>
      </c>
      <c r="K3382">
        <v>1.1099969999999999</v>
      </c>
      <c r="L3382">
        <v>142.99119999999999</v>
      </c>
      <c r="M3382">
        <v>-0.96577959999999996</v>
      </c>
      <c r="N3382">
        <v>0</v>
      </c>
      <c r="O3382">
        <v>-0.25902429999999999</v>
      </c>
      <c r="P3382">
        <v>-0.97435099999999997</v>
      </c>
      <c r="Q3382">
        <v>0.19087799999999999</v>
      </c>
      <c r="R3382">
        <v>-0.1191889</v>
      </c>
      <c r="S3382">
        <v>-3.0721889999999998</v>
      </c>
      <c r="T3382">
        <v>-0.2000142</v>
      </c>
      <c r="U3382">
        <v>-0.36756899999999998</v>
      </c>
      <c r="V3382">
        <v>0.1375082</v>
      </c>
      <c r="W3382">
        <v>0.20362250000000001</v>
      </c>
      <c r="X3382">
        <v>0.96934489999999995</v>
      </c>
      <c r="Y3382">
        <v>0.14165050000000001</v>
      </c>
      <c r="Z3382">
        <v>2.1167450000000001E-2</v>
      </c>
      <c r="AA3382">
        <v>0.98969039999999997</v>
      </c>
      <c r="AB3382">
        <v>17</v>
      </c>
      <c r="AC3382">
        <v>-16.897599999999901</v>
      </c>
      <c r="AD3382">
        <v>-1.109998689237</v>
      </c>
      <c r="AE3382">
        <v>-2</v>
      </c>
      <c r="AF3382">
        <v>2.43518226832518</v>
      </c>
      <c r="AG3382">
        <v>-1.109998689237</v>
      </c>
      <c r="AH3382">
        <v>16.767534695875899</v>
      </c>
      <c r="AI3382">
        <v>93.748204053475803</v>
      </c>
      <c r="AJ3382">
        <v>81.736595408170402</v>
      </c>
      <c r="AK3382">
        <v>16.979765297184599</v>
      </c>
      <c r="AL3382">
        <v>78.251127584073799</v>
      </c>
      <c r="AM3382">
        <v>81.926072618023099</v>
      </c>
      <c r="AN3382">
        <v>1.0000000813647401</v>
      </c>
    </row>
    <row r="3383" spans="1:40" x14ac:dyDescent="0.25">
      <c r="A3383" t="str">
        <f>"20190312172729484"</f>
        <v>20190312172729484</v>
      </c>
      <c r="B3383" t="str">
        <f>"1552382849472379"</f>
        <v>1552382849472379</v>
      </c>
      <c r="C3383" t="s">
        <v>40</v>
      </c>
      <c r="D3383">
        <v>3.5404969999999998</v>
      </c>
      <c r="E3383">
        <v>0.50223050000000002</v>
      </c>
      <c r="F3383" t="s">
        <v>41</v>
      </c>
      <c r="G3383">
        <v>-229.22980000000001</v>
      </c>
      <c r="H3383" s="1">
        <v>-5.9350739999999996E-7</v>
      </c>
      <c r="I3383">
        <v>140.67150000000001</v>
      </c>
      <c r="J3383">
        <v>-210.1362</v>
      </c>
      <c r="K3383">
        <v>1.109934</v>
      </c>
      <c r="L3383">
        <v>142.9495</v>
      </c>
      <c r="M3383">
        <v>-0.96603629999999996</v>
      </c>
      <c r="N3383">
        <v>0</v>
      </c>
      <c r="O3383">
        <v>-0.25806570000000001</v>
      </c>
      <c r="P3383">
        <v>-0.97442810000000002</v>
      </c>
      <c r="Q3383">
        <v>0.19126950000000001</v>
      </c>
      <c r="R3383">
        <v>-0.11792519999999999</v>
      </c>
      <c r="S3383">
        <v>-3.0684200000000001</v>
      </c>
      <c r="T3383">
        <v>-0.176899799999999</v>
      </c>
      <c r="U3383">
        <v>-0.36967470000000002</v>
      </c>
      <c r="V3383">
        <v>0.13781650000000001</v>
      </c>
      <c r="W3383">
        <v>0.20399039999999999</v>
      </c>
      <c r="X3383">
        <v>0.96922370000000002</v>
      </c>
      <c r="Y3383">
        <v>0.1400362</v>
      </c>
      <c r="Z3383">
        <v>1.8647710000000001E-2</v>
      </c>
      <c r="AA3383">
        <v>0.98997080000000004</v>
      </c>
      <c r="AB3383">
        <v>17</v>
      </c>
      <c r="AC3383">
        <v>-19.093599999999999</v>
      </c>
      <c r="AD3383">
        <v>-1.1099345935074001</v>
      </c>
      <c r="AE3383">
        <v>-2.2779999999999898</v>
      </c>
      <c r="AF3383">
        <v>2.7179567637906801</v>
      </c>
      <c r="AG3383">
        <v>-1.1099345935074001</v>
      </c>
      <c r="AH3383">
        <v>18.971449756061499</v>
      </c>
      <c r="AI3383">
        <v>93.314536623058004</v>
      </c>
      <c r="AJ3383">
        <v>81.846962276318493</v>
      </c>
      <c r="AK3383">
        <v>19.197269327132599</v>
      </c>
      <c r="AL3383">
        <v>78.229595894713199</v>
      </c>
      <c r="AM3383">
        <v>81.907211504246803</v>
      </c>
      <c r="AN3383">
        <v>1.0000000258030399</v>
      </c>
    </row>
    <row r="3384" spans="1:40" x14ac:dyDescent="0.25">
      <c r="A3384" t="str">
        <f>"20190312172729505"</f>
        <v>20190312172729505</v>
      </c>
      <c r="B3384" t="str">
        <f>"1552382849502635"</f>
        <v>1552382849502635</v>
      </c>
      <c r="C3384" t="s">
        <v>40</v>
      </c>
      <c r="D3384">
        <v>3.5138199999999902</v>
      </c>
      <c r="E3384">
        <v>0.5025541</v>
      </c>
      <c r="F3384" t="s">
        <v>41</v>
      </c>
      <c r="G3384">
        <v>-231.1542</v>
      </c>
      <c r="H3384" s="1">
        <v>-4.0014829999999999E-6</v>
      </c>
      <c r="I3384">
        <v>140.45949999999999</v>
      </c>
      <c r="J3384">
        <v>-210.29400000000001</v>
      </c>
      <c r="K3384">
        <v>1.1098570000000001</v>
      </c>
      <c r="L3384">
        <v>142.90860000000001</v>
      </c>
      <c r="M3384">
        <v>-0.96631929999999999</v>
      </c>
      <c r="N3384">
        <v>0</v>
      </c>
      <c r="O3384">
        <v>-0.25700299999999998</v>
      </c>
      <c r="P3384">
        <v>-0.97448159999999895</v>
      </c>
      <c r="Q3384">
        <v>0.1913041</v>
      </c>
      <c r="R3384">
        <v>-0.1174246</v>
      </c>
      <c r="S3384">
        <v>-3.0665740000000001</v>
      </c>
      <c r="T3384">
        <v>-0.16194259999999999</v>
      </c>
      <c r="U3384">
        <v>-0.36328129999999997</v>
      </c>
      <c r="V3384">
        <v>0.13728470000000001</v>
      </c>
      <c r="W3384">
        <v>0.20400009999999999</v>
      </c>
      <c r="X3384">
        <v>0.96929710000000002</v>
      </c>
      <c r="Y3384">
        <v>0.1410141</v>
      </c>
      <c r="Z3384">
        <v>1.7058159999999999E-2</v>
      </c>
      <c r="AA3384">
        <v>0.98986059999999998</v>
      </c>
      <c r="AB3384">
        <v>17</v>
      </c>
      <c r="AC3384">
        <v>-20.860199999999899</v>
      </c>
      <c r="AD3384">
        <v>-1.1098610014829999</v>
      </c>
      <c r="AE3384">
        <v>-2.4491000000000098</v>
      </c>
      <c r="AF3384">
        <v>2.9864467216834401</v>
      </c>
      <c r="AG3384">
        <v>-1.1098610014829999</v>
      </c>
      <c r="AH3384">
        <v>20.730988111576998</v>
      </c>
      <c r="AI3384">
        <v>93.033227726489599</v>
      </c>
      <c r="AJ3384">
        <v>81.802529684111803</v>
      </c>
      <c r="AK3384">
        <v>20.974377786871599</v>
      </c>
      <c r="AL3384">
        <v>78.229027866188503</v>
      </c>
      <c r="AM3384">
        <v>81.9386307197625</v>
      </c>
      <c r="AN3384">
        <v>0.99999999886125501</v>
      </c>
    </row>
    <row r="3385" spans="1:40" x14ac:dyDescent="0.25">
      <c r="A3385" t="str">
        <f>"20190312172729528"</f>
        <v>20190312172729528</v>
      </c>
      <c r="B3385" t="str">
        <f>"1552382849522155"</f>
        <v>1552382849522155</v>
      </c>
      <c r="C3385" t="s">
        <v>40</v>
      </c>
      <c r="D3385">
        <v>3.620933</v>
      </c>
      <c r="E3385">
        <v>0.50224970000000002</v>
      </c>
      <c r="F3385" t="s">
        <v>41</v>
      </c>
      <c r="G3385">
        <v>-232.9033</v>
      </c>
      <c r="H3385" s="1">
        <v>-3.198433E-6</v>
      </c>
      <c r="I3385">
        <v>140.26140000000001</v>
      </c>
      <c r="J3385">
        <v>-210.4571</v>
      </c>
      <c r="K3385">
        <v>1.1097520000000001</v>
      </c>
      <c r="L3385">
        <v>142.86680000000001</v>
      </c>
      <c r="M3385">
        <v>-0.96664890000000003</v>
      </c>
      <c r="N3385">
        <v>0</v>
      </c>
      <c r="O3385">
        <v>-0.25576100000000002</v>
      </c>
      <c r="P3385">
        <v>-0.97460930000000001</v>
      </c>
      <c r="Q3385">
        <v>0.1909739</v>
      </c>
      <c r="R3385">
        <v>-0.11690109999999999</v>
      </c>
      <c r="S3385">
        <v>-3.0648650000000002</v>
      </c>
      <c r="T3385">
        <v>-0.15045</v>
      </c>
      <c r="U3385">
        <v>-0.35884090000000002</v>
      </c>
      <c r="V3385">
        <v>0.13662179999999999</v>
      </c>
      <c r="W3385">
        <v>0.20364160000000001</v>
      </c>
      <c r="X3385">
        <v>0.9694661</v>
      </c>
      <c r="Y3385">
        <v>0.14116589999999901</v>
      </c>
      <c r="Z3385">
        <v>1.5804749999999999E-2</v>
      </c>
      <c r="AA3385">
        <v>0.98985979999999996</v>
      </c>
      <c r="AB3385">
        <v>17</v>
      </c>
      <c r="AC3385">
        <v>-22.446200000000001</v>
      </c>
      <c r="AD3385">
        <v>-1.1097551984330001</v>
      </c>
      <c r="AE3385">
        <v>-2.6053999999999999</v>
      </c>
      <c r="AF3385">
        <v>3.2148855319768002</v>
      </c>
      <c r="AG3385">
        <v>-1.1097551984330001</v>
      </c>
      <c r="AH3385">
        <v>22.312110701645899</v>
      </c>
      <c r="AI3385">
        <v>92.818361132489898</v>
      </c>
      <c r="AJ3385">
        <v>81.800852155982696</v>
      </c>
      <c r="AK3385">
        <v>22.569832288846701</v>
      </c>
      <c r="AL3385">
        <v>78.250008466864699</v>
      </c>
      <c r="AM3385">
        <v>81.978428606603501</v>
      </c>
      <c r="AN3385">
        <v>0.99999996826750404</v>
      </c>
    </row>
    <row r="3386" spans="1:40" x14ac:dyDescent="0.25">
      <c r="A3386" t="str">
        <f>"20190312172729550"</f>
        <v>20190312172729550</v>
      </c>
      <c r="B3386" t="str">
        <f>"1552382849542651"</f>
        <v>1552382849542651</v>
      </c>
      <c r="C3386" t="s">
        <v>40</v>
      </c>
      <c r="D3386">
        <v>3.5562640000000001</v>
      </c>
      <c r="E3386">
        <v>0.50191989999999997</v>
      </c>
      <c r="F3386" t="s">
        <v>41</v>
      </c>
      <c r="G3386">
        <v>-233.3109</v>
      </c>
      <c r="H3386" s="1">
        <v>-3.0032849999999999E-6</v>
      </c>
      <c r="I3386">
        <v>140.18520000000001</v>
      </c>
      <c r="J3386">
        <v>-210.6156</v>
      </c>
      <c r="K3386">
        <v>1.1096440000000001</v>
      </c>
      <c r="L3386">
        <v>142.82650000000001</v>
      </c>
      <c r="M3386">
        <v>-0.96701199999999998</v>
      </c>
      <c r="N3386">
        <v>0</v>
      </c>
      <c r="O3386">
        <v>-0.25438460000000002</v>
      </c>
      <c r="P3386">
        <v>-0.97485129999999998</v>
      </c>
      <c r="Q3386">
        <v>0.19021350000000001</v>
      </c>
      <c r="R3386">
        <v>-0.11612160000000001</v>
      </c>
      <c r="S3386">
        <v>-3.064209</v>
      </c>
      <c r="T3386">
        <v>-0.14879429999999999</v>
      </c>
      <c r="U3386">
        <v>-0.3595276</v>
      </c>
      <c r="V3386">
        <v>0.136101</v>
      </c>
      <c r="W3386">
        <v>0.20285400000000001</v>
      </c>
      <c r="X3386">
        <v>0.96970449999999997</v>
      </c>
      <c r="Y3386">
        <v>0.1395265</v>
      </c>
      <c r="Z3386">
        <v>1.553004E-2</v>
      </c>
      <c r="AA3386">
        <v>0.99009659999999999</v>
      </c>
      <c r="AB3386">
        <v>17</v>
      </c>
      <c r="AC3386">
        <v>-22.6953</v>
      </c>
      <c r="AD3386">
        <v>-1.1096470032850001</v>
      </c>
      <c r="AE3386">
        <v>-2.6413000000000002</v>
      </c>
      <c r="AF3386">
        <v>3.2118742319431601</v>
      </c>
      <c r="AG3386">
        <v>-1.1096470032850001</v>
      </c>
      <c r="AH3386">
        <v>22.5672998827716</v>
      </c>
      <c r="AI3386">
        <v>92.786958829939493</v>
      </c>
      <c r="AJ3386">
        <v>81.899821235340596</v>
      </c>
      <c r="AK3386">
        <v>22.821710640367499</v>
      </c>
      <c r="AL3386">
        <v>78.296097250904296</v>
      </c>
      <c r="AM3386">
        <v>82.010550228853603</v>
      </c>
      <c r="AN3386">
        <v>1.0000000224186201</v>
      </c>
    </row>
    <row r="3387" spans="1:40" x14ac:dyDescent="0.25">
      <c r="A3387" t="str">
        <f>"20190312172729572"</f>
        <v>20190312172729572</v>
      </c>
      <c r="B3387" t="str">
        <f>"1552382849562171"</f>
        <v>1552382849562171</v>
      </c>
      <c r="C3387" t="s">
        <v>40</v>
      </c>
      <c r="D3387">
        <v>3.5466510000000002</v>
      </c>
      <c r="E3387">
        <v>0.50168290000000004</v>
      </c>
      <c r="F3387" t="s">
        <v>41</v>
      </c>
      <c r="G3387">
        <v>-232.9855</v>
      </c>
      <c r="H3387" s="1">
        <v>-3.146674E-6</v>
      </c>
      <c r="I3387">
        <v>140.1995</v>
      </c>
      <c r="J3387">
        <v>-210.7817</v>
      </c>
      <c r="K3387">
        <v>1.1095469999999901</v>
      </c>
      <c r="L3387">
        <v>142.78489999999999</v>
      </c>
      <c r="M3387">
        <v>-0.9674296</v>
      </c>
      <c r="N3387">
        <v>0</v>
      </c>
      <c r="O3387">
        <v>-0.25279180000000001</v>
      </c>
      <c r="P3387">
        <v>-0.97516349999999996</v>
      </c>
      <c r="Q3387">
        <v>0.18966920000000001</v>
      </c>
      <c r="R3387">
        <v>-0.1143769</v>
      </c>
      <c r="S3387">
        <v>-3.0641780000000001</v>
      </c>
      <c r="T3387">
        <v>-0.1519964</v>
      </c>
      <c r="U3387">
        <v>-0.35983280000000001</v>
      </c>
      <c r="V3387">
        <v>0.13630900000000001</v>
      </c>
      <c r="W3387">
        <v>0.2022825</v>
      </c>
      <c r="X3387">
        <v>0.96979459999999995</v>
      </c>
      <c r="Y3387">
        <v>0.1377816</v>
      </c>
      <c r="Z3387">
        <v>1.5744649999999999E-2</v>
      </c>
      <c r="AA3387">
        <v>0.99033749999999998</v>
      </c>
      <c r="AB3387">
        <v>17</v>
      </c>
      <c r="AC3387">
        <v>-22.203800000000001</v>
      </c>
      <c r="AD3387">
        <v>-1.1095501466740001</v>
      </c>
      <c r="AE3387">
        <v>-2.5853999999999902</v>
      </c>
      <c r="AF3387">
        <v>3.1043720885525001</v>
      </c>
      <c r="AG3387">
        <v>-1.1095501466740001</v>
      </c>
      <c r="AH3387">
        <v>22.0817292785975</v>
      </c>
      <c r="AI3387">
        <v>92.8485808475846</v>
      </c>
      <c r="AJ3387">
        <v>81.9974875574881</v>
      </c>
      <c r="AK3387">
        <v>22.326464017516098</v>
      </c>
      <c r="AL3387">
        <v>78.3295342736713</v>
      </c>
      <c r="AM3387">
        <v>81.999231919358607</v>
      </c>
      <c r="AN3387">
        <v>0.99999995973820399</v>
      </c>
    </row>
    <row r="3388" spans="1:40" x14ac:dyDescent="0.25">
      <c r="A3388" t="str">
        <f>"20190312172729595"</f>
        <v>20190312172729595</v>
      </c>
      <c r="B3388" t="str">
        <f>"1552382849592427"</f>
        <v>1552382849592427</v>
      </c>
      <c r="C3388" t="s">
        <v>40</v>
      </c>
      <c r="D3388">
        <v>3.5510510000000002</v>
      </c>
      <c r="E3388">
        <v>0.50135470000000004</v>
      </c>
      <c r="F3388" t="s">
        <v>41</v>
      </c>
      <c r="G3388">
        <v>-232.5727</v>
      </c>
      <c r="H3388" s="1">
        <v>-3.3356560000000002E-6</v>
      </c>
      <c r="I3388">
        <v>140.24420000000001</v>
      </c>
      <c r="J3388">
        <v>-210.9436</v>
      </c>
      <c r="K3388">
        <v>1.1094679999999999</v>
      </c>
      <c r="L3388">
        <v>142.74459999999999</v>
      </c>
      <c r="M3388">
        <v>-0.96786879999999997</v>
      </c>
      <c r="N3388">
        <v>0</v>
      </c>
      <c r="O3388">
        <v>-0.2511041</v>
      </c>
      <c r="P3388">
        <v>-0.97566830000000004</v>
      </c>
      <c r="Q3388">
        <v>0.1882093</v>
      </c>
      <c r="R3388">
        <v>-0.112467</v>
      </c>
      <c r="S3388">
        <v>-3.064835</v>
      </c>
      <c r="T3388">
        <v>-0.15605439999999901</v>
      </c>
      <c r="U3388">
        <v>-0.35733029999999999</v>
      </c>
      <c r="V3388">
        <v>0.13661809999999999</v>
      </c>
      <c r="W3388">
        <v>0.2008047</v>
      </c>
      <c r="X3388">
        <v>0.97005830000000004</v>
      </c>
      <c r="Y3388">
        <v>0.1368547</v>
      </c>
      <c r="Z3388">
        <v>1.605581E-2</v>
      </c>
      <c r="AA3388">
        <v>0.99046100000000004</v>
      </c>
      <c r="AB3388">
        <v>17</v>
      </c>
      <c r="AC3388">
        <v>-21.629099999999902</v>
      </c>
      <c r="AD3388">
        <v>-1.109471335656</v>
      </c>
      <c r="AE3388">
        <v>-2.50039999999998</v>
      </c>
      <c r="AF3388">
        <v>3.0035638542213299</v>
      </c>
      <c r="AG3388">
        <v>-1.109471335656</v>
      </c>
      <c r="AH3388">
        <v>21.508051355268702</v>
      </c>
      <c r="AI3388">
        <v>92.924598642389597</v>
      </c>
      <c r="AJ3388">
        <v>82.050151385692104</v>
      </c>
      <c r="AK3388">
        <v>21.7450821008315</v>
      </c>
      <c r="AL3388">
        <v>78.4159811770853</v>
      </c>
      <c r="AM3388">
        <v>81.983476210828996</v>
      </c>
      <c r="AN3388">
        <v>1.0000000690942901</v>
      </c>
    </row>
    <row r="3389" spans="1:40" x14ac:dyDescent="0.25">
      <c r="A3389" t="str">
        <f>"20190312172729617"</f>
        <v>20190312172729617</v>
      </c>
      <c r="B3389" t="str">
        <f>"1552382849612924"</f>
        <v>1552382849612924</v>
      </c>
      <c r="C3389" t="s">
        <v>40</v>
      </c>
      <c r="D3389">
        <v>3.5546380000000002</v>
      </c>
      <c r="E3389">
        <v>0.50125370000000002</v>
      </c>
      <c r="F3389" t="s">
        <v>41</v>
      </c>
      <c r="G3389">
        <v>-231.8759</v>
      </c>
      <c r="H3389" s="1">
        <v>-3.6538570000000002E-6</v>
      </c>
      <c r="I3389">
        <v>140.31659999999999</v>
      </c>
      <c r="J3389">
        <v>-211.1019</v>
      </c>
      <c r="K3389">
        <v>1.1094109999999999</v>
      </c>
      <c r="L3389">
        <v>142.70570000000001</v>
      </c>
      <c r="M3389">
        <v>-0.9683271</v>
      </c>
      <c r="N3389">
        <v>0</v>
      </c>
      <c r="O3389">
        <v>-0.24933130000000001</v>
      </c>
      <c r="P3389">
        <v>-0.97627679999999994</v>
      </c>
      <c r="Q3389">
        <v>0.18638769999999999</v>
      </c>
      <c r="R3389">
        <v>-0.110198</v>
      </c>
      <c r="S3389">
        <v>-3.0651549999999999</v>
      </c>
      <c r="T3389">
        <v>-0.16246160000000001</v>
      </c>
      <c r="U3389">
        <v>-0.35552979999999901</v>
      </c>
      <c r="V3389">
        <v>0.1372062</v>
      </c>
      <c r="W3389">
        <v>0.19896900000000001</v>
      </c>
      <c r="X3389">
        <v>0.97035340000000003</v>
      </c>
      <c r="Y3389">
        <v>0.13558990000000001</v>
      </c>
      <c r="Z3389">
        <v>1.658921E-2</v>
      </c>
      <c r="AA3389">
        <v>0.99062620000000001</v>
      </c>
      <c r="AB3389">
        <v>17</v>
      </c>
      <c r="AC3389">
        <v>-20.774000000000001</v>
      </c>
      <c r="AD3389">
        <v>-1.109414653857</v>
      </c>
      <c r="AE3389">
        <v>-2.3891000000000102</v>
      </c>
      <c r="AF3389">
        <v>2.8583855023190901</v>
      </c>
      <c r="AG3389">
        <v>-1.109414653857</v>
      </c>
      <c r="AH3389">
        <v>20.655392993989899</v>
      </c>
      <c r="AI3389">
        <v>93.045472517539807</v>
      </c>
      <c r="AJ3389">
        <v>82.121193661528096</v>
      </c>
      <c r="AK3389">
        <v>20.881724744144801</v>
      </c>
      <c r="AL3389">
        <v>78.523324124719693</v>
      </c>
      <c r="AM3389">
        <v>81.951835165022302</v>
      </c>
      <c r="AN3389">
        <v>0.99999996258549895</v>
      </c>
    </row>
    <row r="3390" spans="1:40" x14ac:dyDescent="0.25">
      <c r="A3390" t="str">
        <f>"20190312172729642"</f>
        <v>20190312172729642</v>
      </c>
      <c r="B3390" t="str">
        <f>"1552382849632442"</f>
        <v>1552382849632442</v>
      </c>
      <c r="C3390" t="s">
        <v>40</v>
      </c>
      <c r="D3390">
        <v>3.5578319999999999</v>
      </c>
      <c r="E3390">
        <v>0.50115220000000005</v>
      </c>
      <c r="F3390" t="s">
        <v>41</v>
      </c>
      <c r="G3390">
        <v>-231.31729999999999</v>
      </c>
      <c r="H3390" s="1">
        <v>-3.9150510000000001E-6</v>
      </c>
      <c r="I3390">
        <v>140.39760000000001</v>
      </c>
      <c r="J3390">
        <v>-211.2741</v>
      </c>
      <c r="K3390">
        <v>1.109364</v>
      </c>
      <c r="L3390">
        <v>142.66390000000001</v>
      </c>
      <c r="M3390">
        <v>-0.96885109999999997</v>
      </c>
      <c r="N3390">
        <v>0</v>
      </c>
      <c r="O3390">
        <v>-0.24728639999999999</v>
      </c>
      <c r="P3390">
        <v>-0.97677179999999997</v>
      </c>
      <c r="Q3390">
        <v>0.1851054</v>
      </c>
      <c r="R3390">
        <v>-0.1079465</v>
      </c>
      <c r="S3390">
        <v>-3.0655060000000001</v>
      </c>
      <c r="T3390">
        <v>-0.16823450000000001</v>
      </c>
      <c r="U3390">
        <v>-0.35000609999999999</v>
      </c>
      <c r="V3390">
        <v>0.1374734</v>
      </c>
      <c r="W3390">
        <v>0.1976735</v>
      </c>
      <c r="X3390">
        <v>0.97058040000000001</v>
      </c>
      <c r="Y3390">
        <v>0.13523850000000001</v>
      </c>
      <c r="Z3390">
        <v>1.7060499999999999E-2</v>
      </c>
      <c r="AA3390">
        <v>0.99066620000000005</v>
      </c>
      <c r="AB3390">
        <v>17</v>
      </c>
      <c r="AC3390">
        <v>-20.043199999999899</v>
      </c>
      <c r="AD3390">
        <v>-1.1093679150510001</v>
      </c>
      <c r="AE3390">
        <v>-2.2663000000000002</v>
      </c>
      <c r="AF3390">
        <v>2.7526216644021799</v>
      </c>
      <c r="AG3390">
        <v>-1.1093679150510001</v>
      </c>
      <c r="AH3390">
        <v>19.9208128501018</v>
      </c>
      <c r="AI3390">
        <v>93.157506572214004</v>
      </c>
      <c r="AJ3390">
        <v>82.132791137662494</v>
      </c>
      <c r="AK3390">
        <v>20.140665525425401</v>
      </c>
      <c r="AL3390">
        <v>78.599055839636605</v>
      </c>
      <c r="AM3390">
        <v>81.938228972796907</v>
      </c>
      <c r="AN3390">
        <v>1.0000000305869801</v>
      </c>
    </row>
    <row r="3391" spans="1:40" x14ac:dyDescent="0.25">
      <c r="A3391" t="str">
        <f>"20190312172729663"</f>
        <v>20190312172729663</v>
      </c>
      <c r="B3391" t="str">
        <f>"1552382849652939"</f>
        <v>1552382849652939</v>
      </c>
      <c r="C3391" t="s">
        <v>40</v>
      </c>
      <c r="D3391">
        <v>3.577623</v>
      </c>
      <c r="E3391">
        <v>0.50105679999999997</v>
      </c>
      <c r="F3391" t="s">
        <v>41</v>
      </c>
      <c r="G3391">
        <v>-231.07509999999999</v>
      </c>
      <c r="H3391" s="1">
        <v>-4.0296039999999996E-6</v>
      </c>
      <c r="I3391">
        <v>140.4376</v>
      </c>
      <c r="J3391">
        <v>-211.43819999999999</v>
      </c>
      <c r="K3391">
        <v>1.109321</v>
      </c>
      <c r="L3391">
        <v>142.62450000000001</v>
      </c>
      <c r="M3391">
        <v>-0.96936789999999995</v>
      </c>
      <c r="N3391">
        <v>0</v>
      </c>
      <c r="O3391">
        <v>-0.24525420000000001</v>
      </c>
      <c r="P3391">
        <v>-0.97714760000000001</v>
      </c>
      <c r="Q3391">
        <v>0.18452260000000001</v>
      </c>
      <c r="R3391">
        <v>-0.10552019999999999</v>
      </c>
      <c r="S3391">
        <v>-3.0657960000000002</v>
      </c>
      <c r="T3391">
        <v>-0.17176449999999999</v>
      </c>
      <c r="U3391">
        <v>-0.344696</v>
      </c>
      <c r="V3391">
        <v>0.13789119999999999</v>
      </c>
      <c r="W3391">
        <v>0.19707649999999999</v>
      </c>
      <c r="X3391">
        <v>0.97064249999999996</v>
      </c>
      <c r="Y3391">
        <v>0.13484549999999901</v>
      </c>
      <c r="Z3391">
        <v>1.7297799999999999E-2</v>
      </c>
      <c r="AA3391">
        <v>0.99071560000000003</v>
      </c>
      <c r="AB3391">
        <v>17</v>
      </c>
      <c r="AC3391">
        <v>-19.636900000000001</v>
      </c>
      <c r="AD3391">
        <v>-1.109325029604</v>
      </c>
      <c r="AE3391">
        <v>-2.1869000000000001</v>
      </c>
      <c r="AF3391">
        <v>2.6878863209432202</v>
      </c>
      <c r="AG3391">
        <v>-1.109325029604</v>
      </c>
      <c r="AH3391">
        <v>19.5119457005644</v>
      </c>
      <c r="AI3391">
        <v>93.223592638616196</v>
      </c>
      <c r="AJ3391">
        <v>82.156532096597303</v>
      </c>
      <c r="AK3391">
        <v>19.7274265913574</v>
      </c>
      <c r="AL3391">
        <v>78.633947417878503</v>
      </c>
      <c r="AM3391">
        <v>81.914562201273</v>
      </c>
      <c r="AN3391">
        <v>0.99999999634796899</v>
      </c>
    </row>
    <row r="3392" spans="1:40" x14ac:dyDescent="0.25">
      <c r="A3392" t="str">
        <f>"20190312172729686"</f>
        <v>20190312172729686</v>
      </c>
      <c r="B3392" t="str">
        <f>"1552382849682220"</f>
        <v>1552382849682220</v>
      </c>
      <c r="C3392" t="s">
        <v>40</v>
      </c>
      <c r="D3392">
        <v>3.6537809999999999</v>
      </c>
      <c r="E3392">
        <v>0.500865</v>
      </c>
      <c r="F3392" t="s">
        <v>41</v>
      </c>
      <c r="G3392">
        <v>-231.11179999999999</v>
      </c>
      <c r="H3392" s="1">
        <v>-4.0174349999999998E-6</v>
      </c>
      <c r="I3392">
        <v>140.45099999999999</v>
      </c>
      <c r="J3392">
        <v>-211.59739999999999</v>
      </c>
      <c r="K3392">
        <v>1.1092919999999999</v>
      </c>
      <c r="L3392">
        <v>142.58680000000001</v>
      </c>
      <c r="M3392">
        <v>-0.96987829999999997</v>
      </c>
      <c r="N3392">
        <v>0</v>
      </c>
      <c r="O3392">
        <v>-0.243228</v>
      </c>
      <c r="P3392">
        <v>-0.97749569999999997</v>
      </c>
      <c r="Q3392">
        <v>0.18407750000000001</v>
      </c>
      <c r="R3392">
        <v>-0.103043</v>
      </c>
      <c r="S3392">
        <v>-3.0662229999999999</v>
      </c>
      <c r="T3392">
        <v>-0.17289360000000001</v>
      </c>
      <c r="U3392">
        <v>-0.33874510000000002</v>
      </c>
      <c r="V3392">
        <v>0.13835410000000001</v>
      </c>
      <c r="W3392">
        <v>0.1966212</v>
      </c>
      <c r="X3392">
        <v>0.970669</v>
      </c>
      <c r="Y3392">
        <v>0.1346851</v>
      </c>
      <c r="Z3392">
        <v>1.729671E-2</v>
      </c>
      <c r="AA3392">
        <v>0.99073750000000005</v>
      </c>
      <c r="AB3392">
        <v>17</v>
      </c>
      <c r="AC3392">
        <v>-19.514399999999899</v>
      </c>
      <c r="AD3392">
        <v>-1.1092960174349999</v>
      </c>
      <c r="AE3392">
        <v>-2.1358000000000099</v>
      </c>
      <c r="AF3392">
        <v>2.6667030768840099</v>
      </c>
      <c r="AG3392">
        <v>-1.1092960174349999</v>
      </c>
      <c r="AH3392">
        <v>19.385891934869498</v>
      </c>
      <c r="AI3392">
        <v>93.244510397016896</v>
      </c>
      <c r="AJ3392">
        <v>82.167608203829602</v>
      </c>
      <c r="AK3392">
        <v>19.599863496080701</v>
      </c>
      <c r="AL3392">
        <v>78.6605551820182</v>
      </c>
      <c r="AM3392">
        <v>81.887998651201698</v>
      </c>
      <c r="AN3392">
        <v>1.0000000304186201</v>
      </c>
    </row>
    <row r="3393" spans="1:40" x14ac:dyDescent="0.25">
      <c r="A3393" t="str">
        <f>"20190312172729706"</f>
        <v>20190312172729706</v>
      </c>
      <c r="B3393" t="str">
        <f>"1552382849702716"</f>
        <v>1552382849702716</v>
      </c>
      <c r="C3393" t="s">
        <v>40</v>
      </c>
      <c r="D3393">
        <v>3.5404559999999998</v>
      </c>
      <c r="E3393">
        <v>0.5008532</v>
      </c>
      <c r="F3393" t="s">
        <v>41</v>
      </c>
      <c r="G3393">
        <v>-231.04740000000001</v>
      </c>
      <c r="H3393" s="1">
        <v>-4.0510499999999999E-6</v>
      </c>
      <c r="I3393">
        <v>140.4735</v>
      </c>
      <c r="J3393">
        <v>-211.74299999999999</v>
      </c>
      <c r="K3393">
        <v>1.1092770000000001</v>
      </c>
      <c r="L3393">
        <v>142.55260000000001</v>
      </c>
      <c r="M3393">
        <v>-0.97034900000000002</v>
      </c>
      <c r="N3393">
        <v>0</v>
      </c>
      <c r="O3393">
        <v>-0.24134369999999999</v>
      </c>
      <c r="P3393">
        <v>-0.97773699999999997</v>
      </c>
      <c r="Q3393">
        <v>0.18408269999999999</v>
      </c>
      <c r="R3393">
        <v>-0.1007199</v>
      </c>
      <c r="S3393">
        <v>-3.0668790000000001</v>
      </c>
      <c r="T3393">
        <v>-0.17491399999999999</v>
      </c>
      <c r="U3393">
        <v>-0.33320620000000001</v>
      </c>
      <c r="V3393">
        <v>0.13878119999999999</v>
      </c>
      <c r="W3393">
        <v>0.1966193</v>
      </c>
      <c r="X3393">
        <v>0.97060840000000004</v>
      </c>
      <c r="Y3393">
        <v>0.134541299999999</v>
      </c>
      <c r="Z3393">
        <v>1.7389269999999998E-2</v>
      </c>
      <c r="AA3393">
        <v>0.99075539999999995</v>
      </c>
      <c r="AB3393">
        <v>16</v>
      </c>
      <c r="AC3393">
        <v>-19.304400000000001</v>
      </c>
      <c r="AD3393">
        <v>-1.10928105105</v>
      </c>
      <c r="AE3393">
        <v>-2.0791000000000102</v>
      </c>
      <c r="AF3393">
        <v>2.6331803166033301</v>
      </c>
      <c r="AG3393">
        <v>-1.10928105105</v>
      </c>
      <c r="AH3393">
        <v>19.172894040550901</v>
      </c>
      <c r="AI3393">
        <v>93.280529521809001</v>
      </c>
      <c r="AJ3393">
        <v>82.179994087476999</v>
      </c>
      <c r="AK3393">
        <v>19.384633319208199</v>
      </c>
      <c r="AL3393">
        <v>78.660666072978302</v>
      </c>
      <c r="AM3393">
        <v>81.862790464848501</v>
      </c>
      <c r="AN3393">
        <v>1.00000001837824</v>
      </c>
    </row>
    <row r="3394" spans="1:40" x14ac:dyDescent="0.25">
      <c r="A3394" t="str">
        <f>"20190312172729729"</f>
        <v>20190312172729729</v>
      </c>
      <c r="B3394" t="str">
        <f>"1552382849722235"</f>
        <v>1552382849722235</v>
      </c>
      <c r="C3394" t="s">
        <v>40</v>
      </c>
      <c r="D3394">
        <v>3.5296349999999999</v>
      </c>
      <c r="E3394">
        <v>0.50087680000000001</v>
      </c>
      <c r="F3394" t="s">
        <v>41</v>
      </c>
      <c r="G3394">
        <v>-231.1191</v>
      </c>
      <c r="H3394" s="1">
        <v>-4.0233080000000003E-6</v>
      </c>
      <c r="I3394">
        <v>140.48500000000001</v>
      </c>
      <c r="J3394">
        <v>-211.90620000000001</v>
      </c>
      <c r="K3394">
        <v>1.1092759999999999</v>
      </c>
      <c r="L3394">
        <v>142.5147</v>
      </c>
      <c r="M3394">
        <v>-0.97087769999999995</v>
      </c>
      <c r="N3394">
        <v>0</v>
      </c>
      <c r="O3394">
        <v>-0.2392077</v>
      </c>
      <c r="P3394">
        <v>-0.97783920000000002</v>
      </c>
      <c r="Q3394">
        <v>0.18481909999999999</v>
      </c>
      <c r="R3394">
        <v>-9.8348870000000005E-2</v>
      </c>
      <c r="S3394">
        <v>-3.0676730000000001</v>
      </c>
      <c r="T3394">
        <v>-0.17562340000000001</v>
      </c>
      <c r="U3394">
        <v>-0.32734679999999999</v>
      </c>
      <c r="V3394">
        <v>0.1389668</v>
      </c>
      <c r="W3394">
        <v>0.1973509</v>
      </c>
      <c r="X3394">
        <v>0.9704334</v>
      </c>
      <c r="Y3394">
        <v>0.13425799999999999</v>
      </c>
      <c r="Z3394">
        <v>1.7331369999999999E-2</v>
      </c>
      <c r="AA3394">
        <v>0.99079479999999998</v>
      </c>
      <c r="AB3394">
        <v>16</v>
      </c>
      <c r="AC3394">
        <v>-19.212899999999902</v>
      </c>
      <c r="AD3394">
        <v>-1.109280023308</v>
      </c>
      <c r="AE3394">
        <v>-2.0296999999999898</v>
      </c>
      <c r="AF3394">
        <v>2.6168873928654701</v>
      </c>
      <c r="AG3394">
        <v>-1.109280023308</v>
      </c>
      <c r="AH3394">
        <v>19.0776890887566</v>
      </c>
      <c r="AI3394">
        <v>93.296936289237294</v>
      </c>
      <c r="AJ3394">
        <v>82.189478783101407</v>
      </c>
      <c r="AK3394">
        <v>19.288256084060901</v>
      </c>
      <c r="AL3394">
        <v>78.617911308723393</v>
      </c>
      <c r="AM3394">
        <v>81.850604542567993</v>
      </c>
      <c r="AN3394">
        <v>1.0000000665343001</v>
      </c>
    </row>
    <row r="3395" spans="1:40" x14ac:dyDescent="0.25">
      <c r="A3395" t="str">
        <f>"20190312172729751"</f>
        <v>20190312172729751</v>
      </c>
      <c r="B3395" t="str">
        <f>"1552382849742731"</f>
        <v>1552382849742731</v>
      </c>
      <c r="C3395" t="s">
        <v>40</v>
      </c>
      <c r="D3395">
        <v>3.5367359999999999</v>
      </c>
      <c r="E3395">
        <v>0.50084740000000005</v>
      </c>
      <c r="F3395" t="s">
        <v>41</v>
      </c>
      <c r="G3395">
        <v>-231.49199999999999</v>
      </c>
      <c r="H3395" s="1">
        <v>-3.8578910000000003E-6</v>
      </c>
      <c r="I3395">
        <v>140.46440000000001</v>
      </c>
      <c r="J3395">
        <v>-212.0634</v>
      </c>
      <c r="K3395">
        <v>1.1092900000000001</v>
      </c>
      <c r="L3395">
        <v>142.4786</v>
      </c>
      <c r="M3395">
        <v>-0.97138570000000002</v>
      </c>
      <c r="N3395">
        <v>0</v>
      </c>
      <c r="O3395">
        <v>-0.23713680000000001</v>
      </c>
      <c r="P3395">
        <v>-0.97778560000000003</v>
      </c>
      <c r="Q3395">
        <v>0.18569050000000001</v>
      </c>
      <c r="R3395">
        <v>-9.7234470000000003E-2</v>
      </c>
      <c r="S3395">
        <v>-3.0685419999999999</v>
      </c>
      <c r="T3395">
        <v>-0.17379259999999999</v>
      </c>
      <c r="U3395">
        <v>-0.32121280000000002</v>
      </c>
      <c r="V3395">
        <v>0.137957</v>
      </c>
      <c r="W3395">
        <v>0.1982264</v>
      </c>
      <c r="X3395">
        <v>0.97039900000000001</v>
      </c>
      <c r="Y3395">
        <v>0.13414909999999999</v>
      </c>
      <c r="Z3395">
        <v>1.7032120000000001E-2</v>
      </c>
      <c r="AA3395">
        <v>0.9908148</v>
      </c>
      <c r="AB3395">
        <v>16</v>
      </c>
      <c r="AC3395">
        <v>-19.428599999999999</v>
      </c>
      <c r="AD3395">
        <v>-1.1092938578910001</v>
      </c>
      <c r="AE3395">
        <v>-2.0141999999999798</v>
      </c>
      <c r="AF3395">
        <v>2.6423817722088501</v>
      </c>
      <c r="AG3395">
        <v>-1.1092938578910001</v>
      </c>
      <c r="AH3395">
        <v>19.289792841934201</v>
      </c>
      <c r="AI3395">
        <v>93.260885282707704</v>
      </c>
      <c r="AJ3395">
        <v>82.199974230539198</v>
      </c>
      <c r="AK3395">
        <v>19.501508202649202</v>
      </c>
      <c r="AL3395">
        <v>78.566737478092406</v>
      </c>
      <c r="AM3395">
        <v>81.908752044348006</v>
      </c>
      <c r="AN3395">
        <v>1.0000000293534701</v>
      </c>
    </row>
    <row r="3396" spans="1:40" x14ac:dyDescent="0.25">
      <c r="A3396" t="str">
        <f>"20190312172729773"</f>
        <v>20190312172729773</v>
      </c>
      <c r="B3396" t="str">
        <f>"1552382849762251"</f>
        <v>1552382849762251</v>
      </c>
      <c r="C3396" t="s">
        <v>40</v>
      </c>
      <c r="D3396">
        <v>3.5888620000000002</v>
      </c>
      <c r="E3396">
        <v>0.50080290000000005</v>
      </c>
      <c r="F3396" t="s">
        <v>41</v>
      </c>
      <c r="G3396">
        <v>-231.92070000000001</v>
      </c>
      <c r="H3396" s="1">
        <v>-3.6618759999999998E-6</v>
      </c>
      <c r="I3396">
        <v>140.41899999999899</v>
      </c>
      <c r="J3396">
        <v>-212.23150000000001</v>
      </c>
      <c r="K3396">
        <v>1.1093120000000001</v>
      </c>
      <c r="L3396">
        <v>142.44040000000001</v>
      </c>
      <c r="M3396">
        <v>-0.9719236</v>
      </c>
      <c r="N3396">
        <v>0</v>
      </c>
      <c r="O3396">
        <v>-0.23492250000000001</v>
      </c>
      <c r="P3396">
        <v>-0.97785540000000004</v>
      </c>
      <c r="Q3396">
        <v>0.1857152</v>
      </c>
      <c r="R3396">
        <v>-9.6482689999999996E-2</v>
      </c>
      <c r="S3396">
        <v>-3.069061</v>
      </c>
      <c r="T3396">
        <v>-0.17144760000000001</v>
      </c>
      <c r="U3396">
        <v>-0.31831359999999997</v>
      </c>
      <c r="V3396">
        <v>0.1364745</v>
      </c>
      <c r="W3396">
        <v>0.19826189999999999</v>
      </c>
      <c r="X3396">
        <v>0.9706013</v>
      </c>
      <c r="Y3396">
        <v>0.1328549</v>
      </c>
      <c r="Z3396">
        <v>1.6645179999999999E-2</v>
      </c>
      <c r="AA3396">
        <v>0.99099570000000003</v>
      </c>
      <c r="AB3396">
        <v>16</v>
      </c>
      <c r="AC3396">
        <v>-19.6892</v>
      </c>
      <c r="AD3396">
        <v>-1.1093156618760001</v>
      </c>
      <c r="AE3396">
        <v>-2.0214000000000198</v>
      </c>
      <c r="AF3396">
        <v>2.6526910869524598</v>
      </c>
      <c r="AG3396">
        <v>-1.1093156618760001</v>
      </c>
      <c r="AH3396">
        <v>19.551579741276999</v>
      </c>
      <c r="AI3396">
        <v>93.217940565934498</v>
      </c>
      <c r="AJ3396">
        <v>82.273485432537001</v>
      </c>
      <c r="AK3396">
        <v>19.7618729279387</v>
      </c>
      <c r="AL3396">
        <v>78.564661682584799</v>
      </c>
      <c r="AM3396">
        <v>81.996215146962697</v>
      </c>
      <c r="AN3396">
        <v>0.999999976851774</v>
      </c>
    </row>
    <row r="3397" spans="1:40" x14ac:dyDescent="0.25">
      <c r="A3397" t="str">
        <f>"20190312172729796"</f>
        <v>20190312172729796</v>
      </c>
      <c r="B3397" t="str">
        <f>"1552382849792507"</f>
        <v>1552382849792507</v>
      </c>
      <c r="C3397" t="s">
        <v>40</v>
      </c>
      <c r="D3397">
        <v>3.5786190000000002</v>
      </c>
      <c r="E3397">
        <v>0.50067200000000001</v>
      </c>
      <c r="F3397" t="s">
        <v>41</v>
      </c>
      <c r="G3397">
        <v>-232.1987</v>
      </c>
      <c r="H3397" s="1">
        <v>-3.533779E-6</v>
      </c>
      <c r="I3397">
        <v>140.38570000000001</v>
      </c>
      <c r="J3397">
        <v>-212.387</v>
      </c>
      <c r="K3397">
        <v>1.1093360000000001</v>
      </c>
      <c r="L3397">
        <v>142.40549999999999</v>
      </c>
      <c r="M3397">
        <v>-0.97241469999999997</v>
      </c>
      <c r="N3397">
        <v>0</v>
      </c>
      <c r="O3397">
        <v>-0.23288130000000001</v>
      </c>
      <c r="P3397">
        <v>-0.97789879999999996</v>
      </c>
      <c r="Q3397">
        <v>0.18572079999999999</v>
      </c>
      <c r="R3397">
        <v>-9.6029859999999995E-2</v>
      </c>
      <c r="S3397">
        <v>-3.0691830000000002</v>
      </c>
      <c r="T3397">
        <v>-0.17051459999999999</v>
      </c>
      <c r="U3397">
        <v>-0.31582640000000001</v>
      </c>
      <c r="V3397">
        <v>0.13486879999999901</v>
      </c>
      <c r="W3397">
        <v>0.19828009999999999</v>
      </c>
      <c r="X3397">
        <v>0.97082199999999996</v>
      </c>
      <c r="Y3397">
        <v>0.13158349999999999</v>
      </c>
      <c r="Z3397">
        <v>1.6409940000000001E-2</v>
      </c>
      <c r="AA3397">
        <v>0.99116930000000003</v>
      </c>
      <c r="AB3397">
        <v>16</v>
      </c>
      <c r="AC3397">
        <v>-19.811699999999998</v>
      </c>
      <c r="AD3397">
        <v>-1.109339533779</v>
      </c>
      <c r="AE3397">
        <v>-2.0197999999999698</v>
      </c>
      <c r="AF3397">
        <v>2.6417268543740602</v>
      </c>
      <c r="AG3397">
        <v>-1.109339533779</v>
      </c>
      <c r="AH3397">
        <v>19.676241227832001</v>
      </c>
      <c r="AI3397">
        <v>93.198263326090498</v>
      </c>
      <c r="AJ3397">
        <v>82.3532114361645</v>
      </c>
      <c r="AK3397">
        <v>19.883757789466301</v>
      </c>
      <c r="AL3397">
        <v>78.563597738808497</v>
      </c>
      <c r="AM3397">
        <v>82.090960673539996</v>
      </c>
      <c r="AN3397">
        <v>0.99999997347672398</v>
      </c>
    </row>
    <row r="3398" spans="1:40" x14ac:dyDescent="0.25">
      <c r="A3398" t="str">
        <f>"20190312172729818"</f>
        <v>20190312172729818</v>
      </c>
      <c r="B3398" t="str">
        <f>"1552382849812027"</f>
        <v>1552382849812027</v>
      </c>
      <c r="C3398" t="s">
        <v>40</v>
      </c>
      <c r="D3398">
        <v>3.6013929999999998</v>
      </c>
      <c r="E3398">
        <v>0.50059100000000001</v>
      </c>
      <c r="F3398" t="s">
        <v>41</v>
      </c>
      <c r="G3398">
        <v>-232.5668</v>
      </c>
      <c r="H3398" s="1">
        <v>-3.3623879999999999E-6</v>
      </c>
      <c r="I3398">
        <v>140.33500000000001</v>
      </c>
      <c r="J3398">
        <v>-212.54759999999999</v>
      </c>
      <c r="K3398">
        <v>1.1093519999999999</v>
      </c>
      <c r="L3398">
        <v>142.36969999999999</v>
      </c>
      <c r="M3398">
        <v>-0.97291490000000003</v>
      </c>
      <c r="N3398">
        <v>0</v>
      </c>
      <c r="O3398">
        <v>-0.23078290000000001</v>
      </c>
      <c r="P3398">
        <v>-0.97790880000000002</v>
      </c>
      <c r="Q3398">
        <v>0.1861778</v>
      </c>
      <c r="R3398">
        <v>-9.5038239999999996E-2</v>
      </c>
      <c r="S3398">
        <v>-3.0689389999999999</v>
      </c>
      <c r="T3398">
        <v>-0.16870859999999999</v>
      </c>
      <c r="U3398">
        <v>-0.31486510000000001</v>
      </c>
      <c r="V3398">
        <v>0.13372500000000001</v>
      </c>
      <c r="W3398">
        <v>0.19874520000000001</v>
      </c>
      <c r="X3398">
        <v>0.9708852</v>
      </c>
      <c r="Y3398">
        <v>0.12976119999999999</v>
      </c>
      <c r="Z3398">
        <v>1.6076259999999998E-2</v>
      </c>
      <c r="AA3398">
        <v>0.99141500000000005</v>
      </c>
      <c r="AB3398">
        <v>16</v>
      </c>
      <c r="AC3398">
        <v>-20.019200000000001</v>
      </c>
      <c r="AD3398">
        <v>-1.1093553623879999</v>
      </c>
      <c r="AE3398">
        <v>-2.03469999999998</v>
      </c>
      <c r="AF3398">
        <v>2.6327294236488998</v>
      </c>
      <c r="AG3398">
        <v>-1.1093553623879999</v>
      </c>
      <c r="AH3398">
        <v>19.887859260722699</v>
      </c>
      <c r="AI3398">
        <v>93.1651247761923</v>
      </c>
      <c r="AJ3398">
        <v>82.459103073988103</v>
      </c>
      <c r="AK3398">
        <v>20.0920103402451</v>
      </c>
      <c r="AL3398">
        <v>78.536409255666896</v>
      </c>
      <c r="AM3398">
        <v>82.157701886912506</v>
      </c>
      <c r="AN3398">
        <v>1.0000000508635301</v>
      </c>
    </row>
    <row r="3399" spans="1:40" x14ac:dyDescent="0.25">
      <c r="A3399" t="str">
        <f>"20190312172729842"</f>
        <v>20190312172729842</v>
      </c>
      <c r="B3399" t="str">
        <f>"1552382849832523"</f>
        <v>1552382849832523</v>
      </c>
      <c r="C3399" t="s">
        <v>40</v>
      </c>
      <c r="D3399">
        <v>3.6102470000000002</v>
      </c>
      <c r="E3399">
        <v>0.500529</v>
      </c>
      <c r="F3399" t="s">
        <v>41</v>
      </c>
      <c r="G3399">
        <v>-233.0446</v>
      </c>
      <c r="H3399" s="1">
        <v>-3.144386E-6</v>
      </c>
      <c r="I3399">
        <v>140.2861</v>
      </c>
      <c r="J3399">
        <v>-212.71559999999999</v>
      </c>
      <c r="K3399">
        <v>1.1093789999999999</v>
      </c>
      <c r="L3399">
        <v>142.33269999999999</v>
      </c>
      <c r="M3399">
        <v>-0.9734313</v>
      </c>
      <c r="N3399">
        <v>0</v>
      </c>
      <c r="O3399">
        <v>-0.22859489999999999</v>
      </c>
      <c r="P3399">
        <v>-0.97789760000000003</v>
      </c>
      <c r="Q3399">
        <v>0.1866283</v>
      </c>
      <c r="R3399">
        <v>-9.426727E-2</v>
      </c>
      <c r="S3399">
        <v>-3.0690770000000001</v>
      </c>
      <c r="T3399">
        <v>-0.16610749999999999</v>
      </c>
      <c r="U3399">
        <v>-0.31198120000000001</v>
      </c>
      <c r="V3399">
        <v>0.1322757</v>
      </c>
      <c r="W3399">
        <v>0.19920360000000001</v>
      </c>
      <c r="X3399">
        <v>0.97098980000000001</v>
      </c>
      <c r="Y3399">
        <v>0.12847939999999999</v>
      </c>
      <c r="Z3399">
        <v>1.5679660000000002E-2</v>
      </c>
      <c r="AA3399">
        <v>0.99158820000000003</v>
      </c>
      <c r="AB3399">
        <v>16</v>
      </c>
      <c r="AC3399">
        <v>-20.329000000000001</v>
      </c>
      <c r="AD3399">
        <v>-1.1093821443859999</v>
      </c>
      <c r="AE3399">
        <v>-2.0465999999999802</v>
      </c>
      <c r="AF3399">
        <v>2.6473100302158001</v>
      </c>
      <c r="AG3399">
        <v>-1.1093821443859999</v>
      </c>
      <c r="AH3399">
        <v>20.198959062227502</v>
      </c>
      <c r="AI3399">
        <v>93.117078600920905</v>
      </c>
      <c r="AJ3399">
        <v>82.533275712655694</v>
      </c>
      <c r="AK3399">
        <v>20.4018853622871</v>
      </c>
      <c r="AL3399">
        <v>78.509609137639998</v>
      </c>
      <c r="AM3399">
        <v>82.242480931381706</v>
      </c>
      <c r="AN3399">
        <v>1.00000006338374</v>
      </c>
    </row>
    <row r="3400" spans="1:40" x14ac:dyDescent="0.25">
      <c r="A3400" t="str">
        <f>"20190312172729864"</f>
        <v>20190312172729864</v>
      </c>
      <c r="B3400" t="str">
        <f>"1552382849853019"</f>
        <v>1552382849853019</v>
      </c>
      <c r="C3400" t="s">
        <v>40</v>
      </c>
      <c r="D3400">
        <v>3.5685519999999902</v>
      </c>
      <c r="E3400">
        <v>0.5004731</v>
      </c>
      <c r="F3400" t="s">
        <v>41</v>
      </c>
      <c r="G3400">
        <v>-233.4813</v>
      </c>
      <c r="H3400" s="1">
        <v>-2.944495E-6</v>
      </c>
      <c r="I3400">
        <v>140.239</v>
      </c>
      <c r="J3400">
        <v>-212.87909999999999</v>
      </c>
      <c r="K3400">
        <v>1.109391</v>
      </c>
      <c r="L3400">
        <v>142.29689999999999</v>
      </c>
      <c r="M3400">
        <v>-0.97393010000000002</v>
      </c>
      <c r="N3400">
        <v>0</v>
      </c>
      <c r="O3400">
        <v>-0.22646069999999999</v>
      </c>
      <c r="P3400">
        <v>-0.97788660000000005</v>
      </c>
      <c r="Q3400">
        <v>0.18711520000000001</v>
      </c>
      <c r="R3400">
        <v>-9.3414170000000005E-2</v>
      </c>
      <c r="S3400">
        <v>-3.0692750000000002</v>
      </c>
      <c r="T3400">
        <v>-0.16397200000000001</v>
      </c>
      <c r="U3400">
        <v>-0.30944820000000001</v>
      </c>
      <c r="V3400">
        <v>0.13096659999999999</v>
      </c>
      <c r="W3400">
        <v>0.1996947</v>
      </c>
      <c r="X3400">
        <v>0.97106630000000005</v>
      </c>
      <c r="Y3400">
        <v>0.1271398</v>
      </c>
      <c r="Z3400">
        <v>1.5331920000000001E-2</v>
      </c>
      <c r="AA3400">
        <v>0.99176629999999999</v>
      </c>
      <c r="AB3400">
        <v>16</v>
      </c>
      <c r="AC3400">
        <v>-20.6022</v>
      </c>
      <c r="AD3400">
        <v>-1.1093939444949901</v>
      </c>
      <c r="AE3400">
        <v>-2.0578999999999801</v>
      </c>
      <c r="AF3400">
        <v>2.6539522375802802</v>
      </c>
      <c r="AG3400">
        <v>-1.1093939444949901</v>
      </c>
      <c r="AH3400">
        <v>20.474158956325802</v>
      </c>
      <c r="AI3400">
        <v>93.075859980251394</v>
      </c>
      <c r="AJ3400">
        <v>82.614246943901094</v>
      </c>
      <c r="AK3400">
        <v>20.675236452634199</v>
      </c>
      <c r="AL3400">
        <v>78.480893405190102</v>
      </c>
      <c r="AM3400">
        <v>82.318931921434597</v>
      </c>
      <c r="AN3400">
        <v>0.99999999125966998</v>
      </c>
    </row>
    <row r="3401" spans="1:40" x14ac:dyDescent="0.25">
      <c r="A3401" t="str">
        <f>"20190312172729907"</f>
        <v>20190312172729907</v>
      </c>
      <c r="B3401" t="str">
        <f>"1552382849902796"</f>
        <v>1552382849902796</v>
      </c>
      <c r="C3401" t="s">
        <v>40</v>
      </c>
      <c r="D3401">
        <v>3.593699</v>
      </c>
      <c r="E3401">
        <v>0.50029440000000003</v>
      </c>
      <c r="F3401" t="s">
        <v>41</v>
      </c>
      <c r="G3401">
        <v>-233.94720000000001</v>
      </c>
      <c r="H3401" s="1">
        <v>-2.732289E-6</v>
      </c>
      <c r="I3401">
        <v>140.1926</v>
      </c>
      <c r="J3401">
        <v>-213.18539999999999</v>
      </c>
      <c r="K3401">
        <v>1.1093759999999999</v>
      </c>
      <c r="L3401">
        <v>142.2312</v>
      </c>
      <c r="M3401">
        <v>-0.97486620000000002</v>
      </c>
      <c r="N3401">
        <v>0</v>
      </c>
      <c r="O3401">
        <v>-0.2223965</v>
      </c>
      <c r="P3401">
        <v>-0.97775129999999999</v>
      </c>
      <c r="Q3401">
        <v>0.18890940000000001</v>
      </c>
      <c r="R3401">
        <v>-9.1189240000000005E-2</v>
      </c>
      <c r="S3401">
        <v>-3.0695039999999998</v>
      </c>
      <c r="T3401">
        <v>-0.16163250000000001</v>
      </c>
      <c r="U3401">
        <v>-0.30657960000000001</v>
      </c>
      <c r="V3401">
        <v>0.12905549999999999</v>
      </c>
      <c r="W3401">
        <v>0.20148289999999999</v>
      </c>
      <c r="X3401">
        <v>0.97095279999999995</v>
      </c>
      <c r="Y3401">
        <v>0.1239509</v>
      </c>
      <c r="Z3401">
        <v>1.482172E-2</v>
      </c>
      <c r="AA3401">
        <v>0.99217770000000005</v>
      </c>
      <c r="AB3401">
        <v>16</v>
      </c>
      <c r="AC3401">
        <v>-20.761800000000001</v>
      </c>
      <c r="AD3401">
        <v>-1.1093787322890001</v>
      </c>
      <c r="AE3401">
        <v>-2.0386000000000002</v>
      </c>
      <c r="AF3401">
        <v>2.6228034780148302</v>
      </c>
      <c r="AG3401">
        <v>-1.1093787322890001</v>
      </c>
      <c r="AH3401">
        <v>20.636813963805199</v>
      </c>
      <c r="AI3401">
        <v>93.052594599993995</v>
      </c>
      <c r="AJ3401">
        <v>82.756914819115806</v>
      </c>
      <c r="AK3401">
        <v>20.832376480676601</v>
      </c>
      <c r="AL3401">
        <v>78.3763117291886</v>
      </c>
      <c r="AM3401">
        <v>82.428832108299105</v>
      </c>
      <c r="AN3401">
        <v>1.00000001045025</v>
      </c>
    </row>
    <row r="3402" spans="1:40" x14ac:dyDescent="0.25">
      <c r="A3402" t="str">
        <f>"20190312172729930"</f>
        <v>20190312172729930</v>
      </c>
      <c r="B3402" t="str">
        <f>"1552382849922317"</f>
        <v>1552382849922317</v>
      </c>
      <c r="C3402" t="s">
        <v>40</v>
      </c>
      <c r="D3402">
        <v>3.5980569999999998</v>
      </c>
      <c r="E3402">
        <v>0.50023809999999902</v>
      </c>
      <c r="F3402" t="s">
        <v>41</v>
      </c>
      <c r="G3402">
        <v>-235.23490000000001</v>
      </c>
      <c r="H3402" s="1">
        <v>-2.1476800000000001E-6</v>
      </c>
      <c r="I3402">
        <v>140.07149999999999</v>
      </c>
      <c r="J3402">
        <v>-213.34219999999999</v>
      </c>
      <c r="K3402">
        <v>1.1093580000000001</v>
      </c>
      <c r="L3402">
        <v>142.19810000000001</v>
      </c>
      <c r="M3402">
        <v>-0.97535090000000002</v>
      </c>
      <c r="N3402">
        <v>0</v>
      </c>
      <c r="O3402">
        <v>-0.22026090000000001</v>
      </c>
      <c r="P3402">
        <v>-0.97780549999999999</v>
      </c>
      <c r="Q3402">
        <v>0.1891844</v>
      </c>
      <c r="R3402">
        <v>-9.0032719999999997E-2</v>
      </c>
      <c r="S3402">
        <v>-3.0700530000000001</v>
      </c>
      <c r="T3402">
        <v>-0.15446399999999999</v>
      </c>
      <c r="U3402">
        <v>-0.3006897</v>
      </c>
      <c r="V3402">
        <v>0.12807349999999901</v>
      </c>
      <c r="W3402">
        <v>0.20175380000000001</v>
      </c>
      <c r="X3402">
        <v>0.97102650000000001</v>
      </c>
      <c r="Y3402">
        <v>0.1237239</v>
      </c>
      <c r="Z3402">
        <v>1.405441E-2</v>
      </c>
      <c r="AA3402">
        <v>0.99221709999999996</v>
      </c>
      <c r="AB3402">
        <v>16</v>
      </c>
      <c r="AC3402">
        <v>-21.892700000000001</v>
      </c>
      <c r="AD3402">
        <v>-1.1093601476799999</v>
      </c>
      <c r="AE3402">
        <v>-2.1266000000000198</v>
      </c>
      <c r="AF3402">
        <v>2.7411932935532399</v>
      </c>
      <c r="AG3402">
        <v>-1.1093601476799999</v>
      </c>
      <c r="AH3402">
        <v>21.7680178251243</v>
      </c>
      <c r="AI3402">
        <v>92.8946106329049</v>
      </c>
      <c r="AJ3402">
        <v>82.822662185122496</v>
      </c>
      <c r="AK3402">
        <v>21.967963506998299</v>
      </c>
      <c r="AL3402">
        <v>78.360464048098905</v>
      </c>
      <c r="AM3402">
        <v>82.486345116058601</v>
      </c>
      <c r="AN3402">
        <v>0.99999994045946805</v>
      </c>
    </row>
    <row r="3403" spans="1:40" x14ac:dyDescent="0.25">
      <c r="A3403" t="str">
        <f>"20190312172729951"</f>
        <v>20190312172729951</v>
      </c>
      <c r="B3403" t="str">
        <f>"1552382849942812"</f>
        <v>1552382849942812</v>
      </c>
      <c r="C3403" t="s">
        <v>40</v>
      </c>
      <c r="D3403">
        <v>3.541744</v>
      </c>
      <c r="E3403">
        <v>0.50016970000000005</v>
      </c>
      <c r="F3403" t="s">
        <v>41</v>
      </c>
      <c r="G3403">
        <v>-235.56559999999999</v>
      </c>
      <c r="H3403" s="1">
        <v>-1.9996080000000001E-6</v>
      </c>
      <c r="I3403">
        <v>140.04830000000001</v>
      </c>
      <c r="J3403">
        <v>-213.49789999999999</v>
      </c>
      <c r="K3403">
        <v>1.109326</v>
      </c>
      <c r="L3403">
        <v>142.16569999999999</v>
      </c>
      <c r="M3403">
        <v>-0.97583909999999996</v>
      </c>
      <c r="N3403">
        <v>0</v>
      </c>
      <c r="O3403">
        <v>-0.21808910000000001</v>
      </c>
      <c r="P3403">
        <v>-0.97790330000000003</v>
      </c>
      <c r="Q3403">
        <v>0.18932389999999999</v>
      </c>
      <c r="R3403">
        <v>-8.8666300000000003E-2</v>
      </c>
      <c r="S3403">
        <v>-3.0704039999999999</v>
      </c>
      <c r="T3403">
        <v>-0.15327009999999999</v>
      </c>
      <c r="U3403">
        <v>-0.29701230000000001</v>
      </c>
      <c r="V3403">
        <v>0.1272731</v>
      </c>
      <c r="W3403">
        <v>0.20188739999999999</v>
      </c>
      <c r="X3403">
        <v>0.97110399999999997</v>
      </c>
      <c r="Y3403">
        <v>0.1227135</v>
      </c>
      <c r="Z3403">
        <v>1.381484E-2</v>
      </c>
      <c r="AA3403">
        <v>0.99234599999999995</v>
      </c>
      <c r="AB3403">
        <v>16</v>
      </c>
      <c r="AC3403">
        <v>-22.067699999999999</v>
      </c>
      <c r="AD3403">
        <v>-1.1093279996080001</v>
      </c>
      <c r="AE3403">
        <v>-2.1173999999999702</v>
      </c>
      <c r="AF3403">
        <v>2.7398632560729901</v>
      </c>
      <c r="AG3403">
        <v>-1.1093279996080001</v>
      </c>
      <c r="AH3403">
        <v>21.943288530907999</v>
      </c>
      <c r="AI3403">
        <v>92.871823317896798</v>
      </c>
      <c r="AJ3403">
        <v>82.8828194429082</v>
      </c>
      <c r="AK3403">
        <v>22.14148528946</v>
      </c>
      <c r="AL3403">
        <v>78.352648874296094</v>
      </c>
      <c r="AM3403">
        <v>82.533359630743902</v>
      </c>
      <c r="AN3403">
        <v>0.99999997153918396</v>
      </c>
    </row>
    <row r="3404" spans="1:40" x14ac:dyDescent="0.25">
      <c r="A3404" t="str">
        <f>"20190312172729975"</f>
        <v>20190312172729975</v>
      </c>
      <c r="B3404" t="str">
        <f>"1552382849972091"</f>
        <v>1552382849972091</v>
      </c>
      <c r="C3404" t="s">
        <v>40</v>
      </c>
      <c r="D3404">
        <v>3.594249</v>
      </c>
      <c r="E3404">
        <v>0.50011410000000001</v>
      </c>
      <c r="F3404" t="s">
        <v>41</v>
      </c>
      <c r="G3404">
        <v>-235.76410000000001</v>
      </c>
      <c r="H3404" s="1">
        <v>-1.911674E-6</v>
      </c>
      <c r="I3404">
        <v>140.0378</v>
      </c>
      <c r="J3404">
        <v>-213.66460000000001</v>
      </c>
      <c r="K3404">
        <v>1.1092919999999999</v>
      </c>
      <c r="L3404">
        <v>142.13140000000001</v>
      </c>
      <c r="M3404">
        <v>-0.97636860000000003</v>
      </c>
      <c r="N3404">
        <v>0</v>
      </c>
      <c r="O3404">
        <v>-0.21570529999999999</v>
      </c>
      <c r="P3404">
        <v>-0.9780219</v>
      </c>
      <c r="Q3404">
        <v>0.18954460000000001</v>
      </c>
      <c r="R3404">
        <v>-8.6868559999999997E-2</v>
      </c>
      <c r="S3404">
        <v>-3.0708160000000002</v>
      </c>
      <c r="T3404">
        <v>-0.15299189999999999</v>
      </c>
      <c r="U3404">
        <v>-0.29345700000000002</v>
      </c>
      <c r="V3404">
        <v>0.12669</v>
      </c>
      <c r="W3404">
        <v>0.20210130000000001</v>
      </c>
      <c r="X3404">
        <v>0.97113579999999999</v>
      </c>
      <c r="Y3404">
        <v>0.12144679999999999</v>
      </c>
      <c r="Z3404">
        <v>1.364194E-2</v>
      </c>
      <c r="AA3404">
        <v>0.99250419999999995</v>
      </c>
      <c r="AB3404">
        <v>16</v>
      </c>
      <c r="AC3404">
        <v>-22.099499999999999</v>
      </c>
      <c r="AD3404">
        <v>-1.1092939116739999</v>
      </c>
      <c r="AE3404">
        <v>-2.0935999999999999</v>
      </c>
      <c r="AF3404">
        <v>2.7163099608479402</v>
      </c>
      <c r="AG3404">
        <v>-1.1092939116739999</v>
      </c>
      <c r="AH3404">
        <v>21.9759150752053</v>
      </c>
      <c r="AI3404">
        <v>92.867919149293996</v>
      </c>
      <c r="AJ3404">
        <v>82.953754192542306</v>
      </c>
      <c r="AK3404">
        <v>22.170920508145699</v>
      </c>
      <c r="AL3404">
        <v>78.340135896877399</v>
      </c>
      <c r="AM3404">
        <v>82.567425238814195</v>
      </c>
      <c r="AN3404">
        <v>1.0000000168016601</v>
      </c>
    </row>
    <row r="3405" spans="1:40" x14ac:dyDescent="0.25">
      <c r="A3405" t="str">
        <f>"20190312172729997"</f>
        <v>20190312172729997</v>
      </c>
      <c r="B3405" t="str">
        <f>"1552382849992587"</f>
        <v>1552382849992587</v>
      </c>
      <c r="C3405" t="s">
        <v>40</v>
      </c>
      <c r="D3405">
        <v>3.585461</v>
      </c>
      <c r="E3405">
        <v>0.50060450000000001</v>
      </c>
      <c r="F3405" t="s">
        <v>41</v>
      </c>
      <c r="G3405">
        <v>-236.01300000000001</v>
      </c>
      <c r="H3405" s="1">
        <v>-1.8028929999999999E-6</v>
      </c>
      <c r="I3405">
        <v>140.03020000000001</v>
      </c>
      <c r="J3405">
        <v>-213.82679999999999</v>
      </c>
      <c r="K3405">
        <v>1.109267</v>
      </c>
      <c r="L3405">
        <v>142.0986</v>
      </c>
      <c r="M3405">
        <v>-0.97689099999999995</v>
      </c>
      <c r="N3405">
        <v>0</v>
      </c>
      <c r="O3405">
        <v>-0.2133274</v>
      </c>
      <c r="P3405">
        <v>-0.97813890000000003</v>
      </c>
      <c r="Q3405">
        <v>0.18981600000000001</v>
      </c>
      <c r="R3405">
        <v>-8.4938169999999993E-2</v>
      </c>
      <c r="S3405">
        <v>-3.0713200000000001</v>
      </c>
      <c r="T3405">
        <v>-0.15244949999999999</v>
      </c>
      <c r="U3405">
        <v>-0.28875729999999999</v>
      </c>
      <c r="V3405">
        <v>0.12624349999999901</v>
      </c>
      <c r="W3405">
        <v>0.2023655</v>
      </c>
      <c r="X3405">
        <v>0.97113890000000003</v>
      </c>
      <c r="Y3405">
        <v>0.1205576</v>
      </c>
      <c r="Z3405">
        <v>1.345582E-2</v>
      </c>
      <c r="AA3405">
        <v>0.99261520000000003</v>
      </c>
      <c r="AB3405">
        <v>16</v>
      </c>
      <c r="AC3405">
        <v>-22.186199999999999</v>
      </c>
      <c r="AD3405">
        <v>-1.109268802893</v>
      </c>
      <c r="AE3405">
        <v>-2.0683999999999898</v>
      </c>
      <c r="AF3405">
        <v>2.7058550618977</v>
      </c>
      <c r="AG3405">
        <v>-1.109268802893</v>
      </c>
      <c r="AH3405">
        <v>22.062009452293399</v>
      </c>
      <c r="AI3405">
        <v>92.857012240735699</v>
      </c>
      <c r="AJ3405">
        <v>83.007724332954993</v>
      </c>
      <c r="AK3405">
        <v>22.254985732778</v>
      </c>
      <c r="AL3405">
        <v>78.324678653684799</v>
      </c>
      <c r="AM3405">
        <v>82.593352259860296</v>
      </c>
      <c r="AN3405">
        <v>0.999999989987855</v>
      </c>
    </row>
    <row r="3406" spans="1:40" x14ac:dyDescent="0.25">
      <c r="A3406" t="str">
        <f>"20190312172730019"</f>
        <v>20190312172730019</v>
      </c>
      <c r="B3406" t="str">
        <f>"1552382850012107"</f>
        <v>1552382850012107</v>
      </c>
      <c r="C3406" t="s">
        <v>40</v>
      </c>
      <c r="D3406">
        <v>3.6051690000000001</v>
      </c>
      <c r="E3406">
        <v>0.53456029999999999</v>
      </c>
      <c r="F3406" t="s">
        <v>41</v>
      </c>
      <c r="G3406">
        <v>-236.23859999999999</v>
      </c>
      <c r="H3406" s="1">
        <v>-1.7156079999999999E-6</v>
      </c>
      <c r="I3406">
        <v>140.066</v>
      </c>
      <c r="J3406">
        <v>-213.98390000000001</v>
      </c>
      <c r="K3406">
        <v>1.109248</v>
      </c>
      <c r="L3406">
        <v>142.06720000000001</v>
      </c>
      <c r="M3406">
        <v>-0.97740329999999997</v>
      </c>
      <c r="N3406">
        <v>0</v>
      </c>
      <c r="O3406">
        <v>-0.2109673</v>
      </c>
      <c r="P3406">
        <v>-0.97832739999999996</v>
      </c>
      <c r="Q3406">
        <v>0.19003320000000001</v>
      </c>
      <c r="R3406">
        <v>-8.2237879999999999E-2</v>
      </c>
      <c r="S3406">
        <v>-3.0723880000000001</v>
      </c>
      <c r="T3406">
        <v>-0.15206720000000001</v>
      </c>
      <c r="U3406">
        <v>-0.27862550000000003</v>
      </c>
      <c r="V3406">
        <v>0.12658349999999999</v>
      </c>
      <c r="W3406">
        <v>0.20257520000000001</v>
      </c>
      <c r="X3406">
        <v>0.97105090000000005</v>
      </c>
      <c r="Y3406">
        <v>0.12144149999999999</v>
      </c>
      <c r="Z3406">
        <v>1.3328329999999999E-2</v>
      </c>
      <c r="AA3406">
        <v>0.99250910000000003</v>
      </c>
      <c r="AB3406">
        <v>16</v>
      </c>
      <c r="AC3406">
        <v>-22.2546999999999</v>
      </c>
      <c r="AD3406">
        <v>-1.1092497156079999</v>
      </c>
      <c r="AE3406">
        <v>-2.0012000000000101</v>
      </c>
      <c r="AF3406">
        <v>2.7325408170536698</v>
      </c>
      <c r="AG3406">
        <v>-1.1092497156079999</v>
      </c>
      <c r="AH3406">
        <v>22.121435114712199</v>
      </c>
      <c r="AI3406">
        <v>92.848998638028803</v>
      </c>
      <c r="AJ3406">
        <v>82.958233924841494</v>
      </c>
      <c r="AK3406">
        <v>22.317148244855598</v>
      </c>
      <c r="AL3406">
        <v>78.312409406980507</v>
      </c>
      <c r="AM3406">
        <v>82.572961496706</v>
      </c>
      <c r="AN3406">
        <v>0.99999997225904902</v>
      </c>
    </row>
    <row r="3407" spans="1:40" x14ac:dyDescent="0.25">
      <c r="A3407" t="str">
        <f>"20190312172730043"</f>
        <v>20190312172730043</v>
      </c>
      <c r="B3407" t="str">
        <f>"1552382850032603"</f>
        <v>1552382850032603</v>
      </c>
      <c r="C3407" t="s">
        <v>40</v>
      </c>
      <c r="D3407">
        <v>3.5789209999999998</v>
      </c>
      <c r="E3407">
        <v>0.53467730000000002</v>
      </c>
      <c r="F3407" t="s">
        <v>41</v>
      </c>
      <c r="G3407">
        <v>-235.55549999999999</v>
      </c>
      <c r="H3407" s="1">
        <v>-2.54154E-6</v>
      </c>
      <c r="I3407">
        <v>142.06870000000001</v>
      </c>
      <c r="J3407">
        <v>-214.149</v>
      </c>
      <c r="K3407">
        <v>1.109226</v>
      </c>
      <c r="L3407">
        <v>142.03469999999999</v>
      </c>
      <c r="M3407">
        <v>-0.97794820000000005</v>
      </c>
      <c r="N3407">
        <v>0</v>
      </c>
      <c r="O3407">
        <v>-0.20842620000000001</v>
      </c>
      <c r="P3407">
        <v>-0.97836339999999999</v>
      </c>
      <c r="Q3407">
        <v>0.19109870000000001</v>
      </c>
      <c r="R3407">
        <v>-7.92881E-2</v>
      </c>
      <c r="S3407">
        <v>-3.097397</v>
      </c>
      <c r="T3407">
        <v>-0.1592739</v>
      </c>
      <c r="U3407">
        <v>2.2888180000000001E-4</v>
      </c>
      <c r="V3407">
        <v>0.1269613</v>
      </c>
      <c r="W3407">
        <v>0.2036318</v>
      </c>
      <c r="X3407">
        <v>0.97078059999999999</v>
      </c>
      <c r="Y3407">
        <v>0.20796970000000001</v>
      </c>
      <c r="Z3407">
        <v>1.5995599999999999E-2</v>
      </c>
      <c r="AA3407">
        <v>0.97800450000000005</v>
      </c>
      <c r="AB3407">
        <v>16</v>
      </c>
      <c r="AC3407">
        <v>-21.406499999999902</v>
      </c>
      <c r="AD3407">
        <v>-1.1092285415400001</v>
      </c>
      <c r="AE3407">
        <v>3.4000000000020202E-2</v>
      </c>
      <c r="AF3407">
        <v>4.4832831652084097</v>
      </c>
      <c r="AG3407">
        <v>-1.1092285415400001</v>
      </c>
      <c r="AH3407">
        <v>20.873156683412599</v>
      </c>
      <c r="AI3407">
        <v>92.974210178338396</v>
      </c>
      <c r="AJ3407">
        <v>77.877783926968107</v>
      </c>
      <c r="AK3407">
        <v>21.378000042733198</v>
      </c>
      <c r="AL3407">
        <v>78.2505826885739</v>
      </c>
      <c r="AM3407">
        <v>82.548992640547198</v>
      </c>
      <c r="AN3407">
        <v>1.0000000275026399</v>
      </c>
    </row>
    <row r="3408" spans="1:40" x14ac:dyDescent="0.25">
      <c r="A3408" t="str">
        <f>"20190312172730066"</f>
        <v>20190312172730066</v>
      </c>
      <c r="B3408" t="str">
        <f>"1552382850062859"</f>
        <v>1552382850062859</v>
      </c>
      <c r="C3408" t="s">
        <v>40</v>
      </c>
      <c r="D3408">
        <v>3.549515</v>
      </c>
      <c r="E3408">
        <v>0.53468019999999905</v>
      </c>
      <c r="F3408" t="s">
        <v>41</v>
      </c>
      <c r="G3408">
        <v>-236.56909999999999</v>
      </c>
      <c r="H3408" s="1">
        <v>-2.1186220000000001E-6</v>
      </c>
      <c r="I3408">
        <v>142.11349999999999</v>
      </c>
      <c r="J3408">
        <v>-214.3126</v>
      </c>
      <c r="K3408">
        <v>1.1092010000000001</v>
      </c>
      <c r="L3408">
        <v>142.00299999999999</v>
      </c>
      <c r="M3408">
        <v>-0.97849350000000002</v>
      </c>
      <c r="N3408">
        <v>0</v>
      </c>
      <c r="O3408">
        <v>-0.2058517</v>
      </c>
      <c r="P3408">
        <v>-0.97851770000000005</v>
      </c>
      <c r="Q3408">
        <v>0.19151609999999999</v>
      </c>
      <c r="R3408">
        <v>-7.6322589999999996E-2</v>
      </c>
      <c r="S3408">
        <v>-3.097153</v>
      </c>
      <c r="T3408">
        <v>-0.15323110000000001</v>
      </c>
      <c r="U3408">
        <v>1.089478E-2</v>
      </c>
      <c r="V3408">
        <v>0.1273475</v>
      </c>
      <c r="W3408">
        <v>0.20404169999999999</v>
      </c>
      <c r="X3408">
        <v>0.9706439</v>
      </c>
      <c r="Y3408">
        <v>0.2088062</v>
      </c>
      <c r="Z3408">
        <v>1.528706E-2</v>
      </c>
      <c r="AA3408">
        <v>0.97783759999999997</v>
      </c>
      <c r="AB3408">
        <v>16</v>
      </c>
      <c r="AC3408">
        <v>-22.2564999999999</v>
      </c>
      <c r="AD3408">
        <v>-1.1092031186219999</v>
      </c>
      <c r="AE3408">
        <v>0.110500000000001</v>
      </c>
      <c r="AF3408">
        <v>4.6784537399011601</v>
      </c>
      <c r="AG3408">
        <v>-1.1092031186219999</v>
      </c>
      <c r="AH3408">
        <v>21.703099940241302</v>
      </c>
      <c r="AI3408">
        <v>92.860143739761895</v>
      </c>
      <c r="AJ3408">
        <v>77.8351185231286</v>
      </c>
      <c r="AK3408">
        <v>22.2293231559321</v>
      </c>
      <c r="AL3408">
        <v>78.226593055605093</v>
      </c>
      <c r="AM3408">
        <v>82.525542836338602</v>
      </c>
      <c r="AN3408">
        <v>0.99999999085117497</v>
      </c>
    </row>
    <row r="3409" spans="1:40" x14ac:dyDescent="0.25">
      <c r="A3409" t="str">
        <f>"20190312172730090"</f>
        <v>20190312172730090</v>
      </c>
      <c r="B3409" t="str">
        <f>"1552382850082379"</f>
        <v>1552382850082379</v>
      </c>
      <c r="C3409" t="s">
        <v>40</v>
      </c>
      <c r="D3409">
        <v>3.579453</v>
      </c>
      <c r="E3409">
        <v>0.53470699999999904</v>
      </c>
      <c r="F3409" t="s">
        <v>41</v>
      </c>
      <c r="G3409">
        <v>-236.9461</v>
      </c>
      <c r="H3409" s="1">
        <v>-1.9662619999999999E-6</v>
      </c>
      <c r="I3409">
        <v>142.14869999999999</v>
      </c>
      <c r="J3409">
        <v>-214.47710000000001</v>
      </c>
      <c r="K3409">
        <v>1.1091759999999999</v>
      </c>
      <c r="L3409">
        <v>141.9717</v>
      </c>
      <c r="M3409">
        <v>-0.97904559999999996</v>
      </c>
      <c r="N3409">
        <v>0</v>
      </c>
      <c r="O3409">
        <v>-0.20320849999999999</v>
      </c>
      <c r="P3409">
        <v>-0.97869410000000001</v>
      </c>
      <c r="Q3409">
        <v>0.1917258</v>
      </c>
      <c r="R3409">
        <v>-7.3475390000000002E-2</v>
      </c>
      <c r="S3409">
        <v>-3.0971069999999998</v>
      </c>
      <c r="T3409">
        <v>-0.15178050000000001</v>
      </c>
      <c r="U3409">
        <v>1.9943240000000001E-2</v>
      </c>
      <c r="V3409">
        <v>0.127555</v>
      </c>
      <c r="W3409">
        <v>0.2042447</v>
      </c>
      <c r="X3409">
        <v>0.97057400000000005</v>
      </c>
      <c r="Y3409">
        <v>0.20903469999999999</v>
      </c>
      <c r="Z3409">
        <v>1.502158E-2</v>
      </c>
      <c r="AA3409">
        <v>0.97779289999999996</v>
      </c>
      <c r="AB3409">
        <v>16</v>
      </c>
      <c r="AC3409">
        <v>-22.468999999999902</v>
      </c>
      <c r="AD3409">
        <v>-1.109177966262</v>
      </c>
      <c r="AE3409">
        <v>0.176999999999992</v>
      </c>
      <c r="AF3409">
        <v>4.7280789368309701</v>
      </c>
      <c r="AG3409">
        <v>-1.109177966262</v>
      </c>
      <c r="AH3409">
        <v>21.910750157780001</v>
      </c>
      <c r="AI3409">
        <v>92.832888757496505</v>
      </c>
      <c r="AJ3409">
        <v>77.822967604635494</v>
      </c>
      <c r="AK3409">
        <v>22.4425038413811</v>
      </c>
      <c r="AL3409">
        <v>78.214712303181102</v>
      </c>
      <c r="AM3409">
        <v>82.512968939383697</v>
      </c>
      <c r="AN3409">
        <v>1.0000000324895399</v>
      </c>
    </row>
    <row r="3410" spans="1:40" x14ac:dyDescent="0.25">
      <c r="A3410" t="str">
        <f>"20190312172730112"</f>
        <v>20190312172730112</v>
      </c>
      <c r="B3410" t="str">
        <f>"1552382850102876"</f>
        <v>1552382850102876</v>
      </c>
      <c r="C3410" t="s">
        <v>40</v>
      </c>
      <c r="D3410">
        <v>3.548362</v>
      </c>
      <c r="E3410">
        <v>0.53449049999999998</v>
      </c>
      <c r="F3410" t="s">
        <v>41</v>
      </c>
      <c r="G3410">
        <v>-237.0744</v>
      </c>
      <c r="H3410" s="1">
        <v>-1.9190120000000001E-6</v>
      </c>
      <c r="I3410">
        <v>142.178</v>
      </c>
      <c r="J3410">
        <v>-214.63579999999999</v>
      </c>
      <c r="K3410">
        <v>1.109159</v>
      </c>
      <c r="L3410">
        <v>141.9419</v>
      </c>
      <c r="M3410">
        <v>-0.97957969999999905</v>
      </c>
      <c r="N3410">
        <v>0</v>
      </c>
      <c r="O3410">
        <v>-0.20061850000000001</v>
      </c>
      <c r="P3410">
        <v>-0.97879479999999996</v>
      </c>
      <c r="Q3410">
        <v>0.19193979999999999</v>
      </c>
      <c r="R3410">
        <v>-7.1554820000000005E-2</v>
      </c>
      <c r="S3410">
        <v>-3.0971829999999998</v>
      </c>
      <c r="T3410">
        <v>-0.15202379999999999</v>
      </c>
      <c r="U3410">
        <v>2.8289789999999999E-2</v>
      </c>
      <c r="V3410">
        <v>0.12689139999999999</v>
      </c>
      <c r="W3410">
        <v>0.20445849999999999</v>
      </c>
      <c r="X3410">
        <v>0.97061589999999998</v>
      </c>
      <c r="Y3410">
        <v>0.20908470000000001</v>
      </c>
      <c r="Z3410">
        <v>1.49219E-2</v>
      </c>
      <c r="AA3410">
        <v>0.97778370000000003</v>
      </c>
      <c r="AB3410">
        <v>16</v>
      </c>
      <c r="AC3410">
        <v>-22.438600000000001</v>
      </c>
      <c r="AD3410">
        <v>-1.109160919012</v>
      </c>
      <c r="AE3410">
        <v>0.23609999999999301</v>
      </c>
      <c r="AF3410">
        <v>4.7217572391309002</v>
      </c>
      <c r="AG3410">
        <v>-1.109160919012</v>
      </c>
      <c r="AH3410">
        <v>21.881499800688601</v>
      </c>
      <c r="AI3410">
        <v>92.836626210147998</v>
      </c>
      <c r="AJ3410">
        <v>77.822992171332899</v>
      </c>
      <c r="AK3410">
        <v>22.4126139237949</v>
      </c>
      <c r="AL3410">
        <v>78.202197589787602</v>
      </c>
      <c r="AM3410">
        <v>82.551799364552707</v>
      </c>
      <c r="AN3410">
        <v>0.99999996547450898</v>
      </c>
    </row>
    <row r="3411" spans="1:40" x14ac:dyDescent="0.25">
      <c r="A3411" t="str">
        <f>"20190312172730132"</f>
        <v>20190312172730132</v>
      </c>
      <c r="B3411" t="str">
        <f>"1552382850122395"</f>
        <v>1552382850122395</v>
      </c>
      <c r="C3411" t="s">
        <v>40</v>
      </c>
      <c r="D3411">
        <v>3.5445509999999998</v>
      </c>
      <c r="E3411">
        <v>0.53431589999999995</v>
      </c>
      <c r="F3411" t="s">
        <v>41</v>
      </c>
      <c r="G3411">
        <v>-237.4177</v>
      </c>
      <c r="H3411" s="1">
        <v>-1.7725509999999999E-6</v>
      </c>
      <c r="I3411">
        <v>142.18109999999999</v>
      </c>
      <c r="J3411">
        <v>-214.77670000000001</v>
      </c>
      <c r="K3411">
        <v>1.109151</v>
      </c>
      <c r="L3411">
        <v>141.91589999999999</v>
      </c>
      <c r="M3411">
        <v>-0.98005180000000003</v>
      </c>
      <c r="N3411">
        <v>0</v>
      </c>
      <c r="O3411">
        <v>-0.19829910000000001</v>
      </c>
      <c r="P3411">
        <v>-0.97889519999999997</v>
      </c>
      <c r="Q3411">
        <v>0.1919853</v>
      </c>
      <c r="R3411">
        <v>-7.0044090000000003E-2</v>
      </c>
      <c r="S3411">
        <v>-3.0969389999999999</v>
      </c>
      <c r="T3411">
        <v>-0.15077779999999999</v>
      </c>
      <c r="U3411">
        <v>3.251648E-2</v>
      </c>
      <c r="V3411">
        <v>0.12609110000000001</v>
      </c>
      <c r="W3411">
        <v>0.204508</v>
      </c>
      <c r="X3411">
        <v>0.97070979999999996</v>
      </c>
      <c r="Y3411">
        <v>0.20811679999999999</v>
      </c>
      <c r="Z3411">
        <v>1.4666419999999999E-2</v>
      </c>
      <c r="AA3411">
        <v>0.97799400000000003</v>
      </c>
      <c r="AB3411">
        <v>16</v>
      </c>
      <c r="AC3411">
        <v>-22.640999999999899</v>
      </c>
      <c r="AD3411">
        <v>-1.109152772551</v>
      </c>
      <c r="AE3411">
        <v>0.265199999999993</v>
      </c>
      <c r="AF3411">
        <v>4.7386468528094499</v>
      </c>
      <c r="AG3411">
        <v>-1.109152772551</v>
      </c>
      <c r="AH3411">
        <v>22.085715429106301</v>
      </c>
      <c r="AI3411">
        <v>92.811129141163093</v>
      </c>
      <c r="AJ3411">
        <v>77.890377642795897</v>
      </c>
      <c r="AK3411">
        <v>22.615565875829098</v>
      </c>
      <c r="AL3411">
        <v>78.199300661028303</v>
      </c>
      <c r="AM3411">
        <v>82.598960461442402</v>
      </c>
      <c r="AN3411">
        <v>1.00000000168962</v>
      </c>
    </row>
    <row r="3412" spans="1:40" x14ac:dyDescent="0.25">
      <c r="A3412" t="str">
        <f>"20190312172730155"</f>
        <v>20190312172730155</v>
      </c>
      <c r="B3412" t="str">
        <f>"1552382850152652"</f>
        <v>1552382850152652</v>
      </c>
      <c r="C3412" t="s">
        <v>40</v>
      </c>
      <c r="D3412">
        <v>3.5349560000000002</v>
      </c>
      <c r="E3412">
        <v>0.53409869999999904</v>
      </c>
      <c r="F3412" t="s">
        <v>41</v>
      </c>
      <c r="G3412">
        <v>-237.56870000000001</v>
      </c>
      <c r="H3412" s="1">
        <v>-1.7095539999999999E-6</v>
      </c>
      <c r="I3412">
        <v>142.18780000000001</v>
      </c>
      <c r="J3412">
        <v>-214.94370000000001</v>
      </c>
      <c r="K3412">
        <v>1.1091549999999999</v>
      </c>
      <c r="L3412">
        <v>141.88560000000001</v>
      </c>
      <c r="M3412">
        <v>-0.9806068</v>
      </c>
      <c r="N3412">
        <v>0</v>
      </c>
      <c r="O3412">
        <v>-0.1955363</v>
      </c>
      <c r="P3412">
        <v>-0.97899170000000002</v>
      </c>
      <c r="Q3412">
        <v>0.19213559999999999</v>
      </c>
      <c r="R3412">
        <v>-6.8261390000000005E-2</v>
      </c>
      <c r="S3412">
        <v>-3.0968930000000001</v>
      </c>
      <c r="T3412">
        <v>-0.1507078</v>
      </c>
      <c r="U3412">
        <v>3.694153E-2</v>
      </c>
      <c r="V3412">
        <v>0.12511269999999999</v>
      </c>
      <c r="W3412">
        <v>0.20466580000000001</v>
      </c>
      <c r="X3412">
        <v>0.97080310000000003</v>
      </c>
      <c r="Y3412">
        <v>0.206763</v>
      </c>
      <c r="Z3412">
        <v>1.4494709999999999E-2</v>
      </c>
      <c r="AA3412">
        <v>0.97828369999999998</v>
      </c>
      <c r="AB3412">
        <v>16</v>
      </c>
      <c r="AC3412">
        <v>-22.625</v>
      </c>
      <c r="AD3412">
        <v>-1.10915670955399</v>
      </c>
      <c r="AE3412">
        <v>0.30219999999999902</v>
      </c>
      <c r="AF3412">
        <v>4.7094470630661096</v>
      </c>
      <c r="AG3412">
        <v>-1.10915670955399</v>
      </c>
      <c r="AH3412">
        <v>22.0760377087169</v>
      </c>
      <c r="AI3412">
        <v>92.813075325320696</v>
      </c>
      <c r="AJ3412">
        <v>77.9576920837616</v>
      </c>
      <c r="AK3412">
        <v>22.6000124151041</v>
      </c>
      <c r="AL3412">
        <v>78.1900636158352</v>
      </c>
      <c r="AM3412">
        <v>82.656457329998005</v>
      </c>
      <c r="AN3412">
        <v>0.99999996818026904</v>
      </c>
    </row>
    <row r="3413" spans="1:40" x14ac:dyDescent="0.25">
      <c r="A3413" t="str">
        <f>"20190312172730178"</f>
        <v>20190312172730178</v>
      </c>
      <c r="B3413" t="str">
        <f>"1552382850172172"</f>
        <v>1552382850172172</v>
      </c>
      <c r="C3413" t="s">
        <v>40</v>
      </c>
      <c r="D3413">
        <v>3.4961229999999999</v>
      </c>
      <c r="E3413">
        <v>0.53400209999999904</v>
      </c>
      <c r="F3413" t="s">
        <v>41</v>
      </c>
      <c r="G3413">
        <v>-237.62360000000001</v>
      </c>
      <c r="H3413" s="1">
        <v>-1.6852279999999999E-6</v>
      </c>
      <c r="I3413">
        <v>142.1849</v>
      </c>
      <c r="J3413">
        <v>-215.10169999999999</v>
      </c>
      <c r="K3413">
        <v>1.1091709999999999</v>
      </c>
      <c r="L3413">
        <v>141.85740000000001</v>
      </c>
      <c r="M3413">
        <v>-0.98112529999999998</v>
      </c>
      <c r="N3413">
        <v>0</v>
      </c>
      <c r="O3413">
        <v>-0.19291749999999999</v>
      </c>
      <c r="P3413">
        <v>-0.97897630000000002</v>
      </c>
      <c r="Q3413">
        <v>0.1930404</v>
      </c>
      <c r="R3413">
        <v>-6.5886330000000007E-2</v>
      </c>
      <c r="S3413">
        <v>-3.0969389999999999</v>
      </c>
      <c r="T3413">
        <v>-0.1514549</v>
      </c>
      <c r="U3413">
        <v>4.0878299999999999E-2</v>
      </c>
      <c r="V3413">
        <v>0.12483619999999999</v>
      </c>
      <c r="W3413">
        <v>0.20557439999999999</v>
      </c>
      <c r="X3413">
        <v>0.97064669999999997</v>
      </c>
      <c r="Y3413">
        <v>0.20539399999999999</v>
      </c>
      <c r="Z3413">
        <v>1.4406779999999999E-2</v>
      </c>
      <c r="AA3413">
        <v>0.97857329999999998</v>
      </c>
      <c r="AB3413">
        <v>16</v>
      </c>
      <c r="AC3413">
        <v>-22.521899999999999</v>
      </c>
      <c r="AD3413">
        <v>-1.1091726852279999</v>
      </c>
      <c r="AE3413">
        <v>0.32749999999998602</v>
      </c>
      <c r="AF3413">
        <v>4.6553090928709704</v>
      </c>
      <c r="AG3413">
        <v>-1.1091726852279999</v>
      </c>
      <c r="AH3413">
        <v>21.9822593475979</v>
      </c>
      <c r="AI3413">
        <v>92.825988162700298</v>
      </c>
      <c r="AJ3413">
        <v>78.0428110515047</v>
      </c>
      <c r="AK3413">
        <v>22.497152993676298</v>
      </c>
      <c r="AL3413">
        <v>78.136873622618296</v>
      </c>
      <c r="AM3413">
        <v>82.671342199395198</v>
      </c>
      <c r="AN3413">
        <v>0.99999996349334397</v>
      </c>
    </row>
    <row r="3414" spans="1:40" x14ac:dyDescent="0.25">
      <c r="A3414" t="str">
        <f>"20190312172730199"</f>
        <v>20190312172730199</v>
      </c>
      <c r="B3414" t="str">
        <f>"1552382850192636"</f>
        <v>1552382850192636</v>
      </c>
      <c r="C3414" t="s">
        <v>40</v>
      </c>
      <c r="D3414">
        <v>3.5264150000000001</v>
      </c>
      <c r="E3414">
        <v>0.53379239999999994</v>
      </c>
      <c r="F3414" t="s">
        <v>41</v>
      </c>
      <c r="G3414">
        <v>-238.12719999999999</v>
      </c>
      <c r="H3414" s="1">
        <v>-1.4751489999999999E-6</v>
      </c>
      <c r="I3414">
        <v>142.2073</v>
      </c>
      <c r="J3414">
        <v>-215.2542</v>
      </c>
      <c r="K3414">
        <v>1.1091869999999999</v>
      </c>
      <c r="L3414">
        <v>141.8305</v>
      </c>
      <c r="M3414">
        <v>-0.9816182</v>
      </c>
      <c r="N3414">
        <v>0</v>
      </c>
      <c r="O3414">
        <v>-0.19039329999999999</v>
      </c>
      <c r="P3414">
        <v>-0.97882910000000001</v>
      </c>
      <c r="Q3414">
        <v>0.19440470000000001</v>
      </c>
      <c r="R3414">
        <v>-6.4036700000000002E-2</v>
      </c>
      <c r="S3414">
        <v>-3.0970149999999999</v>
      </c>
      <c r="T3414">
        <v>-0.14918779999999901</v>
      </c>
      <c r="U3414">
        <v>4.7073360000000002E-2</v>
      </c>
      <c r="V3414">
        <v>0.12411510000000001</v>
      </c>
      <c r="W3414">
        <v>0.20694389999999999</v>
      </c>
      <c r="X3414">
        <v>0.97044819999999998</v>
      </c>
      <c r="Y3414">
        <v>0.20485129999999999</v>
      </c>
      <c r="Z3414">
        <v>1.4058319999999999E-2</v>
      </c>
      <c r="AA3414">
        <v>0.97869209999999995</v>
      </c>
      <c r="AB3414">
        <v>16</v>
      </c>
      <c r="AC3414">
        <v>-22.872999999999902</v>
      </c>
      <c r="AD3414">
        <v>-1.109188475149</v>
      </c>
      <c r="AE3414">
        <v>0.37680000000000202</v>
      </c>
      <c r="AF3414">
        <v>4.7140731267699101</v>
      </c>
      <c r="AG3414">
        <v>-1.109188475149</v>
      </c>
      <c r="AH3414">
        <v>22.3302860193835</v>
      </c>
      <c r="AI3414">
        <v>92.7824294001705</v>
      </c>
      <c r="AJ3414">
        <v>78.079503082926394</v>
      </c>
      <c r="AK3414">
        <v>22.849386386190201</v>
      </c>
      <c r="AL3414">
        <v>78.056683442855899</v>
      </c>
      <c r="AM3414">
        <v>82.711744489292201</v>
      </c>
      <c r="AN3414">
        <v>1.00000002233922</v>
      </c>
    </row>
    <row r="3415" spans="1:40" x14ac:dyDescent="0.25">
      <c r="A3415" t="str">
        <f>"20190312172730221"</f>
        <v>20190312172730221</v>
      </c>
      <c r="B3415" t="str">
        <f>"1552382850212156"</f>
        <v>1552382850212156</v>
      </c>
      <c r="C3415" t="s">
        <v>40</v>
      </c>
      <c r="D3415">
        <v>3.5266730000000002</v>
      </c>
      <c r="E3415">
        <v>0.53351289999999996</v>
      </c>
      <c r="F3415" t="s">
        <v>41</v>
      </c>
      <c r="G3415">
        <v>-238.95580000000001</v>
      </c>
      <c r="H3415" s="1">
        <v>-1.1230159999999999E-6</v>
      </c>
      <c r="I3415">
        <v>142.21979999999999</v>
      </c>
      <c r="J3415">
        <v>-215.4117</v>
      </c>
      <c r="K3415">
        <v>1.1092109999999999</v>
      </c>
      <c r="L3415">
        <v>141.8032</v>
      </c>
      <c r="M3415">
        <v>-0.98211780000000004</v>
      </c>
      <c r="N3415">
        <v>0</v>
      </c>
      <c r="O3415">
        <v>-0.18779940000000001</v>
      </c>
      <c r="P3415">
        <v>-0.97881779999999996</v>
      </c>
      <c r="Q3415">
        <v>0.1947545</v>
      </c>
      <c r="R3415">
        <v>-6.3140440000000006E-2</v>
      </c>
      <c r="S3415">
        <v>-3.0970149999999999</v>
      </c>
      <c r="T3415">
        <v>-0.14493449999999999</v>
      </c>
      <c r="U3415">
        <v>5.0872800000000003E-2</v>
      </c>
      <c r="V3415">
        <v>0.12241290000000001</v>
      </c>
      <c r="W3415">
        <v>0.2073063</v>
      </c>
      <c r="X3415">
        <v>0.97058699999999998</v>
      </c>
      <c r="Y3415">
        <v>0.2034958</v>
      </c>
      <c r="Z3415">
        <v>1.350666E-2</v>
      </c>
      <c r="AA3415">
        <v>0.97898260000000004</v>
      </c>
      <c r="AB3415">
        <v>16</v>
      </c>
      <c r="AC3415">
        <v>-23.5441</v>
      </c>
      <c r="AD3415">
        <v>-1.1092121230159999</v>
      </c>
      <c r="AE3415">
        <v>0.41659999999998798</v>
      </c>
      <c r="AF3415">
        <v>4.8204474403736102</v>
      </c>
      <c r="AG3415">
        <v>-1.1092121230159999</v>
      </c>
      <c r="AH3415">
        <v>22.9958463538979</v>
      </c>
      <c r="AI3415">
        <v>92.702884019785998</v>
      </c>
      <c r="AJ3415">
        <v>78.160936527151094</v>
      </c>
      <c r="AK3415">
        <v>23.521819967666801</v>
      </c>
      <c r="AL3415">
        <v>78.035458586416794</v>
      </c>
      <c r="AM3415">
        <v>82.811664978005197</v>
      </c>
      <c r="AN3415">
        <v>0.999999972337549</v>
      </c>
    </row>
    <row r="3416" spans="1:40" x14ac:dyDescent="0.25">
      <c r="A3416" t="str">
        <f>"20190312172730245"</f>
        <v>20190312172730245</v>
      </c>
      <c r="B3416" t="str">
        <f>"1552382850232651"</f>
        <v>1552382850232651</v>
      </c>
      <c r="C3416" t="s">
        <v>40</v>
      </c>
      <c r="D3416">
        <v>3.4922469999999999</v>
      </c>
      <c r="E3416">
        <v>0.53328350000000002</v>
      </c>
      <c r="F3416" t="s">
        <v>41</v>
      </c>
      <c r="G3416">
        <v>-239.37270000000001</v>
      </c>
      <c r="H3416" s="1">
        <v>-9.4196199999999995E-7</v>
      </c>
      <c r="I3416">
        <v>142.2115</v>
      </c>
      <c r="J3416">
        <v>-215.57259999999999</v>
      </c>
      <c r="K3416">
        <v>1.1092299999999999</v>
      </c>
      <c r="L3416">
        <v>141.7757</v>
      </c>
      <c r="M3416">
        <v>-0.98261810000000005</v>
      </c>
      <c r="N3416">
        <v>0</v>
      </c>
      <c r="O3416">
        <v>-0.18516360000000001</v>
      </c>
      <c r="P3416">
        <v>-0.97880180000000006</v>
      </c>
      <c r="Q3416">
        <v>0.19531280000000001</v>
      </c>
      <c r="R3416">
        <v>-6.1644160000000003E-2</v>
      </c>
      <c r="S3416">
        <v>-3.0968629999999999</v>
      </c>
      <c r="T3416">
        <v>-0.1433614</v>
      </c>
      <c r="U3416">
        <v>5.2780149999999998E-2</v>
      </c>
      <c r="V3416">
        <v>0.1212609</v>
      </c>
      <c r="W3416">
        <v>0.20787259999999999</v>
      </c>
      <c r="X3416">
        <v>0.97061050000000004</v>
      </c>
      <c r="Y3416">
        <v>0.20148640000000001</v>
      </c>
      <c r="Z3416">
        <v>1.3194040000000001E-2</v>
      </c>
      <c r="AA3416">
        <v>0.97940240000000001</v>
      </c>
      <c r="AB3416">
        <v>16</v>
      </c>
      <c r="AC3416">
        <v>-23.8001</v>
      </c>
      <c r="AD3416">
        <v>-1.1092309419619999</v>
      </c>
      <c r="AE3416">
        <v>0.43580000000000002</v>
      </c>
      <c r="AF3416">
        <v>4.8250857659700301</v>
      </c>
      <c r="AG3416">
        <v>-1.1092309419619999</v>
      </c>
      <c r="AH3416">
        <v>23.257266269687999</v>
      </c>
      <c r="AI3416">
        <v>92.673742792591398</v>
      </c>
      <c r="AJ3416">
        <v>78.279361418742099</v>
      </c>
      <c r="AK3416">
        <v>23.778399447202901</v>
      </c>
      <c r="AL3416">
        <v>78.002289561748995</v>
      </c>
      <c r="AM3416">
        <v>82.878785620470495</v>
      </c>
      <c r="AN3416">
        <v>0.99999998320490902</v>
      </c>
    </row>
    <row r="3417" spans="1:40" x14ac:dyDescent="0.25">
      <c r="A3417" t="str">
        <f>"20190312172730267"</f>
        <v>20190312172730267</v>
      </c>
      <c r="B3417" t="str">
        <f>"1552382850262907"</f>
        <v>1552382850262907</v>
      </c>
      <c r="C3417" t="s">
        <v>40</v>
      </c>
      <c r="D3417">
        <v>3.500667</v>
      </c>
      <c r="E3417">
        <v>0.53286889999999998</v>
      </c>
      <c r="F3417" t="s">
        <v>41</v>
      </c>
      <c r="G3417">
        <v>-239.70259999999999</v>
      </c>
      <c r="H3417" s="1">
        <v>-8.0211839999999995E-7</v>
      </c>
      <c r="I3417">
        <v>142.21789999999999</v>
      </c>
      <c r="J3417">
        <v>-215.7311</v>
      </c>
      <c r="K3417">
        <v>1.1092500000000001</v>
      </c>
      <c r="L3417">
        <v>141.749</v>
      </c>
      <c r="M3417">
        <v>-0.98310109999999995</v>
      </c>
      <c r="N3417">
        <v>0</v>
      </c>
      <c r="O3417">
        <v>-0.18258289999999999</v>
      </c>
      <c r="P3417">
        <v>-0.97875449999999997</v>
      </c>
      <c r="Q3417">
        <v>0.19617019999999999</v>
      </c>
      <c r="R3417">
        <v>-5.964117E-2</v>
      </c>
      <c r="S3417">
        <v>-3.0969540000000002</v>
      </c>
      <c r="T3417">
        <v>-0.14236379999999901</v>
      </c>
      <c r="U3417">
        <v>5.6762699999999902E-2</v>
      </c>
      <c r="V3417">
        <v>0.120660199999999</v>
      </c>
      <c r="W3417">
        <v>0.208734</v>
      </c>
      <c r="X3417">
        <v>0.97050049999999999</v>
      </c>
      <c r="Y3417">
        <v>0.2001829</v>
      </c>
      <c r="Z3417">
        <v>1.295497E-2</v>
      </c>
      <c r="AA3417">
        <v>0.97967289999999996</v>
      </c>
      <c r="AB3417">
        <v>16</v>
      </c>
      <c r="AC3417">
        <v>-23.971499999999899</v>
      </c>
      <c r="AD3417">
        <v>-1.1092508021184</v>
      </c>
      <c r="AE3417">
        <v>0.46889999999998999</v>
      </c>
      <c r="AF3417">
        <v>4.8278534472334202</v>
      </c>
      <c r="AG3417">
        <v>-1.1092508021184</v>
      </c>
      <c r="AH3417">
        <v>23.4327018162465</v>
      </c>
      <c r="AI3417">
        <v>92.654555395628094</v>
      </c>
      <c r="AJ3417">
        <v>78.358218098348502</v>
      </c>
      <c r="AK3417">
        <v>23.9505766247722</v>
      </c>
      <c r="AL3417">
        <v>77.951828191959507</v>
      </c>
      <c r="AM3417">
        <v>82.912908018255393</v>
      </c>
      <c r="AN3417">
        <v>0.99999999356014502</v>
      </c>
    </row>
    <row r="3418" spans="1:40" x14ac:dyDescent="0.25">
      <c r="A3418" t="str">
        <f>"20190312172730289"</f>
        <v>20190312172730289</v>
      </c>
      <c r="B3418" t="str">
        <f>"1552382850282428"</f>
        <v>1552382850282428</v>
      </c>
      <c r="C3418" t="s">
        <v>40</v>
      </c>
      <c r="D3418">
        <v>3.4497260000000001</v>
      </c>
      <c r="E3418">
        <v>0.53262830000000005</v>
      </c>
      <c r="F3418" t="s">
        <v>41</v>
      </c>
      <c r="G3418">
        <v>-240.3596</v>
      </c>
      <c r="H3418" s="1">
        <v>-4.6155680000000003E-6</v>
      </c>
      <c r="I3418">
        <v>142.22040000000001</v>
      </c>
      <c r="J3418">
        <v>-215.8845</v>
      </c>
      <c r="K3418">
        <v>1.1092649999999999</v>
      </c>
      <c r="L3418">
        <v>141.7236</v>
      </c>
      <c r="M3418">
        <v>-0.98355979999999998</v>
      </c>
      <c r="N3418">
        <v>0</v>
      </c>
      <c r="O3418">
        <v>-0.180094899999999</v>
      </c>
      <c r="P3418">
        <v>-0.97870420000000002</v>
      </c>
      <c r="Q3418">
        <v>0.19697390000000001</v>
      </c>
      <c r="R3418">
        <v>-5.7789279999999998E-2</v>
      </c>
      <c r="S3418">
        <v>-3.0967099999999999</v>
      </c>
      <c r="T3418">
        <v>-0.13947390000000001</v>
      </c>
      <c r="U3418">
        <v>5.9280399999999997E-2</v>
      </c>
      <c r="V3418">
        <v>0.1200068</v>
      </c>
      <c r="W3418">
        <v>0.2095407</v>
      </c>
      <c r="X3418">
        <v>0.97040769999999998</v>
      </c>
      <c r="Y3418">
        <v>0.1985217</v>
      </c>
      <c r="Z3418">
        <v>1.2545260000000001E-2</v>
      </c>
      <c r="AA3418">
        <v>0.9800162</v>
      </c>
      <c r="AB3418">
        <v>16</v>
      </c>
      <c r="AC3418">
        <v>-24.475100000000001</v>
      </c>
      <c r="AD3418">
        <v>-1.109269615568</v>
      </c>
      <c r="AE3418">
        <v>0.49680000000000701</v>
      </c>
      <c r="AF3418">
        <v>4.88686994100585</v>
      </c>
      <c r="AG3418">
        <v>-1.109269615568</v>
      </c>
      <c r="AH3418">
        <v>23.936215930997399</v>
      </c>
      <c r="AI3418">
        <v>92.599791013190597</v>
      </c>
      <c r="AJ3418">
        <v>78.460949114343194</v>
      </c>
      <c r="AK3418">
        <v>24.4551509910624</v>
      </c>
      <c r="AL3418">
        <v>77.904562795693806</v>
      </c>
      <c r="AM3418">
        <v>82.950231634913806</v>
      </c>
      <c r="AN3418">
        <v>1.000000020611</v>
      </c>
    </row>
    <row r="3419" spans="1:40" x14ac:dyDescent="0.25">
      <c r="A3419" t="str">
        <f>"20190312172730310"</f>
        <v>20190312172730310</v>
      </c>
      <c r="B3419" t="str">
        <f>"1552382850302456"</f>
        <v>1552382850302456</v>
      </c>
      <c r="C3419" t="s">
        <v>40</v>
      </c>
      <c r="D3419">
        <v>3.4640569999999999</v>
      </c>
      <c r="E3419">
        <v>0.53254309999999905</v>
      </c>
      <c r="F3419" t="s">
        <v>41</v>
      </c>
      <c r="G3419">
        <v>-240.75739999999999</v>
      </c>
      <c r="H3419" s="1">
        <v>-4.4822190000000004E-6</v>
      </c>
      <c r="I3419">
        <v>142.23169999999999</v>
      </c>
      <c r="J3419">
        <v>-216.0301</v>
      </c>
      <c r="K3419">
        <v>1.109273</v>
      </c>
      <c r="L3419">
        <v>141.69990000000001</v>
      </c>
      <c r="M3419">
        <v>-0.98398940000000001</v>
      </c>
      <c r="N3419">
        <v>0</v>
      </c>
      <c r="O3419">
        <v>-0.17773449999999999</v>
      </c>
      <c r="P3419">
        <v>-0.9786338</v>
      </c>
      <c r="Q3419">
        <v>0.19779350000000001</v>
      </c>
      <c r="R3419">
        <v>-5.6161030000000001E-2</v>
      </c>
      <c r="S3419">
        <v>-3.0968170000000002</v>
      </c>
      <c r="T3419">
        <v>-0.13811039999999999</v>
      </c>
      <c r="U3419">
        <v>6.3262940000000004E-2</v>
      </c>
      <c r="V3419">
        <v>0.11925910000000001</v>
      </c>
      <c r="W3419">
        <v>0.21034630000000001</v>
      </c>
      <c r="X3419">
        <v>0.97032560000000001</v>
      </c>
      <c r="Y3419">
        <v>0.19744020000000001</v>
      </c>
      <c r="Z3419">
        <v>1.229427E-2</v>
      </c>
      <c r="AA3419">
        <v>0.98023780000000005</v>
      </c>
      <c r="AB3419">
        <v>16</v>
      </c>
      <c r="AC3419">
        <v>-24.7272999999999</v>
      </c>
      <c r="AD3419">
        <v>-1.1092774822189999</v>
      </c>
      <c r="AE3419">
        <v>0.53179999999997496</v>
      </c>
      <c r="AF3419">
        <v>4.9087369562746801</v>
      </c>
      <c r="AG3419">
        <v>-1.1092774822189999</v>
      </c>
      <c r="AH3419">
        <v>24.190347054756</v>
      </c>
      <c r="AI3419">
        <v>92.573157202757002</v>
      </c>
      <c r="AJ3419">
        <v>78.529217126056395</v>
      </c>
      <c r="AK3419">
        <v>24.708279698675899</v>
      </c>
      <c r="AL3419">
        <v>77.857353349470799</v>
      </c>
      <c r="AM3419">
        <v>82.993130264288595</v>
      </c>
      <c r="AN3419">
        <v>1.0000000344359199</v>
      </c>
    </row>
    <row r="3420" spans="1:40" x14ac:dyDescent="0.25">
      <c r="A3420" t="str">
        <f>"20190312172730331"</f>
        <v>20190312172730331</v>
      </c>
      <c r="B3420" t="str">
        <f>"1552382850322951"</f>
        <v>1552382850322951</v>
      </c>
      <c r="C3420" t="s">
        <v>40</v>
      </c>
      <c r="D3420">
        <v>3.459822</v>
      </c>
      <c r="E3420">
        <v>0.52981089999999997</v>
      </c>
      <c r="F3420" t="s">
        <v>41</v>
      </c>
      <c r="G3420">
        <v>-241.2483</v>
      </c>
      <c r="H3420" s="1">
        <v>-4.3197159999999999E-6</v>
      </c>
      <c r="I3420">
        <v>142.25729999999999</v>
      </c>
      <c r="J3420">
        <v>-216.1858</v>
      </c>
      <c r="K3420">
        <v>1.109202</v>
      </c>
      <c r="L3420">
        <v>141.67490000000001</v>
      </c>
      <c r="M3420">
        <v>-0.98444989999999999</v>
      </c>
      <c r="N3420">
        <v>0</v>
      </c>
      <c r="O3420">
        <v>-0.17518619999999999</v>
      </c>
      <c r="P3420">
        <v>-0.97847770000000001</v>
      </c>
      <c r="Q3420">
        <v>0.19887879999999999</v>
      </c>
      <c r="R3420">
        <v>-5.5036769999999999E-2</v>
      </c>
      <c r="S3420">
        <v>-3.0969699999999998</v>
      </c>
      <c r="T3420">
        <v>-0.13622699999999999</v>
      </c>
      <c r="U3420">
        <v>6.8466189999999996E-2</v>
      </c>
      <c r="V3420">
        <v>0.117822</v>
      </c>
      <c r="W3420">
        <v>0.21117040000000001</v>
      </c>
      <c r="X3420">
        <v>0.97032209999999997</v>
      </c>
      <c r="Y3420">
        <v>0.19656009999999999</v>
      </c>
      <c r="Z3420">
        <v>1.1996089999999999E-2</v>
      </c>
      <c r="AA3420">
        <v>0.98041840000000002</v>
      </c>
      <c r="AB3420">
        <v>16</v>
      </c>
      <c r="AC3420">
        <v>-25.0625</v>
      </c>
      <c r="AD3420">
        <v>-1.109206319716</v>
      </c>
      <c r="AE3420">
        <v>0.58239999999997805</v>
      </c>
      <c r="AF3420">
        <v>4.95466561065391</v>
      </c>
      <c r="AG3420">
        <v>-1.109206319716</v>
      </c>
      <c r="AH3420">
        <v>24.524802025415301</v>
      </c>
      <c r="AI3420">
        <v>92.538390630578505</v>
      </c>
      <c r="AJ3420">
        <v>78.578454245774793</v>
      </c>
      <c r="AK3420">
        <v>25.044859040507799</v>
      </c>
      <c r="AL3420">
        <v>77.809050136086796</v>
      </c>
      <c r="AM3420">
        <v>83.076715555684203</v>
      </c>
      <c r="AN3420">
        <v>0.99999996963428395</v>
      </c>
    </row>
    <row r="3421" spans="1:40" x14ac:dyDescent="0.25">
      <c r="A3421" t="str">
        <f>"20190312172730355"</f>
        <v>20190312172730355</v>
      </c>
      <c r="B3421" t="str">
        <f>"1552382850342471"</f>
        <v>1552382850342471</v>
      </c>
      <c r="C3421" t="s">
        <v>40</v>
      </c>
      <c r="D3421">
        <v>3.472683</v>
      </c>
      <c r="E3421">
        <v>0.529671</v>
      </c>
      <c r="F3421" t="s">
        <v>41</v>
      </c>
      <c r="G3421">
        <v>-236.9836</v>
      </c>
      <c r="H3421" s="1">
        <v>-1.914383E-6</v>
      </c>
      <c r="I3421">
        <v>142.01419999999999</v>
      </c>
      <c r="J3421">
        <v>-216.34479999999999</v>
      </c>
      <c r="K3421">
        <v>1.1091390000000001</v>
      </c>
      <c r="L3421">
        <v>141.6498</v>
      </c>
      <c r="M3421">
        <v>-0.98491209999999996</v>
      </c>
      <c r="N3421">
        <v>0</v>
      </c>
      <c r="O3421">
        <v>-0.17258860000000001</v>
      </c>
      <c r="P3421">
        <v>-0.97840050000000001</v>
      </c>
      <c r="Q3421">
        <v>0.19965949999999999</v>
      </c>
      <c r="R3421">
        <v>-5.3559990000000002E-2</v>
      </c>
      <c r="S3421">
        <v>-3.1024479999999999</v>
      </c>
      <c r="T3421">
        <v>-0.165462</v>
      </c>
      <c r="U3421">
        <v>5.0628659999999999E-2</v>
      </c>
      <c r="V3421">
        <v>0.116698</v>
      </c>
      <c r="W3421">
        <v>0.21169009999999999</v>
      </c>
      <c r="X3421">
        <v>0.97034469999999995</v>
      </c>
      <c r="Y3421">
        <v>0.18814040000000001</v>
      </c>
      <c r="Z3421">
        <v>1.4179779999999999E-2</v>
      </c>
      <c r="AA3421">
        <v>0.98203980000000002</v>
      </c>
      <c r="AB3421">
        <v>16</v>
      </c>
      <c r="AC3421">
        <v>-20.6388</v>
      </c>
      <c r="AD3421">
        <v>-1.10914091438299</v>
      </c>
      <c r="AE3421">
        <v>0.36439999999998901</v>
      </c>
      <c r="AF3421">
        <v>3.9099512752808501</v>
      </c>
      <c r="AG3421">
        <v>-1.10914091438299</v>
      </c>
      <c r="AH3421">
        <v>20.207804459547098</v>
      </c>
      <c r="AI3421">
        <v>93.084533231219595</v>
      </c>
      <c r="AJ3421">
        <v>79.049317192797602</v>
      </c>
      <c r="AK3421">
        <v>20.6124543327164</v>
      </c>
      <c r="AL3421">
        <v>77.778584909846103</v>
      </c>
      <c r="AM3421">
        <v>83.142288625930107</v>
      </c>
      <c r="AN3421">
        <v>0.99999997923004902</v>
      </c>
    </row>
    <row r="3422" spans="1:40" x14ac:dyDescent="0.25">
      <c r="A3422" t="str">
        <f>"20190312172730376"</f>
        <v>20190312172730376</v>
      </c>
      <c r="B3422" t="str">
        <f>"1552382850372727"</f>
        <v>1552382850372727</v>
      </c>
      <c r="C3422" t="s">
        <v>40</v>
      </c>
      <c r="D3422">
        <v>3.466958</v>
      </c>
      <c r="E3422">
        <v>0.52907979999999999</v>
      </c>
      <c r="F3422" t="s">
        <v>41</v>
      </c>
      <c r="G3422">
        <v>-237.17339999999999</v>
      </c>
      <c r="H3422" s="1">
        <v>-1.8331949999999999E-6</v>
      </c>
      <c r="I3422">
        <v>142.01509999999999</v>
      </c>
      <c r="J3422">
        <v>-216.49680000000001</v>
      </c>
      <c r="K3422">
        <v>1.1091489999999999</v>
      </c>
      <c r="L3422">
        <v>141.62620000000001</v>
      </c>
      <c r="M3422">
        <v>-0.98534299999999997</v>
      </c>
      <c r="N3422">
        <v>0</v>
      </c>
      <c r="O3422">
        <v>-0.17011770000000001</v>
      </c>
      <c r="P3422">
        <v>-0.97836650000000003</v>
      </c>
      <c r="Q3422">
        <v>0.2001541</v>
      </c>
      <c r="R3422">
        <v>-5.2325780000000002E-2</v>
      </c>
      <c r="S3422">
        <v>-3.1029360000000001</v>
      </c>
      <c r="T3422">
        <v>-0.16523460000000001</v>
      </c>
      <c r="U3422">
        <v>5.4428099999999903E-2</v>
      </c>
      <c r="V3422">
        <v>0.1154647</v>
      </c>
      <c r="W3422">
        <v>0.21211369999999999</v>
      </c>
      <c r="X3422">
        <v>0.97039969999999998</v>
      </c>
      <c r="Y3422">
        <v>0.1868833</v>
      </c>
      <c r="Z3422">
        <v>1.3994639999999999E-2</v>
      </c>
      <c r="AA3422">
        <v>0.98228249999999995</v>
      </c>
      <c r="AB3422">
        <v>16</v>
      </c>
      <c r="AC3422">
        <v>-20.676599999999901</v>
      </c>
      <c r="AD3422">
        <v>-1.109150833195</v>
      </c>
      <c r="AE3422">
        <v>0.38889999999997799</v>
      </c>
      <c r="AF3422">
        <v>3.88977687031141</v>
      </c>
      <c r="AG3422">
        <v>-1.109150833195</v>
      </c>
      <c r="AH3422">
        <v>20.250748411430902</v>
      </c>
      <c r="AI3422">
        <v>93.078835484420495</v>
      </c>
      <c r="AJ3422">
        <v>79.127018240194502</v>
      </c>
      <c r="AK3422">
        <v>20.650747950005599</v>
      </c>
      <c r="AL3422">
        <v>77.753750064011498</v>
      </c>
      <c r="AM3422">
        <v>83.214464632436204</v>
      </c>
      <c r="AN3422">
        <v>0.99999994821693305</v>
      </c>
    </row>
    <row r="3423" spans="1:40" x14ac:dyDescent="0.25">
      <c r="A3423" t="str">
        <f>"20190312172730398"</f>
        <v>20190312172730398</v>
      </c>
      <c r="B3423" t="str">
        <f>"1552382850392754"</f>
        <v>1552382850392754</v>
      </c>
      <c r="C3423" t="s">
        <v>40</v>
      </c>
      <c r="D3423">
        <v>3.4739650000000002</v>
      </c>
      <c r="E3423">
        <v>0.52858680000000002</v>
      </c>
      <c r="F3423" t="s">
        <v>41</v>
      </c>
      <c r="G3423">
        <v>-237.99539999999999</v>
      </c>
      <c r="H3423" s="1">
        <v>-1.477329E-6</v>
      </c>
      <c r="I3423">
        <v>142.00290000000001</v>
      </c>
      <c r="J3423">
        <v>-216.65129999999999</v>
      </c>
      <c r="K3423">
        <v>1.1091959999999901</v>
      </c>
      <c r="L3423">
        <v>141.6026</v>
      </c>
      <c r="M3423">
        <v>-0.98577420000000004</v>
      </c>
      <c r="N3423">
        <v>0</v>
      </c>
      <c r="O3423">
        <v>-0.16759879999999999</v>
      </c>
      <c r="P3423">
        <v>-0.97824489999999997</v>
      </c>
      <c r="Q3423">
        <v>0.20109109999999999</v>
      </c>
      <c r="R3423">
        <v>-5.0984729999999999E-2</v>
      </c>
      <c r="S3423">
        <v>-3.1020050000000001</v>
      </c>
      <c r="T3423">
        <v>-0.16003809999999999</v>
      </c>
      <c r="U3423">
        <v>5.4367070000000003E-2</v>
      </c>
      <c r="V3423">
        <v>0.1142753</v>
      </c>
      <c r="W3423">
        <v>0.21307680000000001</v>
      </c>
      <c r="X3423">
        <v>0.97032960000000001</v>
      </c>
      <c r="Y3423">
        <v>0.18439549999999999</v>
      </c>
      <c r="Z3423">
        <v>1.336651E-2</v>
      </c>
      <c r="AA3423">
        <v>0.9827612</v>
      </c>
      <c r="AB3423">
        <v>16</v>
      </c>
      <c r="AC3423">
        <v>-21.344100000000001</v>
      </c>
      <c r="AD3423">
        <v>-1.1091974773290001</v>
      </c>
      <c r="AE3423">
        <v>0.40030000000001498</v>
      </c>
      <c r="AF3423">
        <v>3.9614738463765198</v>
      </c>
      <c r="AG3423">
        <v>-1.1091974773290001</v>
      </c>
      <c r="AH3423">
        <v>20.9185769201843</v>
      </c>
      <c r="AI3423">
        <v>92.982329981320106</v>
      </c>
      <c r="AJ3423">
        <v>79.2765505375218</v>
      </c>
      <c r="AK3423">
        <v>21.319250794643501</v>
      </c>
      <c r="AL3423">
        <v>77.697278820073095</v>
      </c>
      <c r="AM3423">
        <v>83.283239730426104</v>
      </c>
      <c r="AN3423">
        <v>1.0000000497622401</v>
      </c>
    </row>
    <row r="3424" spans="1:40" x14ac:dyDescent="0.25">
      <c r="A3424" t="str">
        <f>"20190312172730423"</f>
        <v>20190312172730423</v>
      </c>
      <c r="B3424" t="str">
        <f>"1552382850412274"</f>
        <v>1552382850412274</v>
      </c>
      <c r="C3424" t="s">
        <v>40</v>
      </c>
      <c r="D3424">
        <v>3.486491</v>
      </c>
      <c r="E3424">
        <v>0.52822919999999995</v>
      </c>
      <c r="F3424" t="s">
        <v>41</v>
      </c>
      <c r="G3424">
        <v>-238.87899999999999</v>
      </c>
      <c r="H3424" s="1">
        <v>-1.0972240000000001E-6</v>
      </c>
      <c r="I3424">
        <v>141.9991</v>
      </c>
      <c r="J3424">
        <v>-216.82</v>
      </c>
      <c r="K3424">
        <v>1.109216</v>
      </c>
      <c r="L3424">
        <v>141.57730000000001</v>
      </c>
      <c r="M3424">
        <v>-0.98624270000000003</v>
      </c>
      <c r="N3424">
        <v>0</v>
      </c>
      <c r="O3424">
        <v>-0.16482169999999999</v>
      </c>
      <c r="P3424">
        <v>-0.97818760000000005</v>
      </c>
      <c r="Q3424">
        <v>0.20184379999999999</v>
      </c>
      <c r="R3424">
        <v>-4.9078629999999998E-2</v>
      </c>
      <c r="S3424">
        <v>-3.1013950000000001</v>
      </c>
      <c r="T3424">
        <v>-0.1547644</v>
      </c>
      <c r="U3424">
        <v>5.5328370000000002E-2</v>
      </c>
      <c r="V3424">
        <v>0.11340509999999999</v>
      </c>
      <c r="W3424">
        <v>0.21381140000000001</v>
      </c>
      <c r="X3424">
        <v>0.97026999999999997</v>
      </c>
      <c r="Y3424">
        <v>0.1819713</v>
      </c>
      <c r="Z3424">
        <v>1.2731589999999999E-2</v>
      </c>
      <c r="AA3424">
        <v>0.98322140000000002</v>
      </c>
      <c r="AB3424">
        <v>16</v>
      </c>
      <c r="AC3424">
        <v>-22.059000000000001</v>
      </c>
      <c r="AD3424">
        <v>-1.1092170972239901</v>
      </c>
      <c r="AE3424">
        <v>0.42179999999999002</v>
      </c>
      <c r="AF3424">
        <v>4.0419053120152197</v>
      </c>
      <c r="AG3424">
        <v>-1.1092170972239901</v>
      </c>
      <c r="AH3424">
        <v>21.6330527360603</v>
      </c>
      <c r="AI3424">
        <v>92.885379611702504</v>
      </c>
      <c r="AJ3424">
        <v>79.416916507863505</v>
      </c>
      <c r="AK3424">
        <v>22.035342788375999</v>
      </c>
      <c r="AL3424">
        <v>77.654195298312302</v>
      </c>
      <c r="AM3424">
        <v>83.333519642053702</v>
      </c>
      <c r="AN3424">
        <v>0.99999995218798299</v>
      </c>
    </row>
    <row r="3425" spans="1:40" x14ac:dyDescent="0.25">
      <c r="A3425" t="str">
        <f>"20190312172730446"</f>
        <v>20190312172730446</v>
      </c>
      <c r="B3425" t="str">
        <f>"1552382850442530"</f>
        <v>1552382850442530</v>
      </c>
      <c r="C3425" t="s">
        <v>40</v>
      </c>
      <c r="D3425">
        <v>3.422228</v>
      </c>
      <c r="E3425">
        <v>0.52790280000000001</v>
      </c>
      <c r="F3425" t="s">
        <v>41</v>
      </c>
      <c r="G3425">
        <v>-239.63200000000001</v>
      </c>
      <c r="H3425" s="1">
        <v>-7.7671180000000004E-7</v>
      </c>
      <c r="I3425">
        <v>142.0086</v>
      </c>
      <c r="J3425">
        <v>-216.98699999999999</v>
      </c>
      <c r="K3425">
        <v>1.1092040000000001</v>
      </c>
      <c r="L3425">
        <v>141.55260000000001</v>
      </c>
      <c r="M3425">
        <v>-0.98669960000000001</v>
      </c>
      <c r="N3425">
        <v>0</v>
      </c>
      <c r="O3425">
        <v>-0.16207060000000001</v>
      </c>
      <c r="P3425">
        <v>-0.9781514</v>
      </c>
      <c r="Q3425">
        <v>0.20233039999999999</v>
      </c>
      <c r="R3425">
        <v>-4.7775890000000001E-2</v>
      </c>
      <c r="S3425">
        <v>-3.1009669999999998</v>
      </c>
      <c r="T3425">
        <v>-0.1507821</v>
      </c>
      <c r="U3425">
        <v>5.8639530000000002E-2</v>
      </c>
      <c r="V3425">
        <v>0.11197650000000001</v>
      </c>
      <c r="W3425">
        <v>0.21421850000000001</v>
      </c>
      <c r="X3425">
        <v>0.97034620000000005</v>
      </c>
      <c r="Y3425">
        <v>0.18030769999999999</v>
      </c>
      <c r="Z3425">
        <v>1.2233300000000001E-2</v>
      </c>
      <c r="AA3425">
        <v>0.98353420000000003</v>
      </c>
      <c r="AB3425">
        <v>16</v>
      </c>
      <c r="AC3425">
        <v>-22.645</v>
      </c>
      <c r="AD3425">
        <v>-1.1092047767118001</v>
      </c>
      <c r="AE3425">
        <v>0.45599999999998803</v>
      </c>
      <c r="AF3425">
        <v>4.1104890870656501</v>
      </c>
      <c r="AG3425">
        <v>-1.1092047767118001</v>
      </c>
      <c r="AH3425">
        <v>22.218370639925901</v>
      </c>
      <c r="AI3425">
        <v>92.810385082558895</v>
      </c>
      <c r="AJ3425">
        <v>79.518556154971506</v>
      </c>
      <c r="AK3425">
        <v>22.622609258542301</v>
      </c>
      <c r="AL3425">
        <v>77.630317848427296</v>
      </c>
      <c r="AM3425">
        <v>83.417270033045597</v>
      </c>
      <c r="AN3425">
        <v>1.0000000250744601</v>
      </c>
    </row>
    <row r="3426" spans="1:40" x14ac:dyDescent="0.25">
      <c r="A3426" t="str">
        <f>"20190312172730467"</f>
        <v>20190312172730467</v>
      </c>
      <c r="B3426" t="str">
        <f>"1552382850463025"</f>
        <v>1552382850463025</v>
      </c>
      <c r="C3426" t="s">
        <v>40</v>
      </c>
      <c r="D3426">
        <v>3.4644089999999998</v>
      </c>
      <c r="E3426">
        <v>0.52776630000000002</v>
      </c>
      <c r="F3426" t="s">
        <v>41</v>
      </c>
      <c r="G3426">
        <v>-239.96729999999999</v>
      </c>
      <c r="H3426" s="1">
        <v>-4.7106920000000003E-6</v>
      </c>
      <c r="I3426">
        <v>142.00389999999999</v>
      </c>
      <c r="J3426">
        <v>-217.14080000000001</v>
      </c>
      <c r="K3426">
        <v>1.1091850000000001</v>
      </c>
      <c r="L3426">
        <v>141.53039999999999</v>
      </c>
      <c r="M3426">
        <v>-0.98710850000000006</v>
      </c>
      <c r="N3426">
        <v>0</v>
      </c>
      <c r="O3426">
        <v>-0.1595646</v>
      </c>
      <c r="P3426">
        <v>-0.97803280000000004</v>
      </c>
      <c r="Q3426">
        <v>0.20312649999999999</v>
      </c>
      <c r="R3426">
        <v>-4.6816469999999999E-2</v>
      </c>
      <c r="S3426">
        <v>-3.1009370000000001</v>
      </c>
      <c r="T3426">
        <v>-0.14967610000000001</v>
      </c>
      <c r="U3426">
        <v>6.089783E-2</v>
      </c>
      <c r="V3426">
        <v>0.110442899999999</v>
      </c>
      <c r="W3426">
        <v>0.2149567</v>
      </c>
      <c r="X3426">
        <v>0.97035870000000002</v>
      </c>
      <c r="Y3426">
        <v>0.1785368</v>
      </c>
      <c r="Z3426">
        <v>1.198131E-2</v>
      </c>
      <c r="AA3426">
        <v>0.98386030000000002</v>
      </c>
      <c r="AB3426">
        <v>16</v>
      </c>
      <c r="AC3426">
        <v>-22.8264999999999</v>
      </c>
      <c r="AD3426">
        <v>-1.1091897106919999</v>
      </c>
      <c r="AE3426">
        <v>0.47350000000000098</v>
      </c>
      <c r="AF3426">
        <v>4.1003401386755503</v>
      </c>
      <c r="AG3426">
        <v>-1.1091897106919999</v>
      </c>
      <c r="AH3426">
        <v>22.405548319737299</v>
      </c>
      <c r="AI3426">
        <v>92.787896175022894</v>
      </c>
      <c r="AJ3426">
        <v>79.6293120297277</v>
      </c>
      <c r="AK3426">
        <v>22.8046417769546</v>
      </c>
      <c r="AL3426">
        <v>77.587013147074799</v>
      </c>
      <c r="AM3426">
        <v>83.506733015389301</v>
      </c>
      <c r="AN3426">
        <v>1.0000000118504899</v>
      </c>
    </row>
    <row r="3427" spans="1:40" x14ac:dyDescent="0.25">
      <c r="A3427" t="str">
        <f>"20190312172730511"</f>
        <v>20190312172730511</v>
      </c>
      <c r="B3427" t="str">
        <f>"1552382850503042"</f>
        <v>1552382850503042</v>
      </c>
      <c r="C3427" t="s">
        <v>40</v>
      </c>
      <c r="D3427">
        <v>3.4721850000000001</v>
      </c>
      <c r="E3427">
        <v>0.52552679999999996</v>
      </c>
      <c r="F3427" t="s">
        <v>41</v>
      </c>
      <c r="G3427">
        <v>-240.22989999999999</v>
      </c>
      <c r="H3427" s="1">
        <v>-4.6219370000000001E-6</v>
      </c>
      <c r="I3427">
        <v>142.00749999999999</v>
      </c>
      <c r="J3427">
        <v>-217.44370000000001</v>
      </c>
      <c r="K3427">
        <v>1.1091949999999999</v>
      </c>
      <c r="L3427">
        <v>141.4879</v>
      </c>
      <c r="M3427">
        <v>-0.98789260000000001</v>
      </c>
      <c r="N3427">
        <v>0</v>
      </c>
      <c r="O3427">
        <v>-0.15463789999999999</v>
      </c>
      <c r="P3427">
        <v>-0.97809440000000003</v>
      </c>
      <c r="Q3427">
        <v>0.2033218</v>
      </c>
      <c r="R3427">
        <v>-4.4631860000000002E-2</v>
      </c>
      <c r="S3427">
        <v>-3.1013950000000001</v>
      </c>
      <c r="T3427">
        <v>-0.14898929999999999</v>
      </c>
      <c r="U3427">
        <v>6.4086909999999997E-2</v>
      </c>
      <c r="V3427">
        <v>0.1077588</v>
      </c>
      <c r="W3427">
        <v>0.21514849999999999</v>
      </c>
      <c r="X3427">
        <v>0.97061790000000003</v>
      </c>
      <c r="Y3427">
        <v>0.1746491</v>
      </c>
      <c r="Z3427">
        <v>1.159688E-2</v>
      </c>
      <c r="AA3427">
        <v>0.98456250000000001</v>
      </c>
      <c r="AB3427">
        <v>16</v>
      </c>
      <c r="AC3427">
        <v>-22.786199999999901</v>
      </c>
      <c r="AD3427">
        <v>-1.1091996219369999</v>
      </c>
      <c r="AE3427">
        <v>0.51959999999999695</v>
      </c>
      <c r="AF3427">
        <v>4.0276936021343301</v>
      </c>
      <c r="AG3427">
        <v>-1.1091996219369999</v>
      </c>
      <c r="AH3427">
        <v>22.378709643623999</v>
      </c>
      <c r="AI3427">
        <v>92.792741777852299</v>
      </c>
      <c r="AJ3427">
        <v>79.797202101510393</v>
      </c>
      <c r="AK3427">
        <v>22.765308802377501</v>
      </c>
      <c r="AL3427">
        <v>77.575760029188402</v>
      </c>
      <c r="AM3427">
        <v>83.664918233339193</v>
      </c>
      <c r="AN3427">
        <v>0.99999997191504897</v>
      </c>
    </row>
    <row r="3428" spans="1:40" x14ac:dyDescent="0.25">
      <c r="A3428" t="str">
        <f>"20190312172730534"</f>
        <v>20190312172730534</v>
      </c>
      <c r="B3428" t="str">
        <f>"1552382850523538"</f>
        <v>1552382850523538</v>
      </c>
      <c r="C3428" t="s">
        <v>40</v>
      </c>
      <c r="D3428">
        <v>3.4858150000000001</v>
      </c>
      <c r="E3428">
        <v>0.52458689999999997</v>
      </c>
      <c r="F3428" t="s">
        <v>41</v>
      </c>
      <c r="G3428">
        <v>-241.58629999999999</v>
      </c>
      <c r="H3428" s="1">
        <v>-4.144058E-6</v>
      </c>
      <c r="I3428">
        <v>141.91569999999999</v>
      </c>
      <c r="J3428">
        <v>-217.60980000000001</v>
      </c>
      <c r="K3428">
        <v>1.1092029999999999</v>
      </c>
      <c r="L3428">
        <v>141.46530000000001</v>
      </c>
      <c r="M3428">
        <v>-0.98831460000000004</v>
      </c>
      <c r="N3428">
        <v>0</v>
      </c>
      <c r="O3428">
        <v>-0.15191840000000001</v>
      </c>
      <c r="P3428">
        <v>-0.97816899999999996</v>
      </c>
      <c r="Q3428">
        <v>0.20344780000000001</v>
      </c>
      <c r="R3428">
        <v>-4.23638E-2</v>
      </c>
      <c r="S3428">
        <v>-3.0992890000000002</v>
      </c>
      <c r="T3428">
        <v>-0.14239250000000001</v>
      </c>
      <c r="U3428">
        <v>5.4916380000000001E-2</v>
      </c>
      <c r="V3428">
        <v>0.1073311</v>
      </c>
      <c r="W3428">
        <v>0.21526490000000001</v>
      </c>
      <c r="X3428">
        <v>0.97063949999999999</v>
      </c>
      <c r="Y3428">
        <v>0.16907910000000001</v>
      </c>
      <c r="Z3428">
        <v>1.0839669999999999E-2</v>
      </c>
      <c r="AA3428">
        <v>0.9855429</v>
      </c>
      <c r="AB3428">
        <v>16</v>
      </c>
      <c r="AC3428">
        <v>-23.976499999999898</v>
      </c>
      <c r="AD3428">
        <v>-1.109207144058</v>
      </c>
      <c r="AE3428">
        <v>0.45039999999997299</v>
      </c>
      <c r="AF3428">
        <v>4.0791981367203398</v>
      </c>
      <c r="AG3428">
        <v>-1.109207144058</v>
      </c>
      <c r="AH3428">
        <v>23.579286423783401</v>
      </c>
      <c r="AI3428">
        <v>92.653935065436698</v>
      </c>
      <c r="AJ3428">
        <v>80.185022044355506</v>
      </c>
      <c r="AK3428">
        <v>23.955227950947801</v>
      </c>
      <c r="AL3428">
        <v>77.568931016596196</v>
      </c>
      <c r="AM3428">
        <v>83.689998548676897</v>
      </c>
      <c r="AN3428">
        <v>0.99999999057973499</v>
      </c>
    </row>
    <row r="3429" spans="1:40" x14ac:dyDescent="0.25">
      <c r="A3429" t="str">
        <f>"20190312172730556"</f>
        <v>20190312172730556</v>
      </c>
      <c r="B3429" t="str">
        <f>"1552382850552819"</f>
        <v>1552382850552819</v>
      </c>
      <c r="C3429" t="s">
        <v>40</v>
      </c>
      <c r="D3429">
        <v>3.4974569999999998</v>
      </c>
      <c r="E3429">
        <v>0.52330739999999998</v>
      </c>
      <c r="F3429" t="s">
        <v>41</v>
      </c>
      <c r="G3429">
        <v>-242.31190000000001</v>
      </c>
      <c r="H3429" s="1">
        <v>-3.887898E-6</v>
      </c>
      <c r="I3429">
        <v>141.8991</v>
      </c>
      <c r="J3429">
        <v>-217.76400000000001</v>
      </c>
      <c r="K3429">
        <v>1.109216</v>
      </c>
      <c r="L3429">
        <v>141.44470000000001</v>
      </c>
      <c r="M3429">
        <v>-0.98869969999999996</v>
      </c>
      <c r="N3429">
        <v>0</v>
      </c>
      <c r="O3429">
        <v>-0.14939189999999999</v>
      </c>
      <c r="P3429">
        <v>-0.97808720000000005</v>
      </c>
      <c r="Q3429">
        <v>0.20416400000000001</v>
      </c>
      <c r="R3429">
        <v>-4.0771750000000002E-2</v>
      </c>
      <c r="S3429">
        <v>-3.0982509999999999</v>
      </c>
      <c r="T3429">
        <v>-0.1391221</v>
      </c>
      <c r="U3429">
        <v>5.4412839999999997E-2</v>
      </c>
      <c r="V3429">
        <v>0.1064045</v>
      </c>
      <c r="W3429">
        <v>0.2159671</v>
      </c>
      <c r="X3429">
        <v>0.97058549999999999</v>
      </c>
      <c r="Y3429">
        <v>0.16642560000000001</v>
      </c>
      <c r="Z3429">
        <v>1.042248E-2</v>
      </c>
      <c r="AA3429">
        <v>0.98599890000000001</v>
      </c>
      <c r="AB3429">
        <v>16</v>
      </c>
      <c r="AC3429">
        <v>-24.547899999999998</v>
      </c>
      <c r="AD3429">
        <v>-1.109219887898</v>
      </c>
      <c r="AE3429">
        <v>0.45439999999999198</v>
      </c>
      <c r="AF3429">
        <v>4.1084559134244003</v>
      </c>
      <c r="AG3429">
        <v>-1.109219887898</v>
      </c>
      <c r="AH3429">
        <v>24.1551907384817</v>
      </c>
      <c r="AI3429">
        <v>92.592033707565903</v>
      </c>
      <c r="AJ3429">
        <v>80.3471746130366</v>
      </c>
      <c r="AK3429">
        <v>24.527189369446599</v>
      </c>
      <c r="AL3429">
        <v>77.5277283734939</v>
      </c>
      <c r="AM3429">
        <v>83.743694329944304</v>
      </c>
      <c r="AN3429">
        <v>0.99999995935645403</v>
      </c>
    </row>
    <row r="3430" spans="1:40" x14ac:dyDescent="0.25">
      <c r="A3430" t="str">
        <f>"20190312172730578"</f>
        <v>20190312172730578</v>
      </c>
      <c r="B3430" t="str">
        <f>"1552382850572338"</f>
        <v>1552382850572338</v>
      </c>
      <c r="C3430" t="s">
        <v>40</v>
      </c>
      <c r="D3430">
        <v>3.4861390000000001</v>
      </c>
      <c r="E3430">
        <v>0.52249719999999999</v>
      </c>
      <c r="F3430" t="s">
        <v>41</v>
      </c>
      <c r="G3430">
        <v>-243.44460000000001</v>
      </c>
      <c r="H3430" s="1">
        <v>-3.389858E-6</v>
      </c>
      <c r="I3430">
        <v>141.8535</v>
      </c>
      <c r="J3430">
        <v>-217.91499999999999</v>
      </c>
      <c r="K3430">
        <v>1.109232</v>
      </c>
      <c r="L3430">
        <v>141.42490000000001</v>
      </c>
      <c r="M3430">
        <v>-0.98907</v>
      </c>
      <c r="N3430">
        <v>0</v>
      </c>
      <c r="O3430">
        <v>-0.14692249999999901</v>
      </c>
      <c r="P3430">
        <v>-0.97792970000000001</v>
      </c>
      <c r="Q3430">
        <v>0.2051309</v>
      </c>
      <c r="R3430">
        <v>-3.9687630000000002E-2</v>
      </c>
      <c r="S3430">
        <v>-3.0972140000000001</v>
      </c>
      <c r="T3430">
        <v>-0.1337777</v>
      </c>
      <c r="U3430">
        <v>4.9316409999999998E-2</v>
      </c>
      <c r="V3430">
        <v>0.10502309999999999</v>
      </c>
      <c r="W3430">
        <v>0.21692520000000001</v>
      </c>
      <c r="X3430">
        <v>0.97052229999999995</v>
      </c>
      <c r="Y3430">
        <v>0.16237550000000001</v>
      </c>
      <c r="Z3430">
        <v>9.8325670000000004E-3</v>
      </c>
      <c r="AA3430">
        <v>0.98668</v>
      </c>
      <c r="AB3430">
        <v>16</v>
      </c>
      <c r="AC3430">
        <v>-25.529599999999999</v>
      </c>
      <c r="AD3430">
        <v>-1.1092353898580001</v>
      </c>
      <c r="AE3430">
        <v>0.42859999999998799</v>
      </c>
      <c r="AF3430">
        <v>4.16724543817298</v>
      </c>
      <c r="AG3430">
        <v>-1.1092353898580001</v>
      </c>
      <c r="AH3430">
        <v>25.1420838863028</v>
      </c>
      <c r="AI3430">
        <v>92.492217778430103</v>
      </c>
      <c r="AJ3430">
        <v>80.588908928532703</v>
      </c>
      <c r="AK3430">
        <v>25.509228130972001</v>
      </c>
      <c r="AL3430">
        <v>77.471500436409798</v>
      </c>
      <c r="AM3430">
        <v>83.8238862670336</v>
      </c>
      <c r="AN3430">
        <v>0.99999996436296901</v>
      </c>
    </row>
    <row r="3431" spans="1:40" x14ac:dyDescent="0.25">
      <c r="A3431" t="str">
        <f>"20190312172730599"</f>
        <v>20190312172730599</v>
      </c>
      <c r="B3431" t="str">
        <f>"1552382850592834"</f>
        <v>1552382850592834</v>
      </c>
      <c r="C3431" t="s">
        <v>40</v>
      </c>
      <c r="D3431">
        <v>3.4810159999999999</v>
      </c>
      <c r="E3431">
        <v>0.52181330000000004</v>
      </c>
      <c r="F3431" t="s">
        <v>41</v>
      </c>
      <c r="G3431">
        <v>-244.54640000000001</v>
      </c>
      <c r="H3431" s="1">
        <v>-2.9104870000000002E-6</v>
      </c>
      <c r="I3431">
        <v>141.82839999999999</v>
      </c>
      <c r="J3431">
        <v>-218.0693</v>
      </c>
      <c r="K3431">
        <v>1.1092409999999999</v>
      </c>
      <c r="L3431">
        <v>141.4051</v>
      </c>
      <c r="M3431">
        <v>-0.98944120000000002</v>
      </c>
      <c r="N3431">
        <v>0</v>
      </c>
      <c r="O3431">
        <v>-0.14440269999999999</v>
      </c>
      <c r="P3431">
        <v>-0.97777930000000002</v>
      </c>
      <c r="Q3431">
        <v>0.20609150000000001</v>
      </c>
      <c r="R3431">
        <v>-3.8395279999999997E-2</v>
      </c>
      <c r="S3431">
        <v>-3.0966640000000001</v>
      </c>
      <c r="T3431">
        <v>-0.1289806</v>
      </c>
      <c r="U3431">
        <v>4.6920780000000002E-2</v>
      </c>
      <c r="V3431">
        <v>0.10380159999999999</v>
      </c>
      <c r="W3431">
        <v>0.21787790000000001</v>
      </c>
      <c r="X3431">
        <v>0.97044030000000003</v>
      </c>
      <c r="Y3431">
        <v>0.1591262</v>
      </c>
      <c r="Z3431">
        <v>9.3101910000000006E-3</v>
      </c>
      <c r="AA3431">
        <v>0.98721440000000005</v>
      </c>
      <c r="AB3431">
        <v>16</v>
      </c>
      <c r="AC3431">
        <v>-26.4771</v>
      </c>
      <c r="AD3431">
        <v>-1.109243910487</v>
      </c>
      <c r="AE3431">
        <v>0.42329999999998302</v>
      </c>
      <c r="AF3431">
        <v>4.23509051223028</v>
      </c>
      <c r="AG3431">
        <v>-1.109243910487</v>
      </c>
      <c r="AH3431">
        <v>26.092635617788599</v>
      </c>
      <c r="AI3431">
        <v>92.402870945175593</v>
      </c>
      <c r="AJ3431">
        <v>80.780731276851796</v>
      </c>
      <c r="AK3431">
        <v>26.457362816093799</v>
      </c>
      <c r="AL3431">
        <v>77.415577175694196</v>
      </c>
      <c r="AM3431">
        <v>83.894661717503297</v>
      </c>
      <c r="AN3431">
        <v>0.99999996366752897</v>
      </c>
    </row>
    <row r="3432" spans="1:40" x14ac:dyDescent="0.25">
      <c r="A3432" t="str">
        <f>"20190312172730647"</f>
        <v>20190312172730647</v>
      </c>
      <c r="B3432" t="str">
        <f>"1552382850642610"</f>
        <v>1552382850642610</v>
      </c>
      <c r="C3432" t="s">
        <v>40</v>
      </c>
      <c r="D3432">
        <v>3.482586</v>
      </c>
      <c r="E3432">
        <v>0.52038090000000004</v>
      </c>
      <c r="F3432" t="s">
        <v>41</v>
      </c>
      <c r="G3432">
        <v>-245.70679999999999</v>
      </c>
      <c r="H3432" s="1">
        <v>-2.410744E-6</v>
      </c>
      <c r="I3432">
        <v>141.8211</v>
      </c>
      <c r="J3432">
        <v>-218.39169999999999</v>
      </c>
      <c r="K3432">
        <v>1.1100840000000001</v>
      </c>
      <c r="L3432">
        <v>141.3646</v>
      </c>
      <c r="M3432">
        <v>-0.99009440000000004</v>
      </c>
      <c r="N3432">
        <v>0</v>
      </c>
      <c r="O3432">
        <v>-0.13963210000000001</v>
      </c>
      <c r="P3432">
        <v>-0.97826610000000003</v>
      </c>
      <c r="Q3432">
        <v>0.20435059999999999</v>
      </c>
      <c r="R3432">
        <v>-3.5165019999999998E-2</v>
      </c>
      <c r="S3432">
        <v>-3.0962070000000002</v>
      </c>
      <c r="T3432">
        <v>-0.12426760000000001</v>
      </c>
      <c r="U3432">
        <v>4.66156E-2</v>
      </c>
      <c r="V3432">
        <v>0.10224080000000001</v>
      </c>
      <c r="W3432">
        <v>0.2184247</v>
      </c>
      <c r="X3432">
        <v>0.97048310000000004</v>
      </c>
      <c r="Y3432">
        <v>0.15430170000000001</v>
      </c>
      <c r="Z3432">
        <v>8.684967E-3</v>
      </c>
      <c r="AA3432">
        <v>0.98798560000000002</v>
      </c>
      <c r="AB3432">
        <v>16</v>
      </c>
      <c r="AC3432">
        <v>-27.315100000000001</v>
      </c>
      <c r="AD3432">
        <v>-1.1100864107439901</v>
      </c>
      <c r="AE3432">
        <v>0.45650000000000501</v>
      </c>
      <c r="AF3432">
        <v>4.2594705535754596</v>
      </c>
      <c r="AG3432">
        <v>-1.1100864107439901</v>
      </c>
      <c r="AH3432">
        <v>26.939218583179098</v>
      </c>
      <c r="AI3432">
        <v>92.330734636035601</v>
      </c>
      <c r="AJ3432">
        <v>81.015110414724703</v>
      </c>
      <c r="AK3432">
        <v>27.2964627581743</v>
      </c>
      <c r="AL3432">
        <v>77.383474976998599</v>
      </c>
      <c r="AM3432">
        <v>83.986049256635297</v>
      </c>
      <c r="AN3432">
        <v>0.99999998907016996</v>
      </c>
    </row>
    <row r="3433" spans="1:40" x14ac:dyDescent="0.25">
      <c r="A3433" t="str">
        <f>"20190312172730669"</f>
        <v>20190312172730669</v>
      </c>
      <c r="B3433" t="str">
        <f>"1552382850663106"</f>
        <v>1552382850663106</v>
      </c>
      <c r="C3433" t="s">
        <v>40</v>
      </c>
      <c r="D3433">
        <v>3.4507840000000001</v>
      </c>
      <c r="E3433">
        <v>0.51988239999999997</v>
      </c>
      <c r="F3433" t="s">
        <v>41</v>
      </c>
      <c r="G3433">
        <v>-245.2748</v>
      </c>
      <c r="H3433" s="1">
        <v>-2.5802700000000001E-6</v>
      </c>
      <c r="I3433">
        <v>141.76169999999999</v>
      </c>
      <c r="J3433">
        <v>-218.53970000000001</v>
      </c>
      <c r="K3433">
        <v>1.110641</v>
      </c>
      <c r="L3433">
        <v>141.34620000000001</v>
      </c>
      <c r="M3433">
        <v>-0.99033570000000004</v>
      </c>
      <c r="N3433">
        <v>0</v>
      </c>
      <c r="O3433">
        <v>-0.1377091</v>
      </c>
      <c r="P3433">
        <v>-0.97870630000000003</v>
      </c>
      <c r="Q3433">
        <v>0.202378</v>
      </c>
      <c r="R3433">
        <v>-3.4306910000000003E-2</v>
      </c>
      <c r="S3433">
        <v>-3.0949710000000001</v>
      </c>
      <c r="T3433">
        <v>-0.1278011</v>
      </c>
      <c r="U3433">
        <v>4.5730590000000002E-2</v>
      </c>
      <c r="V3433">
        <v>0.1011695</v>
      </c>
      <c r="W3433">
        <v>0.2182307</v>
      </c>
      <c r="X3433">
        <v>0.97063900000000003</v>
      </c>
      <c r="Y3433">
        <v>0.1520996</v>
      </c>
      <c r="Z3433">
        <v>8.8111409999999998E-3</v>
      </c>
      <c r="AA3433">
        <v>0.98832589999999998</v>
      </c>
      <c r="AB3433">
        <v>15</v>
      </c>
      <c r="AC3433">
        <v>-26.7350999999999</v>
      </c>
      <c r="AD3433">
        <v>-1.1106435802700001</v>
      </c>
      <c r="AE3433">
        <v>0.41549999999998</v>
      </c>
      <c r="AF3433">
        <v>4.0866556354265997</v>
      </c>
      <c r="AG3433">
        <v>-1.1106435802700001</v>
      </c>
      <c r="AH3433">
        <v>26.3775808189271</v>
      </c>
      <c r="AI3433">
        <v>92.382655818670798</v>
      </c>
      <c r="AJ3433">
        <v>81.193232368652204</v>
      </c>
      <c r="AK3433">
        <v>26.715371105488799</v>
      </c>
      <c r="AL3433">
        <v>77.394865116736796</v>
      </c>
      <c r="AM3433">
        <v>84.049559040713802</v>
      </c>
      <c r="AN3433">
        <v>0.999999987236869</v>
      </c>
    </row>
    <row r="3434" spans="1:40" x14ac:dyDescent="0.25">
      <c r="A3434" t="str">
        <f>"20190312172730711"</f>
        <v>20190312172730711</v>
      </c>
      <c r="B3434" t="str">
        <f>"1552382850703122"</f>
        <v>1552382850703122</v>
      </c>
      <c r="C3434" t="s">
        <v>40</v>
      </c>
      <c r="D3434">
        <v>3.4944350000000002</v>
      </c>
      <c r="E3434">
        <v>0.51898770000000005</v>
      </c>
      <c r="F3434" t="s">
        <v>41</v>
      </c>
      <c r="G3434">
        <v>-244.23580000000001</v>
      </c>
      <c r="H3434" s="1">
        <v>-3.015906E-6</v>
      </c>
      <c r="I3434">
        <v>141.72380000000001</v>
      </c>
      <c r="J3434">
        <v>-218.804</v>
      </c>
      <c r="K3434">
        <v>1.111386</v>
      </c>
      <c r="L3434">
        <v>141.31389999999999</v>
      </c>
      <c r="M3434">
        <v>-0.99069030000000002</v>
      </c>
      <c r="N3434">
        <v>0</v>
      </c>
      <c r="O3434">
        <v>-0.13468050000000001</v>
      </c>
      <c r="P3434">
        <v>-0.97951460000000001</v>
      </c>
      <c r="Q3434">
        <v>0.1987314</v>
      </c>
      <c r="R3434">
        <v>-3.2509929999999999E-2</v>
      </c>
      <c r="S3434">
        <v>-3.0945429999999998</v>
      </c>
      <c r="T3434">
        <v>-0.13375329999999999</v>
      </c>
      <c r="U3434">
        <v>4.5471190000000002E-2</v>
      </c>
      <c r="V3434">
        <v>9.9992020000000001E-2</v>
      </c>
      <c r="W3434">
        <v>0.2179277</v>
      </c>
      <c r="X3434">
        <v>0.9708291</v>
      </c>
      <c r="Y3434">
        <v>0.1489866</v>
      </c>
      <c r="Z3434">
        <v>9.0255270000000002E-3</v>
      </c>
      <c r="AA3434">
        <v>0.98879799999999995</v>
      </c>
      <c r="AB3434">
        <v>15</v>
      </c>
      <c r="AC3434">
        <v>-25.431799999999999</v>
      </c>
      <c r="AD3434">
        <v>-1.111389015906</v>
      </c>
      <c r="AE3434">
        <v>0.40990000000002103</v>
      </c>
      <c r="AF3434">
        <v>3.8247039110432701</v>
      </c>
      <c r="AG3434">
        <v>-1.111389015906</v>
      </c>
      <c r="AH3434">
        <v>25.096868232093399</v>
      </c>
      <c r="AI3434">
        <v>92.506723319345994</v>
      </c>
      <c r="AJ3434">
        <v>81.334929197054294</v>
      </c>
      <c r="AK3434">
        <v>25.410949226876301</v>
      </c>
      <c r="AL3434">
        <v>77.412654236767395</v>
      </c>
      <c r="AM3434">
        <v>84.119469641029596</v>
      </c>
      <c r="AN3434">
        <v>1.00000001394889</v>
      </c>
    </row>
    <row r="3435" spans="1:40" x14ac:dyDescent="0.25">
      <c r="A3435" t="str">
        <f>"20190312172730735"</f>
        <v>20190312172730735</v>
      </c>
      <c r="B3435" t="str">
        <f>"1552382850722642"</f>
        <v>1552382850722642</v>
      </c>
      <c r="C3435" t="s">
        <v>40</v>
      </c>
      <c r="D3435">
        <v>3.505322</v>
      </c>
      <c r="E3435">
        <v>0.51853700000000003</v>
      </c>
      <c r="F3435" t="s">
        <v>41</v>
      </c>
      <c r="G3435">
        <v>-242.4967</v>
      </c>
      <c r="H3435" s="1">
        <v>-3.7438960000000002E-6</v>
      </c>
      <c r="I3435">
        <v>141.6559</v>
      </c>
      <c r="J3435">
        <v>-218.94450000000001</v>
      </c>
      <c r="K3435">
        <v>1.1115919999999999</v>
      </c>
      <c r="L3435">
        <v>141.297</v>
      </c>
      <c r="M3435">
        <v>-0.99089349999999998</v>
      </c>
      <c r="N3435">
        <v>0</v>
      </c>
      <c r="O3435">
        <v>-0.13292079999999901</v>
      </c>
      <c r="P3435">
        <v>-0.9798192</v>
      </c>
      <c r="Q3435">
        <v>0.1974168</v>
      </c>
      <c r="R3435">
        <v>-3.1319380000000001E-2</v>
      </c>
      <c r="S3435">
        <v>-3.093658</v>
      </c>
      <c r="T3435">
        <v>-0.14511949999999901</v>
      </c>
      <c r="U3435">
        <v>4.4662479999999997E-2</v>
      </c>
      <c r="V3435">
        <v>9.948282E-2</v>
      </c>
      <c r="W3435">
        <v>0.21822</v>
      </c>
      <c r="X3435">
        <v>0.97081580000000001</v>
      </c>
      <c r="Y3435">
        <v>0.1469376</v>
      </c>
      <c r="Z3435">
        <v>9.6646839999999998E-3</v>
      </c>
      <c r="AA3435">
        <v>0.98909849999999999</v>
      </c>
      <c r="AB3435">
        <v>14</v>
      </c>
      <c r="AC3435">
        <v>-23.552199999999999</v>
      </c>
      <c r="AD3435">
        <v>-1.111595743896</v>
      </c>
      <c r="AE3435">
        <v>0.35890000000000499</v>
      </c>
      <c r="AF3435">
        <v>3.4792662679162398</v>
      </c>
      <c r="AG3435">
        <v>-1.111595743896</v>
      </c>
      <c r="AH3435">
        <v>23.2436352831328</v>
      </c>
      <c r="AI3435">
        <v>92.707884936161506</v>
      </c>
      <c r="AJ3435">
        <v>81.486783228923997</v>
      </c>
      <c r="AK3435">
        <v>23.528865676785301</v>
      </c>
      <c r="AL3435">
        <v>77.395494237948995</v>
      </c>
      <c r="AM3435">
        <v>84.149127823716896</v>
      </c>
      <c r="AN3435">
        <v>1.0000000587023901</v>
      </c>
    </row>
    <row r="3436" spans="1:40" x14ac:dyDescent="0.25">
      <c r="A3436" t="str">
        <f>"20190312172730756"</f>
        <v>20190312172730756</v>
      </c>
      <c r="B3436" t="str">
        <f>"1552382850752898"</f>
        <v>1552382850752898</v>
      </c>
      <c r="C3436" t="s">
        <v>40</v>
      </c>
      <c r="D3436">
        <v>3.5092539999999999</v>
      </c>
      <c r="E3436">
        <v>0.51789669999999999</v>
      </c>
      <c r="F3436" t="s">
        <v>41</v>
      </c>
      <c r="G3436">
        <v>-241.9905</v>
      </c>
      <c r="H3436" s="1">
        <v>-3.9540819999999999E-6</v>
      </c>
      <c r="I3436">
        <v>141.62960000000001</v>
      </c>
      <c r="J3436">
        <v>-219.07599999999999</v>
      </c>
      <c r="K3436">
        <v>1.1113980000000001</v>
      </c>
      <c r="L3436">
        <v>141.28149999999999</v>
      </c>
      <c r="M3436">
        <v>-0.99115799999999998</v>
      </c>
      <c r="N3436">
        <v>0</v>
      </c>
      <c r="O3436">
        <v>-0.13081619999999999</v>
      </c>
      <c r="P3436">
        <v>-0.97993969999999997</v>
      </c>
      <c r="Q3436">
        <v>0.1969619</v>
      </c>
      <c r="R3436">
        <v>-3.0401640000000001E-2</v>
      </c>
      <c r="S3436">
        <v>-3.0932620000000002</v>
      </c>
      <c r="T3436">
        <v>-0.14919979999999999</v>
      </c>
      <c r="U3436">
        <v>4.4662479999999997E-2</v>
      </c>
      <c r="V3436">
        <v>9.8413860000000006E-2</v>
      </c>
      <c r="W3436">
        <v>0.2184265</v>
      </c>
      <c r="X3436">
        <v>0.97087820000000002</v>
      </c>
      <c r="Y3436">
        <v>0.14482790000000001</v>
      </c>
      <c r="Z3436">
        <v>9.7857829999999993E-3</v>
      </c>
      <c r="AA3436">
        <v>0.98940850000000002</v>
      </c>
      <c r="AB3436">
        <v>13</v>
      </c>
      <c r="AC3436">
        <v>-22.9145</v>
      </c>
      <c r="AD3436">
        <v>-1.1114019540819999</v>
      </c>
      <c r="AE3436">
        <v>0.34810000000001601</v>
      </c>
      <c r="AF3436">
        <v>3.3355890572532498</v>
      </c>
      <c r="AG3436">
        <v>-1.1114019540819999</v>
      </c>
      <c r="AH3436">
        <v>22.6187441958017</v>
      </c>
      <c r="AI3436">
        <v>92.782990941501197</v>
      </c>
      <c r="AJ3436">
        <v>81.611048200021102</v>
      </c>
      <c r="AK3436">
        <v>22.890368228962998</v>
      </c>
      <c r="AL3436">
        <v>77.383368810733799</v>
      </c>
      <c r="AM3436">
        <v>84.211936757640501</v>
      </c>
      <c r="AN3436">
        <v>0.99999995148879295</v>
      </c>
    </row>
    <row r="3437" spans="1:40" x14ac:dyDescent="0.25">
      <c r="A3437" t="str">
        <f>"20190312172730780"</f>
        <v>20190312172730780</v>
      </c>
      <c r="B3437" t="str">
        <f>"1552382850772418"</f>
        <v>1552382850772418</v>
      </c>
      <c r="C3437" t="s">
        <v>40</v>
      </c>
      <c r="D3437">
        <v>3.5425870000000002</v>
      </c>
      <c r="E3437">
        <v>0.51750149999999995</v>
      </c>
      <c r="F3437" t="s">
        <v>41</v>
      </c>
      <c r="G3437">
        <v>-241.89609999999999</v>
      </c>
      <c r="H3437" s="1">
        <v>-3.9825649999999999E-6</v>
      </c>
      <c r="I3437">
        <v>141.59960000000001</v>
      </c>
      <c r="J3437">
        <v>-219.2149</v>
      </c>
      <c r="K3437">
        <v>1.110717</v>
      </c>
      <c r="L3437">
        <v>141.26580000000001</v>
      </c>
      <c r="M3437">
        <v>-0.99150059999999995</v>
      </c>
      <c r="N3437">
        <v>0</v>
      </c>
      <c r="O3437">
        <v>-0.128301</v>
      </c>
      <c r="P3437">
        <v>-0.97989219999999999</v>
      </c>
      <c r="Q3437">
        <v>0.1973713</v>
      </c>
      <c r="R3437">
        <v>-2.9264109999999999E-2</v>
      </c>
      <c r="S3437">
        <v>-3.0930330000000001</v>
      </c>
      <c r="T3437">
        <v>-0.15063940000000001</v>
      </c>
      <c r="U3437">
        <v>4.3121340000000001E-2</v>
      </c>
      <c r="V3437">
        <v>9.7214560000000005E-2</v>
      </c>
      <c r="W3437">
        <v>0.21815899999999999</v>
      </c>
      <c r="X3437">
        <v>0.97105920000000001</v>
      </c>
      <c r="Y3437">
        <v>0.14182359999999999</v>
      </c>
      <c r="Z3437">
        <v>9.6858840000000005E-3</v>
      </c>
      <c r="AA3437">
        <v>0.98984459999999996</v>
      </c>
      <c r="AB3437">
        <v>13</v>
      </c>
      <c r="AC3437">
        <v>-22.681199999999901</v>
      </c>
      <c r="AD3437">
        <v>-1.110720982565</v>
      </c>
      <c r="AE3437">
        <v>0.33379999999999599</v>
      </c>
      <c r="AF3437">
        <v>3.2339840765510299</v>
      </c>
      <c r="AG3437">
        <v>-1.110720982565</v>
      </c>
      <c r="AH3437">
        <v>22.397121384168699</v>
      </c>
      <c r="AI3437">
        <v>92.809999171528901</v>
      </c>
      <c r="AJ3437">
        <v>81.783686779559105</v>
      </c>
      <c r="AK3437">
        <v>22.656641419364899</v>
      </c>
      <c r="AL3437">
        <v>77.399074750535206</v>
      </c>
      <c r="AM3437">
        <v>84.283060271728203</v>
      </c>
      <c r="AN3437">
        <v>0.99999999493081604</v>
      </c>
    </row>
    <row r="3438" spans="1:40" x14ac:dyDescent="0.25">
      <c r="A3438" t="str">
        <f>"20190312172730801"</f>
        <v>20190312172730801</v>
      </c>
      <c r="B3438" t="str">
        <f>"1552382850792913"</f>
        <v>1552382850792913</v>
      </c>
      <c r="C3438" t="s">
        <v>40</v>
      </c>
      <c r="D3438">
        <v>3.5376829999999999</v>
      </c>
      <c r="E3438">
        <v>0.51711010000000002</v>
      </c>
      <c r="F3438" t="s">
        <v>41</v>
      </c>
      <c r="G3438">
        <v>-242.2242</v>
      </c>
      <c r="H3438" s="1">
        <v>-3.8445710000000003E-6</v>
      </c>
      <c r="I3438">
        <v>141.5949</v>
      </c>
      <c r="J3438">
        <v>-219.34899999999999</v>
      </c>
      <c r="K3438">
        <v>1.1100429999999999</v>
      </c>
      <c r="L3438">
        <v>141.25139999999999</v>
      </c>
      <c r="M3438">
        <v>-0.99182939999999997</v>
      </c>
      <c r="N3438">
        <v>0</v>
      </c>
      <c r="O3438">
        <v>-0.12592680000000001</v>
      </c>
      <c r="P3438">
        <v>-0.97967230000000005</v>
      </c>
      <c r="Q3438">
        <v>0.19863159999999999</v>
      </c>
      <c r="R3438">
        <v>-2.806761E-2</v>
      </c>
      <c r="S3438">
        <v>-3.0929570000000002</v>
      </c>
      <c r="T3438">
        <v>-0.1493053</v>
      </c>
      <c r="U3438">
        <v>4.4250490000000003E-2</v>
      </c>
      <c r="V3438">
        <v>9.6163040000000005E-2</v>
      </c>
      <c r="W3438">
        <v>0.21823629999999999</v>
      </c>
      <c r="X3438">
        <v>0.97114650000000002</v>
      </c>
      <c r="Y3438">
        <v>0.13982269999999999</v>
      </c>
      <c r="Z3438">
        <v>9.4381359999999997E-3</v>
      </c>
      <c r="AA3438">
        <v>0.9901316</v>
      </c>
      <c r="AB3438">
        <v>13</v>
      </c>
      <c r="AC3438">
        <v>-22.8751999999999</v>
      </c>
      <c r="AD3438">
        <v>-1.1100468445709999</v>
      </c>
      <c r="AE3438">
        <v>0.34350000000000502</v>
      </c>
      <c r="AF3438">
        <v>3.2143982571084702</v>
      </c>
      <c r="AG3438">
        <v>-1.1100468445709999</v>
      </c>
      <c r="AH3438">
        <v>22.596563426715399</v>
      </c>
      <c r="AI3438">
        <v>92.784384782942993</v>
      </c>
      <c r="AJ3438">
        <v>81.903899299749099</v>
      </c>
      <c r="AK3438">
        <v>22.851022709060899</v>
      </c>
      <c r="AL3438">
        <v>77.394536097864801</v>
      </c>
      <c r="AM3438">
        <v>84.344999529157406</v>
      </c>
      <c r="AN3438">
        <v>0.99999996868098995</v>
      </c>
    </row>
    <row r="3439" spans="1:40" x14ac:dyDescent="0.25">
      <c r="A3439" t="str">
        <f>"20190312172730824"</f>
        <v>20190312172730824</v>
      </c>
      <c r="B3439" t="str">
        <f>"1552382850812434"</f>
        <v>1552382850812434</v>
      </c>
      <c r="C3439" t="s">
        <v>40</v>
      </c>
      <c r="D3439">
        <v>3.5277790000000002</v>
      </c>
      <c r="E3439">
        <v>0.51691779999999998</v>
      </c>
      <c r="F3439" t="s">
        <v>41</v>
      </c>
      <c r="G3439">
        <v>-242.9992</v>
      </c>
      <c r="H3439" s="1">
        <v>-3.512844E-6</v>
      </c>
      <c r="I3439">
        <v>141.5976</v>
      </c>
      <c r="J3439">
        <v>-219.48519999999999</v>
      </c>
      <c r="K3439">
        <v>1.1096809999999999</v>
      </c>
      <c r="L3439">
        <v>141.2373</v>
      </c>
      <c r="M3439">
        <v>-0.99214009999999997</v>
      </c>
      <c r="N3439">
        <v>0</v>
      </c>
      <c r="O3439">
        <v>-0.1236121</v>
      </c>
      <c r="P3439">
        <v>-0.97938749999999997</v>
      </c>
      <c r="Q3439">
        <v>0.20022229999999999</v>
      </c>
      <c r="R3439">
        <v>-2.6672109999999999E-2</v>
      </c>
      <c r="S3439">
        <v>-3.0929720000000001</v>
      </c>
      <c r="T3439">
        <v>-0.14517249999999901</v>
      </c>
      <c r="U3439">
        <v>4.5288090000000003E-2</v>
      </c>
      <c r="V3439">
        <v>9.5277760000000003E-2</v>
      </c>
      <c r="W3439">
        <v>0.2188696</v>
      </c>
      <c r="X3439">
        <v>0.97109129999999999</v>
      </c>
      <c r="Y3439">
        <v>0.13786319999999999</v>
      </c>
      <c r="Z3439">
        <v>9.0230589999999999E-3</v>
      </c>
      <c r="AA3439">
        <v>0.99041020000000002</v>
      </c>
      <c r="AB3439">
        <v>14</v>
      </c>
      <c r="AC3439">
        <v>-23.513999999999999</v>
      </c>
      <c r="AD3439">
        <v>-1.1096845128439901</v>
      </c>
      <c r="AE3439">
        <v>0.36029999999999501</v>
      </c>
      <c r="AF3439">
        <v>3.2574471366299398</v>
      </c>
      <c r="AG3439">
        <v>-1.1096845128439901</v>
      </c>
      <c r="AH3439">
        <v>23.237307330944699</v>
      </c>
      <c r="AI3439">
        <v>92.707616405124398</v>
      </c>
      <c r="AJ3439">
        <v>82.020174769431094</v>
      </c>
      <c r="AK3439">
        <v>23.490738889161399</v>
      </c>
      <c r="AL3439">
        <v>77.357352579045994</v>
      </c>
      <c r="AM3439">
        <v>84.396410338471597</v>
      </c>
      <c r="AN3439">
        <v>1.0000000331452299</v>
      </c>
    </row>
    <row r="3440" spans="1:40" x14ac:dyDescent="0.25">
      <c r="A3440" t="str">
        <f>"20190312172730847"</f>
        <v>20190312172730847</v>
      </c>
      <c r="B3440" t="str">
        <f>"1552382850842690"</f>
        <v>1552382850842690</v>
      </c>
      <c r="C3440" t="s">
        <v>40</v>
      </c>
      <c r="D3440">
        <v>3.527174</v>
      </c>
      <c r="E3440">
        <v>0.50693679999999997</v>
      </c>
      <c r="F3440" t="s">
        <v>41</v>
      </c>
      <c r="G3440">
        <v>-243.97049999999999</v>
      </c>
      <c r="H3440" s="1">
        <v>-3.1006480000000001E-6</v>
      </c>
      <c r="I3440">
        <v>141.61449999999999</v>
      </c>
      <c r="J3440">
        <v>-219.62629999999999</v>
      </c>
      <c r="K3440">
        <v>1.109632</v>
      </c>
      <c r="L3440">
        <v>141.22309999999999</v>
      </c>
      <c r="M3440">
        <v>-0.99244909999999997</v>
      </c>
      <c r="N3440">
        <v>0</v>
      </c>
      <c r="O3440">
        <v>-0.1212107</v>
      </c>
      <c r="P3440">
        <v>-0.97921789999999997</v>
      </c>
      <c r="Q3440">
        <v>0.2012708</v>
      </c>
      <c r="R3440">
        <v>-2.4944109999999999E-2</v>
      </c>
      <c r="S3440">
        <v>-3.0930789999999999</v>
      </c>
      <c r="T3440">
        <v>-0.14017979999999899</v>
      </c>
      <c r="U3440">
        <v>4.76532E-2</v>
      </c>
      <c r="V3440">
        <v>9.4564449999999994E-2</v>
      </c>
      <c r="W3440">
        <v>0.21928590000000001</v>
      </c>
      <c r="X3440">
        <v>0.97106709999999996</v>
      </c>
      <c r="Y3440">
        <v>0.1362448</v>
      </c>
      <c r="Z3440">
        <v>8.5678379999999995E-3</v>
      </c>
      <c r="AA3440">
        <v>0.99063809999999997</v>
      </c>
      <c r="AB3440">
        <v>14</v>
      </c>
      <c r="AC3440">
        <v>-24.344200000000001</v>
      </c>
      <c r="AD3440">
        <v>-1.1096351006480001</v>
      </c>
      <c r="AE3440">
        <v>0.39140000000000402</v>
      </c>
      <c r="AF3440">
        <v>3.3328884741015501</v>
      </c>
      <c r="AG3440">
        <v>-1.1096351006480001</v>
      </c>
      <c r="AH3440">
        <v>24.067201608095999</v>
      </c>
      <c r="AI3440">
        <v>92.614873329138504</v>
      </c>
      <c r="AJ3440">
        <v>82.115677068130196</v>
      </c>
      <c r="AK3440">
        <v>24.322204441253501</v>
      </c>
      <c r="AL3440">
        <v>77.332906407516603</v>
      </c>
      <c r="AM3440">
        <v>84.437960604807401</v>
      </c>
      <c r="AN3440">
        <v>1.00000002692251</v>
      </c>
    </row>
    <row r="3441" spans="1:40" x14ac:dyDescent="0.25">
      <c r="A3441" t="str">
        <f>"20190312172730872"</f>
        <v>20190312172730872</v>
      </c>
      <c r="B3441" t="str">
        <f>"1552382850863186"</f>
        <v>1552382850863186</v>
      </c>
      <c r="C3441" t="s">
        <v>40</v>
      </c>
      <c r="D3441">
        <v>3.5229659999999998</v>
      </c>
      <c r="E3441">
        <v>0.50695559999999995</v>
      </c>
      <c r="F3441" t="s">
        <v>41</v>
      </c>
      <c r="G3441">
        <v>-243.76150000000001</v>
      </c>
      <c r="H3441" s="1">
        <v>-3.030084E-6</v>
      </c>
      <c r="I3441">
        <v>141.01240000000001</v>
      </c>
      <c r="J3441">
        <v>-219.77440000000001</v>
      </c>
      <c r="K3441">
        <v>1.1097379999999999</v>
      </c>
      <c r="L3441">
        <v>141.20840000000001</v>
      </c>
      <c r="M3441">
        <v>-0.99278580000000005</v>
      </c>
      <c r="N3441">
        <v>0</v>
      </c>
      <c r="O3441">
        <v>-0.11852500000000001</v>
      </c>
      <c r="P3441">
        <v>-0.97905920000000002</v>
      </c>
      <c r="Q3441">
        <v>0.2022108</v>
      </c>
      <c r="R3441">
        <v>-2.3546810000000001E-2</v>
      </c>
      <c r="S3441">
        <v>-3.0921780000000001</v>
      </c>
      <c r="T3441">
        <v>-0.142165299999999</v>
      </c>
      <c r="U3441">
        <v>-2.6992800000000001E-2</v>
      </c>
      <c r="V3441">
        <v>9.3184660000000002E-2</v>
      </c>
      <c r="W3441">
        <v>0.21963479999999999</v>
      </c>
      <c r="X3441">
        <v>0.97112160000000003</v>
      </c>
      <c r="Y3441">
        <v>0.1096319</v>
      </c>
      <c r="Z3441">
        <v>7.9556760000000001E-3</v>
      </c>
      <c r="AA3441">
        <v>0.99394039999999995</v>
      </c>
      <c r="AB3441">
        <v>14</v>
      </c>
      <c r="AC3441">
        <v>-23.987100000000002</v>
      </c>
      <c r="AD3441">
        <v>-1.1097410300839901</v>
      </c>
      <c r="AE3441">
        <v>-0.19599999999999701</v>
      </c>
      <c r="AF3441">
        <v>2.6432625388692901</v>
      </c>
      <c r="AG3441">
        <v>-1.1097410300839901</v>
      </c>
      <c r="AH3441">
        <v>23.7902791063938</v>
      </c>
      <c r="AI3441">
        <v>92.654420108961503</v>
      </c>
      <c r="AJ3441">
        <v>83.660050451256595</v>
      </c>
      <c r="AK3441">
        <v>23.962381809063899</v>
      </c>
      <c r="AL3441">
        <v>77.312415969753403</v>
      </c>
      <c r="AM3441">
        <v>84.518924176389902</v>
      </c>
      <c r="AN3441">
        <v>0.99999999410845697</v>
      </c>
    </row>
    <row r="3442" spans="1:40" x14ac:dyDescent="0.25">
      <c r="A3442" t="str">
        <f>"20190312172730914"</f>
        <v>20190312172730914</v>
      </c>
      <c r="B3442" t="str">
        <f>"1552382850912963"</f>
        <v>1552382850912963</v>
      </c>
      <c r="C3442" t="s">
        <v>40</v>
      </c>
      <c r="D3442">
        <v>3.4870719999999999</v>
      </c>
      <c r="E3442">
        <v>0.50710759999999999</v>
      </c>
      <c r="F3442" t="s">
        <v>41</v>
      </c>
      <c r="G3442">
        <v>-244.714</v>
      </c>
      <c r="H3442" s="1">
        <v>-2.6257239999999999E-6</v>
      </c>
      <c r="I3442">
        <v>141.0284</v>
      </c>
      <c r="J3442">
        <v>-220.0325</v>
      </c>
      <c r="K3442">
        <v>1.10982</v>
      </c>
      <c r="L3442">
        <v>141.18299999999999</v>
      </c>
      <c r="M3442">
        <v>-0.99335629999999997</v>
      </c>
      <c r="N3442">
        <v>0</v>
      </c>
      <c r="O3442">
        <v>-0.11384229999999999</v>
      </c>
      <c r="P3442">
        <v>-0.97874930000000004</v>
      </c>
      <c r="Q3442">
        <v>0.20402509999999999</v>
      </c>
      <c r="R3442">
        <v>-2.0584209999999999E-2</v>
      </c>
      <c r="S3442">
        <v>-3.0920719999999999</v>
      </c>
      <c r="T3442">
        <v>-0.13758860000000001</v>
      </c>
      <c r="U3442">
        <v>-2.2308350000000001E-2</v>
      </c>
      <c r="V3442">
        <v>9.1363260000000002E-2</v>
      </c>
      <c r="W3442">
        <v>0.22024469999999999</v>
      </c>
      <c r="X3442">
        <v>0.97115649999999998</v>
      </c>
      <c r="Y3442">
        <v>0.1064703</v>
      </c>
      <c r="Z3442">
        <v>7.4226469999999897E-3</v>
      </c>
      <c r="AA3442">
        <v>0.99428810000000001</v>
      </c>
      <c r="AB3442">
        <v>14</v>
      </c>
      <c r="AC3442">
        <v>-24.6815</v>
      </c>
      <c r="AD3442">
        <v>-1.109822625724</v>
      </c>
      <c r="AE3442">
        <v>-0.154599999999987</v>
      </c>
      <c r="AF3442">
        <v>2.6512416451164702</v>
      </c>
      <c r="AG3442">
        <v>-1.109822625724</v>
      </c>
      <c r="AH3442">
        <v>24.489085313289898</v>
      </c>
      <c r="AI3442">
        <v>92.579762390490203</v>
      </c>
      <c r="AJ3442">
        <v>83.821099630654601</v>
      </c>
      <c r="AK3442">
        <v>24.6571711273406</v>
      </c>
      <c r="AL3442">
        <v>77.276593682653498</v>
      </c>
      <c r="AM3442">
        <v>84.625616490342395</v>
      </c>
      <c r="AN3442">
        <v>0.999999960324083</v>
      </c>
    </row>
    <row r="3443" spans="1:40" x14ac:dyDescent="0.25">
      <c r="A3443" t="str">
        <f>"20190312172730935"</f>
        <v>20190312172730935</v>
      </c>
      <c r="B3443" t="str">
        <f>"1552382850932483"</f>
        <v>1552382850932483</v>
      </c>
      <c r="C3443" t="s">
        <v>40</v>
      </c>
      <c r="D3443">
        <v>3.495784</v>
      </c>
      <c r="E3443">
        <v>0.50710540000000004</v>
      </c>
      <c r="F3443" t="s">
        <v>41</v>
      </c>
      <c r="G3443">
        <v>-245.0917</v>
      </c>
      <c r="H3443" s="1">
        <v>-2.4817849999999999E-6</v>
      </c>
      <c r="I3443">
        <v>141.09639999999999</v>
      </c>
      <c r="J3443">
        <v>-220.1593</v>
      </c>
      <c r="K3443">
        <v>1.1097889999999999</v>
      </c>
      <c r="L3443">
        <v>141.17080000000001</v>
      </c>
      <c r="M3443">
        <v>-0.99360510000000002</v>
      </c>
      <c r="N3443">
        <v>0</v>
      </c>
      <c r="O3443">
        <v>-0.1117291</v>
      </c>
      <c r="P3443">
        <v>-0.97859600000000002</v>
      </c>
      <c r="Q3443">
        <v>0.20485990000000001</v>
      </c>
      <c r="R3443">
        <v>-1.9549460000000001E-2</v>
      </c>
      <c r="S3443">
        <v>-3.0934750000000002</v>
      </c>
      <c r="T3443">
        <v>-0.13700409999999999</v>
      </c>
      <c r="U3443">
        <v>-1.068115E-2</v>
      </c>
      <c r="V3443">
        <v>9.0296479999999998E-2</v>
      </c>
      <c r="W3443">
        <v>0.2205618</v>
      </c>
      <c r="X3443">
        <v>0.9711843</v>
      </c>
      <c r="Y3443">
        <v>0.108097</v>
      </c>
      <c r="Z3443">
        <v>7.331003E-3</v>
      </c>
      <c r="AA3443">
        <v>0.99411329999999998</v>
      </c>
      <c r="AB3443">
        <v>14</v>
      </c>
      <c r="AC3443">
        <v>-24.932400000000001</v>
      </c>
      <c r="AD3443">
        <v>-1.1097914817850001</v>
      </c>
      <c r="AE3443">
        <v>-7.4400000000025501E-2</v>
      </c>
      <c r="AF3443">
        <v>2.7067475831220902</v>
      </c>
      <c r="AG3443">
        <v>-1.1097914817850001</v>
      </c>
      <c r="AH3443">
        <v>24.735554366535101</v>
      </c>
      <c r="AI3443">
        <v>92.553700165941606</v>
      </c>
      <c r="AJ3443">
        <v>83.755118447304397</v>
      </c>
      <c r="AK3443">
        <v>24.9079459095204</v>
      </c>
      <c r="AL3443">
        <v>77.257967050153297</v>
      </c>
      <c r="AM3443">
        <v>84.688159229999798</v>
      </c>
      <c r="AN3443">
        <v>0.99999995324305901</v>
      </c>
    </row>
    <row r="3444" spans="1:40" x14ac:dyDescent="0.25">
      <c r="A3444" t="str">
        <f>"20190312172730958"</f>
        <v>20190312172730958</v>
      </c>
      <c r="B3444" t="str">
        <f>"1552382850952978"</f>
        <v>1552382850952978</v>
      </c>
      <c r="C3444" t="s">
        <v>40</v>
      </c>
      <c r="D3444">
        <v>3.5387040000000001</v>
      </c>
      <c r="E3444">
        <v>0.50690199999999996</v>
      </c>
      <c r="F3444" t="s">
        <v>41</v>
      </c>
      <c r="G3444">
        <v>-245.48500000000001</v>
      </c>
      <c r="H3444" s="1">
        <v>-2.31686E-6</v>
      </c>
      <c r="I3444">
        <v>141.11070000000001</v>
      </c>
      <c r="J3444">
        <v>-220.29769999999999</v>
      </c>
      <c r="K3444">
        <v>1.1097360000000001</v>
      </c>
      <c r="L3444">
        <v>141.15780000000001</v>
      </c>
      <c r="M3444">
        <v>-0.99385610000000002</v>
      </c>
      <c r="N3444">
        <v>0</v>
      </c>
      <c r="O3444">
        <v>-0.1095445</v>
      </c>
      <c r="P3444">
        <v>-0.97858900000000004</v>
      </c>
      <c r="Q3444">
        <v>0.20504839999999999</v>
      </c>
      <c r="R3444">
        <v>-1.7867640000000001E-2</v>
      </c>
      <c r="S3444">
        <v>-3.0938569999999999</v>
      </c>
      <c r="T3444">
        <v>-0.13557520000000001</v>
      </c>
      <c r="U3444">
        <v>-7.339478E-3</v>
      </c>
      <c r="V3444">
        <v>8.9848010000000006E-2</v>
      </c>
      <c r="W3444">
        <v>0.22028320000000001</v>
      </c>
      <c r="X3444">
        <v>0.97128919999999996</v>
      </c>
      <c r="Y3444">
        <v>0.1069924</v>
      </c>
      <c r="Z3444">
        <v>7.134329E-3</v>
      </c>
      <c r="AA3444">
        <v>0.99423430000000002</v>
      </c>
      <c r="AB3444">
        <v>14</v>
      </c>
      <c r="AC3444">
        <v>-25.1873</v>
      </c>
      <c r="AD3444">
        <v>-1.1097383168599999</v>
      </c>
      <c r="AE3444">
        <v>-4.7100000000000301E-2</v>
      </c>
      <c r="AF3444">
        <v>2.707403055686</v>
      </c>
      <c r="AG3444">
        <v>-1.1097383168599999</v>
      </c>
      <c r="AH3444">
        <v>24.992326494106401</v>
      </c>
      <c r="AI3444">
        <v>92.527674872416995</v>
      </c>
      <c r="AJ3444">
        <v>83.817294119701202</v>
      </c>
      <c r="AK3444">
        <v>25.1630271236562</v>
      </c>
      <c r="AL3444">
        <v>77.274333176942505</v>
      </c>
      <c r="AM3444">
        <v>84.7149590475438</v>
      </c>
      <c r="AN3444">
        <v>1.00000003156991</v>
      </c>
    </row>
    <row r="3445" spans="1:40" x14ac:dyDescent="0.25">
      <c r="A3445" t="str">
        <f>"20190312172730980"</f>
        <v>20190312172730980</v>
      </c>
      <c r="B3445" t="str">
        <f>"1552382850972498"</f>
        <v>1552382850972498</v>
      </c>
      <c r="C3445" t="s">
        <v>40</v>
      </c>
      <c r="D3445">
        <v>3.524349</v>
      </c>
      <c r="E3445">
        <v>0.50667799999999996</v>
      </c>
      <c r="F3445" t="s">
        <v>41</v>
      </c>
      <c r="G3445">
        <v>-246.10589999999999</v>
      </c>
      <c r="H3445" s="1">
        <v>-2.0551660000000002E-6</v>
      </c>
      <c r="I3445">
        <v>141.12819999999999</v>
      </c>
      <c r="J3445">
        <v>-220.4297</v>
      </c>
      <c r="K3445">
        <v>1.109677</v>
      </c>
      <c r="L3445">
        <v>141.14580000000001</v>
      </c>
      <c r="M3445">
        <v>-0.9940869</v>
      </c>
      <c r="N3445">
        <v>0</v>
      </c>
      <c r="O3445">
        <v>-0.1074881</v>
      </c>
      <c r="P3445">
        <v>-0.97853730000000005</v>
      </c>
      <c r="Q3445">
        <v>0.20536940000000001</v>
      </c>
      <c r="R3445">
        <v>-1.699094E-2</v>
      </c>
      <c r="S3445">
        <v>-3.0934300000000001</v>
      </c>
      <c r="T3445">
        <v>-0.13301559999999901</v>
      </c>
      <c r="U3445">
        <v>-3.540039E-3</v>
      </c>
      <c r="V3445">
        <v>8.8727449999999999E-2</v>
      </c>
      <c r="W3445">
        <v>0.22020049999999999</v>
      </c>
      <c r="X3445">
        <v>0.97141089999999997</v>
      </c>
      <c r="Y3445">
        <v>0.10616589999999999</v>
      </c>
      <c r="Z3445">
        <v>6.8950280000000001E-3</v>
      </c>
      <c r="AA3445">
        <v>0.99432450000000006</v>
      </c>
      <c r="AB3445">
        <v>14</v>
      </c>
      <c r="AC3445">
        <v>-25.676199999999898</v>
      </c>
      <c r="AD3445">
        <v>-1.1096790551660001</v>
      </c>
      <c r="AE3445">
        <v>-1.7600000000015801E-2</v>
      </c>
      <c r="AF3445">
        <v>2.7376024747025198</v>
      </c>
      <c r="AG3445">
        <v>-1.1096790551660001</v>
      </c>
      <c r="AH3445">
        <v>25.481703171804799</v>
      </c>
      <c r="AI3445">
        <v>92.479296166426295</v>
      </c>
      <c r="AJ3445">
        <v>83.868002392120701</v>
      </c>
      <c r="AK3445">
        <v>25.6523498231827</v>
      </c>
      <c r="AL3445">
        <v>77.279190130659103</v>
      </c>
      <c r="AM3445">
        <v>84.781156600554695</v>
      </c>
      <c r="AN3445">
        <v>0.99999997861128098</v>
      </c>
    </row>
    <row r="3446" spans="1:40" x14ac:dyDescent="0.25">
      <c r="A3446" t="str">
        <f>"20190312172731002"</f>
        <v>20190312172731002</v>
      </c>
      <c r="B3446" t="str">
        <f>"1552382850992994"</f>
        <v>1552382850992994</v>
      </c>
      <c r="C3446" t="s">
        <v>40</v>
      </c>
      <c r="D3446">
        <v>3.5653630000000001</v>
      </c>
      <c r="E3446">
        <v>0.50642279999999995</v>
      </c>
      <c r="F3446" t="s">
        <v>41</v>
      </c>
      <c r="G3446">
        <v>-246.696</v>
      </c>
      <c r="H3446" s="1">
        <v>-1.801775E-6</v>
      </c>
      <c r="I3446">
        <v>141.12729999999999</v>
      </c>
      <c r="J3446">
        <v>-220.5668</v>
      </c>
      <c r="K3446">
        <v>1.1096170000000001</v>
      </c>
      <c r="L3446">
        <v>141.1337</v>
      </c>
      <c r="M3446">
        <v>-0.99432529999999997</v>
      </c>
      <c r="N3446">
        <v>0</v>
      </c>
      <c r="O3446">
        <v>-0.105322</v>
      </c>
      <c r="P3446">
        <v>-0.97860409999999998</v>
      </c>
      <c r="Q3446">
        <v>0.2051683</v>
      </c>
      <c r="R3446">
        <v>-1.5498680000000001E-2</v>
      </c>
      <c r="S3446">
        <v>-3.0931850000000001</v>
      </c>
      <c r="T3446">
        <v>-0.1306785</v>
      </c>
      <c r="U3446">
        <v>-2.166748E-3</v>
      </c>
      <c r="V3446">
        <v>8.8117349999999997E-2</v>
      </c>
      <c r="W3446">
        <v>0.21958269999999999</v>
      </c>
      <c r="X3446">
        <v>0.97160630000000003</v>
      </c>
      <c r="Y3446">
        <v>0.1044503</v>
      </c>
      <c r="Z3446">
        <v>6.6472140000000002E-3</v>
      </c>
      <c r="AA3446">
        <v>0.9945079</v>
      </c>
      <c r="AB3446">
        <v>14</v>
      </c>
      <c r="AC3446">
        <v>-26.129200000000001</v>
      </c>
      <c r="AD3446">
        <v>-1.1096188017749999</v>
      </c>
      <c r="AE3446">
        <v>-6.4000000000134999E-3</v>
      </c>
      <c r="AF3446">
        <v>2.7409810095245599</v>
      </c>
      <c r="AG3446">
        <v>-1.1096188017749999</v>
      </c>
      <c r="AH3446">
        <v>25.937738805332401</v>
      </c>
      <c r="AI3446">
        <v>92.436077005341005</v>
      </c>
      <c r="AJ3446">
        <v>83.967633971727807</v>
      </c>
      <c r="AK3446">
        <v>26.105756551256501</v>
      </c>
      <c r="AL3446">
        <v>77.315476056230906</v>
      </c>
      <c r="AM3446">
        <v>84.817882537818093</v>
      </c>
      <c r="AN3446">
        <v>1.000000015855</v>
      </c>
    </row>
    <row r="3447" spans="1:40" x14ac:dyDescent="0.25">
      <c r="A3447" t="str">
        <f>"20190312172731025"</f>
        <v>20190312172731025</v>
      </c>
      <c r="B3447" t="str">
        <f>"1552382851012514"</f>
        <v>1552382851012514</v>
      </c>
      <c r="C3447" t="s">
        <v>40</v>
      </c>
      <c r="D3447">
        <v>3.561925</v>
      </c>
      <c r="E3447">
        <v>0.50628109999999904</v>
      </c>
      <c r="F3447" t="s">
        <v>41</v>
      </c>
      <c r="G3447">
        <v>-247.08840000000001</v>
      </c>
      <c r="H3447" s="1">
        <v>-1.637415E-6</v>
      </c>
      <c r="I3447">
        <v>141.1422</v>
      </c>
      <c r="J3447">
        <v>-220.70320000000001</v>
      </c>
      <c r="K3447">
        <v>1.10958</v>
      </c>
      <c r="L3447">
        <v>141.12190000000001</v>
      </c>
      <c r="M3447">
        <v>-0.99456199999999995</v>
      </c>
      <c r="N3447">
        <v>0</v>
      </c>
      <c r="O3447">
        <v>-0.10312159999999999</v>
      </c>
      <c r="P3447">
        <v>-0.97862700000000002</v>
      </c>
      <c r="Q3447">
        <v>0.20518249999999999</v>
      </c>
      <c r="R3447">
        <v>-1.376235E-2</v>
      </c>
      <c r="S3447">
        <v>-3.092743</v>
      </c>
      <c r="T3447">
        <v>-0.12939519999999999</v>
      </c>
      <c r="U3447">
        <v>1.00708E-3</v>
      </c>
      <c r="V3447">
        <v>8.7699250000000006E-2</v>
      </c>
      <c r="W3447">
        <v>0.21918869999999999</v>
      </c>
      <c r="X3447">
        <v>0.97173310000000002</v>
      </c>
      <c r="Y3447">
        <v>0.1032761</v>
      </c>
      <c r="Z3447">
        <v>6.4667619999999896E-3</v>
      </c>
      <c r="AA3447">
        <v>0.99463170000000001</v>
      </c>
      <c r="AB3447">
        <v>14</v>
      </c>
      <c r="AC3447">
        <v>-26.385200000000001</v>
      </c>
      <c r="AD3447">
        <v>-1.109581637415</v>
      </c>
      <c r="AE3447">
        <v>2.02999999999917E-2</v>
      </c>
      <c r="AF3447">
        <v>2.7365252871509398</v>
      </c>
      <c r="AG3447">
        <v>-1.109581637415</v>
      </c>
      <c r="AH3447">
        <v>26.1960835653083</v>
      </c>
      <c r="AI3447">
        <v>92.412303857600506</v>
      </c>
      <c r="AJ3447">
        <v>84.036332820121999</v>
      </c>
      <c r="AK3447">
        <v>26.361990369050599</v>
      </c>
      <c r="AL3447">
        <v>77.338614478608704</v>
      </c>
      <c r="AM3447">
        <v>84.843007154147699</v>
      </c>
      <c r="AN3447">
        <v>1.0000000311469299</v>
      </c>
    </row>
    <row r="3448" spans="1:40" x14ac:dyDescent="0.25">
      <c r="A3448" t="str">
        <f>"20190312172731047"</f>
        <v>20190312172731047</v>
      </c>
      <c r="B3448" t="str">
        <f>"1552382851042770"</f>
        <v>1552382851042770</v>
      </c>
      <c r="C3448" t="s">
        <v>40</v>
      </c>
      <c r="D3448">
        <v>3.6726920000000001</v>
      </c>
      <c r="E3448">
        <v>0.50614020000000004</v>
      </c>
      <c r="F3448" t="s">
        <v>41</v>
      </c>
      <c r="G3448">
        <v>-247.28200000000001</v>
      </c>
      <c r="H3448" s="1">
        <v>-1.561737E-6</v>
      </c>
      <c r="I3448">
        <v>141.16999999999999</v>
      </c>
      <c r="J3448">
        <v>-220.8399</v>
      </c>
      <c r="K3448">
        <v>1.1095649999999999</v>
      </c>
      <c r="L3448">
        <v>141.1105</v>
      </c>
      <c r="M3448">
        <v>-0.99479709999999999</v>
      </c>
      <c r="N3448">
        <v>0</v>
      </c>
      <c r="O3448">
        <v>-0.10088519999999999</v>
      </c>
      <c r="P3448">
        <v>-0.97857360000000004</v>
      </c>
      <c r="Q3448">
        <v>0.20553779999999999</v>
      </c>
      <c r="R3448">
        <v>-1.217885E-2</v>
      </c>
      <c r="S3448">
        <v>-3.0926670000000001</v>
      </c>
      <c r="T3448">
        <v>-0.12910940000000001</v>
      </c>
      <c r="U3448">
        <v>5.5999760000000004E-3</v>
      </c>
      <c r="V3448">
        <v>8.7076390000000004E-2</v>
      </c>
      <c r="W3448">
        <v>0.21915799999999999</v>
      </c>
      <c r="X3448">
        <v>0.97179599999999999</v>
      </c>
      <c r="Y3448">
        <v>0.10251970000000001</v>
      </c>
      <c r="Z3448">
        <v>6.3439509999999996E-3</v>
      </c>
      <c r="AA3448">
        <v>0.99471069999999995</v>
      </c>
      <c r="AB3448">
        <v>14</v>
      </c>
      <c r="AC3448">
        <v>-26.4421</v>
      </c>
      <c r="AD3448">
        <v>-1.1095665617370001</v>
      </c>
      <c r="AE3448">
        <v>5.9499999999985599E-2</v>
      </c>
      <c r="AF3448">
        <v>2.7222874993523698</v>
      </c>
      <c r="AG3448">
        <v>-1.1095665617370001</v>
      </c>
      <c r="AH3448">
        <v>26.2549339303749</v>
      </c>
      <c r="AI3448">
        <v>92.407062579867201</v>
      </c>
      <c r="AJ3448">
        <v>84.080343072772607</v>
      </c>
      <c r="AK3448">
        <v>26.418999656921301</v>
      </c>
      <c r="AL3448">
        <v>77.340416842164899</v>
      </c>
      <c r="AM3448">
        <v>84.879767554379995</v>
      </c>
      <c r="AN3448">
        <v>0.99999999613771595</v>
      </c>
    </row>
    <row r="3449" spans="1:40" x14ac:dyDescent="0.25">
      <c r="A3449" t="str">
        <f>"20190312172731072"</f>
        <v>20190312172731072</v>
      </c>
      <c r="B3449" t="str">
        <f>"1552382851062290"</f>
        <v>1552382851062290</v>
      </c>
      <c r="C3449" t="s">
        <v>40</v>
      </c>
      <c r="D3449">
        <v>3.517115</v>
      </c>
      <c r="E3449">
        <v>0.50597550000000002</v>
      </c>
      <c r="F3449" t="s">
        <v>41</v>
      </c>
      <c r="G3449">
        <v>-247.7765</v>
      </c>
      <c r="H3449" s="1">
        <v>-1.3554580000000001E-6</v>
      </c>
      <c r="I3449">
        <v>141.1919</v>
      </c>
      <c r="J3449">
        <v>-220.98400000000001</v>
      </c>
      <c r="K3449">
        <v>1.1095569999999999</v>
      </c>
      <c r="L3449">
        <v>141.09880000000001</v>
      </c>
      <c r="M3449">
        <v>-0.99504079999999995</v>
      </c>
      <c r="N3449">
        <v>0</v>
      </c>
      <c r="O3449">
        <v>-9.8509700000000006E-2</v>
      </c>
      <c r="P3449">
        <v>-0.97849240000000004</v>
      </c>
      <c r="Q3449">
        <v>0.20603340000000001</v>
      </c>
      <c r="R3449">
        <v>-1.016331E-2</v>
      </c>
      <c r="S3449">
        <v>-3.0925449999999999</v>
      </c>
      <c r="T3449">
        <v>-0.12738759999999999</v>
      </c>
      <c r="U3449">
        <v>9.3536379999999992E-3</v>
      </c>
      <c r="V3449">
        <v>8.6738750000000003E-2</v>
      </c>
      <c r="W3449">
        <v>0.21926870000000001</v>
      </c>
      <c r="X3449">
        <v>0.97180120000000003</v>
      </c>
      <c r="Y3449">
        <v>0.10135909999999999</v>
      </c>
      <c r="Z3449">
        <v>6.1383509999999898E-3</v>
      </c>
      <c r="AA3449">
        <v>0.99483100000000002</v>
      </c>
      <c r="AB3449">
        <v>14</v>
      </c>
      <c r="AC3449">
        <v>-26.792499999999901</v>
      </c>
      <c r="AD3449">
        <v>-1.109558355458</v>
      </c>
      <c r="AE3449">
        <v>9.3099999999992605E-2</v>
      </c>
      <c r="AF3449">
        <v>2.72754074397205</v>
      </c>
      <c r="AG3449">
        <v>-1.109558355458</v>
      </c>
      <c r="AH3449">
        <v>26.607354727298699</v>
      </c>
      <c r="AI3449">
        <v>92.375484292244593</v>
      </c>
      <c r="AJ3449">
        <v>84.147009663186594</v>
      </c>
      <c r="AK3449">
        <v>26.769794990595202</v>
      </c>
      <c r="AL3449">
        <v>77.333915782239004</v>
      </c>
      <c r="AM3449">
        <v>84.899543555325806</v>
      </c>
      <c r="AN3449">
        <v>0.99999997293634502</v>
      </c>
    </row>
    <row r="3450" spans="1:40" x14ac:dyDescent="0.25">
      <c r="A3450" t="str">
        <f>"20190312172731093"</f>
        <v>20190312172731093</v>
      </c>
      <c r="B3450" t="str">
        <f>"1552382851082786"</f>
        <v>1552382851082786</v>
      </c>
      <c r="C3450" t="s">
        <v>40</v>
      </c>
      <c r="D3450">
        <v>3.5201009999999999</v>
      </c>
      <c r="E3450">
        <v>0.50581690000000001</v>
      </c>
      <c r="F3450" t="s">
        <v>41</v>
      </c>
      <c r="G3450">
        <v>-248.57470000000001</v>
      </c>
      <c r="H3450" s="1">
        <v>-1.0226299999999999E-6</v>
      </c>
      <c r="I3450">
        <v>141.22799999999901</v>
      </c>
      <c r="J3450">
        <v>-221.11709999999999</v>
      </c>
      <c r="K3450">
        <v>1.109548</v>
      </c>
      <c r="L3450">
        <v>141.0882</v>
      </c>
      <c r="M3450">
        <v>-0.99526099999999995</v>
      </c>
      <c r="N3450">
        <v>0</v>
      </c>
      <c r="O3450">
        <v>-9.6310740000000006E-2</v>
      </c>
      <c r="P3450">
        <v>-0.97837969999999996</v>
      </c>
      <c r="Q3450">
        <v>0.20665240000000001</v>
      </c>
      <c r="R3450">
        <v>-8.2594119999999903E-3</v>
      </c>
      <c r="S3450">
        <v>-3.0922700000000001</v>
      </c>
      <c r="T3450">
        <v>-0.1243554</v>
      </c>
      <c r="U3450">
        <v>1.4495849999999999E-2</v>
      </c>
      <c r="V3450">
        <v>8.6462399999999995E-2</v>
      </c>
      <c r="W3450">
        <v>0.21954090000000001</v>
      </c>
      <c r="X3450">
        <v>0.97176439999999997</v>
      </c>
      <c r="Y3450">
        <v>0.1008251</v>
      </c>
      <c r="Z3450">
        <v>5.8941050000000002E-3</v>
      </c>
      <c r="AA3450">
        <v>0.99488670000000001</v>
      </c>
      <c r="AB3450">
        <v>14</v>
      </c>
      <c r="AC3450">
        <v>-27.457599999999999</v>
      </c>
      <c r="AD3450">
        <v>-1.10954902263</v>
      </c>
      <c r="AE3450">
        <v>0.139799999999979</v>
      </c>
      <c r="AF3450">
        <v>2.7793112125352302</v>
      </c>
      <c r="AG3450">
        <v>-1.10954902263</v>
      </c>
      <c r="AH3450">
        <v>27.271937785138199</v>
      </c>
      <c r="AI3450">
        <v>92.317781603412598</v>
      </c>
      <c r="AJ3450">
        <v>84.181017764298502</v>
      </c>
      <c r="AK3450">
        <v>27.435638509176201</v>
      </c>
      <c r="AL3450">
        <v>77.317930733604697</v>
      </c>
      <c r="AM3450">
        <v>84.915516793783894</v>
      </c>
      <c r="AN3450">
        <v>1.0000000012469601</v>
      </c>
    </row>
    <row r="3451" spans="1:40" x14ac:dyDescent="0.25">
      <c r="A3451" t="str">
        <f>"20190312172731114"</f>
        <v>20190312172731114</v>
      </c>
      <c r="B3451" t="str">
        <f>"1552382851102306"</f>
        <v>1552382851102306</v>
      </c>
      <c r="C3451" t="s">
        <v>40</v>
      </c>
      <c r="D3451">
        <v>3.5368699999999902</v>
      </c>
      <c r="E3451">
        <v>0.50571440000000001</v>
      </c>
      <c r="F3451" t="s">
        <v>41</v>
      </c>
      <c r="G3451">
        <v>-249.4151</v>
      </c>
      <c r="H3451" s="1">
        <v>-6.7116719999999995E-7</v>
      </c>
      <c r="I3451">
        <v>141.26220000000001</v>
      </c>
      <c r="J3451">
        <v>-221.2466</v>
      </c>
      <c r="K3451">
        <v>1.109542</v>
      </c>
      <c r="L3451">
        <v>141.07820000000001</v>
      </c>
      <c r="M3451">
        <v>-0.99547039999999998</v>
      </c>
      <c r="N3451">
        <v>0</v>
      </c>
      <c r="O3451">
        <v>-9.4168600000000005E-2</v>
      </c>
      <c r="P3451">
        <v>-0.97836690000000004</v>
      </c>
      <c r="Q3451">
        <v>0.20676149999999999</v>
      </c>
      <c r="R3451">
        <v>-6.9388820000000004E-3</v>
      </c>
      <c r="S3451">
        <v>-3.0920719999999999</v>
      </c>
      <c r="T3451">
        <v>-0.1212384</v>
      </c>
      <c r="U3451">
        <v>1.901245E-2</v>
      </c>
      <c r="V3451">
        <v>8.5673680000000002E-2</v>
      </c>
      <c r="W3451">
        <v>0.21932689999999999</v>
      </c>
      <c r="X3451">
        <v>0.97188260000000004</v>
      </c>
      <c r="Y3451">
        <v>0.100147</v>
      </c>
      <c r="Z3451">
        <v>5.6498950000000003E-3</v>
      </c>
      <c r="AA3451">
        <v>0.99495659999999997</v>
      </c>
      <c r="AB3451">
        <v>14</v>
      </c>
      <c r="AC3451">
        <v>-28.168499999999899</v>
      </c>
      <c r="AD3451">
        <v>-1.1095426711671901</v>
      </c>
      <c r="AE3451">
        <v>0.183999999999997</v>
      </c>
      <c r="AF3451">
        <v>2.8316040553275399</v>
      </c>
      <c r="AG3451">
        <v>-1.1095426711671901</v>
      </c>
      <c r="AH3451">
        <v>27.982562694860999</v>
      </c>
      <c r="AI3451">
        <v>92.259132912847505</v>
      </c>
      <c r="AJ3451">
        <v>84.221809564828902</v>
      </c>
      <c r="AK3451">
        <v>28.147342351225898</v>
      </c>
      <c r="AL3451">
        <v>77.330498684998105</v>
      </c>
      <c r="AM3451">
        <v>84.962267823633297</v>
      </c>
      <c r="AN3451">
        <v>1.0000000283455499</v>
      </c>
    </row>
    <row r="3452" spans="1:40" x14ac:dyDescent="0.25">
      <c r="A3452" t="str">
        <f>"20190312172731137"</f>
        <v>20190312172731137</v>
      </c>
      <c r="B3452" t="str">
        <f>"1552382851132563"</f>
        <v>1552382851132563</v>
      </c>
      <c r="C3452" t="s">
        <v>40</v>
      </c>
      <c r="D3452">
        <v>3.5514519999999998</v>
      </c>
      <c r="E3452">
        <v>0.50541819999999904</v>
      </c>
      <c r="F3452" t="s">
        <v>41</v>
      </c>
      <c r="G3452">
        <v>-249.6431</v>
      </c>
      <c r="H3452" s="1">
        <v>-5.7980899999999997E-7</v>
      </c>
      <c r="I3452">
        <v>141.28639999999999</v>
      </c>
      <c r="J3452">
        <v>-221.38579999999999</v>
      </c>
      <c r="K3452">
        <v>1.1095250000000001</v>
      </c>
      <c r="L3452">
        <v>141.0677</v>
      </c>
      <c r="M3452">
        <v>-0.99569010000000002</v>
      </c>
      <c r="N3452">
        <v>0</v>
      </c>
      <c r="O3452">
        <v>-9.1863330000000007E-2</v>
      </c>
      <c r="P3452">
        <v>-0.97822050000000005</v>
      </c>
      <c r="Q3452">
        <v>0.20750089999999999</v>
      </c>
      <c r="R3452">
        <v>-5.3268019999999899E-3</v>
      </c>
      <c r="S3452">
        <v>-3.0920100000000001</v>
      </c>
      <c r="T3452">
        <v>-0.1208147</v>
      </c>
      <c r="U3452">
        <v>2.267456E-2</v>
      </c>
      <c r="V3452">
        <v>8.5008970000000003E-2</v>
      </c>
      <c r="W3452">
        <v>0.2197363</v>
      </c>
      <c r="X3452">
        <v>0.9718485</v>
      </c>
      <c r="Y3452">
        <v>9.9024849999999998E-2</v>
      </c>
      <c r="Z3452">
        <v>5.5186100000000002E-3</v>
      </c>
      <c r="AA3452">
        <v>0.99506969999999995</v>
      </c>
      <c r="AB3452">
        <v>14</v>
      </c>
      <c r="AC3452">
        <v>-28.257300000000001</v>
      </c>
      <c r="AD3452">
        <v>-1.109525579809</v>
      </c>
      <c r="AE3452">
        <v>0.21869999999998399</v>
      </c>
      <c r="AF3452">
        <v>2.8094642978171001</v>
      </c>
      <c r="AG3452">
        <v>-1.109525579809</v>
      </c>
      <c r="AH3452">
        <v>28.074424859374801</v>
      </c>
      <c r="AI3452">
        <v>92.251964721852303</v>
      </c>
      <c r="AJ3452">
        <v>84.285321524089696</v>
      </c>
      <c r="AK3452">
        <v>28.236456361194499</v>
      </c>
      <c r="AL3452">
        <v>77.306455371741194</v>
      </c>
      <c r="AM3452">
        <v>85.000980379598801</v>
      </c>
      <c r="AN3452">
        <v>1.00000003673519</v>
      </c>
    </row>
    <row r="3453" spans="1:40" x14ac:dyDescent="0.25">
      <c r="A3453" t="str">
        <f>"20190312172731160"</f>
        <v>20190312172731160</v>
      </c>
      <c r="B3453" t="str">
        <f>"1552382851153059"</f>
        <v>1552382851153059</v>
      </c>
      <c r="C3453" t="s">
        <v>40</v>
      </c>
      <c r="D3453">
        <v>3.523876</v>
      </c>
      <c r="E3453">
        <v>0.505305</v>
      </c>
      <c r="F3453" t="s">
        <v>41</v>
      </c>
      <c r="G3453">
        <v>-250.46729999999999</v>
      </c>
      <c r="H3453" s="1">
        <v>-4.417604E-6</v>
      </c>
      <c r="I3453">
        <v>141.3109</v>
      </c>
      <c r="J3453">
        <v>-221.53190000000001</v>
      </c>
      <c r="K3453">
        <v>1.109494</v>
      </c>
      <c r="L3453">
        <v>141.05709999999999</v>
      </c>
      <c r="M3453">
        <v>-0.99591430000000003</v>
      </c>
      <c r="N3453">
        <v>0</v>
      </c>
      <c r="O3453">
        <v>-8.9446600000000001E-2</v>
      </c>
      <c r="P3453">
        <v>-0.97815640000000004</v>
      </c>
      <c r="Q3453">
        <v>0.207845</v>
      </c>
      <c r="R3453">
        <v>-3.2805220000000001E-3</v>
      </c>
      <c r="S3453">
        <v>-3.0919490000000001</v>
      </c>
      <c r="T3453">
        <v>-0.1179656</v>
      </c>
      <c r="U3453">
        <v>2.5863649999999998E-2</v>
      </c>
      <c r="V3453">
        <v>8.4679099999999993E-2</v>
      </c>
      <c r="W3453">
        <v>0.21975900000000001</v>
      </c>
      <c r="X3453">
        <v>0.97187210000000002</v>
      </c>
      <c r="Y3453">
        <v>9.764536E-2</v>
      </c>
      <c r="Z3453">
        <v>5.2704619999999897E-3</v>
      </c>
      <c r="AA3453">
        <v>0.99520730000000002</v>
      </c>
      <c r="AB3453">
        <v>14</v>
      </c>
      <c r="AC3453">
        <v>-28.935399999999898</v>
      </c>
      <c r="AD3453">
        <v>-1.1094984176039999</v>
      </c>
      <c r="AE3453">
        <v>0.25380000000001202</v>
      </c>
      <c r="AF3453">
        <v>2.8369842085887198</v>
      </c>
      <c r="AG3453">
        <v>-1.1094984176039999</v>
      </c>
      <c r="AH3453">
        <v>28.754421456486401</v>
      </c>
      <c r="AI3453">
        <v>92.199013097846802</v>
      </c>
      <c r="AJ3453">
        <v>84.365289054711994</v>
      </c>
      <c r="AK3453">
        <v>28.915328451112099</v>
      </c>
      <c r="AL3453">
        <v>77.305121352457903</v>
      </c>
      <c r="AM3453">
        <v>85.020401232322698</v>
      </c>
      <c r="AN3453">
        <v>0.99999997340810898</v>
      </c>
    </row>
    <row r="3454" spans="1:40" x14ac:dyDescent="0.25">
      <c r="A3454" t="str">
        <f>"20190312172731183"</f>
        <v>20190312172731183</v>
      </c>
      <c r="B3454" t="str">
        <f>"1552382851172579"</f>
        <v>1552382851172579</v>
      </c>
      <c r="C3454" t="s">
        <v>40</v>
      </c>
      <c r="D3454">
        <v>3.5018850000000001</v>
      </c>
      <c r="E3454">
        <v>0.50522040000000001</v>
      </c>
      <c r="F3454" t="s">
        <v>41</v>
      </c>
      <c r="G3454">
        <v>-250.5866</v>
      </c>
      <c r="H3454" s="1">
        <v>-4.3847639999999998E-6</v>
      </c>
      <c r="I3454">
        <v>141.35470000000001</v>
      </c>
      <c r="J3454">
        <v>-221.6686</v>
      </c>
      <c r="K3454">
        <v>1.109464</v>
      </c>
      <c r="L3454">
        <v>141.04750000000001</v>
      </c>
      <c r="M3454">
        <v>-0.99611810000000001</v>
      </c>
      <c r="N3454">
        <v>0</v>
      </c>
      <c r="O3454">
        <v>-8.7188249999999995E-2</v>
      </c>
      <c r="P3454">
        <v>-0.97811110000000001</v>
      </c>
      <c r="Q3454">
        <v>0.20807700000000001</v>
      </c>
      <c r="R3454">
        <v>-1.7569090000000001E-3</v>
      </c>
      <c r="S3454">
        <v>-3.0921940000000001</v>
      </c>
      <c r="T3454">
        <v>-0.1180803</v>
      </c>
      <c r="U3454">
        <v>3.1677249999999997E-2</v>
      </c>
      <c r="V3454">
        <v>8.3988439999999998E-2</v>
      </c>
      <c r="W3454">
        <v>0.21971250000000001</v>
      </c>
      <c r="X3454">
        <v>0.97194250000000004</v>
      </c>
      <c r="Y3454">
        <v>9.7260449999999998E-2</v>
      </c>
      <c r="Z3454">
        <v>5.1818560000000003E-3</v>
      </c>
      <c r="AA3454">
        <v>0.99524550000000001</v>
      </c>
      <c r="AB3454">
        <v>14</v>
      </c>
      <c r="AC3454">
        <v>-28.917999999999999</v>
      </c>
      <c r="AD3454">
        <v>-1.1094683847639999</v>
      </c>
      <c r="AE3454">
        <v>0.30719999999999398</v>
      </c>
      <c r="AF3454">
        <v>2.82336964673644</v>
      </c>
      <c r="AG3454">
        <v>-1.1094683847639999</v>
      </c>
      <c r="AH3454">
        <v>28.738776309845701</v>
      </c>
      <c r="AI3454">
        <v>92.200239568535096</v>
      </c>
      <c r="AJ3454">
        <v>84.389123623189107</v>
      </c>
      <c r="AK3454">
        <v>28.8984359446364</v>
      </c>
      <c r="AL3454">
        <v>77.307851819281595</v>
      </c>
      <c r="AM3454">
        <v>85.061170107800905</v>
      </c>
      <c r="AN3454">
        <v>0.99999993200806403</v>
      </c>
    </row>
    <row r="3455" spans="1:40" x14ac:dyDescent="0.25">
      <c r="A3455" t="str">
        <f>"20190312172731205"</f>
        <v>20190312172731205</v>
      </c>
      <c r="B3455" t="str">
        <f>"1552382851202835"</f>
        <v>1552382851202835</v>
      </c>
      <c r="C3455" t="s">
        <v>40</v>
      </c>
      <c r="D3455">
        <v>3.4994749999999999</v>
      </c>
      <c r="E3455">
        <v>0.50341729999999996</v>
      </c>
      <c r="F3455" t="s">
        <v>41</v>
      </c>
      <c r="G3455">
        <v>-250.5505</v>
      </c>
      <c r="H3455" s="1">
        <v>-4.4026610000000002E-6</v>
      </c>
      <c r="I3455">
        <v>141.3862</v>
      </c>
      <c r="J3455">
        <v>-221.80340000000001</v>
      </c>
      <c r="K3455">
        <v>1.1094310000000001</v>
      </c>
      <c r="L3455">
        <v>141.03829999999999</v>
      </c>
      <c r="M3455">
        <v>-0.99631340000000002</v>
      </c>
      <c r="N3455">
        <v>0</v>
      </c>
      <c r="O3455">
        <v>-8.4964460000000006E-2</v>
      </c>
      <c r="P3455">
        <v>-0.97802469999999997</v>
      </c>
      <c r="Q3455">
        <v>0.20848910000000001</v>
      </c>
      <c r="R3455" s="1">
        <v>-5.9580429999999998E-5</v>
      </c>
      <c r="S3455">
        <v>-3.0924839999999998</v>
      </c>
      <c r="T3455">
        <v>-0.11879480000000001</v>
      </c>
      <c r="U3455">
        <v>3.6270139999999999E-2</v>
      </c>
      <c r="V3455">
        <v>8.3503099999999997E-2</v>
      </c>
      <c r="W3455">
        <v>0.2198628</v>
      </c>
      <c r="X3455">
        <v>0.97195039999999999</v>
      </c>
      <c r="Y3455">
        <v>9.6516099999999994E-2</v>
      </c>
      <c r="Z3455">
        <v>5.113233E-3</v>
      </c>
      <c r="AA3455">
        <v>0.99531829999999999</v>
      </c>
      <c r="AB3455">
        <v>14</v>
      </c>
      <c r="AC3455">
        <v>-28.7470999999999</v>
      </c>
      <c r="AD3455">
        <v>-1.109435402661</v>
      </c>
      <c r="AE3455">
        <v>0.34790000000000898</v>
      </c>
      <c r="AF3455">
        <v>2.7851477876522699</v>
      </c>
      <c r="AG3455">
        <v>-1.109435402661</v>
      </c>
      <c r="AH3455">
        <v>28.5710262122385</v>
      </c>
      <c r="AI3455">
        <v>92.213242467820194</v>
      </c>
      <c r="AJ3455">
        <v>84.4323103399514</v>
      </c>
      <c r="AK3455">
        <v>28.727885998314601</v>
      </c>
      <c r="AL3455">
        <v>77.299025281854199</v>
      </c>
      <c r="AM3455">
        <v>85.089609658117496</v>
      </c>
      <c r="AN3455">
        <v>0.99999999929680405</v>
      </c>
    </row>
    <row r="3456" spans="1:40" x14ac:dyDescent="0.25">
      <c r="A3456" t="str">
        <f>"20190312172731226"</f>
        <v>20190312172731226</v>
      </c>
      <c r="B3456" t="str">
        <f>"1552382851222355"</f>
        <v>1552382851222355</v>
      </c>
      <c r="C3456" t="s">
        <v>40</v>
      </c>
      <c r="D3456">
        <v>3.481954</v>
      </c>
      <c r="E3456">
        <v>0.50319239999999998</v>
      </c>
      <c r="F3456" t="s">
        <v>41</v>
      </c>
      <c r="G3456">
        <v>-246.02199999999999</v>
      </c>
      <c r="H3456" s="1">
        <v>-2.1228580000000001E-6</v>
      </c>
      <c r="I3456">
        <v>141.2473</v>
      </c>
      <c r="J3456">
        <v>-221.93360000000001</v>
      </c>
      <c r="K3456">
        <v>1.1093980000000001</v>
      </c>
      <c r="L3456">
        <v>141.02969999999999</v>
      </c>
      <c r="M3456">
        <v>-0.99649699999999997</v>
      </c>
      <c r="N3456">
        <v>0</v>
      </c>
      <c r="O3456">
        <v>-8.2819219999999999E-2</v>
      </c>
      <c r="P3456">
        <v>-0.97811729999999997</v>
      </c>
      <c r="Q3456">
        <v>0.2080496</v>
      </c>
      <c r="R3456">
        <v>1.421044E-3</v>
      </c>
      <c r="S3456">
        <v>-3.0976560000000002</v>
      </c>
      <c r="T3456">
        <v>-0.14190150000000001</v>
      </c>
      <c r="U3456">
        <v>2.6733400000000001E-2</v>
      </c>
      <c r="V3456">
        <v>8.2891880000000001E-2</v>
      </c>
      <c r="W3456">
        <v>0.21917980000000001</v>
      </c>
      <c r="X3456">
        <v>0.97215689999999999</v>
      </c>
      <c r="Y3456">
        <v>9.1239529999999999E-2</v>
      </c>
      <c r="Z3456">
        <v>5.8778379999999998E-3</v>
      </c>
      <c r="AA3456">
        <v>0.99581160000000002</v>
      </c>
      <c r="AB3456">
        <v>14</v>
      </c>
      <c r="AC3456">
        <v>-24.0884</v>
      </c>
      <c r="AD3456">
        <v>-1.1094001228579999</v>
      </c>
      <c r="AE3456">
        <v>0.21760000000000401</v>
      </c>
      <c r="AF3456">
        <v>2.2072877446072598</v>
      </c>
      <c r="AG3456">
        <v>-1.1094001228579999</v>
      </c>
      <c r="AH3456">
        <v>23.936844338381501</v>
      </c>
      <c r="AI3456">
        <v>92.642391990066898</v>
      </c>
      <c r="AJ3456">
        <v>84.731484865434297</v>
      </c>
      <c r="AK3456">
        <v>24.063985636215701</v>
      </c>
      <c r="AL3456">
        <v>77.339135989904804</v>
      </c>
      <c r="AM3456">
        <v>85.126409006994805</v>
      </c>
      <c r="AN3456">
        <v>0.99999994335778997</v>
      </c>
    </row>
    <row r="3457" spans="1:40" x14ac:dyDescent="0.25">
      <c r="A3457" t="str">
        <f>"20190312172731248"</f>
        <v>20190312172731248</v>
      </c>
      <c r="B3457" t="str">
        <f>"1552382851242851"</f>
        <v>1552382851242851</v>
      </c>
      <c r="C3457" t="s">
        <v>40</v>
      </c>
      <c r="D3457">
        <v>3.4766370000000002</v>
      </c>
      <c r="E3457">
        <v>0.50286660000000005</v>
      </c>
      <c r="F3457" t="s">
        <v>41</v>
      </c>
      <c r="G3457">
        <v>-246.16630000000001</v>
      </c>
      <c r="H3457" s="1">
        <v>-2.064674E-6</v>
      </c>
      <c r="I3457">
        <v>141.26130000000001</v>
      </c>
      <c r="J3457">
        <v>-222.06710000000001</v>
      </c>
      <c r="K3457">
        <v>1.109364</v>
      </c>
      <c r="L3457">
        <v>141.02119999999999</v>
      </c>
      <c r="M3457">
        <v>-0.99668049999999997</v>
      </c>
      <c r="N3457">
        <v>0</v>
      </c>
      <c r="O3457">
        <v>-8.0617620000000001E-2</v>
      </c>
      <c r="P3457">
        <v>-0.97808410000000001</v>
      </c>
      <c r="Q3457">
        <v>0.20819219999999999</v>
      </c>
      <c r="R3457">
        <v>2.7895400000000001E-3</v>
      </c>
      <c r="S3457">
        <v>-3.097229</v>
      </c>
      <c r="T3457">
        <v>-0.1417947</v>
      </c>
      <c r="U3457">
        <v>2.9602050000000001E-2</v>
      </c>
      <c r="V3457">
        <v>8.2104369999999996E-2</v>
      </c>
      <c r="W3457">
        <v>0.2190733</v>
      </c>
      <c r="X3457">
        <v>0.9722478</v>
      </c>
      <c r="Y3457">
        <v>8.9966619999999997E-2</v>
      </c>
      <c r="Z3457">
        <v>5.7445980000000001E-3</v>
      </c>
      <c r="AA3457">
        <v>0.99592820000000004</v>
      </c>
      <c r="AB3457">
        <v>14</v>
      </c>
      <c r="AC3457">
        <v>-24.0992</v>
      </c>
      <c r="AD3457">
        <v>-1.109366064674</v>
      </c>
      <c r="AE3457">
        <v>0.240100000000012</v>
      </c>
      <c r="AF3457">
        <v>2.1776495314513702</v>
      </c>
      <c r="AG3457">
        <v>-1.109366064674</v>
      </c>
      <c r="AH3457">
        <v>23.950643957479102</v>
      </c>
      <c r="AI3457">
        <v>92.641099789003604</v>
      </c>
      <c r="AJ3457">
        <v>84.804815972132801</v>
      </c>
      <c r="AK3457">
        <v>24.0750118696795</v>
      </c>
      <c r="AL3457">
        <v>77.3453908613957</v>
      </c>
      <c r="AM3457">
        <v>85.172939657725195</v>
      </c>
      <c r="AN3457">
        <v>1.00000001147541</v>
      </c>
    </row>
    <row r="3458" spans="1:40" x14ac:dyDescent="0.25">
      <c r="A3458" t="str">
        <f>"20190312172731273"</f>
        <v>20190312172731273</v>
      </c>
      <c r="B3458" t="str">
        <f>"1552382851262371"</f>
        <v>1552382851262371</v>
      </c>
      <c r="C3458" t="s">
        <v>40</v>
      </c>
      <c r="D3458">
        <v>3.4955599999999998</v>
      </c>
      <c r="E3458">
        <v>0.50280340000000001</v>
      </c>
      <c r="F3458" t="s">
        <v>41</v>
      </c>
      <c r="G3458">
        <v>-246.52510000000001</v>
      </c>
      <c r="H3458" s="1">
        <v>-1.9131529999999999E-6</v>
      </c>
      <c r="I3458">
        <v>141.27029999999999</v>
      </c>
      <c r="J3458">
        <v>-222.22210000000001</v>
      </c>
      <c r="K3458">
        <v>1.109316</v>
      </c>
      <c r="L3458">
        <v>141.01169999999999</v>
      </c>
      <c r="M3458">
        <v>-0.99688759999999998</v>
      </c>
      <c r="N3458">
        <v>0</v>
      </c>
      <c r="O3458">
        <v>-7.8056609999999998E-2</v>
      </c>
      <c r="P3458">
        <v>-0.97794009999999998</v>
      </c>
      <c r="Q3458">
        <v>0.20882980000000001</v>
      </c>
      <c r="R3458">
        <v>4.8357169999999998E-3</v>
      </c>
      <c r="S3458">
        <v>-3.0970309999999999</v>
      </c>
      <c r="T3458">
        <v>-0.1404754</v>
      </c>
      <c r="U3458">
        <v>3.1539919999999999E-2</v>
      </c>
      <c r="V3458">
        <v>8.1633529999999996E-2</v>
      </c>
      <c r="W3458">
        <v>0.2194199</v>
      </c>
      <c r="X3458">
        <v>0.97220930000000005</v>
      </c>
      <c r="Y3458">
        <v>8.8038989999999998E-2</v>
      </c>
      <c r="Z3458">
        <v>5.5320129999999997E-3</v>
      </c>
      <c r="AA3458">
        <v>0.99610169999999998</v>
      </c>
      <c r="AB3458">
        <v>14</v>
      </c>
      <c r="AC3458">
        <v>-24.303000000000001</v>
      </c>
      <c r="AD3458">
        <v>-1.109317913153</v>
      </c>
      <c r="AE3458">
        <v>0.258600000000001</v>
      </c>
      <c r="AF3458">
        <v>2.1504567248451401</v>
      </c>
      <c r="AG3458">
        <v>-1.109317913153</v>
      </c>
      <c r="AH3458">
        <v>24.1583260171126</v>
      </c>
      <c r="AI3458">
        <v>92.618758361255203</v>
      </c>
      <c r="AJ3458">
        <v>84.913215383184394</v>
      </c>
      <c r="AK3458">
        <v>24.279204400205799</v>
      </c>
      <c r="AL3458">
        <v>77.325037088529598</v>
      </c>
      <c r="AM3458">
        <v>85.200302312766794</v>
      </c>
      <c r="AN3458">
        <v>1.00000002437138</v>
      </c>
    </row>
    <row r="3459" spans="1:40" x14ac:dyDescent="0.25">
      <c r="A3459" t="str">
        <f>"20190312172731295"</f>
        <v>20190312172731295</v>
      </c>
      <c r="B3459" t="str">
        <f>"1552382851292627"</f>
        <v>1552382851292627</v>
      </c>
      <c r="C3459" t="s">
        <v>40</v>
      </c>
      <c r="D3459">
        <v>3.4806810000000001</v>
      </c>
      <c r="E3459">
        <v>0.50258499999999995</v>
      </c>
      <c r="F3459" t="s">
        <v>41</v>
      </c>
      <c r="G3459">
        <v>-247.1113</v>
      </c>
      <c r="H3459" s="1">
        <v>-1.6725680000000001E-6</v>
      </c>
      <c r="I3459">
        <v>141.31129999999999</v>
      </c>
      <c r="J3459">
        <v>-222.36259999999999</v>
      </c>
      <c r="K3459">
        <v>1.1092759999999999</v>
      </c>
      <c r="L3459">
        <v>141.0035</v>
      </c>
      <c r="M3459">
        <v>-0.99706969999999995</v>
      </c>
      <c r="N3459">
        <v>0</v>
      </c>
      <c r="O3459">
        <v>-7.5734179999999998E-2</v>
      </c>
      <c r="P3459">
        <v>-0.97786600000000001</v>
      </c>
      <c r="Q3459">
        <v>0.20912500000000001</v>
      </c>
      <c r="R3459">
        <v>6.6995070000000004E-3</v>
      </c>
      <c r="S3459">
        <v>-3.0969699999999998</v>
      </c>
      <c r="T3459">
        <v>-0.13803299999999999</v>
      </c>
      <c r="U3459">
        <v>3.727722E-2</v>
      </c>
      <c r="V3459">
        <v>8.1219100000000002E-2</v>
      </c>
      <c r="W3459">
        <v>0.21945429999999999</v>
      </c>
      <c r="X3459">
        <v>0.97223619999999999</v>
      </c>
      <c r="Y3459">
        <v>8.7572300000000006E-2</v>
      </c>
      <c r="Z3459">
        <v>5.3223810000000002E-3</v>
      </c>
      <c r="AA3459">
        <v>0.99614389999999997</v>
      </c>
      <c r="AB3459">
        <v>14</v>
      </c>
      <c r="AC3459">
        <v>-24.748699999999999</v>
      </c>
      <c r="AD3459">
        <v>-1.109277672568</v>
      </c>
      <c r="AE3459">
        <v>0.30779999999998597</v>
      </c>
      <c r="AF3459">
        <v>2.17697463128916</v>
      </c>
      <c r="AG3459">
        <v>-1.109277672568</v>
      </c>
      <c r="AH3459">
        <v>24.6048790944525</v>
      </c>
      <c r="AI3459">
        <v>92.571323430537404</v>
      </c>
      <c r="AJ3459">
        <v>84.943787278206997</v>
      </c>
      <c r="AK3459">
        <v>24.725893123459802</v>
      </c>
      <c r="AL3459">
        <v>77.323016306281204</v>
      </c>
      <c r="AM3459">
        <v>85.224687541986398</v>
      </c>
      <c r="AN3459">
        <v>0.99999998029186898</v>
      </c>
    </row>
    <row r="3460" spans="1:40" x14ac:dyDescent="0.25">
      <c r="A3460" t="str">
        <f>"20190312172731316"</f>
        <v>20190312172731316</v>
      </c>
      <c r="B3460" t="str">
        <f>"1552382851312146"</f>
        <v>1552382851312146</v>
      </c>
      <c r="C3460" t="s">
        <v>40</v>
      </c>
      <c r="D3460">
        <v>3.5282770000000001</v>
      </c>
      <c r="E3460">
        <v>0.50246729999999995</v>
      </c>
      <c r="F3460" t="s">
        <v>41</v>
      </c>
      <c r="G3460">
        <v>-247.39920000000001</v>
      </c>
      <c r="H3460" s="1">
        <v>-1.5561860000000001E-6</v>
      </c>
      <c r="I3460">
        <v>141.3381</v>
      </c>
      <c r="J3460">
        <v>-222.4956</v>
      </c>
      <c r="K3460">
        <v>1.1092360000000001</v>
      </c>
      <c r="L3460">
        <v>140.99600000000001</v>
      </c>
      <c r="M3460">
        <v>-0.99723689999999998</v>
      </c>
      <c r="N3460">
        <v>0</v>
      </c>
      <c r="O3460">
        <v>-7.3535240000000002E-2</v>
      </c>
      <c r="P3460">
        <v>-0.97782460000000004</v>
      </c>
      <c r="Q3460">
        <v>0.2092637</v>
      </c>
      <c r="R3460">
        <v>8.2360990000000002E-3</v>
      </c>
      <c r="S3460">
        <v>-3.0969699999999998</v>
      </c>
      <c r="T3460">
        <v>-0.137215</v>
      </c>
      <c r="U3460">
        <v>4.1397089999999998E-2</v>
      </c>
      <c r="V3460">
        <v>8.0602149999999997E-2</v>
      </c>
      <c r="W3460">
        <v>0.21935250000000001</v>
      </c>
      <c r="X3460">
        <v>0.97231049999999997</v>
      </c>
      <c r="Y3460">
        <v>8.670522E-2</v>
      </c>
      <c r="Z3460">
        <v>5.1744599999999997E-3</v>
      </c>
      <c r="AA3460">
        <v>0.99622060000000001</v>
      </c>
      <c r="AB3460">
        <v>14</v>
      </c>
      <c r="AC3460">
        <v>-24.903600000000001</v>
      </c>
      <c r="AD3460">
        <v>-1.109237556186</v>
      </c>
      <c r="AE3460">
        <v>0.34209999999998703</v>
      </c>
      <c r="AF3460">
        <v>2.16826680917407</v>
      </c>
      <c r="AG3460">
        <v>-1.109237556186</v>
      </c>
      <c r="AH3460">
        <v>24.761894735848301</v>
      </c>
      <c r="AI3460">
        <v>92.555151433353998</v>
      </c>
      <c r="AJ3460">
        <v>84.995679020560999</v>
      </c>
      <c r="AK3460">
        <v>24.881382996550801</v>
      </c>
      <c r="AL3460">
        <v>77.328994514953294</v>
      </c>
      <c r="AM3460">
        <v>85.261156036080493</v>
      </c>
      <c r="AN3460">
        <v>0.99999996712556005</v>
      </c>
    </row>
    <row r="3461" spans="1:40" x14ac:dyDescent="0.25">
      <c r="A3461" t="str">
        <f>"20190312172731338"</f>
        <v>20190312172731338</v>
      </c>
      <c r="B3461" t="str">
        <f>"1552382851332642"</f>
        <v>1552382851332642</v>
      </c>
      <c r="C3461" t="s">
        <v>40</v>
      </c>
      <c r="D3461">
        <v>3.4695079999999998</v>
      </c>
      <c r="E3461">
        <v>0.50222679999999997</v>
      </c>
      <c r="F3461" t="s">
        <v>41</v>
      </c>
      <c r="G3461">
        <v>-247.47890000000001</v>
      </c>
      <c r="H3461" s="1">
        <v>-1.528384E-6</v>
      </c>
      <c r="I3461">
        <v>141.3621</v>
      </c>
      <c r="J3461">
        <v>-222.63900000000001</v>
      </c>
      <c r="K3461">
        <v>1.109186</v>
      </c>
      <c r="L3461">
        <v>140.98820000000001</v>
      </c>
      <c r="M3461">
        <v>-0.99741150000000001</v>
      </c>
      <c r="N3461">
        <v>0</v>
      </c>
      <c r="O3461">
        <v>-7.1165320000000004E-2</v>
      </c>
      <c r="P3461">
        <v>-0.97767700000000002</v>
      </c>
      <c r="Q3461">
        <v>0.20985799999999999</v>
      </c>
      <c r="R3461">
        <v>1.036521E-2</v>
      </c>
      <c r="S3461">
        <v>-3.0970759999999999</v>
      </c>
      <c r="T3461">
        <v>-0.13750789999999999</v>
      </c>
      <c r="U3461">
        <v>4.5394900000000002E-2</v>
      </c>
      <c r="V3461">
        <v>8.0404069999999994E-2</v>
      </c>
      <c r="W3461">
        <v>0.21968840000000001</v>
      </c>
      <c r="X3461">
        <v>0.97225110000000003</v>
      </c>
      <c r="Y3461">
        <v>8.5625640000000003E-2</v>
      </c>
      <c r="Z3461">
        <v>5.0563559999999997E-3</v>
      </c>
      <c r="AA3461">
        <v>0.99631449999999999</v>
      </c>
      <c r="AB3461">
        <v>14</v>
      </c>
      <c r="AC3461">
        <v>-24.8399</v>
      </c>
      <c r="AD3461">
        <v>-1.109187528384</v>
      </c>
      <c r="AE3461">
        <v>0.37389999999999102</v>
      </c>
      <c r="AF3461">
        <v>2.1365257180468298</v>
      </c>
      <c r="AG3461">
        <v>-1.109187528384</v>
      </c>
      <c r="AH3461">
        <v>24.701061421304601</v>
      </c>
      <c r="AI3461">
        <v>92.561556748213405</v>
      </c>
      <c r="AJ3461">
        <v>85.056488053566696</v>
      </c>
      <c r="AK3461">
        <v>24.818087647037999</v>
      </c>
      <c r="AL3461">
        <v>77.309268165295606</v>
      </c>
      <c r="AM3461">
        <v>85.272461411000606</v>
      </c>
      <c r="AN3461">
        <v>1.0000000045091599</v>
      </c>
    </row>
    <row r="3462" spans="1:40" x14ac:dyDescent="0.25">
      <c r="A3462" t="str">
        <f>"20190312172731360"</f>
        <v>20190312172731360</v>
      </c>
      <c r="B3462" t="str">
        <f>"1552382851352163"</f>
        <v>1552382851352163</v>
      </c>
      <c r="C3462" t="s">
        <v>40</v>
      </c>
      <c r="D3462">
        <v>3.4742000000000002</v>
      </c>
      <c r="E3462">
        <v>0.50204340000000003</v>
      </c>
      <c r="F3462" t="s">
        <v>41</v>
      </c>
      <c r="G3462">
        <v>-247.94479999999999</v>
      </c>
      <c r="H3462" s="1">
        <v>-1.3386950000000001E-6</v>
      </c>
      <c r="I3462">
        <v>141.40029999999999</v>
      </c>
      <c r="J3462">
        <v>-222.77680000000001</v>
      </c>
      <c r="K3462">
        <v>1.109145</v>
      </c>
      <c r="L3462">
        <v>140.98099999999999</v>
      </c>
      <c r="M3462">
        <v>-0.99757410000000002</v>
      </c>
      <c r="N3462">
        <v>0</v>
      </c>
      <c r="O3462">
        <v>-6.88883E-2</v>
      </c>
      <c r="P3462">
        <v>-0.97757720000000004</v>
      </c>
      <c r="Q3462">
        <v>0.21023530000000001</v>
      </c>
      <c r="R3462">
        <v>1.201322E-2</v>
      </c>
      <c r="S3462">
        <v>-3.0971220000000002</v>
      </c>
      <c r="T3462">
        <v>-0.13575139999999999</v>
      </c>
      <c r="U3462">
        <v>5.044556E-2</v>
      </c>
      <c r="V3462">
        <v>7.9821569999999994E-2</v>
      </c>
      <c r="W3462">
        <v>0.21981529999999999</v>
      </c>
      <c r="X3462">
        <v>0.97227039999999998</v>
      </c>
      <c r="Y3462">
        <v>8.4982009999999997E-2</v>
      </c>
      <c r="Z3462">
        <v>4.8780309999999997E-3</v>
      </c>
      <c r="AA3462">
        <v>0.9963706</v>
      </c>
      <c r="AB3462">
        <v>14</v>
      </c>
      <c r="AC3462">
        <v>-25.1679999999999</v>
      </c>
      <c r="AD3462">
        <v>-1.109146338695</v>
      </c>
      <c r="AE3462">
        <v>0.41929999999999201</v>
      </c>
      <c r="AF3462">
        <v>2.1480009484213798</v>
      </c>
      <c r="AG3462">
        <v>-1.109146338695</v>
      </c>
      <c r="AH3462">
        <v>25.0307184157836</v>
      </c>
      <c r="AI3462">
        <v>92.527918064704906</v>
      </c>
      <c r="AJ3462">
        <v>85.095202247356795</v>
      </c>
      <c r="AK3462">
        <v>25.147186285652499</v>
      </c>
      <c r="AL3462">
        <v>77.301814959704402</v>
      </c>
      <c r="AM3462">
        <v>85.306649999465193</v>
      </c>
      <c r="AN3462">
        <v>0.99999998993375705</v>
      </c>
    </row>
    <row r="3463" spans="1:40" x14ac:dyDescent="0.25">
      <c r="A3463" t="str">
        <f>"20190312172731382"</f>
        <v>20190312172731382</v>
      </c>
      <c r="B3463" t="str">
        <f>"1552382851372659"</f>
        <v>1552382851372659</v>
      </c>
      <c r="C3463" t="s">
        <v>40</v>
      </c>
      <c r="D3463">
        <v>3.4559739999999999</v>
      </c>
      <c r="E3463">
        <v>0.50182590000000005</v>
      </c>
      <c r="F3463" t="s">
        <v>41</v>
      </c>
      <c r="G3463">
        <v>-248.16749999999999</v>
      </c>
      <c r="H3463" s="1">
        <v>-1.249736E-6</v>
      </c>
      <c r="I3463">
        <v>141.42500000000001</v>
      </c>
      <c r="J3463">
        <v>-222.91720000000001</v>
      </c>
      <c r="K3463">
        <v>1.109097</v>
      </c>
      <c r="L3463">
        <v>140.97399999999999</v>
      </c>
      <c r="M3463">
        <v>-0.99773420000000002</v>
      </c>
      <c r="N3463">
        <v>0</v>
      </c>
      <c r="O3463">
        <v>-6.6566910000000007E-2</v>
      </c>
      <c r="P3463">
        <v>-0.97741960000000006</v>
      </c>
      <c r="Q3463">
        <v>0.21087990000000001</v>
      </c>
      <c r="R3463">
        <v>1.3432990000000001E-2</v>
      </c>
      <c r="S3463">
        <v>-3.0972439999999999</v>
      </c>
      <c r="T3463">
        <v>-0.13529769999999999</v>
      </c>
      <c r="U3463">
        <v>5.41687E-2</v>
      </c>
      <c r="V3463">
        <v>7.8966099999999997E-2</v>
      </c>
      <c r="W3463">
        <v>0.2201977</v>
      </c>
      <c r="X3463">
        <v>0.9722537</v>
      </c>
      <c r="Y3463">
        <v>8.3864389999999997E-2</v>
      </c>
      <c r="Z3463">
        <v>4.7359189999999999E-3</v>
      </c>
      <c r="AA3463">
        <v>0.99646590000000002</v>
      </c>
      <c r="AB3463">
        <v>14</v>
      </c>
      <c r="AC3463">
        <v>-25.2502999999999</v>
      </c>
      <c r="AD3463">
        <v>-1.109098249736</v>
      </c>
      <c r="AE3463">
        <v>0.451000000000021</v>
      </c>
      <c r="AF3463">
        <v>2.1268121078140099</v>
      </c>
      <c r="AG3463">
        <v>-1.109098249736</v>
      </c>
      <c r="AH3463">
        <v>25.115824150725199</v>
      </c>
      <c r="AI3463">
        <v>92.519495674682005</v>
      </c>
      <c r="AJ3463">
        <v>85.159731374748205</v>
      </c>
      <c r="AK3463">
        <v>25.2301020893626</v>
      </c>
      <c r="AL3463">
        <v>77.279354414415295</v>
      </c>
      <c r="AM3463">
        <v>85.356649406808003</v>
      </c>
      <c r="AN3463">
        <v>0.99999996459909402</v>
      </c>
    </row>
    <row r="3464" spans="1:40" x14ac:dyDescent="0.25">
      <c r="A3464" t="str">
        <f>"20190312172731404"</f>
        <v>20190312172731404</v>
      </c>
      <c r="B3464" t="str">
        <f>"1552382851402914"</f>
        <v>1552382851402914</v>
      </c>
      <c r="C3464" t="s">
        <v>40</v>
      </c>
      <c r="D3464">
        <v>3.4536099999999998</v>
      </c>
      <c r="E3464">
        <v>0.50154920000000003</v>
      </c>
      <c r="F3464" t="s">
        <v>41</v>
      </c>
      <c r="G3464">
        <v>-248.6001</v>
      </c>
      <c r="H3464" s="1">
        <v>-1.0706E-6</v>
      </c>
      <c r="I3464">
        <v>141.44929999999999</v>
      </c>
      <c r="J3464">
        <v>-223.0634</v>
      </c>
      <c r="K3464">
        <v>1.1090450000000001</v>
      </c>
      <c r="L3464">
        <v>140.96709999999999</v>
      </c>
      <c r="M3464">
        <v>-0.99789550000000005</v>
      </c>
      <c r="N3464">
        <v>0</v>
      </c>
      <c r="O3464">
        <v>-6.4148090000000005E-2</v>
      </c>
      <c r="P3464">
        <v>-0.97725309999999999</v>
      </c>
      <c r="Q3464">
        <v>0.21151249999999999</v>
      </c>
      <c r="R3464">
        <v>1.5460059999999999E-2</v>
      </c>
      <c r="S3464">
        <v>-3.0973820000000001</v>
      </c>
      <c r="T3464">
        <v>-0.1337583</v>
      </c>
      <c r="U3464">
        <v>5.732727E-2</v>
      </c>
      <c r="V3464">
        <v>7.8623239999999997E-2</v>
      </c>
      <c r="W3464">
        <v>0.2205493</v>
      </c>
      <c r="X3464">
        <v>0.9722018</v>
      </c>
      <c r="Y3464">
        <v>8.2470399999999999E-2</v>
      </c>
      <c r="Z3464">
        <v>4.5475029999999996E-3</v>
      </c>
      <c r="AA3464">
        <v>0.9965832</v>
      </c>
      <c r="AB3464">
        <v>14</v>
      </c>
      <c r="AC3464">
        <v>-25.5367</v>
      </c>
      <c r="AD3464">
        <v>-1.1090460706</v>
      </c>
      <c r="AE3464">
        <v>0.48220000000000601</v>
      </c>
      <c r="AF3464">
        <v>2.1154221642385802</v>
      </c>
      <c r="AG3464">
        <v>-1.1090460706</v>
      </c>
      <c r="AH3464">
        <v>25.405265717695801</v>
      </c>
      <c r="AI3464">
        <v>92.491003576907204</v>
      </c>
      <c r="AJ3464">
        <v>85.240128475006699</v>
      </c>
      <c r="AK3464">
        <v>25.517298452351799</v>
      </c>
      <c r="AL3464">
        <v>77.258701595310995</v>
      </c>
      <c r="AM3464">
        <v>85.376476872713695</v>
      </c>
      <c r="AN3464">
        <v>0.99999997376091299</v>
      </c>
    </row>
    <row r="3465" spans="1:40" x14ac:dyDescent="0.25">
      <c r="A3465" t="str">
        <f>"20190312172731426"</f>
        <v>20190312172731426</v>
      </c>
      <c r="B3465" t="str">
        <f>"1552382851422435"</f>
        <v>1552382851422435</v>
      </c>
      <c r="C3465" t="s">
        <v>40</v>
      </c>
      <c r="D3465">
        <v>3.4411909999999999</v>
      </c>
      <c r="E3465">
        <v>0.50137979999999904</v>
      </c>
      <c r="F3465" t="s">
        <v>41</v>
      </c>
      <c r="G3465">
        <v>-249.03110000000001</v>
      </c>
      <c r="H3465" s="1">
        <v>-8.9449579999999998E-7</v>
      </c>
      <c r="I3465">
        <v>141.48230000000001</v>
      </c>
      <c r="J3465">
        <v>-223.20359999999999</v>
      </c>
      <c r="K3465">
        <v>1.108992</v>
      </c>
      <c r="L3465">
        <v>140.9607</v>
      </c>
      <c r="M3465">
        <v>-0.99804440000000005</v>
      </c>
      <c r="N3465">
        <v>0</v>
      </c>
      <c r="O3465">
        <v>-6.1829839999999997E-2</v>
      </c>
      <c r="P3465">
        <v>-0.97718780000000005</v>
      </c>
      <c r="Q3465">
        <v>0.21171229999999999</v>
      </c>
      <c r="R3465">
        <v>1.680164E-2</v>
      </c>
      <c r="S3465">
        <v>-3.0974729999999999</v>
      </c>
      <c r="T3465">
        <v>-0.1322895</v>
      </c>
      <c r="U3465">
        <v>6.14624E-2</v>
      </c>
      <c r="V3465">
        <v>7.7701080000000006E-2</v>
      </c>
      <c r="W3465">
        <v>0.22048419999999999</v>
      </c>
      <c r="X3465">
        <v>0.97229080000000001</v>
      </c>
      <c r="Y3465">
        <v>8.1490580000000007E-2</v>
      </c>
      <c r="Z3465">
        <v>4.3776919999999999E-3</v>
      </c>
      <c r="AA3465">
        <v>0.99666449999999995</v>
      </c>
      <c r="AB3465">
        <v>14</v>
      </c>
      <c r="AC3465">
        <v>-25.827500000000001</v>
      </c>
      <c r="AD3465">
        <v>-1.1089928944958001</v>
      </c>
      <c r="AE3465">
        <v>0.52160000000000595</v>
      </c>
      <c r="AF3465">
        <v>2.11368413127901</v>
      </c>
      <c r="AG3465">
        <v>-1.1089928944958001</v>
      </c>
      <c r="AH3465">
        <v>25.698467168811501</v>
      </c>
      <c r="AI3465">
        <v>92.462705969228196</v>
      </c>
      <c r="AJ3465">
        <v>85.298038929187896</v>
      </c>
      <c r="AK3465">
        <v>25.809082522890002</v>
      </c>
      <c r="AL3465">
        <v>77.262526934375401</v>
      </c>
      <c r="AM3465">
        <v>85.430890966152802</v>
      </c>
      <c r="AN3465">
        <v>1.0000000700237199</v>
      </c>
    </row>
    <row r="3466" spans="1:40" x14ac:dyDescent="0.25">
      <c r="A3466" t="str">
        <f>"20190312172731451"</f>
        <v>20190312172731451</v>
      </c>
      <c r="B3466" t="str">
        <f>"1552382851442932"</f>
        <v>1552382851442932</v>
      </c>
      <c r="C3466" t="s">
        <v>40</v>
      </c>
      <c r="D3466">
        <v>3.448725</v>
      </c>
      <c r="E3466">
        <v>0.49833749999999999</v>
      </c>
      <c r="F3466" t="s">
        <v>41</v>
      </c>
      <c r="G3466">
        <v>-249.2783</v>
      </c>
      <c r="H3466" s="1">
        <v>-7.9570650000000003E-7</v>
      </c>
      <c r="I3466">
        <v>141.50960000000001</v>
      </c>
      <c r="J3466">
        <v>-223.35570000000001</v>
      </c>
      <c r="K3466">
        <v>1.1089359999999999</v>
      </c>
      <c r="L3466">
        <v>140.95419999999999</v>
      </c>
      <c r="M3466">
        <v>-0.99819979999999997</v>
      </c>
      <c r="N3466">
        <v>0</v>
      </c>
      <c r="O3466">
        <v>-5.9313680000000001E-2</v>
      </c>
      <c r="P3466">
        <v>-0.97711099999999995</v>
      </c>
      <c r="Q3466">
        <v>0.21190629999999999</v>
      </c>
      <c r="R3466">
        <v>1.8704889999999998E-2</v>
      </c>
      <c r="S3466">
        <v>-3.0974430000000002</v>
      </c>
      <c r="T3466">
        <v>-0.13173869999999999</v>
      </c>
      <c r="U3466">
        <v>6.5200809999999998E-2</v>
      </c>
      <c r="V3466">
        <v>7.7146939999999997E-2</v>
      </c>
      <c r="W3466">
        <v>0.22039349999999999</v>
      </c>
      <c r="X3466">
        <v>0.97235539999999998</v>
      </c>
      <c r="Y3466">
        <v>8.0185010000000001E-2</v>
      </c>
      <c r="Z3466">
        <v>4.2248909999999997E-3</v>
      </c>
      <c r="AA3466">
        <v>0.99677099999999996</v>
      </c>
      <c r="AB3466">
        <v>14</v>
      </c>
      <c r="AC3466">
        <v>-25.9225999999999</v>
      </c>
      <c r="AD3466">
        <v>-1.1089367957064999</v>
      </c>
      <c r="AE3466">
        <v>0.55540000000001999</v>
      </c>
      <c r="AF3466">
        <v>2.08822790541178</v>
      </c>
      <c r="AG3466">
        <v>-1.1089367957064999</v>
      </c>
      <c r="AH3466">
        <v>25.796825664089798</v>
      </c>
      <c r="AI3466">
        <v>92.453461962588804</v>
      </c>
      <c r="AJ3466">
        <v>85.372053448642404</v>
      </c>
      <c r="AK3466">
        <v>25.904954177632799</v>
      </c>
      <c r="AL3466">
        <v>77.267853613972903</v>
      </c>
      <c r="AM3466">
        <v>85.463640067580599</v>
      </c>
      <c r="AN3466">
        <v>0.99999998455138595</v>
      </c>
    </row>
    <row r="3467" spans="1:40" x14ac:dyDescent="0.25">
      <c r="A3467" t="str">
        <f>"20190312172731474"</f>
        <v>20190312172731474</v>
      </c>
      <c r="B3467" t="str">
        <f>"1552382851462450"</f>
        <v>1552382851462450</v>
      </c>
      <c r="C3467" t="s">
        <v>40</v>
      </c>
      <c r="D3467">
        <v>3.4669880000000002</v>
      </c>
      <c r="E3467">
        <v>0.49783159999999999</v>
      </c>
      <c r="F3467" t="s">
        <v>41</v>
      </c>
      <c r="G3467">
        <v>-249.9007</v>
      </c>
      <c r="H3467" s="1">
        <v>-4.8823520000000004E-7</v>
      </c>
      <c r="I3467">
        <v>141.35759999999999</v>
      </c>
      <c r="J3467">
        <v>-223.51300000000001</v>
      </c>
      <c r="K3467">
        <v>1.1088789999999999</v>
      </c>
      <c r="L3467">
        <v>140.9479</v>
      </c>
      <c r="M3467">
        <v>-0.9983535</v>
      </c>
      <c r="N3467">
        <v>0</v>
      </c>
      <c r="O3467">
        <v>-5.6711959999999999E-2</v>
      </c>
      <c r="P3467">
        <v>-0.97717169999999998</v>
      </c>
      <c r="Q3467">
        <v>0.2114945</v>
      </c>
      <c r="R3467">
        <v>2.0149170000000001E-2</v>
      </c>
      <c r="S3467">
        <v>-3.0974270000000002</v>
      </c>
      <c r="T3467">
        <v>-0.12939719999999999</v>
      </c>
      <c r="U3467">
        <v>4.7073360000000002E-2</v>
      </c>
      <c r="V3467">
        <v>7.6058829999999994E-2</v>
      </c>
      <c r="W3467">
        <v>0.21969620000000001</v>
      </c>
      <c r="X3467">
        <v>0.97259890000000004</v>
      </c>
      <c r="Y3467">
        <v>7.1766849999999993E-2</v>
      </c>
      <c r="Z3467">
        <v>3.865715E-3</v>
      </c>
      <c r="AA3467">
        <v>0.99741389999999996</v>
      </c>
      <c r="AB3467">
        <v>15</v>
      </c>
      <c r="AC3467">
        <v>-26.387699999999899</v>
      </c>
      <c r="AD3467">
        <v>-1.1088794882352</v>
      </c>
      <c r="AE3467">
        <v>0.40969999999998602</v>
      </c>
      <c r="AF3467">
        <v>1.9022358198164899</v>
      </c>
      <c r="AG3467">
        <v>-1.1088794882352</v>
      </c>
      <c r="AH3467">
        <v>26.275603400832601</v>
      </c>
      <c r="AI3467">
        <v>92.4102543699385</v>
      </c>
      <c r="AJ3467">
        <v>85.859266510226604</v>
      </c>
      <c r="AK3467">
        <v>26.367697072582398</v>
      </c>
      <c r="AL3467">
        <v>77.308809919271297</v>
      </c>
      <c r="AM3467">
        <v>85.528476398822903</v>
      </c>
      <c r="AN3467">
        <v>0.999999993098309</v>
      </c>
    </row>
    <row r="3468" spans="1:40" x14ac:dyDescent="0.25">
      <c r="A3468" t="str">
        <f>"20190312172731496"</f>
        <v>20190312172731496</v>
      </c>
      <c r="B3468" t="str">
        <f>"1552382851492708"</f>
        <v>1552382851492708</v>
      </c>
      <c r="C3468" t="s">
        <v>40</v>
      </c>
      <c r="D3468">
        <v>3.4517910000000001</v>
      </c>
      <c r="E3468">
        <v>0.49713390000000002</v>
      </c>
      <c r="F3468" t="s">
        <v>41</v>
      </c>
      <c r="G3468">
        <v>-249.76480000000001</v>
      </c>
      <c r="H3468" s="1">
        <v>-5.4542599999999998E-7</v>
      </c>
      <c r="I3468">
        <v>141.35329999999999</v>
      </c>
      <c r="J3468">
        <v>-223.6643</v>
      </c>
      <c r="K3468">
        <v>1.108827</v>
      </c>
      <c r="L3468">
        <v>140.94229999999999</v>
      </c>
      <c r="M3468">
        <v>-0.99849489999999996</v>
      </c>
      <c r="N3468">
        <v>0</v>
      </c>
      <c r="O3468">
        <v>-5.4211910000000002E-2</v>
      </c>
      <c r="P3468">
        <v>-0.97714570000000001</v>
      </c>
      <c r="Q3468">
        <v>0.2115187</v>
      </c>
      <c r="R3468">
        <v>2.1133800000000001E-2</v>
      </c>
      <c r="S3468">
        <v>-3.0974119999999998</v>
      </c>
      <c r="T3468">
        <v>-0.13083549999999999</v>
      </c>
      <c r="U3468">
        <v>4.7836299999999998E-2</v>
      </c>
      <c r="V3468">
        <v>7.4607190000000004E-2</v>
      </c>
      <c r="W3468">
        <v>0.21945529999999999</v>
      </c>
      <c r="X3468">
        <v>0.97276569999999996</v>
      </c>
      <c r="Y3468">
        <v>6.9516439999999999E-2</v>
      </c>
      <c r="Z3468">
        <v>3.7556999999999998E-3</v>
      </c>
      <c r="AA3468">
        <v>0.99757370000000001</v>
      </c>
      <c r="AB3468">
        <v>15</v>
      </c>
      <c r="AC3468">
        <v>-26.1005</v>
      </c>
      <c r="AD3468">
        <v>-1.1088275454259999</v>
      </c>
      <c r="AE3468">
        <v>0.41100000000000098</v>
      </c>
      <c r="AF3468">
        <v>1.8221145946629</v>
      </c>
      <c r="AG3468">
        <v>-1.1088275454259999</v>
      </c>
      <c r="AH3468">
        <v>25.992932924037198</v>
      </c>
      <c r="AI3468">
        <v>92.436716167118803</v>
      </c>
      <c r="AJ3468">
        <v>85.990103531335293</v>
      </c>
      <c r="AK3468">
        <v>26.080302186038399</v>
      </c>
      <c r="AL3468">
        <v>77.322957630503296</v>
      </c>
      <c r="AM3468">
        <v>85.614231704167295</v>
      </c>
      <c r="AN3468">
        <v>0.99999998429713699</v>
      </c>
    </row>
    <row r="3469" spans="1:40" x14ac:dyDescent="0.25">
      <c r="A3469" t="str">
        <f>"20190312172731516"</f>
        <v>20190312172731516</v>
      </c>
      <c r="B3469" t="str">
        <f>"1552382851512227"</f>
        <v>1552382851512227</v>
      </c>
      <c r="C3469" t="s">
        <v>40</v>
      </c>
      <c r="D3469">
        <v>3.471819</v>
      </c>
      <c r="E3469">
        <v>0.49701339999999999</v>
      </c>
      <c r="F3469" t="s">
        <v>41</v>
      </c>
      <c r="G3469">
        <v>-249.8064</v>
      </c>
      <c r="H3469" s="1">
        <v>-5.1955169999999999E-7</v>
      </c>
      <c r="I3469">
        <v>141.32320000000001</v>
      </c>
      <c r="J3469">
        <v>-223.79640000000001</v>
      </c>
      <c r="K3469">
        <v>1.1087769999999999</v>
      </c>
      <c r="L3469">
        <v>140.9376</v>
      </c>
      <c r="M3469">
        <v>-0.99861279999999997</v>
      </c>
      <c r="N3469">
        <v>0</v>
      </c>
      <c r="O3469">
        <v>-5.2027909999999997E-2</v>
      </c>
      <c r="P3469">
        <v>-0.97719409999999896</v>
      </c>
      <c r="Q3469">
        <v>0.2112021</v>
      </c>
      <c r="R3469">
        <v>2.2031849999999999E-2</v>
      </c>
      <c r="S3469">
        <v>-3.09761</v>
      </c>
      <c r="T3469">
        <v>-0.13138629999999901</v>
      </c>
      <c r="U3469">
        <v>4.5150759999999998E-2</v>
      </c>
      <c r="V3469">
        <v>7.3380070000000006E-2</v>
      </c>
      <c r="W3469">
        <v>0.2189151</v>
      </c>
      <c r="X3469">
        <v>0.97298070000000003</v>
      </c>
      <c r="Y3469">
        <v>6.6472290000000003E-2</v>
      </c>
      <c r="Z3469">
        <v>3.6142230000000002E-3</v>
      </c>
      <c r="AA3469">
        <v>0.99778180000000005</v>
      </c>
      <c r="AB3469">
        <v>15</v>
      </c>
      <c r="AC3469">
        <v>-26.009999999999899</v>
      </c>
      <c r="AD3469">
        <v>-1.1087775195517</v>
      </c>
      <c r="AE3469">
        <v>0.38560000000000999</v>
      </c>
      <c r="AF3469">
        <v>1.7352154502920301</v>
      </c>
      <c r="AG3469">
        <v>-1.1087775195517</v>
      </c>
      <c r="AH3469">
        <v>25.9076383344741</v>
      </c>
      <c r="AI3469">
        <v>92.445138885642095</v>
      </c>
      <c r="AJ3469">
        <v>86.168224390798002</v>
      </c>
      <c r="AK3469">
        <v>25.989345592313601</v>
      </c>
      <c r="AL3469">
        <v>77.354679748554204</v>
      </c>
      <c r="AM3469">
        <v>85.687042775744303</v>
      </c>
      <c r="AN3469">
        <v>0.99999994912685097</v>
      </c>
    </row>
    <row r="3470" spans="1:40" x14ac:dyDescent="0.25">
      <c r="A3470" t="str">
        <f>"20190312172731538"</f>
        <v>20190312172731538</v>
      </c>
      <c r="B3470" t="str">
        <f>"1552382851532723"</f>
        <v>1552382851532723</v>
      </c>
      <c r="C3470" t="s">
        <v>40</v>
      </c>
      <c r="D3470">
        <v>3.467816</v>
      </c>
      <c r="E3470">
        <v>0.49684660000000003</v>
      </c>
      <c r="F3470" t="s">
        <v>41</v>
      </c>
      <c r="G3470">
        <v>-249.8108</v>
      </c>
      <c r="H3470" s="1">
        <v>-5.1998749999999997E-7</v>
      </c>
      <c r="I3470">
        <v>141.33179999999999</v>
      </c>
      <c r="J3470">
        <v>-223.9444</v>
      </c>
      <c r="K3470">
        <v>1.108727</v>
      </c>
      <c r="L3470">
        <v>140.93270000000001</v>
      </c>
      <c r="M3470">
        <v>-0.99873909999999999</v>
      </c>
      <c r="N3470">
        <v>0</v>
      </c>
      <c r="O3470">
        <v>-4.95846E-2</v>
      </c>
      <c r="P3470">
        <v>-0.97714840000000003</v>
      </c>
      <c r="Q3470">
        <v>0.21125459999999999</v>
      </c>
      <c r="R3470">
        <v>2.3506510000000001E-2</v>
      </c>
      <c r="S3470">
        <v>-3.0974879999999998</v>
      </c>
      <c r="T3470">
        <v>-0.13202079999999999</v>
      </c>
      <c r="U3470">
        <v>4.695129E-2</v>
      </c>
      <c r="V3470">
        <v>7.2472709999999996E-2</v>
      </c>
      <c r="W3470">
        <v>0.21871969999999999</v>
      </c>
      <c r="X3470">
        <v>0.97309270000000003</v>
      </c>
      <c r="Y3470">
        <v>6.4614270000000001E-2</v>
      </c>
      <c r="Z3470">
        <v>3.4882099999999998E-3</v>
      </c>
      <c r="AA3470">
        <v>0.99790420000000002</v>
      </c>
      <c r="AB3470">
        <v>15</v>
      </c>
      <c r="AC3470">
        <v>-25.866399999999999</v>
      </c>
      <c r="AD3470">
        <v>-1.1087275199875</v>
      </c>
      <c r="AE3470">
        <v>0.39909999999997497</v>
      </c>
      <c r="AF3470">
        <v>1.6781411380282201</v>
      </c>
      <c r="AG3470">
        <v>-1.1087275199875</v>
      </c>
      <c r="AH3470">
        <v>25.767459636361401</v>
      </c>
      <c r="AI3470">
        <v>92.458612632634896</v>
      </c>
      <c r="AJ3470">
        <v>86.273796018936295</v>
      </c>
      <c r="AK3470">
        <v>25.845839326751101</v>
      </c>
      <c r="AL3470">
        <v>77.366154075764896</v>
      </c>
      <c r="AM3470">
        <v>85.740664355289198</v>
      </c>
      <c r="AN3470">
        <v>1.0000000018280599</v>
      </c>
    </row>
    <row r="3471" spans="1:40" x14ac:dyDescent="0.25">
      <c r="A3471" t="str">
        <f>"20190312172731561"</f>
        <v>20190312172731561</v>
      </c>
      <c r="B3471" t="str">
        <f>"1552382851552243"</f>
        <v>1552382851552243</v>
      </c>
      <c r="C3471" t="s">
        <v>40</v>
      </c>
      <c r="D3471">
        <v>3.4841269999999902</v>
      </c>
      <c r="E3471">
        <v>0.49657059999999997</v>
      </c>
      <c r="F3471" t="s">
        <v>41</v>
      </c>
      <c r="G3471">
        <v>-250.50319999999999</v>
      </c>
      <c r="H3471" s="1">
        <v>-4.4157370000000003E-6</v>
      </c>
      <c r="I3471">
        <v>141.36930000000001</v>
      </c>
      <c r="J3471">
        <v>-224.09559999999999</v>
      </c>
      <c r="K3471">
        <v>1.1086769999999999</v>
      </c>
      <c r="L3471">
        <v>140.9281</v>
      </c>
      <c r="M3471">
        <v>-0.99886200000000003</v>
      </c>
      <c r="N3471">
        <v>0</v>
      </c>
      <c r="O3471">
        <v>-4.7087560000000001E-2</v>
      </c>
      <c r="P3471">
        <v>-0.97711250000000005</v>
      </c>
      <c r="Q3471">
        <v>0.21122070000000001</v>
      </c>
      <c r="R3471">
        <v>2.524156E-2</v>
      </c>
      <c r="S3471">
        <v>-3.0968930000000001</v>
      </c>
      <c r="T3471">
        <v>-0.1292837</v>
      </c>
      <c r="U3471">
        <v>5.0918579999999998E-2</v>
      </c>
      <c r="V3471">
        <v>7.1774080000000004E-2</v>
      </c>
      <c r="W3471">
        <v>0.2184354</v>
      </c>
      <c r="X3471">
        <v>0.97320830000000003</v>
      </c>
      <c r="Y3471">
        <v>6.3407699999999997E-2</v>
      </c>
      <c r="Z3471">
        <v>3.2872930000000002E-3</v>
      </c>
      <c r="AA3471">
        <v>0.99798229999999999</v>
      </c>
      <c r="AB3471">
        <v>15</v>
      </c>
      <c r="AC3471">
        <v>-26.407599999999999</v>
      </c>
      <c r="AD3471">
        <v>-1.108681415737</v>
      </c>
      <c r="AE3471">
        <v>0.44120000000000897</v>
      </c>
      <c r="AF3471">
        <v>1.6812531947521001</v>
      </c>
      <c r="AG3471">
        <v>-1.108681415737</v>
      </c>
      <c r="AH3471">
        <v>26.3111671451957</v>
      </c>
      <c r="AI3471">
        <v>92.407956681444901</v>
      </c>
      <c r="AJ3471">
        <v>86.343836565935305</v>
      </c>
      <c r="AK3471">
        <v>26.388128075498098</v>
      </c>
      <c r="AL3471">
        <v>77.382846482726094</v>
      </c>
      <c r="AM3471">
        <v>85.782074272481395</v>
      </c>
      <c r="AN3471">
        <v>0.999999968860947</v>
      </c>
    </row>
    <row r="3472" spans="1:40" x14ac:dyDescent="0.25">
      <c r="A3472" t="str">
        <f>"20190312172731584"</f>
        <v>20190312172731584</v>
      </c>
      <c r="B3472" t="str">
        <f>"1552382851572739"</f>
        <v>1552382851572739</v>
      </c>
      <c r="C3472" t="s">
        <v>40</v>
      </c>
      <c r="D3472">
        <v>3.4847920000000001</v>
      </c>
      <c r="E3472">
        <v>0.49634600000000001</v>
      </c>
      <c r="F3472" t="s">
        <v>41</v>
      </c>
      <c r="G3472">
        <v>-251.02440000000001</v>
      </c>
      <c r="H3472" s="1">
        <v>-4.2441980000000003E-6</v>
      </c>
      <c r="I3472">
        <v>141.40199999999999</v>
      </c>
      <c r="J3472">
        <v>-224.2543</v>
      </c>
      <c r="K3472">
        <v>1.1086290000000001</v>
      </c>
      <c r="L3472">
        <v>140.92359999999999</v>
      </c>
      <c r="M3472">
        <v>-0.99898399999999998</v>
      </c>
      <c r="N3472">
        <v>0</v>
      </c>
      <c r="O3472">
        <v>-4.446978E-2</v>
      </c>
      <c r="P3472">
        <v>-0.97716150000000002</v>
      </c>
      <c r="Q3472">
        <v>0.21078540000000001</v>
      </c>
      <c r="R3472">
        <v>2.6932709999999999E-2</v>
      </c>
      <c r="S3472">
        <v>-3.0964200000000002</v>
      </c>
      <c r="T3472">
        <v>-0.1274825</v>
      </c>
      <c r="U3472">
        <v>5.450439E-2</v>
      </c>
      <c r="V3472">
        <v>7.09172E-2</v>
      </c>
      <c r="W3472">
        <v>0.2177443</v>
      </c>
      <c r="X3472">
        <v>0.97342600000000001</v>
      </c>
      <c r="Y3472">
        <v>6.1956200000000003E-2</v>
      </c>
      <c r="Z3472">
        <v>3.1044800000000002E-3</v>
      </c>
      <c r="AA3472">
        <v>0.99807409999999996</v>
      </c>
      <c r="AB3472">
        <v>15</v>
      </c>
      <c r="AC3472">
        <v>-26.770099999999999</v>
      </c>
      <c r="AD3472">
        <v>-1.108633244198</v>
      </c>
      <c r="AE3472">
        <v>0.47840000000002098</v>
      </c>
      <c r="AF3472">
        <v>1.6655633498856901</v>
      </c>
      <c r="AG3472">
        <v>-1.108633244198</v>
      </c>
      <c r="AH3472">
        <v>26.676603817598501</v>
      </c>
      <c r="AI3472">
        <v>92.375124028416096</v>
      </c>
      <c r="AJ3472">
        <v>86.427354856045696</v>
      </c>
      <c r="AK3472">
        <v>26.7515300531341</v>
      </c>
      <c r="AL3472">
        <v>77.423420704245501</v>
      </c>
      <c r="AM3472">
        <v>85.833180577337103</v>
      </c>
      <c r="AN3472">
        <v>1.0000000034571599</v>
      </c>
    </row>
    <row r="3473" spans="1:40" x14ac:dyDescent="0.25">
      <c r="A3473" t="str">
        <f>"20190312172731605"</f>
        <v>20190312172731605</v>
      </c>
      <c r="B3473" t="str">
        <f>"1552382851602995"</f>
        <v>1552382851602995</v>
      </c>
      <c r="C3473" t="s">
        <v>40</v>
      </c>
      <c r="D3473">
        <v>3.4693679999999998</v>
      </c>
      <c r="E3473">
        <v>0.49615169999999997</v>
      </c>
      <c r="F3473" t="s">
        <v>41</v>
      </c>
      <c r="G3473">
        <v>-251.12469999999999</v>
      </c>
      <c r="H3473" s="1">
        <v>-4.2156970000000003E-6</v>
      </c>
      <c r="I3473">
        <v>141.43379999999999</v>
      </c>
      <c r="J3473">
        <v>-224.40690000000001</v>
      </c>
      <c r="K3473">
        <v>1.1085799999999999</v>
      </c>
      <c r="L3473">
        <v>140.91970000000001</v>
      </c>
      <c r="M3473">
        <v>-0.99909409999999998</v>
      </c>
      <c r="N3473">
        <v>0</v>
      </c>
      <c r="O3473">
        <v>-4.1959610000000001E-2</v>
      </c>
      <c r="P3473">
        <v>-0.97718070000000001</v>
      </c>
      <c r="Q3473">
        <v>0.2105398</v>
      </c>
      <c r="R3473">
        <v>2.8122060000000001E-2</v>
      </c>
      <c r="S3473">
        <v>-3.0960390000000002</v>
      </c>
      <c r="T3473">
        <v>-0.1277384</v>
      </c>
      <c r="U3473">
        <v>5.8792110000000002E-2</v>
      </c>
      <c r="V3473">
        <v>6.9661799999999996E-2</v>
      </c>
      <c r="W3473">
        <v>0.21726400000000001</v>
      </c>
      <c r="X3473">
        <v>0.97362389999999999</v>
      </c>
      <c r="Y3473">
        <v>6.0835E-2</v>
      </c>
      <c r="Z3473">
        <v>2.984478E-3</v>
      </c>
      <c r="AA3473">
        <v>0.99814340000000001</v>
      </c>
      <c r="AB3473">
        <v>15</v>
      </c>
      <c r="AC3473">
        <v>-26.717799999999901</v>
      </c>
      <c r="AD3473">
        <v>-1.1085842156969901</v>
      </c>
      <c r="AE3473">
        <v>0.51409999999998401</v>
      </c>
      <c r="AF3473">
        <v>1.63193539249664</v>
      </c>
      <c r="AG3473">
        <v>-1.1085842156969901</v>
      </c>
      <c r="AH3473">
        <v>26.626872424347699</v>
      </c>
      <c r="AI3473">
        <v>92.379617779818005</v>
      </c>
      <c r="AJ3473">
        <v>86.492783848445995</v>
      </c>
      <c r="AK3473">
        <v>26.699859684857199</v>
      </c>
      <c r="AL3473">
        <v>77.451614238956097</v>
      </c>
      <c r="AM3473">
        <v>85.907519216990494</v>
      </c>
      <c r="AN3473">
        <v>0.99999995536322395</v>
      </c>
    </row>
    <row r="3474" spans="1:40" x14ac:dyDescent="0.25">
      <c r="A3474" t="str">
        <f>"20190312172731628"</f>
        <v>20190312172731628</v>
      </c>
      <c r="B3474" t="str">
        <f>"1552382851622515"</f>
        <v>1552382851622515</v>
      </c>
      <c r="C3474" t="s">
        <v>40</v>
      </c>
      <c r="D3474">
        <v>3.465802</v>
      </c>
      <c r="E3474">
        <v>0.49605630000000001</v>
      </c>
      <c r="F3474" t="s">
        <v>41</v>
      </c>
      <c r="G3474">
        <v>-251.43819999999999</v>
      </c>
      <c r="H3474" s="1">
        <v>-4.1121610000000002E-6</v>
      </c>
      <c r="I3474">
        <v>141.45150000000001</v>
      </c>
      <c r="J3474">
        <v>-224.5626</v>
      </c>
      <c r="K3474">
        <v>1.1085370000000001</v>
      </c>
      <c r="L3474">
        <v>140.9161</v>
      </c>
      <c r="M3474">
        <v>-0.99919970000000002</v>
      </c>
      <c r="N3474">
        <v>0</v>
      </c>
      <c r="O3474">
        <v>-3.9410050000000002E-2</v>
      </c>
      <c r="P3474">
        <v>-0.97719420000000001</v>
      </c>
      <c r="Q3474">
        <v>0.21023330000000001</v>
      </c>
      <c r="R3474">
        <v>2.9891170000000002E-2</v>
      </c>
      <c r="S3474">
        <v>-3.0956730000000001</v>
      </c>
      <c r="T3474">
        <v>-0.1269575</v>
      </c>
      <c r="U3474">
        <v>6.0913090000000003E-2</v>
      </c>
      <c r="V3474">
        <v>6.8945870000000006E-2</v>
      </c>
      <c r="W3474">
        <v>0.21673110000000001</v>
      </c>
      <c r="X3474">
        <v>0.97379369999999998</v>
      </c>
      <c r="Y3474">
        <v>5.8978429999999998E-2</v>
      </c>
      <c r="Z3474">
        <v>2.8240679999999999E-3</v>
      </c>
      <c r="AA3474">
        <v>0.99825529999999996</v>
      </c>
      <c r="AB3474">
        <v>15</v>
      </c>
      <c r="AC3474">
        <v>-26.875599999999899</v>
      </c>
      <c r="AD3474">
        <v>-1.108541112161</v>
      </c>
      <c r="AE3474">
        <v>0.53540000000000898</v>
      </c>
      <c r="AF3474">
        <v>1.5914710340573399</v>
      </c>
      <c r="AG3474">
        <v>-1.108541112161</v>
      </c>
      <c r="AH3474">
        <v>26.788062212231601</v>
      </c>
      <c r="AI3474">
        <v>92.365490526742093</v>
      </c>
      <c r="AJ3474">
        <v>86.600070572746304</v>
      </c>
      <c r="AK3474">
        <v>26.858181631227101</v>
      </c>
      <c r="AL3474">
        <v>77.482893485559899</v>
      </c>
      <c r="AM3474">
        <v>85.950141786556301</v>
      </c>
      <c r="AN3474">
        <v>1.00000003642847</v>
      </c>
    </row>
    <row r="3475" spans="1:40" x14ac:dyDescent="0.25">
      <c r="A3475" t="str">
        <f>"20190312172731650"</f>
        <v>20190312172731650</v>
      </c>
      <c r="B3475" t="str">
        <f>"1552382851643012"</f>
        <v>1552382851643012</v>
      </c>
      <c r="C3475" t="s">
        <v>40</v>
      </c>
      <c r="D3475">
        <v>3.4755250000000002</v>
      </c>
      <c r="E3475">
        <v>0.4959441</v>
      </c>
      <c r="F3475" t="s">
        <v>41</v>
      </c>
      <c r="G3475">
        <v>-251.57429999999999</v>
      </c>
      <c r="H3475" s="1">
        <v>-4.0726569999999999E-6</v>
      </c>
      <c r="I3475">
        <v>141.49010000000001</v>
      </c>
      <c r="J3475">
        <v>-224.71950000000001</v>
      </c>
      <c r="K3475">
        <v>1.108503</v>
      </c>
      <c r="L3475">
        <v>140.91290000000001</v>
      </c>
      <c r="M3475">
        <v>-0.99929849999999998</v>
      </c>
      <c r="N3475">
        <v>0</v>
      </c>
      <c r="O3475">
        <v>-3.6859019999999999E-2</v>
      </c>
      <c r="P3475">
        <v>-0.97726049999999998</v>
      </c>
      <c r="Q3475">
        <v>0.20971419999999999</v>
      </c>
      <c r="R3475">
        <v>3.1340710000000001E-2</v>
      </c>
      <c r="S3475">
        <v>-3.0953219999999999</v>
      </c>
      <c r="T3475">
        <v>-0.1270299</v>
      </c>
      <c r="U3475">
        <v>6.5780640000000001E-2</v>
      </c>
      <c r="V3475">
        <v>6.7909090000000005E-2</v>
      </c>
      <c r="W3475">
        <v>0.2160067</v>
      </c>
      <c r="X3475">
        <v>0.97402750000000005</v>
      </c>
      <c r="Y3475">
        <v>5.8004090000000001E-2</v>
      </c>
      <c r="Z3475">
        <v>2.7013760000000001E-3</v>
      </c>
      <c r="AA3475">
        <v>0.99831270000000005</v>
      </c>
      <c r="AB3475">
        <v>15</v>
      </c>
      <c r="AC3475">
        <v>-26.854799999999901</v>
      </c>
      <c r="AD3475">
        <v>-1.1085070726569899</v>
      </c>
      <c r="AE3475">
        <v>0.57720000000000404</v>
      </c>
      <c r="AF3475">
        <v>1.56400749508443</v>
      </c>
      <c r="AG3475">
        <v>-1.1085070726569899</v>
      </c>
      <c r="AH3475">
        <v>26.769684560803899</v>
      </c>
      <c r="AI3475">
        <v>92.367176768354597</v>
      </c>
      <c r="AJ3475">
        <v>86.6563193397036</v>
      </c>
      <c r="AK3475">
        <v>26.838236135404902</v>
      </c>
      <c r="AL3475">
        <v>77.525405821513203</v>
      </c>
      <c r="AM3475">
        <v>86.011798243265005</v>
      </c>
      <c r="AN3475">
        <v>1.00000005485288</v>
      </c>
    </row>
    <row r="3476" spans="1:40" x14ac:dyDescent="0.25">
      <c r="A3476" t="str">
        <f>"20190312172731674"</f>
        <v>20190312172731674</v>
      </c>
      <c r="B3476" t="str">
        <f>"1552382851662531"</f>
        <v>1552382851662531</v>
      </c>
      <c r="C3476" t="s">
        <v>40</v>
      </c>
      <c r="D3476">
        <v>3.435791</v>
      </c>
      <c r="E3476">
        <v>0.49594739999999998</v>
      </c>
      <c r="F3476" t="s">
        <v>41</v>
      </c>
      <c r="G3476">
        <v>-251.54640000000001</v>
      </c>
      <c r="H3476" s="1">
        <v>-4.0871579999999997E-6</v>
      </c>
      <c r="I3476">
        <v>141.51820000000001</v>
      </c>
      <c r="J3476">
        <v>-224.88579999999999</v>
      </c>
      <c r="K3476">
        <v>1.1084700000000001</v>
      </c>
      <c r="L3476">
        <v>140.90989999999999</v>
      </c>
      <c r="M3476">
        <v>-0.99939529999999999</v>
      </c>
      <c r="N3476">
        <v>0</v>
      </c>
      <c r="O3476">
        <v>-3.4175240000000003E-2</v>
      </c>
      <c r="P3476">
        <v>-0.9773134</v>
      </c>
      <c r="Q3476">
        <v>0.2093119</v>
      </c>
      <c r="R3476">
        <v>3.2361599999999997E-2</v>
      </c>
      <c r="S3476">
        <v>-3.0950470000000001</v>
      </c>
      <c r="T3476">
        <v>-0.12789010000000001</v>
      </c>
      <c r="U3476">
        <v>6.9839479999999995E-2</v>
      </c>
      <c r="V3476">
        <v>6.631331E-2</v>
      </c>
      <c r="W3476">
        <v>0.21541299999999999</v>
      </c>
      <c r="X3476">
        <v>0.97426889999999999</v>
      </c>
      <c r="Y3476">
        <v>5.6635779999999997E-2</v>
      </c>
      <c r="Z3476">
        <v>2.5808020000000001E-3</v>
      </c>
      <c r="AA3476">
        <v>0.99839160000000005</v>
      </c>
      <c r="AB3476">
        <v>16</v>
      </c>
      <c r="AC3476">
        <v>-26.660599999999999</v>
      </c>
      <c r="AD3476">
        <v>-1.1084740871580001</v>
      </c>
      <c r="AE3476">
        <v>0.60830000000001405</v>
      </c>
      <c r="AF3476">
        <v>1.5164756557571399</v>
      </c>
      <c r="AG3476">
        <v>-1.1084740871580001</v>
      </c>
      <c r="AH3476">
        <v>26.578315360287998</v>
      </c>
      <c r="AI3476">
        <v>92.384317897952599</v>
      </c>
      <c r="AJ3476">
        <v>86.734422398056495</v>
      </c>
      <c r="AK3476">
        <v>26.644610348198501</v>
      </c>
      <c r="AL3476">
        <v>77.560242437222996</v>
      </c>
      <c r="AM3476">
        <v>86.106186246276593</v>
      </c>
      <c r="AN3476">
        <v>1.0000000525796799</v>
      </c>
    </row>
    <row r="3477" spans="1:40" x14ac:dyDescent="0.25">
      <c r="A3477" t="str">
        <f>"20190312172731696"</f>
        <v>20190312172731696</v>
      </c>
      <c r="B3477" t="str">
        <f>"1552382851692786"</f>
        <v>1552382851692786</v>
      </c>
      <c r="C3477" t="s">
        <v>40</v>
      </c>
      <c r="D3477">
        <v>3.4643839999999901</v>
      </c>
      <c r="E3477">
        <v>0.49566660000000001</v>
      </c>
      <c r="F3477" t="s">
        <v>41</v>
      </c>
      <c r="G3477">
        <v>-251.34899999999999</v>
      </c>
      <c r="H3477" s="1">
        <v>-4.1579109999999997E-6</v>
      </c>
      <c r="I3477">
        <v>141.5384</v>
      </c>
      <c r="J3477">
        <v>-225.04480000000001</v>
      </c>
      <c r="K3477">
        <v>1.1084430000000001</v>
      </c>
      <c r="L3477">
        <v>140.9074</v>
      </c>
      <c r="M3477">
        <v>-0.99948020000000004</v>
      </c>
      <c r="N3477">
        <v>0</v>
      </c>
      <c r="O3477">
        <v>-3.1626729999999999E-2</v>
      </c>
      <c r="P3477">
        <v>-0.97730930000000005</v>
      </c>
      <c r="Q3477">
        <v>0.20915629999999999</v>
      </c>
      <c r="R3477">
        <v>3.3474959999999998E-2</v>
      </c>
      <c r="S3477">
        <v>-3.0949710000000001</v>
      </c>
      <c r="T3477">
        <v>-0.12964010000000001</v>
      </c>
      <c r="U3477">
        <v>7.3516849999999995E-2</v>
      </c>
      <c r="V3477">
        <v>6.4939940000000002E-2</v>
      </c>
      <c r="W3477">
        <v>0.2150968</v>
      </c>
      <c r="X3477">
        <v>0.97443120000000005</v>
      </c>
      <c r="Y3477">
        <v>5.527733E-2</v>
      </c>
      <c r="Z3477">
        <v>2.4810169999999999E-3</v>
      </c>
      <c r="AA3477">
        <v>0.99846800000000002</v>
      </c>
      <c r="AB3477">
        <v>16</v>
      </c>
      <c r="AC3477">
        <v>-26.304200000000002</v>
      </c>
      <c r="AD3477">
        <v>-1.108447157911</v>
      </c>
      <c r="AE3477">
        <v>0.63100000000000001</v>
      </c>
      <c r="AF3477">
        <v>1.46002528039783</v>
      </c>
      <c r="AG3477">
        <v>-1.108447157911</v>
      </c>
      <c r="AH3477">
        <v>26.2245427172675</v>
      </c>
      <c r="AI3477">
        <v>92.416573696460404</v>
      </c>
      <c r="AJ3477">
        <v>86.813404244714604</v>
      </c>
      <c r="AK3477">
        <v>26.288533044867101</v>
      </c>
      <c r="AL3477">
        <v>77.578793545888999</v>
      </c>
      <c r="AM3477">
        <v>86.187221221813402</v>
      </c>
      <c r="AN3477">
        <v>0.99999999635544101</v>
      </c>
    </row>
    <row r="3478" spans="1:40" x14ac:dyDescent="0.25">
      <c r="A3478" t="str">
        <f>"20190312172731717"</f>
        <v>20190312172731717</v>
      </c>
      <c r="B3478" t="str">
        <f>"1552382851712306"</f>
        <v>1552382851712306</v>
      </c>
      <c r="C3478" t="s">
        <v>40</v>
      </c>
      <c r="D3478">
        <v>3.459565</v>
      </c>
      <c r="E3478">
        <v>0.495452</v>
      </c>
      <c r="F3478" t="s">
        <v>41</v>
      </c>
      <c r="G3478">
        <v>-251.50659999999999</v>
      </c>
      <c r="H3478" s="1">
        <v>-4.1067040000000001E-6</v>
      </c>
      <c r="I3478">
        <v>141.55199999999999</v>
      </c>
      <c r="J3478">
        <v>-225.19309999999999</v>
      </c>
      <c r="K3478">
        <v>1.1084229999999999</v>
      </c>
      <c r="L3478">
        <v>140.90539999999999</v>
      </c>
      <c r="M3478">
        <v>-0.99955260000000001</v>
      </c>
      <c r="N3478">
        <v>0</v>
      </c>
      <c r="O3478">
        <v>-2.9275700000000002E-2</v>
      </c>
      <c r="P3478">
        <v>-0.97740349999999998</v>
      </c>
      <c r="Q3478">
        <v>0.20863789999999999</v>
      </c>
      <c r="R3478">
        <v>3.3954989999999997E-2</v>
      </c>
      <c r="S3478">
        <v>-3.0948180000000001</v>
      </c>
      <c r="T3478">
        <v>-0.12963820000000001</v>
      </c>
      <c r="U3478">
        <v>7.5393680000000005E-2</v>
      </c>
      <c r="V3478">
        <v>6.3126769999999999E-2</v>
      </c>
      <c r="W3478">
        <v>0.21445</v>
      </c>
      <c r="X3478">
        <v>0.97469289999999997</v>
      </c>
      <c r="Y3478">
        <v>5.3538580000000002E-2</v>
      </c>
      <c r="Z3478">
        <v>2.346281E-3</v>
      </c>
      <c r="AA3478">
        <v>0.99856310000000004</v>
      </c>
      <c r="AB3478">
        <v>16</v>
      </c>
      <c r="AC3478">
        <v>-26.313500000000001</v>
      </c>
      <c r="AD3478">
        <v>-1.1084271067039999</v>
      </c>
      <c r="AE3478">
        <v>0.64660000000003404</v>
      </c>
      <c r="AF3478">
        <v>1.41417559898413</v>
      </c>
      <c r="AG3478">
        <v>-1.1084271067039999</v>
      </c>
      <c r="AH3478">
        <v>26.236763915148899</v>
      </c>
      <c r="AI3478">
        <v>92.415639458075105</v>
      </c>
      <c r="AJ3478">
        <v>86.914712409513001</v>
      </c>
      <c r="AK3478">
        <v>26.298218266926298</v>
      </c>
      <c r="AL3478">
        <v>77.616738233809201</v>
      </c>
      <c r="AM3478">
        <v>86.294368177420097</v>
      </c>
      <c r="AN3478">
        <v>1.0000000204505199</v>
      </c>
    </row>
    <row r="3479" spans="1:40" x14ac:dyDescent="0.25">
      <c r="A3479" t="str">
        <f>"20190312172731740"</f>
        <v>20190312172731740</v>
      </c>
      <c r="B3479" t="str">
        <f>"1552382851732803"</f>
        <v>1552382851732803</v>
      </c>
      <c r="C3479" t="s">
        <v>40</v>
      </c>
      <c r="D3479">
        <v>3.427406</v>
      </c>
      <c r="E3479">
        <v>0.4953631</v>
      </c>
      <c r="F3479" t="s">
        <v>41</v>
      </c>
      <c r="G3479">
        <v>-251.47989999999999</v>
      </c>
      <c r="H3479" s="1">
        <v>-4.1146030000000003E-6</v>
      </c>
      <c r="I3479">
        <v>141.5454</v>
      </c>
      <c r="J3479">
        <v>-225.36500000000001</v>
      </c>
      <c r="K3479">
        <v>1.108403</v>
      </c>
      <c r="L3479">
        <v>140.90350000000001</v>
      </c>
      <c r="M3479">
        <v>-0.99962859999999998</v>
      </c>
      <c r="N3479">
        <v>0</v>
      </c>
      <c r="O3479">
        <v>-2.6585310000000001E-2</v>
      </c>
      <c r="P3479">
        <v>-0.97746440000000001</v>
      </c>
      <c r="Q3479">
        <v>0.20816770000000001</v>
      </c>
      <c r="R3479">
        <v>3.5065190000000003E-2</v>
      </c>
      <c r="S3479">
        <v>-3.0946039999999999</v>
      </c>
      <c r="T3479">
        <v>-0.1304893</v>
      </c>
      <c r="U3479">
        <v>7.5347899999999995E-2</v>
      </c>
      <c r="V3479">
        <v>6.1608780000000002E-2</v>
      </c>
      <c r="W3479">
        <v>0.2138514</v>
      </c>
      <c r="X3479">
        <v>0.9749215</v>
      </c>
      <c r="Y3479">
        <v>5.084147E-2</v>
      </c>
      <c r="Z3479">
        <v>2.1916380000000001E-3</v>
      </c>
      <c r="AA3479">
        <v>0.99870429999999999</v>
      </c>
      <c r="AB3479">
        <v>16</v>
      </c>
      <c r="AC3479">
        <v>-26.114899999999899</v>
      </c>
      <c r="AD3479">
        <v>-1.1084071146029999</v>
      </c>
      <c r="AE3479">
        <v>0.64189999999999203</v>
      </c>
      <c r="AF3479">
        <v>1.3335573954411899</v>
      </c>
      <c r="AG3479">
        <v>-1.1084071146029999</v>
      </c>
      <c r="AH3479">
        <v>26.041719400321899</v>
      </c>
      <c r="AI3479">
        <v>92.434009316706394</v>
      </c>
      <c r="AJ3479">
        <v>87.0685296773175</v>
      </c>
      <c r="AK3479">
        <v>26.099388709005101</v>
      </c>
      <c r="AL3479">
        <v>77.651849766637994</v>
      </c>
      <c r="AM3479">
        <v>86.384082749525504</v>
      </c>
      <c r="AN3479">
        <v>0.99999999710864895</v>
      </c>
    </row>
    <row r="3480" spans="1:40" x14ac:dyDescent="0.25">
      <c r="A3480" t="str">
        <f>"20190312172731762"</f>
        <v>20190312172731762</v>
      </c>
      <c r="B3480" t="str">
        <f>"1552382851752323"</f>
        <v>1552382851752323</v>
      </c>
      <c r="C3480" t="s">
        <v>40</v>
      </c>
      <c r="D3480">
        <v>3.4519030000000002</v>
      </c>
      <c r="E3480">
        <v>0.49214609999999898</v>
      </c>
      <c r="F3480" t="s">
        <v>41</v>
      </c>
      <c r="G3480">
        <v>-251.43510000000001</v>
      </c>
      <c r="H3480" s="1">
        <v>-4.1327430000000004E-6</v>
      </c>
      <c r="I3480">
        <v>141.5617</v>
      </c>
      <c r="J3480">
        <v>-225.51689999999999</v>
      </c>
      <c r="K3480">
        <v>1.108393</v>
      </c>
      <c r="L3480">
        <v>140.90219999999999</v>
      </c>
      <c r="M3480">
        <v>-0.99968869999999999</v>
      </c>
      <c r="N3480">
        <v>0</v>
      </c>
      <c r="O3480">
        <v>-2.4242949999999999E-2</v>
      </c>
      <c r="P3480">
        <v>-0.97761869999999995</v>
      </c>
      <c r="Q3480">
        <v>0.2073458</v>
      </c>
      <c r="R3480">
        <v>3.5636859999999999E-2</v>
      </c>
      <c r="S3480">
        <v>-3.094376</v>
      </c>
      <c r="T3480">
        <v>-0.13156180000000001</v>
      </c>
      <c r="U3480">
        <v>7.8125E-2</v>
      </c>
      <c r="V3480">
        <v>5.9891600000000003E-2</v>
      </c>
      <c r="W3480">
        <v>0.2129347</v>
      </c>
      <c r="X3480">
        <v>0.97522909999999996</v>
      </c>
      <c r="Y3480">
        <v>4.9401109999999998E-2</v>
      </c>
      <c r="Z3480">
        <v>2.0796529999999999E-3</v>
      </c>
      <c r="AA3480">
        <v>0.99877689999999997</v>
      </c>
      <c r="AB3480">
        <v>16</v>
      </c>
      <c r="AC3480">
        <v>-25.918199999999999</v>
      </c>
      <c r="AD3480">
        <v>-1.108397132743</v>
      </c>
      <c r="AE3480">
        <v>0.65950000000000797</v>
      </c>
      <c r="AF3480">
        <v>1.2853015991410699</v>
      </c>
      <c r="AG3480">
        <v>-1.108397132743</v>
      </c>
      <c r="AH3480">
        <v>25.847353107393101</v>
      </c>
      <c r="AI3480">
        <v>92.452450915993495</v>
      </c>
      <c r="AJ3480">
        <v>87.153219239590697</v>
      </c>
      <c r="AK3480">
        <v>25.903015404830601</v>
      </c>
      <c r="AL3480">
        <v>77.705611085411405</v>
      </c>
      <c r="AM3480">
        <v>86.485716445475603</v>
      </c>
      <c r="AN3480">
        <v>0.99999999385072902</v>
      </c>
    </row>
    <row r="3481" spans="1:40" x14ac:dyDescent="0.25">
      <c r="A3481" t="str">
        <f>"20190312172731784"</f>
        <v>20190312172731784</v>
      </c>
      <c r="B3481" t="str">
        <f>"1552382851772827"</f>
        <v>1552382851772827</v>
      </c>
      <c r="C3481" t="s">
        <v>40</v>
      </c>
      <c r="D3481">
        <v>3.476181</v>
      </c>
      <c r="E3481">
        <v>0.49771720000000003</v>
      </c>
      <c r="F3481" t="s">
        <v>41</v>
      </c>
      <c r="G3481">
        <v>-252.6541</v>
      </c>
      <c r="H3481" s="1">
        <v>-3.6021440000000002E-6</v>
      </c>
      <c r="I3481">
        <v>141.37690000000001</v>
      </c>
      <c r="J3481">
        <v>-225.68549999999999</v>
      </c>
      <c r="K3481">
        <v>1.1083989999999999</v>
      </c>
      <c r="L3481">
        <v>140.90110000000001</v>
      </c>
      <c r="M3481">
        <v>-0.99974819999999998</v>
      </c>
      <c r="N3481">
        <v>0</v>
      </c>
      <c r="O3481">
        <v>-2.1688679999999998E-2</v>
      </c>
      <c r="P3481">
        <v>-0.97782729999999995</v>
      </c>
      <c r="Q3481">
        <v>0.2063516</v>
      </c>
      <c r="R3481">
        <v>3.5677729999999998E-2</v>
      </c>
      <c r="S3481">
        <v>-3.0934750000000002</v>
      </c>
      <c r="T3481">
        <v>-0.1263504</v>
      </c>
      <c r="U3481">
        <v>5.4122919999999998E-2</v>
      </c>
      <c r="V3481">
        <v>5.7433440000000002E-2</v>
      </c>
      <c r="W3481">
        <v>0.21185219999999999</v>
      </c>
      <c r="X3481">
        <v>0.97561260000000005</v>
      </c>
      <c r="Y3481">
        <v>3.9124060000000002E-2</v>
      </c>
      <c r="Z3481">
        <v>1.6840239999999999E-3</v>
      </c>
      <c r="AA3481">
        <v>0.99923289999999998</v>
      </c>
      <c r="AB3481">
        <v>16</v>
      </c>
      <c r="AC3481">
        <v>-26.968599999999999</v>
      </c>
      <c r="AD3481">
        <v>-1.1084026021440001</v>
      </c>
      <c r="AE3481">
        <v>0.47579999999999201</v>
      </c>
      <c r="AF3481">
        <v>1.05882310638531</v>
      </c>
      <c r="AG3481">
        <v>-1.1084026021440001</v>
      </c>
      <c r="AH3481">
        <v>26.906500375249198</v>
      </c>
      <c r="AI3481">
        <v>92.357120800770403</v>
      </c>
      <c r="AJ3481">
        <v>87.746462448774096</v>
      </c>
      <c r="AK3481">
        <v>26.950128480998799</v>
      </c>
      <c r="AL3481">
        <v>77.769081361387606</v>
      </c>
      <c r="AM3481">
        <v>86.630937093569102</v>
      </c>
      <c r="AN3481">
        <v>0.99999994997691499</v>
      </c>
    </row>
    <row r="3482" spans="1:40" x14ac:dyDescent="0.25">
      <c r="A3482" t="str">
        <f>"20190312172731806"</f>
        <v>20190312172731806</v>
      </c>
      <c r="B3482" t="str">
        <f>"1552382851802099"</f>
        <v>1552382851802099</v>
      </c>
      <c r="C3482" t="s">
        <v>40</v>
      </c>
      <c r="D3482">
        <v>3.4512459999999998</v>
      </c>
      <c r="E3482">
        <v>0.50300310000000004</v>
      </c>
      <c r="F3482" t="s">
        <v>41</v>
      </c>
      <c r="G3482">
        <v>-253.45959999999999</v>
      </c>
      <c r="H3482" s="1">
        <v>-3.3661810000000002E-6</v>
      </c>
      <c r="I3482">
        <v>141.78870000000001</v>
      </c>
      <c r="J3482">
        <v>-225.84360000000001</v>
      </c>
      <c r="K3482">
        <v>1.1084039999999999</v>
      </c>
      <c r="L3482">
        <v>140.90039999999999</v>
      </c>
      <c r="M3482">
        <v>-0.99979680000000004</v>
      </c>
      <c r="N3482">
        <v>0</v>
      </c>
      <c r="O3482">
        <v>-1.9341629999999999E-2</v>
      </c>
      <c r="P3482">
        <v>-0.97790429999999995</v>
      </c>
      <c r="Q3482">
        <v>0.20588400000000001</v>
      </c>
      <c r="R3482">
        <v>3.6267430000000003E-2</v>
      </c>
      <c r="S3482">
        <v>-3.0904539999999998</v>
      </c>
      <c r="T3482">
        <v>-0.12333330000000001</v>
      </c>
      <c r="U3482">
        <v>9.8770140000000006E-2</v>
      </c>
      <c r="V3482">
        <v>5.5722389999999997E-2</v>
      </c>
      <c r="W3482">
        <v>0.2113139</v>
      </c>
      <c r="X3482">
        <v>0.97582860000000005</v>
      </c>
      <c r="Y3482">
        <v>5.1213439999999999E-2</v>
      </c>
      <c r="Z3482">
        <v>1.792657E-3</v>
      </c>
      <c r="AA3482">
        <v>0.99868610000000002</v>
      </c>
      <c r="AB3482">
        <v>16</v>
      </c>
      <c r="AC3482">
        <v>-27.6159999999999</v>
      </c>
      <c r="AD3482">
        <v>-1.1084073661810001</v>
      </c>
      <c r="AE3482">
        <v>0.88830000000001497</v>
      </c>
      <c r="AF3482">
        <v>1.41999574065207</v>
      </c>
      <c r="AG3482">
        <v>-1.1084073661810001</v>
      </c>
      <c r="AH3482">
        <v>27.5493181364542</v>
      </c>
      <c r="AI3482">
        <v>92.300919824586302</v>
      </c>
      <c r="AJ3482">
        <v>87.049370660657303</v>
      </c>
      <c r="AK3482">
        <v>27.6081488799311</v>
      </c>
      <c r="AL3482">
        <v>77.800638780698506</v>
      </c>
      <c r="AM3482">
        <v>86.731808810920299</v>
      </c>
      <c r="AN3482">
        <v>1.00000000282924</v>
      </c>
    </row>
    <row r="3483" spans="1:40" x14ac:dyDescent="0.25">
      <c r="A3483" t="str">
        <f>"20190312172731828"</f>
        <v>20190312172731828</v>
      </c>
      <c r="B3483" t="str">
        <f>"1552382851822595"</f>
        <v>1552382851822595</v>
      </c>
      <c r="C3483" t="s">
        <v>40</v>
      </c>
      <c r="D3483">
        <v>3.4281670000000002</v>
      </c>
      <c r="E3483">
        <v>0.50491049999999904</v>
      </c>
      <c r="F3483" t="s">
        <v>41</v>
      </c>
      <c r="G3483">
        <v>-253.0342</v>
      </c>
      <c r="H3483" s="1">
        <v>-3.6471760000000002E-6</v>
      </c>
      <c r="I3483">
        <v>142.15899999999999</v>
      </c>
      <c r="J3483">
        <v>-226.0094</v>
      </c>
      <c r="K3483">
        <v>1.108411</v>
      </c>
      <c r="L3483">
        <v>140.8999</v>
      </c>
      <c r="M3483">
        <v>-0.99984079999999997</v>
      </c>
      <c r="N3483">
        <v>0</v>
      </c>
      <c r="O3483">
        <v>-1.6936320000000001E-2</v>
      </c>
      <c r="P3483">
        <v>-0.97789490000000001</v>
      </c>
      <c r="Q3483">
        <v>0.20573150000000001</v>
      </c>
      <c r="R3483">
        <v>3.7369970000000002E-2</v>
      </c>
      <c r="S3483">
        <v>-3.0889739999999999</v>
      </c>
      <c r="T3483">
        <v>-0.12592030000000001</v>
      </c>
      <c r="U3483">
        <v>0.14299010000000001</v>
      </c>
      <c r="V3483">
        <v>5.4464129999999999E-2</v>
      </c>
      <c r="W3483">
        <v>0.2110977</v>
      </c>
      <c r="X3483">
        <v>0.97594639999999999</v>
      </c>
      <c r="Y3483">
        <v>6.308648E-2</v>
      </c>
      <c r="Z3483">
        <v>1.9744200000000002E-3</v>
      </c>
      <c r="AA3483">
        <v>0.99800610000000001</v>
      </c>
      <c r="AB3483">
        <v>16</v>
      </c>
      <c r="AC3483">
        <v>-27.024799999999999</v>
      </c>
      <c r="AD3483">
        <v>-1.1084146471759999</v>
      </c>
      <c r="AE3483">
        <v>1.2590999999999799</v>
      </c>
      <c r="AF3483">
        <v>1.71375064004578</v>
      </c>
      <c r="AG3483">
        <v>-1.1084146471759999</v>
      </c>
      <c r="AH3483">
        <v>26.954354258281601</v>
      </c>
      <c r="AI3483">
        <v>92.350045647529697</v>
      </c>
      <c r="AJ3483">
        <v>86.362046378037206</v>
      </c>
      <c r="AK3483">
        <v>27.031513789783801</v>
      </c>
      <c r="AL3483">
        <v>77.813311709175693</v>
      </c>
      <c r="AM3483">
        <v>86.805837594990805</v>
      </c>
      <c r="AN3483">
        <v>0.999999978037453</v>
      </c>
    </row>
    <row r="3484" spans="1:40" x14ac:dyDescent="0.25">
      <c r="A3484" t="str">
        <f>"20190312172731850"</f>
        <v>20190312172731850</v>
      </c>
      <c r="B3484" t="str">
        <f>"1552382851842116"</f>
        <v>1552382851842116</v>
      </c>
      <c r="C3484" t="s">
        <v>40</v>
      </c>
      <c r="D3484">
        <v>3.4097249999999999</v>
      </c>
      <c r="E3484">
        <v>0.50630379999999997</v>
      </c>
      <c r="F3484" t="s">
        <v>41</v>
      </c>
      <c r="G3484">
        <v>-253.1498</v>
      </c>
      <c r="H3484" s="1">
        <v>-3.6391029999999999E-6</v>
      </c>
      <c r="I3484">
        <v>142.315</v>
      </c>
      <c r="J3484">
        <v>-226.1788</v>
      </c>
      <c r="K3484">
        <v>1.10842</v>
      </c>
      <c r="L3484">
        <v>140.8999</v>
      </c>
      <c r="M3484">
        <v>-0.99987879999999996</v>
      </c>
      <c r="N3484">
        <v>0</v>
      </c>
      <c r="O3484">
        <v>-1.4545809999999999E-2</v>
      </c>
      <c r="P3484">
        <v>-0.9779544</v>
      </c>
      <c r="Q3484">
        <v>0.2051608</v>
      </c>
      <c r="R3484">
        <v>3.8917550000000002E-2</v>
      </c>
      <c r="S3484">
        <v>-3.0881959999999999</v>
      </c>
      <c r="T3484">
        <v>-0.12612200000000001</v>
      </c>
      <c r="U3484">
        <v>0.161026</v>
      </c>
      <c r="V3484">
        <v>5.3664299999999998E-2</v>
      </c>
      <c r="W3484">
        <v>0.21046889999999999</v>
      </c>
      <c r="X3484">
        <v>0.97612659999999996</v>
      </c>
      <c r="Y3484">
        <v>6.6525059999999997E-2</v>
      </c>
      <c r="Z3484">
        <v>1.950406E-3</v>
      </c>
      <c r="AA3484">
        <v>0.99778279999999997</v>
      </c>
      <c r="AB3484">
        <v>17</v>
      </c>
      <c r="AC3484">
        <v>-26.971</v>
      </c>
      <c r="AD3484">
        <v>-1.108423639103</v>
      </c>
      <c r="AE3484">
        <v>1.41509999999999</v>
      </c>
      <c r="AF3484">
        <v>1.8042324703175501</v>
      </c>
      <c r="AG3484">
        <v>-1.108423639103</v>
      </c>
      <c r="AH3484">
        <v>26.9022505086437</v>
      </c>
      <c r="AI3484">
        <v>92.354077814645194</v>
      </c>
      <c r="AJ3484">
        <v>86.163133882054296</v>
      </c>
      <c r="AK3484">
        <v>26.985457939425299</v>
      </c>
      <c r="AL3484">
        <v>77.850168561100404</v>
      </c>
      <c r="AM3484">
        <v>86.853230142135899</v>
      </c>
      <c r="AN3484">
        <v>1.00000007709462</v>
      </c>
    </row>
    <row r="3485" spans="1:40" x14ac:dyDescent="0.25">
      <c r="A3485" t="str">
        <f>"20190312172731875"</f>
        <v>20190312172731875</v>
      </c>
      <c r="B3485" t="str">
        <f>"1552382851872372"</f>
        <v>1552382851872372</v>
      </c>
      <c r="C3485" t="s">
        <v>40</v>
      </c>
      <c r="D3485">
        <v>3.4081030000000001</v>
      </c>
      <c r="E3485">
        <v>0.50771069999999996</v>
      </c>
      <c r="F3485" t="s">
        <v>41</v>
      </c>
      <c r="G3485">
        <v>-252.69390000000001</v>
      </c>
      <c r="H3485" s="1">
        <v>-3.8549979999999999E-6</v>
      </c>
      <c r="I3485">
        <v>142.4109</v>
      </c>
      <c r="J3485">
        <v>-226.3657</v>
      </c>
      <c r="K3485">
        <v>1.108425</v>
      </c>
      <c r="L3485">
        <v>140.90020000000001</v>
      </c>
      <c r="M3485">
        <v>-0.99991319999999995</v>
      </c>
      <c r="N3485">
        <v>0</v>
      </c>
      <c r="O3485">
        <v>-1.197146E-2</v>
      </c>
      <c r="P3485">
        <v>-0.97809170000000001</v>
      </c>
      <c r="Q3485">
        <v>0.20418040000000001</v>
      </c>
      <c r="R3485">
        <v>4.0584519999999999E-2</v>
      </c>
      <c r="S3485">
        <v>-3.0876920000000001</v>
      </c>
      <c r="T3485">
        <v>-0.12907660000000001</v>
      </c>
      <c r="U3485">
        <v>0.17596439999999999</v>
      </c>
      <c r="V3485">
        <v>5.2805030000000003E-2</v>
      </c>
      <c r="W3485">
        <v>0.20943020000000001</v>
      </c>
      <c r="X3485">
        <v>0.97639670000000001</v>
      </c>
      <c r="Y3485">
        <v>6.8774509999999997E-2</v>
      </c>
      <c r="Z3485">
        <v>1.935588E-3</v>
      </c>
      <c r="AA3485">
        <v>0.99763040000000003</v>
      </c>
      <c r="AB3485">
        <v>17</v>
      </c>
      <c r="AC3485">
        <v>-26.328199999999999</v>
      </c>
      <c r="AD3485">
        <v>-1.1084288549979999</v>
      </c>
      <c r="AE3485">
        <v>1.5106999999999799</v>
      </c>
      <c r="AF3485">
        <v>1.8225637068298199</v>
      </c>
      <c r="AG3485">
        <v>-1.1084288549979999</v>
      </c>
      <c r="AH3485">
        <v>26.261832731775701</v>
      </c>
      <c r="AI3485">
        <v>92.411046747064702</v>
      </c>
      <c r="AJ3485">
        <v>86.030054575901801</v>
      </c>
      <c r="AK3485">
        <v>26.3483246416885</v>
      </c>
      <c r="AL3485">
        <v>77.9110367513874</v>
      </c>
      <c r="AM3485">
        <v>86.904372123208603</v>
      </c>
      <c r="AN3485">
        <v>0.99999994781811397</v>
      </c>
    </row>
    <row r="3486" spans="1:40" x14ac:dyDescent="0.25">
      <c r="A3486" t="str">
        <f>"20190312172731897"</f>
        <v>20190312172731897</v>
      </c>
      <c r="B3486" t="str">
        <f>"1552382851892867"</f>
        <v>1552382851892867</v>
      </c>
      <c r="C3486" t="s">
        <v>40</v>
      </c>
      <c r="D3486">
        <v>3.3950689999999999</v>
      </c>
      <c r="E3486">
        <v>0.50840810000000003</v>
      </c>
      <c r="F3486" t="s">
        <v>41</v>
      </c>
      <c r="G3486">
        <v>-251.77670000000001</v>
      </c>
      <c r="H3486" s="1">
        <v>-4.1800370000000002E-6</v>
      </c>
      <c r="I3486">
        <v>142.4836</v>
      </c>
      <c r="J3486">
        <v>-226.53720000000001</v>
      </c>
      <c r="K3486">
        <v>1.1084259999999999</v>
      </c>
      <c r="L3486">
        <v>140.9008</v>
      </c>
      <c r="M3486">
        <v>-0.99993849999999995</v>
      </c>
      <c r="N3486">
        <v>0</v>
      </c>
      <c r="O3486">
        <v>-9.6667699999999999E-3</v>
      </c>
      <c r="P3486">
        <v>-0.97820070000000003</v>
      </c>
      <c r="Q3486">
        <v>0.20338990000000001</v>
      </c>
      <c r="R3486">
        <v>4.1908000000000001E-2</v>
      </c>
      <c r="S3486">
        <v>-3.0873110000000001</v>
      </c>
      <c r="T3486">
        <v>-0.13466910000000001</v>
      </c>
      <c r="U3486">
        <v>0.19238279999999999</v>
      </c>
      <c r="V3486">
        <v>5.1868049999999999E-2</v>
      </c>
      <c r="W3486">
        <v>0.20859220000000001</v>
      </c>
      <c r="X3486">
        <v>0.97662629999999995</v>
      </c>
      <c r="Y3486">
        <v>7.1761580000000005E-2</v>
      </c>
      <c r="Z3486">
        <v>1.9839599999999999E-3</v>
      </c>
      <c r="AA3486">
        <v>0.99741979999999997</v>
      </c>
      <c r="AB3486">
        <v>17</v>
      </c>
      <c r="AC3486">
        <v>-25.2394999999999</v>
      </c>
      <c r="AD3486">
        <v>-1.108430180037</v>
      </c>
      <c r="AE3486">
        <v>1.58279999999999</v>
      </c>
      <c r="AF3486">
        <v>1.8232115122855299</v>
      </c>
      <c r="AG3486">
        <v>-1.108430180037</v>
      </c>
      <c r="AH3486">
        <v>25.174656775227</v>
      </c>
      <c r="AI3486">
        <v>92.514505019711706</v>
      </c>
      <c r="AJ3486">
        <v>85.857728557690706</v>
      </c>
      <c r="AK3486">
        <v>25.264917601944202</v>
      </c>
      <c r="AL3486">
        <v>77.960135252895498</v>
      </c>
      <c r="AM3486">
        <v>86.9599109090924</v>
      </c>
      <c r="AN3486">
        <v>0.99999996518166501</v>
      </c>
    </row>
    <row r="3487" spans="1:40" x14ac:dyDescent="0.25">
      <c r="A3487" t="str">
        <f>"20190312172731918"</f>
        <v>20190312172731918</v>
      </c>
      <c r="B3487" t="str">
        <f>"1552382851912387"</f>
        <v>1552382851912387</v>
      </c>
      <c r="C3487" t="s">
        <v>40</v>
      </c>
      <c r="D3487">
        <v>3.4231150000000001</v>
      </c>
      <c r="E3487">
        <v>0.5089629</v>
      </c>
      <c r="F3487" t="s">
        <v>41</v>
      </c>
      <c r="G3487">
        <v>-251.3528</v>
      </c>
      <c r="H3487" s="1">
        <v>-4.3322959999999999E-6</v>
      </c>
      <c r="I3487">
        <v>142.52869999999999</v>
      </c>
      <c r="J3487">
        <v>-226.69470000000001</v>
      </c>
      <c r="K3487">
        <v>1.1084240000000001</v>
      </c>
      <c r="L3487">
        <v>140.90170000000001</v>
      </c>
      <c r="M3487">
        <v>-0.99995639999999997</v>
      </c>
      <c r="N3487">
        <v>0</v>
      </c>
      <c r="O3487">
        <v>-7.6058710000000002E-3</v>
      </c>
      <c r="P3487">
        <v>-0.97830340000000005</v>
      </c>
      <c r="Q3487">
        <v>0.2026152</v>
      </c>
      <c r="R3487">
        <v>4.3243900000000002E-2</v>
      </c>
      <c r="S3487">
        <v>-3.0868679999999999</v>
      </c>
      <c r="T3487">
        <v>-0.13788069999999999</v>
      </c>
      <c r="U3487">
        <v>0.2024994</v>
      </c>
      <c r="V3487">
        <v>5.118147E-2</v>
      </c>
      <c r="W3487">
        <v>0.20777880000000001</v>
      </c>
      <c r="X3487">
        <v>0.97683589999999998</v>
      </c>
      <c r="Y3487">
        <v>7.2967340000000006E-2</v>
      </c>
      <c r="Z3487">
        <v>1.9662730000000002E-3</v>
      </c>
      <c r="AA3487">
        <v>0.99733240000000001</v>
      </c>
      <c r="AB3487">
        <v>17</v>
      </c>
      <c r="AC3487">
        <v>-24.658099999999902</v>
      </c>
      <c r="AD3487">
        <v>-1.108428332296</v>
      </c>
      <c r="AE3487">
        <v>1.62699999999998</v>
      </c>
      <c r="AF3487">
        <v>1.8108587259987801</v>
      </c>
      <c r="AG3487">
        <v>-1.108428332296</v>
      </c>
      <c r="AH3487">
        <v>24.595527729612598</v>
      </c>
      <c r="AI3487">
        <v>92.573404275727896</v>
      </c>
      <c r="AJ3487">
        <v>85.7891655721223</v>
      </c>
      <c r="AK3487">
        <v>24.686996718748599</v>
      </c>
      <c r="AL3487">
        <v>78.007783758125697</v>
      </c>
      <c r="AM3487">
        <v>87.000721243235901</v>
      </c>
      <c r="AN3487">
        <v>0.99999997406480501</v>
      </c>
    </row>
    <row r="3488" spans="1:40" x14ac:dyDescent="0.25">
      <c r="A3488" t="str">
        <f>"20190312172731940"</f>
        <v>20190312172731940</v>
      </c>
      <c r="B3488" t="str">
        <f>"1552382851932882"</f>
        <v>1552382851932882</v>
      </c>
      <c r="C3488" t="s">
        <v>40</v>
      </c>
      <c r="D3488">
        <v>3.3792770000000001</v>
      </c>
      <c r="E3488">
        <v>0.50937849999999996</v>
      </c>
      <c r="F3488" t="s">
        <v>41</v>
      </c>
      <c r="G3488">
        <v>-251.02029999999999</v>
      </c>
      <c r="H3488" s="1">
        <v>-4.4530910000000002E-6</v>
      </c>
      <c r="I3488">
        <v>142.5719</v>
      </c>
      <c r="J3488">
        <v>-226.8638</v>
      </c>
      <c r="K3488">
        <v>1.108428</v>
      </c>
      <c r="L3488">
        <v>140.90289999999999</v>
      </c>
      <c r="M3488">
        <v>-0.99997080000000005</v>
      </c>
      <c r="N3488">
        <v>0</v>
      </c>
      <c r="O3488">
        <v>-5.4582099999999998E-3</v>
      </c>
      <c r="P3488">
        <v>-0.97827779999999998</v>
      </c>
      <c r="Q3488">
        <v>0.20233899999999999</v>
      </c>
      <c r="R3488">
        <v>4.5074490000000002E-2</v>
      </c>
      <c r="S3488">
        <v>-3.0862880000000001</v>
      </c>
      <c r="T3488">
        <v>-0.14063120000000001</v>
      </c>
      <c r="U3488">
        <v>0.21191409999999999</v>
      </c>
      <c r="V3488">
        <v>5.0902059999999999E-2</v>
      </c>
      <c r="W3488">
        <v>0.20746680000000001</v>
      </c>
      <c r="X3488">
        <v>0.97691680000000003</v>
      </c>
      <c r="Y3488">
        <v>7.3864299999999994E-2</v>
      </c>
      <c r="Z3488">
        <v>1.9283239999999999E-3</v>
      </c>
      <c r="AA3488">
        <v>0.9972664</v>
      </c>
      <c r="AB3488">
        <v>17</v>
      </c>
      <c r="AC3488">
        <v>-24.156499999999902</v>
      </c>
      <c r="AD3488">
        <v>-1.1084324530909999</v>
      </c>
      <c r="AE3488">
        <v>1.66900000000001</v>
      </c>
      <c r="AF3488">
        <v>1.79706257592703</v>
      </c>
      <c r="AG3488">
        <v>-1.1084324530909999</v>
      </c>
      <c r="AH3488">
        <v>24.096536607107801</v>
      </c>
      <c r="AI3488">
        <v>92.6264461733562</v>
      </c>
      <c r="AJ3488">
        <v>85.734912119057796</v>
      </c>
      <c r="AK3488">
        <v>24.188863819173999</v>
      </c>
      <c r="AL3488">
        <v>78.026058133562401</v>
      </c>
      <c r="AM3488">
        <v>87.017311836578699</v>
      </c>
      <c r="AN3488">
        <v>0.99999996346836095</v>
      </c>
    </row>
    <row r="3489" spans="1:40" x14ac:dyDescent="0.25">
      <c r="A3489" t="str">
        <f>"20190312172731964"</f>
        <v>20190312172731964</v>
      </c>
      <c r="B3489" t="str">
        <f>"1552382851953379"</f>
        <v>1552382851953379</v>
      </c>
      <c r="C3489" t="s">
        <v>40</v>
      </c>
      <c r="D3489">
        <v>3.391089</v>
      </c>
      <c r="E3489">
        <v>0.50970130000000002</v>
      </c>
      <c r="F3489" t="s">
        <v>41</v>
      </c>
      <c r="G3489">
        <v>-250.96109999999999</v>
      </c>
      <c r="H3489" s="1">
        <v>-4.481747E-6</v>
      </c>
      <c r="I3489">
        <v>142.6199</v>
      </c>
      <c r="J3489">
        <v>-227.04220000000001</v>
      </c>
      <c r="K3489">
        <v>1.10843799999999</v>
      </c>
      <c r="L3489">
        <v>140.90450000000001</v>
      </c>
      <c r="M3489">
        <v>-0.99998039999999999</v>
      </c>
      <c r="N3489">
        <v>0</v>
      </c>
      <c r="O3489">
        <v>-3.263129E-3</v>
      </c>
      <c r="P3489">
        <v>-0.97828979999999999</v>
      </c>
      <c r="Q3489">
        <v>0.2018858</v>
      </c>
      <c r="R3489">
        <v>4.6810690000000002E-2</v>
      </c>
      <c r="S3489">
        <v>-3.085861</v>
      </c>
      <c r="T3489">
        <v>-0.1419443</v>
      </c>
      <c r="U3489">
        <v>0.2198792</v>
      </c>
      <c r="V3489">
        <v>5.0479360000000001E-2</v>
      </c>
      <c r="W3489">
        <v>0.206984</v>
      </c>
      <c r="X3489">
        <v>0.97704120000000005</v>
      </c>
      <c r="Y3489">
        <v>7.4246549999999994E-2</v>
      </c>
      <c r="Z3489">
        <v>1.854383E-3</v>
      </c>
      <c r="AA3489">
        <v>0.99723819999999996</v>
      </c>
      <c r="AB3489">
        <v>17</v>
      </c>
      <c r="AC3489">
        <v>-23.918899999999901</v>
      </c>
      <c r="AD3489">
        <v>-1.10844248174699</v>
      </c>
      <c r="AE3489">
        <v>1.7153999999999801</v>
      </c>
      <c r="AF3489">
        <v>1.7896188023417099</v>
      </c>
      <c r="AG3489">
        <v>-1.10844248174699</v>
      </c>
      <c r="AH3489">
        <v>23.862191900599701</v>
      </c>
      <c r="AI3489">
        <v>92.652144347794405</v>
      </c>
      <c r="AJ3489">
        <v>85.7109555260419</v>
      </c>
      <c r="AK3489">
        <v>23.9548655286161</v>
      </c>
      <c r="AL3489">
        <v>78.054335059179294</v>
      </c>
      <c r="AM3489">
        <v>87.042412401875396</v>
      </c>
      <c r="AN3489">
        <v>1.00000002426972</v>
      </c>
    </row>
    <row r="3490" spans="1:40" x14ac:dyDescent="0.25">
      <c r="A3490" t="str">
        <f>"20190312172731986"</f>
        <v>20190312172731986</v>
      </c>
      <c r="B3490" t="str">
        <f>"1552382851982659"</f>
        <v>1552382851982659</v>
      </c>
      <c r="C3490" t="s">
        <v>40</v>
      </c>
      <c r="D3490">
        <v>3.3997259999999998</v>
      </c>
      <c r="E3490">
        <v>0.50998489999999996</v>
      </c>
      <c r="F3490" t="s">
        <v>41</v>
      </c>
      <c r="G3490">
        <v>-250.89279999999999</v>
      </c>
      <c r="H3490" s="1">
        <v>-4.5111349999999998E-6</v>
      </c>
      <c r="I3490">
        <v>142.65459999999999</v>
      </c>
      <c r="J3490">
        <v>-227.22559999999999</v>
      </c>
      <c r="K3490">
        <v>1.1084510000000001</v>
      </c>
      <c r="L3490">
        <v>140.90649999999999</v>
      </c>
      <c r="M3490">
        <v>-0.99998540000000002</v>
      </c>
      <c r="N3490">
        <v>0</v>
      </c>
      <c r="O3490">
        <v>-1.0814240000000001E-3</v>
      </c>
      <c r="P3490">
        <v>-0.97851900000000003</v>
      </c>
      <c r="Q3490">
        <v>0.2005159</v>
      </c>
      <c r="R3490">
        <v>4.7899629999999999E-2</v>
      </c>
      <c r="S3490">
        <v>-3.0853269999999999</v>
      </c>
      <c r="T3490">
        <v>-0.14338899999999999</v>
      </c>
      <c r="U3490">
        <v>0.2263947</v>
      </c>
      <c r="V3490">
        <v>4.9418209999999997E-2</v>
      </c>
      <c r="W3490">
        <v>0.20559169999999999</v>
      </c>
      <c r="X3490">
        <v>0.97738930000000002</v>
      </c>
      <c r="Y3490">
        <v>7.4178789999999994E-2</v>
      </c>
      <c r="Z3490">
        <v>1.770637E-3</v>
      </c>
      <c r="AA3490">
        <v>0.9972434</v>
      </c>
      <c r="AB3490">
        <v>17</v>
      </c>
      <c r="AC3490">
        <v>-23.667200000000001</v>
      </c>
      <c r="AD3490">
        <v>-1.1084555111350001</v>
      </c>
      <c r="AE3490">
        <v>1.74809999999999</v>
      </c>
      <c r="AF3490">
        <v>1.7698325055915101</v>
      </c>
      <c r="AG3490">
        <v>-1.1084555111350001</v>
      </c>
      <c r="AH3490">
        <v>23.6137793098749</v>
      </c>
      <c r="AI3490">
        <v>92.680045172462997</v>
      </c>
      <c r="AJ3490">
        <v>85.713744314902897</v>
      </c>
      <c r="AK3490">
        <v>23.705939213907701</v>
      </c>
      <c r="AL3490">
        <v>78.135860911313699</v>
      </c>
      <c r="AM3490">
        <v>87.105507779330097</v>
      </c>
      <c r="AN3490">
        <v>0.99999997517149097</v>
      </c>
    </row>
    <row r="3491" spans="1:40" x14ac:dyDescent="0.25">
      <c r="A3491" t="str">
        <f>"20190312172732007"</f>
        <v>20190312172732007</v>
      </c>
      <c r="B3491" t="str">
        <f>"1552382852002180"</f>
        <v>1552382852002180</v>
      </c>
      <c r="C3491" t="s">
        <v>40</v>
      </c>
      <c r="D3491">
        <v>3.4312649999999998</v>
      </c>
      <c r="E3491">
        <v>0.51006339999999994</v>
      </c>
      <c r="F3491" t="s">
        <v>41</v>
      </c>
      <c r="G3491">
        <v>-250.36869999999999</v>
      </c>
      <c r="H3491" s="1">
        <v>-4.6877150000000002E-6</v>
      </c>
      <c r="I3491">
        <v>142.64439999999999</v>
      </c>
      <c r="J3491">
        <v>-227.3903</v>
      </c>
      <c r="K3491">
        <v>1.1084620000000001</v>
      </c>
      <c r="L3491">
        <v>140.9085</v>
      </c>
      <c r="M3491">
        <v>-0.99998580000000004</v>
      </c>
      <c r="N3491">
        <v>0</v>
      </c>
      <c r="O3491">
        <v>8.0546000000000003E-4</v>
      </c>
      <c r="P3491">
        <v>-0.9789156</v>
      </c>
      <c r="Q3491">
        <v>0.1984725</v>
      </c>
      <c r="R3491">
        <v>4.8301419999999998E-2</v>
      </c>
      <c r="S3491">
        <v>-3.0847929999999999</v>
      </c>
      <c r="T3491">
        <v>-0.1477492</v>
      </c>
      <c r="U3491">
        <v>0.2316589</v>
      </c>
      <c r="V3491">
        <v>4.7955009999999999E-2</v>
      </c>
      <c r="W3491">
        <v>0.2035361</v>
      </c>
      <c r="X3491">
        <v>0.97789230000000005</v>
      </c>
      <c r="Y3491">
        <v>7.3999549999999997E-2</v>
      </c>
      <c r="Z3491">
        <v>1.7301370000000001E-3</v>
      </c>
      <c r="AA3491">
        <v>0.99725680000000005</v>
      </c>
      <c r="AB3491">
        <v>17</v>
      </c>
      <c r="AC3491">
        <v>-22.978399999999901</v>
      </c>
      <c r="AD3491">
        <v>-1.108466687715</v>
      </c>
      <c r="AE3491">
        <v>1.73589999999998</v>
      </c>
      <c r="AF3491">
        <v>1.7134263951445801</v>
      </c>
      <c r="AG3491">
        <v>-1.108466687715</v>
      </c>
      <c r="AH3491">
        <v>22.926741839563501</v>
      </c>
      <c r="AI3491">
        <v>92.760306471581998</v>
      </c>
      <c r="AJ3491">
        <v>85.725954508490901</v>
      </c>
      <c r="AK3491">
        <v>23.017385163987299</v>
      </c>
      <c r="AL3491">
        <v>78.256182720646706</v>
      </c>
      <c r="AM3491">
        <v>87.192512585606707</v>
      </c>
      <c r="AN3491">
        <v>0.99999998869329998</v>
      </c>
    </row>
    <row r="3492" spans="1:40" x14ac:dyDescent="0.25">
      <c r="A3492" t="str">
        <f>"20190312172732030"</f>
        <v>20190312172732030</v>
      </c>
      <c r="B3492" t="str">
        <f>"1552382852022675"</f>
        <v>1552382852022675</v>
      </c>
      <c r="C3492" t="s">
        <v>40</v>
      </c>
      <c r="D3492">
        <v>3.4080300000000001</v>
      </c>
      <c r="E3492">
        <v>0.51005719999999999</v>
      </c>
      <c r="F3492" t="s">
        <v>41</v>
      </c>
      <c r="G3492">
        <v>-249.66079999999999</v>
      </c>
      <c r="H3492" s="1">
        <v>-9.2077169999999998E-7</v>
      </c>
      <c r="I3492">
        <v>142.59630000000001</v>
      </c>
      <c r="J3492">
        <v>-227.5694</v>
      </c>
      <c r="K3492">
        <v>1.1084769999999999</v>
      </c>
      <c r="L3492">
        <v>140.9109</v>
      </c>
      <c r="M3492">
        <v>-0.99998240000000005</v>
      </c>
      <c r="N3492">
        <v>0</v>
      </c>
      <c r="O3492">
        <v>2.7708810000000002E-3</v>
      </c>
      <c r="P3492">
        <v>-0.97917940000000003</v>
      </c>
      <c r="Q3492">
        <v>0.19722290000000001</v>
      </c>
      <c r="R3492">
        <v>4.8072289999999997E-2</v>
      </c>
      <c r="S3492">
        <v>-3.0842290000000001</v>
      </c>
      <c r="T3492">
        <v>-0.15351119999999999</v>
      </c>
      <c r="U3492">
        <v>0.2337494</v>
      </c>
      <c r="V3492">
        <v>4.5782169999999997E-2</v>
      </c>
      <c r="W3492">
        <v>0.20227539999999999</v>
      </c>
      <c r="X3492">
        <v>0.97825799999999996</v>
      </c>
      <c r="Y3492">
        <v>7.2722499999999995E-2</v>
      </c>
      <c r="Z3492">
        <v>1.6684709999999999E-3</v>
      </c>
      <c r="AA3492">
        <v>0.99735079999999998</v>
      </c>
      <c r="AB3492">
        <v>17</v>
      </c>
      <c r="AC3492">
        <v>-22.0914</v>
      </c>
      <c r="AD3492">
        <v>-1.1084779207716999</v>
      </c>
      <c r="AE3492">
        <v>1.68540000000001</v>
      </c>
      <c r="AF3492">
        <v>1.62012462944642</v>
      </c>
      <c r="AG3492">
        <v>-1.1084779207716999</v>
      </c>
      <c r="AH3492">
        <v>22.040813801800201</v>
      </c>
      <c r="AI3492">
        <v>92.871363392859806</v>
      </c>
      <c r="AJ3492">
        <v>85.795996392908705</v>
      </c>
      <c r="AK3492">
        <v>22.1280591141972</v>
      </c>
      <c r="AL3492">
        <v>78.329950486782394</v>
      </c>
      <c r="AM3492">
        <v>87.320530407174004</v>
      </c>
      <c r="AN3492">
        <v>1.0000000295495299</v>
      </c>
    </row>
    <row r="3493" spans="1:40" x14ac:dyDescent="0.25">
      <c r="A3493" t="str">
        <f>"20190312172732051"</f>
        <v>20190312172732051</v>
      </c>
      <c r="B3493" t="str">
        <f>"1552382852042195"</f>
        <v>1552382852042195</v>
      </c>
      <c r="C3493" t="s">
        <v>40</v>
      </c>
      <c r="D3493">
        <v>3.3852549999999999</v>
      </c>
      <c r="E3493">
        <v>0.51011119999999999</v>
      </c>
      <c r="F3493" t="s">
        <v>41</v>
      </c>
      <c r="G3493">
        <v>-249.34039999999999</v>
      </c>
      <c r="H3493" s="1">
        <v>-1.0473009999999999E-6</v>
      </c>
      <c r="I3493">
        <v>142.55529999999999</v>
      </c>
      <c r="J3493">
        <v>-227.74789999999999</v>
      </c>
      <c r="K3493">
        <v>1.108498</v>
      </c>
      <c r="L3493">
        <v>140.91370000000001</v>
      </c>
      <c r="M3493">
        <v>-0.99997559999999996</v>
      </c>
      <c r="N3493">
        <v>0</v>
      </c>
      <c r="O3493">
        <v>4.642658E-3</v>
      </c>
      <c r="P3493">
        <v>-0.97929310000000003</v>
      </c>
      <c r="Q3493">
        <v>0.19655880000000001</v>
      </c>
      <c r="R3493">
        <v>4.8474499999999997E-2</v>
      </c>
      <c r="S3493">
        <v>-3.0840000000000001</v>
      </c>
      <c r="T3493">
        <v>-0.157023</v>
      </c>
      <c r="U3493">
        <v>0.2329407</v>
      </c>
      <c r="V3493">
        <v>4.4332770000000001E-2</v>
      </c>
      <c r="W3493">
        <v>0.20159679999999999</v>
      </c>
      <c r="X3493">
        <v>0.97846480000000002</v>
      </c>
      <c r="Y3493">
        <v>7.0602189999999995E-2</v>
      </c>
      <c r="Z3493">
        <v>1.5577690000000001E-3</v>
      </c>
      <c r="AA3493">
        <v>0.99750329999999998</v>
      </c>
      <c r="AB3493">
        <v>18</v>
      </c>
      <c r="AC3493">
        <v>-21.592500000000001</v>
      </c>
      <c r="AD3493">
        <v>-1.1084990473009999</v>
      </c>
      <c r="AE3493">
        <v>1.64159999999998</v>
      </c>
      <c r="AF3493">
        <v>1.53730604620127</v>
      </c>
      <c r="AG3493">
        <v>-1.1084990473009999</v>
      </c>
      <c r="AH3493">
        <v>21.543437109595502</v>
      </c>
      <c r="AI3493">
        <v>92.938049826404793</v>
      </c>
      <c r="AJ3493">
        <v>85.918381125780002</v>
      </c>
      <c r="AK3493">
        <v>21.626644735433398</v>
      </c>
      <c r="AL3493">
        <v>78.3696490717264</v>
      </c>
      <c r="AM3493">
        <v>87.4057885274634</v>
      </c>
      <c r="AN3493">
        <v>1.00000001455257</v>
      </c>
    </row>
    <row r="3494" spans="1:40" x14ac:dyDescent="0.25">
      <c r="A3494" t="str">
        <f>"20190312172732076"</f>
        <v>20190312172732076</v>
      </c>
      <c r="B3494" t="str">
        <f>"1552382852072451"</f>
        <v>1552382852072451</v>
      </c>
      <c r="C3494" t="s">
        <v>40</v>
      </c>
      <c r="D3494">
        <v>3.3813710000000001</v>
      </c>
      <c r="E3494">
        <v>0.51010820000000001</v>
      </c>
      <c r="F3494" t="s">
        <v>41</v>
      </c>
      <c r="G3494">
        <v>-249.3365</v>
      </c>
      <c r="H3494" s="1">
        <v>-1.0480679999999999E-6</v>
      </c>
      <c r="I3494">
        <v>142.55189999999999</v>
      </c>
      <c r="J3494">
        <v>-227.9418</v>
      </c>
      <c r="K3494">
        <v>1.1085179999999999</v>
      </c>
      <c r="L3494">
        <v>140.9169</v>
      </c>
      <c r="M3494">
        <v>-0.99996459999999998</v>
      </c>
      <c r="N3494">
        <v>0</v>
      </c>
      <c r="O3494">
        <v>6.5956929999999997E-3</v>
      </c>
      <c r="P3494">
        <v>-0.97950130000000002</v>
      </c>
      <c r="Q3494">
        <v>0.19544739999999999</v>
      </c>
      <c r="R3494">
        <v>4.875732E-2</v>
      </c>
      <c r="S3494">
        <v>-3.0836329999999998</v>
      </c>
      <c r="T3494">
        <v>-0.1583338</v>
      </c>
      <c r="U3494">
        <v>0.23400879999999999</v>
      </c>
      <c r="V3494">
        <v>4.2684420000000001E-2</v>
      </c>
      <c r="W3494">
        <v>0.20047119999999999</v>
      </c>
      <c r="X3494">
        <v>0.97876929999999995</v>
      </c>
      <c r="Y3494">
        <v>6.9009529999999999E-2</v>
      </c>
      <c r="Z3494">
        <v>1.4300560000000001E-3</v>
      </c>
      <c r="AA3494">
        <v>0.99761500000000003</v>
      </c>
      <c r="AB3494">
        <v>18</v>
      </c>
      <c r="AC3494">
        <v>-21.3947</v>
      </c>
      <c r="AD3494">
        <v>-1.1085190480679901</v>
      </c>
      <c r="AE3494">
        <v>1.63499999999999</v>
      </c>
      <c r="AF3494">
        <v>1.4898731974203501</v>
      </c>
      <c r="AG3494">
        <v>-1.1085190480679901</v>
      </c>
      <c r="AH3494">
        <v>21.3480412713721</v>
      </c>
      <c r="AI3494">
        <v>92.965273116267696</v>
      </c>
      <c r="AJ3494">
        <v>86.007818313672999</v>
      </c>
      <c r="AK3494">
        <v>21.428658444908098</v>
      </c>
      <c r="AL3494">
        <v>78.435485154142</v>
      </c>
      <c r="AM3494">
        <v>87.502896274347904</v>
      </c>
      <c r="AN3494">
        <v>1.00000000218133</v>
      </c>
    </row>
    <row r="3495" spans="1:40" x14ac:dyDescent="0.25">
      <c r="A3495" t="str">
        <f>"20190312172732255"</f>
        <v>20190312172732255</v>
      </c>
      <c r="B3495" t="str">
        <f>"1552382852242373"</f>
        <v>1552382852242373</v>
      </c>
      <c r="C3495" t="s">
        <v>40</v>
      </c>
      <c r="D3495">
        <v>3.2458390000000001</v>
      </c>
      <c r="E3495">
        <v>0.50617840000000003</v>
      </c>
      <c r="F3495" t="s">
        <v>41</v>
      </c>
      <c r="G3495">
        <v>-249.18610000000001</v>
      </c>
      <c r="H3495" s="1">
        <v>-1.105328E-6</v>
      </c>
      <c r="I3495">
        <v>142.5247</v>
      </c>
      <c r="J3495">
        <v>-229.42230000000001</v>
      </c>
      <c r="K3495">
        <v>1.10869</v>
      </c>
      <c r="L3495">
        <v>140.94909999999999</v>
      </c>
      <c r="M3495">
        <v>-0.99981520000000002</v>
      </c>
      <c r="N3495">
        <v>0</v>
      </c>
      <c r="O3495">
        <v>1.855074E-2</v>
      </c>
      <c r="P3495">
        <v>-0.98222609999999999</v>
      </c>
      <c r="Q3495">
        <v>0.18381110000000001</v>
      </c>
      <c r="R3495">
        <v>3.8022069999999998E-2</v>
      </c>
      <c r="S3495">
        <v>-3.0832519999999999</v>
      </c>
      <c r="T3495">
        <v>-0.16088329999999901</v>
      </c>
      <c r="U3495">
        <v>0.2333527</v>
      </c>
      <c r="V3495">
        <v>2.0038509999999999E-2</v>
      </c>
      <c r="W3495">
        <v>0.18874869999999999</v>
      </c>
      <c r="X3495">
        <v>0.9818209</v>
      </c>
      <c r="Y3495">
        <v>5.690518E-2</v>
      </c>
      <c r="Z3495">
        <v>5.1578720000000004E-4</v>
      </c>
      <c r="AA3495">
        <v>0.99837949999999998</v>
      </c>
      <c r="AB3495">
        <v>19</v>
      </c>
      <c r="AC3495">
        <v>-19.7638</v>
      </c>
      <c r="AD3495">
        <v>-1.108691105328</v>
      </c>
      <c r="AE3495">
        <v>1.5755999999999999</v>
      </c>
      <c r="AF3495">
        <v>1.2049232830582399</v>
      </c>
      <c r="AG3495">
        <v>-1.108691105328</v>
      </c>
      <c r="AH3495">
        <v>19.727938487574502</v>
      </c>
      <c r="AI3495">
        <v>93.210613707912003</v>
      </c>
      <c r="AJ3495">
        <v>86.504887461822307</v>
      </c>
      <c r="AK3495">
        <v>19.795772100491899</v>
      </c>
      <c r="AL3495">
        <v>79.120230644915495</v>
      </c>
      <c r="AM3495">
        <v>88.830781994841701</v>
      </c>
      <c r="AN3495">
        <v>0.99999994665575798</v>
      </c>
    </row>
    <row r="3496" spans="1:40" x14ac:dyDescent="0.25">
      <c r="A3496" t="str">
        <f>"20190312172732276"</f>
        <v>20190312172732276</v>
      </c>
      <c r="B3496" t="str">
        <f>"1552382852272626"</f>
        <v>1552382852272626</v>
      </c>
      <c r="C3496" t="s">
        <v>40</v>
      </c>
      <c r="D3496">
        <v>3.564956</v>
      </c>
      <c r="E3496">
        <v>0.50323799999999996</v>
      </c>
      <c r="F3496" t="s">
        <v>44</v>
      </c>
      <c r="G3496">
        <v>-230.2724</v>
      </c>
      <c r="H3496">
        <v>1.049075</v>
      </c>
      <c r="I3496">
        <v>140.99610000000001</v>
      </c>
      <c r="J3496">
        <v>-229.61359999999999</v>
      </c>
      <c r="K3496">
        <v>1.108716</v>
      </c>
      <c r="L3496">
        <v>140.95400000000001</v>
      </c>
      <c r="M3496">
        <v>-0.99979309999999999</v>
      </c>
      <c r="N3496">
        <v>0</v>
      </c>
      <c r="O3496">
        <v>1.97045E-2</v>
      </c>
      <c r="P3496">
        <v>-0.98226639999999998</v>
      </c>
      <c r="Q3496">
        <v>0.18385860000000001</v>
      </c>
      <c r="R3496">
        <v>3.6720709999999997E-2</v>
      </c>
      <c r="S3496">
        <v>-3.0882420000000002</v>
      </c>
      <c r="T3496">
        <v>-0.2165947</v>
      </c>
      <c r="U3496">
        <v>0.1703491</v>
      </c>
      <c r="V3496">
        <v>1.7587450000000001E-2</v>
      </c>
      <c r="W3496">
        <v>0.1887885</v>
      </c>
      <c r="X3496">
        <v>0.98186030000000002</v>
      </c>
      <c r="Y3496">
        <v>3.5352979999999999E-2</v>
      </c>
      <c r="Z3496">
        <v>-1.4171639999999901E-4</v>
      </c>
      <c r="AA3496">
        <v>0.99937489999999995</v>
      </c>
      <c r="AB3496">
        <v>19</v>
      </c>
      <c r="AC3496">
        <v>-0.65880000000001304</v>
      </c>
      <c r="AD3496">
        <v>-5.9641E-2</v>
      </c>
      <c r="AE3496">
        <v>4.2100000000004897E-2</v>
      </c>
      <c r="AF3496">
        <v>2.8874652255643701E-2</v>
      </c>
      <c r="AG3496">
        <v>-5.9641E-2</v>
      </c>
      <c r="AH3496">
        <v>0.65416218897098299</v>
      </c>
      <c r="AI3496">
        <v>95.204305247007696</v>
      </c>
      <c r="AJ3496">
        <v>87.472610684764504</v>
      </c>
      <c r="AK3496">
        <v>0.65750966829636304</v>
      </c>
      <c r="AL3496">
        <v>79.117909469463797</v>
      </c>
      <c r="AM3496">
        <v>88.9738062482174</v>
      </c>
      <c r="AN3496">
        <v>1.0000000324229199</v>
      </c>
    </row>
    <row r="3497" spans="1:40" x14ac:dyDescent="0.25">
      <c r="A3497" t="str">
        <f>"20190312172732299"</f>
        <v>20190312172732299</v>
      </c>
      <c r="B3497" t="str">
        <f>"1552382852292146"</f>
        <v>1552382852292146</v>
      </c>
      <c r="C3497" t="s">
        <v>40</v>
      </c>
      <c r="D3497">
        <v>3.2664170000000001</v>
      </c>
      <c r="E3497">
        <v>0.50152050000000004</v>
      </c>
      <c r="F3497" t="s">
        <v>44</v>
      </c>
      <c r="G3497">
        <v>-230.44749999999999</v>
      </c>
      <c r="H3497">
        <v>1.05148</v>
      </c>
      <c r="I3497">
        <v>140.99250000000001</v>
      </c>
      <c r="J3497">
        <v>-229.81100000000001</v>
      </c>
      <c r="K3497">
        <v>1.1087389999999999</v>
      </c>
      <c r="L3497">
        <v>140.95910000000001</v>
      </c>
      <c r="M3497">
        <v>-0.99977090000000002</v>
      </c>
      <c r="N3497">
        <v>0</v>
      </c>
      <c r="O3497">
        <v>2.0805859999999999E-2</v>
      </c>
      <c r="P3497">
        <v>-0.98226760000000002</v>
      </c>
      <c r="Q3497">
        <v>0.18400279999999999</v>
      </c>
      <c r="R3497">
        <v>3.5970929999999998E-2</v>
      </c>
      <c r="S3497">
        <v>-3.0885470000000002</v>
      </c>
      <c r="T3497">
        <v>-0.21203430000000001</v>
      </c>
      <c r="U3497">
        <v>0.14239499999999999</v>
      </c>
      <c r="V3497">
        <v>1.5741640000000001E-2</v>
      </c>
      <c r="W3497">
        <v>0.1889258</v>
      </c>
      <c r="X3497">
        <v>0.98186519999999999</v>
      </c>
      <c r="Y3497">
        <v>2.525084E-2</v>
      </c>
      <c r="Z3497">
        <v>-5.604157E-4</v>
      </c>
      <c r="AA3497">
        <v>0.99968100000000004</v>
      </c>
      <c r="AB3497">
        <v>19</v>
      </c>
      <c r="AC3497">
        <v>-0.63650000000001195</v>
      </c>
      <c r="AD3497">
        <v>-5.72589999999999E-2</v>
      </c>
      <c r="AE3497">
        <v>3.3400000000000298E-2</v>
      </c>
      <c r="AF3497">
        <v>1.9988358124689701E-2</v>
      </c>
      <c r="AG3497">
        <v>-5.72589999999999E-2</v>
      </c>
      <c r="AH3497">
        <v>0.63195697850596</v>
      </c>
      <c r="AI3497">
        <v>95.174622824749207</v>
      </c>
      <c r="AJ3497">
        <v>88.188378448423293</v>
      </c>
      <c r="AK3497">
        <v>0.63486041790609704</v>
      </c>
      <c r="AL3497">
        <v>79.109898397670506</v>
      </c>
      <c r="AM3497">
        <v>89.081490748416996</v>
      </c>
      <c r="AN3497">
        <v>1.0000000140532801</v>
      </c>
    </row>
    <row r="3498" spans="1:40" x14ac:dyDescent="0.25">
      <c r="A3498" t="str">
        <f>"20190312172732321"</f>
        <v>20190312172732321</v>
      </c>
      <c r="B3498" t="str">
        <f>"1552382852312173"</f>
        <v>1552382852312173</v>
      </c>
      <c r="C3498" t="s">
        <v>40</v>
      </c>
      <c r="D3498">
        <v>3.2589260000000002</v>
      </c>
      <c r="E3498">
        <v>0.50002029999999997</v>
      </c>
      <c r="F3498" t="s">
        <v>41</v>
      </c>
      <c r="G3498">
        <v>-246.49189999999999</v>
      </c>
      <c r="H3498" s="1">
        <v>-2.0251549999999999E-6</v>
      </c>
      <c r="I3498">
        <v>141.6378</v>
      </c>
      <c r="J3498">
        <v>-230.00919999999999</v>
      </c>
      <c r="K3498">
        <v>1.108779</v>
      </c>
      <c r="L3498">
        <v>140.96440000000001</v>
      </c>
      <c r="M3498">
        <v>-0.99975000000000003</v>
      </c>
      <c r="N3498">
        <v>0</v>
      </c>
      <c r="O3498">
        <v>2.1790199999999999E-2</v>
      </c>
      <c r="P3498">
        <v>-0.98249739999999997</v>
      </c>
      <c r="Q3498">
        <v>0.18302499999999999</v>
      </c>
      <c r="R3498">
        <v>3.4651349999999997E-2</v>
      </c>
      <c r="S3498">
        <v>-3.088028</v>
      </c>
      <c r="T3498">
        <v>-0.20525370000000001</v>
      </c>
      <c r="U3498">
        <v>0.12565609999999999</v>
      </c>
      <c r="V3498">
        <v>1.342811E-2</v>
      </c>
      <c r="W3498">
        <v>0.187947</v>
      </c>
      <c r="X3498">
        <v>0.98208740000000005</v>
      </c>
      <c r="Y3498">
        <v>1.8882019999999999E-2</v>
      </c>
      <c r="Z3498">
        <v>-8.1935069999999996E-4</v>
      </c>
      <c r="AA3498">
        <v>0.99982139999999997</v>
      </c>
      <c r="AB3498">
        <v>19</v>
      </c>
      <c r="AC3498">
        <v>-16.482699999999902</v>
      </c>
      <c r="AD3498">
        <v>-1.1087810251549901</v>
      </c>
      <c r="AE3498">
        <v>0.67339999999998601</v>
      </c>
      <c r="AF3498">
        <v>0.312661776051257</v>
      </c>
      <c r="AG3498">
        <v>-1.1087810251549901</v>
      </c>
      <c r="AH3498">
        <v>16.419283808925599</v>
      </c>
      <c r="AI3498">
        <v>93.862574471754499</v>
      </c>
      <c r="AJ3498">
        <v>88.909085465240594</v>
      </c>
      <c r="AK3498">
        <v>16.459648645885299</v>
      </c>
      <c r="AL3498">
        <v>79.167002626998197</v>
      </c>
      <c r="AM3498">
        <v>89.216641930296007</v>
      </c>
      <c r="AN3498">
        <v>1.0000000250929599</v>
      </c>
    </row>
    <row r="3499" spans="1:40" x14ac:dyDescent="0.25">
      <c r="A3499" t="str">
        <f>"20190312172732342"</f>
        <v>20190312172732342</v>
      </c>
      <c r="B3499" t="str">
        <f>"1552382852332669"</f>
        <v>1552382852332669</v>
      </c>
      <c r="C3499" t="s">
        <v>40</v>
      </c>
      <c r="D3499">
        <v>3.2093020000000001</v>
      </c>
      <c r="E3499">
        <v>0.49864269999999999</v>
      </c>
      <c r="F3499" t="s">
        <v>41</v>
      </c>
      <c r="G3499">
        <v>-246.91249999999999</v>
      </c>
      <c r="H3499" s="1">
        <v>-1.8249380000000001E-6</v>
      </c>
      <c r="I3499">
        <v>141.5634</v>
      </c>
      <c r="J3499">
        <v>-230.18639999999999</v>
      </c>
      <c r="K3499">
        <v>1.108833</v>
      </c>
      <c r="L3499">
        <v>140.9692</v>
      </c>
      <c r="M3499">
        <v>-0.99973330000000005</v>
      </c>
      <c r="N3499">
        <v>0</v>
      </c>
      <c r="O3499">
        <v>2.2543250000000001E-2</v>
      </c>
      <c r="P3499">
        <v>-0.98282009999999997</v>
      </c>
      <c r="Q3499">
        <v>0.18149470000000001</v>
      </c>
      <c r="R3499">
        <v>3.3533859999999999E-2</v>
      </c>
      <c r="S3499">
        <v>-3.0872959999999998</v>
      </c>
      <c r="T3499">
        <v>-0.20251259999999999</v>
      </c>
      <c r="U3499">
        <v>0.1094208</v>
      </c>
      <c r="V3499">
        <v>1.1534290000000001E-2</v>
      </c>
      <c r="W3499">
        <v>0.1864191</v>
      </c>
      <c r="X3499">
        <v>0.98240260000000001</v>
      </c>
      <c r="Y3499">
        <v>1.290233E-2</v>
      </c>
      <c r="Z3499">
        <v>-1.0538819999999999E-3</v>
      </c>
      <c r="AA3499">
        <v>0.99991620000000003</v>
      </c>
      <c r="AB3499">
        <v>19</v>
      </c>
      <c r="AC3499">
        <v>-16.726099999999999</v>
      </c>
      <c r="AD3499">
        <v>-1.108834824938</v>
      </c>
      <c r="AE3499">
        <v>0.59419999999999995</v>
      </c>
      <c r="AF3499">
        <v>0.21603535268420301</v>
      </c>
      <c r="AG3499">
        <v>-1.108834824938</v>
      </c>
      <c r="AH3499">
        <v>16.6621094156522</v>
      </c>
      <c r="AI3499">
        <v>93.807003047888898</v>
      </c>
      <c r="AJ3499">
        <v>89.257163658889496</v>
      </c>
      <c r="AK3499">
        <v>16.700361556618201</v>
      </c>
      <c r="AL3499">
        <v>79.256119669438107</v>
      </c>
      <c r="AM3499">
        <v>89.327326930247196</v>
      </c>
      <c r="AN3499">
        <v>0.99999999458868705</v>
      </c>
    </row>
    <row r="3500" spans="1:40" x14ac:dyDescent="0.25">
      <c r="A3500" t="str">
        <f>"20190312172732365"</f>
        <v>20190312172732365</v>
      </c>
      <c r="B3500" t="str">
        <f>"1552382852362925"</f>
        <v>1552382852362925</v>
      </c>
      <c r="C3500" t="s">
        <v>40</v>
      </c>
      <c r="D3500">
        <v>3.2417989999999999</v>
      </c>
      <c r="E3500">
        <v>0.49677399999999999</v>
      </c>
      <c r="F3500" t="s">
        <v>41</v>
      </c>
      <c r="G3500">
        <v>-247.0384</v>
      </c>
      <c r="H3500" s="1">
        <v>-1.7512310000000001E-6</v>
      </c>
      <c r="I3500">
        <v>141.48939999999999</v>
      </c>
      <c r="J3500">
        <v>-230.393</v>
      </c>
      <c r="K3500">
        <v>1.1089230000000001</v>
      </c>
      <c r="L3500">
        <v>140.97479999999999</v>
      </c>
      <c r="M3500">
        <v>-0.99971690000000002</v>
      </c>
      <c r="N3500">
        <v>0</v>
      </c>
      <c r="O3500">
        <v>2.326398E-2</v>
      </c>
      <c r="P3500">
        <v>-0.98305810000000005</v>
      </c>
      <c r="Q3500">
        <v>0.18035399999999999</v>
      </c>
      <c r="R3500">
        <v>3.2700989999999999E-2</v>
      </c>
      <c r="S3500">
        <v>-3.086716</v>
      </c>
      <c r="T3500">
        <v>-0.203101</v>
      </c>
      <c r="U3500">
        <v>9.5291139999999996E-2</v>
      </c>
      <c r="V3500">
        <v>9.9440680000000004E-3</v>
      </c>
      <c r="W3500">
        <v>0.1852829</v>
      </c>
      <c r="X3500">
        <v>0.98263489999999998</v>
      </c>
      <c r="Y3500">
        <v>7.6288930000000003E-3</v>
      </c>
      <c r="Z3500">
        <v>-1.277842E-3</v>
      </c>
      <c r="AA3500">
        <v>0.99997009999999997</v>
      </c>
      <c r="AB3500">
        <v>19</v>
      </c>
      <c r="AC3500">
        <v>-16.645399999999899</v>
      </c>
      <c r="AD3500">
        <v>-1.1089247512310001</v>
      </c>
      <c r="AE3500">
        <v>0.51460000000000095</v>
      </c>
      <c r="AF3500">
        <v>0.12665604884252499</v>
      </c>
      <c r="AG3500">
        <v>-1.1089247512310001</v>
      </c>
      <c r="AH3500">
        <v>16.579353004003099</v>
      </c>
      <c r="AI3500">
        <v>93.826468219359995</v>
      </c>
      <c r="AJ3500">
        <v>89.562304036765099</v>
      </c>
      <c r="AK3500">
        <v>16.616880028752298</v>
      </c>
      <c r="AL3500">
        <v>79.322373388534402</v>
      </c>
      <c r="AM3500">
        <v>89.420198001058907</v>
      </c>
      <c r="AN3500">
        <v>0.99999999210940405</v>
      </c>
    </row>
    <row r="3501" spans="1:40" x14ac:dyDescent="0.25">
      <c r="A3501" t="str">
        <f>"20190312172732387"</f>
        <v>20190312172732387</v>
      </c>
      <c r="B3501" t="str">
        <f>"1552382852382445"</f>
        <v>1552382852382445</v>
      </c>
      <c r="C3501" t="s">
        <v>40</v>
      </c>
      <c r="D3501">
        <v>3.188396</v>
      </c>
      <c r="E3501">
        <v>0.49571559999999998</v>
      </c>
      <c r="F3501" t="s">
        <v>41</v>
      </c>
      <c r="G3501">
        <v>-247.36619999999999</v>
      </c>
      <c r="H3501" s="1">
        <v>-1.586623E-6</v>
      </c>
      <c r="I3501">
        <v>141.39920000000001</v>
      </c>
      <c r="J3501">
        <v>-230.57740000000001</v>
      </c>
      <c r="K3501">
        <v>1.1090150000000001</v>
      </c>
      <c r="L3501">
        <v>140.97970000000001</v>
      </c>
      <c r="M3501">
        <v>-0.99970559999999997</v>
      </c>
      <c r="N3501">
        <v>0</v>
      </c>
      <c r="O3501">
        <v>2.3744250000000001E-2</v>
      </c>
      <c r="P3501">
        <v>-0.98303589999999996</v>
      </c>
      <c r="Q3501">
        <v>0.1805126</v>
      </c>
      <c r="R3501">
        <v>3.2492239999999999E-2</v>
      </c>
      <c r="S3501">
        <v>-3.0861209999999999</v>
      </c>
      <c r="T3501">
        <v>-0.20162830000000001</v>
      </c>
      <c r="U3501">
        <v>7.7178960000000005E-2</v>
      </c>
      <c r="V3501">
        <v>9.2179719999999996E-3</v>
      </c>
      <c r="W3501">
        <v>0.1854459</v>
      </c>
      <c r="X3501">
        <v>0.98261120000000002</v>
      </c>
      <c r="Y3501">
        <v>1.3042119999999999E-3</v>
      </c>
      <c r="Z3501">
        <v>-1.5066539999999901E-3</v>
      </c>
      <c r="AA3501">
        <v>0.99999800000000005</v>
      </c>
      <c r="AB3501">
        <v>20</v>
      </c>
      <c r="AC3501">
        <v>-16.788799999999899</v>
      </c>
      <c r="AD3501">
        <v>-1.109016586623</v>
      </c>
      <c r="AE3501">
        <v>0.41949999999999898</v>
      </c>
      <c r="AF3501">
        <v>2.0649246117157599E-2</v>
      </c>
      <c r="AG3501">
        <v>-1.109016586623</v>
      </c>
      <c r="AH3501">
        <v>16.721110038852299</v>
      </c>
      <c r="AI3501">
        <v>93.794544417627407</v>
      </c>
      <c r="AJ3501">
        <v>89.929244287701906</v>
      </c>
      <c r="AK3501">
        <v>16.757859801065798</v>
      </c>
      <c r="AL3501">
        <v>79.312869142220606</v>
      </c>
      <c r="AM3501">
        <v>89.462518441901196</v>
      </c>
      <c r="AN3501">
        <v>0.99999996160002003</v>
      </c>
    </row>
    <row r="3502" spans="1:40" x14ac:dyDescent="0.25">
      <c r="A3502" t="str">
        <f>"20190312172732409"</f>
        <v>20190312172732409</v>
      </c>
      <c r="B3502" t="str">
        <f>"1552382852402474"</f>
        <v>1552382852402474</v>
      </c>
      <c r="C3502" t="s">
        <v>40</v>
      </c>
      <c r="D3502">
        <v>3.2188059999999998</v>
      </c>
      <c r="E3502">
        <v>0.49469370000000001</v>
      </c>
      <c r="F3502" t="s">
        <v>41</v>
      </c>
      <c r="G3502">
        <v>-247.8228</v>
      </c>
      <c r="H3502" s="1">
        <v>-1.3786560000000001E-6</v>
      </c>
      <c r="I3502">
        <v>141.35390000000001</v>
      </c>
      <c r="J3502">
        <v>-230.7764</v>
      </c>
      <c r="K3502">
        <v>1.109137</v>
      </c>
      <c r="L3502">
        <v>140.98490000000001</v>
      </c>
      <c r="M3502">
        <v>-0.99969770000000002</v>
      </c>
      <c r="N3502">
        <v>0</v>
      </c>
      <c r="O3502">
        <v>2.4070169999999998E-2</v>
      </c>
      <c r="P3502">
        <v>-0.98303529999999995</v>
      </c>
      <c r="Q3502">
        <v>0.1804627</v>
      </c>
      <c r="R3502">
        <v>3.2785149999999999E-2</v>
      </c>
      <c r="S3502">
        <v>-3.0859990000000002</v>
      </c>
      <c r="T3502">
        <v>-0.19845409999999999</v>
      </c>
      <c r="U3502">
        <v>6.6970829999999995E-2</v>
      </c>
      <c r="V3502">
        <v>9.1353289999999993E-3</v>
      </c>
      <c r="W3502">
        <v>0.18540380000000001</v>
      </c>
      <c r="X3502">
        <v>0.98261989999999999</v>
      </c>
      <c r="Y3502">
        <v>-2.320215E-3</v>
      </c>
      <c r="Z3502">
        <v>-1.6204489999999999E-3</v>
      </c>
      <c r="AA3502">
        <v>0.999996</v>
      </c>
      <c r="AB3502">
        <v>20</v>
      </c>
      <c r="AC3502">
        <v>-17.046399999999998</v>
      </c>
      <c r="AD3502">
        <v>-1.1091383786560001</v>
      </c>
      <c r="AE3502">
        <v>0.368999999999999</v>
      </c>
      <c r="AF3502">
        <v>-4.1247273989290699E-2</v>
      </c>
      <c r="AG3502">
        <v>-1.1091383786560001</v>
      </c>
      <c r="AH3502">
        <v>16.978497165755801</v>
      </c>
      <c r="AI3502">
        <v>93.737586026599999</v>
      </c>
      <c r="AJ3502">
        <v>90.139193124317103</v>
      </c>
      <c r="AK3502">
        <v>17.014736415478101</v>
      </c>
      <c r="AL3502">
        <v>79.315323690161705</v>
      </c>
      <c r="AM3502">
        <v>89.467341627323805</v>
      </c>
      <c r="AN3502">
        <v>0.99999994558319205</v>
      </c>
    </row>
    <row r="3503" spans="1:40" x14ac:dyDescent="0.25">
      <c r="A3503" t="str">
        <f>"20190312172732431"</f>
        <v>20190312172732431</v>
      </c>
      <c r="B3503" t="str">
        <f>"1552382852422968"</f>
        <v>1552382852422968</v>
      </c>
      <c r="C3503" t="s">
        <v>40</v>
      </c>
      <c r="D3503">
        <v>3.234172</v>
      </c>
      <c r="E3503">
        <v>0.49377019999999999</v>
      </c>
      <c r="F3503" t="s">
        <v>41</v>
      </c>
      <c r="G3503">
        <v>-248.33969999999999</v>
      </c>
      <c r="H3503" s="1">
        <v>-1.1476009999999899E-6</v>
      </c>
      <c r="I3503">
        <v>141.31890000000001</v>
      </c>
      <c r="J3503">
        <v>-230.97229999999999</v>
      </c>
      <c r="K3503">
        <v>1.1092489999999999</v>
      </c>
      <c r="L3503">
        <v>140.9898</v>
      </c>
      <c r="M3503">
        <v>-0.99969450000000004</v>
      </c>
      <c r="N3503">
        <v>0</v>
      </c>
      <c r="O3503">
        <v>2.4202479999999998E-2</v>
      </c>
      <c r="P3503">
        <v>-0.98317209999999999</v>
      </c>
      <c r="Q3503">
        <v>0.1797591</v>
      </c>
      <c r="R3503">
        <v>3.2550450000000002E-2</v>
      </c>
      <c r="S3503">
        <v>-3.0856020000000002</v>
      </c>
      <c r="T3503">
        <v>-0.1948588</v>
      </c>
      <c r="U3503">
        <v>5.8685300000000003E-2</v>
      </c>
      <c r="V3503">
        <v>8.7155380000000001E-3</v>
      </c>
      <c r="W3503">
        <v>0.18471019999999999</v>
      </c>
      <c r="X3503">
        <v>0.98275440000000003</v>
      </c>
      <c r="Y3503">
        <v>-5.129939E-3</v>
      </c>
      <c r="Z3503">
        <v>-1.6883759999999999E-3</v>
      </c>
      <c r="AA3503">
        <v>0.99998540000000002</v>
      </c>
      <c r="AB3503">
        <v>20</v>
      </c>
      <c r="AC3503">
        <v>-17.3674</v>
      </c>
      <c r="AD3503">
        <v>-1.1092501476009999</v>
      </c>
      <c r="AE3503">
        <v>0.32910000000001099</v>
      </c>
      <c r="AF3503">
        <v>-9.09648965099389E-2</v>
      </c>
      <c r="AG3503">
        <v>-1.1092501476009999</v>
      </c>
      <c r="AH3503">
        <v>17.299731628690701</v>
      </c>
      <c r="AI3503">
        <v>93.668703878944299</v>
      </c>
      <c r="AJ3503">
        <v>90.301268062015893</v>
      </c>
      <c r="AK3503">
        <v>17.335496096941402</v>
      </c>
      <c r="AL3503">
        <v>79.355763257662602</v>
      </c>
      <c r="AM3503">
        <v>89.491886830966394</v>
      </c>
      <c r="AN3503">
        <v>1.0000000146530099</v>
      </c>
    </row>
    <row r="3504" spans="1:40" x14ac:dyDescent="0.25">
      <c r="A3504" t="str">
        <f>"20190312172732455"</f>
        <v>20190312172732455</v>
      </c>
      <c r="B3504" t="str">
        <f>"1552382852452248"</f>
        <v>1552382852452248</v>
      </c>
      <c r="C3504" t="s">
        <v>40</v>
      </c>
      <c r="D3504">
        <v>3.1806739999999998</v>
      </c>
      <c r="E3504">
        <v>0.49243999999999999</v>
      </c>
      <c r="F3504" t="s">
        <v>41</v>
      </c>
      <c r="G3504">
        <v>-248.63319999999999</v>
      </c>
      <c r="H3504" s="1">
        <v>-1.011096E-6</v>
      </c>
      <c r="I3504">
        <v>141.2791</v>
      </c>
      <c r="J3504">
        <v>-231.1891</v>
      </c>
      <c r="K3504">
        <v>1.1093440000000001</v>
      </c>
      <c r="L3504">
        <v>140.99510000000001</v>
      </c>
      <c r="M3504">
        <v>-0.99969520000000001</v>
      </c>
      <c r="N3504">
        <v>0</v>
      </c>
      <c r="O3504">
        <v>2.417217E-2</v>
      </c>
      <c r="P3504">
        <v>-0.98340510000000003</v>
      </c>
      <c r="Q3504">
        <v>0.1785765</v>
      </c>
      <c r="R3504">
        <v>3.2020109999999997E-2</v>
      </c>
      <c r="S3504">
        <v>-3.0850979999999999</v>
      </c>
      <c r="T3504">
        <v>-0.1937692</v>
      </c>
      <c r="U3504">
        <v>5.0537110000000003E-2</v>
      </c>
      <c r="V3504">
        <v>8.1642469999999995E-3</v>
      </c>
      <c r="W3504">
        <v>0.18353900000000001</v>
      </c>
      <c r="X3504">
        <v>0.98297849999999998</v>
      </c>
      <c r="Y3504">
        <v>-7.7323440000000004E-3</v>
      </c>
      <c r="Z3504">
        <v>-1.75901799999999E-3</v>
      </c>
      <c r="AA3504">
        <v>0.99996850000000004</v>
      </c>
      <c r="AB3504">
        <v>20</v>
      </c>
      <c r="AC3504">
        <v>-17.444099999999899</v>
      </c>
      <c r="AD3504">
        <v>-1.1093450110959999</v>
      </c>
      <c r="AE3504">
        <v>0.28399999999999098</v>
      </c>
      <c r="AF3504">
        <v>-0.13719534759430499</v>
      </c>
      <c r="AG3504">
        <v>-1.1093450110959999</v>
      </c>
      <c r="AH3504">
        <v>17.375615458965701</v>
      </c>
      <c r="AI3504">
        <v>93.6529735059991</v>
      </c>
      <c r="AJ3504">
        <v>90.452389790343503</v>
      </c>
      <c r="AK3504">
        <v>17.411533002435299</v>
      </c>
      <c r="AL3504">
        <v>79.424034912434607</v>
      </c>
      <c r="AM3504">
        <v>89.524133905089201</v>
      </c>
      <c r="AN3504">
        <v>0.99999997545616304</v>
      </c>
    </row>
    <row r="3505" spans="1:40" x14ac:dyDescent="0.25">
      <c r="A3505" t="str">
        <f>"20190312172732475"</f>
        <v>20190312172732475</v>
      </c>
      <c r="B3505" t="str">
        <f>"1552382852472744"</f>
        <v>1552382852472744</v>
      </c>
      <c r="C3505" t="s">
        <v>40</v>
      </c>
      <c r="D3505">
        <v>3.2235320000000001</v>
      </c>
      <c r="E3505">
        <v>0.49165700000000001</v>
      </c>
      <c r="F3505" t="s">
        <v>41</v>
      </c>
      <c r="G3505">
        <v>-248.96430000000001</v>
      </c>
      <c r="H3505" s="1">
        <v>-8.5223180000000002E-7</v>
      </c>
      <c r="I3505">
        <v>141.2158</v>
      </c>
      <c r="J3505">
        <v>-231.3742</v>
      </c>
      <c r="K3505">
        <v>1.1094139999999999</v>
      </c>
      <c r="L3505">
        <v>140.99940000000001</v>
      </c>
      <c r="M3505">
        <v>-0.99969929999999996</v>
      </c>
      <c r="N3505">
        <v>0</v>
      </c>
      <c r="O3505">
        <v>2.399826E-2</v>
      </c>
      <c r="P3505">
        <v>-0.98357399999999995</v>
      </c>
      <c r="Q3505">
        <v>0.17783460000000001</v>
      </c>
      <c r="R3505">
        <v>3.0934940000000001E-2</v>
      </c>
      <c r="S3505">
        <v>-3.08432</v>
      </c>
      <c r="T3505">
        <v>-0.19249240000000001</v>
      </c>
      <c r="U3505">
        <v>3.8299560000000003E-2</v>
      </c>
      <c r="V3505">
        <v>7.2132219999999896E-3</v>
      </c>
      <c r="W3505">
        <v>0.18280299999999999</v>
      </c>
      <c r="X3505">
        <v>0.98312310000000003</v>
      </c>
      <c r="Y3505">
        <v>-1.1514679999999999E-2</v>
      </c>
      <c r="Z3505">
        <v>-1.8550260000000001E-3</v>
      </c>
      <c r="AA3505">
        <v>0.99993200000000004</v>
      </c>
      <c r="AB3505">
        <v>20</v>
      </c>
      <c r="AC3505">
        <v>-17.5901</v>
      </c>
      <c r="AD3505">
        <v>-1.1094148522317999</v>
      </c>
      <c r="AE3505">
        <v>0.21639999999999299</v>
      </c>
      <c r="AF3505">
        <v>-0.20498419915498101</v>
      </c>
      <c r="AG3505">
        <v>-1.1094148522317999</v>
      </c>
      <c r="AH3505">
        <v>17.520543200240098</v>
      </c>
      <c r="AI3505">
        <v>93.622930200725605</v>
      </c>
      <c r="AJ3505">
        <v>90.670309904688196</v>
      </c>
      <c r="AK3505">
        <v>17.556829265779601</v>
      </c>
      <c r="AL3505">
        <v>79.466930599605206</v>
      </c>
      <c r="AM3505">
        <v>89.579625622196801</v>
      </c>
      <c r="AN3505">
        <v>0.99999999856711497</v>
      </c>
    </row>
    <row r="3506" spans="1:40" x14ac:dyDescent="0.25">
      <c r="A3506" t="str">
        <f>"20190312172732501"</f>
        <v>20190312172732501</v>
      </c>
      <c r="B3506" t="str">
        <f>"1552382852493240"</f>
        <v>1552382852493240</v>
      </c>
      <c r="C3506" t="s">
        <v>40</v>
      </c>
      <c r="D3506">
        <v>3.2159849999999999</v>
      </c>
      <c r="E3506">
        <v>0.49087049999999999</v>
      </c>
      <c r="F3506" t="s">
        <v>41</v>
      </c>
      <c r="G3506">
        <v>-249.1806</v>
      </c>
      <c r="H3506" s="1">
        <v>-7.4600470000000004E-7</v>
      </c>
      <c r="I3506">
        <v>141.1653</v>
      </c>
      <c r="J3506">
        <v>-231.59829999999999</v>
      </c>
      <c r="K3506">
        <v>1.1095010000000001</v>
      </c>
      <c r="L3506">
        <v>141.0044</v>
      </c>
      <c r="M3506">
        <v>-0.99970919999999996</v>
      </c>
      <c r="N3506">
        <v>0</v>
      </c>
      <c r="O3506">
        <v>2.3584020000000001E-2</v>
      </c>
      <c r="P3506">
        <v>-0.98374609999999996</v>
      </c>
      <c r="Q3506">
        <v>0.17715939999999999</v>
      </c>
      <c r="R3506">
        <v>2.929791E-2</v>
      </c>
      <c r="S3506">
        <v>-3.083923</v>
      </c>
      <c r="T3506">
        <v>-0.19214149999999999</v>
      </c>
      <c r="U3506">
        <v>2.8747559999999998E-2</v>
      </c>
      <c r="V3506">
        <v>5.9402040000000001E-3</v>
      </c>
      <c r="W3506">
        <v>0.18213170000000001</v>
      </c>
      <c r="X3506">
        <v>0.98325620000000002</v>
      </c>
      <c r="Y3506">
        <v>-1.419131E-2</v>
      </c>
      <c r="Z3506">
        <v>-1.9094579999999999E-3</v>
      </c>
      <c r="AA3506">
        <v>0.99989749999999999</v>
      </c>
      <c r="AB3506">
        <v>20</v>
      </c>
      <c r="AC3506">
        <v>-17.5823</v>
      </c>
      <c r="AD3506">
        <v>-1.1095017460046901</v>
      </c>
      <c r="AE3506">
        <v>0.16089999999999799</v>
      </c>
      <c r="AF3506">
        <v>-0.25280472461033698</v>
      </c>
      <c r="AG3506">
        <v>-1.1095017460046901</v>
      </c>
      <c r="AH3506">
        <v>17.5114788148441</v>
      </c>
      <c r="AI3506">
        <v>93.624954391462296</v>
      </c>
      <c r="AJ3506">
        <v>90.827093918085893</v>
      </c>
      <c r="AK3506">
        <v>17.548412880825001</v>
      </c>
      <c r="AL3506">
        <v>79.506049996440396</v>
      </c>
      <c r="AM3506">
        <v>89.653859820000505</v>
      </c>
      <c r="AN3506">
        <v>0.99999999850344501</v>
      </c>
    </row>
    <row r="3507" spans="1:40" x14ac:dyDescent="0.25">
      <c r="A3507" t="str">
        <f>"20190312172732522"</f>
        <v>20190312172732522</v>
      </c>
      <c r="B3507" t="str">
        <f>"1552382852512206"</f>
        <v>1552382852512206</v>
      </c>
      <c r="C3507" t="s">
        <v>40</v>
      </c>
      <c r="D3507">
        <v>3.209686</v>
      </c>
      <c r="E3507">
        <v>0.49017270000000002</v>
      </c>
      <c r="F3507" t="s">
        <v>41</v>
      </c>
      <c r="G3507">
        <v>-249.50149999999999</v>
      </c>
      <c r="H3507" s="1">
        <v>-5.9118669999999998E-7</v>
      </c>
      <c r="I3507">
        <v>141.10079999999999</v>
      </c>
      <c r="J3507">
        <v>-231.8004</v>
      </c>
      <c r="K3507">
        <v>1.109578</v>
      </c>
      <c r="L3507">
        <v>141.0087</v>
      </c>
      <c r="M3507">
        <v>-0.99972240000000001</v>
      </c>
      <c r="N3507">
        <v>0</v>
      </c>
      <c r="O3507">
        <v>2.3019189999999998E-2</v>
      </c>
      <c r="P3507">
        <v>-0.98400869999999996</v>
      </c>
      <c r="Q3507">
        <v>0.17595189999999999</v>
      </c>
      <c r="R3507">
        <v>2.7712069999999998E-2</v>
      </c>
      <c r="S3507">
        <v>-3.0834809999999999</v>
      </c>
      <c r="T3507">
        <v>-0.19109000000000001</v>
      </c>
      <c r="U3507">
        <v>1.6616820000000001E-2</v>
      </c>
      <c r="V3507">
        <v>4.8650400000000002E-3</v>
      </c>
      <c r="W3507">
        <v>0.18092839999999999</v>
      </c>
      <c r="X3507">
        <v>0.98348420000000003</v>
      </c>
      <c r="Y3507">
        <v>-1.7553849999999999E-2</v>
      </c>
      <c r="Z3507">
        <v>-1.9684730000000001E-3</v>
      </c>
      <c r="AA3507">
        <v>0.99984399999999996</v>
      </c>
      <c r="AB3507">
        <v>20</v>
      </c>
      <c r="AC3507">
        <v>-17.701099999999901</v>
      </c>
      <c r="AD3507">
        <v>-1.1095785911867</v>
      </c>
      <c r="AE3507">
        <v>9.2099999999987803E-2</v>
      </c>
      <c r="AF3507">
        <v>-0.31416013410422899</v>
      </c>
      <c r="AG3507">
        <v>-1.1095785911867</v>
      </c>
      <c r="AH3507">
        <v>17.629260748525201</v>
      </c>
      <c r="AI3507">
        <v>93.600852609859004</v>
      </c>
      <c r="AJ3507">
        <v>91.020924529627905</v>
      </c>
      <c r="AK3507">
        <v>17.6669379287802</v>
      </c>
      <c r="AL3507">
        <v>79.576158470149593</v>
      </c>
      <c r="AM3507">
        <v>89.716575024251497</v>
      </c>
      <c r="AN3507">
        <v>0.99999996309520001</v>
      </c>
    </row>
    <row r="3508" spans="1:40" x14ac:dyDescent="0.25">
      <c r="A3508" t="str">
        <f>"20190312172732544"</f>
        <v>20190312172732544</v>
      </c>
      <c r="B3508" t="str">
        <f>"1552382852532706"</f>
        <v>1552382852532706</v>
      </c>
      <c r="C3508" t="s">
        <v>40</v>
      </c>
      <c r="D3508">
        <v>3.2283750000000002</v>
      </c>
      <c r="E3508">
        <v>0.48953560000000002</v>
      </c>
      <c r="F3508" t="s">
        <v>41</v>
      </c>
      <c r="G3508">
        <v>-249.6026</v>
      </c>
      <c r="H3508" s="1">
        <v>-5.3255830000000003E-7</v>
      </c>
      <c r="I3508">
        <v>141.04349999999999</v>
      </c>
      <c r="J3508">
        <v>-231.9992</v>
      </c>
      <c r="K3508">
        <v>1.109672</v>
      </c>
      <c r="L3508">
        <v>141.01249999999999</v>
      </c>
      <c r="M3508">
        <v>-0.99973880000000004</v>
      </c>
      <c r="N3508">
        <v>0</v>
      </c>
      <c r="O3508">
        <v>2.2293090000000002E-2</v>
      </c>
      <c r="P3508">
        <v>-0.98416840000000005</v>
      </c>
      <c r="Q3508">
        <v>0.17531820000000001</v>
      </c>
      <c r="R3508">
        <v>2.6003970000000001E-2</v>
      </c>
      <c r="S3508">
        <v>-3.0829620000000002</v>
      </c>
      <c r="T3508">
        <v>-0.1921552</v>
      </c>
      <c r="U3508">
        <v>6.0424800000000002E-3</v>
      </c>
      <c r="V3508">
        <v>3.8248090000000002E-3</v>
      </c>
      <c r="W3508">
        <v>0.18029899999999999</v>
      </c>
      <c r="X3508">
        <v>0.98360440000000005</v>
      </c>
      <c r="Y3508">
        <v>-2.0251310000000002E-2</v>
      </c>
      <c r="Z3508">
        <v>-2.0185630000000001E-3</v>
      </c>
      <c r="AA3508">
        <v>0.99979289999999998</v>
      </c>
      <c r="AB3508">
        <v>20</v>
      </c>
      <c r="AC3508">
        <v>-17.603399999999901</v>
      </c>
      <c r="AD3508">
        <v>-1.1096725325582999</v>
      </c>
      <c r="AE3508">
        <v>3.1000000000005901E-2</v>
      </c>
      <c r="AF3508">
        <v>-0.36001626199592901</v>
      </c>
      <c r="AG3508">
        <v>-1.1096725325582999</v>
      </c>
      <c r="AH3508">
        <v>17.530056945951198</v>
      </c>
      <c r="AI3508">
        <v>93.621293668590198</v>
      </c>
      <c r="AJ3508">
        <v>91.176522879824304</v>
      </c>
      <c r="AK3508">
        <v>17.5688326694378</v>
      </c>
      <c r="AL3508">
        <v>79.612823675990299</v>
      </c>
      <c r="AM3508">
        <v>89.777202797595507</v>
      </c>
      <c r="AN3508">
        <v>0.99999998713212301</v>
      </c>
    </row>
    <row r="3509" spans="1:40" x14ac:dyDescent="0.25">
      <c r="A3509" t="str">
        <f>"20190312172732567"</f>
        <v>20190312172732567</v>
      </c>
      <c r="B3509" t="str">
        <f>"1552382852562958"</f>
        <v>1552382852562958</v>
      </c>
      <c r="C3509" t="s">
        <v>40</v>
      </c>
      <c r="D3509">
        <v>3.245441</v>
      </c>
      <c r="E3509">
        <v>0.48864770000000002</v>
      </c>
      <c r="F3509" t="s">
        <v>41</v>
      </c>
      <c r="G3509">
        <v>-249.8408</v>
      </c>
      <c r="H3509" s="1">
        <v>-4.1601960000000002E-7</v>
      </c>
      <c r="I3509">
        <v>140.98949999999999</v>
      </c>
      <c r="J3509">
        <v>-232.21449999999999</v>
      </c>
      <c r="K3509">
        <v>1.1097870000000001</v>
      </c>
      <c r="L3509">
        <v>141.0163</v>
      </c>
      <c r="M3509">
        <v>-0.99975970000000003</v>
      </c>
      <c r="N3509">
        <v>0</v>
      </c>
      <c r="O3509">
        <v>2.1333600000000001E-2</v>
      </c>
      <c r="P3509">
        <v>-0.98431190000000002</v>
      </c>
      <c r="Q3509">
        <v>0.17484720000000001</v>
      </c>
      <c r="R3509">
        <v>2.364204E-2</v>
      </c>
      <c r="S3509">
        <v>-3.0825200000000001</v>
      </c>
      <c r="T3509">
        <v>-0.19172069999999999</v>
      </c>
      <c r="U3509">
        <v>-3.9672850000000001E-3</v>
      </c>
      <c r="V3509">
        <v>2.3552719999999998E-3</v>
      </c>
      <c r="W3509">
        <v>0.17983370000000001</v>
      </c>
      <c r="X3509">
        <v>0.98369419999999996</v>
      </c>
      <c r="Y3509">
        <v>-2.2535820000000002E-2</v>
      </c>
      <c r="Z3509">
        <v>-2.0256749999999998E-3</v>
      </c>
      <c r="AA3509">
        <v>0.99974399999999997</v>
      </c>
      <c r="AB3509">
        <v>21</v>
      </c>
      <c r="AC3509">
        <v>-17.626300000000001</v>
      </c>
      <c r="AD3509">
        <v>-1.1097874160196</v>
      </c>
      <c r="AE3509">
        <v>-2.6800000000008602E-2</v>
      </c>
      <c r="AF3509">
        <v>-0.40124051334475502</v>
      </c>
      <c r="AG3509">
        <v>-1.1097874160196</v>
      </c>
      <c r="AH3509">
        <v>17.552136337481201</v>
      </c>
      <c r="AI3509">
        <v>93.6169421354642</v>
      </c>
      <c r="AJ3509">
        <v>91.309549118629803</v>
      </c>
      <c r="AK3509">
        <v>17.591762619698802</v>
      </c>
      <c r="AL3509">
        <v>79.639926473353597</v>
      </c>
      <c r="AM3509">
        <v>89.862816221408906</v>
      </c>
      <c r="AN3509">
        <v>0.99999999303776199</v>
      </c>
    </row>
    <row r="3510" spans="1:40" x14ac:dyDescent="0.25">
      <c r="A3510" t="str">
        <f>"20190312172732589"</f>
        <v>20190312172732589</v>
      </c>
      <c r="B3510" t="str">
        <f>"1552382852582479"</f>
        <v>1552382852582479</v>
      </c>
      <c r="C3510" t="s">
        <v>40</v>
      </c>
      <c r="D3510">
        <v>3.2126100000000002</v>
      </c>
      <c r="E3510">
        <v>0.48812519999999998</v>
      </c>
      <c r="F3510" t="s">
        <v>41</v>
      </c>
      <c r="G3510">
        <v>-250.22989999999999</v>
      </c>
      <c r="H3510" s="1">
        <v>-4.4272170000000004E-6</v>
      </c>
      <c r="I3510">
        <v>140.90960000000001</v>
      </c>
      <c r="J3510">
        <v>-232.411</v>
      </c>
      <c r="K3510">
        <v>1.1098859999999999</v>
      </c>
      <c r="L3510">
        <v>141.01939999999999</v>
      </c>
      <c r="M3510">
        <v>-0.99978109999999998</v>
      </c>
      <c r="N3510">
        <v>0</v>
      </c>
      <c r="O3510">
        <v>2.0301960000000001E-2</v>
      </c>
      <c r="P3510">
        <v>-0.98432280000000005</v>
      </c>
      <c r="Q3510">
        <v>0.17505309999999999</v>
      </c>
      <c r="R3510">
        <v>2.1568850000000001E-2</v>
      </c>
      <c r="S3510">
        <v>-3.0819700000000001</v>
      </c>
      <c r="T3510">
        <v>-0.1898572</v>
      </c>
      <c r="U3510">
        <v>-1.824951E-2</v>
      </c>
      <c r="V3510">
        <v>1.2541309999999999E-3</v>
      </c>
      <c r="W3510">
        <v>0.18004529999999999</v>
      </c>
      <c r="X3510">
        <v>0.98365749999999996</v>
      </c>
      <c r="Y3510">
        <v>-2.6133900000000002E-2</v>
      </c>
      <c r="Z3510">
        <v>-2.0536159999999999E-3</v>
      </c>
      <c r="AA3510">
        <v>0.99965630000000005</v>
      </c>
      <c r="AB3510">
        <v>21</v>
      </c>
      <c r="AC3510">
        <v>-17.818899999999999</v>
      </c>
      <c r="AD3510">
        <v>-1.109890427217</v>
      </c>
      <c r="AE3510">
        <v>-0.109799999999978</v>
      </c>
      <c r="AF3510">
        <v>-0.46971829338987903</v>
      </c>
      <c r="AG3510">
        <v>-1.109890427217</v>
      </c>
      <c r="AH3510">
        <v>17.7441586957111</v>
      </c>
      <c r="AI3510">
        <v>93.577916322477094</v>
      </c>
      <c r="AJ3510">
        <v>91.516363354307401</v>
      </c>
      <c r="AK3510">
        <v>17.7850403388396</v>
      </c>
      <c r="AL3510">
        <v>79.627601378693896</v>
      </c>
      <c r="AM3510">
        <v>89.926949802831402</v>
      </c>
      <c r="AN3510">
        <v>0.99999998010145197</v>
      </c>
    </row>
    <row r="3511" spans="1:40" x14ac:dyDescent="0.25">
      <c r="A3511" t="str">
        <f>"20190312172732610"</f>
        <v>20190312172732610</v>
      </c>
      <c r="B3511" t="str">
        <f>"1552382852602975"</f>
        <v>1552382852602975</v>
      </c>
      <c r="C3511" t="s">
        <v>40</v>
      </c>
      <c r="D3511">
        <v>3.2614679999999998</v>
      </c>
      <c r="E3511">
        <v>0.48764079999999899</v>
      </c>
      <c r="F3511" t="s">
        <v>41</v>
      </c>
      <c r="G3511">
        <v>-250.70169999999999</v>
      </c>
      <c r="H3511" s="1">
        <v>-4.2557660000000003E-6</v>
      </c>
      <c r="I3511">
        <v>140.84819999999999</v>
      </c>
      <c r="J3511">
        <v>-232.6207</v>
      </c>
      <c r="K3511">
        <v>1.109966</v>
      </c>
      <c r="L3511">
        <v>141.0223</v>
      </c>
      <c r="M3511">
        <v>-0.99980550000000001</v>
      </c>
      <c r="N3511">
        <v>0</v>
      </c>
      <c r="O3511">
        <v>1.9059320000000001E-2</v>
      </c>
      <c r="P3511">
        <v>-0.98453299999999999</v>
      </c>
      <c r="Q3511">
        <v>0.174151</v>
      </c>
      <c r="R3511">
        <v>1.9138720000000001E-2</v>
      </c>
      <c r="S3511">
        <v>-3.0816650000000001</v>
      </c>
      <c r="T3511">
        <v>-0.18699750000000001</v>
      </c>
      <c r="U3511">
        <v>-2.8839110000000001E-2</v>
      </c>
      <c r="V3511" s="1">
        <v>7.2174079999999999E-6</v>
      </c>
      <c r="W3511">
        <v>0.1791517</v>
      </c>
      <c r="X3511">
        <v>0.98382150000000002</v>
      </c>
      <c r="Y3511">
        <v>-2.832776E-2</v>
      </c>
      <c r="Z3511">
        <v>-2.0140980000000002E-3</v>
      </c>
      <c r="AA3511">
        <v>0.9995967</v>
      </c>
      <c r="AB3511">
        <v>21</v>
      </c>
      <c r="AC3511">
        <v>-18.0809999999999</v>
      </c>
      <c r="AD3511">
        <v>-1.1099702557660001</v>
      </c>
      <c r="AE3511">
        <v>-0.174100000000009</v>
      </c>
      <c r="AF3511">
        <v>-0.51673718366320598</v>
      </c>
      <c r="AG3511">
        <v>-1.1099702557660001</v>
      </c>
      <c r="AH3511">
        <v>18.0065444956109</v>
      </c>
      <c r="AI3511">
        <v>93.525949739911397</v>
      </c>
      <c r="AJ3511">
        <v>91.643776594512104</v>
      </c>
      <c r="AK3511">
        <v>18.048121673960399</v>
      </c>
      <c r="AL3511">
        <v>79.679647756422696</v>
      </c>
      <c r="AM3511">
        <v>89.999579672717601</v>
      </c>
      <c r="AN3511">
        <v>1.00000003776361</v>
      </c>
    </row>
    <row r="3512" spans="1:40" x14ac:dyDescent="0.25">
      <c r="A3512" t="str">
        <f>"20190312172732633"</f>
        <v>20190312172732633</v>
      </c>
      <c r="B3512" t="str">
        <f>"1552382852622495"</f>
        <v>1552382852622495</v>
      </c>
      <c r="C3512" t="s">
        <v>40</v>
      </c>
      <c r="D3512">
        <v>3.2614559999999999</v>
      </c>
      <c r="E3512">
        <v>0.48717759999999999</v>
      </c>
      <c r="F3512" t="s">
        <v>41</v>
      </c>
      <c r="G3512">
        <v>-250.82859999999999</v>
      </c>
      <c r="H3512" s="1">
        <v>-4.2017869999999996E-6</v>
      </c>
      <c r="I3512">
        <v>140.78729999999999</v>
      </c>
      <c r="J3512">
        <v>-232.8304</v>
      </c>
      <c r="K3512">
        <v>1.110028</v>
      </c>
      <c r="L3512">
        <v>141.0248</v>
      </c>
      <c r="M3512">
        <v>-0.99983029999999995</v>
      </c>
      <c r="N3512">
        <v>0</v>
      </c>
      <c r="O3512">
        <v>1.7714509999999999E-2</v>
      </c>
      <c r="P3512">
        <v>-0.98471310000000001</v>
      </c>
      <c r="Q3512">
        <v>0.17334769999999999</v>
      </c>
      <c r="R3512">
        <v>1.706531E-2</v>
      </c>
      <c r="S3512">
        <v>-3.0811310000000001</v>
      </c>
      <c r="T3512">
        <v>-0.1878293</v>
      </c>
      <c r="U3512">
        <v>-3.9764399999999998E-2</v>
      </c>
      <c r="V3512">
        <v>-7.6883259999999999E-4</v>
      </c>
      <c r="W3512">
        <v>0.17835790000000001</v>
      </c>
      <c r="X3512">
        <v>0.98396539999999999</v>
      </c>
      <c r="Y3512">
        <v>-3.0526399999999999E-2</v>
      </c>
      <c r="Z3512">
        <v>-2.0084130000000001E-3</v>
      </c>
      <c r="AA3512">
        <v>0.99953190000000003</v>
      </c>
      <c r="AB3512">
        <v>21</v>
      </c>
      <c r="AC3512">
        <v>-17.998199999999901</v>
      </c>
      <c r="AD3512">
        <v>-1.1100322017869999</v>
      </c>
      <c r="AE3512">
        <v>-0.23750000000001101</v>
      </c>
      <c r="AF3512">
        <v>-0.55418846922749598</v>
      </c>
      <c r="AG3512">
        <v>-1.1100322017869999</v>
      </c>
      <c r="AH3512">
        <v>17.923005576810599</v>
      </c>
      <c r="AI3512">
        <v>93.542305623023097</v>
      </c>
      <c r="AJ3512">
        <v>91.771050433883701</v>
      </c>
      <c r="AK3512">
        <v>17.965896171769799</v>
      </c>
      <c r="AL3512">
        <v>79.725873491942394</v>
      </c>
      <c r="AM3512">
        <v>90.044768702402905</v>
      </c>
      <c r="AN3512">
        <v>1.00000001999656</v>
      </c>
    </row>
    <row r="3513" spans="1:40" x14ac:dyDescent="0.25">
      <c r="A3513" t="str">
        <f>"20190312172732654"</f>
        <v>20190312172732654</v>
      </c>
      <c r="B3513" t="str">
        <f>"1552382852642990"</f>
        <v>1552382852642990</v>
      </c>
      <c r="C3513" t="s">
        <v>40</v>
      </c>
      <c r="D3513">
        <v>3.2563650000000002</v>
      </c>
      <c r="E3513">
        <v>0.48674479999999998</v>
      </c>
      <c r="F3513" t="s">
        <v>41</v>
      </c>
      <c r="G3513">
        <v>-250.9639</v>
      </c>
      <c r="H3513" s="1">
        <v>-4.1468239999999997E-6</v>
      </c>
      <c r="I3513">
        <v>140.7371</v>
      </c>
      <c r="J3513">
        <v>-233.03630000000001</v>
      </c>
      <c r="K3513">
        <v>1.110061</v>
      </c>
      <c r="L3513">
        <v>141.02690000000001</v>
      </c>
      <c r="M3513">
        <v>-0.99985389999999996</v>
      </c>
      <c r="N3513">
        <v>0</v>
      </c>
      <c r="O3513">
        <v>1.632403E-2</v>
      </c>
      <c r="P3513">
        <v>-0.98479019999999995</v>
      </c>
      <c r="Q3513">
        <v>0.17309150000000001</v>
      </c>
      <c r="R3513">
        <v>1.5102050000000001E-2</v>
      </c>
      <c r="S3513">
        <v>-3.0806119999999999</v>
      </c>
      <c r="T3513">
        <v>-0.1885782</v>
      </c>
      <c r="U3513">
        <v>-4.8873899999999998E-2</v>
      </c>
      <c r="V3513">
        <v>-1.376967E-3</v>
      </c>
      <c r="W3513">
        <v>0.17811009999999999</v>
      </c>
      <c r="X3513">
        <v>0.98400960000000004</v>
      </c>
      <c r="Y3513">
        <v>-3.2092469999999998E-2</v>
      </c>
      <c r="Z3513">
        <v>-1.9795659999999999E-3</v>
      </c>
      <c r="AA3513">
        <v>0.99948289999999995</v>
      </c>
      <c r="AB3513">
        <v>21</v>
      </c>
      <c r="AC3513">
        <v>-17.927599999999899</v>
      </c>
      <c r="AD3513">
        <v>-1.1100651468239999</v>
      </c>
      <c r="AE3513">
        <v>-0.28980000000001299</v>
      </c>
      <c r="AF3513">
        <v>-0.58019194843903399</v>
      </c>
      <c r="AG3513">
        <v>-1.1100651468239999</v>
      </c>
      <c r="AH3513">
        <v>17.8520534214937</v>
      </c>
      <c r="AI3513">
        <v>93.556276079678</v>
      </c>
      <c r="AJ3513">
        <v>91.861458310929194</v>
      </c>
      <c r="AK3513">
        <v>17.8959402851901</v>
      </c>
      <c r="AL3513">
        <v>79.740302195224999</v>
      </c>
      <c r="AM3513">
        <v>90.080176398820498</v>
      </c>
      <c r="AN3513">
        <v>0.99999999832614395</v>
      </c>
    </row>
    <row r="3514" spans="1:40" x14ac:dyDescent="0.25">
      <c r="A3514" t="str">
        <f>"20190312172732677"</f>
        <v>20190312172732677</v>
      </c>
      <c r="B3514" t="str">
        <f>"1552382852673247"</f>
        <v>1552382852673247</v>
      </c>
      <c r="C3514" t="s">
        <v>40</v>
      </c>
      <c r="D3514">
        <v>3.3540700000000001</v>
      </c>
      <c r="E3514">
        <v>0.4864271</v>
      </c>
      <c r="F3514" t="s">
        <v>41</v>
      </c>
      <c r="G3514">
        <v>-251.26599999999999</v>
      </c>
      <c r="H3514" s="1">
        <v>-4.0131520000000003E-6</v>
      </c>
      <c r="I3514">
        <v>140.68350000000001</v>
      </c>
      <c r="J3514">
        <v>-233.2466</v>
      </c>
      <c r="K3514">
        <v>1.1100669999999999</v>
      </c>
      <c r="L3514">
        <v>141.02869999999999</v>
      </c>
      <c r="M3514">
        <v>-0.99987649999999995</v>
      </c>
      <c r="N3514">
        <v>0</v>
      </c>
      <c r="O3514">
        <v>1.486153E-2</v>
      </c>
      <c r="P3514">
        <v>-0.98472760000000004</v>
      </c>
      <c r="Q3514">
        <v>0.17359820000000001</v>
      </c>
      <c r="R3514">
        <v>1.3238679999999999E-2</v>
      </c>
      <c r="S3514">
        <v>-3.0802</v>
      </c>
      <c r="T3514">
        <v>-0.1875645</v>
      </c>
      <c r="U3514">
        <v>-5.8013919999999997E-2</v>
      </c>
      <c r="V3514">
        <v>-1.8037800000000001E-3</v>
      </c>
      <c r="W3514">
        <v>0.1786229</v>
      </c>
      <c r="X3514">
        <v>0.98391589999999995</v>
      </c>
      <c r="Y3514">
        <v>-3.3598389999999999E-2</v>
      </c>
      <c r="Z3514">
        <v>-1.926E-3</v>
      </c>
      <c r="AA3514">
        <v>0.99943360000000003</v>
      </c>
      <c r="AB3514">
        <v>21</v>
      </c>
      <c r="AC3514">
        <v>-18.019399999999901</v>
      </c>
      <c r="AD3514">
        <v>-1.110071013152</v>
      </c>
      <c r="AE3514">
        <v>-0.34519999999997703</v>
      </c>
      <c r="AF3514">
        <v>-0.61064463199276897</v>
      </c>
      <c r="AG3514">
        <v>-1.110071013152</v>
      </c>
      <c r="AH3514">
        <v>17.944204942574299</v>
      </c>
      <c r="AI3514">
        <v>93.537898738893205</v>
      </c>
      <c r="AJ3514">
        <v>91.949033904718803</v>
      </c>
      <c r="AK3514">
        <v>17.9888753273219</v>
      </c>
      <c r="AL3514">
        <v>79.7104415432607</v>
      </c>
      <c r="AM3514">
        <v>90.105038312105293</v>
      </c>
      <c r="AN3514">
        <v>0.99999994614975196</v>
      </c>
    </row>
    <row r="3515" spans="1:40" x14ac:dyDescent="0.25">
      <c r="A3515" t="str">
        <f>"20190312172732700"</f>
        <v>20190312172732700</v>
      </c>
      <c r="B3515" t="str">
        <f>"1552382852692768"</f>
        <v>1552382852692768</v>
      </c>
      <c r="C3515" t="s">
        <v>40</v>
      </c>
      <c r="D3515">
        <v>3.3691520000000001</v>
      </c>
      <c r="E3515">
        <v>0.48688700000000001</v>
      </c>
      <c r="F3515" t="s">
        <v>41</v>
      </c>
      <c r="G3515">
        <v>-251.7388</v>
      </c>
      <c r="H3515" s="1">
        <v>-3.796999E-6</v>
      </c>
      <c r="I3515">
        <v>140.63339999999999</v>
      </c>
      <c r="J3515">
        <v>-233.47370000000001</v>
      </c>
      <c r="K3515">
        <v>1.110058</v>
      </c>
      <c r="L3515">
        <v>141.03030000000001</v>
      </c>
      <c r="M3515">
        <v>-0.99989890000000003</v>
      </c>
      <c r="N3515">
        <v>0</v>
      </c>
      <c r="O3515">
        <v>1.326447E-2</v>
      </c>
      <c r="P3515">
        <v>-0.98463579999999995</v>
      </c>
      <c r="Q3515">
        <v>0.17423520000000001</v>
      </c>
      <c r="R3515">
        <v>1.1590619999999999E-2</v>
      </c>
      <c r="S3515">
        <v>-3.079987</v>
      </c>
      <c r="T3515">
        <v>-0.18488959999999999</v>
      </c>
      <c r="U3515">
        <v>-6.5826419999999997E-2</v>
      </c>
      <c r="V3515">
        <v>-1.876279E-3</v>
      </c>
      <c r="W3515">
        <v>0.1792638</v>
      </c>
      <c r="X3515">
        <v>0.98379930000000004</v>
      </c>
      <c r="Y3515">
        <v>-3.4541139999999998E-2</v>
      </c>
      <c r="Z3515">
        <v>-1.831163E-3</v>
      </c>
      <c r="AA3515">
        <v>0.9994016</v>
      </c>
      <c r="AB3515">
        <v>21</v>
      </c>
      <c r="AC3515">
        <v>-18.265099999999901</v>
      </c>
      <c r="AD3515">
        <v>-1.1100617969990001</v>
      </c>
      <c r="AE3515">
        <v>-0.39690000000001602</v>
      </c>
      <c r="AF3515">
        <v>-0.63679417647376502</v>
      </c>
      <c r="AG3515">
        <v>-1.1100617969990001</v>
      </c>
      <c r="AH3515">
        <v>18.191069437467402</v>
      </c>
      <c r="AI3515">
        <v>93.489860654429506</v>
      </c>
      <c r="AJ3515">
        <v>92.004869835357695</v>
      </c>
      <c r="AK3515">
        <v>18.236028934368001</v>
      </c>
      <c r="AL3515">
        <v>79.673119302514806</v>
      </c>
      <c r="AM3515">
        <v>90.1092730372429</v>
      </c>
      <c r="AN3515">
        <v>1.0000000465468999</v>
      </c>
    </row>
    <row r="3516" spans="1:40" x14ac:dyDescent="0.25">
      <c r="A3516" t="str">
        <f>"20190312172732723"</f>
        <v>20190312172732723</v>
      </c>
      <c r="B3516" t="str">
        <f>"1552382852713263"</f>
        <v>1552382852713263</v>
      </c>
      <c r="C3516" t="s">
        <v>40</v>
      </c>
      <c r="D3516">
        <v>3.361075</v>
      </c>
      <c r="E3516">
        <v>0.48743930000000002</v>
      </c>
      <c r="F3516" t="s">
        <v>41</v>
      </c>
      <c r="G3516">
        <v>-251.81</v>
      </c>
      <c r="H3516" s="1">
        <v>-3.765133E-6</v>
      </c>
      <c r="I3516">
        <v>140.62860000000001</v>
      </c>
      <c r="J3516">
        <v>-233.69049999999999</v>
      </c>
      <c r="K3516">
        <v>1.1100350000000001</v>
      </c>
      <c r="L3516">
        <v>141.03149999999999</v>
      </c>
      <c r="M3516">
        <v>-0.99991799999999997</v>
      </c>
      <c r="N3516">
        <v>0</v>
      </c>
      <c r="O3516">
        <v>1.174307E-2</v>
      </c>
      <c r="P3516">
        <v>-0.98462249999999996</v>
      </c>
      <c r="Q3516">
        <v>0.17438509999999999</v>
      </c>
      <c r="R3516">
        <v>1.0427519999999999E-2</v>
      </c>
      <c r="S3516">
        <v>-3.0806269999999998</v>
      </c>
      <c r="T3516">
        <v>-0.1864982</v>
      </c>
      <c r="U3516">
        <v>-6.748962E-2</v>
      </c>
      <c r="V3516">
        <v>-1.534721E-3</v>
      </c>
      <c r="W3516">
        <v>0.17941770000000001</v>
      </c>
      <c r="X3516">
        <v>0.98377179999999997</v>
      </c>
      <c r="Y3516">
        <v>-3.3558499999999998E-2</v>
      </c>
      <c r="Z3516">
        <v>-1.7249469999999999E-3</v>
      </c>
      <c r="AA3516">
        <v>0.99943519999999997</v>
      </c>
      <c r="AB3516">
        <v>21</v>
      </c>
      <c r="AC3516">
        <v>-18.119499999999999</v>
      </c>
      <c r="AD3516">
        <v>-1.1100387651329999</v>
      </c>
      <c r="AE3516">
        <v>-0.40289999999998799</v>
      </c>
      <c r="AF3516">
        <v>-0.61335274800148398</v>
      </c>
      <c r="AG3516">
        <v>-1.1100387651329999</v>
      </c>
      <c r="AH3516">
        <v>18.0458258999695</v>
      </c>
      <c r="AI3516">
        <v>93.517929056864304</v>
      </c>
      <c r="AJ3516">
        <v>91.946655190866096</v>
      </c>
      <c r="AK3516">
        <v>18.090334990419301</v>
      </c>
      <c r="AL3516">
        <v>79.664155786136604</v>
      </c>
      <c r="AM3516">
        <v>90.089383497977295</v>
      </c>
      <c r="AN3516">
        <v>1.00000001045853</v>
      </c>
    </row>
    <row r="3517" spans="1:40" x14ac:dyDescent="0.25">
      <c r="A3517" t="str">
        <f>"20190312172732745"</f>
        <v>20190312172732745</v>
      </c>
      <c r="B3517" t="str">
        <f>"1552382852742542"</f>
        <v>1552382852742542</v>
      </c>
      <c r="C3517" t="s">
        <v>40</v>
      </c>
      <c r="D3517">
        <v>3.352789</v>
      </c>
      <c r="E3517">
        <v>0.48820069999999999</v>
      </c>
      <c r="F3517" t="s">
        <v>41</v>
      </c>
      <c r="G3517">
        <v>-251.67490000000001</v>
      </c>
      <c r="H3517" s="1">
        <v>-3.8250279999999997E-6</v>
      </c>
      <c r="I3517">
        <v>140.63579999999999</v>
      </c>
      <c r="J3517">
        <v>-233.90860000000001</v>
      </c>
      <c r="K3517">
        <v>1.110012</v>
      </c>
      <c r="L3517">
        <v>141.0324</v>
      </c>
      <c r="M3517">
        <v>-0.99993469999999995</v>
      </c>
      <c r="N3517">
        <v>0</v>
      </c>
      <c r="O3517">
        <v>1.022961E-2</v>
      </c>
      <c r="P3517">
        <v>-0.98485330000000004</v>
      </c>
      <c r="Q3517">
        <v>0.17314060000000001</v>
      </c>
      <c r="R3517">
        <v>9.3026889999999994E-3</v>
      </c>
      <c r="S3517">
        <v>-3.0812680000000001</v>
      </c>
      <c r="T3517">
        <v>-0.1901833</v>
      </c>
      <c r="U3517">
        <v>-6.7779539999999999E-2</v>
      </c>
      <c r="V3517">
        <v>-1.162054E-3</v>
      </c>
      <c r="W3517">
        <v>0.178176799999999</v>
      </c>
      <c r="X3517">
        <v>0.98399780000000003</v>
      </c>
      <c r="Y3517">
        <v>-3.2137489999999998E-2</v>
      </c>
      <c r="Z3517">
        <v>-1.6214770000000001E-3</v>
      </c>
      <c r="AA3517">
        <v>0.99948219999999999</v>
      </c>
      <c r="AB3517">
        <v>22</v>
      </c>
      <c r="AC3517">
        <v>-17.766300000000001</v>
      </c>
      <c r="AD3517">
        <v>-1.1100158250279999</v>
      </c>
      <c r="AE3517">
        <v>-0.396600000000006</v>
      </c>
      <c r="AF3517">
        <v>-0.57607627981463205</v>
      </c>
      <c r="AG3517">
        <v>-1.1100158250279999</v>
      </c>
      <c r="AH3517">
        <v>17.692284208479599</v>
      </c>
      <c r="AI3517">
        <v>93.588141207787999</v>
      </c>
      <c r="AJ3517">
        <v>91.864941905612795</v>
      </c>
      <c r="AK3517">
        <v>17.736429165015</v>
      </c>
      <c r="AL3517">
        <v>79.736418424480604</v>
      </c>
      <c r="AM3517">
        <v>90.067663524058702</v>
      </c>
      <c r="AN3517">
        <v>0.99999999641628901</v>
      </c>
    </row>
    <row r="3518" spans="1:40" x14ac:dyDescent="0.25">
      <c r="A3518" t="str">
        <f>"20190312172732765"</f>
        <v>20190312172732765</v>
      </c>
      <c r="B3518" t="str">
        <f>"1552382852763039"</f>
        <v>1552382852763039</v>
      </c>
      <c r="C3518" t="s">
        <v>40</v>
      </c>
      <c r="D3518">
        <v>3.3420000000000001</v>
      </c>
      <c r="E3518">
        <v>0.48869370000000001</v>
      </c>
      <c r="F3518" t="s">
        <v>41</v>
      </c>
      <c r="G3518">
        <v>-250.97810000000001</v>
      </c>
      <c r="H3518" s="1">
        <v>-4.1298739999999998E-6</v>
      </c>
      <c r="I3518">
        <v>140.6687</v>
      </c>
      <c r="J3518">
        <v>-234.10669999999999</v>
      </c>
      <c r="K3518">
        <v>1.1099889999999999</v>
      </c>
      <c r="L3518">
        <v>141.03290000000001</v>
      </c>
      <c r="M3518">
        <v>-0.99994749999999999</v>
      </c>
      <c r="N3518">
        <v>0</v>
      </c>
      <c r="O3518">
        <v>8.8720450000000003E-3</v>
      </c>
      <c r="P3518">
        <v>-0.98522509999999996</v>
      </c>
      <c r="Q3518">
        <v>0.1710701</v>
      </c>
      <c r="R3518">
        <v>8.1648339999999993E-3</v>
      </c>
      <c r="S3518">
        <v>-3.0820159999999999</v>
      </c>
      <c r="T3518">
        <v>-0.2004215</v>
      </c>
      <c r="U3518">
        <v>-6.5658569999999999E-2</v>
      </c>
      <c r="V3518">
        <v>-9.5643370000000004E-4</v>
      </c>
      <c r="W3518">
        <v>0.17610770000000001</v>
      </c>
      <c r="X3518">
        <v>0.98437050000000004</v>
      </c>
      <c r="Y3518">
        <v>-3.0086000000000002E-2</v>
      </c>
      <c r="Z3518">
        <v>-1.5533789999999999E-3</v>
      </c>
      <c r="AA3518">
        <v>0.99954609999999999</v>
      </c>
      <c r="AB3518">
        <v>22</v>
      </c>
      <c r="AC3518">
        <v>-16.871400000000001</v>
      </c>
      <c r="AD3518">
        <v>-1.10999312987399</v>
      </c>
      <c r="AE3518">
        <v>-0.36420000000001002</v>
      </c>
      <c r="AF3518">
        <v>-0.511657769106586</v>
      </c>
      <c r="AG3518">
        <v>-1.10999312987399</v>
      </c>
      <c r="AH3518">
        <v>16.794841960964298</v>
      </c>
      <c r="AI3518">
        <v>93.779505583005005</v>
      </c>
      <c r="AJ3518">
        <v>91.744986123584795</v>
      </c>
      <c r="AK3518">
        <v>16.8392575523632</v>
      </c>
      <c r="AL3518">
        <v>79.856874763658098</v>
      </c>
      <c r="AM3518">
        <v>90.055669686515003</v>
      </c>
      <c r="AN3518">
        <v>1.00000005901747</v>
      </c>
    </row>
    <row r="3519" spans="1:40" x14ac:dyDescent="0.25">
      <c r="A3519" t="str">
        <f>"20190312172732789"</f>
        <v>20190312172732789</v>
      </c>
      <c r="B3519" t="str">
        <f>"1552382852782559"</f>
        <v>1552382852782559</v>
      </c>
      <c r="C3519" t="s">
        <v>40</v>
      </c>
      <c r="D3519">
        <v>3.3611040000000001</v>
      </c>
      <c r="E3519">
        <v>0.48917630000000001</v>
      </c>
      <c r="F3519" t="s">
        <v>41</v>
      </c>
      <c r="G3519">
        <v>-250.32599999999999</v>
      </c>
      <c r="H3519" s="1">
        <v>-4.3552189999999997E-6</v>
      </c>
      <c r="I3519">
        <v>140.68799999999999</v>
      </c>
      <c r="J3519">
        <v>-234.33580000000001</v>
      </c>
      <c r="K3519">
        <v>1.10997099999999</v>
      </c>
      <c r="L3519">
        <v>141.03319999999999</v>
      </c>
      <c r="M3519">
        <v>-0.99996010000000002</v>
      </c>
      <c r="N3519">
        <v>0</v>
      </c>
      <c r="O3519">
        <v>7.3222369999999997E-3</v>
      </c>
      <c r="P3519">
        <v>-0.98553060000000003</v>
      </c>
      <c r="Q3519">
        <v>0.16933989999999999</v>
      </c>
      <c r="R3519">
        <v>7.3331369999999896E-3</v>
      </c>
      <c r="S3519">
        <v>-3.0821839999999998</v>
      </c>
      <c r="T3519">
        <v>-0.2109354</v>
      </c>
      <c r="U3519">
        <v>-6.5521239999999994E-2</v>
      </c>
      <c r="V3519">
        <v>-2.5619199999999998E-4</v>
      </c>
      <c r="W3519">
        <v>0.17437820000000001</v>
      </c>
      <c r="X3519">
        <v>0.98467870000000002</v>
      </c>
      <c r="Y3519">
        <v>-2.8489629999999998E-2</v>
      </c>
      <c r="Z3519">
        <v>-1.4741070000000001E-3</v>
      </c>
      <c r="AA3519">
        <v>0.99959299999999995</v>
      </c>
      <c r="AB3519">
        <v>22</v>
      </c>
      <c r="AC3519">
        <v>-15.9901999999999</v>
      </c>
      <c r="AD3519">
        <v>-1.1099753552189999</v>
      </c>
      <c r="AE3519">
        <v>-0.345200000000005</v>
      </c>
      <c r="AF3519">
        <v>-0.46006050788665898</v>
      </c>
      <c r="AG3519">
        <v>-1.1099753552189999</v>
      </c>
      <c r="AH3519">
        <v>15.9106128422995</v>
      </c>
      <c r="AI3519">
        <v>93.989009692057195</v>
      </c>
      <c r="AJ3519">
        <v>91.656264469709996</v>
      </c>
      <c r="AK3519">
        <v>15.9559174596028</v>
      </c>
      <c r="AL3519">
        <v>79.957524589313095</v>
      </c>
      <c r="AM3519">
        <v>90.014907116416495</v>
      </c>
      <c r="AN3519">
        <v>0.999999982251635</v>
      </c>
    </row>
    <row r="3520" spans="1:40" x14ac:dyDescent="0.25">
      <c r="A3520" t="str">
        <f>"20190312172732810"</f>
        <v>20190312172732810</v>
      </c>
      <c r="B3520" t="str">
        <f>"1552382852803055"</f>
        <v>1552382852803055</v>
      </c>
      <c r="C3520" t="s">
        <v>40</v>
      </c>
      <c r="D3520">
        <v>3.3414929999999998</v>
      </c>
      <c r="E3520">
        <v>0.48962309999999998</v>
      </c>
      <c r="F3520" t="s">
        <v>41</v>
      </c>
      <c r="G3520">
        <v>-249.87880000000001</v>
      </c>
      <c r="H3520" s="1">
        <v>-3.2478469999999998E-7</v>
      </c>
      <c r="I3520">
        <v>140.708</v>
      </c>
      <c r="J3520">
        <v>-234.55410000000001</v>
      </c>
      <c r="K3520">
        <v>1.1099509999999999</v>
      </c>
      <c r="L3520">
        <v>141.03319999999999</v>
      </c>
      <c r="M3520">
        <v>-0.99996989999999997</v>
      </c>
      <c r="N3520">
        <v>0</v>
      </c>
      <c r="O3520">
        <v>5.8624569999999997E-3</v>
      </c>
      <c r="P3520">
        <v>-0.98565020000000003</v>
      </c>
      <c r="Q3520">
        <v>0.16867960000000001</v>
      </c>
      <c r="R3520">
        <v>6.4071149999999997E-3</v>
      </c>
      <c r="S3520">
        <v>-3.0823670000000001</v>
      </c>
      <c r="T3520">
        <v>-0.2201207</v>
      </c>
      <c r="U3520">
        <v>-6.4483639999999995E-2</v>
      </c>
      <c r="V3520">
        <v>2.5865870000000001E-4</v>
      </c>
      <c r="W3520">
        <v>0.17371420000000001</v>
      </c>
      <c r="X3520">
        <v>0.98479609999999995</v>
      </c>
      <c r="Y3520">
        <v>-2.669361E-2</v>
      </c>
      <c r="Z3520">
        <v>-1.369905E-3</v>
      </c>
      <c r="AA3520">
        <v>0.9996427</v>
      </c>
      <c r="AB3520">
        <v>22</v>
      </c>
      <c r="AC3520">
        <v>-15.3247</v>
      </c>
      <c r="AD3520">
        <v>-1.1099513247846999</v>
      </c>
      <c r="AE3520">
        <v>-0.32519999999999499</v>
      </c>
      <c r="AF3520">
        <v>-0.41287104189996499</v>
      </c>
      <c r="AG3520">
        <v>-1.1099513247846999</v>
      </c>
      <c r="AH3520">
        <v>15.2426042492585</v>
      </c>
      <c r="AI3520">
        <v>94.163349019788498</v>
      </c>
      <c r="AJ3520">
        <v>91.551571177548993</v>
      </c>
      <c r="AK3520">
        <v>15.288539457389099</v>
      </c>
      <c r="AL3520">
        <v>79.996159066860002</v>
      </c>
      <c r="AM3520">
        <v>89.984951147244004</v>
      </c>
      <c r="AN3520">
        <v>1.00000002438058</v>
      </c>
    </row>
    <row r="3521" spans="1:40" x14ac:dyDescent="0.25">
      <c r="A3521" t="str">
        <f>"20190312172732834"</f>
        <v>20190312172732834</v>
      </c>
      <c r="B3521" t="str">
        <f>"1552382852822579"</f>
        <v>1552382852822579</v>
      </c>
      <c r="C3521" t="s">
        <v>40</v>
      </c>
      <c r="D3521">
        <v>3.3605019999999999</v>
      </c>
      <c r="E3521">
        <v>0.49005989999999999</v>
      </c>
      <c r="F3521" t="s">
        <v>41</v>
      </c>
      <c r="G3521">
        <v>-249.7107</v>
      </c>
      <c r="H3521" s="1">
        <v>-3.993877E-7</v>
      </c>
      <c r="I3521">
        <v>140.71719999999999</v>
      </c>
      <c r="J3521">
        <v>-234.77979999999999</v>
      </c>
      <c r="K3521">
        <v>1.10995</v>
      </c>
      <c r="L3521">
        <v>141.03280000000001</v>
      </c>
      <c r="M3521">
        <v>-0.99997749999999996</v>
      </c>
      <c r="N3521">
        <v>0</v>
      </c>
      <c r="O3521">
        <v>4.3654089999999998E-3</v>
      </c>
      <c r="P3521">
        <v>-0.98554200000000003</v>
      </c>
      <c r="Q3521">
        <v>0.16931479999999999</v>
      </c>
      <c r="R3521">
        <v>6.3049250000000003E-3</v>
      </c>
      <c r="S3521">
        <v>-3.0827330000000002</v>
      </c>
      <c r="T3521">
        <v>-0.22575619999999999</v>
      </c>
      <c r="U3521">
        <v>-6.4254759999999994E-2</v>
      </c>
      <c r="V3521">
        <v>1.6315590000000001E-3</v>
      </c>
      <c r="W3521">
        <v>0.17434430000000001</v>
      </c>
      <c r="X3521">
        <v>0.98468339999999999</v>
      </c>
      <c r="Y3521">
        <v>-2.5124299999999999E-2</v>
      </c>
      <c r="Z3521">
        <v>-1.2378619999999999E-3</v>
      </c>
      <c r="AA3521">
        <v>0.99968360000000001</v>
      </c>
      <c r="AB3521">
        <v>22</v>
      </c>
      <c r="AC3521">
        <v>-14.930899999999999</v>
      </c>
      <c r="AD3521">
        <v>-1.1099503993877</v>
      </c>
      <c r="AE3521">
        <v>-0.31560000000001698</v>
      </c>
      <c r="AF3521">
        <v>-0.37868552480697598</v>
      </c>
      <c r="AG3521">
        <v>-1.1099503993877</v>
      </c>
      <c r="AH3521">
        <v>14.847365499631399</v>
      </c>
      <c r="AI3521">
        <v>94.273945952394001</v>
      </c>
      <c r="AJ3521">
        <v>91.461025486100397</v>
      </c>
      <c r="AK3521">
        <v>14.8936112106985</v>
      </c>
      <c r="AL3521">
        <v>79.959497287687</v>
      </c>
      <c r="AM3521">
        <v>89.905064552548097</v>
      </c>
      <c r="AN3521">
        <v>0.99999999758141001</v>
      </c>
    </row>
    <row r="3522" spans="1:40" x14ac:dyDescent="0.25">
      <c r="A3522" t="str">
        <f>"20190312172732855"</f>
        <v>20190312172732855</v>
      </c>
      <c r="B3522" t="str">
        <f>"1552382852852831"</f>
        <v>1552382852852831</v>
      </c>
      <c r="C3522" t="s">
        <v>40</v>
      </c>
      <c r="D3522">
        <v>3.3617780000000002</v>
      </c>
      <c r="E3522">
        <v>0.49067490000000002</v>
      </c>
      <c r="F3522" t="s">
        <v>41</v>
      </c>
      <c r="G3522">
        <v>-249.8425</v>
      </c>
      <c r="H3522" s="1">
        <v>-3.46464E-7</v>
      </c>
      <c r="I3522">
        <v>140.73089999999999</v>
      </c>
      <c r="J3522">
        <v>-234.9924</v>
      </c>
      <c r="K3522">
        <v>1.1099460000000001</v>
      </c>
      <c r="L3522">
        <v>141.03219999999999</v>
      </c>
      <c r="M3522">
        <v>-0.9999827</v>
      </c>
      <c r="N3522">
        <v>0</v>
      </c>
      <c r="O3522">
        <v>2.9696380000000001E-3</v>
      </c>
      <c r="P3522">
        <v>-0.98539869999999996</v>
      </c>
      <c r="Q3522">
        <v>0.17015130000000001</v>
      </c>
      <c r="R3522">
        <v>6.1843890000000002E-3</v>
      </c>
      <c r="S3522">
        <v>-3.08345</v>
      </c>
      <c r="T3522">
        <v>-0.22721549999999999</v>
      </c>
      <c r="U3522">
        <v>-6.1798100000000002E-2</v>
      </c>
      <c r="V3522">
        <v>2.8860740000000002E-3</v>
      </c>
      <c r="W3522">
        <v>0.17517489999999999</v>
      </c>
      <c r="X3522">
        <v>0.98453310000000005</v>
      </c>
      <c r="Y3522">
        <v>-2.2936620000000001E-2</v>
      </c>
      <c r="Z3522">
        <v>-1.062372E-3</v>
      </c>
      <c r="AA3522">
        <v>0.99973639999999997</v>
      </c>
      <c r="AB3522">
        <v>22</v>
      </c>
      <c r="AC3522">
        <v>-14.8500999999999</v>
      </c>
      <c r="AD3522">
        <v>-1.10994634646399</v>
      </c>
      <c r="AE3522">
        <v>-0.30129999999999701</v>
      </c>
      <c r="AF3522">
        <v>-0.34348057262391501</v>
      </c>
      <c r="AG3522">
        <v>-1.10994634646399</v>
      </c>
      <c r="AH3522">
        <v>14.7666786228221</v>
      </c>
      <c r="AI3522">
        <v>94.297430607139503</v>
      </c>
      <c r="AJ3522">
        <v>91.332489147631506</v>
      </c>
      <c r="AK3522">
        <v>14.8123177573771</v>
      </c>
      <c r="AL3522">
        <v>79.911163635714004</v>
      </c>
      <c r="AM3522">
        <v>89.832042837453798</v>
      </c>
      <c r="AN3522">
        <v>1.0000000000043701</v>
      </c>
    </row>
    <row r="3523" spans="1:40" x14ac:dyDescent="0.25">
      <c r="A3523" t="str">
        <f>"20190312172732878"</f>
        <v>20190312172732878</v>
      </c>
      <c r="B3523" t="str">
        <f>"1552382852872351"</f>
        <v>1552382852872351</v>
      </c>
      <c r="C3523" t="s">
        <v>40</v>
      </c>
      <c r="D3523">
        <v>3.3700260000000002</v>
      </c>
      <c r="E3523">
        <v>0.49107960000000001</v>
      </c>
      <c r="F3523" t="s">
        <v>41</v>
      </c>
      <c r="G3523">
        <v>-249.92259999999999</v>
      </c>
      <c r="H3523" s="1">
        <v>-3.1810410000000002E-7</v>
      </c>
      <c r="I3523">
        <v>140.7534</v>
      </c>
      <c r="J3523">
        <v>-235.21950000000001</v>
      </c>
      <c r="K3523">
        <v>1.109939</v>
      </c>
      <c r="L3523">
        <v>141.03120000000001</v>
      </c>
      <c r="M3523">
        <v>-0.99998589999999998</v>
      </c>
      <c r="N3523">
        <v>0</v>
      </c>
      <c r="O3523">
        <v>1.5031039999999999E-3</v>
      </c>
      <c r="P3523">
        <v>-0.98524</v>
      </c>
      <c r="Q3523">
        <v>0.1710816</v>
      </c>
      <c r="R3523">
        <v>5.7665800000000003E-3</v>
      </c>
      <c r="S3523">
        <v>-3.0844119999999999</v>
      </c>
      <c r="T3523">
        <v>-0.22930410000000001</v>
      </c>
      <c r="U3523">
        <v>-5.758667E-2</v>
      </c>
      <c r="V3523">
        <v>3.9150319999999997E-3</v>
      </c>
      <c r="W3523">
        <v>0.1761006</v>
      </c>
      <c r="X3523">
        <v>0.98436440000000003</v>
      </c>
      <c r="Y3523">
        <v>-2.0110200000000002E-2</v>
      </c>
      <c r="Z3523">
        <v>-8.5801349999999998E-4</v>
      </c>
      <c r="AA3523">
        <v>0.99979739999999995</v>
      </c>
      <c r="AB3523">
        <v>22</v>
      </c>
      <c r="AC3523">
        <v>-14.7030999999999</v>
      </c>
      <c r="AD3523">
        <v>-1.1099393181041</v>
      </c>
      <c r="AE3523">
        <v>-0.27780000000001298</v>
      </c>
      <c r="AF3523">
        <v>-0.29820148786107198</v>
      </c>
      <c r="AG3523">
        <v>-1.1099393181041</v>
      </c>
      <c r="AH3523">
        <v>14.6193831426824</v>
      </c>
      <c r="AI3523">
        <v>94.340806811277204</v>
      </c>
      <c r="AJ3523">
        <v>91.168538886789804</v>
      </c>
      <c r="AK3523">
        <v>14.664489520258901</v>
      </c>
      <c r="AL3523">
        <v>79.857287523848399</v>
      </c>
      <c r="AM3523">
        <v>89.772123384883798</v>
      </c>
      <c r="AN3523">
        <v>1.00000001039164</v>
      </c>
    </row>
    <row r="3524" spans="1:40" x14ac:dyDescent="0.25">
      <c r="A3524" t="str">
        <f>"20190312172732901"</f>
        <v>20190312172732901</v>
      </c>
      <c r="B3524" t="str">
        <f>"1552382852892847"</f>
        <v>1552382852892847</v>
      </c>
      <c r="C3524" t="s">
        <v>40</v>
      </c>
      <c r="D3524">
        <v>3.3627199999999902</v>
      </c>
      <c r="E3524">
        <v>0.4914635</v>
      </c>
      <c r="F3524" t="s">
        <v>41</v>
      </c>
      <c r="G3524">
        <v>-250.1508</v>
      </c>
      <c r="H3524" s="1">
        <v>-4.4281409999999997E-6</v>
      </c>
      <c r="I3524">
        <v>140.76310000000001</v>
      </c>
      <c r="J3524">
        <v>-235.4597</v>
      </c>
      <c r="K3524">
        <v>1.109917</v>
      </c>
      <c r="L3524">
        <v>141.0299</v>
      </c>
      <c r="M3524">
        <v>-0.99998710000000002</v>
      </c>
      <c r="N3524">
        <v>0</v>
      </c>
      <c r="O3524" s="1">
        <v>-1.002064E-5</v>
      </c>
      <c r="P3524">
        <v>-0.98514789999999997</v>
      </c>
      <c r="Q3524">
        <v>0.1716201</v>
      </c>
      <c r="R3524">
        <v>5.5063000000000004E-3</v>
      </c>
      <c r="S3524">
        <v>-3.0850680000000001</v>
      </c>
      <c r="T3524">
        <v>-0.22933480000000001</v>
      </c>
      <c r="U3524">
        <v>-5.5389399999999998E-2</v>
      </c>
      <c r="V3524">
        <v>5.1519909999999999E-3</v>
      </c>
      <c r="W3524">
        <v>0.1766366</v>
      </c>
      <c r="X3524">
        <v>0.98426259999999999</v>
      </c>
      <c r="Y3524">
        <v>-1.7891799999999999E-2</v>
      </c>
      <c r="Z3524">
        <v>-6.6329829999999998E-4</v>
      </c>
      <c r="AA3524">
        <v>0.9998397</v>
      </c>
      <c r="AB3524">
        <v>22</v>
      </c>
      <c r="AC3524">
        <v>-14.6911</v>
      </c>
      <c r="AD3524">
        <v>-1.1099214281409999</v>
      </c>
      <c r="AE3524">
        <v>-0.26679999999998899</v>
      </c>
      <c r="AF3524">
        <v>-0.265139892626163</v>
      </c>
      <c r="AG3524">
        <v>-1.1099214281409999</v>
      </c>
      <c r="AH3524">
        <v>14.6077506815953</v>
      </c>
      <c r="AI3524">
        <v>94.3443678678087</v>
      </c>
      <c r="AJ3524">
        <v>91.039840372655604</v>
      </c>
      <c r="AK3524">
        <v>14.652255959918101</v>
      </c>
      <c r="AL3524">
        <v>79.826087271564603</v>
      </c>
      <c r="AM3524">
        <v>89.700095640606406</v>
      </c>
      <c r="AN3524">
        <v>0.99999994861479002</v>
      </c>
    </row>
    <row r="3525" spans="1:40" x14ac:dyDescent="0.25">
      <c r="A3525" t="str">
        <f>"20190312172732925"</f>
        <v>20190312172732925</v>
      </c>
      <c r="B3525" t="str">
        <f>"1552382852912367"</f>
        <v>1552382852912367</v>
      </c>
      <c r="C3525" t="s">
        <v>40</v>
      </c>
      <c r="D3525">
        <v>3.3324569999999998</v>
      </c>
      <c r="E3525">
        <v>0.49183759999999999</v>
      </c>
      <c r="F3525" t="s">
        <v>41</v>
      </c>
      <c r="G3525">
        <v>-250.3185</v>
      </c>
      <c r="H3525" s="1">
        <v>-4.3733890000000003E-6</v>
      </c>
      <c r="I3525">
        <v>140.77610000000001</v>
      </c>
      <c r="J3525">
        <v>-235.68799999999999</v>
      </c>
      <c r="K3525">
        <v>1.1098920000000001</v>
      </c>
      <c r="L3525">
        <v>141.0283</v>
      </c>
      <c r="M3525">
        <v>-0.99998620000000005</v>
      </c>
      <c r="N3525">
        <v>0</v>
      </c>
      <c r="O3525">
        <v>-1.3989180000000001E-3</v>
      </c>
      <c r="P3525">
        <v>-0.98508899999999999</v>
      </c>
      <c r="Q3525">
        <v>0.17197889999999999</v>
      </c>
      <c r="R3525">
        <v>4.8262239999999996E-3</v>
      </c>
      <c r="S3525">
        <v>-3.085693</v>
      </c>
      <c r="T3525">
        <v>-0.2304966</v>
      </c>
      <c r="U3525">
        <v>-5.2688600000000002E-2</v>
      </c>
      <c r="V3525">
        <v>5.8512340000000003E-3</v>
      </c>
      <c r="W3525">
        <v>0.1769947</v>
      </c>
      <c r="X3525">
        <v>0.98419440000000002</v>
      </c>
      <c r="Y3525">
        <v>-1.5634240000000001E-2</v>
      </c>
      <c r="Z3525">
        <v>-4.7872719999999999E-4</v>
      </c>
      <c r="AA3525">
        <v>0.99987769999999998</v>
      </c>
      <c r="AB3525">
        <v>23</v>
      </c>
      <c r="AC3525">
        <v>-14.6305</v>
      </c>
      <c r="AD3525">
        <v>-1.1098963733889999</v>
      </c>
      <c r="AE3525">
        <v>-0.25219999999998699</v>
      </c>
      <c r="AF3525">
        <v>-0.230407018843656</v>
      </c>
      <c r="AG3525">
        <v>-1.1098963733889999</v>
      </c>
      <c r="AH3525">
        <v>14.547144318206501</v>
      </c>
      <c r="AI3525">
        <v>94.3624702633645</v>
      </c>
      <c r="AJ3525">
        <v>90.907411497337193</v>
      </c>
      <c r="AK3525">
        <v>14.591242756143901</v>
      </c>
      <c r="AL3525">
        <v>79.805241615620801</v>
      </c>
      <c r="AM3525">
        <v>89.659369060254207</v>
      </c>
      <c r="AN3525">
        <v>0.99999998887938601</v>
      </c>
    </row>
    <row r="3526" spans="1:40" x14ac:dyDescent="0.25">
      <c r="A3526" t="str">
        <f>"20190312172732947"</f>
        <v>20190312172732947</v>
      </c>
      <c r="B3526" t="str">
        <f>"1552382852942623"</f>
        <v>1552382852942623</v>
      </c>
      <c r="C3526" t="s">
        <v>40</v>
      </c>
      <c r="D3526">
        <v>3.4129450000000001</v>
      </c>
      <c r="E3526">
        <v>0.4923439</v>
      </c>
      <c r="F3526" t="s">
        <v>41</v>
      </c>
      <c r="G3526">
        <v>-250.44220000000001</v>
      </c>
      <c r="H3526" s="1">
        <v>-4.3324469999999996E-6</v>
      </c>
      <c r="I3526">
        <v>140.78270000000001</v>
      </c>
      <c r="J3526">
        <v>-235.91929999999999</v>
      </c>
      <c r="K3526">
        <v>1.109858</v>
      </c>
      <c r="L3526">
        <v>141.0264</v>
      </c>
      <c r="M3526">
        <v>-0.99998350000000003</v>
      </c>
      <c r="N3526">
        <v>0</v>
      </c>
      <c r="O3526">
        <v>-2.74135E-3</v>
      </c>
      <c r="P3526">
        <v>-0.9849793</v>
      </c>
      <c r="Q3526">
        <v>0.1726307</v>
      </c>
      <c r="R3526">
        <v>3.8672020000000001E-3</v>
      </c>
      <c r="S3526">
        <v>-3.0862120000000002</v>
      </c>
      <c r="T3526">
        <v>-0.23216349999999999</v>
      </c>
      <c r="U3526">
        <v>-5.1345830000000002E-2</v>
      </c>
      <c r="V3526">
        <v>6.2298049999999997E-3</v>
      </c>
      <c r="W3526">
        <v>0.17764469999999999</v>
      </c>
      <c r="X3526">
        <v>0.98407500000000003</v>
      </c>
      <c r="Y3526">
        <v>-1.3862380000000001E-2</v>
      </c>
      <c r="Z3526">
        <v>-3.1471750000000001E-4</v>
      </c>
      <c r="AA3526">
        <v>0.99990389999999996</v>
      </c>
      <c r="AB3526">
        <v>23</v>
      </c>
      <c r="AC3526">
        <v>-14.5229</v>
      </c>
      <c r="AD3526">
        <v>-1.1098623324470001</v>
      </c>
      <c r="AE3526">
        <v>-0.24369999999998901</v>
      </c>
      <c r="AF3526">
        <v>-0.202702723464074</v>
      </c>
      <c r="AG3526">
        <v>-1.1098623324470001</v>
      </c>
      <c r="AH3526">
        <v>14.4392086367618</v>
      </c>
      <c r="AI3526">
        <v>94.3949366562004</v>
      </c>
      <c r="AJ3526">
        <v>90.804285607850503</v>
      </c>
      <c r="AK3526">
        <v>14.4832188703692</v>
      </c>
      <c r="AL3526">
        <v>79.7674000904167</v>
      </c>
      <c r="AM3526">
        <v>89.637287030509</v>
      </c>
      <c r="AN3526">
        <v>1.00000002776671</v>
      </c>
    </row>
    <row r="3527" spans="1:40" x14ac:dyDescent="0.25">
      <c r="A3527" t="str">
        <f>"20190312172732967"</f>
        <v>20190312172732967</v>
      </c>
      <c r="B3527" t="str">
        <f>"1552382852963119"</f>
        <v>1552382852963119</v>
      </c>
      <c r="C3527" t="s">
        <v>40</v>
      </c>
      <c r="D3527">
        <v>3.3266849999999999</v>
      </c>
      <c r="E3527">
        <v>0.49266399999999999</v>
      </c>
      <c r="F3527" t="s">
        <v>41</v>
      </c>
      <c r="G3527">
        <v>-250.54939999999999</v>
      </c>
      <c r="H3527" s="1">
        <v>-4.2969520000000001E-6</v>
      </c>
      <c r="I3527">
        <v>140.78819999999999</v>
      </c>
      <c r="J3527">
        <v>-236.1293</v>
      </c>
      <c r="K3527">
        <v>1.109815</v>
      </c>
      <c r="L3527">
        <v>141.02459999999999</v>
      </c>
      <c r="M3527">
        <v>-0.99997959999999997</v>
      </c>
      <c r="N3527">
        <v>0</v>
      </c>
      <c r="O3527">
        <v>-3.8876330000000001E-3</v>
      </c>
      <c r="P3527">
        <v>-0.98485429999999996</v>
      </c>
      <c r="Q3527">
        <v>0.17335690000000001</v>
      </c>
      <c r="R3527">
        <v>3.1012700000000002E-3</v>
      </c>
      <c r="S3527">
        <v>-3.0869900000000001</v>
      </c>
      <c r="T3527">
        <v>-0.23418449999999999</v>
      </c>
      <c r="U3527">
        <v>-5.0247189999999997E-2</v>
      </c>
      <c r="V3527">
        <v>6.6102699999999997E-3</v>
      </c>
      <c r="W3527">
        <v>0.1783682</v>
      </c>
      <c r="X3527">
        <v>0.98394159999999997</v>
      </c>
      <c r="Y3527">
        <v>-1.2363290000000001E-2</v>
      </c>
      <c r="Z3527">
        <v>-1.7376570000000001E-4</v>
      </c>
      <c r="AA3527">
        <v>0.99992349999999997</v>
      </c>
      <c r="AB3527">
        <v>23</v>
      </c>
      <c r="AC3527">
        <v>-14.4200999999999</v>
      </c>
      <c r="AD3527">
        <v>-1.109819296952</v>
      </c>
      <c r="AE3527">
        <v>-0.236400000000003</v>
      </c>
      <c r="AF3527">
        <v>-0.17927580738377399</v>
      </c>
      <c r="AG3527">
        <v>-1.109819296952</v>
      </c>
      <c r="AH3527">
        <v>14.336015534717101</v>
      </c>
      <c r="AI3527">
        <v>94.426365615765704</v>
      </c>
      <c r="AJ3527">
        <v>90.716462096379004</v>
      </c>
      <c r="AK3527">
        <v>14.380027124405901</v>
      </c>
      <c r="AL3527">
        <v>79.725273430274697</v>
      </c>
      <c r="AM3527">
        <v>89.615083990122997</v>
      </c>
      <c r="AN3527">
        <v>0.999999991325636</v>
      </c>
    </row>
    <row r="3528" spans="1:40" x14ac:dyDescent="0.25">
      <c r="A3528" t="str">
        <f>"20190312172732992"</f>
        <v>20190312172732992</v>
      </c>
      <c r="B3528" t="str">
        <f>"1552382852982639"</f>
        <v>1552382852982639</v>
      </c>
      <c r="C3528" t="s">
        <v>40</v>
      </c>
      <c r="D3528">
        <v>3.3366639999999999</v>
      </c>
      <c r="E3528">
        <v>0.4928787</v>
      </c>
      <c r="F3528" t="s">
        <v>41</v>
      </c>
      <c r="G3528">
        <v>-250.74289999999999</v>
      </c>
      <c r="H3528" s="1">
        <v>-4.2309990000000004E-6</v>
      </c>
      <c r="I3528">
        <v>140.7876</v>
      </c>
      <c r="J3528">
        <v>-236.38509999999999</v>
      </c>
      <c r="K3528">
        <v>1.109745</v>
      </c>
      <c r="L3528">
        <v>141.02209999999999</v>
      </c>
      <c r="M3528">
        <v>-0.99997380000000002</v>
      </c>
      <c r="N3528">
        <v>0</v>
      </c>
      <c r="O3528">
        <v>-5.1707330000000003E-3</v>
      </c>
      <c r="P3528">
        <v>-0.98485800000000001</v>
      </c>
      <c r="Q3528">
        <v>0.1733576</v>
      </c>
      <c r="R3528">
        <v>1.443901E-3</v>
      </c>
      <c r="S3528">
        <v>-3.0875400000000002</v>
      </c>
      <c r="T3528">
        <v>-0.2344823</v>
      </c>
      <c r="U3528">
        <v>-5.0064089999999999E-2</v>
      </c>
      <c r="V3528">
        <v>6.2442779999999998E-3</v>
      </c>
      <c r="W3528">
        <v>0.17836399999999999</v>
      </c>
      <c r="X3528">
        <v>0.98394479999999995</v>
      </c>
      <c r="Y3528">
        <v>-1.102556E-2</v>
      </c>
      <c r="Z3528" s="1">
        <v>-2.5938000000000001E-5</v>
      </c>
      <c r="AA3528">
        <v>0.99993920000000003</v>
      </c>
      <c r="AB3528">
        <v>23</v>
      </c>
      <c r="AC3528">
        <v>-14.3577999999999</v>
      </c>
      <c r="AD3528">
        <v>-1.109749230999</v>
      </c>
      <c r="AE3528">
        <v>-0.23449999999999699</v>
      </c>
      <c r="AF3528">
        <v>-0.159304114136576</v>
      </c>
      <c r="AG3528">
        <v>-1.109749230999</v>
      </c>
      <c r="AH3528">
        <v>14.2735713272399</v>
      </c>
      <c r="AI3528">
        <v>94.4454435677752</v>
      </c>
      <c r="AJ3528">
        <v>90.639438738736203</v>
      </c>
      <c r="AK3528">
        <v>14.3175332927949</v>
      </c>
      <c r="AL3528">
        <v>79.725518484032307</v>
      </c>
      <c r="AM3528">
        <v>89.636396297141104</v>
      </c>
      <c r="AN3528">
        <v>1.00000003847539</v>
      </c>
    </row>
    <row r="3529" spans="1:40" x14ac:dyDescent="0.25">
      <c r="A3529" t="str">
        <f>"20190312172733011"</f>
        <v>20190312172733011</v>
      </c>
      <c r="B3529" t="str">
        <f>"1552382853003135"</f>
        <v>1552382853003135</v>
      </c>
      <c r="C3529" t="s">
        <v>40</v>
      </c>
      <c r="D3529">
        <v>3.2988059999999999</v>
      </c>
      <c r="E3529">
        <v>0.49275370000000002</v>
      </c>
      <c r="F3529" t="s">
        <v>44</v>
      </c>
      <c r="G3529">
        <v>-237.28139999999999</v>
      </c>
      <c r="H3529">
        <v>1.041032</v>
      </c>
      <c r="I3529">
        <v>141.00659999999999</v>
      </c>
      <c r="J3529">
        <v>-236.59530000000001</v>
      </c>
      <c r="K3529">
        <v>1.109686</v>
      </c>
      <c r="L3529">
        <v>141.01990000000001</v>
      </c>
      <c r="M3529">
        <v>-0.99996819999999997</v>
      </c>
      <c r="N3529">
        <v>0</v>
      </c>
      <c r="O3529">
        <v>-6.13921E-3</v>
      </c>
      <c r="P3529">
        <v>-0.98501280000000002</v>
      </c>
      <c r="Q3529">
        <v>0.17248160000000001</v>
      </c>
      <c r="R3529">
        <v>-2.277456E-4</v>
      </c>
      <c r="S3529">
        <v>-3.0878749999999999</v>
      </c>
      <c r="T3529">
        <v>-0.23670569999999999</v>
      </c>
      <c r="U3529">
        <v>-5.3558349999999998E-2</v>
      </c>
      <c r="V3529">
        <v>5.552614E-3</v>
      </c>
      <c r="W3529">
        <v>0.17748559999999999</v>
      </c>
      <c r="X3529">
        <v>0.98410770000000003</v>
      </c>
      <c r="Y3529">
        <v>-1.118862E-2</v>
      </c>
      <c r="Z3529" s="1">
        <v>4.1703579999999997E-5</v>
      </c>
      <c r="AA3529">
        <v>0.99993739999999998</v>
      </c>
      <c r="AB3529">
        <v>23</v>
      </c>
      <c r="AC3529">
        <v>-0.68609999999998195</v>
      </c>
      <c r="AD3529">
        <v>-6.8653999999999896E-2</v>
      </c>
      <c r="AE3529">
        <v>-1.33000000000151E-2</v>
      </c>
      <c r="AF3529">
        <v>-8.9975259466288995E-3</v>
      </c>
      <c r="AG3529">
        <v>-6.8653999999999896E-2</v>
      </c>
      <c r="AH3529">
        <v>0.67936887260496703</v>
      </c>
      <c r="AI3529">
        <v>95.769964436741802</v>
      </c>
      <c r="AJ3529">
        <v>90.758777956479804</v>
      </c>
      <c r="AK3529">
        <v>0.68288827216002501</v>
      </c>
      <c r="AL3529">
        <v>79.776662422753802</v>
      </c>
      <c r="AM3529">
        <v>89.676724436276501</v>
      </c>
      <c r="AN3529">
        <v>0.99999996746444098</v>
      </c>
    </row>
    <row r="3530" spans="1:40" x14ac:dyDescent="0.25">
      <c r="A3530" t="str">
        <f>"20190312172733035"</f>
        <v>20190312172733035</v>
      </c>
      <c r="B3530" t="str">
        <f>"1552382853022655"</f>
        <v>1552382853022655</v>
      </c>
      <c r="C3530" t="s">
        <v>40</v>
      </c>
      <c r="D3530">
        <v>3.3036530000000002</v>
      </c>
      <c r="E3530">
        <v>0.49258220000000003</v>
      </c>
      <c r="F3530" t="s">
        <v>44</v>
      </c>
      <c r="G3530">
        <v>-237.4896</v>
      </c>
      <c r="H3530">
        <v>1.040435</v>
      </c>
      <c r="I3530">
        <v>141.0027</v>
      </c>
      <c r="J3530">
        <v>-236.8357</v>
      </c>
      <c r="K3530">
        <v>1.109621</v>
      </c>
      <c r="L3530">
        <v>141.01730000000001</v>
      </c>
      <c r="M3530">
        <v>-0.99996160000000001</v>
      </c>
      <c r="N3530">
        <v>0</v>
      </c>
      <c r="O3530">
        <v>-7.1585959999999997E-3</v>
      </c>
      <c r="P3530">
        <v>-0.98514539999999995</v>
      </c>
      <c r="Q3530">
        <v>0.1717177</v>
      </c>
      <c r="R3530">
        <v>-1.418211E-3</v>
      </c>
      <c r="S3530">
        <v>-3.087494</v>
      </c>
      <c r="T3530">
        <v>-0.23911299999999999</v>
      </c>
      <c r="U3530">
        <v>-6.0012820000000001E-2</v>
      </c>
      <c r="V3530">
        <v>5.3928209999999999E-3</v>
      </c>
      <c r="W3530">
        <v>0.17672160000000001</v>
      </c>
      <c r="X3530">
        <v>0.98424610000000001</v>
      </c>
      <c r="Y3530">
        <v>-1.226061E-2</v>
      </c>
      <c r="Z3530" s="1">
        <v>7.9504069999999995E-5</v>
      </c>
      <c r="AA3530">
        <v>0.99992479999999995</v>
      </c>
      <c r="AB3530">
        <v>23</v>
      </c>
      <c r="AC3530">
        <v>-0.65389999999999204</v>
      </c>
      <c r="AD3530">
        <v>-6.91859999999999E-2</v>
      </c>
      <c r="AE3530">
        <v>-1.4600000000001501E-2</v>
      </c>
      <c r="AF3530">
        <v>-9.8088078818234503E-3</v>
      </c>
      <c r="AG3530">
        <v>-6.91859999999999E-2</v>
      </c>
      <c r="AH3530">
        <v>0.64675116198925198</v>
      </c>
      <c r="AI3530">
        <v>96.105280227420707</v>
      </c>
      <c r="AJ3530">
        <v>90.868897100990793</v>
      </c>
      <c r="AK3530">
        <v>0.65051516572829404</v>
      </c>
      <c r="AL3530">
        <v>79.821139777314698</v>
      </c>
      <c r="AM3530">
        <v>89.686071612569805</v>
      </c>
      <c r="AN3530">
        <v>0.99999999589505395</v>
      </c>
    </row>
    <row r="3531" spans="1:40" x14ac:dyDescent="0.25">
      <c r="A3531" t="str">
        <f>"20190312172733056"</f>
        <v>20190312172733056</v>
      </c>
      <c r="B3531" t="str">
        <f>"1552382853052911"</f>
        <v>1552382853052911</v>
      </c>
      <c r="C3531" t="s">
        <v>40</v>
      </c>
      <c r="D3531">
        <v>3.302238</v>
      </c>
      <c r="E3531">
        <v>0.49236829999999998</v>
      </c>
      <c r="F3531" t="s">
        <v>44</v>
      </c>
      <c r="G3531">
        <v>-237.7046</v>
      </c>
      <c r="H3531">
        <v>1.0419879999999999</v>
      </c>
      <c r="I3531">
        <v>140.99870000000001</v>
      </c>
      <c r="J3531">
        <v>-237.0609</v>
      </c>
      <c r="K3531">
        <v>1.1095660000000001</v>
      </c>
      <c r="L3531">
        <v>141.0147</v>
      </c>
      <c r="M3531">
        <v>-0.99995500000000004</v>
      </c>
      <c r="N3531">
        <v>0</v>
      </c>
      <c r="O3531">
        <v>-8.0300010000000002E-3</v>
      </c>
      <c r="P3531">
        <v>-0.98537759999999996</v>
      </c>
      <c r="Q3531">
        <v>0.1703694</v>
      </c>
      <c r="R3531">
        <v>-2.4466079999999999E-3</v>
      </c>
      <c r="S3531">
        <v>-3.0870359999999999</v>
      </c>
      <c r="T3531">
        <v>-0.2403064</v>
      </c>
      <c r="U3531">
        <v>-6.6345210000000002E-2</v>
      </c>
      <c r="V3531">
        <v>5.2470109999999898E-3</v>
      </c>
      <c r="W3531">
        <v>0.17537539999999999</v>
      </c>
      <c r="X3531">
        <v>0.98448769999999997</v>
      </c>
      <c r="Y3531">
        <v>-1.344129E-2</v>
      </c>
      <c r="Z3531">
        <v>1.017489E-4</v>
      </c>
      <c r="AA3531">
        <v>0.99990959999999995</v>
      </c>
      <c r="AB3531">
        <v>23</v>
      </c>
      <c r="AC3531">
        <v>-0.64369999999999505</v>
      </c>
      <c r="AD3531">
        <v>-6.7578000000000096E-2</v>
      </c>
      <c r="AE3531">
        <v>-1.5999999999991101E-2</v>
      </c>
      <c r="AF3531">
        <v>-1.0712510702989E-2</v>
      </c>
      <c r="AG3531">
        <v>-6.7578000000000096E-2</v>
      </c>
      <c r="AH3531">
        <v>0.63679359300028204</v>
      </c>
      <c r="AI3531">
        <v>96.056836682416701</v>
      </c>
      <c r="AJ3531">
        <v>90.963771884556394</v>
      </c>
      <c r="AK3531">
        <v>0.64045891675873301</v>
      </c>
      <c r="AL3531">
        <v>79.899495675626696</v>
      </c>
      <c r="AM3531">
        <v>89.694634337360398</v>
      </c>
      <c r="AN3531">
        <v>1.00000004675044</v>
      </c>
    </row>
    <row r="3532" spans="1:40" x14ac:dyDescent="0.25">
      <c r="A3532" t="str">
        <f>"20190312172733078"</f>
        <v>20190312172733078</v>
      </c>
      <c r="B3532" t="str">
        <f>"1552382853072431"</f>
        <v>1552382853072431</v>
      </c>
      <c r="C3532" t="s">
        <v>40</v>
      </c>
      <c r="D3532">
        <v>3.3181250000000002</v>
      </c>
      <c r="E3532">
        <v>0.49224129999999999</v>
      </c>
      <c r="F3532" t="s">
        <v>44</v>
      </c>
      <c r="G3532">
        <v>-237.9186</v>
      </c>
      <c r="H3532">
        <v>1.0421210000000001</v>
      </c>
      <c r="I3532">
        <v>140.9948</v>
      </c>
      <c r="J3532">
        <v>-237.29179999999999</v>
      </c>
      <c r="K3532">
        <v>1.10951</v>
      </c>
      <c r="L3532">
        <v>141.012</v>
      </c>
      <c r="M3532">
        <v>-0.99994819999999995</v>
      </c>
      <c r="N3532">
        <v>0</v>
      </c>
      <c r="O3532">
        <v>-8.831551E-3</v>
      </c>
      <c r="P3532">
        <v>-0.985572</v>
      </c>
      <c r="Q3532">
        <v>0.16923750000000001</v>
      </c>
      <c r="R3532">
        <v>-2.545879E-3</v>
      </c>
      <c r="S3532">
        <v>-3.0863040000000002</v>
      </c>
      <c r="T3532">
        <v>-0.24277209999999999</v>
      </c>
      <c r="U3532">
        <v>-7.2143550000000001E-2</v>
      </c>
      <c r="V3532">
        <v>5.9608300000000003E-3</v>
      </c>
      <c r="W3532">
        <v>0.17424529999999999</v>
      </c>
      <c r="X3532">
        <v>0.98468420000000001</v>
      </c>
      <c r="Y3532">
        <v>-1.4521279999999999E-2</v>
      </c>
      <c r="Z3532">
        <v>1.233466E-4</v>
      </c>
      <c r="AA3532">
        <v>0.99989459999999997</v>
      </c>
      <c r="AB3532">
        <v>23</v>
      </c>
      <c r="AC3532">
        <v>-0.62680000000000202</v>
      </c>
      <c r="AD3532">
        <v>-6.7389000000000102E-2</v>
      </c>
      <c r="AE3532">
        <v>-1.7200000000002501E-2</v>
      </c>
      <c r="AF3532">
        <v>-1.15304619172762E-2</v>
      </c>
      <c r="AG3532">
        <v>-6.7389000000000102E-2</v>
      </c>
      <c r="AH3532">
        <v>0.61976894422311402</v>
      </c>
      <c r="AI3532">
        <v>96.204466730332896</v>
      </c>
      <c r="AJ3532">
        <v>91.065833652056696</v>
      </c>
      <c r="AK3532">
        <v>0.62352848619486501</v>
      </c>
      <c r="AL3532">
        <v>79.965257410808903</v>
      </c>
      <c r="AM3532">
        <v>89.6531616637632</v>
      </c>
      <c r="AN3532">
        <v>0.99999996489800802</v>
      </c>
    </row>
    <row r="3533" spans="1:40" x14ac:dyDescent="0.25">
      <c r="A3533" t="str">
        <f>"20190312172733102"</f>
        <v>20190312172733102</v>
      </c>
      <c r="B3533" t="str">
        <f>"1552382853092927"</f>
        <v>1552382853092927</v>
      </c>
      <c r="C3533" t="s">
        <v>40</v>
      </c>
      <c r="D3533">
        <v>3.3272029999999999</v>
      </c>
      <c r="E3533">
        <v>0.49210280000000001</v>
      </c>
      <c r="F3533" t="s">
        <v>44</v>
      </c>
      <c r="G3533">
        <v>-238.13399999999999</v>
      </c>
      <c r="H3533">
        <v>1.0425679999999999</v>
      </c>
      <c r="I3533">
        <v>140.99189999999999</v>
      </c>
      <c r="J3533">
        <v>-237.54640000000001</v>
      </c>
      <c r="K3533">
        <v>1.109443</v>
      </c>
      <c r="L3533">
        <v>141.00880000000001</v>
      </c>
      <c r="M3533">
        <v>-0.99994110000000003</v>
      </c>
      <c r="N3533">
        <v>0</v>
      </c>
      <c r="O3533">
        <v>-9.6064570000000005E-3</v>
      </c>
      <c r="P3533">
        <v>-0.98571529999999996</v>
      </c>
      <c r="Q3533">
        <v>0.16840139999999901</v>
      </c>
      <c r="R3533">
        <v>-2.5354459999999998E-3</v>
      </c>
      <c r="S3533">
        <v>-3.0858759999999998</v>
      </c>
      <c r="T3533">
        <v>-0.2453341</v>
      </c>
      <c r="U3533">
        <v>-7.3776250000000002E-2</v>
      </c>
      <c r="V3533">
        <v>6.7614219999999996E-3</v>
      </c>
      <c r="W3533">
        <v>0.17340939999999999</v>
      </c>
      <c r="X3533">
        <v>0.9848266</v>
      </c>
      <c r="Y3533">
        <v>-1.4281200000000001E-2</v>
      </c>
      <c r="Z3533">
        <v>1.9568370000000001E-4</v>
      </c>
      <c r="AA3533">
        <v>0.99989799999999995</v>
      </c>
      <c r="AB3533">
        <v>24</v>
      </c>
      <c r="AC3533">
        <v>-0.587600000000009</v>
      </c>
      <c r="AD3533">
        <v>-6.6875000000000004E-2</v>
      </c>
      <c r="AE3533">
        <v>-1.6900000000020999E-2</v>
      </c>
      <c r="AF3533">
        <v>-1.1110599477445599E-2</v>
      </c>
      <c r="AG3533">
        <v>-6.6875000000000004E-2</v>
      </c>
      <c r="AH3533">
        <v>0.580225892451671</v>
      </c>
      <c r="AI3533">
        <v>96.573524958354497</v>
      </c>
      <c r="AJ3533">
        <v>91.097008382661997</v>
      </c>
      <c r="AK3533">
        <v>0.58417274612659398</v>
      </c>
      <c r="AL3533">
        <v>80.013891549633897</v>
      </c>
      <c r="AM3533">
        <v>89.606636480592698</v>
      </c>
      <c r="AN3533">
        <v>0.99999998445169003</v>
      </c>
    </row>
    <row r="3534" spans="1:40" x14ac:dyDescent="0.25">
      <c r="A3534" t="str">
        <f>"20190312172733125"</f>
        <v>20190312172733125</v>
      </c>
      <c r="B3534" t="str">
        <f>"1552382853123183"</f>
        <v>1552382853123183</v>
      </c>
      <c r="C3534" t="s">
        <v>40</v>
      </c>
      <c r="D3534">
        <v>3.3235339999999902</v>
      </c>
      <c r="E3534">
        <v>0.49190869999999998</v>
      </c>
      <c r="F3534" t="s">
        <v>41</v>
      </c>
      <c r="G3534">
        <v>-251.4093</v>
      </c>
      <c r="H3534" s="1">
        <v>-3.9485130000000001E-6</v>
      </c>
      <c r="I3534">
        <v>140.67160000000001</v>
      </c>
      <c r="J3534">
        <v>-237.78809999999999</v>
      </c>
      <c r="K3534">
        <v>1.1093820000000001</v>
      </c>
      <c r="L3534">
        <v>141.00579999999999</v>
      </c>
      <c r="M3534">
        <v>-0.99993489999999996</v>
      </c>
      <c r="N3534">
        <v>0</v>
      </c>
      <c r="O3534">
        <v>-1.023437E-2</v>
      </c>
      <c r="P3534">
        <v>-0.98574130000000004</v>
      </c>
      <c r="Q3534">
        <v>0.16825689999999999</v>
      </c>
      <c r="R3534">
        <v>-1.9862980000000001E-3</v>
      </c>
      <c r="S3534">
        <v>-3.0854949999999999</v>
      </c>
      <c r="T3534">
        <v>-0.24693370000000001</v>
      </c>
      <c r="U3534">
        <v>-7.5042719999999993E-2</v>
      </c>
      <c r="V3534">
        <v>7.9553239999999997E-3</v>
      </c>
      <c r="W3534">
        <v>0.17326529999999901</v>
      </c>
      <c r="X3534">
        <v>0.98484309999999997</v>
      </c>
      <c r="Y3534">
        <v>-1.406894E-2</v>
      </c>
      <c r="Z3534">
        <v>2.5561730000000002E-4</v>
      </c>
      <c r="AA3534">
        <v>0.99990100000000004</v>
      </c>
      <c r="AB3534">
        <v>24</v>
      </c>
      <c r="AC3534">
        <v>-13.6212</v>
      </c>
      <c r="AD3534">
        <v>-1.10938594851299</v>
      </c>
      <c r="AE3534">
        <v>-0.33419999999998101</v>
      </c>
      <c r="AF3534">
        <v>-0.19349357843884901</v>
      </c>
      <c r="AG3534">
        <v>-1.10938594851299</v>
      </c>
      <c r="AH3534">
        <v>13.5341836644038</v>
      </c>
      <c r="AI3534">
        <v>94.6855351384567</v>
      </c>
      <c r="AJ3534">
        <v>90.819082291522903</v>
      </c>
      <c r="AK3534">
        <v>13.580953737108</v>
      </c>
      <c r="AL3534">
        <v>80.022275347502003</v>
      </c>
      <c r="AM3534">
        <v>89.537188638037705</v>
      </c>
      <c r="AN3534">
        <v>1.0000000414908199</v>
      </c>
    </row>
    <row r="3535" spans="1:40" x14ac:dyDescent="0.25">
      <c r="A3535" t="str">
        <f>"20190312172733149"</f>
        <v>20190312172733149</v>
      </c>
      <c r="B3535" t="str">
        <f>"1552382853142704"</f>
        <v>1552382853142704</v>
      </c>
      <c r="C3535" t="s">
        <v>40</v>
      </c>
      <c r="D3535">
        <v>3.3304459999999998</v>
      </c>
      <c r="E3535">
        <v>0.49178090000000002</v>
      </c>
      <c r="F3535" t="s">
        <v>41</v>
      </c>
      <c r="G3535">
        <v>-251.70869999999999</v>
      </c>
      <c r="H3535" s="1">
        <v>-3.8185860000000002E-6</v>
      </c>
      <c r="I3535">
        <v>140.666</v>
      </c>
      <c r="J3535">
        <v>-238.0386</v>
      </c>
      <c r="K3535">
        <v>1.1093090000000001</v>
      </c>
      <c r="L3535">
        <v>141.0025</v>
      </c>
      <c r="M3535">
        <v>-0.99992919999999996</v>
      </c>
      <c r="N3535">
        <v>0</v>
      </c>
      <c r="O3535">
        <v>-1.076948E-2</v>
      </c>
      <c r="P3535">
        <v>-0.98576350000000001</v>
      </c>
      <c r="Q3535">
        <v>0.16813129999999901</v>
      </c>
      <c r="R3535">
        <v>-1.629864E-3</v>
      </c>
      <c r="S3535">
        <v>-3.0852050000000002</v>
      </c>
      <c r="T3535">
        <v>-0.24587349999999999</v>
      </c>
      <c r="U3535">
        <v>-7.5271610000000003E-2</v>
      </c>
      <c r="V3535">
        <v>8.8689770000000001E-3</v>
      </c>
      <c r="W3535">
        <v>0.17314170000000001</v>
      </c>
      <c r="X3535">
        <v>0.98485699999999998</v>
      </c>
      <c r="Y3535">
        <v>-1.3613510000000001E-2</v>
      </c>
      <c r="Z3535">
        <v>3.1523100000000002E-4</v>
      </c>
      <c r="AA3535">
        <v>0.99990730000000005</v>
      </c>
      <c r="AB3535">
        <v>24</v>
      </c>
      <c r="AC3535">
        <v>-13.6700999999999</v>
      </c>
      <c r="AD3535">
        <v>-1.1093128185859999</v>
      </c>
      <c r="AE3535">
        <v>-0.33650000000000002</v>
      </c>
      <c r="AF3535">
        <v>-0.188021334954176</v>
      </c>
      <c r="AG3535">
        <v>-1.1093128185859999</v>
      </c>
      <c r="AH3535">
        <v>13.583535942853601</v>
      </c>
      <c r="AI3535">
        <v>94.668310184212601</v>
      </c>
      <c r="AJ3535">
        <v>90.793029227586004</v>
      </c>
      <c r="AK3535">
        <v>13.6300541327858</v>
      </c>
      <c r="AL3535">
        <v>80.029465451475701</v>
      </c>
      <c r="AM3535">
        <v>89.4840456889862</v>
      </c>
      <c r="AN3535">
        <v>1.0000000087404499</v>
      </c>
    </row>
    <row r="3536" spans="1:40" x14ac:dyDescent="0.25">
      <c r="A3536" t="str">
        <f>"20190312172733170"</f>
        <v>20190312172733170</v>
      </c>
      <c r="B3536" t="str">
        <f>"1552382853163199"</f>
        <v>1552382853163199</v>
      </c>
      <c r="C3536" t="s">
        <v>40</v>
      </c>
      <c r="D3536">
        <v>3.342571</v>
      </c>
      <c r="E3536">
        <v>0.49164760000000002</v>
      </c>
      <c r="F3536" t="s">
        <v>44</v>
      </c>
      <c r="G3536">
        <v>-238.97540000000001</v>
      </c>
      <c r="H3536">
        <v>1.034848</v>
      </c>
      <c r="I3536">
        <v>140.97970000000001</v>
      </c>
      <c r="J3536">
        <v>-238.26490000000001</v>
      </c>
      <c r="K3536">
        <v>1.1092379999999999</v>
      </c>
      <c r="L3536">
        <v>140.99969999999999</v>
      </c>
      <c r="M3536">
        <v>-0.99992510000000001</v>
      </c>
      <c r="N3536">
        <v>0</v>
      </c>
      <c r="O3536">
        <v>-1.113831E-2</v>
      </c>
      <c r="P3536">
        <v>-0.98574729999999999</v>
      </c>
      <c r="Q3536">
        <v>0.1682264</v>
      </c>
      <c r="R3536">
        <v>-1.5083539999999999E-3</v>
      </c>
      <c r="S3536">
        <v>-3.0850369999999998</v>
      </c>
      <c r="T3536">
        <v>-0.24527280000000001</v>
      </c>
      <c r="U3536">
        <v>-7.5729370000000004E-2</v>
      </c>
      <c r="V3536">
        <v>9.3833240000000002E-3</v>
      </c>
      <c r="W3536">
        <v>0.17323659999999999</v>
      </c>
      <c r="X3536">
        <v>0.98483560000000003</v>
      </c>
      <c r="Y3536">
        <v>-1.3396180000000001E-2</v>
      </c>
      <c r="Z3536">
        <v>3.5237380000000001E-4</v>
      </c>
      <c r="AA3536">
        <v>0.99991019999999997</v>
      </c>
      <c r="AB3536">
        <v>24</v>
      </c>
      <c r="AC3536">
        <v>-0.71049999999999602</v>
      </c>
      <c r="AD3536">
        <v>-7.4389999999999901E-2</v>
      </c>
      <c r="AE3536">
        <v>-1.99999999999818E-2</v>
      </c>
      <c r="AF3536">
        <v>-1.1953949426219799E-2</v>
      </c>
      <c r="AG3536">
        <v>-7.4389999999999901E-2</v>
      </c>
      <c r="AH3536">
        <v>0.702978546215141</v>
      </c>
      <c r="AI3536">
        <v>96.039757783155295</v>
      </c>
      <c r="AJ3536">
        <v>90.974204475269403</v>
      </c>
      <c r="AK3536">
        <v>0.70700467144541401</v>
      </c>
      <c r="AL3536">
        <v>80.023945198671299</v>
      </c>
      <c r="AM3536">
        <v>89.454113361133494</v>
      </c>
      <c r="AN3536">
        <v>1.0000000626881</v>
      </c>
    </row>
    <row r="3537" spans="1:40" x14ac:dyDescent="0.25">
      <c r="A3537" t="str">
        <f>"20190312172733192"</f>
        <v>20190312172733192</v>
      </c>
      <c r="B3537" t="str">
        <f>"1552382853182719"</f>
        <v>1552382853182719</v>
      </c>
      <c r="C3537" t="s">
        <v>40</v>
      </c>
      <c r="D3537">
        <v>3.3242409999999998</v>
      </c>
      <c r="E3537">
        <v>0.49151329999999999</v>
      </c>
      <c r="F3537" t="s">
        <v>44</v>
      </c>
      <c r="G3537">
        <v>-239.19319999999999</v>
      </c>
      <c r="H3537">
        <v>1.035814</v>
      </c>
      <c r="I3537">
        <v>140.97669999999999</v>
      </c>
      <c r="J3537">
        <v>-238.50989999999999</v>
      </c>
      <c r="K3537">
        <v>1.1091629999999999</v>
      </c>
      <c r="L3537">
        <v>140.9966</v>
      </c>
      <c r="M3537">
        <v>-0.99992170000000002</v>
      </c>
      <c r="N3537">
        <v>0</v>
      </c>
      <c r="O3537">
        <v>-1.143753E-2</v>
      </c>
      <c r="P3537">
        <v>-0.98573980000000005</v>
      </c>
      <c r="Q3537">
        <v>0.1682739</v>
      </c>
      <c r="R3537">
        <v>-1.014357E-3</v>
      </c>
      <c r="S3537">
        <v>-3.0849000000000002</v>
      </c>
      <c r="T3537">
        <v>-0.24403549999999999</v>
      </c>
      <c r="U3537">
        <v>-7.6568600000000001E-2</v>
      </c>
      <c r="V3537">
        <v>1.0201669999999999E-2</v>
      </c>
      <c r="W3537">
        <v>0.17328260000000001</v>
      </c>
      <c r="X3537">
        <v>0.98481929999999995</v>
      </c>
      <c r="Y3537">
        <v>-1.3370989999999999E-2</v>
      </c>
      <c r="Z3537">
        <v>3.752378E-4</v>
      </c>
      <c r="AA3537">
        <v>0.99991050000000004</v>
      </c>
      <c r="AB3537">
        <v>24</v>
      </c>
      <c r="AC3537">
        <v>-0.68330000000000202</v>
      </c>
      <c r="AD3537">
        <v>-7.3348999999999803E-2</v>
      </c>
      <c r="AE3537">
        <v>-1.9900000000006898E-2</v>
      </c>
      <c r="AF3537">
        <v>-1.1945798535931499E-2</v>
      </c>
      <c r="AG3537">
        <v>-7.3348999999999803E-2</v>
      </c>
      <c r="AH3537">
        <v>0.67570338196496305</v>
      </c>
      <c r="AI3537">
        <v>96.194356697990301</v>
      </c>
      <c r="AJ3537">
        <v>91.012829835151905</v>
      </c>
      <c r="AK3537">
        <v>0.67977778597314498</v>
      </c>
      <c r="AL3537">
        <v>80.021268423949607</v>
      </c>
      <c r="AM3537">
        <v>89.406498502992306</v>
      </c>
      <c r="AN3537">
        <v>0.99999999359301905</v>
      </c>
    </row>
    <row r="3538" spans="1:40" x14ac:dyDescent="0.25">
      <c r="A3538" t="str">
        <f>"20190312172733215"</f>
        <v>20190312172733215</v>
      </c>
      <c r="B3538" t="str">
        <f>"1552382853203215"</f>
        <v>1552382853203215</v>
      </c>
      <c r="C3538" t="s">
        <v>40</v>
      </c>
      <c r="D3538">
        <v>3.3353449999999998</v>
      </c>
      <c r="E3538">
        <v>0.49137520000000001</v>
      </c>
      <c r="F3538" t="s">
        <v>44</v>
      </c>
      <c r="G3538">
        <v>-239.41309999999999</v>
      </c>
      <c r="H3538">
        <v>1.0380210000000001</v>
      </c>
      <c r="I3538">
        <v>140.9742</v>
      </c>
      <c r="J3538">
        <v>-238.7663</v>
      </c>
      <c r="K3538">
        <v>1.1090899999999999</v>
      </c>
      <c r="L3538">
        <v>140.99340000000001</v>
      </c>
      <c r="M3538">
        <v>-0.99991940000000001</v>
      </c>
      <c r="N3538">
        <v>0</v>
      </c>
      <c r="O3538">
        <v>-1.164452E-2</v>
      </c>
      <c r="P3538">
        <v>-0.98570259999999998</v>
      </c>
      <c r="Q3538">
        <v>0.1684948</v>
      </c>
      <c r="R3538">
        <v>-5.8508520000000001E-4</v>
      </c>
      <c r="S3538">
        <v>-3.0847929999999999</v>
      </c>
      <c r="T3538">
        <v>-0.2429608</v>
      </c>
      <c r="U3538">
        <v>-7.6660160000000005E-2</v>
      </c>
      <c r="V3538">
        <v>1.086285E-2</v>
      </c>
      <c r="W3538">
        <v>0.1735024</v>
      </c>
      <c r="X3538">
        <v>0.98477349999999997</v>
      </c>
      <c r="Y3538">
        <v>-1.3195760000000001E-2</v>
      </c>
      <c r="Z3538">
        <v>3.9676510000000002E-4</v>
      </c>
      <c r="AA3538">
        <v>0.99991289999999999</v>
      </c>
      <c r="AB3538">
        <v>24</v>
      </c>
      <c r="AC3538">
        <v>-0.64679999999998405</v>
      </c>
      <c r="AD3538">
        <v>-7.1068999999999993E-2</v>
      </c>
      <c r="AE3538">
        <v>-1.9200000000011999E-2</v>
      </c>
      <c r="AF3538">
        <v>-1.15278711553335E-2</v>
      </c>
      <c r="AG3538">
        <v>-7.1068999999999993E-2</v>
      </c>
      <c r="AH3538">
        <v>0.63926853735722899</v>
      </c>
      <c r="AI3538">
        <v>96.342636161865201</v>
      </c>
      <c r="AJ3538">
        <v>91.033097586457004</v>
      </c>
      <c r="AK3538">
        <v>0.64331015647914702</v>
      </c>
      <c r="AL3538">
        <v>80.008480834167102</v>
      </c>
      <c r="AM3538">
        <v>89.368006738382803</v>
      </c>
      <c r="AN3538">
        <v>0.99999996530906499</v>
      </c>
    </row>
    <row r="3539" spans="1:40" x14ac:dyDescent="0.25">
      <c r="A3539" t="str">
        <f>"20190312172733236"</f>
        <v>20190312172733236</v>
      </c>
      <c r="B3539" t="str">
        <f>"1552382853232495"</f>
        <v>1552382853232495</v>
      </c>
      <c r="C3539" t="s">
        <v>40</v>
      </c>
      <c r="D3539">
        <v>3.3520650000000001</v>
      </c>
      <c r="E3539">
        <v>0.4911799</v>
      </c>
      <c r="F3539" t="s">
        <v>44</v>
      </c>
      <c r="G3539">
        <v>-239.6352</v>
      </c>
      <c r="H3539">
        <v>1.041169</v>
      </c>
      <c r="I3539">
        <v>140.9718</v>
      </c>
      <c r="J3539">
        <v>-238.9965</v>
      </c>
      <c r="K3539">
        <v>1.1090329999999999</v>
      </c>
      <c r="L3539">
        <v>140.9906</v>
      </c>
      <c r="M3539">
        <v>-0.99991819999999998</v>
      </c>
      <c r="N3539">
        <v>0</v>
      </c>
      <c r="O3539">
        <v>-1.1745759999999999E-2</v>
      </c>
      <c r="P3539">
        <v>-0.98581260000000004</v>
      </c>
      <c r="Q3539">
        <v>0.167849</v>
      </c>
      <c r="R3539">
        <v>-2.5860869999999998E-4</v>
      </c>
      <c r="S3539">
        <v>-3.0847319999999998</v>
      </c>
      <c r="T3539">
        <v>-0.24126900000000001</v>
      </c>
      <c r="U3539">
        <v>-7.7728270000000002E-2</v>
      </c>
      <c r="V3539">
        <v>1.131241E-2</v>
      </c>
      <c r="W3539">
        <v>0.17285719999999999</v>
      </c>
      <c r="X3539">
        <v>0.98488189999999998</v>
      </c>
      <c r="Y3539">
        <v>-1.344065E-2</v>
      </c>
      <c r="Z3539">
        <v>3.9235939999999998E-4</v>
      </c>
      <c r="AA3539">
        <v>0.99990959999999995</v>
      </c>
      <c r="AB3539">
        <v>24</v>
      </c>
      <c r="AC3539">
        <v>-0.63870000000000005</v>
      </c>
      <c r="AD3539">
        <v>-6.7863999999999897E-2</v>
      </c>
      <c r="AE3539">
        <v>-1.87999999999988E-2</v>
      </c>
      <c r="AF3539">
        <v>-1.1170585848471901E-2</v>
      </c>
      <c r="AG3539">
        <v>-6.7863999999999897E-2</v>
      </c>
      <c r="AH3539">
        <v>0.63175061730478699</v>
      </c>
      <c r="AI3539">
        <v>96.130371964535698</v>
      </c>
      <c r="AJ3539">
        <v>91.012995819768406</v>
      </c>
      <c r="AK3539">
        <v>0.63548339628127004</v>
      </c>
      <c r="AL3539">
        <v>80.046015252026194</v>
      </c>
      <c r="AM3539">
        <v>89.341926328569002</v>
      </c>
      <c r="AN3539">
        <v>0.99999996957972803</v>
      </c>
    </row>
    <row r="3540" spans="1:40" x14ac:dyDescent="0.25">
      <c r="A3540" t="str">
        <f>"20190312172733259"</f>
        <v>20190312172733259</v>
      </c>
      <c r="B3540" t="str">
        <f>"1552382853252991"</f>
        <v>1552382853252991</v>
      </c>
      <c r="C3540" t="s">
        <v>40</v>
      </c>
      <c r="D3540">
        <v>3.3448959999999999</v>
      </c>
      <c r="E3540">
        <v>0.49106630000000001</v>
      </c>
      <c r="F3540" t="s">
        <v>44</v>
      </c>
      <c r="G3540">
        <v>-239.86080000000001</v>
      </c>
      <c r="H3540">
        <v>1.041258</v>
      </c>
      <c r="I3540">
        <v>140.9683</v>
      </c>
      <c r="J3540">
        <v>-239.24770000000001</v>
      </c>
      <c r="K3540">
        <v>1.1089770000000001</v>
      </c>
      <c r="L3540">
        <v>140.98759999999999</v>
      </c>
      <c r="M3540">
        <v>-0.99991790000000003</v>
      </c>
      <c r="N3540">
        <v>0</v>
      </c>
      <c r="O3540">
        <v>-1.177813E-2</v>
      </c>
      <c r="P3540">
        <v>-0.98601519999999998</v>
      </c>
      <c r="Q3540">
        <v>0.16665639999999901</v>
      </c>
      <c r="R3540">
        <v>-3.3544699999999903E-4</v>
      </c>
      <c r="S3540">
        <v>-3.0843050000000001</v>
      </c>
      <c r="T3540">
        <v>-0.24181559999999999</v>
      </c>
      <c r="U3540">
        <v>-7.9757690000000006E-2</v>
      </c>
      <c r="V3540">
        <v>1.129017E-2</v>
      </c>
      <c r="W3540">
        <v>0.1716683</v>
      </c>
      <c r="X3540">
        <v>0.98509009999999997</v>
      </c>
      <c r="Y3540">
        <v>-1.4067410000000001E-2</v>
      </c>
      <c r="Z3540">
        <v>3.7130190000000002E-4</v>
      </c>
      <c r="AA3540">
        <v>0.99990100000000004</v>
      </c>
      <c r="AB3540">
        <v>25</v>
      </c>
      <c r="AC3540">
        <v>-0.61310000000000198</v>
      </c>
      <c r="AD3540">
        <v>-6.7719000000000001E-2</v>
      </c>
      <c r="AE3540">
        <v>-1.9299999999986901E-2</v>
      </c>
      <c r="AF3540">
        <v>-1.1931972280726901E-2</v>
      </c>
      <c r="AG3540">
        <v>-6.7719000000000001E-2</v>
      </c>
      <c r="AH3540">
        <v>0.605900151921694</v>
      </c>
      <c r="AI3540">
        <v>96.376024409751693</v>
      </c>
      <c r="AJ3540">
        <v>91.128178124750704</v>
      </c>
      <c r="AK3540">
        <v>0.60978949566407004</v>
      </c>
      <c r="AL3540">
        <v>80.115168167714899</v>
      </c>
      <c r="AM3540">
        <v>89.343358775550698</v>
      </c>
      <c r="AN3540">
        <v>0.99999998914076405</v>
      </c>
    </row>
    <row r="3541" spans="1:40" x14ac:dyDescent="0.25">
      <c r="A3541" t="str">
        <f>"20190312172733280"</f>
        <v>20190312172733280</v>
      </c>
      <c r="B3541" t="str">
        <f>"1552382853272512"</f>
        <v>1552382853272512</v>
      </c>
      <c r="C3541" t="s">
        <v>40</v>
      </c>
      <c r="D3541">
        <v>3.3404189999999998</v>
      </c>
      <c r="E3541">
        <v>0.49094320000000002</v>
      </c>
      <c r="F3541" t="s">
        <v>41</v>
      </c>
      <c r="G3541">
        <v>-253.2243</v>
      </c>
      <c r="H3541" s="1">
        <v>-3.15525E-6</v>
      </c>
      <c r="I3541">
        <v>140.61660000000001</v>
      </c>
      <c r="J3541">
        <v>-239.47810000000001</v>
      </c>
      <c r="K3541">
        <v>1.1089340000000001</v>
      </c>
      <c r="L3541">
        <v>140.98490000000001</v>
      </c>
      <c r="M3541">
        <v>-0.99991810000000003</v>
      </c>
      <c r="N3541">
        <v>0</v>
      </c>
      <c r="O3541">
        <v>-1.17417999999999E-2</v>
      </c>
      <c r="P3541">
        <v>-0.98624619999999996</v>
      </c>
      <c r="Q3541">
        <v>0.1652827</v>
      </c>
      <c r="R3541">
        <v>-5.2173110000000003E-4</v>
      </c>
      <c r="S3541">
        <v>-3.0839080000000001</v>
      </c>
      <c r="T3541">
        <v>-0.2446951</v>
      </c>
      <c r="U3541">
        <v>-8.1832890000000005E-2</v>
      </c>
      <c r="V3541">
        <v>1.108664E-2</v>
      </c>
      <c r="W3541">
        <v>0.17030120000000001</v>
      </c>
      <c r="X3541">
        <v>0.98532969999999998</v>
      </c>
      <c r="Y3541">
        <v>-1.4776940000000001E-2</v>
      </c>
      <c r="Z3541">
        <v>3.4477569999999999E-4</v>
      </c>
      <c r="AA3541">
        <v>0.99989070000000002</v>
      </c>
      <c r="AB3541">
        <v>25</v>
      </c>
      <c r="AC3541">
        <v>-13.7461999999999</v>
      </c>
      <c r="AD3541">
        <v>-1.10893715525</v>
      </c>
      <c r="AE3541">
        <v>-0.36830000000000401</v>
      </c>
      <c r="AF3541">
        <v>-0.205530748738495</v>
      </c>
      <c r="AG3541">
        <v>-1.10893715525</v>
      </c>
      <c r="AH3541">
        <v>13.6607364061543</v>
      </c>
      <c r="AI3541">
        <v>94.640398506538901</v>
      </c>
      <c r="AJ3541">
        <v>90.8619708103558</v>
      </c>
      <c r="AK3541">
        <v>13.7072135629894</v>
      </c>
      <c r="AL3541">
        <v>80.194668231710693</v>
      </c>
      <c r="AM3541">
        <v>89.355351942965598</v>
      </c>
      <c r="AN3541">
        <v>1.0000000150049999</v>
      </c>
    </row>
    <row r="3542" spans="1:40" x14ac:dyDescent="0.25">
      <c r="A3542" t="str">
        <f>"20190312172733303"</f>
        <v>20190312172733303</v>
      </c>
      <c r="B3542" t="str">
        <f>"1552382853293007"</f>
        <v>1552382853293007</v>
      </c>
      <c r="C3542" t="s">
        <v>40</v>
      </c>
      <c r="D3542">
        <v>3.2686540000000002</v>
      </c>
      <c r="E3542">
        <v>0.49088209999999999</v>
      </c>
      <c r="F3542" t="s">
        <v>41</v>
      </c>
      <c r="G3542">
        <v>-253.25579999999999</v>
      </c>
      <c r="H3542" s="1">
        <v>-3.1387800000000002E-6</v>
      </c>
      <c r="I3542">
        <v>140.60560000000001</v>
      </c>
      <c r="J3542">
        <v>-239.73769999999999</v>
      </c>
      <c r="K3542">
        <v>1.108884</v>
      </c>
      <c r="L3542">
        <v>140.9819</v>
      </c>
      <c r="M3542">
        <v>-0.99991940000000001</v>
      </c>
      <c r="N3542">
        <v>0</v>
      </c>
      <c r="O3542">
        <v>-1.1635370000000001E-2</v>
      </c>
      <c r="P3542">
        <v>-0.98661350000000003</v>
      </c>
      <c r="Q3542">
        <v>0.16307669999999999</v>
      </c>
      <c r="R3542">
        <v>-4.8107E-4</v>
      </c>
      <c r="S3542">
        <v>-3.0833740000000001</v>
      </c>
      <c r="T3542">
        <v>-0.24817429999999999</v>
      </c>
      <c r="U3542">
        <v>-8.4869379999999994E-2</v>
      </c>
      <c r="V3542">
        <v>1.104227E-2</v>
      </c>
      <c r="W3542">
        <v>0.1681059</v>
      </c>
      <c r="X3542">
        <v>0.98570709999999995</v>
      </c>
      <c r="Y3542">
        <v>-1.586777E-2</v>
      </c>
      <c r="Z3542">
        <v>2.9734679999999998E-4</v>
      </c>
      <c r="AA3542">
        <v>0.99987409999999999</v>
      </c>
      <c r="AB3542">
        <v>25</v>
      </c>
      <c r="AC3542">
        <v>-13.5181</v>
      </c>
      <c r="AD3542">
        <v>-1.1088871387799999</v>
      </c>
      <c r="AE3542">
        <v>-0.37629999999998598</v>
      </c>
      <c r="AF3542">
        <v>-0.217521854048152</v>
      </c>
      <c r="AG3542">
        <v>-1.1088871387799999</v>
      </c>
      <c r="AH3542">
        <v>13.431255883004299</v>
      </c>
      <c r="AI3542">
        <v>94.719030937033295</v>
      </c>
      <c r="AJ3542">
        <v>90.927835404552894</v>
      </c>
      <c r="AK3542">
        <v>13.478708433610301</v>
      </c>
      <c r="AL3542">
        <v>80.322289756219007</v>
      </c>
      <c r="AM3542">
        <v>89.358177491365794</v>
      </c>
      <c r="AN3542">
        <v>1.0000000061659799</v>
      </c>
    </row>
    <row r="3543" spans="1:40" x14ac:dyDescent="0.25">
      <c r="A3543" t="str">
        <f>"20190312172733326"</f>
        <v>20190312172733326</v>
      </c>
      <c r="B3543" t="str">
        <f>"1552382853323265"</f>
        <v>1552382853323265</v>
      </c>
      <c r="C3543" t="s">
        <v>40</v>
      </c>
      <c r="D3543">
        <v>3.1125560000000001</v>
      </c>
      <c r="E3543">
        <v>0.45394109999999999</v>
      </c>
      <c r="F3543" t="s">
        <v>41</v>
      </c>
      <c r="G3543">
        <v>-253.15899999999999</v>
      </c>
      <c r="H3543" s="1">
        <v>-3.1799549999999999E-6</v>
      </c>
      <c r="I3543">
        <v>140.60419999999999</v>
      </c>
      <c r="J3543">
        <v>-239.99340000000001</v>
      </c>
      <c r="K3543">
        <v>1.108833</v>
      </c>
      <c r="L3543">
        <v>140.97909999999999</v>
      </c>
      <c r="M3543">
        <v>-0.99992110000000001</v>
      </c>
      <c r="N3543">
        <v>0</v>
      </c>
      <c r="O3543">
        <v>-1.147259E-2</v>
      </c>
      <c r="P3543">
        <v>-0.98702639999999997</v>
      </c>
      <c r="Q3543">
        <v>0.1605549</v>
      </c>
      <c r="R3543">
        <v>-1.0375789999999901E-3</v>
      </c>
      <c r="S3543">
        <v>-3.0827640000000001</v>
      </c>
      <c r="T3543">
        <v>-0.2547027</v>
      </c>
      <c r="U3543">
        <v>-8.6730959999999996E-2</v>
      </c>
      <c r="V3543">
        <v>1.034354E-2</v>
      </c>
      <c r="W3543">
        <v>0.16559769999999999</v>
      </c>
      <c r="X3543">
        <v>0.98613919999999999</v>
      </c>
      <c r="Y3543">
        <v>-1.6635400000000002E-2</v>
      </c>
      <c r="Z3543">
        <v>2.6012650000000002E-4</v>
      </c>
      <c r="AA3543">
        <v>0.99986160000000002</v>
      </c>
      <c r="AB3543">
        <v>25</v>
      </c>
      <c r="AC3543">
        <v>-13.1656</v>
      </c>
      <c r="AD3543">
        <v>-1.1088361799549999</v>
      </c>
      <c r="AE3543">
        <v>-0.37489999999999601</v>
      </c>
      <c r="AF3543">
        <v>-0.222254559123474</v>
      </c>
      <c r="AG3543">
        <v>-1.1088361799549999</v>
      </c>
      <c r="AH3543">
        <v>13.0763542002354</v>
      </c>
      <c r="AI3543">
        <v>94.8462209814342</v>
      </c>
      <c r="AJ3543">
        <v>90.973744055866305</v>
      </c>
      <c r="AK3543">
        <v>13.125164910698899</v>
      </c>
      <c r="AL3543">
        <v>80.468042696048499</v>
      </c>
      <c r="AM3543">
        <v>89.3990509098346</v>
      </c>
      <c r="AN3543">
        <v>1.0000000544208201</v>
      </c>
    </row>
    <row r="3544" spans="1:40" x14ac:dyDescent="0.25">
      <c r="A3544" t="str">
        <f>"20190312172733350"</f>
        <v>20190312172733350</v>
      </c>
      <c r="B3544" t="str">
        <f>"1552382853342783"</f>
        <v>1552382853342783</v>
      </c>
      <c r="C3544" t="s">
        <v>40</v>
      </c>
      <c r="D3544">
        <v>3.142506</v>
      </c>
      <c r="E3544">
        <v>0.45086019999999999</v>
      </c>
      <c r="F3544" t="s">
        <v>41</v>
      </c>
      <c r="G3544">
        <v>-263.86669999999998</v>
      </c>
      <c r="H3544" s="1">
        <v>-2.9002749999999999E-6</v>
      </c>
      <c r="I3544">
        <v>137.99950000000001</v>
      </c>
      <c r="J3544">
        <v>-240.25290000000001</v>
      </c>
      <c r="K3544">
        <v>1.1087910000000001</v>
      </c>
      <c r="L3544">
        <v>140.97630000000001</v>
      </c>
      <c r="M3544">
        <v>-0.99992360000000002</v>
      </c>
      <c r="N3544">
        <v>0</v>
      </c>
      <c r="O3544">
        <v>-1.126169E-2</v>
      </c>
      <c r="P3544">
        <v>-0.98748519999999895</v>
      </c>
      <c r="Q3544">
        <v>0.15769900000000001</v>
      </c>
      <c r="R3544">
        <v>-2.0543139999999998E-3</v>
      </c>
      <c r="S3544">
        <v>-3.0621800000000001</v>
      </c>
      <c r="T3544">
        <v>-0.14222879999999999</v>
      </c>
      <c r="U3544">
        <v>-0.3821869</v>
      </c>
      <c r="V3544">
        <v>9.1346650000000001E-3</v>
      </c>
      <c r="W3544">
        <v>0.1627585</v>
      </c>
      <c r="X3544">
        <v>0.98662360000000005</v>
      </c>
      <c r="Y3544">
        <v>-0.1125574</v>
      </c>
      <c r="Z3544">
        <v>-2.0818049999999999E-3</v>
      </c>
      <c r="AA3544">
        <v>0.99364300000000005</v>
      </c>
      <c r="AB3544">
        <v>25</v>
      </c>
      <c r="AC3544">
        <v>-23.613799999999902</v>
      </c>
      <c r="AD3544">
        <v>-1.108793900275</v>
      </c>
      <c r="AE3544">
        <v>-2.9767999999999901</v>
      </c>
      <c r="AF3544">
        <v>-2.7048061953457601</v>
      </c>
      <c r="AG3544">
        <v>-1.108793900275</v>
      </c>
      <c r="AH3544">
        <v>23.594619003176199</v>
      </c>
      <c r="AI3544">
        <v>92.673069047627607</v>
      </c>
      <c r="AJ3544">
        <v>96.539644344044405</v>
      </c>
      <c r="AK3544">
        <v>23.7750172738678</v>
      </c>
      <c r="AL3544">
        <v>80.632953673507004</v>
      </c>
      <c r="AM3544">
        <v>89.469541578079998</v>
      </c>
      <c r="AN3544">
        <v>0.99999994975193496</v>
      </c>
    </row>
    <row r="3545" spans="1:40" x14ac:dyDescent="0.25">
      <c r="A3545" t="str">
        <f>"20190312172733371"</f>
        <v>20190312172733371</v>
      </c>
      <c r="B3545" t="str">
        <f>"1552382853362303"</f>
        <v>1552382853362303</v>
      </c>
      <c r="C3545" t="s">
        <v>40</v>
      </c>
      <c r="D3545">
        <v>3.1054870000000001</v>
      </c>
      <c r="E3545">
        <v>0.44930710000000001</v>
      </c>
      <c r="F3545" t="s">
        <v>41</v>
      </c>
      <c r="G3545">
        <v>-264.97309999999999</v>
      </c>
      <c r="H3545" s="1">
        <v>-2.487711E-6</v>
      </c>
      <c r="I3545">
        <v>137.64949999999999</v>
      </c>
      <c r="J3545">
        <v>-240.505</v>
      </c>
      <c r="K3545">
        <v>1.108754</v>
      </c>
      <c r="L3545">
        <v>140.97370000000001</v>
      </c>
      <c r="M3545">
        <v>-0.99992610000000004</v>
      </c>
      <c r="N3545">
        <v>0</v>
      </c>
      <c r="O3545">
        <v>-1.102713E-2</v>
      </c>
      <c r="P3545">
        <v>-0.98788039999999999</v>
      </c>
      <c r="Q3545">
        <v>0.15519169999999999</v>
      </c>
      <c r="R3545">
        <v>-2.8582490000000002E-3</v>
      </c>
      <c r="S3545">
        <v>-3.0590670000000002</v>
      </c>
      <c r="T3545">
        <v>-0.13721120000000001</v>
      </c>
      <c r="U3545">
        <v>-0.4116821</v>
      </c>
      <c r="V3545">
        <v>8.1105880000000002E-3</v>
      </c>
      <c r="W3545">
        <v>0.1602701</v>
      </c>
      <c r="X3545">
        <v>0.98703989999999997</v>
      </c>
      <c r="Y3545">
        <v>-0.1223286</v>
      </c>
      <c r="Z3545">
        <v>-2.2377400000000002E-3</v>
      </c>
      <c r="AA3545">
        <v>0.99248709999999996</v>
      </c>
      <c r="AB3545">
        <v>25</v>
      </c>
      <c r="AC3545">
        <v>-24.4681</v>
      </c>
      <c r="AD3545">
        <v>-1.1087564877110001</v>
      </c>
      <c r="AE3545">
        <v>-3.32420000000001</v>
      </c>
      <c r="AF3545">
        <v>-3.0480360434353901</v>
      </c>
      <c r="AG3545">
        <v>-1.1087564877110001</v>
      </c>
      <c r="AH3545">
        <v>24.4539655966596</v>
      </c>
      <c r="AI3545">
        <v>92.576137482000405</v>
      </c>
      <c r="AJ3545">
        <v>97.104922645719199</v>
      </c>
      <c r="AK3545">
        <v>24.668123116154</v>
      </c>
      <c r="AL3545">
        <v>80.777426103126999</v>
      </c>
      <c r="AM3545">
        <v>89.529206465491797</v>
      </c>
      <c r="AN3545">
        <v>1.0000000253918599</v>
      </c>
    </row>
    <row r="3546" spans="1:40" x14ac:dyDescent="0.25">
      <c r="A3546" t="str">
        <f>"20190312172733391"</f>
        <v>20190312172733391</v>
      </c>
      <c r="B3546" t="str">
        <f>"1552382853382799"</f>
        <v>1552382853382799</v>
      </c>
      <c r="C3546" t="s">
        <v>40</v>
      </c>
      <c r="D3546">
        <v>3.14168</v>
      </c>
      <c r="E3546">
        <v>0.44863799999999998</v>
      </c>
      <c r="F3546" t="s">
        <v>41</v>
      </c>
      <c r="G3546">
        <v>-265.13670000000002</v>
      </c>
      <c r="H3546" s="1">
        <v>-2.4398130000000001E-6</v>
      </c>
      <c r="I3546">
        <v>137.52369999999999</v>
      </c>
      <c r="J3546">
        <v>-240.7364</v>
      </c>
      <c r="K3546">
        <v>1.1087389999999999</v>
      </c>
      <c r="L3546">
        <v>140.97139999999999</v>
      </c>
      <c r="M3546">
        <v>-0.9999285</v>
      </c>
      <c r="N3546">
        <v>0</v>
      </c>
      <c r="O3546">
        <v>-1.0797040000000001E-2</v>
      </c>
      <c r="P3546">
        <v>-0.98814539999999995</v>
      </c>
      <c r="Q3546">
        <v>0.1534711</v>
      </c>
      <c r="R3546">
        <v>-3.9412839999999998E-3</v>
      </c>
      <c r="S3546">
        <v>-3.0571899999999999</v>
      </c>
      <c r="T3546">
        <v>-0.1376146</v>
      </c>
      <c r="U3546">
        <v>-0.42819210000000002</v>
      </c>
      <c r="V3546">
        <v>6.8066799999999998E-3</v>
      </c>
      <c r="W3546">
        <v>0.15856799999999999</v>
      </c>
      <c r="X3546">
        <v>0.9873246</v>
      </c>
      <c r="Y3546">
        <v>-0.1278897</v>
      </c>
      <c r="Z3546">
        <v>-2.3796500000000001E-3</v>
      </c>
      <c r="AA3546">
        <v>0.99178549999999999</v>
      </c>
      <c r="AB3546">
        <v>25</v>
      </c>
      <c r="AC3546">
        <v>-24.400300000000001</v>
      </c>
      <c r="AD3546">
        <v>-1.108741439813</v>
      </c>
      <c r="AE3546">
        <v>-3.44769999999999</v>
      </c>
      <c r="AF3546">
        <v>-3.1776119445446298</v>
      </c>
      <c r="AG3546">
        <v>-1.108741439813</v>
      </c>
      <c r="AH3546">
        <v>24.386735904685899</v>
      </c>
      <c r="AI3546">
        <v>92.581364954013495</v>
      </c>
      <c r="AJ3546">
        <v>97.423861348327407</v>
      </c>
      <c r="AK3546">
        <v>24.617867765819302</v>
      </c>
      <c r="AL3546">
        <v>80.8762124404019</v>
      </c>
      <c r="AM3546">
        <v>89.605005427688596</v>
      </c>
      <c r="AN3546">
        <v>1.00000000364089</v>
      </c>
    </row>
    <row r="3547" spans="1:40" x14ac:dyDescent="0.25">
      <c r="A3547" t="str">
        <f>"20190312172733415"</f>
        <v>20190312172733415</v>
      </c>
      <c r="B3547" t="str">
        <f>"1552382853402319"</f>
        <v>1552382853402319</v>
      </c>
      <c r="C3547" t="s">
        <v>40</v>
      </c>
      <c r="D3547">
        <v>3.1681460000000001</v>
      </c>
      <c r="E3547">
        <v>0.44814860000000001</v>
      </c>
      <c r="F3547" t="s">
        <v>41</v>
      </c>
      <c r="G3547">
        <v>-265.49270000000001</v>
      </c>
      <c r="H3547" s="1">
        <v>-2.3063959999999999E-6</v>
      </c>
      <c r="I3547">
        <v>137.41499999999999</v>
      </c>
      <c r="J3547">
        <v>-241.00319999999999</v>
      </c>
      <c r="K3547">
        <v>1.108735</v>
      </c>
      <c r="L3547">
        <v>140.96879999999999</v>
      </c>
      <c r="M3547">
        <v>-0.99993129999999997</v>
      </c>
      <c r="N3547">
        <v>0</v>
      </c>
      <c r="O3547">
        <v>-1.0522399999999999E-2</v>
      </c>
      <c r="P3547">
        <v>-0.98826429999999998</v>
      </c>
      <c r="Q3547">
        <v>0.15266589999999999</v>
      </c>
      <c r="R3547">
        <v>-5.2076170000000003E-3</v>
      </c>
      <c r="S3547">
        <v>-3.0554809999999999</v>
      </c>
      <c r="T3547">
        <v>-0.13684389999999999</v>
      </c>
      <c r="U3547">
        <v>-0.4389343</v>
      </c>
      <c r="V3547">
        <v>5.2717550000000004E-3</v>
      </c>
      <c r="W3547">
        <v>0.1577836</v>
      </c>
      <c r="X3547">
        <v>0.98745970000000005</v>
      </c>
      <c r="Y3547">
        <v>-0.13165260000000001</v>
      </c>
      <c r="Z3547">
        <v>-2.4630860000000002E-3</v>
      </c>
      <c r="AA3547">
        <v>0.99129279999999997</v>
      </c>
      <c r="AB3547">
        <v>25</v>
      </c>
      <c r="AC3547">
        <v>-24.4895</v>
      </c>
      <c r="AD3547">
        <v>-1.108737306396</v>
      </c>
      <c r="AE3547">
        <v>-3.5537999999999901</v>
      </c>
      <c r="AF3547">
        <v>-3.2893083429091798</v>
      </c>
      <c r="AG3547">
        <v>-1.108737306396</v>
      </c>
      <c r="AH3547">
        <v>24.4764037804139</v>
      </c>
      <c r="AI3547">
        <v>92.570546755781805</v>
      </c>
      <c r="AJ3547">
        <v>97.653946402616199</v>
      </c>
      <c r="AK3547">
        <v>24.7213104387932</v>
      </c>
      <c r="AL3547">
        <v>80.921728743901994</v>
      </c>
      <c r="AM3547">
        <v>89.694117701683993</v>
      </c>
      <c r="AN3547">
        <v>1.0000000574769099</v>
      </c>
    </row>
    <row r="3548" spans="1:40" x14ac:dyDescent="0.25">
      <c r="A3548" t="str">
        <f>"20190312172733437"</f>
        <v>20190312172733437</v>
      </c>
      <c r="B3548" t="str">
        <f>"1552382853432576"</f>
        <v>1552382853432576</v>
      </c>
      <c r="C3548" t="s">
        <v>40</v>
      </c>
      <c r="D3548">
        <v>3.1264120000000002</v>
      </c>
      <c r="E3548">
        <v>0.44772719999999999</v>
      </c>
      <c r="F3548" t="s">
        <v>41</v>
      </c>
      <c r="G3548">
        <v>-266.29579999999999</v>
      </c>
      <c r="H3548" s="1">
        <v>-1.9895319999999998E-6</v>
      </c>
      <c r="I3548">
        <v>137.25899999999999</v>
      </c>
      <c r="J3548">
        <v>-241.26320000000001</v>
      </c>
      <c r="K3548">
        <v>1.1087320000000001</v>
      </c>
      <c r="L3548">
        <v>140.96639999999999</v>
      </c>
      <c r="M3548">
        <v>-0.99993399999999999</v>
      </c>
      <c r="N3548">
        <v>0</v>
      </c>
      <c r="O3548">
        <v>-1.025029E-2</v>
      </c>
      <c r="P3548">
        <v>-0.98827200000000004</v>
      </c>
      <c r="Q3548">
        <v>0.15257760000000001</v>
      </c>
      <c r="R3548">
        <v>-6.1984459999999998E-3</v>
      </c>
      <c r="S3548">
        <v>-3.0539399999999999</v>
      </c>
      <c r="T3548">
        <v>-0.1338741</v>
      </c>
      <c r="U3548">
        <v>-0.44793699999999997</v>
      </c>
      <c r="V3548">
        <v>4.0119359999999998E-3</v>
      </c>
      <c r="W3548">
        <v>0.1577134</v>
      </c>
      <c r="X3548">
        <v>0.98747680000000004</v>
      </c>
      <c r="Y3548">
        <v>-0.1348557</v>
      </c>
      <c r="Z3548">
        <v>-2.4920329999999998E-3</v>
      </c>
      <c r="AA3548">
        <v>0.99086209999999997</v>
      </c>
      <c r="AB3548">
        <v>26</v>
      </c>
      <c r="AC3548">
        <v>-25.032599999999899</v>
      </c>
      <c r="AD3548">
        <v>-1.1087339895320001</v>
      </c>
      <c r="AE3548">
        <v>-3.7073999999999998</v>
      </c>
      <c r="AF3548">
        <v>-3.4439991221036799</v>
      </c>
      <c r="AG3548">
        <v>-1.1087339895320001</v>
      </c>
      <c r="AH3548">
        <v>25.021255499270101</v>
      </c>
      <c r="AI3548">
        <v>92.513545030996895</v>
      </c>
      <c r="AJ3548">
        <v>97.837114140970897</v>
      </c>
      <c r="AK3548">
        <v>25.281488242829901</v>
      </c>
      <c r="AL3548">
        <v>80.925801575588196</v>
      </c>
      <c r="AM3548">
        <v>89.767219102539997</v>
      </c>
      <c r="AN3548">
        <v>1.00000002135413</v>
      </c>
    </row>
    <row r="3549" spans="1:40" x14ac:dyDescent="0.25">
      <c r="A3549" t="str">
        <f>"20190312172733459"</f>
        <v>20190312172733459</v>
      </c>
      <c r="B3549" t="str">
        <f>"1552382853453072"</f>
        <v>1552382853453072</v>
      </c>
      <c r="C3549" t="s">
        <v>40</v>
      </c>
      <c r="D3549">
        <v>3.1226370000000001</v>
      </c>
      <c r="E3549">
        <v>0.4474032</v>
      </c>
      <c r="F3549" t="s">
        <v>41</v>
      </c>
      <c r="G3549">
        <v>-267.41500000000002</v>
      </c>
      <c r="H3549" s="1">
        <v>-1.5439149999999999E-6</v>
      </c>
      <c r="I3549">
        <v>137.06739999999999</v>
      </c>
      <c r="J3549">
        <v>-241.5128</v>
      </c>
      <c r="K3549">
        <v>1.10873</v>
      </c>
      <c r="L3549">
        <v>140.9641</v>
      </c>
      <c r="M3549">
        <v>-0.99993659999999995</v>
      </c>
      <c r="N3549">
        <v>0</v>
      </c>
      <c r="O3549">
        <v>-9.9874720000000007E-3</v>
      </c>
      <c r="P3549">
        <v>-0.98828950000000004</v>
      </c>
      <c r="Q3549">
        <v>0.15239849999999999</v>
      </c>
      <c r="R3549">
        <v>-7.6693459999999996E-3</v>
      </c>
      <c r="S3549">
        <v>-3.0527190000000002</v>
      </c>
      <c r="T3549">
        <v>-0.1294237</v>
      </c>
      <c r="U3549">
        <v>-0.45512390000000003</v>
      </c>
      <c r="V3549">
        <v>2.2811860000000002E-3</v>
      </c>
      <c r="W3549">
        <v>0.15754949999999901</v>
      </c>
      <c r="X3549">
        <v>0.98750850000000001</v>
      </c>
      <c r="Y3549">
        <v>-0.13746050000000001</v>
      </c>
      <c r="Z3549">
        <v>-2.4757669999999998E-3</v>
      </c>
      <c r="AA3549">
        <v>0.9905041</v>
      </c>
      <c r="AB3549">
        <v>26</v>
      </c>
      <c r="AC3549">
        <v>-25.902200000000001</v>
      </c>
      <c r="AD3549">
        <v>-1.1087315439150001</v>
      </c>
      <c r="AE3549">
        <v>-3.8967000000000001</v>
      </c>
      <c r="AF3549">
        <v>-3.6312985261617801</v>
      </c>
      <c r="AG3549">
        <v>-1.1087315439150001</v>
      </c>
      <c r="AH3549">
        <v>25.893434055315701</v>
      </c>
      <c r="AI3549">
        <v>92.428119406623907</v>
      </c>
      <c r="AJ3549">
        <v>97.983103833969906</v>
      </c>
      <c r="AK3549">
        <v>26.1703179537346</v>
      </c>
      <c r="AL3549">
        <v>80.935311442782606</v>
      </c>
      <c r="AM3549">
        <v>89.867644584733796</v>
      </c>
      <c r="AN3549">
        <v>1.0000000431660301</v>
      </c>
    </row>
    <row r="3550" spans="1:40" x14ac:dyDescent="0.25">
      <c r="A3550" t="str">
        <f>"20190312172733481"</f>
        <v>20190312172733481</v>
      </c>
      <c r="B3550" t="str">
        <f>"1552382853472592"</f>
        <v>1552382853472592</v>
      </c>
      <c r="C3550" t="s">
        <v>40</v>
      </c>
      <c r="D3550">
        <v>3.1143670000000001</v>
      </c>
      <c r="E3550">
        <v>0.44718059999999998</v>
      </c>
      <c r="F3550" t="s">
        <v>41</v>
      </c>
      <c r="G3550">
        <v>-268.2792</v>
      </c>
      <c r="H3550" s="1">
        <v>-1.2930219999999999E-6</v>
      </c>
      <c r="I3550">
        <v>136.905</v>
      </c>
      <c r="J3550">
        <v>-241.76339999999999</v>
      </c>
      <c r="K3550">
        <v>1.1087260000000001</v>
      </c>
      <c r="L3550">
        <v>140.96190000000001</v>
      </c>
      <c r="M3550">
        <v>-0.99993929999999998</v>
      </c>
      <c r="N3550">
        <v>0</v>
      </c>
      <c r="O3550">
        <v>-9.7203519999999998E-3</v>
      </c>
      <c r="P3550">
        <v>-0.98827989999999999</v>
      </c>
      <c r="Q3550">
        <v>0.1523823</v>
      </c>
      <c r="R3550">
        <v>-9.0988990000000006E-3</v>
      </c>
      <c r="S3550">
        <v>-3.051453</v>
      </c>
      <c r="T3550">
        <v>-0.12639880000000001</v>
      </c>
      <c r="U3550">
        <v>-0.46273799999999998</v>
      </c>
      <c r="V3550">
        <v>5.8789550000000002E-4</v>
      </c>
      <c r="W3550">
        <v>0.15754849999999901</v>
      </c>
      <c r="X3550">
        <v>0.98751100000000003</v>
      </c>
      <c r="Y3550">
        <v>-0.140204</v>
      </c>
      <c r="Z3550">
        <v>-2.485967E-3</v>
      </c>
      <c r="AA3550">
        <v>0.99011950000000004</v>
      </c>
      <c r="AB3550">
        <v>26</v>
      </c>
      <c r="AC3550">
        <v>-26.515799999999999</v>
      </c>
      <c r="AD3550">
        <v>-1.108727293022</v>
      </c>
      <c r="AE3550">
        <v>-4.0569000000000104</v>
      </c>
      <c r="AF3550">
        <v>-3.7924828569410098</v>
      </c>
      <c r="AG3550">
        <v>-1.108727293022</v>
      </c>
      <c r="AH3550">
        <v>26.5086946980378</v>
      </c>
      <c r="AI3550">
        <v>92.370889985420504</v>
      </c>
      <c r="AJ3550">
        <v>98.141808006417506</v>
      </c>
      <c r="AK3550">
        <v>26.801550272778201</v>
      </c>
      <c r="AL3550">
        <v>80.935368385724203</v>
      </c>
      <c r="AM3550">
        <v>89.9658900741709</v>
      </c>
      <c r="AN3550">
        <v>0.99999992529718096</v>
      </c>
    </row>
    <row r="3551" spans="1:40" x14ac:dyDescent="0.25">
      <c r="A3551" t="str">
        <f>"20190312172733503"</f>
        <v>20190312172733503</v>
      </c>
      <c r="B3551" t="str">
        <f>"1552382853493091"</f>
        <v>1552382853493091</v>
      </c>
      <c r="C3551" t="s">
        <v>40</v>
      </c>
      <c r="D3551">
        <v>3.1391740000000001</v>
      </c>
      <c r="E3551">
        <v>0.44709070000000001</v>
      </c>
      <c r="F3551" t="s">
        <v>41</v>
      </c>
      <c r="G3551">
        <v>-269.00229999999999</v>
      </c>
      <c r="H3551" s="1">
        <v>-1.0817350000000001E-6</v>
      </c>
      <c r="I3551">
        <v>136.77420000000001</v>
      </c>
      <c r="J3551">
        <v>-242.03020000000001</v>
      </c>
      <c r="K3551">
        <v>1.1087260000000001</v>
      </c>
      <c r="L3551">
        <v>140.95959999999999</v>
      </c>
      <c r="M3551">
        <v>-0.99994190000000005</v>
      </c>
      <c r="N3551">
        <v>0</v>
      </c>
      <c r="O3551">
        <v>-9.425302E-3</v>
      </c>
      <c r="P3551">
        <v>-0.98812230000000001</v>
      </c>
      <c r="Q3551">
        <v>0.15330529999999901</v>
      </c>
      <c r="R3551">
        <v>-1.059566E-2</v>
      </c>
      <c r="S3551">
        <v>-3.0503849999999999</v>
      </c>
      <c r="T3551">
        <v>-0.1241626</v>
      </c>
      <c r="U3551">
        <v>-0.46894839999999999</v>
      </c>
      <c r="V3551">
        <v>-1.198511E-3</v>
      </c>
      <c r="W3551">
        <v>0.1584856</v>
      </c>
      <c r="X3551">
        <v>0.98736060000000003</v>
      </c>
      <c r="Y3551">
        <v>-0.1425187</v>
      </c>
      <c r="Z3551">
        <v>-2.5012400000000001E-3</v>
      </c>
      <c r="AA3551">
        <v>0.98978889999999997</v>
      </c>
      <c r="AB3551">
        <v>26</v>
      </c>
      <c r="AC3551">
        <v>-26.972099999999902</v>
      </c>
      <c r="AD3551">
        <v>-1.1087270817349999</v>
      </c>
      <c r="AE3551">
        <v>-4.18539999999998</v>
      </c>
      <c r="AF3551">
        <v>-3.9245149340051402</v>
      </c>
      <c r="AG3551">
        <v>-1.1087270817349999</v>
      </c>
      <c r="AH3551">
        <v>26.965857193981201</v>
      </c>
      <c r="AI3551">
        <v>92.329926630141898</v>
      </c>
      <c r="AJ3551">
        <v>98.280487927910201</v>
      </c>
      <c r="AK3551">
        <v>27.272487004583802</v>
      </c>
      <c r="AL3551">
        <v>80.880994395207694</v>
      </c>
      <c r="AM3551">
        <v>90.069548641370901</v>
      </c>
      <c r="AN3551">
        <v>1.0000000381341601</v>
      </c>
    </row>
    <row r="3552" spans="1:40" x14ac:dyDescent="0.25">
      <c r="A3552" t="str">
        <f>"20190312172733528"</f>
        <v>20190312172733528</v>
      </c>
      <c r="B3552" t="str">
        <f>"1552382853522368"</f>
        <v>1552382853522368</v>
      </c>
      <c r="C3552" t="s">
        <v>40</v>
      </c>
      <c r="D3552">
        <v>3.1240039999999998</v>
      </c>
      <c r="E3552">
        <v>0.4468493</v>
      </c>
      <c r="F3552" t="s">
        <v>41</v>
      </c>
      <c r="G3552">
        <v>-270.21170000000001</v>
      </c>
      <c r="H3552" s="1">
        <v>-4.7207340000000001E-6</v>
      </c>
      <c r="I3552">
        <v>136.57599999999999</v>
      </c>
      <c r="J3552">
        <v>-242.30539999999999</v>
      </c>
      <c r="K3552">
        <v>1.1087100000000001</v>
      </c>
      <c r="L3552">
        <v>140.9573</v>
      </c>
      <c r="M3552">
        <v>-0.99994490000000003</v>
      </c>
      <c r="N3552">
        <v>0</v>
      </c>
      <c r="O3552">
        <v>-9.0940650000000001E-3</v>
      </c>
      <c r="P3552">
        <v>-0.98792749999999996</v>
      </c>
      <c r="Q3552">
        <v>0.15450510000000001</v>
      </c>
      <c r="R3552">
        <v>-1.1297410000000001E-2</v>
      </c>
      <c r="S3552">
        <v>-3.0495760000000001</v>
      </c>
      <c r="T3552">
        <v>-0.119978</v>
      </c>
      <c r="U3552">
        <v>-0.47434999999999999</v>
      </c>
      <c r="V3552">
        <v>-2.2220830000000001E-3</v>
      </c>
      <c r="W3552">
        <v>0.159695899999999</v>
      </c>
      <c r="X3552">
        <v>0.98716380000000004</v>
      </c>
      <c r="Y3552">
        <v>-0.14460319999999999</v>
      </c>
      <c r="Z3552">
        <v>-2.4710029999999998E-3</v>
      </c>
      <c r="AA3552">
        <v>0.98948659999999999</v>
      </c>
      <c r="AB3552">
        <v>26</v>
      </c>
      <c r="AC3552">
        <v>-27.906300000000002</v>
      </c>
      <c r="AD3552">
        <v>-1.108714720734</v>
      </c>
      <c r="AE3552">
        <v>-4.3813000000000004</v>
      </c>
      <c r="AF3552">
        <v>-4.1209852730436403</v>
      </c>
      <c r="AG3552">
        <v>-1.108714720734</v>
      </c>
      <c r="AH3552">
        <v>27.902007497621</v>
      </c>
      <c r="AI3552">
        <v>92.251114405388094</v>
      </c>
      <c r="AJ3552">
        <v>98.401558017336498</v>
      </c>
      <c r="AK3552">
        <v>28.2264732184153</v>
      </c>
      <c r="AL3552">
        <v>80.810754782267296</v>
      </c>
      <c r="AM3552">
        <v>90.128971263528996</v>
      </c>
      <c r="AN3552">
        <v>1.00000004308005</v>
      </c>
    </row>
    <row r="3553" spans="1:40" x14ac:dyDescent="0.25">
      <c r="A3553" t="str">
        <f>"20190312172733551"</f>
        <v>20190312172733551</v>
      </c>
      <c r="B3553" t="str">
        <f>"1552382853542863"</f>
        <v>1552382853542863</v>
      </c>
      <c r="C3553" t="s">
        <v>40</v>
      </c>
      <c r="D3553">
        <v>3.1068579999999999</v>
      </c>
      <c r="E3553">
        <v>0.44683440000000002</v>
      </c>
      <c r="F3553" t="s">
        <v>41</v>
      </c>
      <c r="G3553">
        <v>-271.96890000000002</v>
      </c>
      <c r="H3553" s="1">
        <v>-4.015879E-6</v>
      </c>
      <c r="I3553">
        <v>136.29990000000001</v>
      </c>
      <c r="J3553">
        <v>-242.57839999999999</v>
      </c>
      <c r="K3553">
        <v>1.1086780000000001</v>
      </c>
      <c r="L3553">
        <v>140.95519999999999</v>
      </c>
      <c r="M3553">
        <v>-0.99994830000000001</v>
      </c>
      <c r="N3553">
        <v>0</v>
      </c>
      <c r="O3553">
        <v>-8.7090810000000005E-3</v>
      </c>
      <c r="P3553">
        <v>-0.98771719999999996</v>
      </c>
      <c r="Q3553">
        <v>0.1558069</v>
      </c>
      <c r="R3553">
        <v>-1.180955E-2</v>
      </c>
      <c r="S3553">
        <v>-3.0490110000000001</v>
      </c>
      <c r="T3553">
        <v>-0.1139611</v>
      </c>
      <c r="U3553">
        <v>-0.47871399999999997</v>
      </c>
      <c r="V3553">
        <v>-3.1016519999999999E-3</v>
      </c>
      <c r="W3553">
        <v>0.1610067</v>
      </c>
      <c r="X3553">
        <v>0.98694839999999995</v>
      </c>
      <c r="Y3553">
        <v>-0.1464027</v>
      </c>
      <c r="Z3553">
        <v>-2.395047E-3</v>
      </c>
      <c r="AA3553">
        <v>0.98922220000000005</v>
      </c>
      <c r="AB3553">
        <v>26</v>
      </c>
      <c r="AC3553">
        <v>-29.390499999999999</v>
      </c>
      <c r="AD3553">
        <v>-1.1086820158790001</v>
      </c>
      <c r="AE3553">
        <v>-4.65529999999998</v>
      </c>
      <c r="AF3553">
        <v>-4.39305742034324</v>
      </c>
      <c r="AG3553">
        <v>-1.1086820158790001</v>
      </c>
      <c r="AH3553">
        <v>29.389132559932602</v>
      </c>
      <c r="AI3553">
        <v>92.136697076042196</v>
      </c>
      <c r="AJ3553">
        <v>98.501567766401095</v>
      </c>
      <c r="AK3553">
        <v>29.7363286559732</v>
      </c>
      <c r="AL3553">
        <v>80.734666127823601</v>
      </c>
      <c r="AM3553">
        <v>90.180061069123298</v>
      </c>
      <c r="AN3553">
        <v>0.99999996097628796</v>
      </c>
    </row>
    <row r="3554" spans="1:40" x14ac:dyDescent="0.25">
      <c r="A3554" t="str">
        <f>"20190312172733570"</f>
        <v>20190312172733570</v>
      </c>
      <c r="B3554" t="str">
        <f>"1552382853562384"</f>
        <v>1552382853562384</v>
      </c>
      <c r="C3554" t="s">
        <v>40</v>
      </c>
      <c r="D3554">
        <v>3.127481</v>
      </c>
      <c r="E3554">
        <v>0.44690609999999997</v>
      </c>
      <c r="F3554" t="s">
        <v>41</v>
      </c>
      <c r="G3554">
        <v>-273.60969999999998</v>
      </c>
      <c r="H3554" s="1">
        <v>-3.353715E-6</v>
      </c>
      <c r="I3554">
        <v>136.06460000000001</v>
      </c>
      <c r="J3554">
        <v>-242.80840000000001</v>
      </c>
      <c r="K3554">
        <v>1.1086389999999999</v>
      </c>
      <c r="L3554">
        <v>140.95359999999999</v>
      </c>
      <c r="M3554">
        <v>-0.99995149999999999</v>
      </c>
      <c r="N3554">
        <v>0</v>
      </c>
      <c r="O3554">
        <v>-8.3279879999999997E-3</v>
      </c>
      <c r="P3554">
        <v>-0.98766509999999996</v>
      </c>
      <c r="Q3554">
        <v>0.15612999999999999</v>
      </c>
      <c r="R3554">
        <v>-1.1879860000000001E-2</v>
      </c>
      <c r="S3554">
        <v>-3.048737</v>
      </c>
      <c r="T3554">
        <v>-0.10892499999999999</v>
      </c>
      <c r="U3554">
        <v>-0.48048400000000002</v>
      </c>
      <c r="V3554">
        <v>-3.5315979999999999E-3</v>
      </c>
      <c r="W3554">
        <v>0.16133939999999999</v>
      </c>
      <c r="X3554">
        <v>0.98689260000000001</v>
      </c>
      <c r="Y3554">
        <v>-0.14736099999999999</v>
      </c>
      <c r="Z3554">
        <v>-2.3199079999999999E-3</v>
      </c>
      <c r="AA3554">
        <v>0.98908010000000002</v>
      </c>
      <c r="AB3554">
        <v>26</v>
      </c>
      <c r="AC3554">
        <v>-30.801299999999902</v>
      </c>
      <c r="AD3554">
        <v>-1.1086423537150001</v>
      </c>
      <c r="AE3554">
        <v>-4.8889999999999798</v>
      </c>
      <c r="AF3554">
        <v>-4.6264676554494404</v>
      </c>
      <c r="AG3554">
        <v>-1.1086423537150001</v>
      </c>
      <c r="AH3554">
        <v>30.8020238894388</v>
      </c>
      <c r="AI3554">
        <v>92.038483167988005</v>
      </c>
      <c r="AJ3554">
        <v>98.541978950514803</v>
      </c>
      <c r="AK3554">
        <v>31.1672579243175</v>
      </c>
      <c r="AL3554">
        <v>80.715351096879999</v>
      </c>
      <c r="AM3554">
        <v>90.205032236150799</v>
      </c>
      <c r="AN3554">
        <v>0.999999939055775</v>
      </c>
    </row>
    <row r="3555" spans="1:40" x14ac:dyDescent="0.25">
      <c r="A3555" t="str">
        <f>"20190312172733593"</f>
        <v>20190312172733593</v>
      </c>
      <c r="B3555" t="str">
        <f>"1552382853582879"</f>
        <v>1552382853582879</v>
      </c>
      <c r="C3555" t="s">
        <v>40</v>
      </c>
      <c r="D3555">
        <v>3.15157</v>
      </c>
      <c r="E3555">
        <v>0.44692739999999997</v>
      </c>
      <c r="F3555" t="s">
        <v>41</v>
      </c>
      <c r="G3555">
        <v>-274.31799999999998</v>
      </c>
      <c r="H3555" s="1">
        <v>-3.0625010000000001E-6</v>
      </c>
      <c r="I3555">
        <v>135.9933</v>
      </c>
      <c r="J3555">
        <v>-243.08349999999999</v>
      </c>
      <c r="K3555">
        <v>1.1085799999999999</v>
      </c>
      <c r="L3555">
        <v>140.95189999999999</v>
      </c>
      <c r="M3555">
        <v>-0.9999557</v>
      </c>
      <c r="N3555">
        <v>0</v>
      </c>
      <c r="O3555">
        <v>-7.800675E-3</v>
      </c>
      <c r="P3555">
        <v>-0.98760970000000003</v>
      </c>
      <c r="Q3555">
        <v>0.1565019</v>
      </c>
      <c r="R3555">
        <v>-1.1586590000000001E-2</v>
      </c>
      <c r="S3555">
        <v>-3.048645</v>
      </c>
      <c r="T3555">
        <v>-0.1072645</v>
      </c>
      <c r="U3555">
        <v>-0.4799194</v>
      </c>
      <c r="V3555">
        <v>-3.7360660000000001E-3</v>
      </c>
      <c r="W3555">
        <v>0.16172339999999999</v>
      </c>
      <c r="X3555">
        <v>0.98682899999999996</v>
      </c>
      <c r="Y3555">
        <v>-0.14771049999999999</v>
      </c>
      <c r="Z3555">
        <v>-2.3092009999999999E-3</v>
      </c>
      <c r="AA3555">
        <v>0.98902800000000002</v>
      </c>
      <c r="AB3555">
        <v>26</v>
      </c>
      <c r="AC3555">
        <v>-31.234500000000001</v>
      </c>
      <c r="AD3555">
        <v>-1.10858306250099</v>
      </c>
      <c r="AE3555">
        <v>-4.9585999999999899</v>
      </c>
      <c r="AF3555">
        <v>-4.7090094471313</v>
      </c>
      <c r="AG3555">
        <v>-1.10858306250099</v>
      </c>
      <c r="AH3555">
        <v>31.233852535219398</v>
      </c>
      <c r="AI3555">
        <v>92.010048345573196</v>
      </c>
      <c r="AJ3555">
        <v>98.573695126710305</v>
      </c>
      <c r="AK3555">
        <v>31.606285301684402</v>
      </c>
      <c r="AL3555">
        <v>80.693056800001798</v>
      </c>
      <c r="AM3555">
        <v>90.216916802263199</v>
      </c>
      <c r="AN3555">
        <v>0.99999994576885598</v>
      </c>
    </row>
    <row r="3556" spans="1:40" x14ac:dyDescent="0.25">
      <c r="A3556" t="str">
        <f>"20190312172733615"</f>
        <v>20190312172733615</v>
      </c>
      <c r="B3556" t="str">
        <f>"1552382853602399"</f>
        <v>1552382853602399</v>
      </c>
      <c r="C3556" t="s">
        <v>40</v>
      </c>
      <c r="D3556">
        <v>3.1636980000000001</v>
      </c>
      <c r="E3556">
        <v>0.4469709</v>
      </c>
      <c r="F3556" t="s">
        <v>41</v>
      </c>
      <c r="G3556">
        <v>-275.1157</v>
      </c>
      <c r="H3556" s="1">
        <v>-2.7325169999999999E-6</v>
      </c>
      <c r="I3556">
        <v>135.92449999999999</v>
      </c>
      <c r="J3556">
        <v>-243.3458</v>
      </c>
      <c r="K3556">
        <v>1.108519</v>
      </c>
      <c r="L3556">
        <v>140.9504</v>
      </c>
      <c r="M3556">
        <v>-0.99995990000000001</v>
      </c>
      <c r="N3556">
        <v>0</v>
      </c>
      <c r="O3556">
        <v>-7.2151810000000002E-3</v>
      </c>
      <c r="P3556">
        <v>-0.98755210000000004</v>
      </c>
      <c r="Q3556">
        <v>0.15694379999999999</v>
      </c>
      <c r="R3556">
        <v>-1.0471799999999899E-2</v>
      </c>
      <c r="S3556">
        <v>-3.048721</v>
      </c>
      <c r="T3556">
        <v>-0.10551149999999999</v>
      </c>
      <c r="U3556">
        <v>-0.4784851</v>
      </c>
      <c r="V3556">
        <v>-3.174451E-3</v>
      </c>
      <c r="W3556">
        <v>0.16217889999999999</v>
      </c>
      <c r="X3556">
        <v>0.98675630000000003</v>
      </c>
      <c r="Y3556">
        <v>-0.14783399999999999</v>
      </c>
      <c r="Z3556">
        <v>-2.2937629999999999E-3</v>
      </c>
      <c r="AA3556">
        <v>0.98900949999999999</v>
      </c>
      <c r="AB3556">
        <v>27</v>
      </c>
      <c r="AC3556">
        <v>-31.7699</v>
      </c>
      <c r="AD3556">
        <v>-1.108521732517</v>
      </c>
      <c r="AE3556">
        <v>-5.0259</v>
      </c>
      <c r="AF3556">
        <v>-4.7908500803916496</v>
      </c>
      <c r="AG3556">
        <v>-1.108521732517</v>
      </c>
      <c r="AH3556">
        <v>31.767604616991999</v>
      </c>
      <c r="AI3556">
        <v>91.976181186485505</v>
      </c>
      <c r="AJ3556">
        <v>98.576109098964807</v>
      </c>
      <c r="AK3556">
        <v>32.145944814638497</v>
      </c>
      <c r="AL3556">
        <v>80.666610265555505</v>
      </c>
      <c r="AM3556">
        <v>90.184323137448402</v>
      </c>
      <c r="AN3556">
        <v>1.0000000341670201</v>
      </c>
    </row>
    <row r="3557" spans="1:40" x14ac:dyDescent="0.25">
      <c r="A3557" t="str">
        <f>"20190312172733637"</f>
        <v>20190312172733637</v>
      </c>
      <c r="B3557" t="str">
        <f>"1552382853632656"</f>
        <v>1552382853632656</v>
      </c>
      <c r="C3557" t="s">
        <v>40</v>
      </c>
      <c r="D3557">
        <v>3.1072030000000002</v>
      </c>
      <c r="E3557">
        <v>0.4469455</v>
      </c>
      <c r="F3557" t="s">
        <v>41</v>
      </c>
      <c r="G3557">
        <v>-275.85820000000001</v>
      </c>
      <c r="H3557" s="1">
        <v>-2.4203330000000002E-6</v>
      </c>
      <c r="I3557">
        <v>135.88849999999999</v>
      </c>
      <c r="J3557">
        <v>-243.61949999999999</v>
      </c>
      <c r="K3557">
        <v>1.1084419999999999</v>
      </c>
      <c r="L3557">
        <v>140.94919999999999</v>
      </c>
      <c r="M3557">
        <v>-0.99996479999999999</v>
      </c>
      <c r="N3557">
        <v>0</v>
      </c>
      <c r="O3557">
        <v>-6.4974389999999998E-3</v>
      </c>
      <c r="P3557">
        <v>-0.98751940000000005</v>
      </c>
      <c r="Q3557">
        <v>0.15723529999999999</v>
      </c>
      <c r="R3557">
        <v>-9.0839579999999996E-3</v>
      </c>
      <c r="S3557">
        <v>-3.0493009999999998</v>
      </c>
      <c r="T3557">
        <v>-0.10396710000000001</v>
      </c>
      <c r="U3557">
        <v>-0.47474670000000002</v>
      </c>
      <c r="V3557">
        <v>-2.465718E-3</v>
      </c>
      <c r="W3557">
        <v>0.1624852</v>
      </c>
      <c r="X3557">
        <v>0.98670789999999997</v>
      </c>
      <c r="Y3557">
        <v>-0.14733379999999999</v>
      </c>
      <c r="Z3557">
        <v>-2.2758309999999999E-3</v>
      </c>
      <c r="AA3557">
        <v>0.98908419999999997</v>
      </c>
      <c r="AB3557">
        <v>27</v>
      </c>
      <c r="AC3557">
        <v>-32.238700000000001</v>
      </c>
      <c r="AD3557">
        <v>-1.1084444203329999</v>
      </c>
      <c r="AE3557">
        <v>-5.06069999999999</v>
      </c>
      <c r="AF3557">
        <v>-4.8455308426211303</v>
      </c>
      <c r="AG3557">
        <v>-1.1084444203329999</v>
      </c>
      <c r="AH3557">
        <v>32.233712801823202</v>
      </c>
      <c r="AI3557">
        <v>91.9476302898764</v>
      </c>
      <c r="AJ3557">
        <v>98.548972577463104</v>
      </c>
      <c r="AK3557">
        <v>32.614721509928302</v>
      </c>
      <c r="AL3557">
        <v>80.648824341152604</v>
      </c>
      <c r="AM3557">
        <v>90.143178078130305</v>
      </c>
      <c r="AN3557">
        <v>0.99999999995335198</v>
      </c>
    </row>
    <row r="3558" spans="1:40" x14ac:dyDescent="0.25">
      <c r="A3558" t="str">
        <f>"20190312172733659"</f>
        <v>20190312172733659</v>
      </c>
      <c r="B3558" t="str">
        <f>"1552382853653151"</f>
        <v>1552382853653151</v>
      </c>
      <c r="C3558" t="s">
        <v>40</v>
      </c>
      <c r="D3558">
        <v>3.1968380000000001</v>
      </c>
      <c r="E3558">
        <v>0.44705230000000001</v>
      </c>
      <c r="F3558" t="s">
        <v>41</v>
      </c>
      <c r="G3558">
        <v>-276.43099999999998</v>
      </c>
      <c r="H3558" s="1">
        <v>-2.1936390000000001E-6</v>
      </c>
      <c r="I3558">
        <v>135.88399999999999</v>
      </c>
      <c r="J3558">
        <v>-243.8784</v>
      </c>
      <c r="K3558">
        <v>1.10836</v>
      </c>
      <c r="L3558">
        <v>140.94829999999999</v>
      </c>
      <c r="M3558">
        <v>-0.99996969999999996</v>
      </c>
      <c r="N3558">
        <v>0</v>
      </c>
      <c r="O3558">
        <v>-5.7036219999999898E-3</v>
      </c>
      <c r="P3558">
        <v>-0.98739399999999999</v>
      </c>
      <c r="Q3558">
        <v>0.15813550000000001</v>
      </c>
      <c r="R3558">
        <v>-6.8286149999999997E-3</v>
      </c>
      <c r="S3558">
        <v>-3.0499879999999999</v>
      </c>
      <c r="T3558">
        <v>-0.1030356</v>
      </c>
      <c r="U3558">
        <v>-0.4708252</v>
      </c>
      <c r="V3558">
        <v>-9.6232420000000004E-4</v>
      </c>
      <c r="W3558">
        <v>0.16339600000000001</v>
      </c>
      <c r="X3558">
        <v>0.98656010000000005</v>
      </c>
      <c r="Y3558">
        <v>-0.14684440000000001</v>
      </c>
      <c r="Z3558">
        <v>-2.2736029999999999E-3</v>
      </c>
      <c r="AA3558">
        <v>0.98915699999999995</v>
      </c>
      <c r="AB3558">
        <v>27</v>
      </c>
      <c r="AC3558">
        <v>-32.552599999999899</v>
      </c>
      <c r="AD3558">
        <v>-1.108362193639</v>
      </c>
      <c r="AE3558">
        <v>-5.0643000000000002</v>
      </c>
      <c r="AF3558">
        <v>-4.8730315329190397</v>
      </c>
      <c r="AG3558">
        <v>-1.108362193639</v>
      </c>
      <c r="AH3558">
        <v>32.544119232559801</v>
      </c>
      <c r="AI3558">
        <v>91.929091383987199</v>
      </c>
      <c r="AJ3558">
        <v>98.515980917999997</v>
      </c>
      <c r="AK3558">
        <v>32.925591865541001</v>
      </c>
      <c r="AL3558">
        <v>80.595932537073793</v>
      </c>
      <c r="AM3558">
        <v>90.0558882299174</v>
      </c>
      <c r="AN3558">
        <v>1.0000000048979301</v>
      </c>
    </row>
    <row r="3559" spans="1:40" x14ac:dyDescent="0.25">
      <c r="A3559" t="str">
        <f>"20190312172733681"</f>
        <v>20190312172733681</v>
      </c>
      <c r="B3559" t="str">
        <f>"1552382853672672"</f>
        <v>1552382853672672</v>
      </c>
      <c r="C3559" t="s">
        <v>40</v>
      </c>
      <c r="D3559">
        <v>3.1244459999999998</v>
      </c>
      <c r="E3559">
        <v>0.44704680000000002</v>
      </c>
      <c r="F3559" t="s">
        <v>41</v>
      </c>
      <c r="G3559">
        <v>-277.74169999999998</v>
      </c>
      <c r="H3559" s="1">
        <v>-1.7697139999999999E-6</v>
      </c>
      <c r="I3559">
        <v>135.80090000000001</v>
      </c>
      <c r="J3559">
        <v>-244.148</v>
      </c>
      <c r="K3559">
        <v>1.108266</v>
      </c>
      <c r="L3559">
        <v>140.9477</v>
      </c>
      <c r="M3559">
        <v>-0.99997449999999999</v>
      </c>
      <c r="N3559">
        <v>0</v>
      </c>
      <c r="O3559">
        <v>-4.7543220000000001E-3</v>
      </c>
      <c r="P3559">
        <v>-0.98729350000000005</v>
      </c>
      <c r="Q3559">
        <v>0.1588667</v>
      </c>
      <c r="R3559">
        <v>-3.6108590000000001E-3</v>
      </c>
      <c r="S3559">
        <v>-3.0510860000000002</v>
      </c>
      <c r="T3559">
        <v>-9.9863649999999998E-2</v>
      </c>
      <c r="U3559">
        <v>-0.46377560000000001</v>
      </c>
      <c r="V3559">
        <v>1.3558800000000001E-3</v>
      </c>
      <c r="W3559">
        <v>0.1641359</v>
      </c>
      <c r="X3559">
        <v>0.9864368</v>
      </c>
      <c r="Y3559">
        <v>-0.14550160000000001</v>
      </c>
      <c r="Z3559">
        <v>-2.212281E-3</v>
      </c>
      <c r="AA3559">
        <v>0.9893556</v>
      </c>
      <c r="AB3559">
        <v>27</v>
      </c>
      <c r="AC3559">
        <v>-33.593699999999899</v>
      </c>
      <c r="AD3559">
        <v>-1.108267769714</v>
      </c>
      <c r="AE3559">
        <v>-5.1467999999999803</v>
      </c>
      <c r="AF3559">
        <v>-4.9817267161176</v>
      </c>
      <c r="AG3559">
        <v>-1.108267769714</v>
      </c>
      <c r="AH3559">
        <v>33.582078952974598</v>
      </c>
      <c r="AI3559">
        <v>91.869729572424404</v>
      </c>
      <c r="AJ3559">
        <v>98.437993929019001</v>
      </c>
      <c r="AK3559">
        <v>33.967659403133503</v>
      </c>
      <c r="AL3559">
        <v>80.552959133075305</v>
      </c>
      <c r="AM3559">
        <v>89.9212456868988</v>
      </c>
      <c r="AN3559">
        <v>0.99999999623681202</v>
      </c>
    </row>
    <row r="3560" spans="1:40" x14ac:dyDescent="0.25">
      <c r="A3560" t="str">
        <f>"20190312172733703"</f>
        <v>20190312172733703</v>
      </c>
      <c r="B3560" t="str">
        <f>"1552382853693167"</f>
        <v>1552382853693167</v>
      </c>
      <c r="C3560" t="s">
        <v>40</v>
      </c>
      <c r="D3560">
        <v>3.0706760000000002</v>
      </c>
      <c r="E3560">
        <v>0.44711800000000002</v>
      </c>
      <c r="F3560" t="s">
        <v>41</v>
      </c>
      <c r="G3560">
        <v>-278.9323</v>
      </c>
      <c r="H3560" s="1">
        <v>-1.3735949999999999E-6</v>
      </c>
      <c r="I3560">
        <v>135.76689999999999</v>
      </c>
      <c r="J3560">
        <v>-244.4171</v>
      </c>
      <c r="K3560">
        <v>1.108169</v>
      </c>
      <c r="L3560">
        <v>140.94749999999999</v>
      </c>
      <c r="M3560">
        <v>-0.99997899999999995</v>
      </c>
      <c r="N3560">
        <v>0</v>
      </c>
      <c r="O3560">
        <v>-3.6873769999999999E-3</v>
      </c>
      <c r="P3560">
        <v>-0.98731009999999997</v>
      </c>
      <c r="Q3560">
        <v>0.15880469999999999</v>
      </c>
      <c r="R3560">
        <v>-4.0526430000000001E-4</v>
      </c>
      <c r="S3560">
        <v>-3.052597</v>
      </c>
      <c r="T3560">
        <v>-9.7259520000000002E-2</v>
      </c>
      <c r="U3560">
        <v>-0.45465090000000002</v>
      </c>
      <c r="V3560">
        <v>3.5458809999999999E-3</v>
      </c>
      <c r="W3560">
        <v>0.16408320000000001</v>
      </c>
      <c r="X3560">
        <v>0.98644010000000004</v>
      </c>
      <c r="Y3560">
        <v>-0.14359640000000001</v>
      </c>
      <c r="Z3560">
        <v>-2.157661E-3</v>
      </c>
      <c r="AA3560">
        <v>0.98963400000000001</v>
      </c>
      <c r="AB3560">
        <v>27</v>
      </c>
      <c r="AC3560">
        <v>-34.515199999999901</v>
      </c>
      <c r="AD3560">
        <v>-1.1081703735949999</v>
      </c>
      <c r="AE3560">
        <v>-5.1805999999999903</v>
      </c>
      <c r="AF3560">
        <v>-5.04820317011953</v>
      </c>
      <c r="AG3560">
        <v>-1.1081703735949999</v>
      </c>
      <c r="AH3560">
        <v>34.499288660657498</v>
      </c>
      <c r="AI3560">
        <v>91.820423434592698</v>
      </c>
      <c r="AJ3560">
        <v>98.3248808932575</v>
      </c>
      <c r="AK3560">
        <v>34.884284641011199</v>
      </c>
      <c r="AL3560">
        <v>80.556019874380794</v>
      </c>
      <c r="AM3560">
        <v>89.794044117921203</v>
      </c>
      <c r="AN3560">
        <v>0.99999997034115695</v>
      </c>
    </row>
    <row r="3561" spans="1:40" x14ac:dyDescent="0.25">
      <c r="A3561" t="str">
        <f>"20190312172733728"</f>
        <v>20190312172733728</v>
      </c>
      <c r="B3561" t="str">
        <f>"1552382853722448"</f>
        <v>1552382853722448</v>
      </c>
      <c r="C3561" t="s">
        <v>40</v>
      </c>
      <c r="D3561">
        <v>3.093702</v>
      </c>
      <c r="E3561">
        <v>0.44723099999999999</v>
      </c>
      <c r="F3561" t="s">
        <v>41</v>
      </c>
      <c r="G3561">
        <v>-279.20609999999999</v>
      </c>
      <c r="H3561" s="1">
        <v>-1.249806E-6</v>
      </c>
      <c r="I3561">
        <v>135.88200000000001</v>
      </c>
      <c r="J3561">
        <v>-244.7039</v>
      </c>
      <c r="K3561">
        <v>1.1080700000000001</v>
      </c>
      <c r="L3561">
        <v>140.9477</v>
      </c>
      <c r="M3561">
        <v>-0.9999827</v>
      </c>
      <c r="N3561">
        <v>0</v>
      </c>
      <c r="O3561">
        <v>-2.435806E-3</v>
      </c>
      <c r="P3561">
        <v>-0.98737490000000006</v>
      </c>
      <c r="Q3561">
        <v>0.1583745</v>
      </c>
      <c r="R3561">
        <v>2.9198010000000001E-3</v>
      </c>
      <c r="S3561">
        <v>-3.0540470000000002</v>
      </c>
      <c r="T3561">
        <v>-9.7283839999999996E-2</v>
      </c>
      <c r="U3561">
        <v>-0.4446869</v>
      </c>
      <c r="V3561">
        <v>5.6721269999999999E-3</v>
      </c>
      <c r="W3561">
        <v>0.1636637</v>
      </c>
      <c r="X3561">
        <v>0.98649989999999999</v>
      </c>
      <c r="Y3561">
        <v>-0.1416065</v>
      </c>
      <c r="Z3561">
        <v>-2.1658210000000001E-3</v>
      </c>
      <c r="AA3561">
        <v>0.98992069999999999</v>
      </c>
      <c r="AB3561">
        <v>27</v>
      </c>
      <c r="AC3561">
        <v>-34.502199999999903</v>
      </c>
      <c r="AD3561">
        <v>-1.1080712498059999</v>
      </c>
      <c r="AE3561">
        <v>-5.0656999999999899</v>
      </c>
      <c r="AF3561">
        <v>-4.9766183614074198</v>
      </c>
      <c r="AG3561">
        <v>-1.1080712498059999</v>
      </c>
      <c r="AH3561">
        <v>34.479623856827402</v>
      </c>
      <c r="AI3561">
        <v>91.821814427274305</v>
      </c>
      <c r="AJ3561">
        <v>98.213069623094299</v>
      </c>
      <c r="AK3561">
        <v>34.854540787651203</v>
      </c>
      <c r="AL3561">
        <v>80.580385271737995</v>
      </c>
      <c r="AM3561">
        <v>89.670567268484504</v>
      </c>
      <c r="AN3561">
        <v>1.0000000162111999</v>
      </c>
    </row>
    <row r="3562" spans="1:40" x14ac:dyDescent="0.25">
      <c r="A3562" t="str">
        <f>"20190312172733772"</f>
        <v>20190312172733772</v>
      </c>
      <c r="B3562" t="str">
        <f>"1552382853762464"</f>
        <v>1552382853762464</v>
      </c>
      <c r="C3562" t="s">
        <v>40</v>
      </c>
      <c r="D3562">
        <v>3.5709059999999999</v>
      </c>
      <c r="E3562">
        <v>0.44819219999999999</v>
      </c>
      <c r="F3562" t="s">
        <v>41</v>
      </c>
      <c r="G3562">
        <v>-278.8039</v>
      </c>
      <c r="H3562" s="1">
        <v>-1.3284019999999999E-6</v>
      </c>
      <c r="I3562">
        <v>136.1009</v>
      </c>
      <c r="J3562">
        <v>-245.2448</v>
      </c>
      <c r="K3562">
        <v>1.107936</v>
      </c>
      <c r="L3562">
        <v>140.9495</v>
      </c>
      <c r="M3562">
        <v>-0.99998529999999997</v>
      </c>
      <c r="N3562">
        <v>0</v>
      </c>
      <c r="O3562">
        <v>1.7397469999999999E-4</v>
      </c>
      <c r="P3562">
        <v>-0.98742099999999999</v>
      </c>
      <c r="Q3562">
        <v>0.1578937</v>
      </c>
      <c r="R3562">
        <v>8.3116560000000006E-3</v>
      </c>
      <c r="S3562">
        <v>-3.055542</v>
      </c>
      <c r="T3562">
        <v>-9.9289059999999998E-2</v>
      </c>
      <c r="U3562">
        <v>-0.43429570000000001</v>
      </c>
      <c r="V3562">
        <v>8.5356149999999999E-3</v>
      </c>
      <c r="W3562">
        <v>0.1632055</v>
      </c>
      <c r="X3562">
        <v>0.98655519999999997</v>
      </c>
      <c r="Y3562">
        <v>-0.14081869999999999</v>
      </c>
      <c r="Z3562">
        <v>-2.2815259999999999E-3</v>
      </c>
      <c r="AA3562">
        <v>0.99003280000000005</v>
      </c>
      <c r="AB3562">
        <v>27</v>
      </c>
      <c r="AC3562">
        <v>-33.559100000000001</v>
      </c>
      <c r="AD3562">
        <v>-1.107937328402</v>
      </c>
      <c r="AE3562">
        <v>-4.8486000000000002</v>
      </c>
      <c r="AF3562">
        <v>-4.8492610306495703</v>
      </c>
      <c r="AG3562">
        <v>-1.107937328402</v>
      </c>
      <c r="AH3562">
        <v>33.522464977520201</v>
      </c>
      <c r="AI3562">
        <v>91.873484055441295</v>
      </c>
      <c r="AJ3562">
        <v>98.2311415615182</v>
      </c>
      <c r="AK3562">
        <v>33.889504508565999</v>
      </c>
      <c r="AL3562">
        <v>80.6069961061595</v>
      </c>
      <c r="AM3562">
        <v>89.504292803183603</v>
      </c>
      <c r="AN3562">
        <v>1.00000002730035</v>
      </c>
    </row>
    <row r="3563" spans="1:40" x14ac:dyDescent="0.25">
      <c r="A3563" t="str">
        <f>"20190312172733904"</f>
        <v>20190312172733904</v>
      </c>
      <c r="B3563" t="str">
        <f>"1552382853903008"</f>
        <v>1552382853903008</v>
      </c>
      <c r="C3563" t="s">
        <v>40</v>
      </c>
      <c r="D3563">
        <v>3.2881109999999998</v>
      </c>
      <c r="E3563">
        <v>0.52366520000000005</v>
      </c>
      <c r="F3563" t="s">
        <v>41</v>
      </c>
      <c r="G3563">
        <v>-277.80509999999998</v>
      </c>
      <c r="H3563" s="1">
        <v>-1.546005E-6</v>
      </c>
      <c r="I3563">
        <v>136.56059999999999</v>
      </c>
      <c r="J3563">
        <v>-246.9161</v>
      </c>
      <c r="K3563">
        <v>1.1078440000000001</v>
      </c>
      <c r="L3563">
        <v>140.96459999999999</v>
      </c>
      <c r="M3563">
        <v>-0.99994700000000003</v>
      </c>
      <c r="N3563">
        <v>0</v>
      </c>
      <c r="O3563">
        <v>8.75306E-3</v>
      </c>
      <c r="P3563">
        <v>-0.98712560000000005</v>
      </c>
      <c r="Q3563">
        <v>0.1588359</v>
      </c>
      <c r="R3563">
        <v>1.882033E-2</v>
      </c>
      <c r="S3563">
        <v>-3.0583040000000001</v>
      </c>
      <c r="T3563">
        <v>-0.1040657</v>
      </c>
      <c r="U3563">
        <v>-0.41223140000000003</v>
      </c>
      <c r="V3563">
        <v>1.0612389999999999E-2</v>
      </c>
      <c r="W3563">
        <v>0.16418820000000001</v>
      </c>
      <c r="X3563">
        <v>0.98637189999999997</v>
      </c>
      <c r="Y3563">
        <v>-0.14216670000000001</v>
      </c>
      <c r="Z3563">
        <v>-2.7036579999999998E-3</v>
      </c>
      <c r="AA3563">
        <v>0.98983900000000002</v>
      </c>
      <c r="AB3563">
        <v>28</v>
      </c>
      <c r="AC3563">
        <v>-30.8889999999999</v>
      </c>
      <c r="AD3563">
        <v>-1.1078455460050001</v>
      </c>
      <c r="AE3563">
        <v>-4.4039999999999901</v>
      </c>
      <c r="AF3563">
        <v>-4.6683231796461797</v>
      </c>
      <c r="AG3563">
        <v>-1.1078455460050001</v>
      </c>
      <c r="AH3563">
        <v>30.810424960374601</v>
      </c>
      <c r="AI3563">
        <v>92.036068938930001</v>
      </c>
      <c r="AJ3563">
        <v>98.615788113530996</v>
      </c>
      <c r="AK3563">
        <v>31.181771105925002</v>
      </c>
      <c r="AL3563">
        <v>80.549920972182093</v>
      </c>
      <c r="AM3563">
        <v>89.383577636924102</v>
      </c>
      <c r="AN3563">
        <v>0.99999995647518003</v>
      </c>
    </row>
    <row r="3564" spans="1:40" x14ac:dyDescent="0.25">
      <c r="A3564" t="str">
        <f>"20190312172733930"</f>
        <v>20190312172733930</v>
      </c>
      <c r="B3564" t="str">
        <f>"1552382853922528"</f>
        <v>1552382853922528</v>
      </c>
      <c r="C3564" t="s">
        <v>40</v>
      </c>
      <c r="D3564">
        <v>3.2606000000000002</v>
      </c>
      <c r="E3564">
        <v>0.52288710000000005</v>
      </c>
      <c r="F3564" t="s">
        <v>44</v>
      </c>
      <c r="G3564">
        <v>-247.68530000000001</v>
      </c>
      <c r="H3564">
        <v>1.050584</v>
      </c>
      <c r="I3564">
        <v>141.0187</v>
      </c>
      <c r="J3564">
        <v>-247.2252</v>
      </c>
      <c r="K3564">
        <v>1.107831</v>
      </c>
      <c r="L3564">
        <v>140.96889999999999</v>
      </c>
      <c r="M3564">
        <v>-0.99993180000000004</v>
      </c>
      <c r="N3564">
        <v>0</v>
      </c>
      <c r="O3564">
        <v>1.032772E-2</v>
      </c>
      <c r="P3564">
        <v>-0.9870563</v>
      </c>
      <c r="Q3564">
        <v>0.15903909999999999</v>
      </c>
      <c r="R3564">
        <v>2.0646589999999999E-2</v>
      </c>
      <c r="S3564">
        <v>-3.0718079999999999</v>
      </c>
      <c r="T3564">
        <v>-0.22866049999999999</v>
      </c>
      <c r="U3564">
        <v>0.21585080000000001</v>
      </c>
      <c r="V3564">
        <v>1.08889E-2</v>
      </c>
      <c r="W3564">
        <v>0.1643867</v>
      </c>
      <c r="X3564">
        <v>0.98633590000000004</v>
      </c>
      <c r="Y3564">
        <v>5.965351E-2</v>
      </c>
      <c r="Z3564">
        <v>1.447762E-3</v>
      </c>
      <c r="AA3564">
        <v>0.9982181</v>
      </c>
      <c r="AB3564">
        <v>28</v>
      </c>
      <c r="AC3564">
        <v>-0.460100000000011</v>
      </c>
      <c r="AD3564">
        <v>-5.7246999999999999E-2</v>
      </c>
      <c r="AE3564">
        <v>4.9800000000004702E-2</v>
      </c>
      <c r="AF3564">
        <v>4.4366600275035403E-2</v>
      </c>
      <c r="AG3564">
        <v>-5.7246999999999999E-2</v>
      </c>
      <c r="AH3564">
        <v>0.45364815345413601</v>
      </c>
      <c r="AI3564">
        <v>97.158484874287097</v>
      </c>
      <c r="AJ3564">
        <v>84.414260204868995</v>
      </c>
      <c r="AK3564">
        <v>0.45939336233919698</v>
      </c>
      <c r="AL3564">
        <v>80.538391813268504</v>
      </c>
      <c r="AM3564">
        <v>89.367494714806298</v>
      </c>
      <c r="AN3564">
        <v>1.0000000314544499</v>
      </c>
    </row>
    <row r="3565" spans="1:40" x14ac:dyDescent="0.25">
      <c r="A3565" t="str">
        <f>"20190312172733951"</f>
        <v>20190312172733951</v>
      </c>
      <c r="B3565" t="str">
        <f>"1552382853943024"</f>
        <v>1552382853943024</v>
      </c>
      <c r="C3565" t="s">
        <v>40</v>
      </c>
      <c r="D3565">
        <v>3.4332150000000001</v>
      </c>
      <c r="E3565">
        <v>0.52317029999999998</v>
      </c>
      <c r="F3565" t="s">
        <v>44</v>
      </c>
      <c r="G3565">
        <v>-248.19569999999999</v>
      </c>
      <c r="H3565">
        <v>1.0527359999999999</v>
      </c>
      <c r="I3565">
        <v>141.03790000000001</v>
      </c>
      <c r="J3565">
        <v>-247.5026</v>
      </c>
      <c r="K3565">
        <v>1.1078140000000001</v>
      </c>
      <c r="L3565">
        <v>140.97319999999999</v>
      </c>
      <c r="M3565">
        <v>-0.99991640000000004</v>
      </c>
      <c r="N3565">
        <v>0</v>
      </c>
      <c r="O3565">
        <v>1.1737050000000001E-2</v>
      </c>
      <c r="P3565">
        <v>-0.98706629999999995</v>
      </c>
      <c r="Q3565">
        <v>0.15882370000000001</v>
      </c>
      <c r="R3565">
        <v>2.1797130000000001E-2</v>
      </c>
      <c r="S3565">
        <v>-3.0628199999999999</v>
      </c>
      <c r="T3565">
        <v>-0.1738249</v>
      </c>
      <c r="U3565">
        <v>0.21742249999999999</v>
      </c>
      <c r="V3565">
        <v>1.0650740000000001E-2</v>
      </c>
      <c r="W3565">
        <v>0.16416559999999999</v>
      </c>
      <c r="X3565">
        <v>0.98637529999999995</v>
      </c>
      <c r="Y3565">
        <v>5.9021150000000001E-2</v>
      </c>
      <c r="Z3565">
        <v>1.006701E-3</v>
      </c>
      <c r="AA3565">
        <v>0.99825620000000004</v>
      </c>
      <c r="AB3565">
        <v>28</v>
      </c>
      <c r="AC3565">
        <v>-0.69309999999998695</v>
      </c>
      <c r="AD3565">
        <v>-5.5077999999999697E-2</v>
      </c>
      <c r="AE3565">
        <v>6.4700000000016106E-2</v>
      </c>
      <c r="AF3565">
        <v>5.6208590427339E-2</v>
      </c>
      <c r="AG3565">
        <v>-5.5077999999999697E-2</v>
      </c>
      <c r="AH3565">
        <v>0.68949519503476298</v>
      </c>
      <c r="AI3565">
        <v>94.552144880498602</v>
      </c>
      <c r="AJ3565">
        <v>85.339475732156899</v>
      </c>
      <c r="AK3565">
        <v>0.69397162456245598</v>
      </c>
      <c r="AL3565">
        <v>80.551234155189306</v>
      </c>
      <c r="AM3565">
        <v>89.381352376183699</v>
      </c>
      <c r="AN3565">
        <v>1.00000000746799</v>
      </c>
    </row>
    <row r="3566" spans="1:40" x14ac:dyDescent="0.25">
      <c r="A3566" t="str">
        <f>"20190312172733972"</f>
        <v>20190312172733972</v>
      </c>
      <c r="B3566" t="str">
        <f>"1552382853962547"</f>
        <v>1552382853962547</v>
      </c>
      <c r="C3566" t="s">
        <v>40</v>
      </c>
      <c r="D3566">
        <v>3.2723900000000001</v>
      </c>
      <c r="E3566">
        <v>0.52292879999999997</v>
      </c>
      <c r="F3566" t="s">
        <v>41</v>
      </c>
      <c r="G3566">
        <v>-269.04520000000002</v>
      </c>
      <c r="H3566" s="1">
        <v>-1.1724030000000001E-6</v>
      </c>
      <c r="I3566">
        <v>142.54949999999999</v>
      </c>
      <c r="J3566">
        <v>-247.77260000000001</v>
      </c>
      <c r="K3566">
        <v>1.1077950000000001</v>
      </c>
      <c r="L3566">
        <v>140.9778</v>
      </c>
      <c r="M3566">
        <v>-0.99989939999999999</v>
      </c>
      <c r="N3566">
        <v>0</v>
      </c>
      <c r="O3566">
        <v>1.310739E-2</v>
      </c>
      <c r="P3566">
        <v>-0.98707049999999996</v>
      </c>
      <c r="Q3566">
        <v>0.15860829999999901</v>
      </c>
      <c r="R3566">
        <v>2.3134080000000001E-2</v>
      </c>
      <c r="S3566">
        <v>-3.0596770000000002</v>
      </c>
      <c r="T3566">
        <v>-0.15734219999999999</v>
      </c>
      <c r="U3566">
        <v>0.22389220000000001</v>
      </c>
      <c r="V3566">
        <v>1.0637290000000001E-2</v>
      </c>
      <c r="W3566">
        <v>0.16394210000000001</v>
      </c>
      <c r="X3566">
        <v>0.98641259999999997</v>
      </c>
      <c r="Y3566">
        <v>5.9839690000000001E-2</v>
      </c>
      <c r="Z3566">
        <v>8.6293419999999995E-4</v>
      </c>
      <c r="AA3566">
        <v>0.99820759999999997</v>
      </c>
      <c r="AB3566">
        <v>28</v>
      </c>
      <c r="AC3566">
        <v>-21.272600000000001</v>
      </c>
      <c r="AD3566">
        <v>-1.1077961724030001</v>
      </c>
      <c r="AE3566">
        <v>1.5716999999999901</v>
      </c>
      <c r="AF3566">
        <v>1.289255228554</v>
      </c>
      <c r="AG3566">
        <v>-1.1077961724030001</v>
      </c>
      <c r="AH3566">
        <v>21.234100932991801</v>
      </c>
      <c r="AI3566">
        <v>92.980969086504203</v>
      </c>
      <c r="AJ3566">
        <v>86.525479834413801</v>
      </c>
      <c r="AK3566">
        <v>21.302028866669701</v>
      </c>
      <c r="AL3566">
        <v>80.564215483979396</v>
      </c>
      <c r="AM3566">
        <v>89.382156920121702</v>
      </c>
      <c r="AN3566">
        <v>0.99999999076485702</v>
      </c>
    </row>
    <row r="3567" spans="1:40" x14ac:dyDescent="0.25">
      <c r="A3567" t="str">
        <f>"20190312172733996"</f>
        <v>20190312172733996</v>
      </c>
      <c r="B3567" t="str">
        <f>"1552382853992800"</f>
        <v>1552382853992800</v>
      </c>
      <c r="C3567" t="s">
        <v>40</v>
      </c>
      <c r="D3567">
        <v>3.2590720000000002</v>
      </c>
      <c r="E3567">
        <v>0.52166089999999998</v>
      </c>
      <c r="F3567" t="s">
        <v>41</v>
      </c>
      <c r="G3567">
        <v>-270.99099999999999</v>
      </c>
      <c r="H3567" s="1">
        <v>-4.4860900000000003E-6</v>
      </c>
      <c r="I3567">
        <v>142.70160000000001</v>
      </c>
      <c r="J3567">
        <v>-248.08009999999999</v>
      </c>
      <c r="K3567">
        <v>1.1077790000000001</v>
      </c>
      <c r="L3567">
        <v>140.98339999999999</v>
      </c>
      <c r="M3567">
        <v>-0.99987780000000004</v>
      </c>
      <c r="N3567">
        <v>0</v>
      </c>
      <c r="O3567">
        <v>1.4666510000000001E-2</v>
      </c>
      <c r="P3567">
        <v>-0.98712770000000005</v>
      </c>
      <c r="Q3567">
        <v>0.15803149999999999</v>
      </c>
      <c r="R3567">
        <v>2.4607899999999999E-2</v>
      </c>
      <c r="S3567">
        <v>-3.057404</v>
      </c>
      <c r="T3567">
        <v>-0.1458759</v>
      </c>
      <c r="U3567">
        <v>0.22700500000000001</v>
      </c>
      <c r="V3567">
        <v>1.057289E-2</v>
      </c>
      <c r="W3567">
        <v>0.1633541</v>
      </c>
      <c r="X3567">
        <v>0.98651080000000002</v>
      </c>
      <c r="Y3567">
        <v>5.9358870000000001E-2</v>
      </c>
      <c r="Z3567">
        <v>7.1501609999999999E-4</v>
      </c>
      <c r="AA3567">
        <v>0.99823649999999997</v>
      </c>
      <c r="AB3567">
        <v>29</v>
      </c>
      <c r="AC3567">
        <v>-22.910900000000002</v>
      </c>
      <c r="AD3567">
        <v>-1.10778348609</v>
      </c>
      <c r="AE3567">
        <v>1.7182000000000199</v>
      </c>
      <c r="AF3567">
        <v>1.3787819006658999</v>
      </c>
      <c r="AG3567">
        <v>-1.10778348609</v>
      </c>
      <c r="AH3567">
        <v>22.880443057730101</v>
      </c>
      <c r="AI3567">
        <v>92.766866550150795</v>
      </c>
      <c r="AJ3567">
        <v>86.551510428907505</v>
      </c>
      <c r="AK3567">
        <v>22.9487014512736</v>
      </c>
      <c r="AL3567">
        <v>80.598365435192903</v>
      </c>
      <c r="AM3567">
        <v>89.385958286838104</v>
      </c>
      <c r="AN3567">
        <v>0.99999995325320001</v>
      </c>
    </row>
    <row r="3568" spans="1:40" x14ac:dyDescent="0.25">
      <c r="A3568" t="str">
        <f>"20190312172734016"</f>
        <v>20190312172734016</v>
      </c>
      <c r="B3568" t="str">
        <f>"1552382854013088"</f>
        <v>1552382854013088</v>
      </c>
      <c r="C3568" t="s">
        <v>40</v>
      </c>
      <c r="D3568">
        <v>3.2628539999999999</v>
      </c>
      <c r="E3568">
        <v>0.52124609999999905</v>
      </c>
      <c r="F3568" t="s">
        <v>41</v>
      </c>
      <c r="G3568">
        <v>-272.00619999999998</v>
      </c>
      <c r="H3568" s="1">
        <v>-4.1433120000000001E-6</v>
      </c>
      <c r="I3568">
        <v>142.71690000000001</v>
      </c>
      <c r="J3568">
        <v>-248.3441</v>
      </c>
      <c r="K3568">
        <v>1.107758</v>
      </c>
      <c r="L3568">
        <v>140.98859999999999</v>
      </c>
      <c r="M3568">
        <v>-0.99985740000000001</v>
      </c>
      <c r="N3568">
        <v>0</v>
      </c>
      <c r="O3568">
        <v>1.6004549999999999E-2</v>
      </c>
      <c r="P3568">
        <v>-0.98713680000000004</v>
      </c>
      <c r="Q3568">
        <v>0.1577597</v>
      </c>
      <c r="R3568">
        <v>2.5942739999999999E-2</v>
      </c>
      <c r="S3568">
        <v>-3.0562589999999998</v>
      </c>
      <c r="T3568">
        <v>-0.141505399999999</v>
      </c>
      <c r="U3568">
        <v>0.22143550000000001</v>
      </c>
      <c r="V3568">
        <v>1.058828E-2</v>
      </c>
      <c r="W3568">
        <v>0.16307189999999999</v>
      </c>
      <c r="X3568">
        <v>0.98655740000000003</v>
      </c>
      <c r="Y3568">
        <v>5.6248649999999997E-2</v>
      </c>
      <c r="Z3568">
        <v>5.6023460000000005E-4</v>
      </c>
      <c r="AA3568">
        <v>0.99841670000000005</v>
      </c>
      <c r="AB3568">
        <v>29</v>
      </c>
      <c r="AC3568">
        <v>-23.662099999999899</v>
      </c>
      <c r="AD3568">
        <v>-1.107762143312</v>
      </c>
      <c r="AE3568">
        <v>1.7283000000000099</v>
      </c>
      <c r="AF3568">
        <v>1.3464365096003801</v>
      </c>
      <c r="AG3568">
        <v>-1.107762143312</v>
      </c>
      <c r="AH3568">
        <v>23.635203292072401</v>
      </c>
      <c r="AI3568">
        <v>92.679103965653795</v>
      </c>
      <c r="AJ3568">
        <v>86.739531373484198</v>
      </c>
      <c r="AK3568">
        <v>23.699427480387101</v>
      </c>
      <c r="AL3568">
        <v>80.614754788032798</v>
      </c>
      <c r="AM3568">
        <v>89.385093594644303</v>
      </c>
      <c r="AN3568">
        <v>1.0000000298688601</v>
      </c>
    </row>
    <row r="3569" spans="1:40" x14ac:dyDescent="0.25">
      <c r="A3569" t="str">
        <f>"20190312172734039"</f>
        <v>20190312172734039</v>
      </c>
      <c r="B3569" t="str">
        <f>"1552382854032609"</f>
        <v>1552382854032609</v>
      </c>
      <c r="C3569" t="s">
        <v>40</v>
      </c>
      <c r="D3569">
        <v>3.241501</v>
      </c>
      <c r="E3569">
        <v>0.5211095</v>
      </c>
      <c r="F3569" t="s">
        <v>41</v>
      </c>
      <c r="G3569">
        <v>-272.23950000000002</v>
      </c>
      <c r="H3569" s="1">
        <v>-4.065488E-6</v>
      </c>
      <c r="I3569">
        <v>142.72569999999999</v>
      </c>
      <c r="J3569">
        <v>-248.63460000000001</v>
      </c>
      <c r="K3569">
        <v>1.1077459999999999</v>
      </c>
      <c r="L3569">
        <v>140.9948</v>
      </c>
      <c r="M3569">
        <v>-0.99983270000000002</v>
      </c>
      <c r="N3569">
        <v>0</v>
      </c>
      <c r="O3569">
        <v>1.7476160000000001E-2</v>
      </c>
      <c r="P3569">
        <v>-0.98709860000000005</v>
      </c>
      <c r="Q3569">
        <v>0.15767300000000001</v>
      </c>
      <c r="R3569">
        <v>2.7854790000000001E-2</v>
      </c>
      <c r="S3569">
        <v>-3.0558930000000002</v>
      </c>
      <c r="T3569">
        <v>-0.1416676</v>
      </c>
      <c r="U3569">
        <v>0.22215270000000001</v>
      </c>
      <c r="V3569">
        <v>1.105067E-2</v>
      </c>
      <c r="W3569">
        <v>0.16297310000000001</v>
      </c>
      <c r="X3569">
        <v>0.98656860000000002</v>
      </c>
      <c r="Y3569">
        <v>5.5023580000000002E-2</v>
      </c>
      <c r="Z3569">
        <v>4.6452579999999998E-4</v>
      </c>
      <c r="AA3569">
        <v>0.99848499999999996</v>
      </c>
      <c r="AB3569">
        <v>29</v>
      </c>
      <c r="AC3569">
        <v>-23.604900000000001</v>
      </c>
      <c r="AD3569">
        <v>-1.1077500654879999</v>
      </c>
      <c r="AE3569">
        <v>1.7308999999999899</v>
      </c>
      <c r="AF3569">
        <v>1.3152255783229301</v>
      </c>
      <c r="AG3569">
        <v>-1.1077500654879999</v>
      </c>
      <c r="AH3569">
        <v>23.579892295763202</v>
      </c>
      <c r="AI3569">
        <v>92.685529189166303</v>
      </c>
      <c r="AJ3569">
        <v>86.807497199553495</v>
      </c>
      <c r="AK3569">
        <v>23.642509367858001</v>
      </c>
      <c r="AL3569">
        <v>80.620491852271698</v>
      </c>
      <c r="AM3569">
        <v>89.358250126639703</v>
      </c>
      <c r="AN3569">
        <v>0.99999997556850895</v>
      </c>
    </row>
    <row r="3570" spans="1:40" x14ac:dyDescent="0.25">
      <c r="A3570" t="str">
        <f>"20190312172734061"</f>
        <v>20190312172734061</v>
      </c>
      <c r="B3570" t="str">
        <f>"1552382854053104"</f>
        <v>1552382854053104</v>
      </c>
      <c r="C3570" t="s">
        <v>40</v>
      </c>
      <c r="D3570">
        <v>3.2554560000000001</v>
      </c>
      <c r="E3570">
        <v>0.52081350000000004</v>
      </c>
      <c r="F3570" t="s">
        <v>41</v>
      </c>
      <c r="G3570">
        <v>-272.64420000000001</v>
      </c>
      <c r="H3570" s="1">
        <v>-3.936619E-6</v>
      </c>
      <c r="I3570">
        <v>142.7756</v>
      </c>
      <c r="J3570">
        <v>-248.92859999999999</v>
      </c>
      <c r="K3570">
        <v>1.107734</v>
      </c>
      <c r="L3570">
        <v>141.00139999999999</v>
      </c>
      <c r="M3570">
        <v>-0.99980570000000002</v>
      </c>
      <c r="N3570">
        <v>0</v>
      </c>
      <c r="O3570">
        <v>1.896393E-2</v>
      </c>
      <c r="P3570">
        <v>-0.98695219999999995</v>
      </c>
      <c r="Q3570">
        <v>0.15817989999999901</v>
      </c>
      <c r="R3570">
        <v>3.0079330000000001E-2</v>
      </c>
      <c r="S3570">
        <v>-3.0553279999999998</v>
      </c>
      <c r="T3570">
        <v>-0.14096639999999999</v>
      </c>
      <c r="U3570">
        <v>0.22662350000000001</v>
      </c>
      <c r="V3570">
        <v>1.181307E-2</v>
      </c>
      <c r="W3570">
        <v>0.16346659999999999</v>
      </c>
      <c r="X3570">
        <v>0.98647810000000002</v>
      </c>
      <c r="Y3570">
        <v>5.5006359999999997E-2</v>
      </c>
      <c r="Z3570">
        <v>3.9341430000000002E-4</v>
      </c>
      <c r="AA3570">
        <v>0.99848590000000004</v>
      </c>
      <c r="AB3570">
        <v>29</v>
      </c>
      <c r="AC3570">
        <v>-23.715599999999998</v>
      </c>
      <c r="AD3570">
        <v>-1.1077379366190001</v>
      </c>
      <c r="AE3570">
        <v>1.7742</v>
      </c>
      <c r="AF3570">
        <v>1.3212668138549</v>
      </c>
      <c r="AG3570">
        <v>-1.1077379366190001</v>
      </c>
      <c r="AH3570">
        <v>23.6935755042193</v>
      </c>
      <c r="AI3570">
        <v>92.672635242248802</v>
      </c>
      <c r="AJ3570">
        <v>86.808219736302505</v>
      </c>
      <c r="AK3570">
        <v>23.756227594122802</v>
      </c>
      <c r="AL3570">
        <v>80.591831898986399</v>
      </c>
      <c r="AM3570">
        <v>89.313916138780002</v>
      </c>
      <c r="AN3570">
        <v>0.99999995985899603</v>
      </c>
    </row>
    <row r="3571" spans="1:40" x14ac:dyDescent="0.25">
      <c r="A3571" t="str">
        <f>"20190312172734084"</f>
        <v>20190312172734084</v>
      </c>
      <c r="B3571" t="str">
        <f>"1552382854072627"</f>
        <v>1552382854072627</v>
      </c>
      <c r="C3571" t="s">
        <v>40</v>
      </c>
      <c r="D3571">
        <v>3.2660300000000002</v>
      </c>
      <c r="E3571">
        <v>0.52057019999999998</v>
      </c>
      <c r="F3571" t="s">
        <v>41</v>
      </c>
      <c r="G3571">
        <v>-273.47469999999998</v>
      </c>
      <c r="H3571" s="1">
        <v>-3.6439419999999998E-6</v>
      </c>
      <c r="I3571">
        <v>142.857</v>
      </c>
      <c r="J3571">
        <v>-249.22739999999999</v>
      </c>
      <c r="K3571">
        <v>1.1077239999999999</v>
      </c>
      <c r="L3571">
        <v>141.0086</v>
      </c>
      <c r="M3571">
        <v>-0.99977590000000005</v>
      </c>
      <c r="N3571">
        <v>0</v>
      </c>
      <c r="O3571">
        <v>2.047351E-2</v>
      </c>
      <c r="P3571">
        <v>-0.98681070000000004</v>
      </c>
      <c r="Q3571">
        <v>0.1584864</v>
      </c>
      <c r="R3571">
        <v>3.29676E-2</v>
      </c>
      <c r="S3571">
        <v>-3.0547029999999999</v>
      </c>
      <c r="T3571">
        <v>-0.13785559999999999</v>
      </c>
      <c r="U3571">
        <v>0.23092650000000001</v>
      </c>
      <c r="V3571">
        <v>1.32168999999999E-2</v>
      </c>
      <c r="W3571">
        <v>0.16375870000000001</v>
      </c>
      <c r="X3571">
        <v>0.98641190000000001</v>
      </c>
      <c r="Y3571">
        <v>5.4915770000000003E-2</v>
      </c>
      <c r="Z3571">
        <v>3.1480229999999998E-4</v>
      </c>
      <c r="AA3571">
        <v>0.99849089999999996</v>
      </c>
      <c r="AB3571">
        <v>29</v>
      </c>
      <c r="AC3571">
        <v>-24.247299999999999</v>
      </c>
      <c r="AD3571">
        <v>-1.1077276439420001</v>
      </c>
      <c r="AE3571">
        <v>1.8483999999999901</v>
      </c>
      <c r="AF3571">
        <v>1.34877927556261</v>
      </c>
      <c r="AG3571">
        <v>-1.1077276439420001</v>
      </c>
      <c r="AH3571">
        <v>24.229783959092899</v>
      </c>
      <c r="AI3571">
        <v>92.613562436843296</v>
      </c>
      <c r="AJ3571">
        <v>86.813851672584207</v>
      </c>
      <c r="AK3571">
        <v>24.292564639651701</v>
      </c>
      <c r="AL3571">
        <v>80.574867742814803</v>
      </c>
      <c r="AM3571">
        <v>89.232341707525805</v>
      </c>
      <c r="AN3571">
        <v>1.0000000173664501</v>
      </c>
    </row>
    <row r="3572" spans="1:40" x14ac:dyDescent="0.25">
      <c r="A3572" t="str">
        <f>"20190312172734106"</f>
        <v>20190312172734106</v>
      </c>
      <c r="B3572" t="str">
        <f>"1552382854102880"</f>
        <v>1552382854102880</v>
      </c>
      <c r="C3572" t="s">
        <v>40</v>
      </c>
      <c r="D3572">
        <v>3.279919</v>
      </c>
      <c r="E3572">
        <v>0.52031769999999999</v>
      </c>
      <c r="F3572" t="s">
        <v>41</v>
      </c>
      <c r="G3572">
        <v>-274.06529999999998</v>
      </c>
      <c r="H3572" s="1">
        <v>-3.4114909999999998E-6</v>
      </c>
      <c r="I3572">
        <v>142.93549999999999</v>
      </c>
      <c r="J3572">
        <v>-249.51830000000001</v>
      </c>
      <c r="K3572">
        <v>1.107721</v>
      </c>
      <c r="L3572">
        <v>141.01599999999999</v>
      </c>
      <c r="M3572">
        <v>-0.99974479999999999</v>
      </c>
      <c r="N3572">
        <v>0</v>
      </c>
      <c r="O3572">
        <v>2.194028E-2</v>
      </c>
      <c r="P3572">
        <v>-0.98676249999999999</v>
      </c>
      <c r="Q3572">
        <v>0.1581552</v>
      </c>
      <c r="R3572">
        <v>3.587133E-2</v>
      </c>
      <c r="S3572">
        <v>-3.0540620000000001</v>
      </c>
      <c r="T3572">
        <v>-0.1362062</v>
      </c>
      <c r="U3572">
        <v>0.2369385</v>
      </c>
      <c r="V3572">
        <v>1.467458E-2</v>
      </c>
      <c r="W3572">
        <v>0.1634177</v>
      </c>
      <c r="X3572">
        <v>0.98644779999999999</v>
      </c>
      <c r="Y3572">
        <v>5.5422440000000003E-2</v>
      </c>
      <c r="Z3572">
        <v>2.5711320000000002E-4</v>
      </c>
      <c r="AA3572">
        <v>0.99846299999999999</v>
      </c>
      <c r="AB3572">
        <v>29</v>
      </c>
      <c r="AC3572">
        <v>-24.546999999999901</v>
      </c>
      <c r="AD3572">
        <v>-1.1077244114910001</v>
      </c>
      <c r="AE3572">
        <v>1.91949999999999</v>
      </c>
      <c r="AF3572">
        <v>1.37767361249745</v>
      </c>
      <c r="AG3572">
        <v>-1.1077244114910001</v>
      </c>
      <c r="AH3572">
        <v>24.5335490437513</v>
      </c>
      <c r="AI3572">
        <v>92.581168633934993</v>
      </c>
      <c r="AJ3572">
        <v>86.785949301283395</v>
      </c>
      <c r="AK3572">
        <v>24.5971556615096</v>
      </c>
      <c r="AL3572">
        <v>80.594671995949696</v>
      </c>
      <c r="AM3572">
        <v>89.147720248625504</v>
      </c>
      <c r="AN3572">
        <v>0.99999997504815197</v>
      </c>
    </row>
    <row r="3573" spans="1:40" x14ac:dyDescent="0.25">
      <c r="A3573" t="str">
        <f>"20190312172734130"</f>
        <v>20190312172734130</v>
      </c>
      <c r="B3573" t="str">
        <f>"1552382854122400"</f>
        <v>1552382854122400</v>
      </c>
      <c r="C3573" t="s">
        <v>40</v>
      </c>
      <c r="D3573">
        <v>3.263897</v>
      </c>
      <c r="E3573">
        <v>0.52006730000000001</v>
      </c>
      <c r="F3573" t="s">
        <v>41</v>
      </c>
      <c r="G3573">
        <v>-274.12869999999998</v>
      </c>
      <c r="H3573" s="1">
        <v>-3.3964300000000002E-6</v>
      </c>
      <c r="I3573">
        <v>142.9811</v>
      </c>
      <c r="J3573">
        <v>-249.8263</v>
      </c>
      <c r="K3573">
        <v>1.107712</v>
      </c>
      <c r="L3573">
        <v>141.02440000000001</v>
      </c>
      <c r="M3573">
        <v>-0.99970979999999998</v>
      </c>
      <c r="N3573">
        <v>0</v>
      </c>
      <c r="O3573">
        <v>2.348913E-2</v>
      </c>
      <c r="P3573">
        <v>-0.98668719999999999</v>
      </c>
      <c r="Q3573">
        <v>0.1579749</v>
      </c>
      <c r="R3573">
        <v>3.86378E-2</v>
      </c>
      <c r="S3573">
        <v>-3.053436</v>
      </c>
      <c r="T3573">
        <v>-0.137436999999999</v>
      </c>
      <c r="U3573">
        <v>0.24382019999999999</v>
      </c>
      <c r="V3573">
        <v>1.5915080000000002E-2</v>
      </c>
      <c r="W3573">
        <v>0.16323180000000001</v>
      </c>
      <c r="X3573">
        <v>0.98645939999999999</v>
      </c>
      <c r="Y3573">
        <v>5.6127990000000003E-2</v>
      </c>
      <c r="Z3573">
        <v>2.057913E-4</v>
      </c>
      <c r="AA3573">
        <v>0.99842359999999997</v>
      </c>
      <c r="AB3573">
        <v>29</v>
      </c>
      <c r="AC3573">
        <v>-24.302399999999899</v>
      </c>
      <c r="AD3573">
        <v>-1.1077153964299999</v>
      </c>
      <c r="AE3573">
        <v>1.9566999999999799</v>
      </c>
      <c r="AF3573">
        <v>1.38245606075448</v>
      </c>
      <c r="AG3573">
        <v>-1.1077153964299999</v>
      </c>
      <c r="AH3573">
        <v>24.291513883635499</v>
      </c>
      <c r="AI3573">
        <v>92.606719366434504</v>
      </c>
      <c r="AJ3573">
        <v>86.742749420605605</v>
      </c>
      <c r="AK3573">
        <v>24.356023175351499</v>
      </c>
      <c r="AL3573">
        <v>80.605468761996704</v>
      </c>
      <c r="AM3573">
        <v>89.075696566896397</v>
      </c>
      <c r="AN3573">
        <v>1.0000000290755</v>
      </c>
    </row>
    <row r="3574" spans="1:40" x14ac:dyDescent="0.25">
      <c r="A3574" t="str">
        <f>"20190312172734153"</f>
        <v>20190312172734153</v>
      </c>
      <c r="B3574" t="str">
        <f>"1552382854142896"</f>
        <v>1552382854142896</v>
      </c>
      <c r="C3574" t="s">
        <v>40</v>
      </c>
      <c r="D3574">
        <v>3.2279140000000002</v>
      </c>
      <c r="E3574">
        <v>0.51979259999999905</v>
      </c>
      <c r="F3574" t="s">
        <v>41</v>
      </c>
      <c r="G3574">
        <v>-274.40699999999998</v>
      </c>
      <c r="H3574" s="1">
        <v>-3.293297E-6</v>
      </c>
      <c r="I3574">
        <v>143.04220000000001</v>
      </c>
      <c r="J3574">
        <v>-250.13200000000001</v>
      </c>
      <c r="K3574">
        <v>1.107704</v>
      </c>
      <c r="L3574">
        <v>141.03309999999999</v>
      </c>
      <c r="M3574">
        <v>-0.99967240000000002</v>
      </c>
      <c r="N3574">
        <v>0</v>
      </c>
      <c r="O3574">
        <v>2.5024020000000001E-2</v>
      </c>
      <c r="P3574">
        <v>-0.98666889999999996</v>
      </c>
      <c r="Q3574">
        <v>0.1573977</v>
      </c>
      <c r="R3574">
        <v>4.1356990000000003E-2</v>
      </c>
      <c r="S3574">
        <v>-3.0527039999999999</v>
      </c>
      <c r="T3574">
        <v>-0.13756879999999999</v>
      </c>
      <c r="U3574">
        <v>0.25061040000000001</v>
      </c>
      <c r="V3574">
        <v>1.7119369999999998E-2</v>
      </c>
      <c r="W3574">
        <v>0.1626541</v>
      </c>
      <c r="X3574">
        <v>0.98653469999999999</v>
      </c>
      <c r="Y3574">
        <v>5.6821160000000002E-2</v>
      </c>
      <c r="Z3574">
        <v>1.526407E-4</v>
      </c>
      <c r="AA3574">
        <v>0.99838439999999995</v>
      </c>
      <c r="AB3574">
        <v>29</v>
      </c>
      <c r="AC3574">
        <v>-24.274999999999899</v>
      </c>
      <c r="AD3574">
        <v>-1.107707293297</v>
      </c>
      <c r="AE3574">
        <v>2.0091000000000099</v>
      </c>
      <c r="AF3574">
        <v>1.39811256655507</v>
      </c>
      <c r="AG3574">
        <v>-1.107707293297</v>
      </c>
      <c r="AH3574">
        <v>24.267487507319299</v>
      </c>
      <c r="AI3574">
        <v>92.609173235471104</v>
      </c>
      <c r="AJ3574">
        <v>86.702687250118899</v>
      </c>
      <c r="AK3574">
        <v>24.332954693466199</v>
      </c>
      <c r="AL3574">
        <v>80.639017290021499</v>
      </c>
      <c r="AM3574">
        <v>89.005844182462397</v>
      </c>
      <c r="AN3574">
        <v>1.0000000716900399</v>
      </c>
    </row>
    <row r="3575" spans="1:40" x14ac:dyDescent="0.25">
      <c r="A3575" t="str">
        <f>"20190312172734175"</f>
        <v>20190312172734175</v>
      </c>
      <c r="B3575" t="str">
        <f>"1552382854162418"</f>
        <v>1552382854162418</v>
      </c>
      <c r="C3575" t="s">
        <v>40</v>
      </c>
      <c r="D3575">
        <v>3.2655690000000002</v>
      </c>
      <c r="E3575">
        <v>0.51949789999999996</v>
      </c>
      <c r="F3575" t="s">
        <v>41</v>
      </c>
      <c r="G3575">
        <v>-274.35879999999997</v>
      </c>
      <c r="H3575" s="1">
        <v>-3.3220929999999999E-6</v>
      </c>
      <c r="I3575">
        <v>143.0728</v>
      </c>
      <c r="J3575">
        <v>-250.42490000000001</v>
      </c>
      <c r="K3575">
        <v>1.1076919999999999</v>
      </c>
      <c r="L3575">
        <v>141.042</v>
      </c>
      <c r="M3575">
        <v>-0.99963469999999999</v>
      </c>
      <c r="N3575">
        <v>0</v>
      </c>
      <c r="O3575">
        <v>2.649286E-2</v>
      </c>
      <c r="P3575">
        <v>-0.98661180000000004</v>
      </c>
      <c r="Q3575">
        <v>0.15711559999999999</v>
      </c>
      <c r="R3575">
        <v>4.3728299999999998E-2</v>
      </c>
      <c r="S3575">
        <v>-3.0520019999999999</v>
      </c>
      <c r="T3575">
        <v>-0.13954469999999999</v>
      </c>
      <c r="U3575">
        <v>0.25695800000000002</v>
      </c>
      <c r="V3575">
        <v>1.8042969999999998E-2</v>
      </c>
      <c r="W3575">
        <v>0.16237650000000001</v>
      </c>
      <c r="X3575">
        <v>0.98656390000000005</v>
      </c>
      <c r="Y3575">
        <v>5.7435060000000003E-2</v>
      </c>
      <c r="Z3575">
        <v>1.019097E-4</v>
      </c>
      <c r="AA3575">
        <v>0.99834920000000005</v>
      </c>
      <c r="AB3575">
        <v>30</v>
      </c>
      <c r="AC3575">
        <v>-23.933899999999898</v>
      </c>
      <c r="AD3575">
        <v>-1.1076953220929999</v>
      </c>
      <c r="AE3575">
        <v>2.0308000000000002</v>
      </c>
      <c r="AF3575">
        <v>1.3930381270769501</v>
      </c>
      <c r="AG3575">
        <v>-1.1076953220929999</v>
      </c>
      <c r="AH3575">
        <v>23.9284138797716</v>
      </c>
      <c r="AI3575">
        <v>92.645973185414107</v>
      </c>
      <c r="AJ3575">
        <v>86.668177899261593</v>
      </c>
      <c r="AK3575">
        <v>23.994510517027098</v>
      </c>
      <c r="AL3575">
        <v>80.655136239948106</v>
      </c>
      <c r="AM3575">
        <v>88.952251552118497</v>
      </c>
      <c r="AN3575">
        <v>1.0000000026509399</v>
      </c>
    </row>
    <row r="3576" spans="1:40" x14ac:dyDescent="0.25">
      <c r="A3576" t="str">
        <f>"20190312172734196"</f>
        <v>20190312172734196</v>
      </c>
      <c r="B3576" t="str">
        <f>"1552382854192672"</f>
        <v>1552382854192672</v>
      </c>
      <c r="C3576" t="s">
        <v>40</v>
      </c>
      <c r="D3576">
        <v>3.3227850000000001</v>
      </c>
      <c r="E3576">
        <v>0.53456320000000002</v>
      </c>
      <c r="F3576" t="s">
        <v>41</v>
      </c>
      <c r="G3576">
        <v>-274.55200000000002</v>
      </c>
      <c r="H3576" s="1">
        <v>-3.2498440000000002E-6</v>
      </c>
      <c r="I3576">
        <v>143.11269999999999</v>
      </c>
      <c r="J3576">
        <v>-250.7159</v>
      </c>
      <c r="K3576">
        <v>1.1076779999999999</v>
      </c>
      <c r="L3576">
        <v>141.05109999999999</v>
      </c>
      <c r="M3576">
        <v>-0.99959489999999995</v>
      </c>
      <c r="N3576">
        <v>0</v>
      </c>
      <c r="O3576">
        <v>2.7950260000000001E-2</v>
      </c>
      <c r="P3576">
        <v>-0.98656920000000004</v>
      </c>
      <c r="Q3576">
        <v>0.156697</v>
      </c>
      <c r="R3576">
        <v>4.6124690000000003E-2</v>
      </c>
      <c r="S3576">
        <v>-3.0514070000000002</v>
      </c>
      <c r="T3576">
        <v>-0.1400932</v>
      </c>
      <c r="U3576">
        <v>0.26190190000000002</v>
      </c>
      <c r="V3576">
        <v>1.9002040000000001E-2</v>
      </c>
      <c r="W3576">
        <v>0.1619662</v>
      </c>
      <c r="X3576">
        <v>0.98661330000000003</v>
      </c>
      <c r="Y3576">
        <v>5.7602779999999999E-2</v>
      </c>
      <c r="Z3576" s="1">
        <v>3.9473410000000001E-5</v>
      </c>
      <c r="AA3576">
        <v>0.99833959999999999</v>
      </c>
      <c r="AB3576">
        <v>30</v>
      </c>
      <c r="AC3576">
        <v>-23.836099999999998</v>
      </c>
      <c r="AD3576">
        <v>-1.1076812498440001</v>
      </c>
      <c r="AE3576">
        <v>2.0615999999999901</v>
      </c>
      <c r="AF3576">
        <v>1.3915769100587601</v>
      </c>
      <c r="AG3576">
        <v>-1.1076812498440001</v>
      </c>
      <c r="AH3576">
        <v>23.8333238012601</v>
      </c>
      <c r="AI3576">
        <v>92.656454931949895</v>
      </c>
      <c r="AJ3576">
        <v>86.658415585654893</v>
      </c>
      <c r="AK3576">
        <v>23.899597642294601</v>
      </c>
      <c r="AL3576">
        <v>80.678959715172695</v>
      </c>
      <c r="AM3576">
        <v>88.896627377166098</v>
      </c>
      <c r="AN3576">
        <v>0.99999996560174498</v>
      </c>
    </row>
    <row r="3577" spans="1:40" x14ac:dyDescent="0.25">
      <c r="A3577" t="str">
        <f>"20190312172734220"</f>
        <v>20190312172734220</v>
      </c>
      <c r="B3577" t="str">
        <f>"1552382854212701"</f>
        <v>1552382854212701</v>
      </c>
      <c r="C3577" t="s">
        <v>40</v>
      </c>
      <c r="D3577">
        <v>3.311985</v>
      </c>
      <c r="E3577">
        <v>0.54606980000000005</v>
      </c>
      <c r="F3577" t="s">
        <v>44</v>
      </c>
      <c r="G3577">
        <v>-251.58</v>
      </c>
      <c r="H3577">
        <v>1.014651</v>
      </c>
      <c r="I3577">
        <v>141.1585</v>
      </c>
      <c r="J3577">
        <v>-251.02619999999999</v>
      </c>
      <c r="K3577">
        <v>1.1076699999999999</v>
      </c>
      <c r="L3577">
        <v>141.06129999999999</v>
      </c>
      <c r="M3577">
        <v>-0.99955020000000006</v>
      </c>
      <c r="N3577">
        <v>0</v>
      </c>
      <c r="O3577">
        <v>2.9502130000000001E-2</v>
      </c>
      <c r="P3577">
        <v>-0.98655630000000005</v>
      </c>
      <c r="Q3577">
        <v>0.1559564</v>
      </c>
      <c r="R3577">
        <v>4.8832929999999997E-2</v>
      </c>
      <c r="S3577">
        <v>-3.0755620000000001</v>
      </c>
      <c r="T3577">
        <v>-0.33107969999999998</v>
      </c>
      <c r="U3577">
        <v>0.38174439999999998</v>
      </c>
      <c r="V3577">
        <v>2.0177779999999999E-2</v>
      </c>
      <c r="W3577">
        <v>0.16123779999999999</v>
      </c>
      <c r="X3577">
        <v>0.98670930000000001</v>
      </c>
      <c r="Y3577">
        <v>9.3481389999999998E-2</v>
      </c>
      <c r="Z3577">
        <v>1.8450809999999999E-3</v>
      </c>
      <c r="AA3577">
        <v>0.99561929999999998</v>
      </c>
      <c r="AB3577">
        <v>30</v>
      </c>
      <c r="AC3577">
        <v>-0.55380000000002305</v>
      </c>
      <c r="AD3577">
        <v>-9.3019000000000102E-2</v>
      </c>
      <c r="AE3577">
        <v>9.7200000000014997E-2</v>
      </c>
      <c r="AF3577">
        <v>7.8666149737099095E-2</v>
      </c>
      <c r="AG3577">
        <v>-9.3019000000000102E-2</v>
      </c>
      <c r="AH3577">
        <v>0.54160337714586404</v>
      </c>
      <c r="AI3577">
        <v>99.646039241939704</v>
      </c>
      <c r="AJ3577">
        <v>81.735764636176498</v>
      </c>
      <c r="AK3577">
        <v>0.55513522281626604</v>
      </c>
      <c r="AL3577">
        <v>80.7212502099716</v>
      </c>
      <c r="AM3577">
        <v>88.828489282884505</v>
      </c>
      <c r="AN3577">
        <v>1.0000000068305199</v>
      </c>
    </row>
    <row r="3578" spans="1:40" x14ac:dyDescent="0.25">
      <c r="A3578" t="str">
        <f>"20190312172734241"</f>
        <v>20190312172734241</v>
      </c>
      <c r="B3578" t="str">
        <f>"1552382854233197"</f>
        <v>1552382854233197</v>
      </c>
      <c r="C3578" t="s">
        <v>40</v>
      </c>
      <c r="D3578">
        <v>3.2627769999999998</v>
      </c>
      <c r="E3578">
        <v>0.55162730000000004</v>
      </c>
      <c r="F3578" t="s">
        <v>44</v>
      </c>
      <c r="G3578">
        <v>-251.83539999999999</v>
      </c>
      <c r="H3578">
        <v>0.98792849999999999</v>
      </c>
      <c r="I3578">
        <v>141.18629999999999</v>
      </c>
      <c r="J3578">
        <v>-251.3141</v>
      </c>
      <c r="K3578">
        <v>1.1076680000000001</v>
      </c>
      <c r="L3578">
        <v>141.07130000000001</v>
      </c>
      <c r="M3578">
        <v>-0.99950680000000003</v>
      </c>
      <c r="N3578">
        <v>0</v>
      </c>
      <c r="O3578">
        <v>3.0934349999999999E-2</v>
      </c>
      <c r="P3578">
        <v>-0.98645729999999998</v>
      </c>
      <c r="Q3578">
        <v>0.15592549999999999</v>
      </c>
      <c r="R3578">
        <v>5.0886220000000003E-2</v>
      </c>
      <c r="S3578">
        <v>-3.089569</v>
      </c>
      <c r="T3578">
        <v>-0.45714159999999998</v>
      </c>
      <c r="U3578">
        <v>0.47621150000000001</v>
      </c>
      <c r="V3578">
        <v>2.0820140000000001E-2</v>
      </c>
      <c r="W3578">
        <v>0.1612227</v>
      </c>
      <c r="X3578">
        <v>0.98669839999999998</v>
      </c>
      <c r="Y3578">
        <v>0.1207356</v>
      </c>
      <c r="Z3578">
        <v>4.3096020000000001E-3</v>
      </c>
      <c r="AA3578">
        <v>0.99267539999999999</v>
      </c>
      <c r="AB3578">
        <v>30</v>
      </c>
      <c r="AC3578">
        <v>-0.52129999999999599</v>
      </c>
      <c r="AD3578">
        <v>-0.1197395</v>
      </c>
      <c r="AE3578">
        <v>0.11499999999997999</v>
      </c>
      <c r="AF3578">
        <v>9.4085136866946403E-2</v>
      </c>
      <c r="AG3578">
        <v>-0.1197395</v>
      </c>
      <c r="AH3578">
        <v>0.49947876076771203</v>
      </c>
      <c r="AI3578">
        <v>103.25635522897301</v>
      </c>
      <c r="AJ3578">
        <v>79.332383734119404</v>
      </c>
      <c r="AK3578">
        <v>0.52217678356814301</v>
      </c>
      <c r="AL3578">
        <v>80.722126640092299</v>
      </c>
      <c r="AM3578">
        <v>88.791191763121404</v>
      </c>
      <c r="AN3578">
        <v>0.99999998489373398</v>
      </c>
    </row>
    <row r="3579" spans="1:40" x14ac:dyDescent="0.25">
      <c r="A3579" t="str">
        <f>"20190312172734263"</f>
        <v>20190312172734263</v>
      </c>
      <c r="B3579" t="str">
        <f>"1552382854252716"</f>
        <v>1552382854252716</v>
      </c>
      <c r="C3579" t="s">
        <v>40</v>
      </c>
      <c r="D3579">
        <v>3.270864</v>
      </c>
      <c r="E3579">
        <v>0.55434510000000004</v>
      </c>
      <c r="F3579" t="s">
        <v>44</v>
      </c>
      <c r="G3579">
        <v>-252.0994</v>
      </c>
      <c r="H3579">
        <v>0.97630209999999995</v>
      </c>
      <c r="I3579">
        <v>141.20429999999999</v>
      </c>
      <c r="J3579">
        <v>-251.61259999999999</v>
      </c>
      <c r="K3579">
        <v>1.107669</v>
      </c>
      <c r="L3579">
        <v>141.08199999999999</v>
      </c>
      <c r="M3579">
        <v>-0.99946000000000002</v>
      </c>
      <c r="N3579">
        <v>0</v>
      </c>
      <c r="O3579">
        <v>3.2403510000000003E-2</v>
      </c>
      <c r="P3579">
        <v>-0.9864503</v>
      </c>
      <c r="Q3579">
        <v>0.155559</v>
      </c>
      <c r="R3579">
        <v>5.2130429999999998E-2</v>
      </c>
      <c r="S3579">
        <v>-3.0960079999999999</v>
      </c>
      <c r="T3579">
        <v>-0.51790879999999995</v>
      </c>
      <c r="U3579">
        <v>0.52452089999999996</v>
      </c>
      <c r="V3579">
        <v>2.0611190000000001E-2</v>
      </c>
      <c r="W3579">
        <v>0.16087679999999999</v>
      </c>
      <c r="X3579">
        <v>0.98675919999999895</v>
      </c>
      <c r="Y3579">
        <v>0.1336358</v>
      </c>
      <c r="Z3579">
        <v>5.6818279999999999E-3</v>
      </c>
      <c r="AA3579">
        <v>0.99101419999999996</v>
      </c>
      <c r="AB3579">
        <v>30</v>
      </c>
      <c r="AC3579">
        <v>-0.486800000000016</v>
      </c>
      <c r="AD3579">
        <v>-0.13136689999999901</v>
      </c>
      <c r="AE3579">
        <v>0.122299999999995</v>
      </c>
      <c r="AF3579">
        <v>9.9636434397628801E-2</v>
      </c>
      <c r="AG3579">
        <v>-0.13136689999999901</v>
      </c>
      <c r="AH3579">
        <v>0.45906172470619</v>
      </c>
      <c r="AI3579">
        <v>105.623796820885</v>
      </c>
      <c r="AJ3579">
        <v>77.7542476440576</v>
      </c>
      <c r="AK3579">
        <v>0.48777284525207498</v>
      </c>
      <c r="AL3579">
        <v>80.742206981546104</v>
      </c>
      <c r="AM3579">
        <v>88.803393476276995</v>
      </c>
      <c r="AN3579">
        <v>0.99999994235804601</v>
      </c>
    </row>
    <row r="3580" spans="1:40" x14ac:dyDescent="0.25">
      <c r="A3580" t="str">
        <f>"20190312172734284"</f>
        <v>20190312172734284</v>
      </c>
      <c r="B3580" t="str">
        <f>"1552382854273213"</f>
        <v>1552382854273213</v>
      </c>
      <c r="C3580" t="s">
        <v>40</v>
      </c>
      <c r="D3580">
        <v>3.2743319999999998</v>
      </c>
      <c r="E3580">
        <v>0.55618819999999902</v>
      </c>
      <c r="F3580" t="s">
        <v>44</v>
      </c>
      <c r="G3580">
        <v>-252.36850000000001</v>
      </c>
      <c r="H3580">
        <v>0.97317980000000004</v>
      </c>
      <c r="I3580">
        <v>141.21619999999999</v>
      </c>
      <c r="J3580">
        <v>-251.9051</v>
      </c>
      <c r="K3580">
        <v>1.1076729999999999</v>
      </c>
      <c r="L3580">
        <v>141.09280000000001</v>
      </c>
      <c r="M3580">
        <v>-0.99941329999999995</v>
      </c>
      <c r="N3580">
        <v>0</v>
      </c>
      <c r="O3580">
        <v>3.3815659999999997E-2</v>
      </c>
      <c r="P3580">
        <v>-0.98636020000000002</v>
      </c>
      <c r="Q3580">
        <v>0.1557084</v>
      </c>
      <c r="R3580">
        <v>5.3373520000000001E-2</v>
      </c>
      <c r="S3580">
        <v>-3.0991209999999998</v>
      </c>
      <c r="T3580">
        <v>-0.55138609999999999</v>
      </c>
      <c r="U3580">
        <v>0.54936219999999902</v>
      </c>
      <c r="V3580">
        <v>2.0458219999999999E-2</v>
      </c>
      <c r="W3580">
        <v>0.1610453</v>
      </c>
      <c r="X3580">
        <v>0.98673500000000003</v>
      </c>
      <c r="Y3580">
        <v>0.1395382</v>
      </c>
      <c r="Z3580">
        <v>6.3040409999999998E-3</v>
      </c>
      <c r="AA3580">
        <v>0.99019659999999998</v>
      </c>
      <c r="AB3580">
        <v>30</v>
      </c>
      <c r="AC3580">
        <v>-0.46340000000000697</v>
      </c>
      <c r="AD3580">
        <v>-0.13449319999999901</v>
      </c>
      <c r="AE3580">
        <v>0.123399999999975</v>
      </c>
      <c r="AF3580">
        <v>9.9808428524663304E-2</v>
      </c>
      <c r="AG3580">
        <v>-0.13449319999999901</v>
      </c>
      <c r="AH3580">
        <v>0.43323139392766902</v>
      </c>
      <c r="AI3580">
        <v>106.831489604794</v>
      </c>
      <c r="AJ3580">
        <v>77.026485861317795</v>
      </c>
      <c r="AK3580">
        <v>0.46447775397247398</v>
      </c>
      <c r="AL3580">
        <v>80.732426042330104</v>
      </c>
      <c r="AM3580">
        <v>88.812242652344807</v>
      </c>
      <c r="AN3580">
        <v>1.0000000438213199</v>
      </c>
    </row>
    <row r="3581" spans="1:40" x14ac:dyDescent="0.25">
      <c r="A3581" t="str">
        <f>"20190312172734307"</f>
        <v>20190312172734307</v>
      </c>
      <c r="B3581" t="str">
        <f>"1552382854302493"</f>
        <v>1552382854302493</v>
      </c>
      <c r="C3581" t="s">
        <v>40</v>
      </c>
      <c r="D3581">
        <v>3.2674759999999998</v>
      </c>
      <c r="E3581">
        <v>0.55764250000000004</v>
      </c>
      <c r="F3581" t="s">
        <v>44</v>
      </c>
      <c r="G3581">
        <v>-252.6397</v>
      </c>
      <c r="H3581">
        <v>0.97255469999999999</v>
      </c>
      <c r="I3581">
        <v>141.22710000000001</v>
      </c>
      <c r="J3581">
        <v>-252.21129999999999</v>
      </c>
      <c r="K3581">
        <v>1.107685</v>
      </c>
      <c r="L3581">
        <v>141.1046</v>
      </c>
      <c r="M3581">
        <v>-0.99936340000000001</v>
      </c>
      <c r="N3581">
        <v>0</v>
      </c>
      <c r="O3581">
        <v>3.5253880000000001E-2</v>
      </c>
      <c r="P3581">
        <v>-0.98628190000000004</v>
      </c>
      <c r="Q3581">
        <v>0.15567810000000001</v>
      </c>
      <c r="R3581">
        <v>5.4885389999999999E-2</v>
      </c>
      <c r="S3581">
        <v>-3.1008610000000001</v>
      </c>
      <c r="T3581">
        <v>-0.57035389999999997</v>
      </c>
      <c r="U3581">
        <v>0.56645199999999996</v>
      </c>
      <c r="V3581">
        <v>2.0542769999999998E-2</v>
      </c>
      <c r="W3581">
        <v>0.1610354</v>
      </c>
      <c r="X3581">
        <v>0.98673480000000002</v>
      </c>
      <c r="Y3581">
        <v>0.14316029999999999</v>
      </c>
      <c r="Z3581">
        <v>6.5789510000000004E-3</v>
      </c>
      <c r="AA3581">
        <v>0.98967769999999999</v>
      </c>
      <c r="AB3581">
        <v>30</v>
      </c>
      <c r="AC3581">
        <v>-0.42840000000001</v>
      </c>
      <c r="AD3581">
        <v>-0.13513030000000001</v>
      </c>
      <c r="AE3581">
        <v>0.122500000000002</v>
      </c>
      <c r="AF3581">
        <v>9.8281362883996304E-2</v>
      </c>
      <c r="AG3581">
        <v>-0.13513030000000001</v>
      </c>
      <c r="AH3581">
        <v>0.39602744930108102</v>
      </c>
      <c r="AI3581">
        <v>108.323266109416</v>
      </c>
      <c r="AJ3581">
        <v>76.062587329057195</v>
      </c>
      <c r="AK3581">
        <v>0.42983388054962202</v>
      </c>
      <c r="AL3581">
        <v>80.733000226691402</v>
      </c>
      <c r="AM3581">
        <v>88.807335046479196</v>
      </c>
      <c r="AN3581">
        <v>0.99999998549173597</v>
      </c>
    </row>
    <row r="3582" spans="1:40" x14ac:dyDescent="0.25">
      <c r="A3582" t="str">
        <f>"20190312172734330"</f>
        <v>20190312172734330</v>
      </c>
      <c r="B3582" t="str">
        <f>"1552382854322989"</f>
        <v>1552382854322989</v>
      </c>
      <c r="C3582" t="s">
        <v>40</v>
      </c>
      <c r="D3582">
        <v>3.266537</v>
      </c>
      <c r="E3582">
        <v>0.55818869999999998</v>
      </c>
      <c r="F3582" t="s">
        <v>44</v>
      </c>
      <c r="G3582">
        <v>-252.91300000000001</v>
      </c>
      <c r="H3582">
        <v>0.97428800000000004</v>
      </c>
      <c r="I3582">
        <v>141.2364</v>
      </c>
      <c r="J3582">
        <v>-252.52770000000001</v>
      </c>
      <c r="K3582">
        <v>1.1077189999999999</v>
      </c>
      <c r="L3582">
        <v>141.1172</v>
      </c>
      <c r="M3582">
        <v>-0.99931219999999998</v>
      </c>
      <c r="N3582">
        <v>0</v>
      </c>
      <c r="O3582">
        <v>3.6676130000000001E-2</v>
      </c>
      <c r="P3582">
        <v>-0.98617920000000003</v>
      </c>
      <c r="Q3582">
        <v>0.1560299</v>
      </c>
      <c r="R3582">
        <v>5.5726930000000001E-2</v>
      </c>
      <c r="S3582">
        <v>-3.1024630000000002</v>
      </c>
      <c r="T3582">
        <v>-0.58973249999999999</v>
      </c>
      <c r="U3582">
        <v>0.58168030000000004</v>
      </c>
      <c r="V3582">
        <v>1.9969730000000002E-2</v>
      </c>
      <c r="W3582">
        <v>0.16141140000000001</v>
      </c>
      <c r="X3582">
        <v>0.98668520000000004</v>
      </c>
      <c r="Y3582">
        <v>0.14621410000000001</v>
      </c>
      <c r="Z3582">
        <v>6.8126189999999998E-3</v>
      </c>
      <c r="AA3582">
        <v>0.98922949999999998</v>
      </c>
      <c r="AB3582">
        <v>30</v>
      </c>
      <c r="AC3582">
        <v>-0.385299999999972</v>
      </c>
      <c r="AD3582">
        <v>-0.13343099999999999</v>
      </c>
      <c r="AE3582">
        <v>0.119200000000006</v>
      </c>
      <c r="AF3582">
        <v>9.4630828403480402E-2</v>
      </c>
      <c r="AG3582">
        <v>-0.13343099999999999</v>
      </c>
      <c r="AH3582">
        <v>0.35099575670036398</v>
      </c>
      <c r="AI3582">
        <v>110.155361701708</v>
      </c>
      <c r="AJ3582">
        <v>74.911427092032397</v>
      </c>
      <c r="AK3582">
        <v>0.387242619899967</v>
      </c>
      <c r="AL3582">
        <v>80.711172118095703</v>
      </c>
      <c r="AM3582">
        <v>88.840536924305596</v>
      </c>
      <c r="AN3582">
        <v>1.00000005703263</v>
      </c>
    </row>
    <row r="3583" spans="1:40" x14ac:dyDescent="0.25">
      <c r="A3583" t="str">
        <f>"20190312172734353"</f>
        <v>20190312172734353</v>
      </c>
      <c r="B3583" t="str">
        <f>"1552382854343485"</f>
        <v>1552382854343485</v>
      </c>
      <c r="C3583" t="s">
        <v>40</v>
      </c>
      <c r="D3583">
        <v>3.2635339999999999</v>
      </c>
      <c r="E3583">
        <v>0.55870600000000004</v>
      </c>
      <c r="F3583" t="s">
        <v>44</v>
      </c>
      <c r="G3583">
        <v>-253.4408</v>
      </c>
      <c r="H3583">
        <v>0.93222780000000005</v>
      </c>
      <c r="I3583">
        <v>141.29079999999999</v>
      </c>
      <c r="J3583">
        <v>-252.84379999999999</v>
      </c>
      <c r="K3583">
        <v>1.1077619999999999</v>
      </c>
      <c r="L3583">
        <v>141.1302</v>
      </c>
      <c r="M3583">
        <v>-0.99926170000000003</v>
      </c>
      <c r="N3583">
        <v>0</v>
      </c>
      <c r="O3583">
        <v>3.801906E-2</v>
      </c>
      <c r="P3583">
        <v>-0.98615410000000003</v>
      </c>
      <c r="Q3583">
        <v>0.15595629999999999</v>
      </c>
      <c r="R3583">
        <v>5.6374720000000003E-2</v>
      </c>
      <c r="S3583">
        <v>-3.1031040000000001</v>
      </c>
      <c r="T3583">
        <v>-0.59640909999999903</v>
      </c>
      <c r="U3583">
        <v>0.58912659999999994</v>
      </c>
      <c r="V3583">
        <v>1.9272839999999999E-2</v>
      </c>
      <c r="W3583">
        <v>0.16136389999999901</v>
      </c>
      <c r="X3583">
        <v>0.98670679999999999</v>
      </c>
      <c r="Y3583">
        <v>0.147107399999999</v>
      </c>
      <c r="Z3583">
        <v>6.7169609999999996E-3</v>
      </c>
      <c r="AA3583">
        <v>0.98909769999999997</v>
      </c>
      <c r="AB3583">
        <v>31</v>
      </c>
      <c r="AC3583">
        <v>-0.59700000000000797</v>
      </c>
      <c r="AD3583">
        <v>-0.1755342</v>
      </c>
      <c r="AE3583">
        <v>0.160599999999988</v>
      </c>
      <c r="AF3583">
        <v>0.12750683102534699</v>
      </c>
      <c r="AG3583">
        <v>-0.1755342</v>
      </c>
      <c r="AH3583">
        <v>0.55771271377820197</v>
      </c>
      <c r="AI3583">
        <v>107.05721266920401</v>
      </c>
      <c r="AJ3583">
        <v>77.122104708732493</v>
      </c>
      <c r="AK3583">
        <v>0.59842603422445895</v>
      </c>
      <c r="AL3583">
        <v>80.713929563483902</v>
      </c>
      <c r="AM3583">
        <v>88.881013090619902</v>
      </c>
      <c r="AN3583">
        <v>1.00000002987555</v>
      </c>
    </row>
    <row r="3584" spans="1:40" x14ac:dyDescent="0.25">
      <c r="A3584" t="str">
        <f>"20190312172734374"</f>
        <v>20190312172734374</v>
      </c>
      <c r="B3584" t="str">
        <f>"1552382854372765"</f>
        <v>1552382854372765</v>
      </c>
      <c r="C3584" t="s">
        <v>40</v>
      </c>
      <c r="D3584">
        <v>3.3390819999999999</v>
      </c>
      <c r="E3584">
        <v>0.57467279999999998</v>
      </c>
      <c r="F3584" t="s">
        <v>44</v>
      </c>
      <c r="G3584">
        <v>-253.7184</v>
      </c>
      <c r="H3584">
        <v>0.93767129999999999</v>
      </c>
      <c r="I3584">
        <v>141.298</v>
      </c>
      <c r="J3584">
        <v>-253.1421</v>
      </c>
      <c r="K3584">
        <v>1.10781</v>
      </c>
      <c r="L3584">
        <v>141.14269999999999</v>
      </c>
      <c r="M3584">
        <v>-0.99921530000000003</v>
      </c>
      <c r="N3584">
        <v>0</v>
      </c>
      <c r="O3584">
        <v>3.9220060000000001E-2</v>
      </c>
      <c r="P3584">
        <v>-0.98620070000000004</v>
      </c>
      <c r="Q3584">
        <v>0.15559220000000001</v>
      </c>
      <c r="R3584">
        <v>5.65639E-2</v>
      </c>
      <c r="S3584">
        <v>-3.1035460000000001</v>
      </c>
      <c r="T3584">
        <v>-0.60358559999999895</v>
      </c>
      <c r="U3584">
        <v>0.59565729999999995</v>
      </c>
      <c r="V3584">
        <v>1.8253829999999999E-2</v>
      </c>
      <c r="W3584">
        <v>0.1610279</v>
      </c>
      <c r="X3584">
        <v>0.98678109999999997</v>
      </c>
      <c r="Y3584">
        <v>0.14786459999999901</v>
      </c>
      <c r="Z3584">
        <v>6.6376689999999997E-3</v>
      </c>
      <c r="AA3584">
        <v>0.98898540000000001</v>
      </c>
      <c r="AB3584">
        <v>31</v>
      </c>
      <c r="AC3584">
        <v>-0.57630000000000303</v>
      </c>
      <c r="AD3584">
        <v>-0.170138699999999</v>
      </c>
      <c r="AE3584">
        <v>0.15530000000001101</v>
      </c>
      <c r="AF3584">
        <v>0.122614302354179</v>
      </c>
      <c r="AG3584">
        <v>-0.170138699999999</v>
      </c>
      <c r="AH3584">
        <v>0.53821361974561799</v>
      </c>
      <c r="AI3584">
        <v>107.13035367788601</v>
      </c>
      <c r="AJ3584">
        <v>77.166075428414999</v>
      </c>
      <c r="AK3584">
        <v>0.57762907203427005</v>
      </c>
      <c r="AL3584">
        <v>80.733436352875898</v>
      </c>
      <c r="AM3584">
        <v>88.940243030014699</v>
      </c>
      <c r="AN3584">
        <v>1.00000006310264</v>
      </c>
    </row>
    <row r="3585" spans="1:40" x14ac:dyDescent="0.25">
      <c r="A3585" t="str">
        <f>"20190312172734398"</f>
        <v>20190312172734398</v>
      </c>
      <c r="B3585" t="str">
        <f>"1552382854393262"</f>
        <v>1552382854393262</v>
      </c>
      <c r="C3585" t="s">
        <v>40</v>
      </c>
      <c r="D3585">
        <v>3.2630319999999999</v>
      </c>
      <c r="E3585">
        <v>0.57449309999999998</v>
      </c>
      <c r="F3585" t="s">
        <v>44</v>
      </c>
      <c r="G3585">
        <v>-253.9864</v>
      </c>
      <c r="H3585">
        <v>0.91843560000000002</v>
      </c>
      <c r="I3585">
        <v>141.33850000000001</v>
      </c>
      <c r="J3585">
        <v>-253.45939999999999</v>
      </c>
      <c r="K3585">
        <v>1.107866</v>
      </c>
      <c r="L3585">
        <v>141.15629999999999</v>
      </c>
      <c r="M3585">
        <v>-0.99916769999999999</v>
      </c>
      <c r="N3585">
        <v>0</v>
      </c>
      <c r="O3585">
        <v>4.0409559999999997E-2</v>
      </c>
      <c r="P3585">
        <v>-0.98620719999999995</v>
      </c>
      <c r="Q3585">
        <v>0.15550029999999901</v>
      </c>
      <c r="R3585">
        <v>5.670298E-2</v>
      </c>
      <c r="S3585">
        <v>-3.110779</v>
      </c>
      <c r="T3585">
        <v>-0.69773229999999997</v>
      </c>
      <c r="U3585">
        <v>0.72041319999999998</v>
      </c>
      <c r="V3585">
        <v>1.719482E-2</v>
      </c>
      <c r="W3585">
        <v>0.16096949999999999</v>
      </c>
      <c r="X3585">
        <v>0.98680959999999995</v>
      </c>
      <c r="Y3585">
        <v>0.18271229999999999</v>
      </c>
      <c r="Z3585">
        <v>1.115639E-2</v>
      </c>
      <c r="AA3585">
        <v>0.98310310000000001</v>
      </c>
      <c r="AB3585">
        <v>31</v>
      </c>
      <c r="AC3585">
        <v>-0.52700000000001501</v>
      </c>
      <c r="AD3585">
        <v>-0.1894304</v>
      </c>
      <c r="AE3585">
        <v>0.18220000000002301</v>
      </c>
      <c r="AF3585">
        <v>0.14412192929950801</v>
      </c>
      <c r="AG3585">
        <v>-0.1894304</v>
      </c>
      <c r="AH3585">
        <v>0.478687105265302</v>
      </c>
      <c r="AI3585">
        <v>110.753057684195</v>
      </c>
      <c r="AJ3585">
        <v>73.244132501503302</v>
      </c>
      <c r="AK3585">
        <v>0.53459924401035896</v>
      </c>
      <c r="AL3585">
        <v>80.736826197053205</v>
      </c>
      <c r="AM3585">
        <v>89.001741646806806</v>
      </c>
      <c r="AN3585">
        <v>1.0000000142086201</v>
      </c>
    </row>
    <row r="3586" spans="1:40" x14ac:dyDescent="0.25">
      <c r="A3586" t="str">
        <f>"20190312172734418"</f>
        <v>20190312172734418</v>
      </c>
      <c r="B3586" t="str">
        <f>"1552382854412781"</f>
        <v>1552382854412781</v>
      </c>
      <c r="C3586" t="s">
        <v>40</v>
      </c>
      <c r="D3586">
        <v>3.3481930000000002</v>
      </c>
      <c r="E3586">
        <v>0.5751849</v>
      </c>
      <c r="F3586" t="s">
        <v>44</v>
      </c>
      <c r="G3586">
        <v>-254.26679999999999</v>
      </c>
      <c r="H3586">
        <v>0.92700859999999996</v>
      </c>
      <c r="I3586">
        <v>141.34350000000001</v>
      </c>
      <c r="J3586">
        <v>-253.74719999999999</v>
      </c>
      <c r="K3586">
        <v>1.1079330000000001</v>
      </c>
      <c r="L3586">
        <v>141.16890000000001</v>
      </c>
      <c r="M3586">
        <v>-0.99912719999999999</v>
      </c>
      <c r="N3586">
        <v>0</v>
      </c>
      <c r="O3586">
        <v>4.1392610000000003E-2</v>
      </c>
      <c r="P3586">
        <v>-0.9861915</v>
      </c>
      <c r="Q3586">
        <v>0.15549449999999901</v>
      </c>
      <c r="R3586">
        <v>5.6993309999999998E-2</v>
      </c>
      <c r="S3586">
        <v>-3.110382</v>
      </c>
      <c r="T3586">
        <v>-0.69672409999999996</v>
      </c>
      <c r="U3586">
        <v>0.72071839999999998</v>
      </c>
      <c r="V3586">
        <v>1.6490189999999998E-2</v>
      </c>
      <c r="W3586">
        <v>0.16100200000000001</v>
      </c>
      <c r="X3586">
        <v>0.98681629999999998</v>
      </c>
      <c r="Y3586">
        <v>0.1819154</v>
      </c>
      <c r="Z3586">
        <v>1.08407E-2</v>
      </c>
      <c r="AA3586">
        <v>0.98325439999999997</v>
      </c>
      <c r="AB3586">
        <v>31</v>
      </c>
      <c r="AC3586">
        <v>-0.51959999999999695</v>
      </c>
      <c r="AD3586">
        <v>-0.18092440000000001</v>
      </c>
      <c r="AE3586">
        <v>0.17459999999999801</v>
      </c>
      <c r="AF3586">
        <v>0.13791745505396699</v>
      </c>
      <c r="AG3586">
        <v>-0.18092440000000001</v>
      </c>
      <c r="AH3586">
        <v>0.47467051766118801</v>
      </c>
      <c r="AI3586">
        <v>110.103677718876</v>
      </c>
      <c r="AJ3586">
        <v>73.798561695659899</v>
      </c>
      <c r="AK3586">
        <v>0.52637150688526402</v>
      </c>
      <c r="AL3586">
        <v>80.734939250431694</v>
      </c>
      <c r="AM3586">
        <v>89.042648199873497</v>
      </c>
      <c r="AN3586">
        <v>0.99999999015796304</v>
      </c>
    </row>
    <row r="3587" spans="1:40" x14ac:dyDescent="0.25">
      <c r="A3587" t="str">
        <f>"20190312172734441"</f>
        <v>20190312172734441</v>
      </c>
      <c r="B3587" t="str">
        <f>"1552382854432302"</f>
        <v>1552382854432302</v>
      </c>
      <c r="C3587" t="s">
        <v>40</v>
      </c>
      <c r="D3587">
        <v>3.2421169999999999</v>
      </c>
      <c r="E3587">
        <v>0.57529779999999997</v>
      </c>
      <c r="F3587" t="s">
        <v>44</v>
      </c>
      <c r="G3587">
        <v>-254.54499999999999</v>
      </c>
      <c r="H3587">
        <v>0.92812119999999998</v>
      </c>
      <c r="I3587">
        <v>141.35560000000001</v>
      </c>
      <c r="J3587">
        <v>-254.05889999999999</v>
      </c>
      <c r="K3587">
        <v>1.108017</v>
      </c>
      <c r="L3587">
        <v>141.18279999999999</v>
      </c>
      <c r="M3587">
        <v>-0.99908730000000001</v>
      </c>
      <c r="N3587">
        <v>0</v>
      </c>
      <c r="O3587">
        <v>4.234036E-2</v>
      </c>
      <c r="P3587">
        <v>-0.98618240000000001</v>
      </c>
      <c r="Q3587">
        <v>0.1555068</v>
      </c>
      <c r="R3587">
        <v>5.7115190000000003E-2</v>
      </c>
      <c r="S3587">
        <v>-3.1105649999999998</v>
      </c>
      <c r="T3587">
        <v>-0.70102699999999996</v>
      </c>
      <c r="U3587">
        <v>0.72703549999999995</v>
      </c>
      <c r="V3587">
        <v>1.564407E-2</v>
      </c>
      <c r="W3587">
        <v>0.1610618</v>
      </c>
      <c r="X3587">
        <v>0.98682029999999998</v>
      </c>
      <c r="Y3587">
        <v>0.18282760000000001</v>
      </c>
      <c r="Z3587">
        <v>1.079577E-2</v>
      </c>
      <c r="AA3587">
        <v>0.98308569999999995</v>
      </c>
      <c r="AB3587">
        <v>31</v>
      </c>
      <c r="AC3587">
        <v>-0.48609999999999298</v>
      </c>
      <c r="AD3587">
        <v>-0.17989579999999999</v>
      </c>
      <c r="AE3587">
        <v>0.17280000000002299</v>
      </c>
      <c r="AF3587">
        <v>0.13557768455387301</v>
      </c>
      <c r="AG3587">
        <v>-0.17989579999999999</v>
      </c>
      <c r="AH3587">
        <v>0.43953586974374398</v>
      </c>
      <c r="AI3587">
        <v>111.36060200383599</v>
      </c>
      <c r="AJ3587">
        <v>72.857282806628305</v>
      </c>
      <c r="AK3587">
        <v>0.49389835816493599</v>
      </c>
      <c r="AL3587">
        <v>80.731467489833904</v>
      </c>
      <c r="AM3587">
        <v>89.091765635499996</v>
      </c>
      <c r="AN3587">
        <v>0.99999997241874705</v>
      </c>
    </row>
    <row r="3588" spans="1:40" x14ac:dyDescent="0.25">
      <c r="A3588" t="str">
        <f>"20190312172734464"</f>
        <v>20190312172734464</v>
      </c>
      <c r="B3588" t="str">
        <f>"1552382854452796"</f>
        <v>1552382854452796</v>
      </c>
      <c r="C3588" t="s">
        <v>40</v>
      </c>
      <c r="D3588">
        <v>3.3034059999999998</v>
      </c>
      <c r="E3588">
        <v>0.57525519999999997</v>
      </c>
      <c r="F3588" t="s">
        <v>44</v>
      </c>
      <c r="G3588">
        <v>-254.82640000000001</v>
      </c>
      <c r="H3588">
        <v>0.93471439999999995</v>
      </c>
      <c r="I3588">
        <v>141.36259999999999</v>
      </c>
      <c r="J3588">
        <v>-254.38210000000001</v>
      </c>
      <c r="K3588">
        <v>1.108123</v>
      </c>
      <c r="L3588">
        <v>141.19739999999999</v>
      </c>
      <c r="M3588">
        <v>-0.99905100000000002</v>
      </c>
      <c r="N3588">
        <v>0</v>
      </c>
      <c r="O3588">
        <v>4.3182970000000001E-2</v>
      </c>
      <c r="P3588">
        <v>-0.98616619999999999</v>
      </c>
      <c r="Q3588">
        <v>0.15562010000000001</v>
      </c>
      <c r="R3588">
        <v>5.7084360000000001E-2</v>
      </c>
      <c r="S3588">
        <v>-3.110611</v>
      </c>
      <c r="T3588">
        <v>-0.70227839999999997</v>
      </c>
      <c r="U3588">
        <v>0.72854609999999997</v>
      </c>
      <c r="V3588">
        <v>1.4742470000000001E-2</v>
      </c>
      <c r="W3588">
        <v>0.16122929999999999</v>
      </c>
      <c r="X3588">
        <v>0.98680690000000004</v>
      </c>
      <c r="Y3588">
        <v>0.18246599999999999</v>
      </c>
      <c r="Z3588">
        <v>1.058921E-2</v>
      </c>
      <c r="AA3588">
        <v>0.98315509999999995</v>
      </c>
      <c r="AB3588">
        <v>31</v>
      </c>
      <c r="AC3588">
        <v>-0.44429999999999797</v>
      </c>
      <c r="AD3588">
        <v>-0.173408599999999</v>
      </c>
      <c r="AE3588">
        <v>0.16519999999999799</v>
      </c>
      <c r="AF3588">
        <v>0.128643182620749</v>
      </c>
      <c r="AG3588">
        <v>-0.173408599999999</v>
      </c>
      <c r="AH3588">
        <v>0.39778433958642101</v>
      </c>
      <c r="AI3588">
        <v>112.527936847829</v>
      </c>
      <c r="AJ3588">
        <v>72.078828241359204</v>
      </c>
      <c r="AK3588">
        <v>0.45260577969018501</v>
      </c>
      <c r="AL3588">
        <v>80.721744016681896</v>
      </c>
      <c r="AM3588">
        <v>89.144089408643893</v>
      </c>
      <c r="AN3588">
        <v>1.00000004274389</v>
      </c>
    </row>
    <row r="3589" spans="1:40" x14ac:dyDescent="0.25">
      <c r="A3589" t="str">
        <f>"20190312172734486"</f>
        <v>20190312172734486</v>
      </c>
      <c r="B3589" t="str">
        <f>"1552382854483053"</f>
        <v>1552382854483053</v>
      </c>
      <c r="C3589" t="s">
        <v>40</v>
      </c>
      <c r="D3589">
        <v>3.2673230000000002</v>
      </c>
      <c r="E3589">
        <v>0.57497500000000001</v>
      </c>
      <c r="F3589" t="s">
        <v>44</v>
      </c>
      <c r="G3589">
        <v>-255.11009999999999</v>
      </c>
      <c r="H3589">
        <v>0.94362820000000003</v>
      </c>
      <c r="I3589">
        <v>141.3681</v>
      </c>
      <c r="J3589">
        <v>-254.69399999999999</v>
      </c>
      <c r="K3589">
        <v>1.1082430000000001</v>
      </c>
      <c r="L3589">
        <v>141.2115</v>
      </c>
      <c r="M3589">
        <v>-0.99902190000000002</v>
      </c>
      <c r="N3589">
        <v>0</v>
      </c>
      <c r="O3589">
        <v>4.3841360000000003E-2</v>
      </c>
      <c r="P3589">
        <v>-0.98599729999999997</v>
      </c>
      <c r="Q3589">
        <v>0.15661929999999999</v>
      </c>
      <c r="R3589">
        <v>5.7270939999999999E-2</v>
      </c>
      <c r="S3589">
        <v>-3.1108090000000002</v>
      </c>
      <c r="T3589">
        <v>-0.70289279999999998</v>
      </c>
      <c r="U3589">
        <v>0.7286224</v>
      </c>
      <c r="V3589">
        <v>1.424371E-2</v>
      </c>
      <c r="W3589">
        <v>0.1622815</v>
      </c>
      <c r="X3589">
        <v>0.98664169999999995</v>
      </c>
      <c r="Y3589">
        <v>0.1818525</v>
      </c>
      <c r="Z3589">
        <v>1.0385449999999999E-2</v>
      </c>
      <c r="AA3589">
        <v>0.98327100000000001</v>
      </c>
      <c r="AB3589">
        <v>31</v>
      </c>
      <c r="AC3589">
        <v>-0.41609999999997099</v>
      </c>
      <c r="AD3589">
        <v>-0.16461480000000001</v>
      </c>
      <c r="AE3589">
        <v>0.15659999999999699</v>
      </c>
      <c r="AF3589">
        <v>0.121543993752935</v>
      </c>
      <c r="AG3589">
        <v>-0.16461480000000001</v>
      </c>
      <c r="AH3589">
        <v>0.37161943763798699</v>
      </c>
      <c r="AI3589">
        <v>112.832038210581</v>
      </c>
      <c r="AJ3589">
        <v>71.888851525661906</v>
      </c>
      <c r="AK3589">
        <v>0.42423104698598801</v>
      </c>
      <c r="AL3589">
        <v>80.660652537729504</v>
      </c>
      <c r="AM3589">
        <v>89.172903619646107</v>
      </c>
      <c r="AN3589">
        <v>1.00000000634785</v>
      </c>
    </row>
    <row r="3590" spans="1:40" x14ac:dyDescent="0.25">
      <c r="A3590" t="str">
        <f>"20190312172734508"</f>
        <v>20190312172734508</v>
      </c>
      <c r="B3590" t="str">
        <f>"1552382854502573"</f>
        <v>1552382854502573</v>
      </c>
      <c r="C3590" t="s">
        <v>40</v>
      </c>
      <c r="D3590">
        <v>3.261933</v>
      </c>
      <c r="E3590">
        <v>0.57498130000000003</v>
      </c>
      <c r="F3590" t="s">
        <v>44</v>
      </c>
      <c r="G3590">
        <v>-255.3938</v>
      </c>
      <c r="H3590">
        <v>0.95092900000000002</v>
      </c>
      <c r="I3590">
        <v>141.37479999999999</v>
      </c>
      <c r="J3590">
        <v>-254.9931</v>
      </c>
      <c r="K3590">
        <v>1.108374</v>
      </c>
      <c r="L3590">
        <v>141.2251</v>
      </c>
      <c r="M3590">
        <v>-0.99900120000000003</v>
      </c>
      <c r="N3590">
        <v>0</v>
      </c>
      <c r="O3590">
        <v>4.4307699999999998E-2</v>
      </c>
      <c r="P3590">
        <v>-0.98600209999999999</v>
      </c>
      <c r="Q3590">
        <v>0.1566813</v>
      </c>
      <c r="R3590">
        <v>5.7020319999999999E-2</v>
      </c>
      <c r="S3590">
        <v>-3.111542</v>
      </c>
      <c r="T3590">
        <v>-0.69946049999999904</v>
      </c>
      <c r="U3590">
        <v>0.7257538</v>
      </c>
      <c r="V3590">
        <v>1.3483780000000001E-2</v>
      </c>
      <c r="W3590">
        <v>0.16239999999999999</v>
      </c>
      <c r="X3590">
        <v>0.98663290000000003</v>
      </c>
      <c r="Y3590">
        <v>0.18055660000000001</v>
      </c>
      <c r="Z3590">
        <v>1.0090689999999999E-2</v>
      </c>
      <c r="AA3590">
        <v>0.98351279999999996</v>
      </c>
      <c r="AB3590">
        <v>31</v>
      </c>
      <c r="AC3590">
        <v>-0.4007</v>
      </c>
      <c r="AD3590">
        <v>-0.157444999999999</v>
      </c>
      <c r="AE3590">
        <v>0.149699999999995</v>
      </c>
      <c r="AF3590">
        <v>0.116072973934202</v>
      </c>
      <c r="AG3590">
        <v>-0.157444999999999</v>
      </c>
      <c r="AH3590">
        <v>0.35838526522730102</v>
      </c>
      <c r="AI3590">
        <v>112.682186279449</v>
      </c>
      <c r="AJ3590">
        <v>72.054020588301398</v>
      </c>
      <c r="AK3590">
        <v>0.408291393045424</v>
      </c>
      <c r="AL3590">
        <v>80.653771895910694</v>
      </c>
      <c r="AM3590">
        <v>89.217018210646103</v>
      </c>
      <c r="AN3590">
        <v>1.0000000258427399</v>
      </c>
    </row>
    <row r="3591" spans="1:40" x14ac:dyDescent="0.25">
      <c r="A3591" t="str">
        <f>"20190312172734532"</f>
        <v>20190312172734532</v>
      </c>
      <c r="B3591" t="str">
        <f>"1552382854523069"</f>
        <v>1552382854523069</v>
      </c>
      <c r="C3591" t="s">
        <v>40</v>
      </c>
      <c r="D3591">
        <v>3.2507570000000001</v>
      </c>
      <c r="E3591">
        <v>0.57494669999999903</v>
      </c>
      <c r="F3591" t="s">
        <v>44</v>
      </c>
      <c r="G3591">
        <v>-255.67670000000001</v>
      </c>
      <c r="H3591">
        <v>0.95470759999999999</v>
      </c>
      <c r="I3591">
        <v>141.3843</v>
      </c>
      <c r="J3591">
        <v>-255.33459999999999</v>
      </c>
      <c r="K3591">
        <v>1.108519</v>
      </c>
      <c r="L3591">
        <v>141.2406</v>
      </c>
      <c r="M3591">
        <v>-0.99898589999999998</v>
      </c>
      <c r="N3591">
        <v>0</v>
      </c>
      <c r="O3591">
        <v>4.464042E-2</v>
      </c>
      <c r="P3591">
        <v>-0.9861103</v>
      </c>
      <c r="Q3591">
        <v>0.15624449999999901</v>
      </c>
      <c r="R3591">
        <v>5.6339559999999997E-2</v>
      </c>
      <c r="S3591">
        <v>-3.1118929999999998</v>
      </c>
      <c r="T3591">
        <v>-0.6995382</v>
      </c>
      <c r="U3591">
        <v>0.72395319999999996</v>
      </c>
      <c r="V3591">
        <v>1.2412339999999999E-2</v>
      </c>
      <c r="W3591">
        <v>0.16203210000000001</v>
      </c>
      <c r="X3591">
        <v>0.98670740000000001</v>
      </c>
      <c r="Y3591">
        <v>0.17969260000000001</v>
      </c>
      <c r="Z3591">
        <v>9.9239029999999995E-3</v>
      </c>
      <c r="AA3591">
        <v>0.98367269999999896</v>
      </c>
      <c r="AB3591">
        <v>31</v>
      </c>
      <c r="AC3591">
        <v>-0.342100000000016</v>
      </c>
      <c r="AD3591">
        <v>-0.15381139999999999</v>
      </c>
      <c r="AE3591">
        <v>0.143699999999995</v>
      </c>
      <c r="AF3591">
        <v>0.109474043069337</v>
      </c>
      <c r="AG3591">
        <v>-0.15381139999999999</v>
      </c>
      <c r="AH3591">
        <v>0.297119741033184</v>
      </c>
      <c r="AI3591">
        <v>115.908250353629</v>
      </c>
      <c r="AJ3591">
        <v>69.773633634611897</v>
      </c>
      <c r="AK3591">
        <v>0.35202649529195001</v>
      </c>
      <c r="AL3591">
        <v>80.675133520086405</v>
      </c>
      <c r="AM3591">
        <v>89.279282605851904</v>
      </c>
      <c r="AN3591">
        <v>0.99999998041472205</v>
      </c>
    </row>
    <row r="3592" spans="1:40" x14ac:dyDescent="0.25">
      <c r="A3592" t="str">
        <f>"20190312172734555"</f>
        <v>20190312172734555</v>
      </c>
      <c r="B3592" t="str">
        <f>"1552382854542589"</f>
        <v>1552382854542589</v>
      </c>
      <c r="C3592" t="s">
        <v>40</v>
      </c>
      <c r="D3592">
        <v>3.3313419999999998</v>
      </c>
      <c r="E3592">
        <v>0.57511840000000003</v>
      </c>
      <c r="F3592" t="s">
        <v>44</v>
      </c>
      <c r="G3592">
        <v>-256.22140000000002</v>
      </c>
      <c r="H3592">
        <v>0.90875859999999997</v>
      </c>
      <c r="I3592">
        <v>141.44659999999999</v>
      </c>
      <c r="J3592">
        <v>-255.66550000000001</v>
      </c>
      <c r="K3592">
        <v>1.108663</v>
      </c>
      <c r="L3592">
        <v>141.25559999999999</v>
      </c>
      <c r="M3592">
        <v>-0.99897930000000001</v>
      </c>
      <c r="N3592">
        <v>0</v>
      </c>
      <c r="O3592">
        <v>4.4780699999999903E-2</v>
      </c>
      <c r="P3592">
        <v>-0.98630209999999996</v>
      </c>
      <c r="Q3592">
        <v>0.15537770000000001</v>
      </c>
      <c r="R3592">
        <v>5.5374970000000003E-2</v>
      </c>
      <c r="S3592">
        <v>-3.1120909999999999</v>
      </c>
      <c r="T3592">
        <v>-0.70107969999999997</v>
      </c>
      <c r="U3592">
        <v>0.72221369999999996</v>
      </c>
      <c r="V3592">
        <v>1.124645E-2</v>
      </c>
      <c r="W3592">
        <v>0.16123309999999999</v>
      </c>
      <c r="X3592">
        <v>0.98685230000000002</v>
      </c>
      <c r="Y3592">
        <v>0.17902409999999999</v>
      </c>
      <c r="Z3592">
        <v>9.8410790000000008E-3</v>
      </c>
      <c r="AA3592">
        <v>0.98379550000000004</v>
      </c>
      <c r="AB3592">
        <v>32</v>
      </c>
      <c r="AC3592">
        <v>-0.55590000000000805</v>
      </c>
      <c r="AD3592">
        <v>-0.19990440000000001</v>
      </c>
      <c r="AE3592">
        <v>0.191000000000002</v>
      </c>
      <c r="AF3592">
        <v>0.14871387204483699</v>
      </c>
      <c r="AG3592">
        <v>-0.19990440000000001</v>
      </c>
      <c r="AH3592">
        <v>0.50543602748128302</v>
      </c>
      <c r="AI3592">
        <v>110.778051463388</v>
      </c>
      <c r="AJ3592">
        <v>73.604594524746702</v>
      </c>
      <c r="AK3592">
        <v>0.56350968292833103</v>
      </c>
      <c r="AL3592">
        <v>80.721523273963896</v>
      </c>
      <c r="AM3592">
        <v>89.347069236620001</v>
      </c>
      <c r="AN3592">
        <v>1.0000000285942501</v>
      </c>
    </row>
    <row r="3593" spans="1:40" x14ac:dyDescent="0.25">
      <c r="A3593" t="str">
        <f>"20190312172734575"</f>
        <v>20190312172734575</v>
      </c>
      <c r="B3593" t="str">
        <f>"1552382854572846"</f>
        <v>1552382854572846</v>
      </c>
      <c r="C3593" t="s">
        <v>40</v>
      </c>
      <c r="D3593">
        <v>3.3330730000000002</v>
      </c>
      <c r="E3593">
        <v>0.57295859999999998</v>
      </c>
      <c r="F3593" t="s">
        <v>44</v>
      </c>
      <c r="G3593">
        <v>-256.50869999999998</v>
      </c>
      <c r="H3593">
        <v>0.91787890000000005</v>
      </c>
      <c r="I3593">
        <v>141.4511</v>
      </c>
      <c r="J3593">
        <v>-255.95349999999999</v>
      </c>
      <c r="K3593">
        <v>1.1087769999999999</v>
      </c>
      <c r="L3593">
        <v>141.26849999999999</v>
      </c>
      <c r="M3593">
        <v>-0.99897910000000001</v>
      </c>
      <c r="N3593">
        <v>0</v>
      </c>
      <c r="O3593">
        <v>4.477569E-2</v>
      </c>
      <c r="P3593">
        <v>-0.98638650000000005</v>
      </c>
      <c r="Q3593">
        <v>0.15531110000000001</v>
      </c>
      <c r="R3593">
        <v>5.4037689999999999E-2</v>
      </c>
      <c r="S3593">
        <v>-3.1120610000000002</v>
      </c>
      <c r="T3593">
        <v>-0.70408769999999998</v>
      </c>
      <c r="U3593">
        <v>0.72135930000000004</v>
      </c>
      <c r="V3593">
        <v>9.8681729999999992E-3</v>
      </c>
      <c r="W3593">
        <v>0.16122410000000001</v>
      </c>
      <c r="X3593">
        <v>0.98686850000000004</v>
      </c>
      <c r="Y3593">
        <v>0.17875379999999999</v>
      </c>
      <c r="Z3593">
        <v>9.8539500000000002E-3</v>
      </c>
      <c r="AA3593">
        <v>0.98384450000000001</v>
      </c>
      <c r="AB3593">
        <v>32</v>
      </c>
      <c r="AC3593">
        <v>-0.55519999999998404</v>
      </c>
      <c r="AD3593">
        <v>-0.19089809999999999</v>
      </c>
      <c r="AE3593">
        <v>0.18260000000000701</v>
      </c>
      <c r="AF3593">
        <v>0.14236853736393801</v>
      </c>
      <c r="AG3593">
        <v>-0.19089809999999999</v>
      </c>
      <c r="AH3593">
        <v>0.50856383597206301</v>
      </c>
      <c r="AI3593">
        <v>109.873421446355</v>
      </c>
      <c r="AJ3593">
        <v>74.360818434717203</v>
      </c>
      <c r="AK3593">
        <v>0.56155859914471595</v>
      </c>
      <c r="AL3593">
        <v>80.722045633056794</v>
      </c>
      <c r="AM3593">
        <v>89.427091025127595</v>
      </c>
      <c r="AN3593">
        <v>1.0000000137756999</v>
      </c>
    </row>
    <row r="3594" spans="1:40" x14ac:dyDescent="0.25">
      <c r="A3594" t="str">
        <f>"20190312172734599"</f>
        <v>20190312172734599</v>
      </c>
      <c r="B3594" t="str">
        <f>"1552382854592365"</f>
        <v>1552382854592365</v>
      </c>
      <c r="C3594" t="s">
        <v>40</v>
      </c>
      <c r="D3594">
        <v>3.287201</v>
      </c>
      <c r="E3594">
        <v>0.50413819999999998</v>
      </c>
      <c r="F3594" t="s">
        <v>44</v>
      </c>
      <c r="G3594">
        <v>-256.7946</v>
      </c>
      <c r="H3594">
        <v>0.92127630000000005</v>
      </c>
      <c r="I3594">
        <v>141.4581</v>
      </c>
      <c r="J3594">
        <v>-256.27980000000002</v>
      </c>
      <c r="K3594">
        <v>1.108905</v>
      </c>
      <c r="L3594">
        <v>141.28290000000001</v>
      </c>
      <c r="M3594">
        <v>-0.99898600000000004</v>
      </c>
      <c r="N3594">
        <v>0</v>
      </c>
      <c r="O3594">
        <v>4.4613159999999999E-2</v>
      </c>
      <c r="P3594">
        <v>-0.98650519999999997</v>
      </c>
      <c r="Q3594">
        <v>0.1551149</v>
      </c>
      <c r="R3594">
        <v>5.240943E-2</v>
      </c>
      <c r="S3594">
        <v>-3.1122740000000002</v>
      </c>
      <c r="T3594">
        <v>-0.69385839999999999</v>
      </c>
      <c r="U3594">
        <v>0.70075989999999999</v>
      </c>
      <c r="V3594">
        <v>8.3492219999999999E-3</v>
      </c>
      <c r="W3594">
        <v>0.16109189999999901</v>
      </c>
      <c r="X3594">
        <v>0.98690409999999995</v>
      </c>
      <c r="Y3594">
        <v>0.172925</v>
      </c>
      <c r="Z3594">
        <v>9.1210200000000005E-3</v>
      </c>
      <c r="AA3594">
        <v>0.98489280000000001</v>
      </c>
      <c r="AB3594">
        <v>32</v>
      </c>
      <c r="AC3594">
        <v>-0.51479999999997905</v>
      </c>
      <c r="AD3594">
        <v>-0.18762870000000001</v>
      </c>
      <c r="AE3594">
        <v>0.175199999999989</v>
      </c>
      <c r="AF3594">
        <v>0.13588167166189999</v>
      </c>
      <c r="AG3594">
        <v>-0.18762870000000001</v>
      </c>
      <c r="AH3594">
        <v>0.46656016189142901</v>
      </c>
      <c r="AI3594">
        <v>111.112135625695</v>
      </c>
      <c r="AJ3594">
        <v>73.762249369314702</v>
      </c>
      <c r="AK3594">
        <v>0.52090953381703298</v>
      </c>
      <c r="AL3594">
        <v>80.729720384456002</v>
      </c>
      <c r="AM3594">
        <v>89.515288496036206</v>
      </c>
      <c r="AN3594">
        <v>1.0000000061752099</v>
      </c>
    </row>
    <row r="3595" spans="1:40" x14ac:dyDescent="0.25">
      <c r="A3595" t="str">
        <f>"20190312172734620"</f>
        <v>20190312172734620</v>
      </c>
      <c r="B3595" t="str">
        <f>"1552382854612861"</f>
        <v>1552382854612861</v>
      </c>
      <c r="C3595" t="s">
        <v>40</v>
      </c>
      <c r="D3595">
        <v>3.2313179999999999</v>
      </c>
      <c r="E3595">
        <v>0.49640580000000001</v>
      </c>
      <c r="F3595" t="s">
        <v>44</v>
      </c>
      <c r="G3595">
        <v>-257.13409999999999</v>
      </c>
      <c r="H3595">
        <v>1.026114</v>
      </c>
      <c r="I3595">
        <v>141.3279</v>
      </c>
      <c r="J3595">
        <v>-256.59129999999999</v>
      </c>
      <c r="K3595">
        <v>1.1090260000000001</v>
      </c>
      <c r="L3595">
        <v>141.29660000000001</v>
      </c>
      <c r="M3595">
        <v>-0.99899950000000004</v>
      </c>
      <c r="N3595">
        <v>0</v>
      </c>
      <c r="O3595">
        <v>4.430423E-2</v>
      </c>
      <c r="P3595">
        <v>-0.98657019999999995</v>
      </c>
      <c r="Q3595">
        <v>0.15551879999999901</v>
      </c>
      <c r="R3595">
        <v>4.9931789999999997E-2</v>
      </c>
      <c r="S3595">
        <v>-3.0793149999999998</v>
      </c>
      <c r="T3595">
        <v>-0.29833589999999999</v>
      </c>
      <c r="U3595">
        <v>0.16218569999999999</v>
      </c>
      <c r="V3595">
        <v>6.1296969999999999E-3</v>
      </c>
      <c r="W3595">
        <v>0.161553</v>
      </c>
      <c r="X3595">
        <v>0.98684499999999997</v>
      </c>
      <c r="Y3595">
        <v>8.4682539999999997E-3</v>
      </c>
      <c r="Z3595">
        <v>-3.8681969999999999E-3</v>
      </c>
      <c r="AA3595">
        <v>0.99995670000000003</v>
      </c>
      <c r="AB3595">
        <v>32</v>
      </c>
      <c r="AC3595">
        <v>-0.54279999999999895</v>
      </c>
      <c r="AD3595">
        <v>-8.2912000000000097E-2</v>
      </c>
      <c r="AE3595">
        <v>3.12999999999874E-2</v>
      </c>
      <c r="AF3595">
        <v>7.0563871937333201E-3</v>
      </c>
      <c r="AG3595">
        <v>-8.2912000000000097E-2</v>
      </c>
      <c r="AH3595">
        <v>0.53129848232981103</v>
      </c>
      <c r="AI3595">
        <v>98.869005333854602</v>
      </c>
      <c r="AJ3595">
        <v>89.239076623668893</v>
      </c>
      <c r="AK3595">
        <v>0.53777529663437296</v>
      </c>
      <c r="AL3595">
        <v>80.702950601459804</v>
      </c>
      <c r="AM3595">
        <v>89.6441171093675</v>
      </c>
      <c r="AN3595">
        <v>0.99999999950965501</v>
      </c>
    </row>
    <row r="3596" spans="1:40" x14ac:dyDescent="0.25">
      <c r="A3596" t="str">
        <f>"20190312172734642"</f>
        <v>20190312172734642</v>
      </c>
      <c r="B3596" t="str">
        <f>"1552382854632384"</f>
        <v>1552382854632384</v>
      </c>
      <c r="C3596" t="s">
        <v>40</v>
      </c>
      <c r="D3596">
        <v>3.305037</v>
      </c>
      <c r="E3596">
        <v>0.49357610000000002</v>
      </c>
      <c r="F3596" t="s">
        <v>41</v>
      </c>
      <c r="G3596">
        <v>-271.7561</v>
      </c>
      <c r="H3596" s="1">
        <v>-4.0605429999999996E-6</v>
      </c>
      <c r="I3596">
        <v>141.7705</v>
      </c>
      <c r="J3596">
        <v>-256.90379999999999</v>
      </c>
      <c r="K3596">
        <v>1.1091530000000001</v>
      </c>
      <c r="L3596">
        <v>141.31</v>
      </c>
      <c r="M3596">
        <v>-0.99901879999999998</v>
      </c>
      <c r="N3596">
        <v>0</v>
      </c>
      <c r="O3596">
        <v>4.3856119999999998E-2</v>
      </c>
      <c r="P3596">
        <v>-0.9864636</v>
      </c>
      <c r="Q3596">
        <v>0.1567885</v>
      </c>
      <c r="R3596">
        <v>4.8028769999999998E-2</v>
      </c>
      <c r="S3596">
        <v>-3.0714109999999999</v>
      </c>
      <c r="T3596">
        <v>-0.2246177</v>
      </c>
      <c r="U3596">
        <v>9.5993040000000002E-2</v>
      </c>
      <c r="V3596">
        <v>4.6286529999999999E-3</v>
      </c>
      <c r="W3596">
        <v>0.162878</v>
      </c>
      <c r="X3596">
        <v>0.98663529999999999</v>
      </c>
      <c r="Y3596">
        <v>-1.2476950000000001E-2</v>
      </c>
      <c r="Z3596">
        <v>-3.6564729999999999E-3</v>
      </c>
      <c r="AA3596">
        <v>0.99991549999999996</v>
      </c>
      <c r="AB3596">
        <v>32</v>
      </c>
      <c r="AC3596">
        <v>-14.8523</v>
      </c>
      <c r="AD3596">
        <v>-1.1091570605429999</v>
      </c>
      <c r="AE3596">
        <v>0.46049999999999602</v>
      </c>
      <c r="AF3596">
        <v>-0.190259681883413</v>
      </c>
      <c r="AG3596">
        <v>-1.1091570605429999</v>
      </c>
      <c r="AH3596">
        <v>14.7758799882458</v>
      </c>
      <c r="AI3596">
        <v>94.292523903633295</v>
      </c>
      <c r="AJ3596">
        <v>90.737720824929298</v>
      </c>
      <c r="AK3596">
        <v>14.818672597724399</v>
      </c>
      <c r="AL3596">
        <v>80.626014147755598</v>
      </c>
      <c r="AM3596">
        <v>89.731207330445699</v>
      </c>
      <c r="AN3596">
        <v>0.99999994125934</v>
      </c>
    </row>
    <row r="3597" spans="1:40" x14ac:dyDescent="0.25">
      <c r="A3597" t="str">
        <f>"20190312172734664"</f>
        <v>20190312172734664</v>
      </c>
      <c r="B3597" t="str">
        <f>"1552382854652877"</f>
        <v>1552382854652877</v>
      </c>
      <c r="C3597" t="s">
        <v>40</v>
      </c>
      <c r="D3597">
        <v>3.2327620000000001</v>
      </c>
      <c r="E3597">
        <v>0.49275970000000002</v>
      </c>
      <c r="F3597" t="s">
        <v>41</v>
      </c>
      <c r="G3597">
        <v>-274.28859999999997</v>
      </c>
      <c r="H3597" s="1">
        <v>-2.9868890000000001E-6</v>
      </c>
      <c r="I3597">
        <v>141.69980000000001</v>
      </c>
      <c r="J3597">
        <v>-257.22160000000002</v>
      </c>
      <c r="K3597">
        <v>1.1092799999999901</v>
      </c>
      <c r="L3597">
        <v>141.3235</v>
      </c>
      <c r="M3597">
        <v>-0.99904369999999998</v>
      </c>
      <c r="N3597">
        <v>0</v>
      </c>
      <c r="O3597">
        <v>4.3279360000000003E-2</v>
      </c>
      <c r="P3597">
        <v>-0.98635850000000003</v>
      </c>
      <c r="Q3597">
        <v>0.1580355</v>
      </c>
      <c r="R3597">
        <v>4.6066879999999998E-2</v>
      </c>
      <c r="S3597">
        <v>-3.0689700000000002</v>
      </c>
      <c r="T3597">
        <v>-0.195802</v>
      </c>
      <c r="U3597">
        <v>6.8817139999999999E-2</v>
      </c>
      <c r="V3597">
        <v>3.196834E-3</v>
      </c>
      <c r="W3597">
        <v>0.1641792</v>
      </c>
      <c r="X3597">
        <v>0.98642529999999995</v>
      </c>
      <c r="Y3597">
        <v>-2.0742400000000001E-2</v>
      </c>
      <c r="Z3597">
        <v>-3.418103E-3</v>
      </c>
      <c r="AA3597">
        <v>0.99977899999999997</v>
      </c>
      <c r="AB3597">
        <v>32</v>
      </c>
      <c r="AC3597">
        <v>-17.066999999999901</v>
      </c>
      <c r="AD3597">
        <v>-1.10928298688899</v>
      </c>
      <c r="AE3597">
        <v>0.37630000000001401</v>
      </c>
      <c r="AF3597">
        <v>-0.36119059934359699</v>
      </c>
      <c r="AG3597">
        <v>-1.10928298688899</v>
      </c>
      <c r="AH3597">
        <v>16.995532188038201</v>
      </c>
      <c r="AI3597">
        <v>93.733506144228997</v>
      </c>
      <c r="AJ3597">
        <v>91.217471860318796</v>
      </c>
      <c r="AK3597">
        <v>17.035524111359098</v>
      </c>
      <c r="AL3597">
        <v>80.550443675636899</v>
      </c>
      <c r="AM3597">
        <v>89.814314926077699</v>
      </c>
      <c r="AN3597">
        <v>0.99999995097017502</v>
      </c>
    </row>
    <row r="3598" spans="1:40" x14ac:dyDescent="0.25">
      <c r="A3598" t="str">
        <f>"20190312172734687"</f>
        <v>20190312172734687</v>
      </c>
      <c r="B3598" t="str">
        <f>"1552382854683133"</f>
        <v>1552382854683133</v>
      </c>
      <c r="C3598" t="s">
        <v>40</v>
      </c>
      <c r="D3598">
        <v>3.2759230000000001</v>
      </c>
      <c r="E3598">
        <v>0.49179499999999998</v>
      </c>
      <c r="F3598" t="s">
        <v>41</v>
      </c>
      <c r="G3598">
        <v>-275.79320000000001</v>
      </c>
      <c r="H3598" s="1">
        <v>-2.333032E-6</v>
      </c>
      <c r="I3598">
        <v>141.66820000000001</v>
      </c>
      <c r="J3598">
        <v>-257.54309999999998</v>
      </c>
      <c r="K3598">
        <v>1.1093930000000001</v>
      </c>
      <c r="L3598">
        <v>141.33670000000001</v>
      </c>
      <c r="M3598">
        <v>-0.99907270000000004</v>
      </c>
      <c r="N3598">
        <v>0</v>
      </c>
      <c r="O3598">
        <v>4.2597950000000002E-2</v>
      </c>
      <c r="P3598">
        <v>-0.98622149999999997</v>
      </c>
      <c r="Q3598">
        <v>0.15943179999999901</v>
      </c>
      <c r="R3598">
        <v>4.414597E-2</v>
      </c>
      <c r="S3598">
        <v>-3.0682070000000001</v>
      </c>
      <c r="T3598">
        <v>-0.18326509999999999</v>
      </c>
      <c r="U3598">
        <v>5.6961060000000001E-2</v>
      </c>
      <c r="V3598">
        <v>1.914785E-3</v>
      </c>
      <c r="W3598">
        <v>0.16562779999999999</v>
      </c>
      <c r="X3598">
        <v>0.98618649999999997</v>
      </c>
      <c r="Y3598">
        <v>-2.3928089999999999E-2</v>
      </c>
      <c r="Z3598">
        <v>-3.255048E-3</v>
      </c>
      <c r="AA3598">
        <v>0.99970840000000005</v>
      </c>
      <c r="AB3598">
        <v>32</v>
      </c>
      <c r="AC3598">
        <v>-18.2501</v>
      </c>
      <c r="AD3598">
        <v>-1.1093953330320001</v>
      </c>
      <c r="AE3598">
        <v>0.33150000000000501</v>
      </c>
      <c r="AF3598">
        <v>-0.44459065790269398</v>
      </c>
      <c r="AG3598">
        <v>-1.1093953330320001</v>
      </c>
      <c r="AH3598">
        <v>18.1804960837358</v>
      </c>
      <c r="AI3598">
        <v>93.490885181865394</v>
      </c>
      <c r="AJ3598">
        <v>91.400846944289697</v>
      </c>
      <c r="AK3598">
        <v>18.219738107579399</v>
      </c>
      <c r="AL3598">
        <v>80.466293648412304</v>
      </c>
      <c r="AM3598">
        <v>89.888754346856601</v>
      </c>
      <c r="AN3598">
        <v>1.00000002365834</v>
      </c>
    </row>
    <row r="3599" spans="1:40" x14ac:dyDescent="0.25">
      <c r="A3599" t="str">
        <f>"20190312172734709"</f>
        <v>20190312172734709</v>
      </c>
      <c r="B3599" t="str">
        <f>"1552382854702654"</f>
        <v>1552382854702654</v>
      </c>
      <c r="C3599" t="s">
        <v>40</v>
      </c>
      <c r="D3599">
        <v>3.2700290000000001</v>
      </c>
      <c r="E3599">
        <v>0.4914306</v>
      </c>
      <c r="F3599" t="s">
        <v>41</v>
      </c>
      <c r="G3599">
        <v>-277.01760000000002</v>
      </c>
      <c r="H3599" s="1">
        <v>-1.7937540000000001E-6</v>
      </c>
      <c r="I3599">
        <v>141.6156</v>
      </c>
      <c r="J3599">
        <v>-257.86279999999999</v>
      </c>
      <c r="K3599">
        <v>1.1094790000000001</v>
      </c>
      <c r="L3599">
        <v>141.34970000000001</v>
      </c>
      <c r="M3599">
        <v>-0.99910399999999999</v>
      </c>
      <c r="N3599">
        <v>0</v>
      </c>
      <c r="O3599">
        <v>4.1847339999999997E-2</v>
      </c>
      <c r="P3599">
        <v>-0.98605189999999998</v>
      </c>
      <c r="Q3599">
        <v>0.16096559999999999</v>
      </c>
      <c r="R3599">
        <v>4.2330159999999999E-2</v>
      </c>
      <c r="S3599">
        <v>-3.0681759999999998</v>
      </c>
      <c r="T3599">
        <v>-0.17478350000000001</v>
      </c>
      <c r="U3599">
        <v>4.3945310000000001E-2</v>
      </c>
      <c r="V3599">
        <v>8.1622649999999895E-4</v>
      </c>
      <c r="W3599">
        <v>0.16721279999999999</v>
      </c>
      <c r="X3599">
        <v>0.98592049999999998</v>
      </c>
      <c r="Y3599">
        <v>-2.7422729999999999E-2</v>
      </c>
      <c r="Z3599">
        <v>-3.1616109999999999E-3</v>
      </c>
      <c r="AA3599">
        <v>0.99961889999999998</v>
      </c>
      <c r="AB3599">
        <v>32</v>
      </c>
      <c r="AC3599">
        <v>-19.154800000000002</v>
      </c>
      <c r="AD3599">
        <v>-1.1094807937540001</v>
      </c>
      <c r="AE3599">
        <v>0.26589999999998698</v>
      </c>
      <c r="AF3599">
        <v>-0.534134749511183</v>
      </c>
      <c r="AG3599">
        <v>-1.1094807937540001</v>
      </c>
      <c r="AH3599">
        <v>19.085130399233002</v>
      </c>
      <c r="AI3599">
        <v>93.325746468461404</v>
      </c>
      <c r="AJ3599">
        <v>91.603116124520795</v>
      </c>
      <c r="AK3599">
        <v>19.1248124152388</v>
      </c>
      <c r="AL3599">
        <v>80.374195375167901</v>
      </c>
      <c r="AM3599">
        <v>89.952565827678399</v>
      </c>
      <c r="AN3599">
        <v>1.00000000951489</v>
      </c>
    </row>
    <row r="3600" spans="1:40" x14ac:dyDescent="0.25">
      <c r="A3600" t="str">
        <f>"20190312172734731"</f>
        <v>20190312172734731</v>
      </c>
      <c r="B3600" t="str">
        <f>"1552382854723149"</f>
        <v>1552382854723149</v>
      </c>
      <c r="C3600" t="s">
        <v>40</v>
      </c>
      <c r="D3600">
        <v>3.2780490000000002</v>
      </c>
      <c r="E3600">
        <v>0.49099720000000002</v>
      </c>
      <c r="F3600" t="s">
        <v>41</v>
      </c>
      <c r="G3600">
        <v>-277.79140000000001</v>
      </c>
      <c r="H3600" s="1">
        <v>-1.4530140000000001E-6</v>
      </c>
      <c r="I3600">
        <v>141.58260000000001</v>
      </c>
      <c r="J3600">
        <v>-258.20209999999997</v>
      </c>
      <c r="K3600">
        <v>1.1095740000000001</v>
      </c>
      <c r="L3600">
        <v>141.363</v>
      </c>
      <c r="M3600">
        <v>-0.99913810000000003</v>
      </c>
      <c r="N3600">
        <v>0</v>
      </c>
      <c r="O3600">
        <v>4.1000759999999997E-2</v>
      </c>
      <c r="P3600">
        <v>-0.98595109999999997</v>
      </c>
      <c r="Q3600">
        <v>0.16201299999999999</v>
      </c>
      <c r="R3600">
        <v>4.0650070000000003E-2</v>
      </c>
      <c r="S3600">
        <v>-3.0687869999999999</v>
      </c>
      <c r="T3600">
        <v>-0.17084739999999901</v>
      </c>
      <c r="U3600">
        <v>3.5888669999999998E-2</v>
      </c>
      <c r="V3600" s="1">
        <v>-4.7463460000000001E-5</v>
      </c>
      <c r="W3600">
        <v>0.16840820000000001</v>
      </c>
      <c r="X3600">
        <v>0.98571739999999997</v>
      </c>
      <c r="Y3600">
        <v>-2.9206039999999999E-2</v>
      </c>
      <c r="Z3600">
        <v>-3.0925390000000001E-3</v>
      </c>
      <c r="AA3600">
        <v>0.99956860000000003</v>
      </c>
      <c r="AB3600">
        <v>32</v>
      </c>
      <c r="AC3600">
        <v>-19.589300000000001</v>
      </c>
      <c r="AD3600">
        <v>-1.1095754530140001</v>
      </c>
      <c r="AE3600">
        <v>0.21960000000001301</v>
      </c>
      <c r="AF3600">
        <v>-0.58191100480326596</v>
      </c>
      <c r="AG3600">
        <v>-1.1095754530140001</v>
      </c>
      <c r="AH3600">
        <v>19.519215165829699</v>
      </c>
      <c r="AI3600">
        <v>93.252052067064298</v>
      </c>
      <c r="AJ3600">
        <v>91.707608227228405</v>
      </c>
      <c r="AK3600">
        <v>19.559384928810999</v>
      </c>
      <c r="AL3600">
        <v>80.304719245789499</v>
      </c>
      <c r="AM3600">
        <v>90.002758859625402</v>
      </c>
      <c r="AN3600">
        <v>1.00000005837138</v>
      </c>
    </row>
    <row r="3601" spans="1:40" x14ac:dyDescent="0.25">
      <c r="A3601" t="str">
        <f>"20190312172734756"</f>
        <v>20190312172734756</v>
      </c>
      <c r="B3601" t="str">
        <f>"1552382854752430"</f>
        <v>1552382854752430</v>
      </c>
      <c r="C3601" t="s">
        <v>40</v>
      </c>
      <c r="D3601">
        <v>3.2401580000000001</v>
      </c>
      <c r="E3601">
        <v>0.49081619999999998</v>
      </c>
      <c r="F3601" t="s">
        <v>41</v>
      </c>
      <c r="G3601">
        <v>-278.71460000000002</v>
      </c>
      <c r="H3601" s="1">
        <v>-1.047956E-6</v>
      </c>
      <c r="I3601">
        <v>141.5488</v>
      </c>
      <c r="J3601">
        <v>-258.53469999999999</v>
      </c>
      <c r="K3601">
        <v>1.109693</v>
      </c>
      <c r="L3601">
        <v>141.3758</v>
      </c>
      <c r="M3601">
        <v>-0.99917069999999997</v>
      </c>
      <c r="N3601">
        <v>0</v>
      </c>
      <c r="O3601">
        <v>4.0145390000000003E-2</v>
      </c>
      <c r="P3601">
        <v>-0.9859232</v>
      </c>
      <c r="Q3601">
        <v>0.1625433</v>
      </c>
      <c r="R3601">
        <v>3.918108E-2</v>
      </c>
      <c r="S3601">
        <v>-3.0689090000000001</v>
      </c>
      <c r="T3601">
        <v>-0.1660056</v>
      </c>
      <c r="U3601">
        <v>2.7801510000000001E-2</v>
      </c>
      <c r="V3601">
        <v>-6.8784300000000005E-4</v>
      </c>
      <c r="W3601">
        <v>0.16927719999999999</v>
      </c>
      <c r="X3601">
        <v>0.98556820000000001</v>
      </c>
      <c r="Y3601">
        <v>-3.0989300000000001E-2</v>
      </c>
      <c r="Z3601">
        <v>-3.0069739999999999E-3</v>
      </c>
      <c r="AA3601">
        <v>0.99951520000000005</v>
      </c>
      <c r="AB3601">
        <v>32</v>
      </c>
      <c r="AC3601">
        <v>-20.1799</v>
      </c>
      <c r="AD3601">
        <v>-1.109694047956</v>
      </c>
      <c r="AE3601">
        <v>0.17300000000000099</v>
      </c>
      <c r="AF3601">
        <v>-0.63536701533066797</v>
      </c>
      <c r="AG3601">
        <v>-1.109694047956</v>
      </c>
      <c r="AH3601">
        <v>20.109770894485798</v>
      </c>
      <c r="AI3601">
        <v>93.156910824869101</v>
      </c>
      <c r="AJ3601">
        <v>91.809654749363503</v>
      </c>
      <c r="AK3601">
        <v>20.1503845509943</v>
      </c>
      <c r="AL3601">
        <v>80.254203001268294</v>
      </c>
      <c r="AM3601">
        <v>90.039987587331694</v>
      </c>
      <c r="AN3601">
        <v>0.99999996020953497</v>
      </c>
    </row>
    <row r="3602" spans="1:40" x14ac:dyDescent="0.25">
      <c r="A3602" t="str">
        <f>"20190312172734777"</f>
        <v>20190312172734777</v>
      </c>
      <c r="B3602" t="str">
        <f>"1552382854772926"</f>
        <v>1552382854772926</v>
      </c>
      <c r="C3602" t="s">
        <v>40</v>
      </c>
      <c r="D3602">
        <v>3.2428910000000002</v>
      </c>
      <c r="E3602">
        <v>0.48144130000000002</v>
      </c>
      <c r="F3602" t="s">
        <v>41</v>
      </c>
      <c r="G3602">
        <v>-278.93560000000002</v>
      </c>
      <c r="H3602" s="1">
        <v>-9.4588979999999997E-7</v>
      </c>
      <c r="I3602">
        <v>141.5215</v>
      </c>
      <c r="J3602">
        <v>-258.86380000000003</v>
      </c>
      <c r="K3602">
        <v>1.109829</v>
      </c>
      <c r="L3602">
        <v>141.38820000000001</v>
      </c>
      <c r="M3602">
        <v>-0.99920140000000002</v>
      </c>
      <c r="N3602">
        <v>0</v>
      </c>
      <c r="O3602">
        <v>3.9283829999999999E-2</v>
      </c>
      <c r="P3602">
        <v>-0.98605880000000001</v>
      </c>
      <c r="Q3602">
        <v>0.1619263</v>
      </c>
      <c r="R3602">
        <v>3.8317690000000001E-2</v>
      </c>
      <c r="S3602">
        <v>-3.069458</v>
      </c>
      <c r="T3602">
        <v>-0.1669612</v>
      </c>
      <c r="U3602">
        <v>2.1926879999999999E-2</v>
      </c>
      <c r="V3602">
        <v>-7.1699640000000005E-4</v>
      </c>
      <c r="W3602">
        <v>0.16914179999999901</v>
      </c>
      <c r="X3602">
        <v>0.98559149999999995</v>
      </c>
      <c r="Y3602">
        <v>-3.2040609999999997E-2</v>
      </c>
      <c r="Z3602">
        <v>-3.0055419999999999E-3</v>
      </c>
      <c r="AA3602">
        <v>0.99948199999999998</v>
      </c>
      <c r="AB3602">
        <v>32</v>
      </c>
      <c r="AC3602">
        <v>-20.0718</v>
      </c>
      <c r="AD3602">
        <v>-1.1098299458898</v>
      </c>
      <c r="AE3602">
        <v>0.13329999999999101</v>
      </c>
      <c r="AF3602">
        <v>-0.65332378225151899</v>
      </c>
      <c r="AG3602">
        <v>-1.1098299458898</v>
      </c>
      <c r="AH3602">
        <v>20.0003974477751</v>
      </c>
      <c r="AI3602">
        <v>93.174418449698095</v>
      </c>
      <c r="AJ3602">
        <v>91.870932313409099</v>
      </c>
      <c r="AK3602">
        <v>20.0418175957725</v>
      </c>
      <c r="AL3602">
        <v>80.2620750771421</v>
      </c>
      <c r="AM3602">
        <v>90.041681427243503</v>
      </c>
      <c r="AN3602">
        <v>1.0000000337316599</v>
      </c>
    </row>
    <row r="3603" spans="1:40" x14ac:dyDescent="0.25">
      <c r="A3603" t="str">
        <f>"20190312172734799"</f>
        <v>20190312172734799</v>
      </c>
      <c r="B3603" t="str">
        <f>"1552382854792445"</f>
        <v>1552382854792445</v>
      </c>
      <c r="C3603" t="s">
        <v>40</v>
      </c>
      <c r="D3603">
        <v>3.3005110000000002</v>
      </c>
      <c r="E3603">
        <v>0.48121120000000001</v>
      </c>
      <c r="F3603" t="s">
        <v>50</v>
      </c>
      <c r="G3603">
        <v>-303.95119999999997</v>
      </c>
      <c r="H3603" s="1">
        <v>-8.9205099999999994E-6</v>
      </c>
      <c r="I3603">
        <v>140.61349999999999</v>
      </c>
      <c r="J3603">
        <v>-259.16559999999998</v>
      </c>
      <c r="K3603">
        <v>1.109931</v>
      </c>
      <c r="L3603">
        <v>141.39930000000001</v>
      </c>
      <c r="M3603">
        <v>-0.99922920000000004</v>
      </c>
      <c r="N3603">
        <v>0</v>
      </c>
      <c r="O3603">
        <v>3.8483719999999999E-2</v>
      </c>
      <c r="P3603">
        <v>-0.98620660000000004</v>
      </c>
      <c r="Q3603">
        <v>0.16123979999999999</v>
      </c>
      <c r="R3603">
        <v>3.7398830000000001E-2</v>
      </c>
      <c r="S3603">
        <v>-3.0568240000000002</v>
      </c>
      <c r="T3603">
        <v>-7.5244549999999993E-2</v>
      </c>
      <c r="U3603">
        <v>-5.2520749999999998E-2</v>
      </c>
      <c r="V3603">
        <v>-8.6037419999999997E-4</v>
      </c>
      <c r="W3603">
        <v>0.16889460000000001</v>
      </c>
      <c r="X3603">
        <v>0.98563369999999995</v>
      </c>
      <c r="Y3603">
        <v>-5.561692E-2</v>
      </c>
      <c r="Z3603">
        <v>-1.6313639999999999E-3</v>
      </c>
      <c r="AA3603">
        <v>0.99845090000000003</v>
      </c>
      <c r="AB3603">
        <v>32</v>
      </c>
      <c r="AC3603">
        <v>-44.785599999999903</v>
      </c>
      <c r="AD3603">
        <v>-1.10993992051</v>
      </c>
      <c r="AE3603">
        <v>-0.78580000000002304</v>
      </c>
      <c r="AF3603">
        <v>-2.5072465513675599</v>
      </c>
      <c r="AG3603">
        <v>-1.10993992051</v>
      </c>
      <c r="AH3603">
        <v>44.694736804319398</v>
      </c>
      <c r="AI3603">
        <v>91.420347069449093</v>
      </c>
      <c r="AJ3603">
        <v>93.210763757964301</v>
      </c>
      <c r="AK3603">
        <v>44.778764497291199</v>
      </c>
      <c r="AL3603">
        <v>80.276444599396498</v>
      </c>
      <c r="AM3603">
        <v>90.050014318647101</v>
      </c>
      <c r="AN3603">
        <v>0.999999958364306</v>
      </c>
    </row>
    <row r="3604" spans="1:40" x14ac:dyDescent="0.25">
      <c r="A3604" t="str">
        <f>"20190312172734820"</f>
        <v>20190312172734820</v>
      </c>
      <c r="B3604" t="str">
        <f>"1552382854812941"</f>
        <v>1552382854812941</v>
      </c>
      <c r="C3604" t="s">
        <v>40</v>
      </c>
      <c r="D3604">
        <v>3.2886639999999998</v>
      </c>
      <c r="E3604">
        <v>0.48119319999999999</v>
      </c>
      <c r="F3604" t="s">
        <v>50</v>
      </c>
      <c r="G3604">
        <v>-302.9615</v>
      </c>
      <c r="H3604" s="1">
        <v>-8.7668269999999993E-6</v>
      </c>
      <c r="I3604">
        <v>140.5746</v>
      </c>
      <c r="J3604">
        <v>-259.48509999999999</v>
      </c>
      <c r="K3604">
        <v>1.110031</v>
      </c>
      <c r="L3604">
        <v>141.41069999999999</v>
      </c>
      <c r="M3604">
        <v>-0.99925770000000003</v>
      </c>
      <c r="N3604">
        <v>0</v>
      </c>
      <c r="O3604">
        <v>3.7630799999999999E-2</v>
      </c>
      <c r="P3604">
        <v>-0.9863575</v>
      </c>
      <c r="Q3604">
        <v>0.16045209999999999</v>
      </c>
      <c r="R3604">
        <v>3.6804570000000002E-2</v>
      </c>
      <c r="S3604">
        <v>-3.0567929999999999</v>
      </c>
      <c r="T3604">
        <v>-7.7469709999999997E-2</v>
      </c>
      <c r="U3604">
        <v>-5.755615E-2</v>
      </c>
      <c r="V3604">
        <v>-6.2635309999999999E-4</v>
      </c>
      <c r="W3604">
        <v>0.16859569999999999</v>
      </c>
      <c r="X3604">
        <v>0.98568509999999998</v>
      </c>
      <c r="Y3604">
        <v>-5.6407480000000003E-2</v>
      </c>
      <c r="Z3604">
        <v>-1.668007E-3</v>
      </c>
      <c r="AA3604">
        <v>0.99840640000000003</v>
      </c>
      <c r="AB3604">
        <v>32</v>
      </c>
      <c r="AC3604">
        <v>-43.476399999999998</v>
      </c>
      <c r="AD3604">
        <v>-1.1100397668269999</v>
      </c>
      <c r="AE3604">
        <v>-0.83609999999998696</v>
      </c>
      <c r="AF3604">
        <v>-2.4700055173550699</v>
      </c>
      <c r="AG3604">
        <v>-1.1100397668269999</v>
      </c>
      <c r="AH3604">
        <v>43.385867780805299</v>
      </c>
      <c r="AI3604">
        <v>91.463240730098704</v>
      </c>
      <c r="AJ3604">
        <v>93.258394923010002</v>
      </c>
      <c r="AK3604">
        <v>43.470296049523597</v>
      </c>
      <c r="AL3604">
        <v>80.293819969134105</v>
      </c>
      <c r="AM3604">
        <v>90.036408569313394</v>
      </c>
      <c r="AN3604">
        <v>1.00000000936935</v>
      </c>
    </row>
    <row r="3605" spans="1:40" x14ac:dyDescent="0.25">
      <c r="A3605" t="str">
        <f>"20190312172734843"</f>
        <v>20190312172734843</v>
      </c>
      <c r="B3605" t="str">
        <f>"1552382854832461"</f>
        <v>1552382854832461</v>
      </c>
      <c r="C3605" t="s">
        <v>40</v>
      </c>
      <c r="D3605">
        <v>3.271925</v>
      </c>
      <c r="E3605">
        <v>0.48123480000000002</v>
      </c>
      <c r="F3605" t="s">
        <v>50</v>
      </c>
      <c r="G3605">
        <v>-302.51909999999998</v>
      </c>
      <c r="H3605" s="1">
        <v>-8.7021180000000002E-6</v>
      </c>
      <c r="I3605">
        <v>140.57069999999999</v>
      </c>
      <c r="J3605">
        <v>-259.81479999999999</v>
      </c>
      <c r="K3605">
        <v>1.1101259999999999</v>
      </c>
      <c r="L3605">
        <v>141.4222</v>
      </c>
      <c r="M3605">
        <v>-0.99928609999999896</v>
      </c>
      <c r="N3605">
        <v>0</v>
      </c>
      <c r="O3605">
        <v>3.6747780000000001E-2</v>
      </c>
      <c r="P3605">
        <v>-0.98640209999999995</v>
      </c>
      <c r="Q3605">
        <v>0.16028210000000001</v>
      </c>
      <c r="R3605">
        <v>3.634312E-2</v>
      </c>
      <c r="S3605">
        <v>-3.056549</v>
      </c>
      <c r="T3605">
        <v>-7.8842159999999994E-2</v>
      </c>
      <c r="U3605">
        <v>-5.9661869999999999E-2</v>
      </c>
      <c r="V3605">
        <v>-2.2494959999999999E-4</v>
      </c>
      <c r="W3605">
        <v>0.16894210000000001</v>
      </c>
      <c r="X3605">
        <v>0.985626</v>
      </c>
      <c r="Y3605">
        <v>-5.6213739999999998E-2</v>
      </c>
      <c r="Z3605">
        <v>-1.672417E-3</v>
      </c>
      <c r="AA3605">
        <v>0.99841740000000001</v>
      </c>
      <c r="AB3605">
        <v>32</v>
      </c>
      <c r="AC3605">
        <v>-42.704299999999897</v>
      </c>
      <c r="AD3605">
        <v>-1.1101347021179999</v>
      </c>
      <c r="AE3605">
        <v>-0.85150000000001502</v>
      </c>
      <c r="AF3605">
        <v>-2.4186395568001</v>
      </c>
      <c r="AG3605">
        <v>-1.1101347021179999</v>
      </c>
      <c r="AH3605">
        <v>42.615374814591199</v>
      </c>
      <c r="AI3605">
        <v>91.489826745289903</v>
      </c>
      <c r="AJ3605">
        <v>93.248342490954798</v>
      </c>
      <c r="AK3605">
        <v>42.698388575573397</v>
      </c>
      <c r="AL3605">
        <v>80.273684249517004</v>
      </c>
      <c r="AM3605">
        <v>90.013076625879705</v>
      </c>
      <c r="AN3605">
        <v>1.0000000478153599</v>
      </c>
    </row>
    <row r="3606" spans="1:40" x14ac:dyDescent="0.25">
      <c r="A3606" t="str">
        <f>"20190312172734864"</f>
        <v>20190312172734864</v>
      </c>
      <c r="B3606" t="str">
        <f>"1552382854852963"</f>
        <v>1552382854852963</v>
      </c>
      <c r="C3606" t="s">
        <v>40</v>
      </c>
      <c r="D3606">
        <v>3.321888</v>
      </c>
      <c r="E3606">
        <v>0.48117880000000002</v>
      </c>
      <c r="F3606" t="s">
        <v>50</v>
      </c>
      <c r="G3606">
        <v>-302.97890000000001</v>
      </c>
      <c r="H3606" s="1">
        <v>-8.7649690000000001E-6</v>
      </c>
      <c r="I3606">
        <v>140.56</v>
      </c>
      <c r="J3606">
        <v>-260.12259999999998</v>
      </c>
      <c r="K3606">
        <v>1.110198</v>
      </c>
      <c r="L3606">
        <v>141.43270000000001</v>
      </c>
      <c r="M3606">
        <v>-0.99931199999999998</v>
      </c>
      <c r="N3606">
        <v>0</v>
      </c>
      <c r="O3606">
        <v>3.5921580000000002E-2</v>
      </c>
      <c r="P3606">
        <v>-0.98644690000000002</v>
      </c>
      <c r="Q3606">
        <v>0.16011249999999999</v>
      </c>
      <c r="R3606">
        <v>3.5871750000000001E-2</v>
      </c>
      <c r="S3606">
        <v>-3.0563660000000001</v>
      </c>
      <c r="T3606">
        <v>-7.8606490000000001E-2</v>
      </c>
      <c r="U3606">
        <v>-6.1050420000000001E-2</v>
      </c>
      <c r="V3606">
        <v>1.136924E-4</v>
      </c>
      <c r="W3606">
        <v>0.16923299999999999</v>
      </c>
      <c r="X3606">
        <v>0.98557600000000001</v>
      </c>
      <c r="Y3606">
        <v>-5.5843570000000002E-2</v>
      </c>
      <c r="Z3606">
        <v>-1.641521E-3</v>
      </c>
      <c r="AA3606">
        <v>0.99843820000000005</v>
      </c>
      <c r="AB3606">
        <v>32</v>
      </c>
      <c r="AC3606">
        <v>-42.856299999999997</v>
      </c>
      <c r="AD3606">
        <v>-1.1102067649689999</v>
      </c>
      <c r="AE3606">
        <v>-0.87270000000000802</v>
      </c>
      <c r="AF3606">
        <v>-2.4100516082115</v>
      </c>
      <c r="AG3606">
        <v>-1.1102067649689999</v>
      </c>
      <c r="AH3606">
        <v>42.768599068933398</v>
      </c>
      <c r="AI3606">
        <v>91.484621761229405</v>
      </c>
      <c r="AJ3606">
        <v>93.225261191453498</v>
      </c>
      <c r="AK3606">
        <v>42.850833995785898</v>
      </c>
      <c r="AL3606">
        <v>80.256772314226495</v>
      </c>
      <c r="AM3606">
        <v>89.993390570941401</v>
      </c>
      <c r="AN3606">
        <v>0.99999993649547803</v>
      </c>
    </row>
    <row r="3607" spans="1:40" x14ac:dyDescent="0.25">
      <c r="A3607" t="str">
        <f>"20190312172734887"</f>
        <v>20190312172734887</v>
      </c>
      <c r="B3607" t="str">
        <f>"1552382854882238"</f>
        <v>1552382854882238</v>
      </c>
      <c r="C3607" t="s">
        <v>40</v>
      </c>
      <c r="D3607">
        <v>3.2993749999999999</v>
      </c>
      <c r="E3607">
        <v>0.48099920000000002</v>
      </c>
      <c r="F3607" t="s">
        <v>50</v>
      </c>
      <c r="G3607">
        <v>-303.51819999999998</v>
      </c>
      <c r="H3607" s="1">
        <v>-8.8353699999999997E-6</v>
      </c>
      <c r="I3607">
        <v>140.53630000000001</v>
      </c>
      <c r="J3607">
        <v>-260.44850000000002</v>
      </c>
      <c r="K3607">
        <v>1.1102430000000001</v>
      </c>
      <c r="L3607">
        <v>141.4435</v>
      </c>
      <c r="M3607">
        <v>-0.99933859999999997</v>
      </c>
      <c r="N3607">
        <v>0</v>
      </c>
      <c r="O3607">
        <v>3.5047689999999999E-2</v>
      </c>
      <c r="P3607">
        <v>-0.98643919999999996</v>
      </c>
      <c r="Q3607">
        <v>0.16029289999999999</v>
      </c>
      <c r="R3607">
        <v>3.5276019999999998E-2</v>
      </c>
      <c r="S3607">
        <v>-3.056244</v>
      </c>
      <c r="T3607">
        <v>-7.8189129999999996E-2</v>
      </c>
      <c r="U3607">
        <v>-6.3125609999999999E-2</v>
      </c>
      <c r="V3607">
        <v>3.7780920000000001E-4</v>
      </c>
      <c r="W3607">
        <v>0.16986229999999999</v>
      </c>
      <c r="X3607">
        <v>0.98546769999999995</v>
      </c>
      <c r="Y3607">
        <v>-5.5649740000000003E-2</v>
      </c>
      <c r="Z3607">
        <v>-1.608045E-3</v>
      </c>
      <c r="AA3607">
        <v>0.99844909999999998</v>
      </c>
      <c r="AB3607">
        <v>32</v>
      </c>
      <c r="AC3607">
        <v>-43.069699999999898</v>
      </c>
      <c r="AD3607">
        <v>-1.1102518353699999</v>
      </c>
      <c r="AE3607">
        <v>-0.90719999999998802</v>
      </c>
      <c r="AF3607">
        <v>-2.4146032546031599</v>
      </c>
      <c r="AG3607">
        <v>-1.1102518353699999</v>
      </c>
      <c r="AH3607">
        <v>42.982890745553199</v>
      </c>
      <c r="AI3607">
        <v>91.477297891123399</v>
      </c>
      <c r="AJ3607">
        <v>93.215263559773305</v>
      </c>
      <c r="AK3607">
        <v>43.064972597915897</v>
      </c>
      <c r="AL3607">
        <v>80.220186674386298</v>
      </c>
      <c r="AM3607">
        <v>89.978033910638899</v>
      </c>
      <c r="AN3607">
        <v>0.99999996572218497</v>
      </c>
    </row>
    <row r="3608" spans="1:40" x14ac:dyDescent="0.25">
      <c r="A3608" t="str">
        <f>"20190312172734909"</f>
        <v>20190312172734909</v>
      </c>
      <c r="B3608" t="str">
        <f>"1552382854902734"</f>
        <v>1552382854902734</v>
      </c>
      <c r="C3608" t="s">
        <v>40</v>
      </c>
      <c r="D3608">
        <v>3.2867630000000001</v>
      </c>
      <c r="E3608">
        <v>0.4809486</v>
      </c>
      <c r="F3608" t="s">
        <v>50</v>
      </c>
      <c r="G3608">
        <v>-304.08699999999999</v>
      </c>
      <c r="H3608" s="1">
        <v>-8.9035450000000001E-6</v>
      </c>
      <c r="I3608">
        <v>140.49090000000001</v>
      </c>
      <c r="J3608">
        <v>-260.7715</v>
      </c>
      <c r="K3608">
        <v>1.1102909999999999</v>
      </c>
      <c r="L3608">
        <v>141.4538</v>
      </c>
      <c r="M3608">
        <v>-0.99936449999999999</v>
      </c>
      <c r="N3608">
        <v>0</v>
      </c>
      <c r="O3608">
        <v>3.4184689999999997E-2</v>
      </c>
      <c r="P3608">
        <v>-0.98634730000000004</v>
      </c>
      <c r="Q3608">
        <v>0.1609891</v>
      </c>
      <c r="R3608">
        <v>3.4668669999999999E-2</v>
      </c>
      <c r="S3608">
        <v>-3.056244</v>
      </c>
      <c r="T3608">
        <v>-7.7757000000000007E-2</v>
      </c>
      <c r="U3608">
        <v>-6.6711430000000002E-2</v>
      </c>
      <c r="V3608">
        <v>6.2248459999999996E-4</v>
      </c>
      <c r="W3608">
        <v>0.1709589</v>
      </c>
      <c r="X3608">
        <v>0.98527799999999999</v>
      </c>
      <c r="Y3608">
        <v>-5.5959090000000003E-2</v>
      </c>
      <c r="Z3608">
        <v>-1.5811379999999999E-3</v>
      </c>
      <c r="AA3608">
        <v>0.99843179999999998</v>
      </c>
      <c r="AB3608">
        <v>32</v>
      </c>
      <c r="AC3608">
        <v>-43.315499999999901</v>
      </c>
      <c r="AD3608">
        <v>-1.1102999035450001</v>
      </c>
      <c r="AE3608">
        <v>-0.96289999999998999</v>
      </c>
      <c r="AF3608">
        <v>-2.4415362213653702</v>
      </c>
      <c r="AG3608">
        <v>-1.1102999035450001</v>
      </c>
      <c r="AH3608">
        <v>43.228873596294399</v>
      </c>
      <c r="AI3608">
        <v>91.468933954629193</v>
      </c>
      <c r="AJ3608">
        <v>93.232590817164095</v>
      </c>
      <c r="AK3608">
        <v>43.312000385579601</v>
      </c>
      <c r="AL3608">
        <v>80.156424151331706</v>
      </c>
      <c r="AM3608">
        <v>89.963801347795695</v>
      </c>
      <c r="AN3608">
        <v>1.0000000351301399</v>
      </c>
    </row>
    <row r="3609" spans="1:40" x14ac:dyDescent="0.25">
      <c r="A3609" t="str">
        <f>"20190312172734932"</f>
        <v>20190312172734932</v>
      </c>
      <c r="B3609" t="str">
        <f>"1552382854923229"</f>
        <v>1552382854923229</v>
      </c>
      <c r="C3609" t="s">
        <v>40</v>
      </c>
      <c r="D3609">
        <v>3.2552099999999999</v>
      </c>
      <c r="E3609">
        <v>0.4808962</v>
      </c>
      <c r="F3609" t="s">
        <v>50</v>
      </c>
      <c r="G3609">
        <v>-305.2158</v>
      </c>
      <c r="H3609" s="1">
        <v>-9.0526940000000008E-6</v>
      </c>
      <c r="I3609">
        <v>140.44739999999999</v>
      </c>
      <c r="J3609">
        <v>-261.10570000000001</v>
      </c>
      <c r="K3609">
        <v>1.110325</v>
      </c>
      <c r="L3609">
        <v>141.46430000000001</v>
      </c>
      <c r="M3609">
        <v>-0.99939069999999997</v>
      </c>
      <c r="N3609">
        <v>0</v>
      </c>
      <c r="O3609">
        <v>3.3293469999999999E-2</v>
      </c>
      <c r="P3609">
        <v>-0.98636740000000001</v>
      </c>
      <c r="Q3609">
        <v>0.16102320000000001</v>
      </c>
      <c r="R3609">
        <v>3.3927199999999998E-2</v>
      </c>
      <c r="S3609">
        <v>-3.0564269999999998</v>
      </c>
      <c r="T3609">
        <v>-7.6355220000000001E-2</v>
      </c>
      <c r="U3609">
        <v>-6.9213869999999997E-2</v>
      </c>
      <c r="V3609">
        <v>7.5961529999999896E-4</v>
      </c>
      <c r="W3609">
        <v>0.17136479999999901</v>
      </c>
      <c r="X3609">
        <v>0.98520739999999996</v>
      </c>
      <c r="Y3609">
        <v>-5.5885940000000002E-2</v>
      </c>
      <c r="Z3609">
        <v>-1.529374E-3</v>
      </c>
      <c r="AA3609">
        <v>0.99843599999999999</v>
      </c>
      <c r="AB3609">
        <v>32</v>
      </c>
      <c r="AC3609">
        <v>-44.110099999999903</v>
      </c>
      <c r="AD3609">
        <v>-1.110334052694</v>
      </c>
      <c r="AE3609">
        <v>-1.0169000000000199</v>
      </c>
      <c r="AF3609">
        <v>-2.48342237229306</v>
      </c>
      <c r="AG3609">
        <v>-1.110334052694</v>
      </c>
      <c r="AH3609">
        <v>44.023905753293299</v>
      </c>
      <c r="AI3609">
        <v>91.442467542483101</v>
      </c>
      <c r="AJ3609">
        <v>93.2286771383949</v>
      </c>
      <c r="AK3609">
        <v>44.1078735166708</v>
      </c>
      <c r="AL3609">
        <v>80.132819570732593</v>
      </c>
      <c r="AM3609">
        <v>89.955823776679694</v>
      </c>
      <c r="AN3609">
        <v>1.0000000463545999</v>
      </c>
    </row>
    <row r="3610" spans="1:40" x14ac:dyDescent="0.25">
      <c r="A3610" t="str">
        <f>"20190312172734956"</f>
        <v>20190312172734956</v>
      </c>
      <c r="B3610" t="str">
        <f>"1552382854953485"</f>
        <v>1552382854953485</v>
      </c>
      <c r="C3610" t="s">
        <v>40</v>
      </c>
      <c r="D3610">
        <v>3.2428089999999998</v>
      </c>
      <c r="E3610">
        <v>0.48101060000000001</v>
      </c>
      <c r="F3610" t="s">
        <v>50</v>
      </c>
      <c r="G3610">
        <v>-305.81670000000003</v>
      </c>
      <c r="H3610" s="1">
        <v>-9.1278030000000008E-6</v>
      </c>
      <c r="I3610">
        <v>140.40979999999999</v>
      </c>
      <c r="J3610">
        <v>-261.44290000000001</v>
      </c>
      <c r="K3610">
        <v>1.1103459999999901</v>
      </c>
      <c r="L3610">
        <v>141.47450000000001</v>
      </c>
      <c r="M3610">
        <v>-0.99941659999999999</v>
      </c>
      <c r="N3610">
        <v>0</v>
      </c>
      <c r="O3610">
        <v>3.2394529999999998E-2</v>
      </c>
      <c r="P3610">
        <v>-0.98649880000000001</v>
      </c>
      <c r="Q3610">
        <v>0.16043289999999999</v>
      </c>
      <c r="R3610">
        <v>3.2889269999999998E-2</v>
      </c>
      <c r="S3610">
        <v>-3.056305</v>
      </c>
      <c r="T3610">
        <v>-7.589912E-2</v>
      </c>
      <c r="U3610">
        <v>-7.2082519999999997E-2</v>
      </c>
      <c r="V3610">
        <v>6.06359E-4</v>
      </c>
      <c r="W3610">
        <v>0.17110790000000001</v>
      </c>
      <c r="X3610">
        <v>0.98525209999999996</v>
      </c>
      <c r="Y3610">
        <v>-5.5926110000000001E-2</v>
      </c>
      <c r="Z3610">
        <v>-1.4984760000000001E-3</v>
      </c>
      <c r="AA3610">
        <v>0.99843380000000004</v>
      </c>
      <c r="AB3610">
        <v>32</v>
      </c>
      <c r="AC3610">
        <v>-44.373800000000003</v>
      </c>
      <c r="AD3610">
        <v>-1.1103551278029999</v>
      </c>
      <c r="AE3610">
        <v>-1.06470000000001</v>
      </c>
      <c r="AF3610">
        <v>-2.5001291433766402</v>
      </c>
      <c r="AG3610">
        <v>-1.1103551278029999</v>
      </c>
      <c r="AH3610">
        <v>44.288300965292002</v>
      </c>
      <c r="AI3610">
        <v>91.433883752837801</v>
      </c>
      <c r="AJ3610">
        <v>93.230988133554007</v>
      </c>
      <c r="AK3610">
        <v>44.372707114122299</v>
      </c>
      <c r="AL3610">
        <v>80.147758966719493</v>
      </c>
      <c r="AM3610">
        <v>89.964738154647407</v>
      </c>
      <c r="AN3610">
        <v>0.99999999083402802</v>
      </c>
    </row>
    <row r="3611" spans="1:40" x14ac:dyDescent="0.25">
      <c r="A3611" t="str">
        <f>"20190312172734978"</f>
        <v>20190312172734978</v>
      </c>
      <c r="B3611" t="str">
        <f>"1552382854973006"</f>
        <v>1552382854973006</v>
      </c>
      <c r="C3611" t="s">
        <v>40</v>
      </c>
      <c r="D3611">
        <v>3.3051680000000001</v>
      </c>
      <c r="E3611">
        <v>0.48098990000000003</v>
      </c>
      <c r="F3611" t="s">
        <v>50</v>
      </c>
      <c r="G3611">
        <v>-304.56279999999998</v>
      </c>
      <c r="H3611" s="1">
        <v>-8.95292E-6</v>
      </c>
      <c r="I3611">
        <v>140.4272</v>
      </c>
      <c r="J3611">
        <v>-261.7713</v>
      </c>
      <c r="K3611">
        <v>1.1103609999999999</v>
      </c>
      <c r="L3611">
        <v>141.48419999999999</v>
      </c>
      <c r="M3611">
        <v>-0.99944140000000004</v>
      </c>
      <c r="N3611">
        <v>0</v>
      </c>
      <c r="O3611">
        <v>3.151959E-2</v>
      </c>
      <c r="P3611">
        <v>-0.98656900000000003</v>
      </c>
      <c r="Q3611">
        <v>0.16023809999999999</v>
      </c>
      <c r="R3611">
        <v>3.1713449999999997E-2</v>
      </c>
      <c r="S3611">
        <v>-3.0563349999999998</v>
      </c>
      <c r="T3611">
        <v>-7.8701969999999996E-2</v>
      </c>
      <c r="U3611">
        <v>-7.4234010000000003E-2</v>
      </c>
      <c r="V3611">
        <v>2.9342369999999998E-4</v>
      </c>
      <c r="W3611">
        <v>0.1711985</v>
      </c>
      <c r="X3611">
        <v>0.98523649999999996</v>
      </c>
      <c r="Y3611">
        <v>-5.5752660000000002E-2</v>
      </c>
      <c r="Z3611">
        <v>-1.529019E-3</v>
      </c>
      <c r="AA3611">
        <v>0.99844339999999998</v>
      </c>
      <c r="AB3611">
        <v>32</v>
      </c>
      <c r="AC3611">
        <v>-42.7914999999999</v>
      </c>
      <c r="AD3611">
        <v>-1.11036995292</v>
      </c>
      <c r="AE3611">
        <v>-1.05699999999998</v>
      </c>
      <c r="AF3611">
        <v>-2.4037110371439998</v>
      </c>
      <c r="AG3611">
        <v>-1.11036995292</v>
      </c>
      <c r="AH3611">
        <v>42.7081788224558</v>
      </c>
      <c r="AI3611">
        <v>91.486945316785594</v>
      </c>
      <c r="AJ3611">
        <v>93.221335035048497</v>
      </c>
      <c r="AK3611">
        <v>42.790177453631799</v>
      </c>
      <c r="AL3611">
        <v>80.142490184756895</v>
      </c>
      <c r="AM3611">
        <v>89.982936138559495</v>
      </c>
      <c r="AN3611">
        <v>0.999999986715983</v>
      </c>
    </row>
    <row r="3612" spans="1:40" x14ac:dyDescent="0.25">
      <c r="A3612" t="str">
        <f>"20190312172735001"</f>
        <v>20190312172735001</v>
      </c>
      <c r="B3612" t="str">
        <f>"1552382854992525"</f>
        <v>1552382854992525</v>
      </c>
      <c r="C3612" t="s">
        <v>40</v>
      </c>
      <c r="D3612">
        <v>3.3756080000000002</v>
      </c>
      <c r="E3612">
        <v>0.48105059999999999</v>
      </c>
      <c r="F3612" t="s">
        <v>50</v>
      </c>
      <c r="G3612">
        <v>-304.81619999999998</v>
      </c>
      <c r="H3612" s="1">
        <v>-8.9792819999999997E-6</v>
      </c>
      <c r="I3612">
        <v>140.39349999999999</v>
      </c>
      <c r="J3612">
        <v>-262.0992</v>
      </c>
      <c r="K3612">
        <v>1.1103730000000001</v>
      </c>
      <c r="L3612">
        <v>141.49359999999999</v>
      </c>
      <c r="M3612">
        <v>-0.99946559999999995</v>
      </c>
      <c r="N3612">
        <v>0</v>
      </c>
      <c r="O3612">
        <v>3.0646219999999998E-2</v>
      </c>
      <c r="P3612">
        <v>-0.9866085</v>
      </c>
      <c r="Q3612">
        <v>0.16016849999999999</v>
      </c>
      <c r="R3612">
        <v>3.081859E-2</v>
      </c>
      <c r="S3612">
        <v>-3.0561219999999998</v>
      </c>
      <c r="T3612">
        <v>-7.883453E-2</v>
      </c>
      <c r="U3612">
        <v>-7.7438350000000003E-2</v>
      </c>
      <c r="V3612">
        <v>2.6054419999999999E-4</v>
      </c>
      <c r="W3612">
        <v>0.1713799</v>
      </c>
      <c r="X3612">
        <v>0.985205</v>
      </c>
      <c r="Y3612">
        <v>-5.5928319999999997E-2</v>
      </c>
      <c r="Z3612">
        <v>-1.5114320000000001E-3</v>
      </c>
      <c r="AA3612">
        <v>0.99843360000000003</v>
      </c>
      <c r="AB3612">
        <v>32</v>
      </c>
      <c r="AC3612">
        <v>-42.716999999999899</v>
      </c>
      <c r="AD3612">
        <v>-1.110381979282</v>
      </c>
      <c r="AE3612">
        <v>-1.1000999999999901</v>
      </c>
      <c r="AF3612">
        <v>-2.4071570492496099</v>
      </c>
      <c r="AG3612">
        <v>-1.110381979282</v>
      </c>
      <c r="AH3612">
        <v>42.634428611339501</v>
      </c>
      <c r="AI3612">
        <v>91.489517536180003</v>
      </c>
      <c r="AJ3612">
        <v>93.231511973435801</v>
      </c>
      <c r="AK3612">
        <v>42.716763175772897</v>
      </c>
      <c r="AL3612">
        <v>80.131941100990502</v>
      </c>
      <c r="AM3612">
        <v>89.984847739618999</v>
      </c>
      <c r="AN3612">
        <v>1.0000000150161401</v>
      </c>
    </row>
    <row r="3613" spans="1:40" x14ac:dyDescent="0.25">
      <c r="A3613" t="str">
        <f>"20190312172735022"</f>
        <v>20190312172735022</v>
      </c>
      <c r="B3613" t="str">
        <f>"1552382855013022"</f>
        <v>1552382855013022</v>
      </c>
      <c r="C3613" t="s">
        <v>40</v>
      </c>
      <c r="D3613">
        <v>3.157146</v>
      </c>
      <c r="E3613">
        <v>0.48114289999999998</v>
      </c>
      <c r="F3613" t="s">
        <v>50</v>
      </c>
      <c r="G3613">
        <v>-305.1003</v>
      </c>
      <c r="H3613" s="1">
        <v>-9.0125299999999992E-6</v>
      </c>
      <c r="I3613">
        <v>140.3681</v>
      </c>
      <c r="J3613">
        <v>-262.41800000000001</v>
      </c>
      <c r="K3613">
        <v>1.110376</v>
      </c>
      <c r="L3613">
        <v>141.5025</v>
      </c>
      <c r="M3613">
        <v>-0.99948890000000001</v>
      </c>
      <c r="N3613">
        <v>0</v>
      </c>
      <c r="O3613">
        <v>2.979681E-2</v>
      </c>
      <c r="P3613">
        <v>-0.98672110000000002</v>
      </c>
      <c r="Q3613">
        <v>0.15960729999999901</v>
      </c>
      <c r="R3613">
        <v>3.012184E-2</v>
      </c>
      <c r="S3613">
        <v>-3.0560610000000001</v>
      </c>
      <c r="T3613">
        <v>-7.8914170000000006E-2</v>
      </c>
      <c r="U3613">
        <v>-7.9986570000000007E-2</v>
      </c>
      <c r="V3613">
        <v>4.0091619999999998E-4</v>
      </c>
      <c r="W3613">
        <v>0.1710332</v>
      </c>
      <c r="X3613">
        <v>0.98526519999999995</v>
      </c>
      <c r="Y3613">
        <v>-5.5912570000000002E-2</v>
      </c>
      <c r="Z3613">
        <v>-1.4908479999999999E-3</v>
      </c>
      <c r="AA3613">
        <v>0.9984345</v>
      </c>
      <c r="AB3613">
        <v>32</v>
      </c>
      <c r="AC3613">
        <v>-42.682299999999998</v>
      </c>
      <c r="AD3613">
        <v>-1.1103850125299899</v>
      </c>
      <c r="AE3613">
        <v>-1.1343999999999901</v>
      </c>
      <c r="AF3613">
        <v>-2.4041519425262399</v>
      </c>
      <c r="AG3613">
        <v>-1.1103850125299899</v>
      </c>
      <c r="AH3613">
        <v>42.6007305061203</v>
      </c>
      <c r="AI3613">
        <v>91.490701485658093</v>
      </c>
      <c r="AJ3613">
        <v>93.230033880177402</v>
      </c>
      <c r="AK3613">
        <v>42.682960781720503</v>
      </c>
      <c r="AL3613">
        <v>80.1521032409767</v>
      </c>
      <c r="AM3613">
        <v>89.976685662976195</v>
      </c>
      <c r="AN3613">
        <v>1.00000001528353</v>
      </c>
    </row>
    <row r="3614" spans="1:40" x14ac:dyDescent="0.25">
      <c r="A3614" t="str">
        <f>"20190312172735044"</f>
        <v>20190312172735044</v>
      </c>
      <c r="B3614" t="str">
        <f>"1552382855032545"</f>
        <v>1552382855032545</v>
      </c>
      <c r="C3614" t="s">
        <v>40</v>
      </c>
      <c r="D3614">
        <v>3.1283430000000001</v>
      </c>
      <c r="E3614">
        <v>0.4812032</v>
      </c>
      <c r="F3614" t="s">
        <v>50</v>
      </c>
      <c r="G3614">
        <v>-303.46730000000002</v>
      </c>
      <c r="H3614" s="1">
        <v>-8.7890419999999999E-6</v>
      </c>
      <c r="I3614">
        <v>140.40520000000001</v>
      </c>
      <c r="J3614">
        <v>-262.7244</v>
      </c>
      <c r="K3614">
        <v>1.1103719999999999</v>
      </c>
      <c r="L3614">
        <v>141.51070000000001</v>
      </c>
      <c r="M3614">
        <v>-0.99951080000000003</v>
      </c>
      <c r="N3614">
        <v>0</v>
      </c>
      <c r="O3614">
        <v>2.8981099999999999E-2</v>
      </c>
      <c r="P3614">
        <v>-0.98685970000000001</v>
      </c>
      <c r="Q3614">
        <v>0.15884139999999999</v>
      </c>
      <c r="R3614">
        <v>2.9622989999999998E-2</v>
      </c>
      <c r="S3614">
        <v>-3.0562740000000002</v>
      </c>
      <c r="T3614">
        <v>-8.2672480000000007E-2</v>
      </c>
      <c r="U3614">
        <v>-8.169556E-2</v>
      </c>
      <c r="V3614">
        <v>7.0539069999999999E-4</v>
      </c>
      <c r="W3614">
        <v>0.17044819999999999</v>
      </c>
      <c r="X3614">
        <v>0.98536639999999998</v>
      </c>
      <c r="Y3614">
        <v>-5.5651489999999998E-2</v>
      </c>
      <c r="Z3614">
        <v>-1.5361229999999999E-3</v>
      </c>
      <c r="AA3614">
        <v>0.99844909999999998</v>
      </c>
      <c r="AB3614">
        <v>32</v>
      </c>
      <c r="AC3614">
        <v>-40.742899999999999</v>
      </c>
      <c r="AD3614">
        <v>-1.1103807890420001</v>
      </c>
      <c r="AE3614">
        <v>-1.1054999999999999</v>
      </c>
      <c r="AF3614">
        <v>-2.2841959457411498</v>
      </c>
      <c r="AG3614">
        <v>-1.1103807890420001</v>
      </c>
      <c r="AH3614">
        <v>40.663562695695397</v>
      </c>
      <c r="AI3614">
        <v>91.561699482511898</v>
      </c>
      <c r="AJ3614">
        <v>93.215099319281805</v>
      </c>
      <c r="AK3614">
        <v>40.742800931231599</v>
      </c>
      <c r="AL3614">
        <v>80.186120776528796</v>
      </c>
      <c r="AM3614">
        <v>89.958983883442798</v>
      </c>
      <c r="AN3614">
        <v>1.0000000143541099</v>
      </c>
    </row>
    <row r="3615" spans="1:40" x14ac:dyDescent="0.25">
      <c r="A3615" t="str">
        <f>"20190312172735066"</f>
        <v>20190312172735066</v>
      </c>
      <c r="B3615" t="str">
        <f>"1552382855062797"</f>
        <v>1552382855062797</v>
      </c>
      <c r="C3615" t="s">
        <v>40</v>
      </c>
      <c r="D3615">
        <v>3.1469969999999998</v>
      </c>
      <c r="E3615">
        <v>0.48129529999999898</v>
      </c>
      <c r="F3615" t="s">
        <v>50</v>
      </c>
      <c r="G3615">
        <v>-301.93079999999998</v>
      </c>
      <c r="H3615" s="1">
        <v>-8.5805099999999993E-6</v>
      </c>
      <c r="I3615">
        <v>140.44589999999999</v>
      </c>
      <c r="J3615">
        <v>-263.03829999999999</v>
      </c>
      <c r="K3615">
        <v>1.110368</v>
      </c>
      <c r="L3615">
        <v>141.5189</v>
      </c>
      <c r="M3615">
        <v>-0.99953289999999995</v>
      </c>
      <c r="N3615">
        <v>0</v>
      </c>
      <c r="O3615">
        <v>2.8145280000000002E-2</v>
      </c>
      <c r="P3615">
        <v>-0.98704700000000001</v>
      </c>
      <c r="Q3615">
        <v>0.1577991</v>
      </c>
      <c r="R3615">
        <v>2.8946679999999999E-2</v>
      </c>
      <c r="S3615">
        <v>-3.0563959999999999</v>
      </c>
      <c r="T3615">
        <v>-8.6561440000000003E-2</v>
      </c>
      <c r="U3615">
        <v>-8.3007810000000001E-2</v>
      </c>
      <c r="V3615">
        <v>8.5105330000000005E-4</v>
      </c>
      <c r="W3615">
        <v>0.16955399999999901</v>
      </c>
      <c r="X3615">
        <v>0.98552050000000002</v>
      </c>
      <c r="Y3615">
        <v>-5.5241440000000003E-2</v>
      </c>
      <c r="Z3615">
        <v>-1.5788169999999999E-3</v>
      </c>
      <c r="AA3615">
        <v>0.99847180000000002</v>
      </c>
      <c r="AB3615">
        <v>32</v>
      </c>
      <c r="AC3615">
        <v>-38.892499999999899</v>
      </c>
      <c r="AD3615">
        <v>-1.1103765805100001</v>
      </c>
      <c r="AE3615">
        <v>-1.073</v>
      </c>
      <c r="AF3615">
        <v>-2.1655290257520901</v>
      </c>
      <c r="AG3615">
        <v>-1.1103765805100001</v>
      </c>
      <c r="AH3615">
        <v>38.815274136748698</v>
      </c>
      <c r="AI3615">
        <v>91.636052998575195</v>
      </c>
      <c r="AJ3615">
        <v>93.193257905837001</v>
      </c>
      <c r="AK3615">
        <v>38.891489537209502</v>
      </c>
      <c r="AL3615">
        <v>80.238111005027505</v>
      </c>
      <c r="AM3615">
        <v>89.950521830738495</v>
      </c>
      <c r="AN3615">
        <v>0.99999996956398396</v>
      </c>
    </row>
    <row r="3616" spans="1:40" x14ac:dyDescent="0.25">
      <c r="A3616" t="str">
        <f>"20190312172735089"</f>
        <v>20190312172735089</v>
      </c>
      <c r="B3616" t="str">
        <f>"1552382855083294"</f>
        <v>1552382855083294</v>
      </c>
      <c r="C3616" t="s">
        <v>40</v>
      </c>
      <c r="D3616">
        <v>3.1203099999999999</v>
      </c>
      <c r="E3616">
        <v>0.48138560000000002</v>
      </c>
      <c r="F3616" t="s">
        <v>50</v>
      </c>
      <c r="G3616">
        <v>-300.36900000000003</v>
      </c>
      <c r="H3616" s="1">
        <v>-8.3536639999999992E-6</v>
      </c>
      <c r="I3616">
        <v>140.4898</v>
      </c>
      <c r="J3616">
        <v>-263.36430000000001</v>
      </c>
      <c r="K3616">
        <v>1.1100639999999999</v>
      </c>
      <c r="L3616">
        <v>141.52719999999999</v>
      </c>
      <c r="M3616">
        <v>-0.99956639999999997</v>
      </c>
      <c r="N3616">
        <v>0</v>
      </c>
      <c r="O3616">
        <v>2.729697E-2</v>
      </c>
      <c r="P3616">
        <v>-0.98689510000000003</v>
      </c>
      <c r="Q3616">
        <v>0.15880849999999999</v>
      </c>
      <c r="R3616">
        <v>2.8601729999999999E-2</v>
      </c>
      <c r="S3616">
        <v>-3.0563660000000001</v>
      </c>
      <c r="T3616">
        <v>-9.0909480000000001E-2</v>
      </c>
      <c r="U3616">
        <v>-8.4259029999999999E-2</v>
      </c>
      <c r="V3616">
        <v>1.36166E-3</v>
      </c>
      <c r="W3616">
        <v>0.169705299999999</v>
      </c>
      <c r="X3616">
        <v>0.98549390000000003</v>
      </c>
      <c r="Y3616">
        <v>-5.479962E-2</v>
      </c>
      <c r="Z3616">
        <v>-1.6262990000000001E-3</v>
      </c>
      <c r="AA3616">
        <v>0.9984961</v>
      </c>
      <c r="AB3616">
        <v>32</v>
      </c>
      <c r="AC3616">
        <v>-37.0047</v>
      </c>
      <c r="AD3616">
        <v>-1.110072353664</v>
      </c>
      <c r="AE3616">
        <v>-1.0373999999999901</v>
      </c>
      <c r="AF3616">
        <v>-2.0453519926207999</v>
      </c>
      <c r="AG3616">
        <v>-1.110072353664</v>
      </c>
      <c r="AH3616">
        <v>36.929383354106101</v>
      </c>
      <c r="AI3616">
        <v>91.719120895081701</v>
      </c>
      <c r="AJ3616">
        <v>93.170115971783801</v>
      </c>
      <c r="AK3616">
        <v>37.002636126614199</v>
      </c>
      <c r="AL3616">
        <v>80.229314827671999</v>
      </c>
      <c r="AM3616">
        <v>89.920834292851396</v>
      </c>
      <c r="AN3616">
        <v>0.99999998495162701</v>
      </c>
    </row>
    <row r="3617" spans="1:40" x14ac:dyDescent="0.25">
      <c r="A3617" t="str">
        <f>"20190312172735110"</f>
        <v>20190312172735110</v>
      </c>
      <c r="B3617" t="str">
        <f>"1552382855102813"</f>
        <v>1552382855102813</v>
      </c>
      <c r="C3617" t="s">
        <v>40</v>
      </c>
      <c r="D3617">
        <v>3.0973920000000001</v>
      </c>
      <c r="E3617">
        <v>0.48152869999999998</v>
      </c>
      <c r="F3617" t="s">
        <v>50</v>
      </c>
      <c r="G3617">
        <v>-301.78019999999998</v>
      </c>
      <c r="H3617" s="1">
        <v>-8.5626729999999997E-6</v>
      </c>
      <c r="I3617">
        <v>140.45859999999999</v>
      </c>
      <c r="J3617">
        <v>-263.69600000000003</v>
      </c>
      <c r="K3617">
        <v>1.109699</v>
      </c>
      <c r="L3617">
        <v>141.53550000000001</v>
      </c>
      <c r="M3617">
        <v>-0.99960210000000005</v>
      </c>
      <c r="N3617">
        <v>0</v>
      </c>
      <c r="O3617">
        <v>2.6467899999999999E-2</v>
      </c>
      <c r="P3617">
        <v>-0.98663199999999995</v>
      </c>
      <c r="Q3617">
        <v>0.16046679999999999</v>
      </c>
      <c r="R3617">
        <v>2.842049E-2</v>
      </c>
      <c r="S3617">
        <v>-3.056549</v>
      </c>
      <c r="T3617">
        <v>-8.8322520000000002E-2</v>
      </c>
      <c r="U3617">
        <v>-8.5021970000000002E-2</v>
      </c>
      <c r="V3617">
        <v>2.0249259999999998E-3</v>
      </c>
      <c r="W3617">
        <v>0.17009479999999999</v>
      </c>
      <c r="X3617">
        <v>0.98542560000000001</v>
      </c>
      <c r="Y3617">
        <v>-5.4221100000000001E-2</v>
      </c>
      <c r="Z3617">
        <v>-1.547629E-3</v>
      </c>
      <c r="AA3617">
        <v>0.99852779999999997</v>
      </c>
      <c r="AB3617">
        <v>33</v>
      </c>
      <c r="AC3617">
        <v>-38.084200000000003</v>
      </c>
      <c r="AD3617">
        <v>-1.109707562673</v>
      </c>
      <c r="AE3617">
        <v>-1.07690000000002</v>
      </c>
      <c r="AF3617">
        <v>-2.08281243913313</v>
      </c>
      <c r="AG3617">
        <v>-1.109707562673</v>
      </c>
      <c r="AH3617">
        <v>38.010105556871601</v>
      </c>
      <c r="AI3617">
        <v>91.669775521692898</v>
      </c>
      <c r="AJ3617">
        <v>93.1364589541962</v>
      </c>
      <c r="AK3617">
        <v>38.083299265895803</v>
      </c>
      <c r="AL3617">
        <v>80.206668801949107</v>
      </c>
      <c r="AM3617">
        <v>89.882264525775796</v>
      </c>
      <c r="AN3617">
        <v>0.99999997722385203</v>
      </c>
    </row>
    <row r="3618" spans="1:40" x14ac:dyDescent="0.25">
      <c r="A3618" t="str">
        <f>"20190312172735134"</f>
        <v>20190312172735134</v>
      </c>
      <c r="B3618" t="str">
        <f>"1552382855123309"</f>
        <v>1552382855123309</v>
      </c>
      <c r="C3618" t="s">
        <v>40</v>
      </c>
      <c r="D3618">
        <v>3.1122420000000002</v>
      </c>
      <c r="E3618">
        <v>0.48162860000000002</v>
      </c>
      <c r="F3618" t="s">
        <v>50</v>
      </c>
      <c r="G3618">
        <v>-303.9495</v>
      </c>
      <c r="H3618" s="1">
        <v>-8.8621240000000001E-6</v>
      </c>
      <c r="I3618">
        <v>140.41810000000001</v>
      </c>
      <c r="J3618">
        <v>-264.03140000000002</v>
      </c>
      <c r="K3618">
        <v>1.10938799999999</v>
      </c>
      <c r="L3618">
        <v>141.5437</v>
      </c>
      <c r="M3618">
        <v>-0.99963570000000002</v>
      </c>
      <c r="N3618">
        <v>0</v>
      </c>
      <c r="O3618">
        <v>2.564315E-2</v>
      </c>
      <c r="P3618">
        <v>-0.98627940000000003</v>
      </c>
      <c r="Q3618">
        <v>0.16266320000000001</v>
      </c>
      <c r="R3618">
        <v>2.8179409999999998E-2</v>
      </c>
      <c r="S3618">
        <v>-3.0567929999999999</v>
      </c>
      <c r="T3618">
        <v>-8.4269759999999999E-2</v>
      </c>
      <c r="U3618">
        <v>-8.485413E-2</v>
      </c>
      <c r="V3618">
        <v>2.6254540000000002E-3</v>
      </c>
      <c r="W3618">
        <v>0.17099320000000001</v>
      </c>
      <c r="X3618">
        <v>0.9852687</v>
      </c>
      <c r="Y3618">
        <v>-5.3343590000000003E-2</v>
      </c>
      <c r="Z3618">
        <v>-1.4416989999999901E-3</v>
      </c>
      <c r="AA3618">
        <v>0.9985752</v>
      </c>
      <c r="AB3618">
        <v>33</v>
      </c>
      <c r="AC3618">
        <v>-39.918099999999903</v>
      </c>
      <c r="AD3618">
        <v>-1.10939686212399</v>
      </c>
      <c r="AE3618">
        <v>-1.1255999999999899</v>
      </c>
      <c r="AF3618">
        <v>-2.1472347698835401</v>
      </c>
      <c r="AG3618">
        <v>-1.10939686212399</v>
      </c>
      <c r="AH3618">
        <v>39.845355936286197</v>
      </c>
      <c r="AI3618">
        <v>91.592539828049595</v>
      </c>
      <c r="AJ3618">
        <v>93.084640646144507</v>
      </c>
      <c r="AK3618">
        <v>39.918589256686197</v>
      </c>
      <c r="AL3618">
        <v>80.154429080374598</v>
      </c>
      <c r="AM3618">
        <v>89.847323803687203</v>
      </c>
      <c r="AN3618">
        <v>0.99999998932731704</v>
      </c>
    </row>
    <row r="3619" spans="1:40" x14ac:dyDescent="0.25">
      <c r="A3619" t="str">
        <f>"20190312172735157"</f>
        <v>20190312172735157</v>
      </c>
      <c r="B3619" t="str">
        <f>"1552382855152590"</f>
        <v>1552382855152590</v>
      </c>
      <c r="C3619" t="s">
        <v>40</v>
      </c>
      <c r="D3619">
        <v>3.091027</v>
      </c>
      <c r="E3619">
        <v>0.4817592</v>
      </c>
      <c r="F3619" t="s">
        <v>50</v>
      </c>
      <c r="G3619">
        <v>-307.84050000000002</v>
      </c>
      <c r="H3619" s="1">
        <v>-9.3932160000000006E-6</v>
      </c>
      <c r="I3619">
        <v>140.32499999999999</v>
      </c>
      <c r="J3619">
        <v>-264.38819999999998</v>
      </c>
      <c r="K3619">
        <v>1.1091230000000001</v>
      </c>
      <c r="L3619">
        <v>141.5522</v>
      </c>
      <c r="M3619">
        <v>-0.99966770000000005</v>
      </c>
      <c r="N3619">
        <v>0</v>
      </c>
      <c r="O3619">
        <v>2.4789499999999999E-2</v>
      </c>
      <c r="P3619">
        <v>-0.98604820000000004</v>
      </c>
      <c r="Q3619">
        <v>0.16419230000000001</v>
      </c>
      <c r="R3619">
        <v>2.7383680000000001E-2</v>
      </c>
      <c r="S3619">
        <v>-3.0569760000000001</v>
      </c>
      <c r="T3619">
        <v>-7.7413200000000001E-2</v>
      </c>
      <c r="U3619">
        <v>-8.5037230000000005E-2</v>
      </c>
      <c r="V3619">
        <v>2.6897420000000002E-3</v>
      </c>
      <c r="W3619">
        <v>0.17117689999999999</v>
      </c>
      <c r="X3619">
        <v>0.98523660000000002</v>
      </c>
      <c r="Y3619">
        <v>-5.2553879999999997E-2</v>
      </c>
      <c r="Z3619">
        <v>-1.2927430000000001E-3</v>
      </c>
      <c r="AA3619">
        <v>0.99861719999999998</v>
      </c>
      <c r="AB3619">
        <v>33</v>
      </c>
      <c r="AC3619">
        <v>-43.452300000000001</v>
      </c>
      <c r="AD3619">
        <v>-1.10913239321599</v>
      </c>
      <c r="AE3619">
        <v>-1.2272000000000101</v>
      </c>
      <c r="AF3619">
        <v>-2.3025115757305001</v>
      </c>
      <c r="AG3619">
        <v>-1.10913239321599</v>
      </c>
      <c r="AH3619">
        <v>43.3802822347538</v>
      </c>
      <c r="AI3619">
        <v>91.462542242899403</v>
      </c>
      <c r="AJ3619">
        <v>93.038258669711794</v>
      </c>
      <c r="AK3619">
        <v>43.455501619345597</v>
      </c>
      <c r="AL3619">
        <v>80.143746068969094</v>
      </c>
      <c r="AM3619">
        <v>89.8435802306673</v>
      </c>
      <c r="AN3619">
        <v>0.99999996189259699</v>
      </c>
    </row>
    <row r="3620" spans="1:40" x14ac:dyDescent="0.25">
      <c r="A3620" t="str">
        <f>"20190312172735180"</f>
        <v>20190312172735180</v>
      </c>
      <c r="B3620" t="str">
        <f>"1552382855173086"</f>
        <v>1552382855173086</v>
      </c>
      <c r="C3620" t="s">
        <v>40</v>
      </c>
      <c r="D3620">
        <v>3.1146479999999999</v>
      </c>
      <c r="E3620">
        <v>0.48180430000000002</v>
      </c>
      <c r="F3620" t="s">
        <v>50</v>
      </c>
      <c r="G3620">
        <v>-310.71179999999998</v>
      </c>
      <c r="H3620" s="1">
        <v>-9.3676809999999998E-6</v>
      </c>
      <c r="I3620">
        <v>140.24160000000001</v>
      </c>
      <c r="J3620">
        <v>-264.7328</v>
      </c>
      <c r="K3620">
        <v>1.1089370000000001</v>
      </c>
      <c r="L3620">
        <v>141.56020000000001</v>
      </c>
      <c r="M3620">
        <v>-0.99969520000000001</v>
      </c>
      <c r="N3620">
        <v>0</v>
      </c>
      <c r="O3620">
        <v>2.399577E-2</v>
      </c>
      <c r="P3620">
        <v>-0.98583460000000001</v>
      </c>
      <c r="Q3620">
        <v>0.16555819999999999</v>
      </c>
      <c r="R3620">
        <v>2.685448E-2</v>
      </c>
      <c r="S3620">
        <v>-3.0570369999999998</v>
      </c>
      <c r="T3620">
        <v>-7.3195099999999999E-2</v>
      </c>
      <c r="U3620">
        <v>-8.6486820000000006E-2</v>
      </c>
      <c r="V3620">
        <v>2.9493039999999998E-3</v>
      </c>
      <c r="W3620">
        <v>0.1713056</v>
      </c>
      <c r="X3620">
        <v>0.98521349999999996</v>
      </c>
      <c r="Y3620">
        <v>-5.2236339999999999E-2</v>
      </c>
      <c r="Z3620">
        <v>-1.199491E-3</v>
      </c>
      <c r="AA3620">
        <v>0.99863400000000002</v>
      </c>
      <c r="AB3620">
        <v>34</v>
      </c>
      <c r="AC3620">
        <v>-45.9789999999999</v>
      </c>
      <c r="AD3620">
        <v>-1.1089463676809901</v>
      </c>
      <c r="AE3620">
        <v>-1.3186</v>
      </c>
      <c r="AF3620">
        <v>-2.4201337705206099</v>
      </c>
      <c r="AG3620">
        <v>-1.1089463676809901</v>
      </c>
      <c r="AH3620">
        <v>45.907436413377702</v>
      </c>
      <c r="AI3620">
        <v>91.381857523750696</v>
      </c>
      <c r="AJ3620">
        <v>93.017707365014004</v>
      </c>
      <c r="AK3620">
        <v>45.984557490117503</v>
      </c>
      <c r="AL3620">
        <v>80.136261667426993</v>
      </c>
      <c r="AM3620">
        <v>89.8284816773957</v>
      </c>
      <c r="AN3620">
        <v>0.99999997378384597</v>
      </c>
    </row>
    <row r="3621" spans="1:40" x14ac:dyDescent="0.25">
      <c r="A3621" t="str">
        <f>"20190312172735202"</f>
        <v>20190312172735202</v>
      </c>
      <c r="B3621" t="str">
        <f>"1552382855192606"</f>
        <v>1552382855192606</v>
      </c>
      <c r="C3621" t="s">
        <v>40</v>
      </c>
      <c r="D3621">
        <v>3.2594089999999998</v>
      </c>
      <c r="E3621">
        <v>0.48190349999999998</v>
      </c>
      <c r="F3621" t="s">
        <v>50</v>
      </c>
      <c r="G3621">
        <v>-313.60739999999998</v>
      </c>
      <c r="H3621" s="1">
        <v>-8.2568709999999995E-6</v>
      </c>
      <c r="I3621">
        <v>140.1628</v>
      </c>
      <c r="J3621">
        <v>-265.07380000000001</v>
      </c>
      <c r="K3621">
        <v>1.1088290000000001</v>
      </c>
      <c r="L3621">
        <v>141.56780000000001</v>
      </c>
      <c r="M3621">
        <v>-0.99971889999999997</v>
      </c>
      <c r="N3621">
        <v>0</v>
      </c>
      <c r="O3621">
        <v>2.3236779999999999E-2</v>
      </c>
      <c r="P3621">
        <v>-0.98557740000000005</v>
      </c>
      <c r="Q3621">
        <v>0.16711409999999999</v>
      </c>
      <c r="R3621">
        <v>2.6644399999999999E-2</v>
      </c>
      <c r="S3621">
        <v>-3.0570979999999999</v>
      </c>
      <c r="T3621">
        <v>-6.9364430000000005E-2</v>
      </c>
      <c r="U3621">
        <v>-8.7402339999999995E-2</v>
      </c>
      <c r="V3621">
        <v>3.4836170000000001E-3</v>
      </c>
      <c r="W3621">
        <v>0.1717552</v>
      </c>
      <c r="X3621">
        <v>0.9851335</v>
      </c>
      <c r="Y3621">
        <v>-5.1778820000000003E-2</v>
      </c>
      <c r="Z3621">
        <v>-1.1142979999999999E-3</v>
      </c>
      <c r="AA3621">
        <v>0.99865789999999999</v>
      </c>
      <c r="AB3621">
        <v>34</v>
      </c>
      <c r="AC3621">
        <v>-48.5335999999999</v>
      </c>
      <c r="AD3621">
        <v>-1.1088372568709901</v>
      </c>
      <c r="AE3621">
        <v>-1.405</v>
      </c>
      <c r="AF3621">
        <v>-2.5310776601952898</v>
      </c>
      <c r="AG3621">
        <v>-1.1088372568709901</v>
      </c>
      <c r="AH3621">
        <v>48.462571971623397</v>
      </c>
      <c r="AI3621">
        <v>91.308931480728305</v>
      </c>
      <c r="AJ3621">
        <v>92.989697399989396</v>
      </c>
      <c r="AK3621">
        <v>48.541289190635901</v>
      </c>
      <c r="AL3621">
        <v>80.110114191676203</v>
      </c>
      <c r="AM3621">
        <v>89.797392211729303</v>
      </c>
      <c r="AN3621">
        <v>0.99999999856834598</v>
      </c>
    </row>
    <row r="3622" spans="1:40" x14ac:dyDescent="0.25">
      <c r="A3622" t="str">
        <f>"20190312172735223"</f>
        <v>20190312172735223</v>
      </c>
      <c r="B3622" t="str">
        <f>"1552382855213102"</f>
        <v>1552382855213102</v>
      </c>
      <c r="C3622" t="s">
        <v>40</v>
      </c>
      <c r="D3622">
        <v>3.1121599999999998</v>
      </c>
      <c r="E3622">
        <v>0.48198459999999899</v>
      </c>
      <c r="F3622" t="s">
        <v>50</v>
      </c>
      <c r="G3622">
        <v>-317.66770000000002</v>
      </c>
      <c r="H3622" s="1">
        <v>-6.5189679999999997E-6</v>
      </c>
      <c r="I3622">
        <v>140.0574</v>
      </c>
      <c r="J3622">
        <v>-265.40679999999998</v>
      </c>
      <c r="K3622">
        <v>1.108797</v>
      </c>
      <c r="L3622">
        <v>141.57499999999999</v>
      </c>
      <c r="M3622">
        <v>-0.99973939999999994</v>
      </c>
      <c r="N3622">
        <v>0</v>
      </c>
      <c r="O3622">
        <v>2.2513020000000002E-2</v>
      </c>
      <c r="P3622">
        <v>-0.98541409999999996</v>
      </c>
      <c r="Q3622">
        <v>0.16809779999999999</v>
      </c>
      <c r="R3622">
        <v>2.6506979999999999E-2</v>
      </c>
      <c r="S3622">
        <v>-3.0571899999999999</v>
      </c>
      <c r="T3622">
        <v>-6.4454670000000006E-2</v>
      </c>
      <c r="U3622">
        <v>-8.7799070000000007E-2</v>
      </c>
      <c r="V3622">
        <v>4.0469770000000002E-3</v>
      </c>
      <c r="W3622">
        <v>0.17185810000000001</v>
      </c>
      <c r="X3622">
        <v>0.98511340000000003</v>
      </c>
      <c r="Y3622">
        <v>-5.118731E-2</v>
      </c>
      <c r="Z3622">
        <v>-1.013922E-3</v>
      </c>
      <c r="AA3622">
        <v>0.99868860000000004</v>
      </c>
      <c r="AB3622">
        <v>34</v>
      </c>
      <c r="AC3622">
        <v>-52.260899999999999</v>
      </c>
      <c r="AD3622">
        <v>-1.1088035189679999</v>
      </c>
      <c r="AE3622">
        <v>-1.5175999999999801</v>
      </c>
      <c r="AF3622">
        <v>-2.6925634244522398</v>
      </c>
      <c r="AG3622">
        <v>-1.1088035189679999</v>
      </c>
      <c r="AH3622">
        <v>52.190014832265803</v>
      </c>
      <c r="AI3622">
        <v>91.2154789468578</v>
      </c>
      <c r="AJ3622">
        <v>92.953359256390101</v>
      </c>
      <c r="AK3622">
        <v>52.271187008049701</v>
      </c>
      <c r="AL3622">
        <v>80.104129458635896</v>
      </c>
      <c r="AM3622">
        <v>89.764622633832104</v>
      </c>
      <c r="AN3622">
        <v>0.99999999770900405</v>
      </c>
    </row>
    <row r="3623" spans="1:40" x14ac:dyDescent="0.25">
      <c r="A3623" t="str">
        <f>"20190312172735245"</f>
        <v>20190312172735245</v>
      </c>
      <c r="B3623" t="str">
        <f>"1552382855243358"</f>
        <v>1552382855243358</v>
      </c>
      <c r="C3623" t="s">
        <v>40</v>
      </c>
      <c r="D3623">
        <v>3.113912</v>
      </c>
      <c r="E3623">
        <v>0.48209689999999999</v>
      </c>
      <c r="F3623" t="s">
        <v>41</v>
      </c>
      <c r="G3623">
        <v>-320.50470000000001</v>
      </c>
      <c r="H3623" s="1">
        <v>-4.1535589999999999E-6</v>
      </c>
      <c r="I3623">
        <v>139.98390000000001</v>
      </c>
      <c r="J3623">
        <v>-265.74189999999999</v>
      </c>
      <c r="K3623">
        <v>1.1088549999999999</v>
      </c>
      <c r="L3623">
        <v>141.58199999999999</v>
      </c>
      <c r="M3623">
        <v>-0.99975720000000001</v>
      </c>
      <c r="N3623">
        <v>0</v>
      </c>
      <c r="O3623">
        <v>2.1800610000000002E-2</v>
      </c>
      <c r="P3623">
        <v>-0.98536880000000004</v>
      </c>
      <c r="Q3623">
        <v>0.16840060000000001</v>
      </c>
      <c r="R3623">
        <v>2.6258960000000001E-2</v>
      </c>
      <c r="S3623">
        <v>-3.0572810000000001</v>
      </c>
      <c r="T3623">
        <v>-6.1525459999999997E-2</v>
      </c>
      <c r="U3623">
        <v>-8.8287350000000001E-2</v>
      </c>
      <c r="V3623">
        <v>4.4811E-3</v>
      </c>
      <c r="W3623">
        <v>0.171574799999999</v>
      </c>
      <c r="X3623">
        <v>0.98516090000000001</v>
      </c>
      <c r="Y3623">
        <v>-5.0635819999999998E-2</v>
      </c>
      <c r="Z3623">
        <v>-9.4794149999999995E-4</v>
      </c>
      <c r="AA3623">
        <v>0.99871670000000001</v>
      </c>
      <c r="AB3623">
        <v>34</v>
      </c>
      <c r="AC3623">
        <v>-54.762799999999999</v>
      </c>
      <c r="AD3623">
        <v>-1.108859153559</v>
      </c>
      <c r="AE3623">
        <v>-1.5980999999999801</v>
      </c>
      <c r="AF3623">
        <v>-2.79044566469116</v>
      </c>
      <c r="AG3623">
        <v>-1.108859153559</v>
      </c>
      <c r="AH3623">
        <v>54.692540382093398</v>
      </c>
      <c r="AI3623">
        <v>91.159970807595499</v>
      </c>
      <c r="AJ3623">
        <v>92.920731897588496</v>
      </c>
      <c r="AK3623">
        <v>54.774904190486197</v>
      </c>
      <c r="AL3623">
        <v>80.120606068763394</v>
      </c>
      <c r="AM3623">
        <v>89.739386381539802</v>
      </c>
      <c r="AN3623">
        <v>0.99999999557052899</v>
      </c>
    </row>
    <row r="3624" spans="1:40" x14ac:dyDescent="0.25">
      <c r="A3624" t="str">
        <f>"20190312172735267"</f>
        <v>20190312172735267</v>
      </c>
      <c r="B3624" t="str">
        <f>"1552382855262878"</f>
        <v>1552382855262878</v>
      </c>
      <c r="C3624" t="s">
        <v>40</v>
      </c>
      <c r="D3624">
        <v>3.223786</v>
      </c>
      <c r="E3624">
        <v>0.48215209999999997</v>
      </c>
      <c r="F3624" t="s">
        <v>41</v>
      </c>
      <c r="G3624">
        <v>-321.40170000000001</v>
      </c>
      <c r="H3624" s="1">
        <v>-3.7675279999999999E-6</v>
      </c>
      <c r="I3624">
        <v>139.97929999999999</v>
      </c>
      <c r="J3624">
        <v>-266.08260000000001</v>
      </c>
      <c r="K3624">
        <v>1.108995</v>
      </c>
      <c r="L3624">
        <v>141.58869999999999</v>
      </c>
      <c r="M3624">
        <v>-0.99977340000000003</v>
      </c>
      <c r="N3624">
        <v>0</v>
      </c>
      <c r="O3624">
        <v>2.1082300000000002E-2</v>
      </c>
      <c r="P3624">
        <v>-0.98544089999999995</v>
      </c>
      <c r="Q3624">
        <v>0.1681164</v>
      </c>
      <c r="R3624">
        <v>2.5363810000000001E-2</v>
      </c>
      <c r="S3624">
        <v>-3.0572810000000001</v>
      </c>
      <c r="T3624">
        <v>-6.090748E-2</v>
      </c>
      <c r="U3624">
        <v>-8.8027949999999994E-2</v>
      </c>
      <c r="V3624">
        <v>4.2713439999999998E-3</v>
      </c>
      <c r="W3624">
        <v>0.17104910000000001</v>
      </c>
      <c r="X3624">
        <v>0.9852533</v>
      </c>
      <c r="Y3624">
        <v>-4.9834169999999997E-2</v>
      </c>
      <c r="Z3624">
        <v>-9.1613420000000005E-4</v>
      </c>
      <c r="AA3624">
        <v>0.99875709999999995</v>
      </c>
      <c r="AB3624">
        <v>35</v>
      </c>
      <c r="AC3624">
        <v>-55.319099999999899</v>
      </c>
      <c r="AD3624">
        <v>-1.108998767528</v>
      </c>
      <c r="AE3624">
        <v>-1.6093999999999899</v>
      </c>
      <c r="AF3624">
        <v>-2.77418723671892</v>
      </c>
      <c r="AG3624">
        <v>-1.108998767528</v>
      </c>
      <c r="AH3624">
        <v>55.250688707104999</v>
      </c>
      <c r="AI3624">
        <v>91.148447280879694</v>
      </c>
      <c r="AJ3624">
        <v>92.874459091130404</v>
      </c>
      <c r="AK3624">
        <v>55.331406955726003</v>
      </c>
      <c r="AL3624">
        <v>80.151178978638995</v>
      </c>
      <c r="AM3624">
        <v>89.751608595612595</v>
      </c>
      <c r="AN3624">
        <v>1.00000005207563</v>
      </c>
    </row>
    <row r="3625" spans="1:40" x14ac:dyDescent="0.25">
      <c r="A3625" t="str">
        <f>"20190312172735289"</f>
        <v>20190312172735289</v>
      </c>
      <c r="B3625" t="str">
        <f>"1552382855283374"</f>
        <v>1552382855283374</v>
      </c>
      <c r="C3625" t="s">
        <v>40</v>
      </c>
      <c r="D3625">
        <v>3.1383999999999999</v>
      </c>
      <c r="E3625">
        <v>0.48222290000000001</v>
      </c>
      <c r="F3625" t="s">
        <v>41</v>
      </c>
      <c r="G3625">
        <v>-320.06810000000002</v>
      </c>
      <c r="H3625" s="1">
        <v>-4.322218E-6</v>
      </c>
      <c r="I3625">
        <v>140.00739999999999</v>
      </c>
      <c r="J3625">
        <v>-266.41309999999999</v>
      </c>
      <c r="K3625">
        <v>1.1091629999999999</v>
      </c>
      <c r="L3625">
        <v>141.595</v>
      </c>
      <c r="M3625">
        <v>-0.99978820000000002</v>
      </c>
      <c r="N3625">
        <v>0</v>
      </c>
      <c r="O3625">
        <v>2.0358919999999999E-2</v>
      </c>
      <c r="P3625">
        <v>-0.9854252</v>
      </c>
      <c r="Q3625">
        <v>0.1683074</v>
      </c>
      <c r="R3625">
        <v>2.469478E-2</v>
      </c>
      <c r="S3625">
        <v>-3.0573730000000001</v>
      </c>
      <c r="T3625">
        <v>-6.280637E-2</v>
      </c>
      <c r="U3625">
        <v>-8.9553830000000001E-2</v>
      </c>
      <c r="V3625">
        <v>4.300473E-3</v>
      </c>
      <c r="W3625">
        <v>0.17128399999999999</v>
      </c>
      <c r="X3625">
        <v>0.98521230000000004</v>
      </c>
      <c r="Y3625">
        <v>-4.9608020000000003E-2</v>
      </c>
      <c r="Z3625">
        <v>-9.2747839999999995E-4</v>
      </c>
      <c r="AA3625">
        <v>0.99876830000000005</v>
      </c>
      <c r="AB3625">
        <v>35</v>
      </c>
      <c r="AC3625">
        <v>-53.655000000000001</v>
      </c>
      <c r="AD3625">
        <v>-1.1091673222180001</v>
      </c>
      <c r="AE3625">
        <v>-1.5875999999999999</v>
      </c>
      <c r="AF3625">
        <v>-2.6784901252306401</v>
      </c>
      <c r="AG3625">
        <v>-1.1091673222180001</v>
      </c>
      <c r="AH3625">
        <v>53.588676602841701</v>
      </c>
      <c r="AI3625">
        <v>91.184248943963595</v>
      </c>
      <c r="AJ3625">
        <v>92.861398753837307</v>
      </c>
      <c r="AK3625">
        <v>53.667036638364799</v>
      </c>
      <c r="AL3625">
        <v>80.137517978027503</v>
      </c>
      <c r="AM3625">
        <v>89.749904271481199</v>
      </c>
      <c r="AN3625">
        <v>0.999999989397656</v>
      </c>
    </row>
    <row r="3626" spans="1:40" x14ac:dyDescent="0.25">
      <c r="A3626" t="str">
        <f>"20190312172735311"</f>
        <v>20190312172735311</v>
      </c>
      <c r="B3626" t="str">
        <f>"1552382855302894"</f>
        <v>1552382855302894</v>
      </c>
      <c r="C3626" t="s">
        <v>40</v>
      </c>
      <c r="D3626">
        <v>3.1615959999999999</v>
      </c>
      <c r="E3626">
        <v>0.49089179999999999</v>
      </c>
      <c r="F3626" t="s">
        <v>41</v>
      </c>
      <c r="G3626">
        <v>-320.37610000000001</v>
      </c>
      <c r="H3626" s="1">
        <v>-4.2127289999999997E-6</v>
      </c>
      <c r="I3626">
        <v>139.99889999999999</v>
      </c>
      <c r="J3626">
        <v>-266.77359999999999</v>
      </c>
      <c r="K3626">
        <v>1.109324</v>
      </c>
      <c r="L3626">
        <v>141.60140000000001</v>
      </c>
      <c r="M3626">
        <v>-0.99980460000000004</v>
      </c>
      <c r="N3626">
        <v>0</v>
      </c>
      <c r="O3626">
        <v>1.951027E-2</v>
      </c>
      <c r="P3626">
        <v>-0.98541979999999996</v>
      </c>
      <c r="Q3626">
        <v>0.1684639</v>
      </c>
      <c r="R3626">
        <v>2.3837609999999999E-2</v>
      </c>
      <c r="S3626">
        <v>-3.0573730000000001</v>
      </c>
      <c r="T3626">
        <v>-6.2842010000000004E-2</v>
      </c>
      <c r="U3626">
        <v>-9.0423580000000003E-2</v>
      </c>
      <c r="V3626">
        <v>4.2724119999999997E-3</v>
      </c>
      <c r="W3626">
        <v>0.17165420000000001</v>
      </c>
      <c r="X3626">
        <v>0.98514800000000002</v>
      </c>
      <c r="Y3626">
        <v>-4.9044400000000002E-2</v>
      </c>
      <c r="Z3626">
        <v>-9.0477310000000003E-4</v>
      </c>
      <c r="AA3626">
        <v>0.99879620000000002</v>
      </c>
      <c r="AB3626">
        <v>35</v>
      </c>
      <c r="AC3626">
        <v>-53.602499999999999</v>
      </c>
      <c r="AD3626">
        <v>-1.1093282127290001</v>
      </c>
      <c r="AE3626">
        <v>-1.60250000000002</v>
      </c>
      <c r="AF3626">
        <v>-2.6468668605692001</v>
      </c>
      <c r="AG3626">
        <v>-1.1093282127290001</v>
      </c>
      <c r="AH3626">
        <v>53.5381216429858</v>
      </c>
      <c r="AI3626">
        <v>91.185570723056202</v>
      </c>
      <c r="AJ3626">
        <v>92.8303369286389</v>
      </c>
      <c r="AK3626">
        <v>53.614988411080397</v>
      </c>
      <c r="AL3626">
        <v>80.115988318248597</v>
      </c>
      <c r="AM3626">
        <v>89.751519932762903</v>
      </c>
      <c r="AN3626">
        <v>0.99999999989296795</v>
      </c>
    </row>
    <row r="3627" spans="1:40" x14ac:dyDescent="0.25">
      <c r="A3627" t="str">
        <f>"20190312172735334"</f>
        <v>20190312172735334</v>
      </c>
      <c r="B3627" t="str">
        <f>"1552382855323390"</f>
        <v>1552382855323390</v>
      </c>
      <c r="C3627" t="s">
        <v>40</v>
      </c>
      <c r="D3627">
        <v>3.2650890000000001</v>
      </c>
      <c r="E3627">
        <v>0.49140660000000003</v>
      </c>
      <c r="F3627" t="s">
        <v>41</v>
      </c>
      <c r="G3627">
        <v>-323.9101</v>
      </c>
      <c r="H3627" s="1">
        <v>-3.0049370000000002E-6</v>
      </c>
      <c r="I3627">
        <v>141.1575</v>
      </c>
      <c r="J3627">
        <v>-267.12540000000001</v>
      </c>
      <c r="K3627">
        <v>1.10944</v>
      </c>
      <c r="L3627">
        <v>141.60730000000001</v>
      </c>
      <c r="M3627">
        <v>-0.99982040000000005</v>
      </c>
      <c r="N3627">
        <v>0</v>
      </c>
      <c r="O3627">
        <v>1.862902E-2</v>
      </c>
      <c r="P3627">
        <v>-0.98533000000000004</v>
      </c>
      <c r="Q3627">
        <v>0.16912469999999999</v>
      </c>
      <c r="R3627">
        <v>2.28393E-2</v>
      </c>
      <c r="S3627">
        <v>-3.055145</v>
      </c>
      <c r="T3627">
        <v>-5.9316870000000001E-2</v>
      </c>
      <c r="U3627">
        <v>-2.3727419999999999E-2</v>
      </c>
      <c r="V3627">
        <v>4.1415979999999998E-3</v>
      </c>
      <c r="W3627">
        <v>0.17258889999999999</v>
      </c>
      <c r="X3627">
        <v>0.98498520000000001</v>
      </c>
      <c r="Y3627">
        <v>-2.6384890000000001E-2</v>
      </c>
      <c r="Z3627">
        <v>-6.1775220000000002E-4</v>
      </c>
      <c r="AA3627">
        <v>0.99965170000000003</v>
      </c>
      <c r="AB3627">
        <v>35</v>
      </c>
      <c r="AC3627">
        <v>-56.784700000000001</v>
      </c>
      <c r="AD3627">
        <v>-1.1094430049370001</v>
      </c>
      <c r="AE3627">
        <v>-0.44980000000001003</v>
      </c>
      <c r="AF3627">
        <v>-1.5069964515915599</v>
      </c>
      <c r="AG3627">
        <v>-1.1094430049370001</v>
      </c>
      <c r="AH3627">
        <v>56.744806960644802</v>
      </c>
      <c r="AI3627">
        <v>91.119677927317198</v>
      </c>
      <c r="AJ3627">
        <v>91.521271286389407</v>
      </c>
      <c r="AK3627">
        <v>56.775655162112898</v>
      </c>
      <c r="AL3627">
        <v>80.061622208293699</v>
      </c>
      <c r="AM3627">
        <v>89.759088068116796</v>
      </c>
      <c r="AN3627">
        <v>0.99999996272812097</v>
      </c>
    </row>
    <row r="3628" spans="1:40" x14ac:dyDescent="0.25">
      <c r="A3628" t="str">
        <f>"20190312172735369"</f>
        <v>20190312172735369</v>
      </c>
      <c r="B3628" t="str">
        <f>"1552382855363406"</f>
        <v>1552382855363406</v>
      </c>
      <c r="C3628" t="s">
        <v>40</v>
      </c>
      <c r="D3628">
        <v>3.1493449999999998</v>
      </c>
      <c r="E3628">
        <v>0.49171979999999998</v>
      </c>
      <c r="F3628" t="s">
        <v>41</v>
      </c>
      <c r="G3628">
        <v>-323.16000000000003</v>
      </c>
      <c r="H3628" s="1">
        <v>-3.333288E-6</v>
      </c>
      <c r="I3628">
        <v>141.18219999999999</v>
      </c>
      <c r="J3628">
        <v>-267.67430000000002</v>
      </c>
      <c r="K3628">
        <v>1.109578</v>
      </c>
      <c r="L3628">
        <v>141.61609999999999</v>
      </c>
      <c r="M3628">
        <v>-0.99984430000000002</v>
      </c>
      <c r="N3628">
        <v>0</v>
      </c>
      <c r="O3628">
        <v>1.7192720000000002E-2</v>
      </c>
      <c r="P3628">
        <v>-0.9852725</v>
      </c>
      <c r="Q3628">
        <v>0.16962530000000001</v>
      </c>
      <c r="R3628">
        <v>2.1576660000000001E-2</v>
      </c>
      <c r="S3628">
        <v>-3.0555729999999999</v>
      </c>
      <c r="T3628">
        <v>-6.0498120000000002E-2</v>
      </c>
      <c r="U3628">
        <v>-2.31781E-2</v>
      </c>
      <c r="V3628">
        <v>4.2950849999999997E-3</v>
      </c>
      <c r="W3628">
        <v>0.17356629999999901</v>
      </c>
      <c r="X3628">
        <v>0.98481289999999999</v>
      </c>
      <c r="Y3628">
        <v>-2.476832E-2</v>
      </c>
      <c r="Z3628">
        <v>-5.8553070000000003E-4</v>
      </c>
      <c r="AA3628">
        <v>0.99969300000000005</v>
      </c>
      <c r="AB3628">
        <v>35</v>
      </c>
      <c r="AC3628">
        <v>-55.485700000000001</v>
      </c>
      <c r="AD3628">
        <v>-1.109581333288</v>
      </c>
      <c r="AE3628">
        <v>-0.43389999999999401</v>
      </c>
      <c r="AF3628">
        <v>-1.38723877094894</v>
      </c>
      <c r="AG3628">
        <v>-1.109581333288</v>
      </c>
      <c r="AH3628">
        <v>55.447866297958299</v>
      </c>
      <c r="AI3628">
        <v>91.146048856704994</v>
      </c>
      <c r="AJ3628">
        <v>91.433172355109505</v>
      </c>
      <c r="AK3628">
        <v>55.476314577836398</v>
      </c>
      <c r="AL3628">
        <v>80.0047643687857</v>
      </c>
      <c r="AM3628">
        <v>89.750116308525406</v>
      </c>
      <c r="AN3628">
        <v>1.00000007812862</v>
      </c>
    </row>
    <row r="3629" spans="1:40" x14ac:dyDescent="0.25">
      <c r="A3629" t="str">
        <f>"20190312172735389"</f>
        <v>20190312172735389</v>
      </c>
      <c r="B3629" t="str">
        <f>"1552382855382926"</f>
        <v>1552382855382926</v>
      </c>
      <c r="C3629" t="s">
        <v>40</v>
      </c>
      <c r="D3629">
        <v>3.1790699999999998</v>
      </c>
      <c r="E3629">
        <v>0.49180839999999998</v>
      </c>
      <c r="F3629" t="s">
        <v>41</v>
      </c>
      <c r="G3629">
        <v>-324.84739999999999</v>
      </c>
      <c r="H3629" s="1">
        <v>-2.6009369999999999E-6</v>
      </c>
      <c r="I3629">
        <v>141.15039999999999</v>
      </c>
      <c r="J3629">
        <v>-268.00940000000003</v>
      </c>
      <c r="K3629">
        <v>1.10964</v>
      </c>
      <c r="L3629">
        <v>141.62110000000001</v>
      </c>
      <c r="M3629">
        <v>-0.99985789999999997</v>
      </c>
      <c r="N3629">
        <v>0</v>
      </c>
      <c r="O3629">
        <v>1.6303709999999999E-2</v>
      </c>
      <c r="P3629">
        <v>-0.9853208</v>
      </c>
      <c r="Q3629">
        <v>0.169465899999999</v>
      </c>
      <c r="R3629">
        <v>2.0600150000000001E-2</v>
      </c>
      <c r="S3629">
        <v>-3.0556030000000001</v>
      </c>
      <c r="T3629">
        <v>-5.9301380000000001E-2</v>
      </c>
      <c r="U3629">
        <v>-2.4887079999999999E-2</v>
      </c>
      <c r="V3629">
        <v>4.1923000000000004E-3</v>
      </c>
      <c r="W3629">
        <v>0.17370479999999899</v>
      </c>
      <c r="X3629">
        <v>0.98478880000000002</v>
      </c>
      <c r="Y3629">
        <v>-2.4439039999999999E-2</v>
      </c>
      <c r="Z3629">
        <v>-5.5349879999999998E-4</v>
      </c>
      <c r="AA3629">
        <v>0.99970110000000001</v>
      </c>
      <c r="AB3629">
        <v>35</v>
      </c>
      <c r="AC3629">
        <v>-56.837999999999901</v>
      </c>
      <c r="AD3629">
        <v>-1.109642600937</v>
      </c>
      <c r="AE3629">
        <v>-0.47070000000002199</v>
      </c>
      <c r="AF3629">
        <v>-1.3967838773425001</v>
      </c>
      <c r="AG3629">
        <v>-1.109642600937</v>
      </c>
      <c r="AH3629">
        <v>56.801123149009001</v>
      </c>
      <c r="AI3629">
        <v>91.118825496526995</v>
      </c>
      <c r="AJ3629">
        <v>91.408663965825895</v>
      </c>
      <c r="AK3629">
        <v>56.829128999930099</v>
      </c>
      <c r="AL3629">
        <v>79.996705278302002</v>
      </c>
      <c r="AM3629">
        <v>89.756090193702093</v>
      </c>
      <c r="AN3629">
        <v>0.99999995676388398</v>
      </c>
    </row>
    <row r="3630" spans="1:40" x14ac:dyDescent="0.25">
      <c r="A3630" t="str">
        <f>"20190312172735413"</f>
        <v>20190312172735413</v>
      </c>
      <c r="B3630" t="str">
        <f>"1552382855402449"</f>
        <v>1552382855402449</v>
      </c>
      <c r="C3630" t="s">
        <v>40</v>
      </c>
      <c r="D3630">
        <v>3.1736140000000002</v>
      </c>
      <c r="E3630">
        <v>0.49194090000000001</v>
      </c>
      <c r="F3630" t="s">
        <v>41</v>
      </c>
      <c r="G3630">
        <v>-323.88819999999998</v>
      </c>
      <c r="H3630" s="1">
        <v>-3.0088319999999999E-6</v>
      </c>
      <c r="I3630">
        <v>141.1369</v>
      </c>
      <c r="J3630">
        <v>-268.37389999999999</v>
      </c>
      <c r="K3630">
        <v>1.109699</v>
      </c>
      <c r="L3630">
        <v>141.62620000000001</v>
      </c>
      <c r="M3630">
        <v>-0.99987170000000003</v>
      </c>
      <c r="N3630">
        <v>0</v>
      </c>
      <c r="O3630">
        <v>1.5339810000000001E-2</v>
      </c>
      <c r="P3630">
        <v>-0.98533749999999998</v>
      </c>
      <c r="Q3630">
        <v>0.1694909</v>
      </c>
      <c r="R3630">
        <v>1.957544E-2</v>
      </c>
      <c r="S3630">
        <v>-3.0556640000000002</v>
      </c>
      <c r="T3630">
        <v>-6.0679549999999999E-2</v>
      </c>
      <c r="U3630">
        <v>-2.6474000000000001E-2</v>
      </c>
      <c r="V3630">
        <v>4.1130460000000004E-3</v>
      </c>
      <c r="W3630">
        <v>0.1740448</v>
      </c>
      <c r="X3630">
        <v>0.98472919999999997</v>
      </c>
      <c r="Y3630">
        <v>-2.3994209999999998E-2</v>
      </c>
      <c r="Z3630">
        <v>-5.4279380000000002E-4</v>
      </c>
      <c r="AA3630">
        <v>0.99971189999999999</v>
      </c>
      <c r="AB3630">
        <v>35</v>
      </c>
      <c r="AC3630">
        <v>-55.514299999999899</v>
      </c>
      <c r="AD3630">
        <v>-1.109702008832</v>
      </c>
      <c r="AE3630">
        <v>-0.489300000000014</v>
      </c>
      <c r="AF3630">
        <v>-1.3402947869413699</v>
      </c>
      <c r="AG3630">
        <v>-1.109702008832</v>
      </c>
      <c r="AH3630">
        <v>55.478095921172503</v>
      </c>
      <c r="AI3630">
        <v>91.145573287699705</v>
      </c>
      <c r="AJ3630">
        <v>91.383938980813994</v>
      </c>
      <c r="AK3630">
        <v>55.505377718768102</v>
      </c>
      <c r="AL3630">
        <v>79.976924368985607</v>
      </c>
      <c r="AM3630">
        <v>89.760686687951804</v>
      </c>
      <c r="AN3630">
        <v>1.00000005344353</v>
      </c>
    </row>
    <row r="3631" spans="1:40" x14ac:dyDescent="0.25">
      <c r="A3631" t="str">
        <f>"20190312172735435"</f>
        <v>20190312172735435</v>
      </c>
      <c r="B3631" t="str">
        <f>"1552382855432702"</f>
        <v>1552382855432702</v>
      </c>
      <c r="C3631" t="s">
        <v>40</v>
      </c>
      <c r="D3631">
        <v>3.1774019999999998</v>
      </c>
      <c r="E3631">
        <v>0.49217329999999998</v>
      </c>
      <c r="F3631" t="s">
        <v>41</v>
      </c>
      <c r="G3631">
        <v>-322.96379999999999</v>
      </c>
      <c r="H3631" s="1">
        <v>-3.402314E-6</v>
      </c>
      <c r="I3631">
        <v>141.12540000000001</v>
      </c>
      <c r="J3631">
        <v>-268.73809999999997</v>
      </c>
      <c r="K3631">
        <v>1.109747</v>
      </c>
      <c r="L3631">
        <v>141.6309</v>
      </c>
      <c r="M3631">
        <v>-0.99988449999999995</v>
      </c>
      <c r="N3631">
        <v>0</v>
      </c>
      <c r="O3631">
        <v>1.438266E-2</v>
      </c>
      <c r="P3631">
        <v>-0.98534469999999996</v>
      </c>
      <c r="Q3631">
        <v>0.16957159999999999</v>
      </c>
      <c r="R3631">
        <v>1.848033E-2</v>
      </c>
      <c r="S3631">
        <v>-3.0558779999999999</v>
      </c>
      <c r="T3631">
        <v>-6.2119840000000003E-2</v>
      </c>
      <c r="U3631">
        <v>-2.80304E-2</v>
      </c>
      <c r="V3631">
        <v>3.9548259999999998E-3</v>
      </c>
      <c r="W3631">
        <v>0.17442650000000001</v>
      </c>
      <c r="X3631">
        <v>0.98466220000000004</v>
      </c>
      <c r="Y3631">
        <v>-2.3545679999999999E-2</v>
      </c>
      <c r="Z3631">
        <v>-5.3162350000000001E-4</v>
      </c>
      <c r="AA3631">
        <v>0.99972260000000002</v>
      </c>
      <c r="AB3631">
        <v>35</v>
      </c>
      <c r="AC3631">
        <v>-54.225700000000003</v>
      </c>
      <c r="AD3631">
        <v>-1.1097504023139999</v>
      </c>
      <c r="AE3631">
        <v>-0.50549999999998296</v>
      </c>
      <c r="AF3631">
        <v>-1.28482884521644</v>
      </c>
      <c r="AG3631">
        <v>-1.1097504023139999</v>
      </c>
      <c r="AH3631">
        <v>54.190125854289299</v>
      </c>
      <c r="AI3631">
        <v>91.172857050024504</v>
      </c>
      <c r="AJ3631">
        <v>91.3582083360414</v>
      </c>
      <c r="AK3631">
        <v>54.216713947090597</v>
      </c>
      <c r="AL3631">
        <v>79.954713766778696</v>
      </c>
      <c r="AM3631">
        <v>89.769876796258799</v>
      </c>
      <c r="AN3631">
        <v>0.99999994632988798</v>
      </c>
    </row>
    <row r="3632" spans="1:40" x14ac:dyDescent="0.25">
      <c r="A3632" t="str">
        <f>"20190312172735467"</f>
        <v>20190312172735467</v>
      </c>
      <c r="B3632" t="str">
        <f>"1552382855462958"</f>
        <v>1552382855462958</v>
      </c>
      <c r="C3632" t="s">
        <v>40</v>
      </c>
      <c r="D3632">
        <v>3.1967639999999999</v>
      </c>
      <c r="E3632">
        <v>0.49235230000000002</v>
      </c>
      <c r="F3632" t="s">
        <v>41</v>
      </c>
      <c r="G3632">
        <v>-323.03039999999999</v>
      </c>
      <c r="H3632" s="1">
        <v>-3.3701020000000002E-6</v>
      </c>
      <c r="I3632">
        <v>141.11170000000001</v>
      </c>
      <c r="J3632">
        <v>-269.24310000000003</v>
      </c>
      <c r="K3632">
        <v>1.1097919999999999</v>
      </c>
      <c r="L3632">
        <v>141.6369</v>
      </c>
      <c r="M3632">
        <v>-0.99990060000000003</v>
      </c>
      <c r="N3632">
        <v>0</v>
      </c>
      <c r="O3632">
        <v>1.3061400000000001E-2</v>
      </c>
      <c r="P3632">
        <v>-0.98537839999999999</v>
      </c>
      <c r="Q3632">
        <v>0.16948640000000001</v>
      </c>
      <c r="R3632">
        <v>1.7436500000000001E-2</v>
      </c>
      <c r="S3632">
        <v>-3.0559080000000001</v>
      </c>
      <c r="T3632">
        <v>-6.2463640000000001E-2</v>
      </c>
      <c r="U3632">
        <v>-2.9220579999999999E-2</v>
      </c>
      <c r="V3632">
        <v>4.2037300000000001E-3</v>
      </c>
      <c r="W3632">
        <v>0.1747369</v>
      </c>
      <c r="X3632">
        <v>0.98460619999999999</v>
      </c>
      <c r="Y3632">
        <v>-2.261428E-2</v>
      </c>
      <c r="Z3632">
        <v>-4.9803879999999997E-4</v>
      </c>
      <c r="AA3632">
        <v>0.99974410000000002</v>
      </c>
      <c r="AB3632">
        <v>36</v>
      </c>
      <c r="AC3632">
        <v>-53.787299999999902</v>
      </c>
      <c r="AD3632">
        <v>-1.109795370102</v>
      </c>
      <c r="AE3632">
        <v>-0.52519999999998301</v>
      </c>
      <c r="AF3632">
        <v>-1.22718015183309</v>
      </c>
      <c r="AG3632">
        <v>-1.109795370102</v>
      </c>
      <c r="AH3632">
        <v>53.752970017038798</v>
      </c>
      <c r="AI3632">
        <v>91.182464908795296</v>
      </c>
      <c r="AJ3632">
        <v>91.307835295664205</v>
      </c>
      <c r="AK3632">
        <v>53.7784287846087</v>
      </c>
      <c r="AL3632">
        <v>79.936652443155495</v>
      </c>
      <c r="AM3632">
        <v>89.755379842449599</v>
      </c>
      <c r="AN3632">
        <v>1.00000001232298</v>
      </c>
    </row>
    <row r="3633" spans="1:40" x14ac:dyDescent="0.25">
      <c r="A3633" t="str">
        <f>"20190312172735491"</f>
        <v>20190312172735491</v>
      </c>
      <c r="B3633" t="str">
        <f>"1552382855482478"</f>
        <v>1552382855482478</v>
      </c>
      <c r="C3633" t="s">
        <v>40</v>
      </c>
      <c r="D3633">
        <v>3.1730589999999999</v>
      </c>
      <c r="E3633">
        <v>0.49247030000000003</v>
      </c>
      <c r="F3633" t="s">
        <v>41</v>
      </c>
      <c r="G3633">
        <v>-322.90260000000001</v>
      </c>
      <c r="H3633" s="1">
        <v>-3.4192600000000002E-6</v>
      </c>
      <c r="I3633">
        <v>141.09030000000001</v>
      </c>
      <c r="J3633">
        <v>-269.608</v>
      </c>
      <c r="K3633">
        <v>1.1098129999999999</v>
      </c>
      <c r="L3633">
        <v>141.64080000000001</v>
      </c>
      <c r="M3633">
        <v>-0.99991099999999999</v>
      </c>
      <c r="N3633">
        <v>0</v>
      </c>
      <c r="O3633">
        <v>1.210874E-2</v>
      </c>
      <c r="P3633">
        <v>-0.98544909999999997</v>
      </c>
      <c r="Q3633">
        <v>0.1691628</v>
      </c>
      <c r="R3633">
        <v>1.655732E-2</v>
      </c>
      <c r="S3633">
        <v>-3.0559080000000001</v>
      </c>
      <c r="T3633">
        <v>-6.3202980000000006E-2</v>
      </c>
      <c r="U3633">
        <v>-3.1127930000000002E-2</v>
      </c>
      <c r="V3633">
        <v>4.2575369999999996E-3</v>
      </c>
      <c r="W3633">
        <v>0.17468</v>
      </c>
      <c r="X3633">
        <v>0.98461600000000005</v>
      </c>
      <c r="Y3633">
        <v>-2.2285820000000001E-2</v>
      </c>
      <c r="Z3633">
        <v>-4.8083510000000002E-4</v>
      </c>
      <c r="AA3633">
        <v>0.99975150000000002</v>
      </c>
      <c r="AB3633">
        <v>36</v>
      </c>
      <c r="AC3633">
        <v>-53.294600000000003</v>
      </c>
      <c r="AD3633">
        <v>-1.10981641926</v>
      </c>
      <c r="AE3633">
        <v>-0.55049999999999899</v>
      </c>
      <c r="AF3633">
        <v>-1.1952819423020999</v>
      </c>
      <c r="AG3633">
        <v>-1.10981641926</v>
      </c>
      <c r="AH3633">
        <v>53.260932744182099</v>
      </c>
      <c r="AI3633">
        <v>91.193418759609202</v>
      </c>
      <c r="AJ3633">
        <v>91.285616178543293</v>
      </c>
      <c r="AK3633">
        <v>53.2859019646504</v>
      </c>
      <c r="AL3633">
        <v>79.939962844872795</v>
      </c>
      <c r="AM3633">
        <v>89.752251252376297</v>
      </c>
      <c r="AN3633">
        <v>0.99999994823865201</v>
      </c>
    </row>
    <row r="3634" spans="1:40" x14ac:dyDescent="0.25">
      <c r="A3634" t="str">
        <f>"20190312172735513"</f>
        <v>20190312172735513</v>
      </c>
      <c r="B3634" t="str">
        <f>"1552382855502974"</f>
        <v>1552382855502974</v>
      </c>
      <c r="C3634" t="s">
        <v>40</v>
      </c>
      <c r="D3634">
        <v>3.1761550000000001</v>
      </c>
      <c r="E3634">
        <v>0.49247619999999998</v>
      </c>
      <c r="F3634" t="s">
        <v>41</v>
      </c>
      <c r="G3634">
        <v>-321.38799999999998</v>
      </c>
      <c r="H3634" s="1">
        <v>-4.0642209999999999E-6</v>
      </c>
      <c r="I3634">
        <v>141.08519999999999</v>
      </c>
      <c r="J3634">
        <v>-269.97680000000003</v>
      </c>
      <c r="K3634">
        <v>1.109834</v>
      </c>
      <c r="L3634">
        <v>141.64439999999999</v>
      </c>
      <c r="M3634">
        <v>-0.99992080000000005</v>
      </c>
      <c r="N3634">
        <v>0</v>
      </c>
      <c r="O3634">
        <v>1.114478E-2</v>
      </c>
      <c r="P3634">
        <v>-0.98559799999999997</v>
      </c>
      <c r="Q3634">
        <v>0.16839889999999999</v>
      </c>
      <c r="R3634">
        <v>1.5441450000000001E-2</v>
      </c>
      <c r="S3634">
        <v>-3.0560909999999999</v>
      </c>
      <c r="T3634">
        <v>-6.5502290000000005E-2</v>
      </c>
      <c r="U3634">
        <v>-3.2791140000000003E-2</v>
      </c>
      <c r="V3634">
        <v>4.0869160000000003E-3</v>
      </c>
      <c r="W3634">
        <v>0.1741692</v>
      </c>
      <c r="X3634">
        <v>0.9847072</v>
      </c>
      <c r="Y3634">
        <v>-2.1865229999999999E-2</v>
      </c>
      <c r="Z3634">
        <v>-4.7312869999999998E-4</v>
      </c>
      <c r="AA3634">
        <v>0.99976080000000001</v>
      </c>
      <c r="AB3634">
        <v>36</v>
      </c>
      <c r="AC3634">
        <v>-51.411199999999901</v>
      </c>
      <c r="AD3634">
        <v>-1.109838064221</v>
      </c>
      <c r="AE3634">
        <v>-0.55920000000000403</v>
      </c>
      <c r="AF3634">
        <v>-1.1316142861389999</v>
      </c>
      <c r="AG3634">
        <v>-1.109838064221</v>
      </c>
      <c r="AH3634">
        <v>51.377834509649603</v>
      </c>
      <c r="AI3634">
        <v>91.237182112537496</v>
      </c>
      <c r="AJ3634">
        <v>91.261755032424702</v>
      </c>
      <c r="AK3634">
        <v>51.402277870949703</v>
      </c>
      <c r="AL3634">
        <v>79.969685089099201</v>
      </c>
      <c r="AM3634">
        <v>89.762201704733499</v>
      </c>
      <c r="AN3634">
        <v>0.999999941421433</v>
      </c>
    </row>
    <row r="3635" spans="1:40" x14ac:dyDescent="0.25">
      <c r="A3635" t="str">
        <f>"20190312172735535"</f>
        <v>20190312172735535</v>
      </c>
      <c r="B3635" t="str">
        <f>"1552382855533233"</f>
        <v>1552382855533233</v>
      </c>
      <c r="C3635" t="s">
        <v>40</v>
      </c>
      <c r="D3635">
        <v>3.2096480000000001</v>
      </c>
      <c r="E3635">
        <v>0.49260680000000001</v>
      </c>
      <c r="F3635" t="s">
        <v>50</v>
      </c>
      <c r="G3635">
        <v>-319.70839999999998</v>
      </c>
      <c r="H3635" s="1">
        <v>-5.8781569999999998E-6</v>
      </c>
      <c r="I3635">
        <v>141.0582</v>
      </c>
      <c r="J3635">
        <v>-270.32409999999999</v>
      </c>
      <c r="K3635">
        <v>1.1098460000000001</v>
      </c>
      <c r="L3635">
        <v>141.64750000000001</v>
      </c>
      <c r="M3635">
        <v>-0.99992919999999996</v>
      </c>
      <c r="N3635">
        <v>0</v>
      </c>
      <c r="O3635">
        <v>1.0235960000000001E-2</v>
      </c>
      <c r="P3635">
        <v>-0.98572459999999995</v>
      </c>
      <c r="Q3635">
        <v>0.1677015</v>
      </c>
      <c r="R3635">
        <v>1.494087E-2</v>
      </c>
      <c r="S3635">
        <v>-3.0560610000000001</v>
      </c>
      <c r="T3635">
        <v>-6.8200830000000004E-2</v>
      </c>
      <c r="U3635">
        <v>-3.6026000000000002E-2</v>
      </c>
      <c r="V3635">
        <v>4.4787220000000001E-3</v>
      </c>
      <c r="W3635">
        <v>0.17369399999999999</v>
      </c>
      <c r="X3635">
        <v>0.98478949999999998</v>
      </c>
      <c r="Y3635">
        <v>-2.2014349999999999E-2</v>
      </c>
      <c r="Z3635">
        <v>-4.740034E-4</v>
      </c>
      <c r="AA3635">
        <v>0.99975749999999997</v>
      </c>
      <c r="AB3635">
        <v>36</v>
      </c>
      <c r="AC3635">
        <v>-49.384300000000003</v>
      </c>
      <c r="AD3635">
        <v>-1.1098518781569999</v>
      </c>
      <c r="AE3635">
        <v>-0.58930000000000804</v>
      </c>
      <c r="AF3635">
        <v>-1.0942215713754899</v>
      </c>
      <c r="AG3635">
        <v>-1.1098518781569999</v>
      </c>
      <c r="AH3635">
        <v>49.350758480729198</v>
      </c>
      <c r="AI3635">
        <v>91.287994272992904</v>
      </c>
      <c r="AJ3635">
        <v>91.270173125771095</v>
      </c>
      <c r="AK3635">
        <v>49.375362830686903</v>
      </c>
      <c r="AL3635">
        <v>79.997334182084103</v>
      </c>
      <c r="AM3635">
        <v>89.739426446936505</v>
      </c>
      <c r="AN3635">
        <v>1.0000000119485</v>
      </c>
    </row>
    <row r="3636" spans="1:40" x14ac:dyDescent="0.25">
      <c r="A3636" t="str">
        <f>"20190312172735557"</f>
        <v>20190312172735557</v>
      </c>
      <c r="B3636" t="str">
        <f>"1552382855552749"</f>
        <v>1552382855552749</v>
      </c>
      <c r="C3636" t="s">
        <v>40</v>
      </c>
      <c r="D3636">
        <v>3.2204660000000001</v>
      </c>
      <c r="E3636">
        <v>0.49273899999999998</v>
      </c>
      <c r="F3636" t="s">
        <v>50</v>
      </c>
      <c r="G3636">
        <v>-317.61</v>
      </c>
      <c r="H3636" s="1">
        <v>-6.8157940000000003E-6</v>
      </c>
      <c r="I3636">
        <v>141.0849</v>
      </c>
      <c r="J3636">
        <v>-270.68439999999998</v>
      </c>
      <c r="K3636">
        <v>1.1098539999999999</v>
      </c>
      <c r="L3636">
        <v>141.65039999999999</v>
      </c>
      <c r="M3636">
        <v>-0.99993719999999997</v>
      </c>
      <c r="N3636">
        <v>0</v>
      </c>
      <c r="O3636">
        <v>9.2921600000000007E-3</v>
      </c>
      <c r="P3636">
        <v>-0.98574329999999999</v>
      </c>
      <c r="Q3636">
        <v>0.1676646</v>
      </c>
      <c r="R3636">
        <v>1.410662E-2</v>
      </c>
      <c r="S3636">
        <v>-3.0562130000000001</v>
      </c>
      <c r="T3636">
        <v>-7.1732760000000007E-2</v>
      </c>
      <c r="U3636">
        <v>-3.6361690000000002E-2</v>
      </c>
      <c r="V3636">
        <v>4.5716239999999998E-3</v>
      </c>
      <c r="W3636">
        <v>0.1738729</v>
      </c>
      <c r="X3636">
        <v>0.98475749999999995</v>
      </c>
      <c r="Y3636">
        <v>-2.1179570000000002E-2</v>
      </c>
      <c r="Z3636">
        <v>-4.665758E-4</v>
      </c>
      <c r="AA3636">
        <v>0.99977559999999999</v>
      </c>
      <c r="AB3636">
        <v>36</v>
      </c>
      <c r="AC3636">
        <v>-46.925600000000003</v>
      </c>
      <c r="AD3636">
        <v>-1.109860815794</v>
      </c>
      <c r="AE3636">
        <v>-0.56549999999998501</v>
      </c>
      <c r="AF3636">
        <v>-1.00096447425962</v>
      </c>
      <c r="AG3636">
        <v>-1.109860815794</v>
      </c>
      <c r="AH3636">
        <v>46.8920918599012</v>
      </c>
      <c r="AI3636">
        <v>91.355537642494198</v>
      </c>
      <c r="AJ3636">
        <v>91.222857183837505</v>
      </c>
      <c r="AK3636">
        <v>46.915903485988302</v>
      </c>
      <c r="AL3636">
        <v>79.986925563713498</v>
      </c>
      <c r="AM3636">
        <v>89.734012811247297</v>
      </c>
      <c r="AN3636">
        <v>1.0000000094533199</v>
      </c>
    </row>
    <row r="3637" spans="1:40" x14ac:dyDescent="0.25">
      <c r="A3637" t="str">
        <f>"20190312172735581"</f>
        <v>20190312172735581</v>
      </c>
      <c r="B3637" t="str">
        <f>"1552382855573246"</f>
        <v>1552382855573246</v>
      </c>
      <c r="C3637" t="s">
        <v>40</v>
      </c>
      <c r="D3637">
        <v>3.2024360000000001</v>
      </c>
      <c r="E3637">
        <v>0.49282209999999899</v>
      </c>
      <c r="F3637" t="s">
        <v>50</v>
      </c>
      <c r="G3637">
        <v>-317.52530000000002</v>
      </c>
      <c r="H3637" s="1">
        <v>-6.8496179999999997E-6</v>
      </c>
      <c r="I3637">
        <v>141.07079999999999</v>
      </c>
      <c r="J3637">
        <v>-271.06670000000003</v>
      </c>
      <c r="K3637">
        <v>1.1098629999999901</v>
      </c>
      <c r="L3637">
        <v>141.65299999999999</v>
      </c>
      <c r="M3637">
        <v>-0.99994459999999996</v>
      </c>
      <c r="N3637">
        <v>0</v>
      </c>
      <c r="O3637">
        <v>8.29096E-3</v>
      </c>
      <c r="P3637">
        <v>-0.98575710000000005</v>
      </c>
      <c r="Q3637">
        <v>0.1676213</v>
      </c>
      <c r="R3637">
        <v>1.366005E-2</v>
      </c>
      <c r="S3637">
        <v>-3.056244</v>
      </c>
      <c r="T3637">
        <v>-7.2415350000000003E-2</v>
      </c>
      <c r="U3637">
        <v>-3.7811280000000003E-2</v>
      </c>
      <c r="V3637">
        <v>5.1092309999999997E-3</v>
      </c>
      <c r="W3637">
        <v>0.1740546</v>
      </c>
      <c r="X3637">
        <v>0.98472269999999895</v>
      </c>
      <c r="Y3637">
        <v>-2.0652819999999999E-2</v>
      </c>
      <c r="Z3637">
        <v>-4.410506E-4</v>
      </c>
      <c r="AA3637">
        <v>0.99978659999999997</v>
      </c>
      <c r="AB3637">
        <v>36</v>
      </c>
      <c r="AC3637">
        <v>-46.458599999999898</v>
      </c>
      <c r="AD3637">
        <v>-1.10986984961799</v>
      </c>
      <c r="AE3637">
        <v>-0.58220000000000005</v>
      </c>
      <c r="AF3637">
        <v>-0.96682279876862298</v>
      </c>
      <c r="AG3637">
        <v>-1.10986984961799</v>
      </c>
      <c r="AH3637">
        <v>46.425684802471601</v>
      </c>
      <c r="AI3637">
        <v>91.369176810449304</v>
      </c>
      <c r="AJ3637">
        <v>91.193021927427196</v>
      </c>
      <c r="AK3637">
        <v>46.449012549092501</v>
      </c>
      <c r="AL3637">
        <v>79.976353139562306</v>
      </c>
      <c r="AM3637">
        <v>89.702723674369693</v>
      </c>
      <c r="AN3637">
        <v>0.99999995195892899</v>
      </c>
    </row>
    <row r="3638" spans="1:40" x14ac:dyDescent="0.25">
      <c r="A3638" t="str">
        <f>"20190312172735602"</f>
        <v>20190312172735602</v>
      </c>
      <c r="B3638" t="str">
        <f>"1552382855592766"</f>
        <v>1552382855592766</v>
      </c>
      <c r="C3638" t="s">
        <v>40</v>
      </c>
      <c r="D3638">
        <v>3.2116349999999998</v>
      </c>
      <c r="E3638">
        <v>0.49758570000000002</v>
      </c>
      <c r="F3638" t="s">
        <v>50</v>
      </c>
      <c r="G3638">
        <v>-317.81670000000003</v>
      </c>
      <c r="H3638" s="1">
        <v>-6.7189619999999998E-6</v>
      </c>
      <c r="I3638">
        <v>141.06530000000001</v>
      </c>
      <c r="J3638">
        <v>-271.41739999999999</v>
      </c>
      <c r="K3638">
        <v>1.109872</v>
      </c>
      <c r="L3638">
        <v>141.6551</v>
      </c>
      <c r="M3638">
        <v>-0.99995020000000001</v>
      </c>
      <c r="N3638">
        <v>0</v>
      </c>
      <c r="O3638">
        <v>7.3734389999999999E-3</v>
      </c>
      <c r="P3638">
        <v>-0.98578779999999999</v>
      </c>
      <c r="Q3638">
        <v>0.1674609</v>
      </c>
      <c r="R3638">
        <v>1.339423E-2</v>
      </c>
      <c r="S3638">
        <v>-3.056244</v>
      </c>
      <c r="T3638">
        <v>-7.2556969999999998E-2</v>
      </c>
      <c r="U3638">
        <v>-3.8421629999999998E-2</v>
      </c>
      <c r="V3638">
        <v>5.7454799999999999E-3</v>
      </c>
      <c r="W3638">
        <v>0.17410439999999999</v>
      </c>
      <c r="X3638">
        <v>0.98471050000000004</v>
      </c>
      <c r="Y3638">
        <v>-1.9935520000000002E-2</v>
      </c>
      <c r="Z3638">
        <v>-4.1162049999999997E-4</v>
      </c>
      <c r="AA3638">
        <v>0.99980119999999895</v>
      </c>
      <c r="AB3638">
        <v>36</v>
      </c>
      <c r="AC3638">
        <v>-46.399299999999997</v>
      </c>
      <c r="AD3638">
        <v>-1.1098787189620001</v>
      </c>
      <c r="AE3638">
        <v>-0.58979999999999599</v>
      </c>
      <c r="AF3638">
        <v>-0.93138128544013199</v>
      </c>
      <c r="AG3638">
        <v>-1.1098787189620001</v>
      </c>
      <c r="AH3638">
        <v>46.3671638597989</v>
      </c>
      <c r="AI3638">
        <v>91.370935850654604</v>
      </c>
      <c r="AJ3638">
        <v>91.150750590287004</v>
      </c>
      <c r="AK3638">
        <v>46.389796143883999</v>
      </c>
      <c r="AL3638">
        <v>79.973456670147897</v>
      </c>
      <c r="AM3638">
        <v>89.665700711296495</v>
      </c>
      <c r="AN3638">
        <v>1.0000000607250099</v>
      </c>
    </row>
    <row r="3639" spans="1:40" x14ac:dyDescent="0.25">
      <c r="A3639" t="str">
        <f>"20190312172735623"</f>
        <v>20190312172735623</v>
      </c>
      <c r="B3639" t="str">
        <f>"1552382855613262"</f>
        <v>1552382855613262</v>
      </c>
      <c r="C3639" t="s">
        <v>40</v>
      </c>
      <c r="D3639">
        <v>3.1926649999999999</v>
      </c>
      <c r="E3639">
        <v>0.49614459999999999</v>
      </c>
      <c r="F3639" t="s">
        <v>50</v>
      </c>
      <c r="G3639">
        <v>-304.64839999999998</v>
      </c>
      <c r="H3639" s="1">
        <v>-9.3224769999999997E-6</v>
      </c>
      <c r="I3639">
        <v>141.62809999999999</v>
      </c>
      <c r="J3639">
        <v>-271.76549999999997</v>
      </c>
      <c r="K3639">
        <v>1.1098870000000001</v>
      </c>
      <c r="L3639">
        <v>141.65690000000001</v>
      </c>
      <c r="M3639">
        <v>-0.99995489999999998</v>
      </c>
      <c r="N3639">
        <v>0</v>
      </c>
      <c r="O3639">
        <v>6.4638789999999996E-3</v>
      </c>
      <c r="P3639">
        <v>-0.98580679999999998</v>
      </c>
      <c r="Q3639">
        <v>0.16734889999999999</v>
      </c>
      <c r="R3639">
        <v>1.3398439999999999E-2</v>
      </c>
      <c r="S3639">
        <v>-3.060638</v>
      </c>
      <c r="T3639">
        <v>-0.1022222</v>
      </c>
      <c r="U3639">
        <v>-2.487183E-3</v>
      </c>
      <c r="V3639">
        <v>6.6443300000000004E-3</v>
      </c>
      <c r="W3639">
        <v>0.1742049</v>
      </c>
      <c r="X3639">
        <v>0.98468699999999998</v>
      </c>
      <c r="Y3639">
        <v>-7.268994E-3</v>
      </c>
      <c r="Z3639">
        <v>-3.3718570000000001E-4</v>
      </c>
      <c r="AA3639">
        <v>0.99997349999999996</v>
      </c>
      <c r="AB3639">
        <v>36</v>
      </c>
      <c r="AC3639">
        <v>-32.882899999999999</v>
      </c>
      <c r="AD3639">
        <v>-1.109896322477</v>
      </c>
      <c r="AE3639">
        <v>-2.8800000000018099E-2</v>
      </c>
      <c r="AF3639">
        <v>-0.24108097591529701</v>
      </c>
      <c r="AG3639">
        <v>-1.109896322477</v>
      </c>
      <c r="AH3639">
        <v>32.844608172533398</v>
      </c>
      <c r="AI3639">
        <v>91.935370162392203</v>
      </c>
      <c r="AJ3639">
        <v>90.420546176507202</v>
      </c>
      <c r="AK3639">
        <v>32.864240077793397</v>
      </c>
      <c r="AL3639">
        <v>79.967608378327597</v>
      </c>
      <c r="AM3639">
        <v>89.6133936072045</v>
      </c>
      <c r="AN3639">
        <v>0.99999999113707905</v>
      </c>
    </row>
    <row r="3640" spans="1:40" x14ac:dyDescent="0.25">
      <c r="A3640" t="str">
        <f>"20190312172735647"</f>
        <v>20190312172735647</v>
      </c>
      <c r="B3640" t="str">
        <f>"1552382855642542"</f>
        <v>1552382855642542</v>
      </c>
      <c r="C3640" t="s">
        <v>40</v>
      </c>
      <c r="D3640">
        <v>3.174995</v>
      </c>
      <c r="E3640">
        <v>0.49654559999999998</v>
      </c>
      <c r="F3640" t="s">
        <v>50</v>
      </c>
      <c r="G3640">
        <v>-313.36040000000003</v>
      </c>
      <c r="H3640" s="1">
        <v>-8.6974209999999999E-6</v>
      </c>
      <c r="I3640">
        <v>141.4796</v>
      </c>
      <c r="J3640">
        <v>-272.13420000000002</v>
      </c>
      <c r="K3640">
        <v>1.109909</v>
      </c>
      <c r="L3640">
        <v>141.6584</v>
      </c>
      <c r="M3640">
        <v>-0.99995919999999905</v>
      </c>
      <c r="N3640">
        <v>0</v>
      </c>
      <c r="O3640">
        <v>5.5011979999999997E-3</v>
      </c>
      <c r="P3640">
        <v>-0.98577630000000005</v>
      </c>
      <c r="Q3640">
        <v>0.16752829999999999</v>
      </c>
      <c r="R3640">
        <v>1.340471E-2</v>
      </c>
      <c r="S3640">
        <v>-3.05722</v>
      </c>
      <c r="T3640">
        <v>-8.1577179999999999E-2</v>
      </c>
      <c r="U3640">
        <v>-1.3031010000000001E-2</v>
      </c>
      <c r="V3640">
        <v>7.597164E-3</v>
      </c>
      <c r="W3640">
        <v>0.17460680000000001</v>
      </c>
      <c r="X3640">
        <v>0.98460890000000001</v>
      </c>
      <c r="Y3640">
        <v>-9.7581249999999994E-3</v>
      </c>
      <c r="Z3640">
        <v>-2.7693420000000002E-4</v>
      </c>
      <c r="AA3640">
        <v>0.99995239999999996</v>
      </c>
      <c r="AB3640">
        <v>36</v>
      </c>
      <c r="AC3640">
        <v>-41.226199999999999</v>
      </c>
      <c r="AD3640">
        <v>-1.1099176974210001</v>
      </c>
      <c r="AE3640">
        <v>-0.17879999999999499</v>
      </c>
      <c r="AF3640">
        <v>-0.40530283546004398</v>
      </c>
      <c r="AG3640">
        <v>-1.1099176974210001</v>
      </c>
      <c r="AH3640">
        <v>41.194733972304803</v>
      </c>
      <c r="AI3640">
        <v>91.543283242103001</v>
      </c>
      <c r="AJ3640">
        <v>90.563698084654703</v>
      </c>
      <c r="AK3640">
        <v>41.211676679461199</v>
      </c>
      <c r="AL3640">
        <v>79.944222565642804</v>
      </c>
      <c r="AM3640">
        <v>89.557919093077899</v>
      </c>
      <c r="AN3640">
        <v>0.99999996873314601</v>
      </c>
    </row>
    <row r="3641" spans="1:40" x14ac:dyDescent="0.25">
      <c r="A3641" t="str">
        <f>"20190312172735669"</f>
        <v>20190312172735669</v>
      </c>
      <c r="B3641" t="str">
        <f>"1552382855663038"</f>
        <v>1552382855663038</v>
      </c>
      <c r="C3641" t="s">
        <v>40</v>
      </c>
      <c r="D3641">
        <v>3.226985</v>
      </c>
      <c r="E3641">
        <v>0.49660110000000002</v>
      </c>
      <c r="F3641" t="s">
        <v>50</v>
      </c>
      <c r="G3641">
        <v>-314.255</v>
      </c>
      <c r="H3641" s="1">
        <v>-8.3727429999999996E-6</v>
      </c>
      <c r="I3641">
        <v>141.52529999999999</v>
      </c>
      <c r="J3641">
        <v>-272.50049999999999</v>
      </c>
      <c r="K3641">
        <v>1.109931</v>
      </c>
      <c r="L3641">
        <v>141.65950000000001</v>
      </c>
      <c r="M3641">
        <v>-0.99996240000000003</v>
      </c>
      <c r="N3641">
        <v>0</v>
      </c>
      <c r="O3641">
        <v>4.5463220000000002E-3</v>
      </c>
      <c r="P3641">
        <v>-0.98587959999999997</v>
      </c>
      <c r="Q3641">
        <v>0.16693269999999999</v>
      </c>
      <c r="R3641">
        <v>1.323131E-2</v>
      </c>
      <c r="S3641">
        <v>-3.0570979999999999</v>
      </c>
      <c r="T3641">
        <v>-8.0556989999999995E-2</v>
      </c>
      <c r="U3641">
        <v>-9.6588130000000005E-3</v>
      </c>
      <c r="V3641">
        <v>8.3636909999999995E-3</v>
      </c>
      <c r="W3641">
        <v>0.17422979999999999</v>
      </c>
      <c r="X3641">
        <v>0.98466949999999998</v>
      </c>
      <c r="Y3641">
        <v>-7.7015929999999996E-3</v>
      </c>
      <c r="Z3641">
        <v>-2.2123499999999999E-4</v>
      </c>
      <c r="AA3641">
        <v>0.99997029999999998</v>
      </c>
      <c r="AB3641">
        <v>36</v>
      </c>
      <c r="AC3641">
        <v>-41.7545</v>
      </c>
      <c r="AD3641">
        <v>-1.109939372743</v>
      </c>
      <c r="AE3641">
        <v>-0.134200000000021</v>
      </c>
      <c r="AF3641">
        <v>-0.32380438338184597</v>
      </c>
      <c r="AG3641">
        <v>-1.109939372743</v>
      </c>
      <c r="AH3641">
        <v>41.723975229284797</v>
      </c>
      <c r="AI3641">
        <v>91.523774585078201</v>
      </c>
      <c r="AJ3641">
        <v>90.444642486924195</v>
      </c>
      <c r="AK3641">
        <v>41.739991897745199</v>
      </c>
      <c r="AL3641">
        <v>79.966159640493302</v>
      </c>
      <c r="AM3641">
        <v>89.513346689771495</v>
      </c>
      <c r="AN3641">
        <v>0.999999999382716</v>
      </c>
    </row>
    <row r="3642" spans="1:40" x14ac:dyDescent="0.25">
      <c r="A3642" t="str">
        <f>"20190312172735691"</f>
        <v>20190312172735691</v>
      </c>
      <c r="B3642" t="str">
        <f>"1552382855683534"</f>
        <v>1552382855683534</v>
      </c>
      <c r="C3642" t="s">
        <v>40</v>
      </c>
      <c r="D3642">
        <v>3.23014</v>
      </c>
      <c r="E3642">
        <v>0.4966158</v>
      </c>
      <c r="F3642" t="s">
        <v>50</v>
      </c>
      <c r="G3642">
        <v>-313.31529999999998</v>
      </c>
      <c r="H3642" s="1">
        <v>-8.7277639999999995E-6</v>
      </c>
      <c r="I3642">
        <v>141.53020000000001</v>
      </c>
      <c r="J3642">
        <v>-272.85610000000003</v>
      </c>
      <c r="K3642">
        <v>1.109944</v>
      </c>
      <c r="L3642">
        <v>141.66030000000001</v>
      </c>
      <c r="M3642">
        <v>-0.99996459999999998</v>
      </c>
      <c r="N3642">
        <v>0</v>
      </c>
      <c r="O3642">
        <v>3.6221560000000001E-3</v>
      </c>
      <c r="P3642">
        <v>-0.98595489999999997</v>
      </c>
      <c r="Q3642">
        <v>0.16650970000000001</v>
      </c>
      <c r="R3642">
        <v>1.295117E-2</v>
      </c>
      <c r="S3642">
        <v>-3.0571899999999999</v>
      </c>
      <c r="T3642">
        <v>-8.3138939999999995E-2</v>
      </c>
      <c r="U3642">
        <v>-9.6893310000000007E-3</v>
      </c>
      <c r="V3642">
        <v>8.9938640000000007E-3</v>
      </c>
      <c r="W3642">
        <v>0.17400950000000001</v>
      </c>
      <c r="X3642">
        <v>0.98470290000000005</v>
      </c>
      <c r="Y3642">
        <v>-6.7877160000000001E-3</v>
      </c>
      <c r="Z3642">
        <v>-1.9076450000000001E-4</v>
      </c>
      <c r="AA3642">
        <v>0.99997689999999995</v>
      </c>
      <c r="AB3642">
        <v>36</v>
      </c>
      <c r="AC3642">
        <v>-40.459199999999903</v>
      </c>
      <c r="AD3642">
        <v>-1.109952727764</v>
      </c>
      <c r="AE3642">
        <v>-0.130099999999998</v>
      </c>
      <c r="AF3642">
        <v>-0.27644485198875202</v>
      </c>
      <c r="AG3642">
        <v>-1.109952727764</v>
      </c>
      <c r="AH3642">
        <v>40.428036776773901</v>
      </c>
      <c r="AI3642">
        <v>91.572625198727295</v>
      </c>
      <c r="AJ3642">
        <v>90.391779509731705</v>
      </c>
      <c r="AK3642">
        <v>40.444215586882699</v>
      </c>
      <c r="AL3642">
        <v>79.978977693829506</v>
      </c>
      <c r="AM3642">
        <v>89.476698890630203</v>
      </c>
      <c r="AN3642">
        <v>0.99999999847415499</v>
      </c>
    </row>
    <row r="3643" spans="1:40" x14ac:dyDescent="0.25">
      <c r="A3643" t="str">
        <f>"20190312172735713"</f>
        <v>20190312172735713</v>
      </c>
      <c r="B3643" t="str">
        <f>"1552382855703057"</f>
        <v>1552382855703057</v>
      </c>
      <c r="C3643" t="s">
        <v>40</v>
      </c>
      <c r="D3643">
        <v>3.1981320000000002</v>
      </c>
      <c r="E3643">
        <v>0.49660650000000001</v>
      </c>
      <c r="F3643" t="s">
        <v>50</v>
      </c>
      <c r="G3643">
        <v>-313.40199999999999</v>
      </c>
      <c r="H3643" s="1">
        <v>-8.6954770000000004E-6</v>
      </c>
      <c r="I3643">
        <v>141.5316</v>
      </c>
      <c r="J3643">
        <v>-273.21679999999998</v>
      </c>
      <c r="K3643">
        <v>1.1099570000000001</v>
      </c>
      <c r="L3643">
        <v>141.66079999999999</v>
      </c>
      <c r="M3643">
        <v>-0.99996609999999997</v>
      </c>
      <c r="N3643">
        <v>0</v>
      </c>
      <c r="O3643">
        <v>2.6879149999999999E-3</v>
      </c>
      <c r="P3643">
        <v>-0.98601700000000003</v>
      </c>
      <c r="Q3643">
        <v>0.16614770000000001</v>
      </c>
      <c r="R3643">
        <v>1.28571E-2</v>
      </c>
      <c r="S3643">
        <v>-3.0569760000000001</v>
      </c>
      <c r="T3643">
        <v>-8.3685280000000001E-2</v>
      </c>
      <c r="U3643">
        <v>-9.7045900000000008E-3</v>
      </c>
      <c r="V3643">
        <v>9.8207940000000007E-3</v>
      </c>
      <c r="W3643">
        <v>0.17383860000000001</v>
      </c>
      <c r="X3643">
        <v>0.98472519999999997</v>
      </c>
      <c r="Y3643">
        <v>-5.8593269999999897E-3</v>
      </c>
      <c r="Z3643">
        <v>-1.5375529999999999E-4</v>
      </c>
      <c r="AA3643">
        <v>0.99998279999999995</v>
      </c>
      <c r="AB3643">
        <v>36</v>
      </c>
      <c r="AC3643">
        <v>-40.185200000000002</v>
      </c>
      <c r="AD3643">
        <v>-1.1099656954770001</v>
      </c>
      <c r="AE3643">
        <v>-0.12919999999999701</v>
      </c>
      <c r="AF3643">
        <v>-0.23703636549871299</v>
      </c>
      <c r="AG3643">
        <v>-1.1099656954770001</v>
      </c>
      <c r="AH3643">
        <v>40.154072952991299</v>
      </c>
      <c r="AI3643">
        <v>91.583377399597495</v>
      </c>
      <c r="AJ3643">
        <v>90.338222864638098</v>
      </c>
      <c r="AK3643">
        <v>40.170110589813603</v>
      </c>
      <c r="AL3643">
        <v>79.988921237912194</v>
      </c>
      <c r="AM3643">
        <v>89.428600595271703</v>
      </c>
      <c r="AN3643">
        <v>1.0000000131798901</v>
      </c>
    </row>
    <row r="3644" spans="1:40" x14ac:dyDescent="0.25">
      <c r="A3644" t="str">
        <f>"20190312172735736"</f>
        <v>20190312172735736</v>
      </c>
      <c r="B3644" t="str">
        <f>"1552382855732532"</f>
        <v>1552382855732532</v>
      </c>
      <c r="C3644" t="s">
        <v>40</v>
      </c>
      <c r="D3644">
        <v>3.2084459999999999</v>
      </c>
      <c r="E3644">
        <v>0.49648710000000001</v>
      </c>
      <c r="F3644" t="s">
        <v>50</v>
      </c>
      <c r="G3644">
        <v>-313.32810000000001</v>
      </c>
      <c r="H3644" s="1">
        <v>-8.7256539999999993E-6</v>
      </c>
      <c r="I3644">
        <v>141.54040000000001</v>
      </c>
      <c r="J3644">
        <v>-273.5865</v>
      </c>
      <c r="K3644">
        <v>1.1099699999999999</v>
      </c>
      <c r="L3644">
        <v>141.6609</v>
      </c>
      <c r="M3644">
        <v>-0.99996680000000004</v>
      </c>
      <c r="N3644">
        <v>0</v>
      </c>
      <c r="O3644">
        <v>1.742672E-3</v>
      </c>
      <c r="P3644">
        <v>-0.98599939999999997</v>
      </c>
      <c r="Q3644">
        <v>0.16632089999999999</v>
      </c>
      <c r="R3644">
        <v>1.1950290000000001E-2</v>
      </c>
      <c r="S3644">
        <v>-3.056915</v>
      </c>
      <c r="T3644">
        <v>-8.4591390000000002E-2</v>
      </c>
      <c r="U3644">
        <v>-9.1705320000000003E-3</v>
      </c>
      <c r="V3644">
        <v>9.8471679999999999E-3</v>
      </c>
      <c r="W3644">
        <v>0.17419319999999999</v>
      </c>
      <c r="X3644">
        <v>0.98466229999999999</v>
      </c>
      <c r="Y3644">
        <v>-4.7401489999999999E-3</v>
      </c>
      <c r="Z3644">
        <v>-1.13788E-4</v>
      </c>
      <c r="AA3644">
        <v>0.99998869999999895</v>
      </c>
      <c r="AB3644">
        <v>36</v>
      </c>
      <c r="AC3644">
        <v>-39.741599999999998</v>
      </c>
      <c r="AD3644">
        <v>-1.1099787256539999</v>
      </c>
      <c r="AE3644">
        <v>-0.120499999999992</v>
      </c>
      <c r="AF3644">
        <v>-0.189610674836212</v>
      </c>
      <c r="AG3644">
        <v>-1.1099787256539999</v>
      </c>
      <c r="AH3644">
        <v>39.710352722336502</v>
      </c>
      <c r="AI3644">
        <v>91.601089196493305</v>
      </c>
      <c r="AJ3644">
        <v>90.273576236742201</v>
      </c>
      <c r="AK3644">
        <v>39.726315186684403</v>
      </c>
      <c r="AL3644">
        <v>79.968289656460101</v>
      </c>
      <c r="AM3644">
        <v>89.427029592889397</v>
      </c>
      <c r="AN3644">
        <v>1.00000004134257</v>
      </c>
    </row>
    <row r="3645" spans="1:40" x14ac:dyDescent="0.25">
      <c r="A3645" t="str">
        <f>"20190312172735757"</f>
        <v>20190312172735757</v>
      </c>
      <c r="B3645" t="str">
        <f>"1552382855753028"</f>
        <v>1552382855753028</v>
      </c>
      <c r="C3645" t="s">
        <v>40</v>
      </c>
      <c r="D3645">
        <v>3.2301630000000001</v>
      </c>
      <c r="E3645">
        <v>0.49648199999999998</v>
      </c>
      <c r="F3645" t="s">
        <v>50</v>
      </c>
      <c r="G3645">
        <v>-313.68579999999997</v>
      </c>
      <c r="H3645" s="1">
        <v>-8.5814280000000005E-6</v>
      </c>
      <c r="I3645">
        <v>141.5042</v>
      </c>
      <c r="J3645">
        <v>-273.93970000000002</v>
      </c>
      <c r="K3645">
        <v>1.109974</v>
      </c>
      <c r="L3645">
        <v>141.66069999999999</v>
      </c>
      <c r="M3645">
        <v>-0.99996660000000004</v>
      </c>
      <c r="N3645">
        <v>0</v>
      </c>
      <c r="O3645">
        <v>8.6335169999999996E-4</v>
      </c>
      <c r="P3645">
        <v>-0.98593560000000002</v>
      </c>
      <c r="Q3645">
        <v>0.16672729999999999</v>
      </c>
      <c r="R3645">
        <v>1.1547999999999999E-2</v>
      </c>
      <c r="S3645">
        <v>-3.057007</v>
      </c>
      <c r="T3645">
        <v>-8.4620239999999999E-2</v>
      </c>
      <c r="U3645">
        <v>-1.1947630000000001E-2</v>
      </c>
      <c r="V3645">
        <v>1.031609E-2</v>
      </c>
      <c r="W3645">
        <v>0.174765</v>
      </c>
      <c r="X3645">
        <v>0.98455610000000005</v>
      </c>
      <c r="Y3645">
        <v>-4.7694640000000002E-3</v>
      </c>
      <c r="Z3645" s="1">
        <v>-8.9892619999999894E-5</v>
      </c>
      <c r="AA3645">
        <v>0.99998860000000001</v>
      </c>
      <c r="AB3645">
        <v>37</v>
      </c>
      <c r="AC3645">
        <v>-39.746099999999899</v>
      </c>
      <c r="AD3645">
        <v>-1.109982581428</v>
      </c>
      <c r="AE3645">
        <v>-0.15649999999999401</v>
      </c>
      <c r="AF3645">
        <v>-0.19066723747082101</v>
      </c>
      <c r="AG3645">
        <v>-1.109982581428</v>
      </c>
      <c r="AH3645">
        <v>39.714976525814002</v>
      </c>
      <c r="AI3645">
        <v>91.600908245878799</v>
      </c>
      <c r="AJ3645">
        <v>90.275068627116795</v>
      </c>
      <c r="AK3645">
        <v>39.730942296558602</v>
      </c>
      <c r="AL3645">
        <v>79.9350168454243</v>
      </c>
      <c r="AM3645">
        <v>89.399681959170096</v>
      </c>
      <c r="AN3645">
        <v>0.99999997049254796</v>
      </c>
    </row>
    <row r="3646" spans="1:40" x14ac:dyDescent="0.25">
      <c r="A3646" t="str">
        <f>"20190312172735782"</f>
        <v>20190312172735782</v>
      </c>
      <c r="B3646" t="str">
        <f>"1552382855772548"</f>
        <v>1552382855772548</v>
      </c>
      <c r="C3646" t="s">
        <v>40</v>
      </c>
      <c r="D3646">
        <v>3.2312110000000001</v>
      </c>
      <c r="E3646">
        <v>0.49644379999999999</v>
      </c>
      <c r="F3646" t="s">
        <v>50</v>
      </c>
      <c r="G3646">
        <v>-314.90300000000002</v>
      </c>
      <c r="H3646" s="1">
        <v>-8.1200250000000002E-6</v>
      </c>
      <c r="I3646">
        <v>141.49199999999999</v>
      </c>
      <c r="J3646">
        <v>-274.3374</v>
      </c>
      <c r="K3646">
        <v>1.1099619999999999</v>
      </c>
      <c r="L3646">
        <v>141.6601</v>
      </c>
      <c r="M3646">
        <v>-0.99996549999999995</v>
      </c>
      <c r="N3646">
        <v>0</v>
      </c>
      <c r="O3646" s="1">
        <v>-7.8674889999999994E-5</v>
      </c>
      <c r="P3646">
        <v>-0.98584070000000001</v>
      </c>
      <c r="Q3646">
        <v>0.16732939999999999</v>
      </c>
      <c r="R3646">
        <v>1.0915569999999999E-2</v>
      </c>
      <c r="S3646">
        <v>-3.0569459999999999</v>
      </c>
      <c r="T3646">
        <v>-8.2834119999999997E-2</v>
      </c>
      <c r="U3646">
        <v>-1.2588500000000001E-2</v>
      </c>
      <c r="V3646">
        <v>1.062307E-2</v>
      </c>
      <c r="W3646">
        <v>0.17554710000000001</v>
      </c>
      <c r="X3646">
        <v>0.98441369999999895</v>
      </c>
      <c r="Y3646">
        <v>-4.037835E-3</v>
      </c>
      <c r="Z3646" s="1">
        <v>-5.2564849999999999E-5</v>
      </c>
      <c r="AA3646">
        <v>0.99999179999999999</v>
      </c>
      <c r="AB3646">
        <v>37</v>
      </c>
      <c r="AC3646">
        <v>-40.565600000000003</v>
      </c>
      <c r="AD3646">
        <v>-1.1099701200250001</v>
      </c>
      <c r="AE3646">
        <v>-0.16809999999998099</v>
      </c>
      <c r="AF3646">
        <v>-0.16478502313577301</v>
      </c>
      <c r="AG3646">
        <v>-1.1099701200250001</v>
      </c>
      <c r="AH3646">
        <v>40.535264942864103</v>
      </c>
      <c r="AI3646">
        <v>91.568515466270895</v>
      </c>
      <c r="AJ3646">
        <v>90.232919023873805</v>
      </c>
      <c r="AK3646">
        <v>40.5507939719974</v>
      </c>
      <c r="AL3646">
        <v>79.889502319407498</v>
      </c>
      <c r="AM3646">
        <v>89.381730006606105</v>
      </c>
      <c r="AN3646">
        <v>0.99999998334116202</v>
      </c>
    </row>
    <row r="3647" spans="1:40" x14ac:dyDescent="0.25">
      <c r="A3647" t="str">
        <f>"20190312172735804"</f>
        <v>20190312172735804</v>
      </c>
      <c r="B3647" t="str">
        <f>"1552382855793044"</f>
        <v>1552382855793044</v>
      </c>
      <c r="C3647" t="s">
        <v>40</v>
      </c>
      <c r="D3647">
        <v>3.2887629999999999</v>
      </c>
      <c r="E3647">
        <v>0.49640030000000002</v>
      </c>
      <c r="F3647" t="s">
        <v>50</v>
      </c>
      <c r="G3647">
        <v>-316.60509999999999</v>
      </c>
      <c r="H3647" s="1">
        <v>-7.3597190000000003E-6</v>
      </c>
      <c r="I3647">
        <v>141.45740000000001</v>
      </c>
      <c r="J3647">
        <v>-274.70940000000002</v>
      </c>
      <c r="K3647">
        <v>1.1099429999999999</v>
      </c>
      <c r="L3647">
        <v>141.6593</v>
      </c>
      <c r="M3647">
        <v>-0.99996350000000001</v>
      </c>
      <c r="N3647">
        <v>0</v>
      </c>
      <c r="O3647">
        <v>-8.92482E-4</v>
      </c>
      <c r="P3647">
        <v>-0.98578730000000003</v>
      </c>
      <c r="Q3647">
        <v>0.16767950000000001</v>
      </c>
      <c r="R3647">
        <v>1.0339839999999999E-2</v>
      </c>
      <c r="S3647">
        <v>-3.0568849999999999</v>
      </c>
      <c r="T3647">
        <v>-8.0275059999999995E-2</v>
      </c>
      <c r="U3647">
        <v>-1.46637E-2</v>
      </c>
      <c r="V3647">
        <v>1.086779E-2</v>
      </c>
      <c r="W3647">
        <v>0.1760668</v>
      </c>
      <c r="X3647">
        <v>0.98431820000000003</v>
      </c>
      <c r="Y3647">
        <v>-3.9033430000000001E-3</v>
      </c>
      <c r="Z3647" s="1">
        <v>-2.7808969999999999E-5</v>
      </c>
      <c r="AA3647">
        <v>0.9999924</v>
      </c>
      <c r="AB3647">
        <v>37</v>
      </c>
      <c r="AC3647">
        <v>-41.895699999999898</v>
      </c>
      <c r="AD3647">
        <v>-1.1099503597189999</v>
      </c>
      <c r="AE3647">
        <v>-0.201899999999994</v>
      </c>
      <c r="AF3647">
        <v>-0.16439202930622601</v>
      </c>
      <c r="AG3647">
        <v>-1.1099503597189999</v>
      </c>
      <c r="AH3647">
        <v>41.8664785888637</v>
      </c>
      <c r="AI3647">
        <v>91.518639490097698</v>
      </c>
      <c r="AJ3647">
        <v>90.224975239749398</v>
      </c>
      <c r="AK3647">
        <v>41.881511959003099</v>
      </c>
      <c r="AL3647">
        <v>79.859254476067505</v>
      </c>
      <c r="AM3647">
        <v>89.367426915878397</v>
      </c>
      <c r="AN3647">
        <v>0.99999997288648101</v>
      </c>
    </row>
    <row r="3648" spans="1:40" x14ac:dyDescent="0.25">
      <c r="A3648" t="str">
        <f>"20190312172735826"</f>
        <v>20190312172735826</v>
      </c>
      <c r="B3648" t="str">
        <f>"1552382855823301"</f>
        <v>1552382855823301</v>
      </c>
      <c r="C3648" t="s">
        <v>40</v>
      </c>
      <c r="D3648">
        <v>3.2726120000000001</v>
      </c>
      <c r="E3648">
        <v>0.52465340000000005</v>
      </c>
      <c r="F3648" t="s">
        <v>50</v>
      </c>
      <c r="G3648">
        <v>-317.79000000000002</v>
      </c>
      <c r="H3648" s="1">
        <v>-6.8256609999999997E-6</v>
      </c>
      <c r="I3648">
        <v>141.4247</v>
      </c>
      <c r="J3648">
        <v>-275.06150000000002</v>
      </c>
      <c r="K3648">
        <v>1.1099049999999999</v>
      </c>
      <c r="L3648">
        <v>141.6584</v>
      </c>
      <c r="M3648">
        <v>-0.9999614</v>
      </c>
      <c r="N3648">
        <v>0</v>
      </c>
      <c r="O3648">
        <v>-1.5817489999999999E-3</v>
      </c>
      <c r="P3648">
        <v>-0.98573180000000005</v>
      </c>
      <c r="Q3648">
        <v>0.16803009999999999</v>
      </c>
      <c r="R3648">
        <v>9.957703E-3</v>
      </c>
      <c r="S3648">
        <v>-3.0567630000000001</v>
      </c>
      <c r="T3648">
        <v>-7.8755859999999997E-2</v>
      </c>
      <c r="U3648">
        <v>-1.664734E-2</v>
      </c>
      <c r="V3648">
        <v>1.1189320000000001E-2</v>
      </c>
      <c r="W3648">
        <v>0.17658170000000001</v>
      </c>
      <c r="X3648">
        <v>0.98422240000000005</v>
      </c>
      <c r="Y3648">
        <v>-3.8634400000000001E-3</v>
      </c>
      <c r="Z3648" s="1">
        <v>-9.0137729999999995E-6</v>
      </c>
      <c r="AA3648">
        <v>0.99999249999999995</v>
      </c>
      <c r="AB3648">
        <v>37</v>
      </c>
      <c r="AC3648">
        <v>-42.728499999999997</v>
      </c>
      <c r="AD3648">
        <v>-1.1099118256610001</v>
      </c>
      <c r="AE3648">
        <v>-0.23369999999999799</v>
      </c>
      <c r="AF3648">
        <v>-0.16599941668826099</v>
      </c>
      <c r="AG3648">
        <v>-1.1099118256610001</v>
      </c>
      <c r="AH3648">
        <v>42.700005327532097</v>
      </c>
      <c r="AI3648">
        <v>91.488956877112599</v>
      </c>
      <c r="AJ3648">
        <v>90.222740442092302</v>
      </c>
      <c r="AK3648">
        <v>42.7147505557313</v>
      </c>
      <c r="AL3648">
        <v>79.8292837281858</v>
      </c>
      <c r="AM3648">
        <v>89.348650067690997</v>
      </c>
      <c r="AN3648">
        <v>1.00000001515935</v>
      </c>
    </row>
    <row r="3649" spans="1:40" x14ac:dyDescent="0.25">
      <c r="A3649" t="str">
        <f>"20190312172735847"</f>
        <v>20190312172735847</v>
      </c>
      <c r="B3649" t="str">
        <f>"1552382855842820"</f>
        <v>1552382855842820</v>
      </c>
      <c r="C3649" t="s">
        <v>40</v>
      </c>
      <c r="D3649">
        <v>3.2848480000000002</v>
      </c>
      <c r="E3649">
        <v>0.52459369999999905</v>
      </c>
      <c r="F3649" t="s">
        <v>50</v>
      </c>
      <c r="G3649">
        <v>-318.024</v>
      </c>
      <c r="H3649" s="1">
        <v>-7.5544419999999999E-6</v>
      </c>
      <c r="I3649">
        <v>144.57859999999999</v>
      </c>
      <c r="J3649">
        <v>-275.41070000000002</v>
      </c>
      <c r="K3649">
        <v>1.1098570000000001</v>
      </c>
      <c r="L3649">
        <v>141.65729999999999</v>
      </c>
      <c r="M3649">
        <v>-0.99995869999999998</v>
      </c>
      <c r="N3649">
        <v>0</v>
      </c>
      <c r="O3649">
        <v>-2.1723749999999998E-3</v>
      </c>
      <c r="P3649">
        <v>-0.98569819999999997</v>
      </c>
      <c r="Q3649">
        <v>0.16825799999999999</v>
      </c>
      <c r="R3649">
        <v>9.4123620000000005E-3</v>
      </c>
      <c r="S3649">
        <v>-3.0548099999999998</v>
      </c>
      <c r="T3649">
        <v>-7.8919169999999997E-2</v>
      </c>
      <c r="U3649">
        <v>0.20764160000000001</v>
      </c>
      <c r="V3649">
        <v>1.125664E-2</v>
      </c>
      <c r="W3649">
        <v>0.1769722</v>
      </c>
      <c r="X3649">
        <v>0.98415149999999996</v>
      </c>
      <c r="Y3649">
        <v>6.9958909999999999E-2</v>
      </c>
      <c r="Z3649">
        <v>9.5853310000000005E-4</v>
      </c>
      <c r="AA3649">
        <v>0.99754940000000003</v>
      </c>
      <c r="AB3649">
        <v>37</v>
      </c>
      <c r="AC3649">
        <v>-42.613299999999903</v>
      </c>
      <c r="AD3649">
        <v>-1.1098645544419901</v>
      </c>
      <c r="AE3649">
        <v>2.9213</v>
      </c>
      <c r="AF3649">
        <v>3.01183527682181</v>
      </c>
      <c r="AG3649">
        <v>-1.1098645544419901</v>
      </c>
      <c r="AH3649">
        <v>42.578105558678999</v>
      </c>
      <c r="AI3649">
        <v>91.489445473132903</v>
      </c>
      <c r="AJ3649">
        <v>85.953824441157195</v>
      </c>
      <c r="AK3649">
        <v>42.698922984425799</v>
      </c>
      <c r="AL3649">
        <v>79.806551801853203</v>
      </c>
      <c r="AM3649">
        <v>89.344684390587702</v>
      </c>
      <c r="AN3649">
        <v>1.00000002323458</v>
      </c>
    </row>
    <row r="3650" spans="1:40" x14ac:dyDescent="0.25">
      <c r="A3650" t="str">
        <f>"20190312172735870"</f>
        <v>20190312172735870</v>
      </c>
      <c r="B3650" t="str">
        <f>"1552382855862340"</f>
        <v>1552382855862340</v>
      </c>
      <c r="C3650" t="s">
        <v>40</v>
      </c>
      <c r="D3650">
        <v>3.2960180000000001</v>
      </c>
      <c r="E3650">
        <v>0.52523030000000004</v>
      </c>
      <c r="F3650" t="s">
        <v>41</v>
      </c>
      <c r="G3650">
        <v>-319.9846</v>
      </c>
      <c r="H3650" s="1">
        <v>-5.1748449999999997E-6</v>
      </c>
      <c r="I3650">
        <v>144.6541</v>
      </c>
      <c r="J3650">
        <v>-275.78039999999999</v>
      </c>
      <c r="K3650">
        <v>1.1097900000000001</v>
      </c>
      <c r="L3650">
        <v>141.65600000000001</v>
      </c>
      <c r="M3650">
        <v>-0.99995579999999995</v>
      </c>
      <c r="N3650">
        <v>0</v>
      </c>
      <c r="O3650">
        <v>-2.6782120000000001E-3</v>
      </c>
      <c r="P3650">
        <v>-0.98574649999999997</v>
      </c>
      <c r="Q3650">
        <v>0.16798299999999999</v>
      </c>
      <c r="R3650">
        <v>9.2487260000000005E-3</v>
      </c>
      <c r="S3650">
        <v>-3.0545960000000001</v>
      </c>
      <c r="T3650">
        <v>-7.6057550000000002E-2</v>
      </c>
      <c r="U3650">
        <v>0.20536799999999999</v>
      </c>
      <c r="V3650">
        <v>1.163027E-2</v>
      </c>
      <c r="W3650">
        <v>0.17687269999999999</v>
      </c>
      <c r="X3650">
        <v>0.98416499999999996</v>
      </c>
      <c r="Y3650">
        <v>6.9730749999999994E-2</v>
      </c>
      <c r="Z3650">
        <v>9.3361799999999999E-4</v>
      </c>
      <c r="AA3650">
        <v>0.99756540000000005</v>
      </c>
      <c r="AB3650">
        <v>37</v>
      </c>
      <c r="AC3650">
        <v>-44.2042</v>
      </c>
      <c r="AD3650">
        <v>-1.1097951748449999</v>
      </c>
      <c r="AE3650">
        <v>2.9980999999999902</v>
      </c>
      <c r="AF3650">
        <v>3.1145281250696799</v>
      </c>
      <c r="AG3650">
        <v>-1.1097951748449999</v>
      </c>
      <c r="AH3650">
        <v>44.168299056271898</v>
      </c>
      <c r="AI3650">
        <v>91.435776400665503</v>
      </c>
      <c r="AJ3650">
        <v>85.966464002155405</v>
      </c>
      <c r="AK3650">
        <v>44.291879304181997</v>
      </c>
      <c r="AL3650">
        <v>79.812343673826007</v>
      </c>
      <c r="AM3650">
        <v>89.322944456786999</v>
      </c>
      <c r="AN3650">
        <v>0.999999981205281</v>
      </c>
    </row>
    <row r="3651" spans="1:40" x14ac:dyDescent="0.25">
      <c r="A3651" t="str">
        <f>"20190312172735893"</f>
        <v>20190312172735893</v>
      </c>
      <c r="B3651" t="str">
        <f>"1552382855882836"</f>
        <v>1552382855882836</v>
      </c>
      <c r="C3651" t="s">
        <v>40</v>
      </c>
      <c r="D3651">
        <v>3.3225069999999999</v>
      </c>
      <c r="E3651">
        <v>0.52562399999999998</v>
      </c>
      <c r="F3651" t="s">
        <v>50</v>
      </c>
      <c r="G3651">
        <v>-318.95510000000002</v>
      </c>
      <c r="H3651" s="1">
        <v>-7.1533370000000002E-6</v>
      </c>
      <c r="I3651">
        <v>144.6233</v>
      </c>
      <c r="J3651">
        <v>-276.16559999999998</v>
      </c>
      <c r="K3651">
        <v>1.1097140000000001</v>
      </c>
      <c r="L3651">
        <v>141.65459999999999</v>
      </c>
      <c r="M3651">
        <v>-0.99995299999999998</v>
      </c>
      <c r="N3651">
        <v>0</v>
      </c>
      <c r="O3651">
        <v>-3.0780999999999998E-3</v>
      </c>
      <c r="P3651">
        <v>-0.98583149999999997</v>
      </c>
      <c r="Q3651">
        <v>0.1674657</v>
      </c>
      <c r="R3651">
        <v>9.5579749999999998E-3</v>
      </c>
      <c r="S3651">
        <v>-3.0547490000000002</v>
      </c>
      <c r="T3651">
        <v>-7.8521610000000006E-2</v>
      </c>
      <c r="U3651">
        <v>0.20994570000000001</v>
      </c>
      <c r="V3651">
        <v>1.237657E-2</v>
      </c>
      <c r="W3651">
        <v>0.1765362</v>
      </c>
      <c r="X3651">
        <v>0.98421630000000004</v>
      </c>
      <c r="Y3651">
        <v>7.1612019999999998E-2</v>
      </c>
      <c r="Z3651">
        <v>9.9817070000000007E-4</v>
      </c>
      <c r="AA3651">
        <v>0.99743210000000004</v>
      </c>
      <c r="AB3651">
        <v>37</v>
      </c>
      <c r="AC3651">
        <v>-42.789499999999997</v>
      </c>
      <c r="AD3651">
        <v>-1.1097211533369999</v>
      </c>
      <c r="AE3651">
        <v>2.9687000000000099</v>
      </c>
      <c r="AF3651">
        <v>3.0983279261247398</v>
      </c>
      <c r="AG3651">
        <v>-1.1097211533369999</v>
      </c>
      <c r="AH3651">
        <v>42.751542225739399</v>
      </c>
      <c r="AI3651">
        <v>91.483030782557293</v>
      </c>
      <c r="AJ3651">
        <v>85.854856198444196</v>
      </c>
      <c r="AK3651">
        <v>42.878030267902297</v>
      </c>
      <c r="AL3651">
        <v>79.831931803009098</v>
      </c>
      <c r="AM3651">
        <v>89.279540634559993</v>
      </c>
      <c r="AN3651">
        <v>0.99999996729054696</v>
      </c>
    </row>
    <row r="3652" spans="1:40" x14ac:dyDescent="0.25">
      <c r="A3652" t="str">
        <f>"20190312172735915"</f>
        <v>20190312172735915</v>
      </c>
      <c r="B3652" t="str">
        <f>"1552382855902356"</f>
        <v>1552382855902356</v>
      </c>
      <c r="C3652" t="s">
        <v>40</v>
      </c>
      <c r="D3652">
        <v>3.3175690000000002</v>
      </c>
      <c r="E3652">
        <v>0.52584109999999995</v>
      </c>
      <c r="F3652" t="s">
        <v>50</v>
      </c>
      <c r="G3652">
        <v>-318.15600000000001</v>
      </c>
      <c r="H3652" s="1">
        <v>-7.4996049999999997E-6</v>
      </c>
      <c r="I3652">
        <v>144.5925</v>
      </c>
      <c r="J3652">
        <v>-276.5136</v>
      </c>
      <c r="K3652">
        <v>1.109639</v>
      </c>
      <c r="L3652">
        <v>141.6533</v>
      </c>
      <c r="M3652">
        <v>-0.99995080000000003</v>
      </c>
      <c r="N3652">
        <v>0</v>
      </c>
      <c r="O3652">
        <v>-3.3478660000000001E-3</v>
      </c>
      <c r="P3652">
        <v>-0.98600639999999995</v>
      </c>
      <c r="Q3652">
        <v>0.16639109999999999</v>
      </c>
      <c r="R3652">
        <v>1.027892E-2</v>
      </c>
      <c r="S3652">
        <v>-3.0547179999999998</v>
      </c>
      <c r="T3652">
        <v>-8.0729960000000003E-2</v>
      </c>
      <c r="U3652">
        <v>0.2137299</v>
      </c>
      <c r="V3652">
        <v>1.340131E-2</v>
      </c>
      <c r="W3652">
        <v>0.17561849999999901</v>
      </c>
      <c r="X3652">
        <v>0.98436710000000005</v>
      </c>
      <c r="Y3652">
        <v>7.3109399999999894E-2</v>
      </c>
      <c r="Z3652">
        <v>1.053079E-3</v>
      </c>
      <c r="AA3652">
        <v>0.99732339999999997</v>
      </c>
      <c r="AB3652">
        <v>37</v>
      </c>
      <c r="AC3652">
        <v>-41.642400000000002</v>
      </c>
      <c r="AD3652">
        <v>-1.1096464996049999</v>
      </c>
      <c r="AE3652">
        <v>2.9392</v>
      </c>
      <c r="AF3652">
        <v>3.0764291456699699</v>
      </c>
      <c r="AG3652">
        <v>-1.1096464996049999</v>
      </c>
      <c r="AH3652">
        <v>41.602931806360203</v>
      </c>
      <c r="AI3652">
        <v>91.523690545847401</v>
      </c>
      <c r="AJ3652">
        <v>85.770822858223497</v>
      </c>
      <c r="AK3652">
        <v>41.731279234251602</v>
      </c>
      <c r="AL3652">
        <v>79.885347219771404</v>
      </c>
      <c r="AM3652">
        <v>89.220015510536001</v>
      </c>
      <c r="AN3652">
        <v>1.0000000201071799</v>
      </c>
    </row>
    <row r="3653" spans="1:40" x14ac:dyDescent="0.25">
      <c r="A3653" t="str">
        <f>"20190312172735936"</f>
        <v>20190312172735936</v>
      </c>
      <c r="B3653" t="str">
        <f>"1552382855932990"</f>
        <v>1552382855932990</v>
      </c>
      <c r="C3653" t="s">
        <v>40</v>
      </c>
      <c r="D3653">
        <v>3.3145039999999999</v>
      </c>
      <c r="E3653">
        <v>0.52612569999999903</v>
      </c>
      <c r="F3653" t="s">
        <v>50</v>
      </c>
      <c r="G3653">
        <v>-316.4545</v>
      </c>
      <c r="H3653" s="1">
        <v>-8.2287880000000004E-6</v>
      </c>
      <c r="I3653">
        <v>144.49639999999999</v>
      </c>
      <c r="J3653">
        <v>-276.87650000000002</v>
      </c>
      <c r="K3653">
        <v>1.1095600000000001</v>
      </c>
      <c r="L3653">
        <v>141.65190000000001</v>
      </c>
      <c r="M3653">
        <v>-0.99994850000000002</v>
      </c>
      <c r="N3653">
        <v>0</v>
      </c>
      <c r="O3653">
        <v>-3.54018E-3</v>
      </c>
      <c r="P3653">
        <v>-0.9861936</v>
      </c>
      <c r="Q3653">
        <v>0.16523109999999999</v>
      </c>
      <c r="R3653">
        <v>1.1003509999999999E-2</v>
      </c>
      <c r="S3653">
        <v>-3.0545960000000001</v>
      </c>
      <c r="T3653">
        <v>-8.4863659999999994E-2</v>
      </c>
      <c r="U3653">
        <v>0.21743770000000001</v>
      </c>
      <c r="V3653">
        <v>1.435168E-2</v>
      </c>
      <c r="W3653">
        <v>0.174614299999999</v>
      </c>
      <c r="X3653">
        <v>0.98453230000000003</v>
      </c>
      <c r="Y3653">
        <v>7.4505119999999994E-2</v>
      </c>
      <c r="Z3653">
        <v>1.1316729999999999E-3</v>
      </c>
      <c r="AA3653">
        <v>0.99722</v>
      </c>
      <c r="AB3653">
        <v>37</v>
      </c>
      <c r="AC3653">
        <v>-39.577999999999903</v>
      </c>
      <c r="AD3653">
        <v>-1.109568228788</v>
      </c>
      <c r="AE3653">
        <v>2.84449999999998</v>
      </c>
      <c r="AF3653">
        <v>2.9822698565143</v>
      </c>
      <c r="AG3653">
        <v>-1.109568228788</v>
      </c>
      <c r="AH3653">
        <v>39.536766843058501</v>
      </c>
      <c r="AI3653">
        <v>91.602987563316802</v>
      </c>
      <c r="AJ3653">
        <v>85.686331462549006</v>
      </c>
      <c r="AK3653">
        <v>39.664606484292499</v>
      </c>
      <c r="AL3653">
        <v>79.943786329525693</v>
      </c>
      <c r="AM3653">
        <v>89.1648496889825</v>
      </c>
      <c r="AN3653">
        <v>0.99999998711330096</v>
      </c>
    </row>
    <row r="3654" spans="1:40" x14ac:dyDescent="0.25">
      <c r="A3654" t="str">
        <f>"20190312172735958"</f>
        <v>20190312172735958</v>
      </c>
      <c r="B3654" t="str">
        <f>"1552382855952510"</f>
        <v>1552382855952510</v>
      </c>
      <c r="C3654" t="s">
        <v>40</v>
      </c>
      <c r="D3654">
        <v>3.315887</v>
      </c>
      <c r="E3654">
        <v>0.52631759999999905</v>
      </c>
      <c r="F3654" t="s">
        <v>50</v>
      </c>
      <c r="G3654">
        <v>-315.07330000000002</v>
      </c>
      <c r="H3654" s="1">
        <v>-8.8223509999999997E-6</v>
      </c>
      <c r="I3654">
        <v>144.4247</v>
      </c>
      <c r="J3654">
        <v>-277.23739999999998</v>
      </c>
      <c r="K3654">
        <v>1.109499</v>
      </c>
      <c r="L3654">
        <v>141.65049999999999</v>
      </c>
      <c r="M3654">
        <v>-0.99994669999999997</v>
      </c>
      <c r="N3654">
        <v>0</v>
      </c>
      <c r="O3654">
        <v>-3.6571149999999998E-3</v>
      </c>
      <c r="P3654">
        <v>-0.98635629999999996</v>
      </c>
      <c r="Q3654">
        <v>0.16416249999999999</v>
      </c>
      <c r="R3654">
        <v>1.2328860000000001E-2</v>
      </c>
      <c r="S3654">
        <v>-3.0543819999999999</v>
      </c>
      <c r="T3654">
        <v>-8.872592E-2</v>
      </c>
      <c r="U3654">
        <v>0.22172549999999999</v>
      </c>
      <c r="V3654">
        <v>1.58242E-2</v>
      </c>
      <c r="W3654">
        <v>0.17369589999999999</v>
      </c>
      <c r="X3654">
        <v>0.9846722</v>
      </c>
      <c r="Y3654">
        <v>7.6015819999999998E-2</v>
      </c>
      <c r="Z3654">
        <v>1.2084800000000001E-3</v>
      </c>
      <c r="AA3654">
        <v>0.99710589999999999</v>
      </c>
      <c r="AB3654">
        <v>37</v>
      </c>
      <c r="AC3654">
        <v>-37.835900000000002</v>
      </c>
      <c r="AD3654">
        <v>-1.109507822351</v>
      </c>
      <c r="AE3654">
        <v>2.7742</v>
      </c>
      <c r="AF3654">
        <v>2.9100691199143802</v>
      </c>
      <c r="AG3654">
        <v>-1.109507822351</v>
      </c>
      <c r="AH3654">
        <v>37.793175998269497</v>
      </c>
      <c r="AI3654">
        <v>91.676609669695495</v>
      </c>
      <c r="AJ3654">
        <v>85.596921415315805</v>
      </c>
      <c r="AK3654">
        <v>37.921282440428001</v>
      </c>
      <c r="AL3654">
        <v>79.997223581892897</v>
      </c>
      <c r="AM3654">
        <v>89.079305951368198</v>
      </c>
      <c r="AN3654">
        <v>1.00000000621764</v>
      </c>
    </row>
    <row r="3655" spans="1:40" x14ac:dyDescent="0.25">
      <c r="A3655" t="str">
        <f>"20190312172735983"</f>
        <v>20190312172735983</v>
      </c>
      <c r="B3655" t="str">
        <f>"1552382855973006"</f>
        <v>1552382855973006</v>
      </c>
      <c r="C3655" t="s">
        <v>40</v>
      </c>
      <c r="D3655">
        <v>3.2980719999999999</v>
      </c>
      <c r="E3655">
        <v>0.52654330000000005</v>
      </c>
      <c r="F3655" t="s">
        <v>50</v>
      </c>
      <c r="G3655">
        <v>-313.71640000000002</v>
      </c>
      <c r="H3655" s="1">
        <v>-9.3237970000000005E-6</v>
      </c>
      <c r="I3655">
        <v>144.36000000000001</v>
      </c>
      <c r="J3655">
        <v>-277.64429999999999</v>
      </c>
      <c r="K3655">
        <v>1.1094469999999901</v>
      </c>
      <c r="L3655">
        <v>141.64879999999999</v>
      </c>
      <c r="M3655">
        <v>-0.99994490000000003</v>
      </c>
      <c r="N3655">
        <v>0</v>
      </c>
      <c r="O3655">
        <v>-3.7278179999999999E-3</v>
      </c>
      <c r="P3655">
        <v>-0.98645450000000001</v>
      </c>
      <c r="Q3655">
        <v>0.16348750000000001</v>
      </c>
      <c r="R3655">
        <v>1.340324E-2</v>
      </c>
      <c r="S3655">
        <v>-3.054138</v>
      </c>
      <c r="T3655">
        <v>-9.2891570000000007E-2</v>
      </c>
      <c r="U3655">
        <v>0.22685240000000001</v>
      </c>
      <c r="V3655">
        <v>1.699784E-2</v>
      </c>
      <c r="W3655">
        <v>0.17318729999999999</v>
      </c>
      <c r="X3655">
        <v>0.98474220000000001</v>
      </c>
      <c r="Y3655">
        <v>7.7752779999999994E-2</v>
      </c>
      <c r="Z3655">
        <v>1.2937350000000001E-3</v>
      </c>
      <c r="AA3655">
        <v>0.99697179999999996</v>
      </c>
      <c r="AB3655">
        <v>37</v>
      </c>
      <c r="AC3655">
        <v>-36.072099999999999</v>
      </c>
      <c r="AD3655">
        <v>-1.1094563237970001</v>
      </c>
      <c r="AE3655">
        <v>2.7112000000000198</v>
      </c>
      <c r="AF3655">
        <v>2.8429835875761298</v>
      </c>
      <c r="AG3655">
        <v>-1.1094563237970001</v>
      </c>
      <c r="AH3655">
        <v>36.0278521521088</v>
      </c>
      <c r="AI3655">
        <v>91.758369467382195</v>
      </c>
      <c r="AJ3655">
        <v>85.488098603563103</v>
      </c>
      <c r="AK3655">
        <v>36.156874584342198</v>
      </c>
      <c r="AL3655">
        <v>80.026812438705804</v>
      </c>
      <c r="AM3655">
        <v>89.011103834684207</v>
      </c>
      <c r="AN3655">
        <v>0.99999998395339695</v>
      </c>
    </row>
    <row r="3656" spans="1:40" x14ac:dyDescent="0.25">
      <c r="A3656" t="str">
        <f>"20190312172736006"</f>
        <v>20190312172736006</v>
      </c>
      <c r="B3656" t="str">
        <f>"1552382856003264"</f>
        <v>1552382856003264</v>
      </c>
      <c r="C3656" t="s">
        <v>40</v>
      </c>
      <c r="D3656">
        <v>3.2620079999999998</v>
      </c>
      <c r="E3656">
        <v>0.52684039999999999</v>
      </c>
      <c r="F3656" t="s">
        <v>50</v>
      </c>
      <c r="G3656">
        <v>-312.94319999999999</v>
      </c>
      <c r="H3656" s="1">
        <v>-9.6056690000000004E-6</v>
      </c>
      <c r="I3656">
        <v>144.3252</v>
      </c>
      <c r="J3656">
        <v>-278.02170000000001</v>
      </c>
      <c r="K3656">
        <v>1.1094170000000001</v>
      </c>
      <c r="L3656">
        <v>141.6474</v>
      </c>
      <c r="M3656">
        <v>-0.99994300000000003</v>
      </c>
      <c r="N3656">
        <v>0</v>
      </c>
      <c r="O3656">
        <v>-3.7534970000000002E-3</v>
      </c>
      <c r="P3656">
        <v>-0.98651310000000003</v>
      </c>
      <c r="Q3656">
        <v>0.16301499999999999</v>
      </c>
      <c r="R3656">
        <v>1.476212E-2</v>
      </c>
      <c r="S3656">
        <v>-3.0539860000000001</v>
      </c>
      <c r="T3656">
        <v>-9.5987799999999998E-2</v>
      </c>
      <c r="U3656">
        <v>0.23155210000000001</v>
      </c>
      <c r="V3656">
        <v>1.84041E-2</v>
      </c>
      <c r="W3656">
        <v>0.17286940000000001</v>
      </c>
      <c r="X3656">
        <v>0.9847728</v>
      </c>
      <c r="Y3656">
        <v>7.930429E-2</v>
      </c>
      <c r="Z3656">
        <v>1.361974E-3</v>
      </c>
      <c r="AA3656">
        <v>0.99684950000000005</v>
      </c>
      <c r="AB3656">
        <v>37</v>
      </c>
      <c r="AC3656">
        <v>-34.921499999999902</v>
      </c>
      <c r="AD3656">
        <v>-1.1094266056690001</v>
      </c>
      <c r="AE3656">
        <v>2.6777999999999902</v>
      </c>
      <c r="AF3656">
        <v>2.8060498954206801</v>
      </c>
      <c r="AG3656">
        <v>-1.1094266056690001</v>
      </c>
      <c r="AH3656">
        <v>34.876208284420798</v>
      </c>
      <c r="AI3656">
        <v>91.816123232051396</v>
      </c>
      <c r="AJ3656">
        <v>85.400037862292905</v>
      </c>
      <c r="AK3656">
        <v>35.006494364721298</v>
      </c>
      <c r="AL3656">
        <v>80.045305905659006</v>
      </c>
      <c r="AM3656">
        <v>88.929342365174605</v>
      </c>
      <c r="AN3656">
        <v>1.0000000039865</v>
      </c>
    </row>
    <row r="3657" spans="1:40" x14ac:dyDescent="0.25">
      <c r="A3657" t="str">
        <f>"20190312172736028"</f>
        <v>20190312172736028</v>
      </c>
      <c r="B3657" t="str">
        <f>"1552382856023289"</f>
        <v>1552382856023289</v>
      </c>
      <c r="C3657" t="s">
        <v>40</v>
      </c>
      <c r="D3657">
        <v>3.3067030000000002</v>
      </c>
      <c r="E3657">
        <v>0.52692629999999996</v>
      </c>
      <c r="F3657" t="s">
        <v>50</v>
      </c>
      <c r="G3657">
        <v>-312.1968</v>
      </c>
      <c r="H3657" s="1">
        <v>-9.8884910000000007E-6</v>
      </c>
      <c r="I3657">
        <v>144.30539999999999</v>
      </c>
      <c r="J3657">
        <v>-278.37799999999999</v>
      </c>
      <c r="K3657">
        <v>1.1093949999999999</v>
      </c>
      <c r="L3657">
        <v>141.64599999999999</v>
      </c>
      <c r="M3657">
        <v>-0.99994170000000004</v>
      </c>
      <c r="N3657">
        <v>0</v>
      </c>
      <c r="O3657">
        <v>-3.7510270000000001E-3</v>
      </c>
      <c r="P3657">
        <v>-0.98658210000000002</v>
      </c>
      <c r="Q3657">
        <v>0.162517299999999</v>
      </c>
      <c r="R3657">
        <v>1.5622749999999999E-2</v>
      </c>
      <c r="S3657">
        <v>-3.053833</v>
      </c>
      <c r="T3657">
        <v>-9.9136710000000003E-2</v>
      </c>
      <c r="U3657">
        <v>0.23751829999999999</v>
      </c>
      <c r="V3657">
        <v>1.9279549999999999E-2</v>
      </c>
      <c r="W3657">
        <v>0.17251939999999999</v>
      </c>
      <c r="X3657">
        <v>0.98481739999999995</v>
      </c>
      <c r="Y3657">
        <v>8.1237820000000002E-2</v>
      </c>
      <c r="Z3657">
        <v>1.4378450000000001E-3</v>
      </c>
      <c r="AA3657">
        <v>0.99669370000000002</v>
      </c>
      <c r="AB3657">
        <v>37</v>
      </c>
      <c r="AC3657">
        <v>-33.818800000000003</v>
      </c>
      <c r="AD3657">
        <v>-1.1094048884909999</v>
      </c>
      <c r="AE3657">
        <v>2.65939999999997</v>
      </c>
      <c r="AF3657">
        <v>2.7832662820467999</v>
      </c>
      <c r="AG3657">
        <v>-1.1094048884909999</v>
      </c>
      <c r="AH3657">
        <v>33.772465938585398</v>
      </c>
      <c r="AI3657">
        <v>91.875102514398705</v>
      </c>
      <c r="AJ3657">
        <v>85.288770199060195</v>
      </c>
      <c r="AK3657">
        <v>33.905114746543703</v>
      </c>
      <c r="AL3657">
        <v>80.065665057534304</v>
      </c>
      <c r="AM3657">
        <v>88.8784765978629</v>
      </c>
      <c r="AN3657">
        <v>0.99999997788366002</v>
      </c>
    </row>
    <row r="3658" spans="1:40" x14ac:dyDescent="0.25">
      <c r="A3658" t="str">
        <f>"20190312172736049"</f>
        <v>20190312172736049</v>
      </c>
      <c r="B3658" t="str">
        <f>"1552382856042810"</f>
        <v>1552382856042810</v>
      </c>
      <c r="C3658" t="s">
        <v>40</v>
      </c>
      <c r="D3658">
        <v>3.299868</v>
      </c>
      <c r="E3658">
        <v>0.52706889999999995</v>
      </c>
      <c r="F3658" t="s">
        <v>50</v>
      </c>
      <c r="G3658">
        <v>-311.9538</v>
      </c>
      <c r="H3658" s="1">
        <v>-9.9924859999999997E-6</v>
      </c>
      <c r="I3658">
        <v>144.2927</v>
      </c>
      <c r="J3658">
        <v>-278.72750000000002</v>
      </c>
      <c r="K3658">
        <v>1.10938</v>
      </c>
      <c r="L3658">
        <v>141.6447</v>
      </c>
      <c r="M3658">
        <v>-0.99994000000000005</v>
      </c>
      <c r="N3658">
        <v>0</v>
      </c>
      <c r="O3658">
        <v>-3.729694E-3</v>
      </c>
      <c r="P3658">
        <v>-0.98658809999999997</v>
      </c>
      <c r="Q3658">
        <v>0.16239909999999999</v>
      </c>
      <c r="R3658">
        <v>1.6446390000000002E-2</v>
      </c>
      <c r="S3658">
        <v>-3.0535890000000001</v>
      </c>
      <c r="T3658">
        <v>-0.10089620000000001</v>
      </c>
      <c r="U3658">
        <v>0.24070739999999999</v>
      </c>
      <c r="V3658">
        <v>2.0096449999999998E-2</v>
      </c>
      <c r="W3658">
        <v>0.17255090000000001</v>
      </c>
      <c r="X3658">
        <v>0.98479559999999999</v>
      </c>
      <c r="Y3658">
        <v>8.2255110000000006E-2</v>
      </c>
      <c r="Z3658">
        <v>1.4794809999999999E-3</v>
      </c>
      <c r="AA3658">
        <v>0.9966102</v>
      </c>
      <c r="AB3658">
        <v>37</v>
      </c>
      <c r="AC3658">
        <v>-33.226299999999902</v>
      </c>
      <c r="AD3658">
        <v>-1.109389992486</v>
      </c>
      <c r="AE3658">
        <v>2.6479999999999899</v>
      </c>
      <c r="AF3658">
        <v>2.7688448055725901</v>
      </c>
      <c r="AG3658">
        <v>-1.109389992486</v>
      </c>
      <c r="AH3658">
        <v>33.179436492942699</v>
      </c>
      <c r="AI3658">
        <v>91.908403702242893</v>
      </c>
      <c r="AJ3658">
        <v>85.229684243993702</v>
      </c>
      <c r="AK3658">
        <v>33.313244418729198</v>
      </c>
      <c r="AL3658">
        <v>80.063833256014107</v>
      </c>
      <c r="AM3658">
        <v>88.830943218230104</v>
      </c>
      <c r="AN3658">
        <v>1.00000002708638</v>
      </c>
    </row>
    <row r="3659" spans="1:40" x14ac:dyDescent="0.25">
      <c r="A3659" t="str">
        <f>"20190312172736070"</f>
        <v>20190312172736070</v>
      </c>
      <c r="B3659" t="str">
        <f>"1552382856063306"</f>
        <v>1552382856063306</v>
      </c>
      <c r="C3659" t="s">
        <v>40</v>
      </c>
      <c r="D3659">
        <v>3.2949540000000002</v>
      </c>
      <c r="E3659">
        <v>0.52708639999999995</v>
      </c>
      <c r="F3659" t="s">
        <v>50</v>
      </c>
      <c r="G3659">
        <v>-312.22800000000001</v>
      </c>
      <c r="H3659" s="1">
        <v>-9.8808039999999996E-6</v>
      </c>
      <c r="I3659">
        <v>144.32599999999999</v>
      </c>
      <c r="J3659">
        <v>-279.07549999999998</v>
      </c>
      <c r="K3659">
        <v>1.1093759999999999</v>
      </c>
      <c r="L3659">
        <v>141.64330000000001</v>
      </c>
      <c r="M3659">
        <v>-0.99993869999999896</v>
      </c>
      <c r="N3659">
        <v>0</v>
      </c>
      <c r="O3659">
        <v>-3.696258E-3</v>
      </c>
      <c r="P3659">
        <v>-0.98652589999999996</v>
      </c>
      <c r="Q3659">
        <v>0.16273979999999999</v>
      </c>
      <c r="R3659">
        <v>1.681351E-2</v>
      </c>
      <c r="S3659">
        <v>-3.0533139999999999</v>
      </c>
      <c r="T3659">
        <v>-0.1011126</v>
      </c>
      <c r="U3659">
        <v>0.24438480000000001</v>
      </c>
      <c r="V3659">
        <v>2.0443179999999998E-2</v>
      </c>
      <c r="W3659">
        <v>0.17304079999999999</v>
      </c>
      <c r="X3659">
        <v>0.98470250000000004</v>
      </c>
      <c r="Y3659">
        <v>8.3420709999999995E-2</v>
      </c>
      <c r="Z3659">
        <v>1.50087299999999E-3</v>
      </c>
      <c r="AA3659">
        <v>0.99651330000000005</v>
      </c>
      <c r="AB3659">
        <v>37</v>
      </c>
      <c r="AC3659">
        <v>-33.152500000000003</v>
      </c>
      <c r="AD3659">
        <v>-1.109385880804</v>
      </c>
      <c r="AE3659">
        <v>2.6826999999999801</v>
      </c>
      <c r="AF3659">
        <v>2.8021112046728698</v>
      </c>
      <c r="AG3659">
        <v>-1.109385880804</v>
      </c>
      <c r="AH3659">
        <v>33.105527268943199</v>
      </c>
      <c r="AI3659">
        <v>91.912464046666997</v>
      </c>
      <c r="AJ3659">
        <v>85.161914193310807</v>
      </c>
      <c r="AK3659">
        <v>33.242420188527497</v>
      </c>
      <c r="AL3659">
        <v>80.035335386460801</v>
      </c>
      <c r="AM3659">
        <v>88.810666474673297</v>
      </c>
      <c r="AN3659">
        <v>1.0000000277897001</v>
      </c>
    </row>
    <row r="3660" spans="1:40" x14ac:dyDescent="0.25">
      <c r="A3660" t="str">
        <f>"20190312172736093"</f>
        <v>20190312172736093</v>
      </c>
      <c r="B3660" t="str">
        <f>"1552382856082826"</f>
        <v>1552382856082826</v>
      </c>
      <c r="C3660" t="s">
        <v>40</v>
      </c>
      <c r="D3660">
        <v>3.3131789999999999</v>
      </c>
      <c r="E3660">
        <v>0.53803730000000005</v>
      </c>
      <c r="F3660" t="s">
        <v>50</v>
      </c>
      <c r="G3660">
        <v>-312.97570000000002</v>
      </c>
      <c r="H3660" s="1">
        <v>-9.6058220000000006E-6</v>
      </c>
      <c r="I3660">
        <v>144.37209999999999</v>
      </c>
      <c r="J3660">
        <v>-279.46409999999997</v>
      </c>
      <c r="K3660">
        <v>1.1093729999999999</v>
      </c>
      <c r="L3660">
        <v>141.64189999999999</v>
      </c>
      <c r="M3660">
        <v>-0.99993719999999997</v>
      </c>
      <c r="N3660">
        <v>0</v>
      </c>
      <c r="O3660">
        <v>-3.6497909999999999E-3</v>
      </c>
      <c r="P3660">
        <v>-0.98652609999999996</v>
      </c>
      <c r="Q3660">
        <v>0.16274149999999901</v>
      </c>
      <c r="R3660">
        <v>1.6795580000000001E-2</v>
      </c>
      <c r="S3660">
        <v>-3.0533139999999999</v>
      </c>
      <c r="T3660">
        <v>-9.9919800000000003E-2</v>
      </c>
      <c r="U3660">
        <v>0.2457733</v>
      </c>
      <c r="V3660">
        <v>2.039148E-2</v>
      </c>
      <c r="W3660">
        <v>0.17320329999999901</v>
      </c>
      <c r="X3660">
        <v>0.98467499999999997</v>
      </c>
      <c r="Y3660">
        <v>8.38256E-2</v>
      </c>
      <c r="Z3660">
        <v>1.4882439999999999E-3</v>
      </c>
      <c r="AA3660">
        <v>0.99647929999999996</v>
      </c>
      <c r="AB3660">
        <v>37</v>
      </c>
      <c r="AC3660">
        <v>-33.511600000000001</v>
      </c>
      <c r="AD3660">
        <v>-1.109382605822</v>
      </c>
      <c r="AE3660">
        <v>2.7301999999999902</v>
      </c>
      <c r="AF3660">
        <v>2.84939694149412</v>
      </c>
      <c r="AG3660">
        <v>-1.109382605822</v>
      </c>
      <c r="AH3660">
        <v>33.464978976757202</v>
      </c>
      <c r="AI3660">
        <v>91.891851164719498</v>
      </c>
      <c r="AJ3660">
        <v>85.133252671270796</v>
      </c>
      <c r="AK3660">
        <v>33.604383800496898</v>
      </c>
      <c r="AL3660">
        <v>80.025882059214396</v>
      </c>
      <c r="AM3660">
        <v>88.813640269573298</v>
      </c>
      <c r="AN3660">
        <v>1.00000002560623</v>
      </c>
    </row>
    <row r="3661" spans="1:40" x14ac:dyDescent="0.25">
      <c r="A3661" t="str">
        <f>"20190312172736115"</f>
        <v>20190312172736115</v>
      </c>
      <c r="B3661" t="str">
        <f>"1552382856102346"</f>
        <v>1552382856102346</v>
      </c>
      <c r="C3661" t="s">
        <v>40</v>
      </c>
      <c r="D3661">
        <v>3.3100399999999999</v>
      </c>
      <c r="E3661">
        <v>0.54563499999999998</v>
      </c>
      <c r="F3661" t="s">
        <v>44</v>
      </c>
      <c r="G3661">
        <v>-280.42610000000002</v>
      </c>
      <c r="H3661">
        <v>1.022489</v>
      </c>
      <c r="I3661">
        <v>141.74440000000001</v>
      </c>
      <c r="J3661">
        <v>-279.8288</v>
      </c>
      <c r="K3661">
        <v>1.1093660000000001</v>
      </c>
      <c r="L3661">
        <v>141.64060000000001</v>
      </c>
      <c r="M3661">
        <v>-0.99993569999999998</v>
      </c>
      <c r="N3661">
        <v>0</v>
      </c>
      <c r="O3661">
        <v>-3.5982980000000002E-3</v>
      </c>
      <c r="P3661">
        <v>-0.98650349999999998</v>
      </c>
      <c r="Q3661">
        <v>0.16286900000000001</v>
      </c>
      <c r="R3661">
        <v>1.687549E-2</v>
      </c>
      <c r="S3661">
        <v>-3.0813290000000002</v>
      </c>
      <c r="T3661">
        <v>-0.27836870000000002</v>
      </c>
      <c r="U3661">
        <v>0.32719419999999999</v>
      </c>
      <c r="V3661">
        <v>2.0430170000000001E-2</v>
      </c>
      <c r="W3661">
        <v>0.1734742</v>
      </c>
      <c r="X3661">
        <v>0.98462649999999996</v>
      </c>
      <c r="Y3661">
        <v>0.1087178</v>
      </c>
      <c r="Z3661">
        <v>5.2107150000000003E-3</v>
      </c>
      <c r="AA3661">
        <v>0.99405900000000003</v>
      </c>
      <c r="AB3661">
        <v>37</v>
      </c>
      <c r="AC3661">
        <v>-0.59730000000001804</v>
      </c>
      <c r="AD3661">
        <v>-8.6876999999999996E-2</v>
      </c>
      <c r="AE3661">
        <v>0.103800000000006</v>
      </c>
      <c r="AF3661">
        <v>0.103816797098014</v>
      </c>
      <c r="AG3661">
        <v>-8.6876999999999996E-2</v>
      </c>
      <c r="AH3661">
        <v>0.58491122702471099</v>
      </c>
      <c r="AI3661">
        <v>98.320211448882205</v>
      </c>
      <c r="AJ3661">
        <v>79.935300313230499</v>
      </c>
      <c r="AK3661">
        <v>0.60037212126167505</v>
      </c>
      <c r="AL3661">
        <v>80.010121977448705</v>
      </c>
      <c r="AM3661">
        <v>88.811331431101095</v>
      </c>
      <c r="AN3661">
        <v>1.00000001720705</v>
      </c>
    </row>
    <row r="3662" spans="1:40" x14ac:dyDescent="0.25">
      <c r="A3662" t="str">
        <f>"20190312172736138"</f>
        <v>20190312172736138</v>
      </c>
      <c r="B3662" t="str">
        <f>"1552382856132602"</f>
        <v>1552382856132602</v>
      </c>
      <c r="C3662" t="s">
        <v>40</v>
      </c>
      <c r="D3662">
        <v>3.3232560000000002</v>
      </c>
      <c r="E3662">
        <v>0.55101480000000003</v>
      </c>
      <c r="F3662" t="s">
        <v>44</v>
      </c>
      <c r="G3662">
        <v>-280.74360000000001</v>
      </c>
      <c r="H3662">
        <v>0.99459169999999997</v>
      </c>
      <c r="I3662">
        <v>141.7543</v>
      </c>
      <c r="J3662">
        <v>-280.20319999999998</v>
      </c>
      <c r="K3662">
        <v>1.109359</v>
      </c>
      <c r="L3662">
        <v>141.63929999999999</v>
      </c>
      <c r="M3662">
        <v>-0.99993430000000005</v>
      </c>
      <c r="N3662">
        <v>0</v>
      </c>
      <c r="O3662">
        <v>-3.533932E-3</v>
      </c>
      <c r="P3662">
        <v>-0.98660769999999998</v>
      </c>
      <c r="Q3662">
        <v>0.1622526</v>
      </c>
      <c r="R3662">
        <v>1.671365E-2</v>
      </c>
      <c r="S3662">
        <v>-3.0986020000000001</v>
      </c>
      <c r="T3662">
        <v>-0.38881130000000003</v>
      </c>
      <c r="U3662">
        <v>0.38461299999999998</v>
      </c>
      <c r="V3662">
        <v>2.021423E-2</v>
      </c>
      <c r="W3662">
        <v>0.17299709999999999</v>
      </c>
      <c r="X3662">
        <v>0.98471489999999995</v>
      </c>
      <c r="Y3662">
        <v>0.12568770000000001</v>
      </c>
      <c r="Z3662">
        <v>8.2652349999999992E-3</v>
      </c>
      <c r="AA3662">
        <v>0.99203540000000001</v>
      </c>
      <c r="AB3662">
        <v>37</v>
      </c>
      <c r="AC3662">
        <v>-0.54040000000003297</v>
      </c>
      <c r="AD3662">
        <v>-0.1147673</v>
      </c>
      <c r="AE3662">
        <v>0.115000000000009</v>
      </c>
      <c r="AF3662">
        <v>0.112073284997271</v>
      </c>
      <c r="AG3662">
        <v>-0.1147673</v>
      </c>
      <c r="AH3662">
        <v>0.517653961659298</v>
      </c>
      <c r="AI3662">
        <v>102.22620030837599</v>
      </c>
      <c r="AJ3662">
        <v>77.783871633569504</v>
      </c>
      <c r="AK3662">
        <v>0.54193872197964899</v>
      </c>
      <c r="AL3662">
        <v>80.037877503350998</v>
      </c>
      <c r="AM3662">
        <v>88.823997260974906</v>
      </c>
      <c r="AN3662">
        <v>1.0000000229924499</v>
      </c>
    </row>
    <row r="3663" spans="1:40" x14ac:dyDescent="0.25">
      <c r="A3663" t="str">
        <f>"20190312172736160"</f>
        <v>20190312172736160</v>
      </c>
      <c r="B3663" t="str">
        <f>"1552382856153098"</f>
        <v>1552382856153098</v>
      </c>
      <c r="C3663" t="s">
        <v>40</v>
      </c>
      <c r="D3663">
        <v>3.2741579999999999</v>
      </c>
      <c r="E3663">
        <v>0.55358479999999999</v>
      </c>
      <c r="F3663" t="s">
        <v>44</v>
      </c>
      <c r="G3663">
        <v>-281.06400000000002</v>
      </c>
      <c r="H3663">
        <v>0.97302270000000002</v>
      </c>
      <c r="I3663">
        <v>141.7568</v>
      </c>
      <c r="J3663">
        <v>-280.58080000000001</v>
      </c>
      <c r="K3663">
        <v>1.1093519999999999</v>
      </c>
      <c r="L3663">
        <v>141.63800000000001</v>
      </c>
      <c r="M3663">
        <v>-0.99993310000000002</v>
      </c>
      <c r="N3663">
        <v>0</v>
      </c>
      <c r="O3663">
        <v>-3.450575E-3</v>
      </c>
      <c r="P3663">
        <v>-0.98659750000000002</v>
      </c>
      <c r="Q3663">
        <v>0.16234370000000001</v>
      </c>
      <c r="R3663">
        <v>1.6427420000000002E-2</v>
      </c>
      <c r="S3663">
        <v>-3.114655</v>
      </c>
      <c r="T3663">
        <v>-0.49342039999999998</v>
      </c>
      <c r="U3663">
        <v>0.42388920000000002</v>
      </c>
      <c r="V3663">
        <v>1.9855109999999999E-2</v>
      </c>
      <c r="W3663">
        <v>0.1732216</v>
      </c>
      <c r="X3663">
        <v>0.98468270000000002</v>
      </c>
      <c r="Y3663">
        <v>0.1365558</v>
      </c>
      <c r="Z3663">
        <v>1.1241940000000001E-2</v>
      </c>
      <c r="AA3663">
        <v>0.99056860000000002</v>
      </c>
      <c r="AB3663">
        <v>37</v>
      </c>
      <c r="AC3663">
        <v>-0.48320000000001001</v>
      </c>
      <c r="AD3663">
        <v>-0.13632929999999999</v>
      </c>
      <c r="AE3663">
        <v>0.11879999999999299</v>
      </c>
      <c r="AF3663">
        <v>0.11205532095544</v>
      </c>
      <c r="AG3663">
        <v>-0.13632929999999999</v>
      </c>
      <c r="AH3663">
        <v>0.44907734511784703</v>
      </c>
      <c r="AI3663">
        <v>106.412094930317</v>
      </c>
      <c r="AJ3663">
        <v>75.989458483038902</v>
      </c>
      <c r="AK3663">
        <v>0.48250651279647</v>
      </c>
      <c r="AL3663">
        <v>80.024817034038094</v>
      </c>
      <c r="AM3663">
        <v>88.844846301030103</v>
      </c>
      <c r="AN3663">
        <v>0.99999998388948097</v>
      </c>
    </row>
    <row r="3664" spans="1:40" x14ac:dyDescent="0.25">
      <c r="A3664" t="str">
        <f>"20190312172736184"</f>
        <v>20190312172736184</v>
      </c>
      <c r="B3664" t="str">
        <f>"1552382856172618"</f>
        <v>1552382856172618</v>
      </c>
      <c r="C3664" t="s">
        <v>40</v>
      </c>
      <c r="D3664">
        <v>3.238197</v>
      </c>
      <c r="E3664">
        <v>0.55531370000000002</v>
      </c>
      <c r="F3664" t="s">
        <v>44</v>
      </c>
      <c r="G3664">
        <v>-281.39370000000002</v>
      </c>
      <c r="H3664">
        <v>0.97097800000000001</v>
      </c>
      <c r="I3664">
        <v>141.7535</v>
      </c>
      <c r="J3664">
        <v>-280.96559999999999</v>
      </c>
      <c r="K3664">
        <v>1.10934</v>
      </c>
      <c r="L3664">
        <v>141.63679999999999</v>
      </c>
      <c r="M3664">
        <v>-0.99993209999999999</v>
      </c>
      <c r="N3664">
        <v>0</v>
      </c>
      <c r="O3664">
        <v>-3.335668E-3</v>
      </c>
      <c r="P3664">
        <v>-0.98664879999999999</v>
      </c>
      <c r="Q3664">
        <v>0.16201879999999999</v>
      </c>
      <c r="R3664">
        <v>1.6566029999999999E-2</v>
      </c>
      <c r="S3664">
        <v>-3.1207889999999998</v>
      </c>
      <c r="T3664">
        <v>-0.53113869999999996</v>
      </c>
      <c r="U3664">
        <v>0.44296259999999998</v>
      </c>
      <c r="V3664">
        <v>1.989235E-2</v>
      </c>
      <c r="W3664">
        <v>0.17302989999999999</v>
      </c>
      <c r="X3664">
        <v>0.98471560000000002</v>
      </c>
      <c r="Y3664">
        <v>0.14178659999999901</v>
      </c>
      <c r="Z3664">
        <v>1.248196E-2</v>
      </c>
      <c r="AA3664">
        <v>0.98981859999999999</v>
      </c>
      <c r="AB3664">
        <v>37</v>
      </c>
      <c r="AC3664">
        <v>-0.42810000000002801</v>
      </c>
      <c r="AD3664">
        <v>-0.13836199999999901</v>
      </c>
      <c r="AE3664">
        <v>0.11670000000000801</v>
      </c>
      <c r="AF3664">
        <v>0.107659401583237</v>
      </c>
      <c r="AG3664">
        <v>-0.13836199999999901</v>
      </c>
      <c r="AH3664">
        <v>0.389806316368703</v>
      </c>
      <c r="AI3664">
        <v>108.88793506435699</v>
      </c>
      <c r="AJ3664">
        <v>74.560544369991803</v>
      </c>
      <c r="AK3664">
        <v>0.42741496706853599</v>
      </c>
      <c r="AL3664">
        <v>80.035968514943207</v>
      </c>
      <c r="AM3664">
        <v>88.842718953982995</v>
      </c>
      <c r="AN3664">
        <v>0.99999993238294305</v>
      </c>
    </row>
    <row r="3665" spans="1:40" x14ac:dyDescent="0.25">
      <c r="A3665" t="str">
        <f>"20190312172736229"</f>
        <v>20190312172736229</v>
      </c>
      <c r="B3665" t="str">
        <f>"1552382856222394"</f>
        <v>1552382856222394</v>
      </c>
      <c r="C3665" t="s">
        <v>40</v>
      </c>
      <c r="D3665">
        <v>3.2679999999999998</v>
      </c>
      <c r="E3665">
        <v>0.55830150000000001</v>
      </c>
      <c r="F3665" t="s">
        <v>44</v>
      </c>
      <c r="G3665">
        <v>-281.72590000000002</v>
      </c>
      <c r="H3665">
        <v>0.97404489999999999</v>
      </c>
      <c r="I3665">
        <v>141.74789999999999</v>
      </c>
      <c r="J3665">
        <v>-281.69670000000002</v>
      </c>
      <c r="K3665">
        <v>1.109291</v>
      </c>
      <c r="L3665">
        <v>141.63470000000001</v>
      </c>
      <c r="M3665">
        <v>-0.99993030000000005</v>
      </c>
      <c r="N3665">
        <v>0</v>
      </c>
      <c r="O3665">
        <v>-2.9821349999999999E-3</v>
      </c>
      <c r="P3665">
        <v>-0.98670610000000003</v>
      </c>
      <c r="Q3665">
        <v>0.1616234</v>
      </c>
      <c r="R3665">
        <v>1.700018E-2</v>
      </c>
      <c r="S3665">
        <v>-3.1242679999999998</v>
      </c>
      <c r="T3665">
        <v>-0.55608709999999995</v>
      </c>
      <c r="U3665">
        <v>0.45606989999999997</v>
      </c>
      <c r="V3665">
        <v>2.0012729999999999E-2</v>
      </c>
      <c r="W3665">
        <v>0.1728787</v>
      </c>
      <c r="X3665">
        <v>0.98473980000000005</v>
      </c>
      <c r="Y3665">
        <v>0.14511640000000001</v>
      </c>
      <c r="Z3665">
        <v>1.327191E-2</v>
      </c>
      <c r="AA3665">
        <v>0.98932560000000003</v>
      </c>
      <c r="AB3665">
        <v>37</v>
      </c>
      <c r="AC3665">
        <v>-2.9200000000002901E-2</v>
      </c>
      <c r="AD3665">
        <v>-0.13524609999999901</v>
      </c>
      <c r="AE3665">
        <v>0.113199999999977</v>
      </c>
      <c r="AF3665">
        <v>4.84465650715519E-2</v>
      </c>
      <c r="AG3665">
        <v>-0.13524609999999901</v>
      </c>
      <c r="AH3665">
        <v>1.2342837563748999E-2</v>
      </c>
      <c r="AI3665">
        <v>159.71300611504799</v>
      </c>
      <c r="AJ3665">
        <v>14.2932956406659</v>
      </c>
      <c r="AK3665">
        <v>0.14419057830373999</v>
      </c>
      <c r="AL3665">
        <v>80.044765010243196</v>
      </c>
      <c r="AM3665">
        <v>88.835746110074197</v>
      </c>
      <c r="AN3665">
        <v>1.0000000139898899</v>
      </c>
    </row>
    <row r="3666" spans="1:40" x14ac:dyDescent="0.25">
      <c r="A3666" t="str">
        <f>"20190312172736250"</f>
        <v>20190312172736250</v>
      </c>
      <c r="B3666" t="str">
        <f>"1552382856242891"</f>
        <v>1552382856242891</v>
      </c>
      <c r="C3666" t="s">
        <v>40</v>
      </c>
      <c r="D3666">
        <v>3.2887580000000001</v>
      </c>
      <c r="E3666">
        <v>0.57084019999999902</v>
      </c>
      <c r="F3666" t="s">
        <v>44</v>
      </c>
      <c r="G3666">
        <v>-282.69479999999999</v>
      </c>
      <c r="H3666">
        <v>0.91964409999999996</v>
      </c>
      <c r="I3666">
        <v>141.78799999999899</v>
      </c>
      <c r="J3666">
        <v>-282.05349999999999</v>
      </c>
      <c r="K3666">
        <v>1.1092489999999999</v>
      </c>
      <c r="L3666">
        <v>141.63390000000001</v>
      </c>
      <c r="M3666">
        <v>-0.99992970000000003</v>
      </c>
      <c r="N3666">
        <v>0</v>
      </c>
      <c r="O3666">
        <v>-2.74107E-3</v>
      </c>
      <c r="P3666">
        <v>-0.98676870000000005</v>
      </c>
      <c r="Q3666">
        <v>0.16120709999999999</v>
      </c>
      <c r="R3666">
        <v>1.731193E-2</v>
      </c>
      <c r="S3666">
        <v>-3.1295169999999999</v>
      </c>
      <c r="T3666">
        <v>-0.5946205</v>
      </c>
      <c r="U3666">
        <v>0.48066710000000001</v>
      </c>
      <c r="V3666">
        <v>2.0107460000000001E-2</v>
      </c>
      <c r="W3666">
        <v>0.17257439999999999</v>
      </c>
      <c r="X3666">
        <v>0.98479119999999998</v>
      </c>
      <c r="Y3666">
        <v>0.15181789999999901</v>
      </c>
      <c r="Z3666">
        <v>1.4727290000000001E-2</v>
      </c>
      <c r="AA3666">
        <v>0.98829880000000003</v>
      </c>
      <c r="AB3666">
        <v>37</v>
      </c>
      <c r="AC3666">
        <v>-0.64130000000000098</v>
      </c>
      <c r="AD3666">
        <v>-0.18960489999999999</v>
      </c>
      <c r="AE3666">
        <v>0.15409999999997101</v>
      </c>
      <c r="AF3666">
        <v>0.14396031233836701</v>
      </c>
      <c r="AG3666">
        <v>-0.18960489999999999</v>
      </c>
      <c r="AH3666">
        <v>0.59195519035824296</v>
      </c>
      <c r="AI3666">
        <v>107.28777789148999</v>
      </c>
      <c r="AJ3666">
        <v>76.331323655953796</v>
      </c>
      <c r="AK3666">
        <v>0.63803255169672501</v>
      </c>
      <c r="AL3666">
        <v>80.062465731253297</v>
      </c>
      <c r="AM3666">
        <v>88.830297694366706</v>
      </c>
      <c r="AN3666">
        <v>0.99999997054022505</v>
      </c>
    </row>
    <row r="3667" spans="1:40" x14ac:dyDescent="0.25">
      <c r="A3667" t="str">
        <f>"20190312172736272"</f>
        <v>20190312172736272</v>
      </c>
      <c r="B3667" t="str">
        <f>"1552382856262413"</f>
        <v>1552382856262413</v>
      </c>
      <c r="C3667" t="s">
        <v>40</v>
      </c>
      <c r="D3667">
        <v>3.2757969999999998</v>
      </c>
      <c r="E3667">
        <v>0.571524699999999</v>
      </c>
      <c r="F3667" t="s">
        <v>44</v>
      </c>
      <c r="G3667">
        <v>-283.01209999999998</v>
      </c>
      <c r="H3667">
        <v>0.88564659999999995</v>
      </c>
      <c r="I3667">
        <v>141.81010000000001</v>
      </c>
      <c r="J3667">
        <v>-282.42439999999999</v>
      </c>
      <c r="K3667">
        <v>1.109216</v>
      </c>
      <c r="L3667">
        <v>141.63310000000001</v>
      </c>
      <c r="M3667">
        <v>-0.99992910000000002</v>
      </c>
      <c r="N3667">
        <v>0</v>
      </c>
      <c r="O3667">
        <v>-2.4492609999999999E-3</v>
      </c>
      <c r="P3667">
        <v>-0.98678699999999997</v>
      </c>
      <c r="Q3667">
        <v>0.16108629999999999</v>
      </c>
      <c r="R3667">
        <v>1.7398230000000001E-2</v>
      </c>
      <c r="S3667">
        <v>-3.1500849999999998</v>
      </c>
      <c r="T3667">
        <v>-0.73476779999999997</v>
      </c>
      <c r="U3667">
        <v>0.57815550000000004</v>
      </c>
      <c r="V3667">
        <v>1.99253E-2</v>
      </c>
      <c r="W3667">
        <v>0.1725641</v>
      </c>
      <c r="X3667">
        <v>0.98479680000000003</v>
      </c>
      <c r="Y3667">
        <v>0.17823520000000001</v>
      </c>
      <c r="Z3667">
        <v>2.0907599999999998E-2</v>
      </c>
      <c r="AA3667">
        <v>0.98376580000000002</v>
      </c>
      <c r="AB3667">
        <v>37</v>
      </c>
      <c r="AC3667">
        <v>-0.58769999999998301</v>
      </c>
      <c r="AD3667">
        <v>-0.223569399999999</v>
      </c>
      <c r="AE3667">
        <v>0.176999999999992</v>
      </c>
      <c r="AF3667">
        <v>0.157536979134384</v>
      </c>
      <c r="AG3667">
        <v>-0.223569399999999</v>
      </c>
      <c r="AH3667">
        <v>0.51847357512637804</v>
      </c>
      <c r="AI3667">
        <v>112.42015497764299</v>
      </c>
      <c r="AJ3667">
        <v>73.098718908358293</v>
      </c>
      <c r="AK3667">
        <v>0.58618770416605903</v>
      </c>
      <c r="AL3667">
        <v>80.063065781831099</v>
      </c>
      <c r="AM3667">
        <v>88.840898092043702</v>
      </c>
      <c r="AN3667">
        <v>1.0000000617395599</v>
      </c>
    </row>
    <row r="3668" spans="1:40" x14ac:dyDescent="0.25">
      <c r="A3668" t="str">
        <f>"20190312172736295"</f>
        <v>20190312172736295</v>
      </c>
      <c r="B3668" t="str">
        <f>"1552382856292666"</f>
        <v>1552382856292666</v>
      </c>
      <c r="C3668" t="s">
        <v>40</v>
      </c>
      <c r="D3668">
        <v>3.3329629999999999</v>
      </c>
      <c r="E3668">
        <v>0.57179360000000001</v>
      </c>
      <c r="F3668" t="s">
        <v>44</v>
      </c>
      <c r="G3668">
        <v>-283.3458</v>
      </c>
      <c r="H3668">
        <v>0.89328469999999904</v>
      </c>
      <c r="I3668">
        <v>141.8039</v>
      </c>
      <c r="J3668">
        <v>-282.8048</v>
      </c>
      <c r="K3668">
        <v>1.109183</v>
      </c>
      <c r="L3668">
        <v>141.6326</v>
      </c>
      <c r="M3668">
        <v>-0.99992840000000005</v>
      </c>
      <c r="N3668">
        <v>0</v>
      </c>
      <c r="O3668">
        <v>-2.081229E-3</v>
      </c>
      <c r="P3668">
        <v>-0.98673489999999997</v>
      </c>
      <c r="Q3668">
        <v>0.16129489999999999</v>
      </c>
      <c r="R3668">
        <v>1.839267E-2</v>
      </c>
      <c r="S3668">
        <v>-3.1504210000000001</v>
      </c>
      <c r="T3668">
        <v>-0.73836990000000002</v>
      </c>
      <c r="U3668">
        <v>0.58357239999999999</v>
      </c>
      <c r="V3668">
        <v>2.0577439999999999E-2</v>
      </c>
      <c r="W3668">
        <v>0.17290030000000001</v>
      </c>
      <c r="X3668">
        <v>0.9847243</v>
      </c>
      <c r="Y3668">
        <v>0.17942620000000001</v>
      </c>
      <c r="Z3668">
        <v>2.1054360000000001E-2</v>
      </c>
      <c r="AA3668">
        <v>0.98354609999999998</v>
      </c>
      <c r="AB3668">
        <v>37</v>
      </c>
      <c r="AC3668">
        <v>-0.54099999999999604</v>
      </c>
      <c r="AD3668">
        <v>-0.21589829999999999</v>
      </c>
      <c r="AE3668">
        <v>0.17130000000000201</v>
      </c>
      <c r="AF3668">
        <v>0.15062338397015301</v>
      </c>
      <c r="AG3668">
        <v>-0.21589829999999999</v>
      </c>
      <c r="AH3668">
        <v>0.47228106787296797</v>
      </c>
      <c r="AI3668">
        <v>113.534378862794</v>
      </c>
      <c r="AJ3668">
        <v>72.3110914806024</v>
      </c>
      <c r="AK3668">
        <v>0.54069296908018105</v>
      </c>
      <c r="AL3668">
        <v>80.043507815013299</v>
      </c>
      <c r="AM3668">
        <v>88.802884321280601</v>
      </c>
      <c r="AN3668">
        <v>0.99999994589376495</v>
      </c>
    </row>
    <row r="3669" spans="1:40" x14ac:dyDescent="0.25">
      <c r="A3669" t="str">
        <f>"20190312172736316"</f>
        <v>20190312172736316</v>
      </c>
      <c r="B3669" t="str">
        <f>"1552382856313162"</f>
        <v>1552382856313162</v>
      </c>
      <c r="C3669" t="s">
        <v>40</v>
      </c>
      <c r="D3669">
        <v>3.2336230000000001</v>
      </c>
      <c r="E3669">
        <v>0.57155089999999997</v>
      </c>
      <c r="F3669" t="s">
        <v>44</v>
      </c>
      <c r="G3669">
        <v>-283.67989999999998</v>
      </c>
      <c r="H3669">
        <v>0.90297260000000001</v>
      </c>
      <c r="I3669">
        <v>141.79580000000001</v>
      </c>
      <c r="J3669">
        <v>-283.149</v>
      </c>
      <c r="K3669">
        <v>1.1091500000000001</v>
      </c>
      <c r="L3669">
        <v>141.63229999999999</v>
      </c>
      <c r="M3669">
        <v>-0.99992749999999997</v>
      </c>
      <c r="N3669">
        <v>0</v>
      </c>
      <c r="O3669">
        <v>-1.683096E-3</v>
      </c>
      <c r="P3669">
        <v>-0.98675420000000003</v>
      </c>
      <c r="Q3669">
        <v>0.16106289999999901</v>
      </c>
      <c r="R3669">
        <v>1.937022E-2</v>
      </c>
      <c r="S3669">
        <v>-3.1506959999999999</v>
      </c>
      <c r="T3669">
        <v>-0.74235139999999999</v>
      </c>
      <c r="U3669">
        <v>0.58686830000000001</v>
      </c>
      <c r="V3669">
        <v>2.1182360000000001E-2</v>
      </c>
      <c r="W3669">
        <v>0.17280409999999999</v>
      </c>
      <c r="X3669">
        <v>0.98472839999999995</v>
      </c>
      <c r="Y3669">
        <v>0.1799616</v>
      </c>
      <c r="Z3669">
        <v>2.1131170000000001E-2</v>
      </c>
      <c r="AA3669">
        <v>0.98344670000000001</v>
      </c>
      <c r="AB3669">
        <v>37</v>
      </c>
      <c r="AC3669">
        <v>-0.53089999999997395</v>
      </c>
      <c r="AD3669">
        <v>-0.20617740000000001</v>
      </c>
      <c r="AE3669">
        <v>0.16350000000002701</v>
      </c>
      <c r="AF3669">
        <v>0.14448938782336199</v>
      </c>
      <c r="AG3669">
        <v>-0.20617740000000001</v>
      </c>
      <c r="AH3669">
        <v>0.46637850918917001</v>
      </c>
      <c r="AI3669">
        <v>112.89336513562201</v>
      </c>
      <c r="AJ3669">
        <v>72.786421905086797</v>
      </c>
      <c r="AK3669">
        <v>0.52999548799762697</v>
      </c>
      <c r="AL3669">
        <v>80.049104301617703</v>
      </c>
      <c r="AM3669">
        <v>88.767708246995198</v>
      </c>
      <c r="AN3669">
        <v>0.99999998555926894</v>
      </c>
    </row>
    <row r="3670" spans="1:40" x14ac:dyDescent="0.25">
      <c r="A3670" t="str">
        <f>"20190312172736338"</f>
        <v>20190312172736338</v>
      </c>
      <c r="B3670" t="str">
        <f>"1552382856332682"</f>
        <v>1552382856332682</v>
      </c>
      <c r="C3670" t="s">
        <v>40</v>
      </c>
      <c r="D3670">
        <v>3.268446</v>
      </c>
      <c r="E3670">
        <v>0.57140190000000002</v>
      </c>
      <c r="F3670" t="s">
        <v>44</v>
      </c>
      <c r="G3670">
        <v>-284.01139999999998</v>
      </c>
      <c r="H3670">
        <v>0.90594799999999998</v>
      </c>
      <c r="I3670">
        <v>141.79310000000001</v>
      </c>
      <c r="J3670">
        <v>-283.5145</v>
      </c>
      <c r="K3670">
        <v>1.1091249999999999</v>
      </c>
      <c r="L3670">
        <v>141.63220000000001</v>
      </c>
      <c r="M3670">
        <v>-0.99992610000000004</v>
      </c>
      <c r="N3670">
        <v>0</v>
      </c>
      <c r="O3670">
        <v>-1.1951310000000001E-3</v>
      </c>
      <c r="P3670">
        <v>-0.98694000000000004</v>
      </c>
      <c r="Q3670">
        <v>0.1598493</v>
      </c>
      <c r="R3670">
        <v>1.9943849999999999E-2</v>
      </c>
      <c r="S3670">
        <v>-3.149902</v>
      </c>
      <c r="T3670">
        <v>-0.74219080000000004</v>
      </c>
      <c r="U3670">
        <v>0.58689880000000005</v>
      </c>
      <c r="V3670">
        <v>2.129665E-2</v>
      </c>
      <c r="W3670">
        <v>0.1717542</v>
      </c>
      <c r="X3670">
        <v>0.98490960000000005</v>
      </c>
      <c r="Y3670">
        <v>0.1795592</v>
      </c>
      <c r="Z3670">
        <v>2.0972899999999999E-2</v>
      </c>
      <c r="AA3670">
        <v>0.98352360000000005</v>
      </c>
      <c r="AB3670">
        <v>37</v>
      </c>
      <c r="AC3670">
        <v>-0.49689999999998202</v>
      </c>
      <c r="AD3670">
        <v>-0.203176999999999</v>
      </c>
      <c r="AE3670">
        <v>0.16089999999999799</v>
      </c>
      <c r="AF3670">
        <v>0.14026791528618901</v>
      </c>
      <c r="AG3670">
        <v>-0.203176999999999</v>
      </c>
      <c r="AH3670">
        <v>0.43142279762822899</v>
      </c>
      <c r="AI3670">
        <v>114.126132951816</v>
      </c>
      <c r="AJ3670">
        <v>71.989171314452804</v>
      </c>
      <c r="AK3670">
        <v>0.49707304463338298</v>
      </c>
      <c r="AL3670">
        <v>80.110172229632099</v>
      </c>
      <c r="AM3670">
        <v>88.761289314395398</v>
      </c>
      <c r="AN3670">
        <v>0.99999998634551102</v>
      </c>
    </row>
    <row r="3671" spans="1:40" x14ac:dyDescent="0.25">
      <c r="A3671" t="str">
        <f>"20190312172736361"</f>
        <v>20190312172736361</v>
      </c>
      <c r="B3671" t="str">
        <f>"1552382856353178"</f>
        <v>1552382856353178</v>
      </c>
      <c r="C3671" t="s">
        <v>40</v>
      </c>
      <c r="D3671">
        <v>3.2633009999999998</v>
      </c>
      <c r="E3671">
        <v>0.57131799999999999</v>
      </c>
      <c r="F3671" t="s">
        <v>44</v>
      </c>
      <c r="G3671">
        <v>-284.34410000000003</v>
      </c>
      <c r="H3671">
        <v>0.91282280000000005</v>
      </c>
      <c r="I3671">
        <v>141.78739999999999</v>
      </c>
      <c r="J3671">
        <v>-283.89519999999999</v>
      </c>
      <c r="K3671">
        <v>1.109097</v>
      </c>
      <c r="L3671">
        <v>141.63220000000001</v>
      </c>
      <c r="M3671">
        <v>-0.99992440000000005</v>
      </c>
      <c r="N3671">
        <v>0</v>
      </c>
      <c r="O3671">
        <v>-6.2383540000000002E-4</v>
      </c>
      <c r="P3671">
        <v>-0.98699840000000005</v>
      </c>
      <c r="Q3671">
        <v>0.15935070000000001</v>
      </c>
      <c r="R3671">
        <v>2.1015579999999999E-2</v>
      </c>
      <c r="S3671">
        <v>-3.1484679999999998</v>
      </c>
      <c r="T3671">
        <v>-0.74503039999999998</v>
      </c>
      <c r="U3671">
        <v>0.58840939999999997</v>
      </c>
      <c r="V3671">
        <v>2.1828090000000001E-2</v>
      </c>
      <c r="W3671">
        <v>0.17144229999999899</v>
      </c>
      <c r="X3671">
        <v>0.9849523</v>
      </c>
      <c r="Y3671">
        <v>0.179510999999999</v>
      </c>
      <c r="Z3671">
        <v>2.0921510000000001E-2</v>
      </c>
      <c r="AA3671">
        <v>0.9835334</v>
      </c>
      <c r="AB3671">
        <v>37</v>
      </c>
      <c r="AC3671">
        <v>-0.44890000000003699</v>
      </c>
      <c r="AD3671">
        <v>-0.19627419999999901</v>
      </c>
      <c r="AE3671">
        <v>0.15519999999997899</v>
      </c>
      <c r="AF3671">
        <v>0.13280244675120501</v>
      </c>
      <c r="AG3671">
        <v>-0.19627419999999901</v>
      </c>
      <c r="AH3671">
        <v>0.38334278493282598</v>
      </c>
      <c r="AI3671">
        <v>115.817595222479</v>
      </c>
      <c r="AJ3671">
        <v>70.892245561539596</v>
      </c>
      <c r="AK3671">
        <v>0.45067920099423397</v>
      </c>
      <c r="AL3671">
        <v>80.128311790155394</v>
      </c>
      <c r="AM3671">
        <v>88.730443347516598</v>
      </c>
      <c r="AN3671">
        <v>0.999999980508813</v>
      </c>
    </row>
    <row r="3672" spans="1:40" x14ac:dyDescent="0.25">
      <c r="A3672" t="str">
        <f>"20190312172736386"</f>
        <v>20190312172736386</v>
      </c>
      <c r="B3672" t="str">
        <f>"1552382856382458"</f>
        <v>1552382856382458</v>
      </c>
      <c r="C3672" t="s">
        <v>40</v>
      </c>
      <c r="D3672">
        <v>3.2606519999999999</v>
      </c>
      <c r="E3672">
        <v>0.5710807</v>
      </c>
      <c r="F3672" t="s">
        <v>44</v>
      </c>
      <c r="G3672">
        <v>-284.67790000000002</v>
      </c>
      <c r="H3672">
        <v>0.92323569999999999</v>
      </c>
      <c r="I3672">
        <v>141.77930000000001</v>
      </c>
      <c r="J3672">
        <v>-284.29169999999999</v>
      </c>
      <c r="K3672">
        <v>1.1090850000000001</v>
      </c>
      <c r="L3672">
        <v>141.6326</v>
      </c>
      <c r="M3672">
        <v>-0.99992190000000003</v>
      </c>
      <c r="N3672">
        <v>0</v>
      </c>
      <c r="O3672" s="1">
        <v>2.7535220000000002E-5</v>
      </c>
      <c r="P3672">
        <v>-0.98692259999999998</v>
      </c>
      <c r="Q3672">
        <v>0.15959000000000001</v>
      </c>
      <c r="R3672">
        <v>2.269318E-2</v>
      </c>
      <c r="S3672">
        <v>-3.147675</v>
      </c>
      <c r="T3672">
        <v>-0.74743579999999998</v>
      </c>
      <c r="U3672">
        <v>0.59112549999999997</v>
      </c>
      <c r="V3672">
        <v>2.2885610000000001E-2</v>
      </c>
      <c r="W3672">
        <v>0.1718924</v>
      </c>
      <c r="X3672">
        <v>0.98484989999999994</v>
      </c>
      <c r="Y3672">
        <v>0.1797155</v>
      </c>
      <c r="Z3672">
        <v>2.086321E-2</v>
      </c>
      <c r="AA3672">
        <v>0.98349739999999997</v>
      </c>
      <c r="AB3672">
        <v>37</v>
      </c>
      <c r="AC3672">
        <v>-0.38620000000003002</v>
      </c>
      <c r="AD3672">
        <v>-0.1858493</v>
      </c>
      <c r="AE3672">
        <v>0.14670000000000899</v>
      </c>
      <c r="AF3672">
        <v>0.121999470601974</v>
      </c>
      <c r="AG3672">
        <v>-0.1858493</v>
      </c>
      <c r="AH3672">
        <v>0.32120043855952302</v>
      </c>
      <c r="AI3672">
        <v>118.409195389921</v>
      </c>
      <c r="AJ3672">
        <v>69.202046843130603</v>
      </c>
      <c r="AK3672">
        <v>0.39063225016437397</v>
      </c>
      <c r="AL3672">
        <v>80.102134918329199</v>
      </c>
      <c r="AM3672">
        <v>88.668819562205499</v>
      </c>
      <c r="AN3672">
        <v>1.0000000369264199</v>
      </c>
    </row>
    <row r="3673" spans="1:40" x14ac:dyDescent="0.25">
      <c r="A3673" t="str">
        <f>"20190312172736406"</f>
        <v>20190312172736406</v>
      </c>
      <c r="B3673" t="str">
        <f>"1552382856402954"</f>
        <v>1552382856402954</v>
      </c>
      <c r="C3673" t="s">
        <v>40</v>
      </c>
      <c r="D3673">
        <v>3.2888570000000001</v>
      </c>
      <c r="E3673">
        <v>0.570928199999999</v>
      </c>
      <c r="F3673" t="s">
        <v>44</v>
      </c>
      <c r="G3673">
        <v>-285.01350000000002</v>
      </c>
      <c r="H3673">
        <v>0.93752840000000004</v>
      </c>
      <c r="I3673">
        <v>141.76920000000001</v>
      </c>
      <c r="J3673">
        <v>-284.64210000000003</v>
      </c>
      <c r="K3673">
        <v>1.109086</v>
      </c>
      <c r="L3673">
        <v>141.63319999999999</v>
      </c>
      <c r="M3673">
        <v>-0.99991909999999895</v>
      </c>
      <c r="N3673">
        <v>0</v>
      </c>
      <c r="O3673">
        <v>6.417517E-4</v>
      </c>
      <c r="P3673">
        <v>-0.98686700000000005</v>
      </c>
      <c r="Q3673">
        <v>0.1597586</v>
      </c>
      <c r="R3673">
        <v>2.3893959999999999E-2</v>
      </c>
      <c r="S3673">
        <v>-3.1470340000000001</v>
      </c>
      <c r="T3673">
        <v>-0.74794879999999997</v>
      </c>
      <c r="U3673">
        <v>0.59368900000000002</v>
      </c>
      <c r="V3673">
        <v>2.3496909999999999E-2</v>
      </c>
      <c r="W3673">
        <v>0.1722621</v>
      </c>
      <c r="X3673">
        <v>0.9847709</v>
      </c>
      <c r="Y3673">
        <v>0.17992529999999901</v>
      </c>
      <c r="Z3673">
        <v>2.076132E-2</v>
      </c>
      <c r="AA3673">
        <v>0.98346109999999998</v>
      </c>
      <c r="AB3673">
        <v>37</v>
      </c>
      <c r="AC3673">
        <v>-0.37139999999999401</v>
      </c>
      <c r="AD3673">
        <v>-0.1715576</v>
      </c>
      <c r="AE3673">
        <v>0.13600000000002399</v>
      </c>
      <c r="AF3673">
        <v>0.114263658141907</v>
      </c>
      <c r="AG3673">
        <v>-0.1715576</v>
      </c>
      <c r="AH3673">
        <v>0.31266194194874503</v>
      </c>
      <c r="AI3673">
        <v>117.26490617995501</v>
      </c>
      <c r="AJ3673">
        <v>69.924950705000001</v>
      </c>
      <c r="AK3673">
        <v>0.374493903332072</v>
      </c>
      <c r="AL3673">
        <v>80.080631856355495</v>
      </c>
      <c r="AM3673">
        <v>88.633165969752696</v>
      </c>
      <c r="AN3673">
        <v>1.0000000306813801</v>
      </c>
    </row>
    <row r="3674" spans="1:40" x14ac:dyDescent="0.25">
      <c r="A3674" t="str">
        <f>"20190312172736429"</f>
        <v>20190312172736429</v>
      </c>
      <c r="B3674" t="str">
        <f>"1552382856422474"</f>
        <v>1552382856422474</v>
      </c>
      <c r="C3674" t="s">
        <v>40</v>
      </c>
      <c r="D3674">
        <v>3.3170700000000002</v>
      </c>
      <c r="E3674">
        <v>0.57098190000000004</v>
      </c>
      <c r="F3674" t="s">
        <v>44</v>
      </c>
      <c r="G3674">
        <v>-285.34449999999998</v>
      </c>
      <c r="H3674">
        <v>0.94177149999999998</v>
      </c>
      <c r="I3674">
        <v>141.7664</v>
      </c>
      <c r="J3674">
        <v>-285.00659999999999</v>
      </c>
      <c r="K3674">
        <v>1.1090880000000001</v>
      </c>
      <c r="L3674">
        <v>141.63409999999999</v>
      </c>
      <c r="M3674">
        <v>-0.99991549999999996</v>
      </c>
      <c r="N3674">
        <v>0</v>
      </c>
      <c r="O3674">
        <v>1.30799E-3</v>
      </c>
      <c r="P3674">
        <v>-0.98671759999999997</v>
      </c>
      <c r="Q3674">
        <v>0.1604381</v>
      </c>
      <c r="R3674">
        <v>2.545787E-2</v>
      </c>
      <c r="S3674">
        <v>-3.146881</v>
      </c>
      <c r="T3674">
        <v>-0.7495503</v>
      </c>
      <c r="U3674">
        <v>0.59559629999999997</v>
      </c>
      <c r="V3674">
        <v>2.4417790000000002E-2</v>
      </c>
      <c r="W3674">
        <v>0.17315440000000001</v>
      </c>
      <c r="X3674">
        <v>0.98459200000000002</v>
      </c>
      <c r="Y3674">
        <v>0.1798546</v>
      </c>
      <c r="Z3674">
        <v>2.0641030000000001E-2</v>
      </c>
      <c r="AA3674">
        <v>0.98347660000000003</v>
      </c>
      <c r="AB3674">
        <v>37</v>
      </c>
      <c r="AC3674">
        <v>-0.33789999999998999</v>
      </c>
      <c r="AD3674">
        <v>-0.16731649999999901</v>
      </c>
      <c r="AE3674">
        <v>0.13230000000001399</v>
      </c>
      <c r="AF3674">
        <v>0.108739998361418</v>
      </c>
      <c r="AG3674">
        <v>-0.16731649999999901</v>
      </c>
      <c r="AH3674">
        <v>0.27880042298941199</v>
      </c>
      <c r="AI3674">
        <v>119.209928305804</v>
      </c>
      <c r="AJ3674">
        <v>68.692819097310604</v>
      </c>
      <c r="AK3674">
        <v>0.34285401306527902</v>
      </c>
      <c r="AL3674">
        <v>80.028726956654594</v>
      </c>
      <c r="AM3674">
        <v>88.579361198459097</v>
      </c>
      <c r="AN3674">
        <v>1.00000004058592</v>
      </c>
    </row>
    <row r="3675" spans="1:40" x14ac:dyDescent="0.25">
      <c r="A3675" t="str">
        <f>"20190312172736450"</f>
        <v>20190312172736450</v>
      </c>
      <c r="B3675" t="str">
        <f>"1552382856442970"</f>
        <v>1552382856442970</v>
      </c>
      <c r="C3675" t="s">
        <v>40</v>
      </c>
      <c r="D3675">
        <v>3.265142</v>
      </c>
      <c r="E3675">
        <v>0.57087089999999996</v>
      </c>
      <c r="F3675" t="s">
        <v>44</v>
      </c>
      <c r="G3675">
        <v>-285.97629999999998</v>
      </c>
      <c r="H3675">
        <v>0.87826800000000005</v>
      </c>
      <c r="I3675">
        <v>141.81899999999999</v>
      </c>
      <c r="J3675">
        <v>-285.35829999999999</v>
      </c>
      <c r="K3675">
        <v>1.1090930000000001</v>
      </c>
      <c r="L3675">
        <v>141.6352</v>
      </c>
      <c r="M3675">
        <v>-0.99991180000000002</v>
      </c>
      <c r="N3675">
        <v>0</v>
      </c>
      <c r="O3675">
        <v>1.9660300000000001E-3</v>
      </c>
      <c r="P3675">
        <v>-0.98670880000000005</v>
      </c>
      <c r="Q3675">
        <v>0.16032460000000001</v>
      </c>
      <c r="R3675">
        <v>2.6499000000000002E-2</v>
      </c>
      <c r="S3675">
        <v>-3.1466669999999999</v>
      </c>
      <c r="T3675">
        <v>-0.74908549999999996</v>
      </c>
      <c r="U3675">
        <v>0.60020450000000003</v>
      </c>
      <c r="V3675">
        <v>2.4819600000000001E-2</v>
      </c>
      <c r="W3675">
        <v>0.1732418</v>
      </c>
      <c r="X3675">
        <v>0.98456659999999996</v>
      </c>
      <c r="Y3675">
        <v>0.18061430000000001</v>
      </c>
      <c r="Z3675">
        <v>2.0562469999999999E-2</v>
      </c>
      <c r="AA3675">
        <v>0.98333899999999996</v>
      </c>
      <c r="AB3675">
        <v>37</v>
      </c>
      <c r="AC3675">
        <v>-0.617999999999995</v>
      </c>
      <c r="AD3675">
        <v>-0.230825</v>
      </c>
      <c r="AE3675">
        <v>0.18379999999999</v>
      </c>
      <c r="AF3675">
        <v>0.161841645416439</v>
      </c>
      <c r="AG3675">
        <v>-0.230825</v>
      </c>
      <c r="AH3675">
        <v>0.54811012325041697</v>
      </c>
      <c r="AI3675">
        <v>111.993292939548</v>
      </c>
      <c r="AJ3675">
        <v>73.549598012241404</v>
      </c>
      <c r="AK3675">
        <v>0.61635834222121799</v>
      </c>
      <c r="AL3675">
        <v>80.023642677873497</v>
      </c>
      <c r="AM3675">
        <v>88.555956279765098</v>
      </c>
      <c r="AN3675">
        <v>1.0000000618234699</v>
      </c>
    </row>
    <row r="3676" spans="1:40" x14ac:dyDescent="0.25">
      <c r="A3676" t="str">
        <f>"20190312172736473"</f>
        <v>20190312172736473</v>
      </c>
      <c r="B3676" t="str">
        <f>"1552382856462493"</f>
        <v>1552382856462493</v>
      </c>
      <c r="C3676" t="s">
        <v>40</v>
      </c>
      <c r="D3676">
        <v>3.2584200000000001</v>
      </c>
      <c r="E3676">
        <v>0.57059340000000003</v>
      </c>
      <c r="F3676" t="s">
        <v>44</v>
      </c>
      <c r="G3676">
        <v>-286.30619999999999</v>
      </c>
      <c r="H3676">
        <v>0.88316859999999997</v>
      </c>
      <c r="I3676">
        <v>141.81710000000001</v>
      </c>
      <c r="J3676">
        <v>-285.72899999999998</v>
      </c>
      <c r="K3676">
        <v>1.1090990000000001</v>
      </c>
      <c r="L3676">
        <v>141.63659999999999</v>
      </c>
      <c r="M3676">
        <v>-0.99990749999999995</v>
      </c>
      <c r="N3676">
        <v>0</v>
      </c>
      <c r="O3676">
        <v>2.6676640000000001E-3</v>
      </c>
      <c r="P3676">
        <v>-0.98678630000000001</v>
      </c>
      <c r="Q3676">
        <v>0.1598348</v>
      </c>
      <c r="R3676">
        <v>2.6569769999999999E-2</v>
      </c>
      <c r="S3676">
        <v>-3.1460270000000001</v>
      </c>
      <c r="T3676">
        <v>-0.74979019999999996</v>
      </c>
      <c r="U3676">
        <v>0.60238649999999905</v>
      </c>
      <c r="V3676">
        <v>2.4205480000000001E-2</v>
      </c>
      <c r="W3676">
        <v>0.17294970000000001</v>
      </c>
      <c r="X3676">
        <v>0.98463319999999999</v>
      </c>
      <c r="Y3676">
        <v>0.18062829999999999</v>
      </c>
      <c r="Z3676">
        <v>2.042217E-2</v>
      </c>
      <c r="AA3676">
        <v>0.98333939999999997</v>
      </c>
      <c r="AB3676">
        <v>37</v>
      </c>
      <c r="AC3676">
        <v>-0.57719999999994798</v>
      </c>
      <c r="AD3676">
        <v>-0.2259304</v>
      </c>
      <c r="AE3676">
        <v>0.180500000000023</v>
      </c>
      <c r="AF3676">
        <v>0.157041881884361</v>
      </c>
      <c r="AG3676">
        <v>-0.2259304</v>
      </c>
      <c r="AH3676">
        <v>0.506929802558994</v>
      </c>
      <c r="AI3676">
        <v>113.060589443099</v>
      </c>
      <c r="AJ3676">
        <v>72.787531522505205</v>
      </c>
      <c r="AK3676">
        <v>0.57678810930223101</v>
      </c>
      <c r="AL3676">
        <v>80.040634869305904</v>
      </c>
      <c r="AM3676">
        <v>88.591767403843093</v>
      </c>
      <c r="AN3676">
        <v>1.00000002126718</v>
      </c>
    </row>
    <row r="3677" spans="1:40" x14ac:dyDescent="0.25">
      <c r="A3677" t="str">
        <f>"20190312172736494"</f>
        <v>20190312172736494</v>
      </c>
      <c r="B3677" t="str">
        <f>"1552382856482986"</f>
        <v>1552382856482986</v>
      </c>
      <c r="C3677" t="s">
        <v>40</v>
      </c>
      <c r="D3677">
        <v>3.3064740000000001</v>
      </c>
      <c r="E3677">
        <v>0.57042879999999996</v>
      </c>
      <c r="F3677" t="s">
        <v>44</v>
      </c>
      <c r="G3677">
        <v>-286.63729999999998</v>
      </c>
      <c r="H3677">
        <v>0.89225549999999998</v>
      </c>
      <c r="I3677">
        <v>141.81059999999999</v>
      </c>
      <c r="J3677">
        <v>-286.08510000000001</v>
      </c>
      <c r="K3677">
        <v>1.109105</v>
      </c>
      <c r="L3677">
        <v>141.63820000000001</v>
      </c>
      <c r="M3677">
        <v>-0.99990310000000004</v>
      </c>
      <c r="N3677">
        <v>0</v>
      </c>
      <c r="O3677">
        <v>3.3431490000000001E-3</v>
      </c>
      <c r="P3677">
        <v>-0.98673010000000005</v>
      </c>
      <c r="Q3677">
        <v>0.16013859999999999</v>
      </c>
      <c r="R3677">
        <v>2.682358E-2</v>
      </c>
      <c r="S3677">
        <v>-3.1456300000000001</v>
      </c>
      <c r="T3677">
        <v>-0.75104950000000004</v>
      </c>
      <c r="U3677">
        <v>0.60198969999999996</v>
      </c>
      <c r="V3677">
        <v>2.3799799999999999E-2</v>
      </c>
      <c r="W3677">
        <v>0.17342349999999901</v>
      </c>
      <c r="X3677">
        <v>0.98455970000000004</v>
      </c>
      <c r="Y3677">
        <v>0.17988889999999999</v>
      </c>
      <c r="Z3677">
        <v>2.0214309999999999E-2</v>
      </c>
      <c r="AA3677">
        <v>0.9834792</v>
      </c>
      <c r="AB3677">
        <v>37</v>
      </c>
      <c r="AC3677">
        <v>-0.55219999999997005</v>
      </c>
      <c r="AD3677">
        <v>-0.2168495</v>
      </c>
      <c r="AE3677">
        <v>0.17239999999998101</v>
      </c>
      <c r="AF3677">
        <v>0.149539818568098</v>
      </c>
      <c r="AG3677">
        <v>-0.2168495</v>
      </c>
      <c r="AH3677">
        <v>0.48466886490512501</v>
      </c>
      <c r="AI3677">
        <v>113.148188647784</v>
      </c>
      <c r="AJ3677">
        <v>72.852903606394094</v>
      </c>
      <c r="AK3677">
        <v>0.55162466550731004</v>
      </c>
      <c r="AL3677">
        <v>80.013071123275395</v>
      </c>
      <c r="AM3677">
        <v>88.615256565181994</v>
      </c>
      <c r="AN3677">
        <v>0.99999997184818901</v>
      </c>
    </row>
    <row r="3678" spans="1:40" x14ac:dyDescent="0.25">
      <c r="A3678" t="str">
        <f>"20190312172736517"</f>
        <v>20190312172736517</v>
      </c>
      <c r="B3678" t="str">
        <f>"1552382856513242"</f>
        <v>1552382856513242</v>
      </c>
      <c r="C3678" t="s">
        <v>40</v>
      </c>
      <c r="D3678">
        <v>3.2770860000000002</v>
      </c>
      <c r="E3678">
        <v>0.57014629999999999</v>
      </c>
      <c r="F3678" t="s">
        <v>44</v>
      </c>
      <c r="G3678">
        <v>-286.96710000000002</v>
      </c>
      <c r="H3678">
        <v>0.89883230000000003</v>
      </c>
      <c r="I3678">
        <v>141.80719999999999</v>
      </c>
      <c r="J3678">
        <v>-286.4479</v>
      </c>
      <c r="K3678">
        <v>1.1091009999999999</v>
      </c>
      <c r="L3678">
        <v>141.64009999999999</v>
      </c>
      <c r="M3678">
        <v>-0.99989839999999997</v>
      </c>
      <c r="N3678">
        <v>0</v>
      </c>
      <c r="O3678">
        <v>4.0300539999999999E-3</v>
      </c>
      <c r="P3678">
        <v>-0.98663599999999996</v>
      </c>
      <c r="Q3678">
        <v>0.1606467</v>
      </c>
      <c r="R3678">
        <v>2.72424E-2</v>
      </c>
      <c r="S3678">
        <v>-3.145721</v>
      </c>
      <c r="T3678">
        <v>-0.75001340000000005</v>
      </c>
      <c r="U3678">
        <v>0.60163880000000003</v>
      </c>
      <c r="V3678">
        <v>2.3547120000000001E-2</v>
      </c>
      <c r="W3678">
        <v>0.17408699999999999</v>
      </c>
      <c r="X3678">
        <v>0.98444869999999995</v>
      </c>
      <c r="Y3678">
        <v>0.17915429999999999</v>
      </c>
      <c r="Z3678">
        <v>1.994108E-2</v>
      </c>
      <c r="AA3678">
        <v>0.98361889999999996</v>
      </c>
      <c r="AB3678">
        <v>37</v>
      </c>
      <c r="AC3678">
        <v>-0.51920000000001199</v>
      </c>
      <c r="AD3678">
        <v>-0.2102687</v>
      </c>
      <c r="AE3678">
        <v>0.167100000000004</v>
      </c>
      <c r="AF3678">
        <v>0.14365598425925999</v>
      </c>
      <c r="AG3678">
        <v>-0.2102687</v>
      </c>
      <c r="AH3678">
        <v>0.45260361350600098</v>
      </c>
      <c r="AI3678">
        <v>113.884065129566</v>
      </c>
      <c r="AJ3678">
        <v>72.3906080513961</v>
      </c>
      <c r="AK3678">
        <v>0.51932648591408803</v>
      </c>
      <c r="AL3678">
        <v>79.974468428670605</v>
      </c>
      <c r="AM3678">
        <v>88.629798189984101</v>
      </c>
      <c r="AN3678">
        <v>0.999999996680492</v>
      </c>
    </row>
    <row r="3679" spans="1:40" x14ac:dyDescent="0.25">
      <c r="A3679" t="str">
        <f>"20190312172736540"</f>
        <v>20190312172736540</v>
      </c>
      <c r="B3679" t="str">
        <f>"1552382856532762"</f>
        <v>1552382856532762</v>
      </c>
      <c r="C3679" t="s">
        <v>40</v>
      </c>
      <c r="D3679">
        <v>3.3226379999999902</v>
      </c>
      <c r="E3679">
        <v>0.57009069999999995</v>
      </c>
      <c r="F3679" t="s">
        <v>44</v>
      </c>
      <c r="G3679">
        <v>-287.2971</v>
      </c>
      <c r="H3679">
        <v>0.90716079999999999</v>
      </c>
      <c r="I3679">
        <v>141.80250000000001</v>
      </c>
      <c r="J3679">
        <v>-286.8306</v>
      </c>
      <c r="K3679">
        <v>1.109105</v>
      </c>
      <c r="L3679">
        <v>141.64230000000001</v>
      </c>
      <c r="M3679">
        <v>-0.99989329999999998</v>
      </c>
      <c r="N3679">
        <v>0</v>
      </c>
      <c r="O3679">
        <v>4.7535650000000004E-3</v>
      </c>
      <c r="P3679">
        <v>-0.98653489999999999</v>
      </c>
      <c r="Q3679">
        <v>0.16119559999999999</v>
      </c>
      <c r="R3679">
        <v>2.7662840000000001E-2</v>
      </c>
      <c r="S3679">
        <v>-3.145905</v>
      </c>
      <c r="T3679">
        <v>-0.74812440000000002</v>
      </c>
      <c r="U3679">
        <v>0.60058590000000001</v>
      </c>
      <c r="V3679">
        <v>2.3259350000000002E-2</v>
      </c>
      <c r="W3679">
        <v>0.17478239999999901</v>
      </c>
      <c r="X3679">
        <v>0.98433230000000005</v>
      </c>
      <c r="Y3679">
        <v>0.17818419999999999</v>
      </c>
      <c r="Z3679">
        <v>1.961067E-2</v>
      </c>
      <c r="AA3679">
        <v>0.9838017</v>
      </c>
      <c r="AB3679">
        <v>37</v>
      </c>
      <c r="AC3679">
        <v>-0.46649999999999597</v>
      </c>
      <c r="AD3679">
        <v>-0.20194419999999999</v>
      </c>
      <c r="AE3679">
        <v>0.16020000000000301</v>
      </c>
      <c r="AF3679">
        <v>0.13530038224482499</v>
      </c>
      <c r="AG3679">
        <v>-0.20194419999999999</v>
      </c>
      <c r="AH3679">
        <v>0.40017586341356098</v>
      </c>
      <c r="AI3679">
        <v>115.55031323975901</v>
      </c>
      <c r="AJ3679">
        <v>71.3194862024001</v>
      </c>
      <c r="AK3679">
        <v>0.46821829845492402</v>
      </c>
      <c r="AL3679">
        <v>79.934004419100901</v>
      </c>
      <c r="AM3679">
        <v>88.646377205526505</v>
      </c>
      <c r="AN3679">
        <v>0.999999980767736</v>
      </c>
    </row>
    <row r="3680" spans="1:40" x14ac:dyDescent="0.25">
      <c r="A3680" t="str">
        <f>"20190312172736562"</f>
        <v>20190312172736562</v>
      </c>
      <c r="B3680" t="str">
        <f>"1552382856553258"</f>
        <v>1552382856553258</v>
      </c>
      <c r="C3680" t="s">
        <v>40</v>
      </c>
      <c r="D3680">
        <v>3.2985329999999999</v>
      </c>
      <c r="E3680">
        <v>0.57011469999999997</v>
      </c>
      <c r="F3680" t="s">
        <v>44</v>
      </c>
      <c r="G3680">
        <v>-287.62849999999997</v>
      </c>
      <c r="H3680">
        <v>0.91961809999999999</v>
      </c>
      <c r="I3680">
        <v>141.79499999999999</v>
      </c>
      <c r="J3680">
        <v>-287.18900000000002</v>
      </c>
      <c r="K3680">
        <v>1.109108</v>
      </c>
      <c r="L3680">
        <v>141.6447</v>
      </c>
      <c r="M3680">
        <v>-0.999888</v>
      </c>
      <c r="N3680">
        <v>0</v>
      </c>
      <c r="O3680">
        <v>5.4310449999999998E-3</v>
      </c>
      <c r="P3680">
        <v>-0.98648429999999998</v>
      </c>
      <c r="Q3680">
        <v>0.1614659</v>
      </c>
      <c r="R3680">
        <v>2.7885210000000001E-2</v>
      </c>
      <c r="S3680">
        <v>-3.14621</v>
      </c>
      <c r="T3680">
        <v>-0.74714799999999904</v>
      </c>
      <c r="U3680">
        <v>0.60066219999999904</v>
      </c>
      <c r="V3680">
        <v>2.2816679999999999E-2</v>
      </c>
      <c r="W3680">
        <v>0.17517389999999999</v>
      </c>
      <c r="X3680">
        <v>0.98427310000000001</v>
      </c>
      <c r="Y3680">
        <v>0.17757120000000001</v>
      </c>
      <c r="Z3680">
        <v>1.935543E-2</v>
      </c>
      <c r="AA3680">
        <v>0.98391759999999995</v>
      </c>
      <c r="AB3680">
        <v>37</v>
      </c>
      <c r="AC3680">
        <v>-0.43949999999995198</v>
      </c>
      <c r="AD3680">
        <v>-0.18948989999999899</v>
      </c>
      <c r="AE3680">
        <v>0.150299999999987</v>
      </c>
      <c r="AF3680">
        <v>0.12680670035653799</v>
      </c>
      <c r="AG3680">
        <v>-0.18948989999999899</v>
      </c>
      <c r="AH3680">
        <v>0.37748640644584203</v>
      </c>
      <c r="AI3680">
        <v>115.44730609210301</v>
      </c>
      <c r="AJ3680">
        <v>71.431570223136205</v>
      </c>
      <c r="AK3680">
        <v>0.44100152891879901</v>
      </c>
      <c r="AL3680">
        <v>79.911221991920996</v>
      </c>
      <c r="AM3680">
        <v>88.672050090571702</v>
      </c>
      <c r="AN3680">
        <v>1.00000001575552</v>
      </c>
    </row>
    <row r="3681" spans="1:40" x14ac:dyDescent="0.25">
      <c r="A3681" t="str">
        <f>"20190312172736584"</f>
        <v>20190312172736584</v>
      </c>
      <c r="B3681" t="str">
        <f>"1552382856572781"</f>
        <v>1552382856572781</v>
      </c>
      <c r="C3681" t="s">
        <v>40</v>
      </c>
      <c r="D3681">
        <v>3.5097710000000002</v>
      </c>
      <c r="E3681">
        <v>0.56993969999999905</v>
      </c>
      <c r="F3681" t="s">
        <v>44</v>
      </c>
      <c r="G3681">
        <v>-287.95740000000001</v>
      </c>
      <c r="H3681">
        <v>0.92679809999999996</v>
      </c>
      <c r="I3681">
        <v>141.792</v>
      </c>
      <c r="J3681">
        <v>-287.54360000000003</v>
      </c>
      <c r="K3681">
        <v>1.109127</v>
      </c>
      <c r="L3681">
        <v>141.6473</v>
      </c>
      <c r="M3681">
        <v>-0.99988259999999995</v>
      </c>
      <c r="N3681">
        <v>0</v>
      </c>
      <c r="O3681">
        <v>6.101431E-3</v>
      </c>
      <c r="P3681">
        <v>-0.98649310000000001</v>
      </c>
      <c r="Q3681">
        <v>0.16126860000000001</v>
      </c>
      <c r="R3681">
        <v>2.8703409999999999E-2</v>
      </c>
      <c r="S3681">
        <v>-3.146271</v>
      </c>
      <c r="T3681">
        <v>-0.7465174</v>
      </c>
      <c r="U3681">
        <v>0.60253909999999999</v>
      </c>
      <c r="V3681">
        <v>2.2974680000000001E-2</v>
      </c>
      <c r="W3681">
        <v>0.17508290000000001</v>
      </c>
      <c r="X3681">
        <v>0.98428559999999998</v>
      </c>
      <c r="Y3681">
        <v>0.1775031</v>
      </c>
      <c r="Z3681">
        <v>1.9174730000000001E-2</v>
      </c>
      <c r="AA3681">
        <v>0.98393339999999996</v>
      </c>
      <c r="AB3681">
        <v>36</v>
      </c>
      <c r="AC3681">
        <v>-0.41379999999998002</v>
      </c>
      <c r="AD3681">
        <v>-0.18232889999999999</v>
      </c>
      <c r="AE3681">
        <v>0.1447</v>
      </c>
      <c r="AF3681">
        <v>0.121204707586859</v>
      </c>
      <c r="AG3681">
        <v>-0.18232889999999999</v>
      </c>
      <c r="AH3681">
        <v>0.353518928563409</v>
      </c>
      <c r="AI3681">
        <v>116.00665706861299</v>
      </c>
      <c r="AJ3681">
        <v>71.075614048655794</v>
      </c>
      <c r="AK3681">
        <v>0.41582453242809803</v>
      </c>
      <c r="AL3681">
        <v>79.916517590820604</v>
      </c>
      <c r="AM3681">
        <v>88.662874660115406</v>
      </c>
      <c r="AN3681">
        <v>1.0000000000804301</v>
      </c>
    </row>
    <row r="3682" spans="1:40" x14ac:dyDescent="0.25">
      <c r="A3682" t="str">
        <f>"20190312172736607"</f>
        <v>20190312172736607</v>
      </c>
      <c r="B3682" t="str">
        <f>"1552382856603035"</f>
        <v>1552382856603035</v>
      </c>
      <c r="C3682" t="s">
        <v>40</v>
      </c>
      <c r="D3682">
        <v>3.3956460000000002</v>
      </c>
      <c r="E3682">
        <v>0.56980339999999996</v>
      </c>
      <c r="F3682" t="s">
        <v>44</v>
      </c>
      <c r="G3682">
        <v>-288.28590000000003</v>
      </c>
      <c r="H3682">
        <v>0.93293519999999996</v>
      </c>
      <c r="I3682">
        <v>141.7903</v>
      </c>
      <c r="J3682">
        <v>-287.92599999999999</v>
      </c>
      <c r="K3682">
        <v>1.109138</v>
      </c>
      <c r="L3682">
        <v>141.65029999999999</v>
      </c>
      <c r="M3682">
        <v>-0.9998766</v>
      </c>
      <c r="N3682">
        <v>0</v>
      </c>
      <c r="O3682">
        <v>6.8245750000000003E-3</v>
      </c>
      <c r="P3682">
        <v>-0.98644279999999995</v>
      </c>
      <c r="Q3682">
        <v>0.16145290000000001</v>
      </c>
      <c r="R3682">
        <v>2.938642E-2</v>
      </c>
      <c r="S3682">
        <v>-3.1455380000000002</v>
      </c>
      <c r="T3682">
        <v>-0.74665519999999996</v>
      </c>
      <c r="U3682">
        <v>0.60433959999999998</v>
      </c>
      <c r="V3682">
        <v>2.2945960000000001E-2</v>
      </c>
      <c r="W3682">
        <v>0.17536599999999999</v>
      </c>
      <c r="X3682">
        <v>0.98423590000000005</v>
      </c>
      <c r="Y3682">
        <v>0.17739679999999999</v>
      </c>
      <c r="Z3682">
        <v>1.900133E-2</v>
      </c>
      <c r="AA3682">
        <v>0.98395600000000005</v>
      </c>
      <c r="AB3682">
        <v>36</v>
      </c>
      <c r="AC3682">
        <v>-0.35990000000003802</v>
      </c>
      <c r="AD3682">
        <v>-0.17620279999999999</v>
      </c>
      <c r="AE3682">
        <v>0.140000000000014</v>
      </c>
      <c r="AF3682">
        <v>0.11383968799531501</v>
      </c>
      <c r="AG3682">
        <v>-0.17620279999999999</v>
      </c>
      <c r="AH3682">
        <v>0.29866678196881602</v>
      </c>
      <c r="AI3682">
        <v>118.866919740746</v>
      </c>
      <c r="AJ3682">
        <v>69.135178445346995</v>
      </c>
      <c r="AK3682">
        <v>0.364977736228279</v>
      </c>
      <c r="AL3682">
        <v>79.900042552235007</v>
      </c>
      <c r="AM3682">
        <v>88.664478146409095</v>
      </c>
      <c r="AN3682">
        <v>1.0000000289425599</v>
      </c>
    </row>
    <row r="3683" spans="1:40" x14ac:dyDescent="0.25">
      <c r="A3683" t="str">
        <f>"20190312172736630"</f>
        <v>20190312172736630</v>
      </c>
      <c r="B3683" t="str">
        <f>"1552382856622554"</f>
        <v>1552382856622554</v>
      </c>
      <c r="C3683" t="s">
        <v>40</v>
      </c>
      <c r="D3683">
        <v>3.3967230000000002</v>
      </c>
      <c r="E3683">
        <v>0.56991230000000004</v>
      </c>
      <c r="F3683" t="s">
        <v>44</v>
      </c>
      <c r="G3683">
        <v>-288.61669999999998</v>
      </c>
      <c r="H3683">
        <v>0.94520700000000002</v>
      </c>
      <c r="I3683">
        <v>141.7835</v>
      </c>
      <c r="J3683">
        <v>-288.29169999999999</v>
      </c>
      <c r="K3683">
        <v>1.1091439999999999</v>
      </c>
      <c r="L3683">
        <v>141.65350000000001</v>
      </c>
      <c r="M3683">
        <v>-0.9998705</v>
      </c>
      <c r="N3683">
        <v>0</v>
      </c>
      <c r="O3683">
        <v>7.516582E-3</v>
      </c>
      <c r="P3683">
        <v>-0.9863845</v>
      </c>
      <c r="Q3683">
        <v>0.16170119999999999</v>
      </c>
      <c r="R3683">
        <v>2.9975849999999998E-2</v>
      </c>
      <c r="S3683">
        <v>-3.1453859999999998</v>
      </c>
      <c r="T3683">
        <v>-0.74645069999999902</v>
      </c>
      <c r="U3683">
        <v>0.60523990000000005</v>
      </c>
      <c r="V3683">
        <v>2.285396E-2</v>
      </c>
      <c r="W3683">
        <v>0.17569499999999999</v>
      </c>
      <c r="X3683">
        <v>0.98417929999999998</v>
      </c>
      <c r="Y3683">
        <v>0.1770275</v>
      </c>
      <c r="Z3683">
        <v>1.8793299999999999E-2</v>
      </c>
      <c r="AA3683">
        <v>0.98402639999999997</v>
      </c>
      <c r="AB3683">
        <v>36</v>
      </c>
      <c r="AC3683">
        <v>-0.32499999999998802</v>
      </c>
      <c r="AD3683">
        <v>-0.163937</v>
      </c>
      <c r="AE3683">
        <v>0.12999999999999501</v>
      </c>
      <c r="AF3683">
        <v>0.104607892054515</v>
      </c>
      <c r="AG3683">
        <v>-0.163937</v>
      </c>
      <c r="AH3683">
        <v>0.26733030173904998</v>
      </c>
      <c r="AI3683">
        <v>119.72951392202</v>
      </c>
      <c r="AJ3683">
        <v>68.629306603740602</v>
      </c>
      <c r="AK3683">
        <v>0.33058076362211503</v>
      </c>
      <c r="AL3683">
        <v>79.880894307099695</v>
      </c>
      <c r="AM3683">
        <v>88.669754416948393</v>
      </c>
      <c r="AN3683">
        <v>0.99999996553058501</v>
      </c>
    </row>
    <row r="3684" spans="1:40" x14ac:dyDescent="0.25">
      <c r="A3684" t="str">
        <f>"20190312172736650"</f>
        <v>20190312172736650</v>
      </c>
      <c r="B3684" t="str">
        <f>"1552382856643053"</f>
        <v>1552382856643053</v>
      </c>
      <c r="C3684" t="s">
        <v>40</v>
      </c>
      <c r="D3684">
        <v>3.338454</v>
      </c>
      <c r="E3684">
        <v>0.56991990000000003</v>
      </c>
      <c r="F3684" t="s">
        <v>44</v>
      </c>
      <c r="G3684">
        <v>-289.24090000000001</v>
      </c>
      <c r="H3684">
        <v>0.88372499999999998</v>
      </c>
      <c r="I3684">
        <v>141.83690000000001</v>
      </c>
      <c r="J3684">
        <v>-288.62819999999999</v>
      </c>
      <c r="K3684">
        <v>1.1091500000000001</v>
      </c>
      <c r="L3684">
        <v>141.6567</v>
      </c>
      <c r="M3684">
        <v>-0.99986439999999999</v>
      </c>
      <c r="N3684">
        <v>0</v>
      </c>
      <c r="O3684">
        <v>8.1540799999999993E-3</v>
      </c>
      <c r="P3684">
        <v>-0.98629869999999997</v>
      </c>
      <c r="Q3684">
        <v>0.16205049999999999</v>
      </c>
      <c r="R3684">
        <v>3.0893520000000001E-2</v>
      </c>
      <c r="S3684">
        <v>-3.1453859999999998</v>
      </c>
      <c r="T3684">
        <v>-0.74691940000000001</v>
      </c>
      <c r="U3684">
        <v>0.6073151</v>
      </c>
      <c r="V3684">
        <v>2.3144069999999999E-2</v>
      </c>
      <c r="W3684">
        <v>0.17610899999999999</v>
      </c>
      <c r="X3684">
        <v>0.98409860000000005</v>
      </c>
      <c r="Y3684">
        <v>0.17703849999999999</v>
      </c>
      <c r="Z3684">
        <v>1.8656989999999998E-2</v>
      </c>
      <c r="AA3684">
        <v>0.98402710000000004</v>
      </c>
      <c r="AB3684">
        <v>36</v>
      </c>
      <c r="AC3684">
        <v>-0.61270000000001801</v>
      </c>
      <c r="AD3684">
        <v>-0.22542499999999999</v>
      </c>
      <c r="AE3684">
        <v>0.18020000000001299</v>
      </c>
      <c r="AF3684">
        <v>0.15578805223192699</v>
      </c>
      <c r="AG3684">
        <v>-0.22542499999999999</v>
      </c>
      <c r="AH3684">
        <v>0.54610997944574202</v>
      </c>
      <c r="AI3684">
        <v>111.650483161636</v>
      </c>
      <c r="AJ3684">
        <v>74.078213322801801</v>
      </c>
      <c r="AK3684">
        <v>0.61100119271033004</v>
      </c>
      <c r="AL3684">
        <v>79.856798913786406</v>
      </c>
      <c r="AM3684">
        <v>88.652763927468698</v>
      </c>
      <c r="AN3684">
        <v>1.00000004118956</v>
      </c>
    </row>
    <row r="3685" spans="1:40" x14ac:dyDescent="0.25">
      <c r="A3685" t="str">
        <f>"20190312172736673"</f>
        <v>20190312172736673</v>
      </c>
      <c r="B3685" t="str">
        <f>"1552382856662571"</f>
        <v>1552382856662571</v>
      </c>
      <c r="C3685" t="s">
        <v>40</v>
      </c>
      <c r="D3685">
        <v>3.3352089999999999</v>
      </c>
      <c r="E3685">
        <v>0.56988470000000002</v>
      </c>
      <c r="F3685" t="s">
        <v>44</v>
      </c>
      <c r="G3685">
        <v>-289.56619999999998</v>
      </c>
      <c r="H3685">
        <v>0.88643099999999997</v>
      </c>
      <c r="I3685">
        <v>141.83869999999999</v>
      </c>
      <c r="J3685">
        <v>-288.99009999999998</v>
      </c>
      <c r="K3685">
        <v>1.1091569999999999</v>
      </c>
      <c r="L3685">
        <v>141.66030000000001</v>
      </c>
      <c r="M3685">
        <v>-0.99985780000000002</v>
      </c>
      <c r="N3685">
        <v>0</v>
      </c>
      <c r="O3685">
        <v>8.8393989999999995E-3</v>
      </c>
      <c r="P3685">
        <v>-0.98624029999999996</v>
      </c>
      <c r="Q3685">
        <v>0.16234689999999999</v>
      </c>
      <c r="R3685">
        <v>3.120734E-2</v>
      </c>
      <c r="S3685">
        <v>-3.1452330000000002</v>
      </c>
      <c r="T3685">
        <v>-0.7467937</v>
      </c>
      <c r="U3685">
        <v>0.60961909999999997</v>
      </c>
      <c r="V3685">
        <v>2.2782859999999999E-2</v>
      </c>
      <c r="W3685">
        <v>0.17646579999999901</v>
      </c>
      <c r="X3685">
        <v>0.98404309999999995</v>
      </c>
      <c r="Y3685">
        <v>0.177087299999999</v>
      </c>
      <c r="Z3685">
        <v>1.850021E-2</v>
      </c>
      <c r="AA3685">
        <v>0.98402120000000004</v>
      </c>
      <c r="AB3685">
        <v>36</v>
      </c>
      <c r="AC3685">
        <v>-0.57609999999999595</v>
      </c>
      <c r="AD3685">
        <v>-0.22272600000000001</v>
      </c>
      <c r="AE3685">
        <v>0.17839999999998199</v>
      </c>
      <c r="AF3685">
        <v>0.15250079243682299</v>
      </c>
      <c r="AG3685">
        <v>-0.22272600000000001</v>
      </c>
      <c r="AH3685">
        <v>0.50832498695568396</v>
      </c>
      <c r="AI3685">
        <v>112.76668496073501</v>
      </c>
      <c r="AJ3685">
        <v>73.300414897219696</v>
      </c>
      <c r="AK3685">
        <v>0.57554987197753305</v>
      </c>
      <c r="AL3685">
        <v>79.836030405918194</v>
      </c>
      <c r="AM3685">
        <v>88.673707929053805</v>
      </c>
      <c r="AN3685">
        <v>1.0000000299685099</v>
      </c>
    </row>
    <row r="3686" spans="1:40" x14ac:dyDescent="0.25">
      <c r="A3686" t="str">
        <f>"20190312172736696"</f>
        <v>20190312172736696</v>
      </c>
      <c r="B3686" t="str">
        <f>"1552382856692826"</f>
        <v>1552382856692826</v>
      </c>
      <c r="C3686" t="s">
        <v>40</v>
      </c>
      <c r="D3686">
        <v>3.3787440000000002</v>
      </c>
      <c r="E3686">
        <v>0.55457349999999905</v>
      </c>
      <c r="F3686" t="s">
        <v>44</v>
      </c>
      <c r="G3686">
        <v>-289.89339999999999</v>
      </c>
      <c r="H3686">
        <v>0.894991599999999</v>
      </c>
      <c r="I3686">
        <v>141.83580000000001</v>
      </c>
      <c r="J3686">
        <v>-289.36590000000001</v>
      </c>
      <c r="K3686">
        <v>1.1091629999999999</v>
      </c>
      <c r="L3686">
        <v>141.6643</v>
      </c>
      <c r="M3686">
        <v>-0.99985049999999998</v>
      </c>
      <c r="N3686">
        <v>0</v>
      </c>
      <c r="O3686">
        <v>9.5509770000000004E-3</v>
      </c>
      <c r="P3686">
        <v>-0.98625910000000006</v>
      </c>
      <c r="Q3686">
        <v>0.1620656</v>
      </c>
      <c r="R3686">
        <v>3.2060150000000003E-2</v>
      </c>
      <c r="S3686">
        <v>-3.1453250000000001</v>
      </c>
      <c r="T3686">
        <v>-0.74577950000000004</v>
      </c>
      <c r="U3686">
        <v>0.61064149999999995</v>
      </c>
      <c r="V3686">
        <v>2.2932569999999999E-2</v>
      </c>
      <c r="W3686">
        <v>0.17623949999999999</v>
      </c>
      <c r="X3686">
        <v>0.98408010000000001</v>
      </c>
      <c r="Y3686">
        <v>0.17673159999999999</v>
      </c>
      <c r="Z3686">
        <v>1.8268590000000001E-2</v>
      </c>
      <c r="AA3686">
        <v>0.98408949999999995</v>
      </c>
      <c r="AB3686">
        <v>36</v>
      </c>
      <c r="AC3686">
        <v>-0.52749999999997499</v>
      </c>
      <c r="AD3686">
        <v>-0.21417139999999901</v>
      </c>
      <c r="AE3686">
        <v>0.17150000000000801</v>
      </c>
      <c r="AF3686">
        <v>0.14485718240245701</v>
      </c>
      <c r="AG3686">
        <v>-0.21417139999999901</v>
      </c>
      <c r="AH3686">
        <v>0.46046476487552201</v>
      </c>
      <c r="AI3686">
        <v>113.926052288072</v>
      </c>
      <c r="AJ3686">
        <v>72.536994401219104</v>
      </c>
      <c r="AK3686">
        <v>0.52809165072306197</v>
      </c>
      <c r="AL3686">
        <v>79.849202109479407</v>
      </c>
      <c r="AM3686">
        <v>88.665045960874394</v>
      </c>
      <c r="AN3686">
        <v>0.99999995367153105</v>
      </c>
    </row>
    <row r="3687" spans="1:40" x14ac:dyDescent="0.25">
      <c r="A3687" t="str">
        <f>"20190312172736717"</f>
        <v>20190312172736717</v>
      </c>
      <c r="B3687" t="str">
        <f>"1552382856713322"</f>
        <v>1552382856713322</v>
      </c>
      <c r="C3687" t="s">
        <v>40</v>
      </c>
      <c r="D3687">
        <v>3.4086340000000002</v>
      </c>
      <c r="E3687">
        <v>0.547462</v>
      </c>
      <c r="F3687" t="s">
        <v>44</v>
      </c>
      <c r="G3687">
        <v>-290.24020000000002</v>
      </c>
      <c r="H3687">
        <v>0.95010689999999998</v>
      </c>
      <c r="I3687">
        <v>141.80420000000001</v>
      </c>
      <c r="J3687">
        <v>-289.70749999999998</v>
      </c>
      <c r="K3687">
        <v>1.1091660000000001</v>
      </c>
      <c r="L3687">
        <v>141.66820000000001</v>
      </c>
      <c r="M3687">
        <v>-0.9998435</v>
      </c>
      <c r="N3687">
        <v>0</v>
      </c>
      <c r="O3687">
        <v>1.019784E-2</v>
      </c>
      <c r="P3687">
        <v>-0.98625689999999999</v>
      </c>
      <c r="Q3687">
        <v>0.16207569999999999</v>
      </c>
      <c r="R3687">
        <v>3.20801E-2</v>
      </c>
      <c r="S3687">
        <v>-3.1188660000000001</v>
      </c>
      <c r="T3687">
        <v>-0.56740999999999997</v>
      </c>
      <c r="U3687">
        <v>0.49786380000000002</v>
      </c>
      <c r="V3687">
        <v>2.2314230000000001E-2</v>
      </c>
      <c r="W3687">
        <v>0.17629300000000001</v>
      </c>
      <c r="X3687">
        <v>0.98408479999999998</v>
      </c>
      <c r="Y3687">
        <v>0.14539089999999999</v>
      </c>
      <c r="Z3687">
        <v>1.120848E-2</v>
      </c>
      <c r="AA3687">
        <v>0.98931080000000005</v>
      </c>
      <c r="AB3687">
        <v>36</v>
      </c>
      <c r="AC3687">
        <v>-0.53270000000003304</v>
      </c>
      <c r="AD3687">
        <v>-0.15905910000000001</v>
      </c>
      <c r="AE3687">
        <v>0.13599999999999501</v>
      </c>
      <c r="AF3687">
        <v>0.120476047608892</v>
      </c>
      <c r="AG3687">
        <v>-0.15905910000000001</v>
      </c>
      <c r="AH3687">
        <v>0.49281077001802098</v>
      </c>
      <c r="AI3687">
        <v>107.407570012345</v>
      </c>
      <c r="AJ3687">
        <v>76.262503771911199</v>
      </c>
      <c r="AK3687">
        <v>0.53167351860519196</v>
      </c>
      <c r="AL3687">
        <v>79.846088708631299</v>
      </c>
      <c r="AM3687">
        <v>88.701034555514099</v>
      </c>
      <c r="AN3687">
        <v>1.0000000201502599</v>
      </c>
    </row>
    <row r="3688" spans="1:40" x14ac:dyDescent="0.25">
      <c r="A3688" t="str">
        <f>"20190312172736740"</f>
        <v>20190312172736740</v>
      </c>
      <c r="B3688" t="str">
        <f>"1552382856732842"</f>
        <v>1552382856732842</v>
      </c>
      <c r="C3688" t="s">
        <v>40</v>
      </c>
      <c r="D3688">
        <v>3.3973049999999998</v>
      </c>
      <c r="E3688">
        <v>0.54249480000000005</v>
      </c>
      <c r="F3688" t="s">
        <v>44</v>
      </c>
      <c r="G3688">
        <v>-290.58150000000001</v>
      </c>
      <c r="H3688">
        <v>0.98822619999999906</v>
      </c>
      <c r="I3688">
        <v>141.79429999999999</v>
      </c>
      <c r="J3688">
        <v>-290.08229999999998</v>
      </c>
      <c r="K3688">
        <v>1.1091770000000001</v>
      </c>
      <c r="L3688">
        <v>141.6728</v>
      </c>
      <c r="M3688">
        <v>-0.99983540000000004</v>
      </c>
      <c r="N3688">
        <v>0</v>
      </c>
      <c r="O3688">
        <v>1.0908549999999999E-2</v>
      </c>
      <c r="P3688">
        <v>-0.98618019999999995</v>
      </c>
      <c r="Q3688">
        <v>0.16244330000000001</v>
      </c>
      <c r="R3688">
        <v>3.2572530000000002E-2</v>
      </c>
      <c r="S3688">
        <v>-3.0977169999999998</v>
      </c>
      <c r="T3688">
        <v>-0.42858429999999997</v>
      </c>
      <c r="U3688">
        <v>0.4462738</v>
      </c>
      <c r="V3688">
        <v>2.2106399999999998E-2</v>
      </c>
      <c r="W3688">
        <v>0.17669949999999901</v>
      </c>
      <c r="X3688">
        <v>0.98401649999999996</v>
      </c>
      <c r="Y3688">
        <v>0.13066929999999999</v>
      </c>
      <c r="Z3688">
        <v>7.4566249999999997E-3</v>
      </c>
      <c r="AA3688">
        <v>0.991398</v>
      </c>
      <c r="AB3688">
        <v>36</v>
      </c>
      <c r="AC3688">
        <v>-0.49920000000003001</v>
      </c>
      <c r="AD3688">
        <v>-0.1209508</v>
      </c>
      <c r="AE3688">
        <v>0.121499999999997</v>
      </c>
      <c r="AF3688">
        <v>0.109952943039201</v>
      </c>
      <c r="AG3688">
        <v>-0.1209508</v>
      </c>
      <c r="AH3688">
        <v>0.47421436930458999</v>
      </c>
      <c r="AI3688">
        <v>103.953371140173</v>
      </c>
      <c r="AJ3688">
        <v>76.945877485727195</v>
      </c>
      <c r="AK3688">
        <v>0.50159546823966805</v>
      </c>
      <c r="AL3688">
        <v>79.822425676912502</v>
      </c>
      <c r="AM3688">
        <v>88.713039465491306</v>
      </c>
      <c r="AN3688">
        <v>0.99999993924672803</v>
      </c>
    </row>
    <row r="3689" spans="1:40" x14ac:dyDescent="0.25">
      <c r="A3689" t="str">
        <f>"20190312172736763"</f>
        <v>20190312172736763</v>
      </c>
      <c r="B3689" t="str">
        <f>"1552382856753338"</f>
        <v>1552382856753338</v>
      </c>
      <c r="C3689" t="s">
        <v>40</v>
      </c>
      <c r="D3689">
        <v>3.384973</v>
      </c>
      <c r="E3689">
        <v>0.53993400000000003</v>
      </c>
      <c r="F3689" t="s">
        <v>44</v>
      </c>
      <c r="G3689">
        <v>-290.92039999999997</v>
      </c>
      <c r="H3689">
        <v>1.0211600000000001</v>
      </c>
      <c r="I3689">
        <v>141.7852</v>
      </c>
      <c r="J3689">
        <v>-290.43979999999999</v>
      </c>
      <c r="K3689">
        <v>1.1091879999999901</v>
      </c>
      <c r="L3689">
        <v>141.6773</v>
      </c>
      <c r="M3689">
        <v>-0.99982729999999997</v>
      </c>
      <c r="N3689">
        <v>0</v>
      </c>
      <c r="O3689">
        <v>1.1586529999999999E-2</v>
      </c>
      <c r="P3689">
        <v>-0.98616780000000004</v>
      </c>
      <c r="Q3689">
        <v>0.1624457</v>
      </c>
      <c r="R3689">
        <v>3.2934810000000002E-2</v>
      </c>
      <c r="S3689">
        <v>-3.0817869999999998</v>
      </c>
      <c r="T3689">
        <v>-0.32364090000000001</v>
      </c>
      <c r="U3689">
        <v>0.41235349999999998</v>
      </c>
      <c r="V3689">
        <v>2.1799610000000001E-2</v>
      </c>
      <c r="W3689">
        <v>0.17673520000000001</v>
      </c>
      <c r="X3689">
        <v>0.98401700000000003</v>
      </c>
      <c r="Y3689">
        <v>0.1205387</v>
      </c>
      <c r="Z3689">
        <v>5.0762120000000001E-3</v>
      </c>
      <c r="AA3689">
        <v>0.99269560000000001</v>
      </c>
      <c r="AB3689">
        <v>36</v>
      </c>
      <c r="AC3689">
        <v>-0.48059999999998099</v>
      </c>
      <c r="AD3689">
        <v>-8.8027999999999704E-2</v>
      </c>
      <c r="AE3689">
        <v>0.1079</v>
      </c>
      <c r="AF3689">
        <v>9.9156743575978104E-2</v>
      </c>
      <c r="AG3689">
        <v>-8.8027999999999704E-2</v>
      </c>
      <c r="AH3689">
        <v>0.46690568894121298</v>
      </c>
      <c r="AI3689">
        <v>100.449189322522</v>
      </c>
      <c r="AJ3689">
        <v>78.01022958419</v>
      </c>
      <c r="AK3689">
        <v>0.48536780996092099</v>
      </c>
      <c r="AL3689">
        <v>79.820348188055902</v>
      </c>
      <c r="AM3689">
        <v>88.730894513635107</v>
      </c>
      <c r="AN3689">
        <v>1.0000000051020901</v>
      </c>
    </row>
    <row r="3690" spans="1:40" x14ac:dyDescent="0.25">
      <c r="A3690" t="str">
        <f>"20190312172736784"</f>
        <v>20190312172736784</v>
      </c>
      <c r="B3690" t="str">
        <f>"1552382856772858"</f>
        <v>1552382856772858</v>
      </c>
      <c r="C3690" t="s">
        <v>40</v>
      </c>
      <c r="D3690">
        <v>3.3897439999999999</v>
      </c>
      <c r="E3690">
        <v>0.53823290000000001</v>
      </c>
      <c r="F3690" t="s">
        <v>44</v>
      </c>
      <c r="G3690">
        <v>-291.25150000000002</v>
      </c>
      <c r="H3690">
        <v>1.038686</v>
      </c>
      <c r="I3690">
        <v>141.78190000000001</v>
      </c>
      <c r="J3690">
        <v>-290.79129999999998</v>
      </c>
      <c r="K3690">
        <v>1.109197</v>
      </c>
      <c r="L3690">
        <v>141.68209999999999</v>
      </c>
      <c r="M3690">
        <v>-0.99981889999999995</v>
      </c>
      <c r="N3690">
        <v>0</v>
      </c>
      <c r="O3690">
        <v>1.2253389999999999E-2</v>
      </c>
      <c r="P3690">
        <v>-0.98602849999999997</v>
      </c>
      <c r="Q3690">
        <v>0.16310649999999999</v>
      </c>
      <c r="R3690">
        <v>3.3828150000000001E-2</v>
      </c>
      <c r="S3690">
        <v>-3.0728759999999999</v>
      </c>
      <c r="T3690">
        <v>-0.26698539999999998</v>
      </c>
      <c r="U3690">
        <v>0.39488220000000002</v>
      </c>
      <c r="V3690">
        <v>2.2037230000000001E-2</v>
      </c>
      <c r="W3690">
        <v>0.17742079999999999</v>
      </c>
      <c r="X3690">
        <v>0.98388830000000005</v>
      </c>
      <c r="Y3690">
        <v>0.114913</v>
      </c>
      <c r="Z3690">
        <v>3.9042209999999998E-3</v>
      </c>
      <c r="AA3690">
        <v>0.99336789999999997</v>
      </c>
      <c r="AB3690">
        <v>36</v>
      </c>
      <c r="AC3690">
        <v>-0.46020000000004202</v>
      </c>
      <c r="AD3690">
        <v>-7.0510999999999893E-2</v>
      </c>
      <c r="AE3690">
        <v>9.9800000000016098E-2</v>
      </c>
      <c r="AF3690">
        <v>9.2088157301747603E-2</v>
      </c>
      <c r="AG3690">
        <v>-7.0510999999999893E-2</v>
      </c>
      <c r="AH3690">
        <v>0.45127037096316802</v>
      </c>
      <c r="AI3690">
        <v>98.704109911041598</v>
      </c>
      <c r="AJ3690">
        <v>78.466334565439297</v>
      </c>
      <c r="AK3690">
        <v>0.465936666882385</v>
      </c>
      <c r="AL3690">
        <v>79.780435227933197</v>
      </c>
      <c r="AM3690">
        <v>88.716897853451897</v>
      </c>
      <c r="AN3690">
        <v>0.99999998332780105</v>
      </c>
    </row>
    <row r="3691" spans="1:40" x14ac:dyDescent="0.25">
      <c r="A3691" t="str">
        <f>"20190312172736808"</f>
        <v>20190312172736808</v>
      </c>
      <c r="B3691" t="str">
        <f>"1552382856803115"</f>
        <v>1552382856803115</v>
      </c>
      <c r="C3691" t="s">
        <v>40</v>
      </c>
      <c r="D3691">
        <v>3.38402</v>
      </c>
      <c r="E3691">
        <v>0.53681990000000002</v>
      </c>
      <c r="F3691" t="s">
        <v>44</v>
      </c>
      <c r="G3691">
        <v>-291.5829</v>
      </c>
      <c r="H3691">
        <v>1.0504020000000001</v>
      </c>
      <c r="I3691">
        <v>141.78190000000001</v>
      </c>
      <c r="J3691">
        <v>-291.17829999999998</v>
      </c>
      <c r="K3691">
        <v>1.1092089999999999</v>
      </c>
      <c r="L3691">
        <v>141.6876</v>
      </c>
      <c r="M3691">
        <v>-0.99980930000000001</v>
      </c>
      <c r="N3691">
        <v>0</v>
      </c>
      <c r="O3691">
        <v>1.298791E-2</v>
      </c>
      <c r="P3691">
        <v>-0.98586669999999998</v>
      </c>
      <c r="Q3691">
        <v>0.16382279999999999</v>
      </c>
      <c r="R3691">
        <v>3.5057310000000001E-2</v>
      </c>
      <c r="S3691">
        <v>-3.0669559999999998</v>
      </c>
      <c r="T3691">
        <v>-0.227798</v>
      </c>
      <c r="U3691">
        <v>0.38517760000000001</v>
      </c>
      <c r="V3691">
        <v>2.2544330000000001E-2</v>
      </c>
      <c r="W3691">
        <v>0.1781594</v>
      </c>
      <c r="X3691">
        <v>0.98374340000000005</v>
      </c>
      <c r="Y3691">
        <v>0.11144519999999999</v>
      </c>
      <c r="Z3691">
        <v>3.1575150000000001E-3</v>
      </c>
      <c r="AA3691">
        <v>0.99376549999999997</v>
      </c>
      <c r="AB3691">
        <v>36</v>
      </c>
      <c r="AC3691">
        <v>-0.404600000000016</v>
      </c>
      <c r="AD3691">
        <v>-5.8806999999999998E-2</v>
      </c>
      <c r="AE3691">
        <v>9.4300000000004006E-2</v>
      </c>
      <c r="AF3691">
        <v>8.7287593483171694E-2</v>
      </c>
      <c r="AG3691">
        <v>-5.8806999999999998E-2</v>
      </c>
      <c r="AH3691">
        <v>0.39781963444611601</v>
      </c>
      <c r="AI3691">
        <v>98.216068407491093</v>
      </c>
      <c r="AJ3691">
        <v>77.624556266981102</v>
      </c>
      <c r="AK3691">
        <v>0.41150680283067598</v>
      </c>
      <c r="AL3691">
        <v>79.737432114883404</v>
      </c>
      <c r="AM3691">
        <v>88.687189254242696</v>
      </c>
      <c r="AN3691">
        <v>1.00000004783353</v>
      </c>
    </row>
    <row r="3692" spans="1:40" x14ac:dyDescent="0.25">
      <c r="A3692" t="str">
        <f>"20190312172736831"</f>
        <v>20190312172736831</v>
      </c>
      <c r="B3692" t="str">
        <f>"1552382856822634"</f>
        <v>1552382856822634</v>
      </c>
      <c r="C3692" t="s">
        <v>40</v>
      </c>
      <c r="D3692">
        <v>3.398209</v>
      </c>
      <c r="E3692">
        <v>0.53619790000000001</v>
      </c>
      <c r="F3692" t="s">
        <v>44</v>
      </c>
      <c r="G3692">
        <v>-292.22140000000002</v>
      </c>
      <c r="H3692">
        <v>1.0440290000000001</v>
      </c>
      <c r="I3692">
        <v>141.8168</v>
      </c>
      <c r="J3692">
        <v>-291.53410000000002</v>
      </c>
      <c r="K3692">
        <v>1.1092169999999999</v>
      </c>
      <c r="L3692">
        <v>141.69290000000001</v>
      </c>
      <c r="M3692">
        <v>-0.99980000000000002</v>
      </c>
      <c r="N3692">
        <v>0</v>
      </c>
      <c r="O3692">
        <v>1.3663939999999999E-2</v>
      </c>
      <c r="P3692">
        <v>-0.98587720000000001</v>
      </c>
      <c r="Q3692">
        <v>0.16355029999999901</v>
      </c>
      <c r="R3692">
        <v>3.602735E-2</v>
      </c>
      <c r="S3692">
        <v>-3.0613709999999998</v>
      </c>
      <c r="T3692">
        <v>-0.19137970000000001</v>
      </c>
      <c r="U3692">
        <v>0.3783417</v>
      </c>
      <c r="V3692">
        <v>2.2846350000000001E-2</v>
      </c>
      <c r="W3692">
        <v>0.17790599999999901</v>
      </c>
      <c r="X3692">
        <v>0.98378220000000005</v>
      </c>
      <c r="Y3692">
        <v>0.1088959</v>
      </c>
      <c r="Z3692">
        <v>2.5375839999999998E-3</v>
      </c>
      <c r="AA3692">
        <v>0.99404990000000004</v>
      </c>
      <c r="AB3692">
        <v>36</v>
      </c>
      <c r="AC3692">
        <v>-0.68729999999999303</v>
      </c>
      <c r="AD3692">
        <v>-6.5187999999999802E-2</v>
      </c>
      <c r="AE3692">
        <v>0.123899999999991</v>
      </c>
      <c r="AF3692">
        <v>0.113507246691584</v>
      </c>
      <c r="AG3692">
        <v>-6.5187999999999802E-2</v>
      </c>
      <c r="AH3692">
        <v>0.68297836807879597</v>
      </c>
      <c r="AI3692">
        <v>95.378838091660896</v>
      </c>
      <c r="AJ3692">
        <v>80.564001935454499</v>
      </c>
      <c r="AK3692">
        <v>0.69540838480642397</v>
      </c>
      <c r="AL3692">
        <v>79.752185651182998</v>
      </c>
      <c r="AM3692">
        <v>88.669660631131194</v>
      </c>
      <c r="AN3692">
        <v>0.99999995879058001</v>
      </c>
    </row>
    <row r="3693" spans="1:40" x14ac:dyDescent="0.25">
      <c r="A3693" t="str">
        <f>"20190312172736852"</f>
        <v>20190312172736852</v>
      </c>
      <c r="B3693" t="str">
        <f>"1552382856843130"</f>
        <v>1552382856843130</v>
      </c>
      <c r="C3693" t="s">
        <v>40</v>
      </c>
      <c r="D3693">
        <v>3.436067</v>
      </c>
      <c r="E3693">
        <v>0.53570969999999996</v>
      </c>
      <c r="F3693" t="s">
        <v>50</v>
      </c>
      <c r="G3693">
        <v>-310.68090000000001</v>
      </c>
      <c r="H3693" s="1">
        <v>-1.0485560000000001E-5</v>
      </c>
      <c r="I3693">
        <v>144.05269999999999</v>
      </c>
      <c r="J3693">
        <v>-291.88819999999998</v>
      </c>
      <c r="K3693">
        <v>1.1092169999999999</v>
      </c>
      <c r="L3693">
        <v>141.69839999999999</v>
      </c>
      <c r="M3693">
        <v>-0.99979030000000002</v>
      </c>
      <c r="N3693">
        <v>0</v>
      </c>
      <c r="O3693">
        <v>1.4336059999999999E-2</v>
      </c>
      <c r="P3693">
        <v>-0.98593770000000003</v>
      </c>
      <c r="Q3693">
        <v>0.16306599999999999</v>
      </c>
      <c r="R3693">
        <v>3.6558449999999999E-2</v>
      </c>
      <c r="S3693">
        <v>-3.0585629999999999</v>
      </c>
      <c r="T3693">
        <v>-0.17719109999999999</v>
      </c>
      <c r="U3693">
        <v>0.37696839999999998</v>
      </c>
      <c r="V3693">
        <v>2.2712159999999999E-2</v>
      </c>
      <c r="W3693">
        <v>0.1774396</v>
      </c>
      <c r="X3693">
        <v>0.98386960000000001</v>
      </c>
      <c r="Y3693">
        <v>0.1079276</v>
      </c>
      <c r="Z3693">
        <v>2.2853140000000001E-3</v>
      </c>
      <c r="AA3693">
        <v>0.99415609999999999</v>
      </c>
      <c r="AB3693">
        <v>36</v>
      </c>
      <c r="AC3693">
        <v>-18.7927</v>
      </c>
      <c r="AD3693">
        <v>-1.1092274855599999</v>
      </c>
      <c r="AE3693">
        <v>2.3542999999999901</v>
      </c>
      <c r="AF3693">
        <v>2.07749003641021</v>
      </c>
      <c r="AG3693">
        <v>-1.1092274855599999</v>
      </c>
      <c r="AH3693">
        <v>18.760175075875399</v>
      </c>
      <c r="AI3693">
        <v>93.363259875627094</v>
      </c>
      <c r="AJ3693">
        <v>83.680848358635004</v>
      </c>
      <c r="AK3693">
        <v>18.9074196902592</v>
      </c>
      <c r="AL3693">
        <v>79.779341098589398</v>
      </c>
      <c r="AM3693">
        <v>88.677589152667295</v>
      </c>
      <c r="AN3693">
        <v>1.0000000218320899</v>
      </c>
    </row>
    <row r="3694" spans="1:40" x14ac:dyDescent="0.25">
      <c r="A3694" t="str">
        <f>"20190312172736874"</f>
        <v>20190312172736874</v>
      </c>
      <c r="B3694" t="str">
        <f>"1552382856862655"</f>
        <v>1552382856862655</v>
      </c>
      <c r="C3694" t="s">
        <v>40</v>
      </c>
      <c r="D3694">
        <v>3.4169510000000001</v>
      </c>
      <c r="E3694">
        <v>0.53533599999999903</v>
      </c>
      <c r="F3694" t="s">
        <v>50</v>
      </c>
      <c r="G3694">
        <v>-312.2593</v>
      </c>
      <c r="H3694" s="1">
        <v>-9.8307239999999996E-6</v>
      </c>
      <c r="I3694">
        <v>144.20249999999999</v>
      </c>
      <c r="J3694">
        <v>-292.23169999999999</v>
      </c>
      <c r="K3694">
        <v>1.1092200000000001</v>
      </c>
      <c r="L3694">
        <v>141.70400000000001</v>
      </c>
      <c r="M3694">
        <v>-0.99978049999999996</v>
      </c>
      <c r="N3694">
        <v>0</v>
      </c>
      <c r="O3694">
        <v>1.498583E-2</v>
      </c>
      <c r="P3694">
        <v>-0.98595429999999995</v>
      </c>
      <c r="Q3694">
        <v>0.16289120000000001</v>
      </c>
      <c r="R3694">
        <v>3.6887440000000001E-2</v>
      </c>
      <c r="S3694">
        <v>-3.0563959999999999</v>
      </c>
      <c r="T3694">
        <v>-0.16642370000000001</v>
      </c>
      <c r="U3694">
        <v>0.37570189999999998</v>
      </c>
      <c r="V3694">
        <v>2.239845E-2</v>
      </c>
      <c r="W3694">
        <v>0.17727860000000001</v>
      </c>
      <c r="X3694">
        <v>0.98390580000000005</v>
      </c>
      <c r="Y3694">
        <v>0.10698149999999999</v>
      </c>
      <c r="Z3694">
        <v>2.0873609999999998E-3</v>
      </c>
      <c r="AA3694">
        <v>0.9942588</v>
      </c>
      <c r="AB3694">
        <v>36</v>
      </c>
      <c r="AC3694">
        <v>-20.0276</v>
      </c>
      <c r="AD3694">
        <v>-1.1092298307240001</v>
      </c>
      <c r="AE3694">
        <v>2.4984999999999702</v>
      </c>
      <c r="AF3694">
        <v>2.19143775991241</v>
      </c>
      <c r="AG3694">
        <v>-1.1092298307240001</v>
      </c>
      <c r="AH3694">
        <v>20.002379542424201</v>
      </c>
      <c r="AI3694">
        <v>93.155238917259098</v>
      </c>
      <c r="AJ3694">
        <v>83.747676386061201</v>
      </c>
      <c r="AK3694">
        <v>20.152617141009902</v>
      </c>
      <c r="AL3694">
        <v>79.788714176529396</v>
      </c>
      <c r="AM3694">
        <v>88.695896466455096</v>
      </c>
      <c r="AN3694">
        <v>1.0000000079269999</v>
      </c>
    </row>
    <row r="3695" spans="1:40" x14ac:dyDescent="0.25">
      <c r="A3695" t="str">
        <f>"20190312172736896"</f>
        <v>20190312172736896</v>
      </c>
      <c r="B3695" t="str">
        <f>"1552382856892906"</f>
        <v>1552382856892906</v>
      </c>
      <c r="C3695" t="s">
        <v>40</v>
      </c>
      <c r="D3695">
        <v>3.4172690000000001</v>
      </c>
      <c r="E3695">
        <v>0.53483259999999999</v>
      </c>
      <c r="F3695" t="s">
        <v>50</v>
      </c>
      <c r="G3695">
        <v>-313.71370000000002</v>
      </c>
      <c r="H3695" s="1">
        <v>-9.3188010000000007E-6</v>
      </c>
      <c r="I3695">
        <v>144.3373</v>
      </c>
      <c r="J3695">
        <v>-292.58260000000001</v>
      </c>
      <c r="K3695">
        <v>1.109226</v>
      </c>
      <c r="L3695">
        <v>141.7099</v>
      </c>
      <c r="M3695">
        <v>-0.9997703</v>
      </c>
      <c r="N3695">
        <v>0</v>
      </c>
      <c r="O3695">
        <v>1.564716E-2</v>
      </c>
      <c r="P3695">
        <v>-0.98602939999999994</v>
      </c>
      <c r="Q3695">
        <v>0.1623656</v>
      </c>
      <c r="R3695">
        <v>3.7198170000000003E-2</v>
      </c>
      <c r="S3695">
        <v>-3.0547179999999998</v>
      </c>
      <c r="T3695">
        <v>-0.1577308</v>
      </c>
      <c r="U3695">
        <v>0.37445070000000003</v>
      </c>
      <c r="V3695">
        <v>2.205321E-2</v>
      </c>
      <c r="W3695">
        <v>0.17676610000000001</v>
      </c>
      <c r="X3695">
        <v>0.98400580000000004</v>
      </c>
      <c r="Y3695">
        <v>0.106004399999999</v>
      </c>
      <c r="Z3695">
        <v>1.920506E-3</v>
      </c>
      <c r="AA3695">
        <v>0.99436380000000002</v>
      </c>
      <c r="AB3695">
        <v>36</v>
      </c>
      <c r="AC3695">
        <v>-21.1311</v>
      </c>
      <c r="AD3695">
        <v>-1.109235318801</v>
      </c>
      <c r="AE3695">
        <v>2.62739999999999</v>
      </c>
      <c r="AF3695">
        <v>2.2901865294240098</v>
      </c>
      <c r="AG3695">
        <v>-1.109235318801</v>
      </c>
      <c r="AH3695">
        <v>21.112338521980501</v>
      </c>
      <c r="AI3695">
        <v>92.990027682407202</v>
      </c>
      <c r="AJ3695">
        <v>83.808978520775</v>
      </c>
      <c r="AK3695">
        <v>21.265140375711901</v>
      </c>
      <c r="AL3695">
        <v>79.818549440593799</v>
      </c>
      <c r="AM3695">
        <v>88.716121015422104</v>
      </c>
      <c r="AN3695">
        <v>1.00000000630707</v>
      </c>
    </row>
    <row r="3696" spans="1:40" x14ac:dyDescent="0.25">
      <c r="A3696" t="str">
        <f>"20190312172736919"</f>
        <v>20190312172736919</v>
      </c>
      <c r="B3696" t="str">
        <f>"1552382856912427"</f>
        <v>1552382856912427</v>
      </c>
      <c r="C3696" t="s">
        <v>40</v>
      </c>
      <c r="D3696">
        <v>3.3946909999999999</v>
      </c>
      <c r="E3696">
        <v>0.53460659999999904</v>
      </c>
      <c r="F3696" t="s">
        <v>50</v>
      </c>
      <c r="G3696">
        <v>-315.24979999999999</v>
      </c>
      <c r="H3696" s="1">
        <v>-8.7563689999999999E-6</v>
      </c>
      <c r="I3696">
        <v>144.47130000000001</v>
      </c>
      <c r="J3696">
        <v>-292.94639999999998</v>
      </c>
      <c r="K3696">
        <v>1.109235</v>
      </c>
      <c r="L3696">
        <v>141.71629999999999</v>
      </c>
      <c r="M3696">
        <v>-0.99975919999999896</v>
      </c>
      <c r="N3696">
        <v>0</v>
      </c>
      <c r="O3696">
        <v>1.633043E-2</v>
      </c>
      <c r="P3696">
        <v>-0.98606530000000003</v>
      </c>
      <c r="Q3696">
        <v>0.1621155</v>
      </c>
      <c r="R3696">
        <v>3.733773E-2</v>
      </c>
      <c r="S3696">
        <v>-3.0530400000000002</v>
      </c>
      <c r="T3696">
        <v>-0.14940239999999999</v>
      </c>
      <c r="U3696">
        <v>0.37193300000000001</v>
      </c>
      <c r="V3696">
        <v>2.1516009999999999E-2</v>
      </c>
      <c r="W3696">
        <v>0.1765272</v>
      </c>
      <c r="X3696">
        <v>0.98406059999999995</v>
      </c>
      <c r="Y3696">
        <v>0.1045973</v>
      </c>
      <c r="Z3696">
        <v>1.7527459999999999E-3</v>
      </c>
      <c r="AA3696">
        <v>0.99451310000000004</v>
      </c>
      <c r="AB3696">
        <v>36</v>
      </c>
      <c r="AC3696">
        <v>-22.3034</v>
      </c>
      <c r="AD3696">
        <v>-1.1092437563689901</v>
      </c>
      <c r="AE3696">
        <v>2.7550000000000199</v>
      </c>
      <c r="AF3696">
        <v>2.3845597291707699</v>
      </c>
      <c r="AG3696">
        <v>-1.1092437563689901</v>
      </c>
      <c r="AH3696">
        <v>22.291111951528901</v>
      </c>
      <c r="AI3696">
        <v>92.832651015374907</v>
      </c>
      <c r="AJ3696">
        <v>83.894086205320804</v>
      </c>
      <c r="AK3696">
        <v>22.445717160487899</v>
      </c>
      <c r="AL3696">
        <v>79.832456314005697</v>
      </c>
      <c r="AM3696">
        <v>88.747455008949999</v>
      </c>
      <c r="AN3696">
        <v>1.00000002774925</v>
      </c>
    </row>
    <row r="3697" spans="1:40" x14ac:dyDescent="0.25">
      <c r="A3697" t="str">
        <f>"20190312172736941"</f>
        <v>20190312172736941</v>
      </c>
      <c r="B3697" t="str">
        <f>"1552382856932922"</f>
        <v>1552382856932922</v>
      </c>
      <c r="C3697" t="s">
        <v>40</v>
      </c>
      <c r="D3697">
        <v>3.4329459999999998</v>
      </c>
      <c r="E3697">
        <v>0.53439780000000003</v>
      </c>
      <c r="F3697" t="s">
        <v>50</v>
      </c>
      <c r="G3697">
        <v>-316.3347</v>
      </c>
      <c r="H3697" s="1">
        <v>-8.2980900000000004E-6</v>
      </c>
      <c r="I3697">
        <v>144.55779999999999</v>
      </c>
      <c r="J3697">
        <v>-293.30459999999999</v>
      </c>
      <c r="K3697">
        <v>1.109246</v>
      </c>
      <c r="L3697">
        <v>141.72280000000001</v>
      </c>
      <c r="M3697">
        <v>-0.99974779999999996</v>
      </c>
      <c r="N3697">
        <v>0</v>
      </c>
      <c r="O3697">
        <v>1.700167E-2</v>
      </c>
      <c r="P3697">
        <v>-0.98600140000000003</v>
      </c>
      <c r="Q3697">
        <v>0.1624168</v>
      </c>
      <c r="R3697">
        <v>3.7713259999999998E-2</v>
      </c>
      <c r="S3697">
        <v>-3.0521850000000001</v>
      </c>
      <c r="T3697">
        <v>-0.14475660000000001</v>
      </c>
      <c r="U3697">
        <v>0.37081910000000001</v>
      </c>
      <c r="V3697">
        <v>2.1229089999999999E-2</v>
      </c>
      <c r="W3697">
        <v>0.1768361</v>
      </c>
      <c r="X3697">
        <v>0.98401139999999998</v>
      </c>
      <c r="Y3697">
        <v>0.1036135</v>
      </c>
      <c r="Z3697">
        <v>1.6438939999999999E-3</v>
      </c>
      <c r="AA3697">
        <v>0.99461630000000001</v>
      </c>
      <c r="AB3697">
        <v>36</v>
      </c>
      <c r="AC3697">
        <v>-23.030100000000001</v>
      </c>
      <c r="AD3697">
        <v>-1.10925429809</v>
      </c>
      <c r="AE3697">
        <v>2.8349999999999702</v>
      </c>
      <c r="AF3697">
        <v>2.4374276333255098</v>
      </c>
      <c r="AG3697">
        <v>-1.10925429809</v>
      </c>
      <c r="AH3697">
        <v>23.022362985576699</v>
      </c>
      <c r="AI3697">
        <v>92.743161638620506</v>
      </c>
      <c r="AJ3697">
        <v>83.956484549777599</v>
      </c>
      <c r="AK3697">
        <v>23.177590383928599</v>
      </c>
      <c r="AL3697">
        <v>79.814475073950007</v>
      </c>
      <c r="AM3697">
        <v>88.7640909419964</v>
      </c>
      <c r="AN3697">
        <v>1.00000005792769</v>
      </c>
    </row>
    <row r="3698" spans="1:40" x14ac:dyDescent="0.25">
      <c r="A3698" t="str">
        <f>"20190312172736963"</f>
        <v>20190312172736963</v>
      </c>
      <c r="B3698" t="str">
        <f>"1552382856952442"</f>
        <v>1552382856952442</v>
      </c>
      <c r="C3698" t="s">
        <v>40</v>
      </c>
      <c r="D3698">
        <v>3.4320810000000002</v>
      </c>
      <c r="E3698">
        <v>0.53421909999999995</v>
      </c>
      <c r="F3698" t="s">
        <v>50</v>
      </c>
      <c r="G3698">
        <v>-317.63170000000002</v>
      </c>
      <c r="H3698" s="1">
        <v>-7.7534519999999999E-6</v>
      </c>
      <c r="I3698">
        <v>144.67339999999999</v>
      </c>
      <c r="J3698">
        <v>-293.65460000000002</v>
      </c>
      <c r="K3698">
        <v>1.109253</v>
      </c>
      <c r="L3698">
        <v>141.7294</v>
      </c>
      <c r="M3698">
        <v>-0.99973650000000003</v>
      </c>
      <c r="N3698">
        <v>0</v>
      </c>
      <c r="O3698">
        <v>1.765415E-2</v>
      </c>
      <c r="P3698">
        <v>-0.9858671</v>
      </c>
      <c r="Q3698">
        <v>0.16299659999999999</v>
      </c>
      <c r="R3698">
        <v>3.8711759999999998E-2</v>
      </c>
      <c r="S3698">
        <v>-3.051361</v>
      </c>
      <c r="T3698">
        <v>-0.1391346</v>
      </c>
      <c r="U3698">
        <v>0.37008669999999999</v>
      </c>
      <c r="V3698">
        <v>2.1585210000000001E-2</v>
      </c>
      <c r="W3698">
        <v>0.1774194</v>
      </c>
      <c r="X3698">
        <v>0.98389859999999896</v>
      </c>
      <c r="Y3698">
        <v>0.10277</v>
      </c>
      <c r="Z3698">
        <v>1.531801E-3</v>
      </c>
      <c r="AA3698">
        <v>0.99470389999999997</v>
      </c>
      <c r="AB3698">
        <v>36</v>
      </c>
      <c r="AC3698">
        <v>-23.9771</v>
      </c>
      <c r="AD3698">
        <v>-1.109260753452</v>
      </c>
      <c r="AE3698">
        <v>2.94399999999998</v>
      </c>
      <c r="AF3698">
        <v>2.5148975173982002</v>
      </c>
      <c r="AG3698">
        <v>-1.109260753452</v>
      </c>
      <c r="AH3698">
        <v>23.974790792191801</v>
      </c>
      <c r="AI3698">
        <v>92.634625422739106</v>
      </c>
      <c r="AJ3698">
        <v>84.011711396441996</v>
      </c>
      <c r="AK3698">
        <v>24.131841257382899</v>
      </c>
      <c r="AL3698">
        <v>79.780517009948099</v>
      </c>
      <c r="AM3698">
        <v>88.743221021501995</v>
      </c>
      <c r="AN3698">
        <v>1.0000000099345301</v>
      </c>
    </row>
    <row r="3699" spans="1:40" x14ac:dyDescent="0.25">
      <c r="A3699" t="str">
        <f>"20190312172736987"</f>
        <v>20190312172736987</v>
      </c>
      <c r="B3699" t="str">
        <f>"1552382856982699"</f>
        <v>1552382856982699</v>
      </c>
      <c r="C3699" t="s">
        <v>40</v>
      </c>
      <c r="D3699">
        <v>3.4083739999999998</v>
      </c>
      <c r="E3699">
        <v>0.53397309999999998</v>
      </c>
      <c r="F3699" t="s">
        <v>50</v>
      </c>
      <c r="G3699">
        <v>-319.07510000000002</v>
      </c>
      <c r="H3699" s="1">
        <v>-7.1536969999999999E-6</v>
      </c>
      <c r="I3699">
        <v>144.8262</v>
      </c>
      <c r="J3699">
        <v>-294.03530000000001</v>
      </c>
      <c r="K3699">
        <v>1.109267</v>
      </c>
      <c r="L3699">
        <v>141.73679999999999</v>
      </c>
      <c r="M3699">
        <v>-0.99972369999999999</v>
      </c>
      <c r="N3699">
        <v>0</v>
      </c>
      <c r="O3699">
        <v>1.8357620000000002E-2</v>
      </c>
      <c r="P3699">
        <v>-0.98584590000000005</v>
      </c>
      <c r="Q3699">
        <v>0.1629787</v>
      </c>
      <c r="R3699">
        <v>3.9322219999999998E-2</v>
      </c>
      <c r="S3699">
        <v>-3.0504150000000001</v>
      </c>
      <c r="T3699">
        <v>-0.13310910000000001</v>
      </c>
      <c r="U3699">
        <v>0.37161250000000001</v>
      </c>
      <c r="V3699">
        <v>2.149947E-2</v>
      </c>
      <c r="W3699">
        <v>0.17740629999999999</v>
      </c>
      <c r="X3699">
        <v>0.98390279999999997</v>
      </c>
      <c r="Y3699">
        <v>0.1026054</v>
      </c>
      <c r="Z3699">
        <v>1.431805E-3</v>
      </c>
      <c r="AA3699">
        <v>0.99472110000000002</v>
      </c>
      <c r="AB3699">
        <v>36</v>
      </c>
      <c r="AC3699">
        <v>-25.0398</v>
      </c>
      <c r="AD3699">
        <v>-1.1092741536969899</v>
      </c>
      <c r="AE3699">
        <v>3.0894000000000101</v>
      </c>
      <c r="AF3699">
        <v>2.6240859742201699</v>
      </c>
      <c r="AG3699">
        <v>-1.1092741536969899</v>
      </c>
      <c r="AH3699">
        <v>25.043887248977001</v>
      </c>
      <c r="AI3699">
        <v>92.522365874127601</v>
      </c>
      <c r="AJ3699">
        <v>84.018403310515694</v>
      </c>
      <c r="AK3699">
        <v>25.205408246795599</v>
      </c>
      <c r="AL3699">
        <v>79.781279282919797</v>
      </c>
      <c r="AM3699">
        <v>88.748216904284504</v>
      </c>
      <c r="AN3699">
        <v>0.99999997116890404</v>
      </c>
    </row>
    <row r="3700" spans="1:40" x14ac:dyDescent="0.25">
      <c r="A3700" t="str">
        <f>"20190312172737011"</f>
        <v>20190312172737011</v>
      </c>
      <c r="B3700" t="str">
        <f>"1552382857003194"</f>
        <v>1552382857003194</v>
      </c>
      <c r="C3700" t="s">
        <v>40</v>
      </c>
      <c r="D3700">
        <v>3.3721899999999998</v>
      </c>
      <c r="E3700">
        <v>0.53385340000000003</v>
      </c>
      <c r="F3700" t="s">
        <v>41</v>
      </c>
      <c r="G3700">
        <v>-320.64670000000001</v>
      </c>
      <c r="H3700" s="1">
        <v>-5.0077369999999999E-6</v>
      </c>
      <c r="I3700">
        <v>144.982</v>
      </c>
      <c r="J3700">
        <v>-294.39460000000003</v>
      </c>
      <c r="K3700">
        <v>1.109281</v>
      </c>
      <c r="L3700">
        <v>141.7441</v>
      </c>
      <c r="M3700">
        <v>-0.99971160000000003</v>
      </c>
      <c r="N3700">
        <v>0</v>
      </c>
      <c r="O3700">
        <v>1.9007050000000001E-2</v>
      </c>
      <c r="P3700">
        <v>-0.98579559999999999</v>
      </c>
      <c r="Q3700">
        <v>0.16320960000000001</v>
      </c>
      <c r="R3700">
        <v>3.9622549999999999E-2</v>
      </c>
      <c r="S3700">
        <v>-3.049255</v>
      </c>
      <c r="T3700">
        <v>-0.1271061</v>
      </c>
      <c r="U3700">
        <v>0.37185669999999998</v>
      </c>
      <c r="V3700">
        <v>2.115622E-2</v>
      </c>
      <c r="W3700">
        <v>0.1776414</v>
      </c>
      <c r="X3700">
        <v>0.98386790000000002</v>
      </c>
      <c r="Y3700">
        <v>0.102091</v>
      </c>
      <c r="Z3700">
        <v>1.33017799999999E-3</v>
      </c>
      <c r="AA3700">
        <v>0.99477420000000005</v>
      </c>
      <c r="AB3700">
        <v>36</v>
      </c>
      <c r="AC3700">
        <v>-26.252099999999899</v>
      </c>
      <c r="AD3700">
        <v>-1.1092860077369999</v>
      </c>
      <c r="AE3700">
        <v>3.23789999999999</v>
      </c>
      <c r="AF3700">
        <v>2.7334787257667901</v>
      </c>
      <c r="AG3700">
        <v>-1.1092860077369999</v>
      </c>
      <c r="AH3700">
        <v>26.262716753349402</v>
      </c>
      <c r="AI3700">
        <v>92.405644720994104</v>
      </c>
      <c r="AJ3700">
        <v>84.057930259193498</v>
      </c>
      <c r="AK3700">
        <v>26.427877566271601</v>
      </c>
      <c r="AL3700">
        <v>79.767592438274903</v>
      </c>
      <c r="AM3700">
        <v>88.768152370616207</v>
      </c>
      <c r="AN3700">
        <v>1.00000004864452</v>
      </c>
    </row>
    <row r="3701" spans="1:40" x14ac:dyDescent="0.25">
      <c r="A3701" t="str">
        <f>"20190312172737033"</f>
        <v>20190312172737033</v>
      </c>
      <c r="B3701" t="str">
        <f>"1552382857022714"</f>
        <v>1552382857022714</v>
      </c>
      <c r="C3701" t="s">
        <v>40</v>
      </c>
      <c r="D3701">
        <v>3.3613400000000002</v>
      </c>
      <c r="E3701">
        <v>0.53377909999999995</v>
      </c>
      <c r="F3701" t="s">
        <v>41</v>
      </c>
      <c r="G3701">
        <v>-321.93349999999998</v>
      </c>
      <c r="H3701" s="1">
        <v>-4.5921329999999999E-6</v>
      </c>
      <c r="I3701">
        <v>145.1078</v>
      </c>
      <c r="J3701">
        <v>-294.75709999999998</v>
      </c>
      <c r="K3701">
        <v>1.109299</v>
      </c>
      <c r="L3701">
        <v>141.7517</v>
      </c>
      <c r="M3701">
        <v>-0.99969929999999996</v>
      </c>
      <c r="N3701">
        <v>0</v>
      </c>
      <c r="O3701">
        <v>1.9639319999999998E-2</v>
      </c>
      <c r="P3701">
        <v>-0.98577429999999999</v>
      </c>
      <c r="Q3701">
        <v>0.163247799999999</v>
      </c>
      <c r="R3701">
        <v>3.9994719999999997E-2</v>
      </c>
      <c r="S3701">
        <v>-3.048584</v>
      </c>
      <c r="T3701">
        <v>-0.1227993</v>
      </c>
      <c r="U3701">
        <v>0.37237550000000003</v>
      </c>
      <c r="V3701">
        <v>2.0897889999999999E-2</v>
      </c>
      <c r="W3701">
        <v>0.1776827</v>
      </c>
      <c r="X3701">
        <v>0.98386589999999996</v>
      </c>
      <c r="Y3701">
        <v>0.1016605</v>
      </c>
      <c r="Z3701">
        <v>1.2514290000000001E-3</v>
      </c>
      <c r="AA3701">
        <v>0.99481839999999999</v>
      </c>
      <c r="AB3701">
        <v>36</v>
      </c>
      <c r="AC3701">
        <v>-27.176400000000001</v>
      </c>
      <c r="AD3701">
        <v>-1.1093035921329999</v>
      </c>
      <c r="AE3701">
        <v>3.3560999999999899</v>
      </c>
      <c r="AF3701">
        <v>2.8170458598526702</v>
      </c>
      <c r="AG3701">
        <v>-1.1093035921329999</v>
      </c>
      <c r="AH3701">
        <v>27.192449561498599</v>
      </c>
      <c r="AI3701">
        <v>92.323637986008194</v>
      </c>
      <c r="AJ3701">
        <v>84.085449524423296</v>
      </c>
      <c r="AK3701">
        <v>27.360475416020801</v>
      </c>
      <c r="AL3701">
        <v>79.765187226192694</v>
      </c>
      <c r="AM3701">
        <v>88.783186938059799</v>
      </c>
      <c r="AN3701">
        <v>0.99999998643427501</v>
      </c>
    </row>
    <row r="3702" spans="1:40" x14ac:dyDescent="0.25">
      <c r="A3702" t="str">
        <f>"20190312172737056"</f>
        <v>20190312172737056</v>
      </c>
      <c r="B3702" t="str">
        <f>"1552382857052971"</f>
        <v>1552382857052971</v>
      </c>
      <c r="C3702" t="s">
        <v>40</v>
      </c>
      <c r="D3702">
        <v>3.352665</v>
      </c>
      <c r="E3702">
        <v>0.53368070000000001</v>
      </c>
      <c r="F3702" t="s">
        <v>41</v>
      </c>
      <c r="G3702">
        <v>-323.01580000000001</v>
      </c>
      <c r="H3702" s="1">
        <v>-4.241486E-6</v>
      </c>
      <c r="I3702">
        <v>145.2073</v>
      </c>
      <c r="J3702">
        <v>-295.13060000000002</v>
      </c>
      <c r="K3702">
        <v>1.1093219999999999</v>
      </c>
      <c r="L3702">
        <v>141.75960000000001</v>
      </c>
      <c r="M3702">
        <v>-0.99968679999999999</v>
      </c>
      <c r="N3702">
        <v>0</v>
      </c>
      <c r="O3702">
        <v>2.0265720000000001E-2</v>
      </c>
      <c r="P3702">
        <v>-0.98571710000000001</v>
      </c>
      <c r="Q3702">
        <v>0.1634815</v>
      </c>
      <c r="R3702">
        <v>4.0441629999999999E-2</v>
      </c>
      <c r="S3702">
        <v>-3.0479430000000001</v>
      </c>
      <c r="T3702">
        <v>-0.1196482</v>
      </c>
      <c r="U3702">
        <v>0.37272640000000001</v>
      </c>
      <c r="V3702">
        <v>2.071831E-2</v>
      </c>
      <c r="W3702">
        <v>0.1779182</v>
      </c>
      <c r="X3702">
        <v>0.98382720000000001</v>
      </c>
      <c r="Y3702">
        <v>0.1011793</v>
      </c>
      <c r="Z3702">
        <v>1.1857079999999999E-3</v>
      </c>
      <c r="AA3702">
        <v>0.99486750000000002</v>
      </c>
      <c r="AB3702">
        <v>36</v>
      </c>
      <c r="AC3702">
        <v>-27.885200000000001</v>
      </c>
      <c r="AD3702">
        <v>-1.1093262414859999</v>
      </c>
      <c r="AE3702">
        <v>3.44769999999999</v>
      </c>
      <c r="AF3702">
        <v>2.8773321027350498</v>
      </c>
      <c r="AG3702">
        <v>-1.1093262414859999</v>
      </c>
      <c r="AH3702">
        <v>27.905850777875902</v>
      </c>
      <c r="AI3702">
        <v>92.2644568883847</v>
      </c>
      <c r="AJ3702">
        <v>84.113117720520194</v>
      </c>
      <c r="AK3702">
        <v>28.075721760563098</v>
      </c>
      <c r="AL3702">
        <v>79.751476222468497</v>
      </c>
      <c r="AM3702">
        <v>88.793592727775206</v>
      </c>
      <c r="AN3702">
        <v>1.00000004686016</v>
      </c>
    </row>
    <row r="3703" spans="1:40" x14ac:dyDescent="0.25">
      <c r="A3703" t="str">
        <f>"20190312172737076"</f>
        <v>20190312172737076</v>
      </c>
      <c r="B3703" t="str">
        <f>"1552382857072492"</f>
        <v>1552382857072492</v>
      </c>
      <c r="C3703" t="s">
        <v>40</v>
      </c>
      <c r="D3703">
        <v>3.2935099999999999</v>
      </c>
      <c r="E3703">
        <v>0.53359429999999997</v>
      </c>
      <c r="F3703" t="s">
        <v>41</v>
      </c>
      <c r="G3703">
        <v>-324.5607</v>
      </c>
      <c r="H3703" s="1">
        <v>-3.7430450000000002E-6</v>
      </c>
      <c r="I3703">
        <v>145.3613</v>
      </c>
      <c r="J3703">
        <v>-295.44560000000001</v>
      </c>
      <c r="K3703">
        <v>1.1093459999999999</v>
      </c>
      <c r="L3703">
        <v>141.76650000000001</v>
      </c>
      <c r="M3703">
        <v>-0.99967649999999997</v>
      </c>
      <c r="N3703">
        <v>0</v>
      </c>
      <c r="O3703">
        <v>2.0764009999999999E-2</v>
      </c>
      <c r="P3703">
        <v>-0.98587100000000005</v>
      </c>
      <c r="Q3703">
        <v>0.16264609999999999</v>
      </c>
      <c r="R3703">
        <v>4.0058080000000003E-2</v>
      </c>
      <c r="S3703">
        <v>-3.0472109999999999</v>
      </c>
      <c r="T3703">
        <v>-0.114860199999999</v>
      </c>
      <c r="U3703">
        <v>0.3729248</v>
      </c>
      <c r="V3703">
        <v>1.9828269999999999E-2</v>
      </c>
      <c r="W3703">
        <v>0.1770881</v>
      </c>
      <c r="X3703">
        <v>0.98399530000000002</v>
      </c>
      <c r="Y3703">
        <v>0.10078139999999999</v>
      </c>
      <c r="Z3703">
        <v>1.112399E-3</v>
      </c>
      <c r="AA3703">
        <v>0.99490800000000001</v>
      </c>
      <c r="AB3703">
        <v>35</v>
      </c>
      <c r="AC3703">
        <v>-29.115099999999899</v>
      </c>
      <c r="AD3703">
        <v>-1.1093497430449999</v>
      </c>
      <c r="AE3703">
        <v>3.59479999999999</v>
      </c>
      <c r="AF3703">
        <v>2.9851446616849402</v>
      </c>
      <c r="AG3703">
        <v>-1.1093497430449999</v>
      </c>
      <c r="AH3703">
        <v>29.141799911597602</v>
      </c>
      <c r="AI3703">
        <v>92.168705731099195</v>
      </c>
      <c r="AJ3703">
        <v>84.151298003042498</v>
      </c>
      <c r="AK3703">
        <v>29.315290337828301</v>
      </c>
      <c r="AL3703">
        <v>79.799804959053702</v>
      </c>
      <c r="AM3703">
        <v>88.8456017481587</v>
      </c>
      <c r="AN3703">
        <v>1.00000005293744</v>
      </c>
    </row>
    <row r="3704" spans="1:40" x14ac:dyDescent="0.25">
      <c r="A3704" t="str">
        <f>"20190312172737096"</f>
        <v>20190312172737096</v>
      </c>
      <c r="B3704" t="str">
        <f>"1552382857092986"</f>
        <v>1552382857092986</v>
      </c>
      <c r="C3704" t="s">
        <v>40</v>
      </c>
      <c r="D3704">
        <v>3.2989329999999999</v>
      </c>
      <c r="E3704">
        <v>0.53354440000000003</v>
      </c>
      <c r="F3704" t="s">
        <v>41</v>
      </c>
      <c r="G3704">
        <v>-324.79140000000001</v>
      </c>
      <c r="H3704" s="1">
        <v>-3.6608390000000002E-6</v>
      </c>
      <c r="I3704">
        <v>145.34039999999999</v>
      </c>
      <c r="J3704">
        <v>-295.77460000000002</v>
      </c>
      <c r="K3704">
        <v>1.109375</v>
      </c>
      <c r="L3704">
        <v>141.7739</v>
      </c>
      <c r="M3704">
        <v>-0.99966670000000002</v>
      </c>
      <c r="N3704">
        <v>0</v>
      </c>
      <c r="O3704">
        <v>2.1239669999999999E-2</v>
      </c>
      <c r="P3704">
        <v>-0.98596510000000004</v>
      </c>
      <c r="Q3704">
        <v>0.162055</v>
      </c>
      <c r="R3704">
        <v>4.0141719999999999E-2</v>
      </c>
      <c r="S3704">
        <v>-3.0469059999999999</v>
      </c>
      <c r="T3704">
        <v>-0.1151814</v>
      </c>
      <c r="U3704">
        <v>0.37107849999999998</v>
      </c>
      <c r="V3704">
        <v>1.9424839999999999E-2</v>
      </c>
      <c r="W3704">
        <v>0.1765005</v>
      </c>
      <c r="X3704">
        <v>0.98410889999999995</v>
      </c>
      <c r="Y3704">
        <v>9.9726759999999998E-2</v>
      </c>
      <c r="Z3704">
        <v>1.077908E-3</v>
      </c>
      <c r="AA3704">
        <v>0.99501430000000002</v>
      </c>
      <c r="AB3704">
        <v>35</v>
      </c>
      <c r="AC3704">
        <v>-29.0167999999999</v>
      </c>
      <c r="AD3704">
        <v>-1.1093786608389999</v>
      </c>
      <c r="AE3704">
        <v>3.5664999999999898</v>
      </c>
      <c r="AF3704">
        <v>2.9450808557099801</v>
      </c>
      <c r="AG3704">
        <v>-1.1093786608389999</v>
      </c>
      <c r="AH3704">
        <v>29.044189910778002</v>
      </c>
      <c r="AI3704">
        <v>92.176270868498904</v>
      </c>
      <c r="AJ3704">
        <v>84.209998030549201</v>
      </c>
      <c r="AK3704">
        <v>29.214195005735402</v>
      </c>
      <c r="AL3704">
        <v>79.834010630525896</v>
      </c>
      <c r="AM3704">
        <v>88.869213718411501</v>
      </c>
      <c r="AN3704">
        <v>1.0000000389842401</v>
      </c>
    </row>
    <row r="3705" spans="1:40" x14ac:dyDescent="0.25">
      <c r="A3705" t="str">
        <f>"20190312172737121"</f>
        <v>20190312172737121</v>
      </c>
      <c r="B3705" t="str">
        <f>"1552382857113483"</f>
        <v>1552382857113483</v>
      </c>
      <c r="C3705" t="s">
        <v>40</v>
      </c>
      <c r="D3705">
        <v>3.3030240000000002</v>
      </c>
      <c r="E3705">
        <v>0.53350339999999996</v>
      </c>
      <c r="F3705" t="s">
        <v>41</v>
      </c>
      <c r="G3705">
        <v>-325.16359999999997</v>
      </c>
      <c r="H3705" s="1">
        <v>-3.5358760000000001E-6</v>
      </c>
      <c r="I3705">
        <v>145.35</v>
      </c>
      <c r="J3705">
        <v>-296.14640000000003</v>
      </c>
      <c r="K3705">
        <v>1.1094310000000001</v>
      </c>
      <c r="L3705">
        <v>141.78229999999999</v>
      </c>
      <c r="M3705">
        <v>-0.99965669999999995</v>
      </c>
      <c r="N3705">
        <v>0</v>
      </c>
      <c r="O3705">
        <v>2.170673E-2</v>
      </c>
      <c r="P3705">
        <v>-0.98611179999999998</v>
      </c>
      <c r="Q3705">
        <v>0.16120209999999999</v>
      </c>
      <c r="R3705">
        <v>3.9969320000000003E-2</v>
      </c>
      <c r="S3705">
        <v>-3.046478</v>
      </c>
      <c r="T3705">
        <v>-0.1149988</v>
      </c>
      <c r="U3705">
        <v>0.37071229999999999</v>
      </c>
      <c r="V3705">
        <v>1.8764320000000001E-2</v>
      </c>
      <c r="W3705">
        <v>0.175652799999999</v>
      </c>
      <c r="X3705">
        <v>0.98427330000000002</v>
      </c>
      <c r="Y3705">
        <v>9.9161600000000003E-2</v>
      </c>
      <c r="Z3705">
        <v>1.0481869999999999E-3</v>
      </c>
      <c r="AA3705">
        <v>0.99507080000000003</v>
      </c>
      <c r="AB3705">
        <v>35</v>
      </c>
      <c r="AC3705">
        <v>-29.0171999999999</v>
      </c>
      <c r="AD3705">
        <v>-1.1094345358759901</v>
      </c>
      <c r="AE3705">
        <v>3.5676999999999999</v>
      </c>
      <c r="AF3705">
        <v>2.9326996383190398</v>
      </c>
      <c r="AG3705">
        <v>-1.1094345358759901</v>
      </c>
      <c r="AH3705">
        <v>29.045985423291199</v>
      </c>
      <c r="AI3705">
        <v>92.176340156807498</v>
      </c>
      <c r="AJ3705">
        <v>84.234529065285599</v>
      </c>
      <c r="AK3705">
        <v>29.214736715706199</v>
      </c>
      <c r="AL3705">
        <v>79.883350404843</v>
      </c>
      <c r="AM3705">
        <v>88.907837769643507</v>
      </c>
      <c r="AN3705">
        <v>0.99999996747289499</v>
      </c>
    </row>
    <row r="3706" spans="1:40" x14ac:dyDescent="0.25">
      <c r="A3706" t="str">
        <f>"20190312172737144"</f>
        <v>20190312172737144</v>
      </c>
      <c r="B3706" t="str">
        <f>"1552382857133322"</f>
        <v>1552382857133322</v>
      </c>
      <c r="C3706" t="s">
        <v>40</v>
      </c>
      <c r="D3706">
        <v>3.5768990000000001</v>
      </c>
      <c r="E3706">
        <v>0.53350580000000003</v>
      </c>
      <c r="F3706" t="s">
        <v>41</v>
      </c>
      <c r="G3706">
        <v>-325.40440000000001</v>
      </c>
      <c r="H3706" s="1">
        <v>-3.4515279999999998E-6</v>
      </c>
      <c r="I3706">
        <v>145.3364</v>
      </c>
      <c r="J3706">
        <v>-296.51280000000003</v>
      </c>
      <c r="K3706">
        <v>1.1095010000000001</v>
      </c>
      <c r="L3706">
        <v>141.79060000000001</v>
      </c>
      <c r="M3706">
        <v>-0.99964819999999999</v>
      </c>
      <c r="N3706">
        <v>0</v>
      </c>
      <c r="O3706">
        <v>2.208659E-2</v>
      </c>
      <c r="P3706">
        <v>-0.98619780000000001</v>
      </c>
      <c r="Q3706">
        <v>0.16081870000000001</v>
      </c>
      <c r="R3706">
        <v>3.9385969999999999E-2</v>
      </c>
      <c r="S3706">
        <v>-3.0461429999999998</v>
      </c>
      <c r="T3706">
        <v>-0.11550680000000001</v>
      </c>
      <c r="U3706">
        <v>0.37004090000000001</v>
      </c>
      <c r="V3706">
        <v>1.7776589999999998E-2</v>
      </c>
      <c r="W3706">
        <v>0.1752735</v>
      </c>
      <c r="X3706">
        <v>0.98435930000000005</v>
      </c>
      <c r="Y3706">
        <v>9.8580660000000001E-2</v>
      </c>
      <c r="Z3706">
        <v>1.027636E-3</v>
      </c>
      <c r="AA3706">
        <v>0.99512849999999997</v>
      </c>
      <c r="AB3706">
        <v>35</v>
      </c>
      <c r="AC3706">
        <v>-28.891599999999901</v>
      </c>
      <c r="AD3706">
        <v>-1.1095044515279999</v>
      </c>
      <c r="AE3706">
        <v>3.5457999999999799</v>
      </c>
      <c r="AF3706">
        <v>2.9025321551552299</v>
      </c>
      <c r="AG3706">
        <v>-1.1095044515279999</v>
      </c>
      <c r="AH3706">
        <v>28.9208559702532</v>
      </c>
      <c r="AI3706">
        <v>92.186016781985003</v>
      </c>
      <c r="AJ3706">
        <v>84.268916587312305</v>
      </c>
      <c r="AK3706">
        <v>29.087310000957402</v>
      </c>
      <c r="AL3706">
        <v>79.905425690588501</v>
      </c>
      <c r="AM3706">
        <v>88.965405335849795</v>
      </c>
      <c r="AN3706">
        <v>1.00000001922538</v>
      </c>
    </row>
    <row r="3707" spans="1:40" x14ac:dyDescent="0.25">
      <c r="A3707" t="str">
        <f>"20190312172737165"</f>
        <v>20190312172737165</v>
      </c>
      <c r="B3707" t="str">
        <f>"1552382857162603"</f>
        <v>1552382857162603</v>
      </c>
      <c r="C3707" t="s">
        <v>40</v>
      </c>
      <c r="D3707">
        <v>3.2939199999999902</v>
      </c>
      <c r="E3707">
        <v>0.50812539999999995</v>
      </c>
      <c r="F3707" t="s">
        <v>41</v>
      </c>
      <c r="G3707">
        <v>-326.0324</v>
      </c>
      <c r="H3707" s="1">
        <v>-3.2133350000000001E-6</v>
      </c>
      <c r="I3707">
        <v>145.36259999999999</v>
      </c>
      <c r="J3707">
        <v>-296.85489999999999</v>
      </c>
      <c r="K3707">
        <v>1.109575</v>
      </c>
      <c r="L3707">
        <v>141.79849999999999</v>
      </c>
      <c r="M3707">
        <v>-0.99964209999999998</v>
      </c>
      <c r="N3707">
        <v>0</v>
      </c>
      <c r="O3707">
        <v>2.236606E-2</v>
      </c>
      <c r="P3707">
        <v>-0.98619939999999995</v>
      </c>
      <c r="Q3707">
        <v>0.16090309999999999</v>
      </c>
      <c r="R3707">
        <v>3.9000710000000001E-2</v>
      </c>
      <c r="S3707">
        <v>-3.0459290000000001</v>
      </c>
      <c r="T3707">
        <v>-0.1144823</v>
      </c>
      <c r="U3707">
        <v>0.36857600000000001</v>
      </c>
      <c r="V3707">
        <v>1.7087789999999999E-2</v>
      </c>
      <c r="W3707">
        <v>0.1753594</v>
      </c>
      <c r="X3707">
        <v>0.98435620000000001</v>
      </c>
      <c r="Y3707">
        <v>9.7840789999999997E-2</v>
      </c>
      <c r="Z3707">
        <v>9.9432399999999999E-4</v>
      </c>
      <c r="AA3707">
        <v>0.99520160000000002</v>
      </c>
      <c r="AB3707">
        <v>35</v>
      </c>
      <c r="AC3707">
        <v>-29.177499999999998</v>
      </c>
      <c r="AD3707">
        <v>-1.1095782133350001</v>
      </c>
      <c r="AE3707">
        <v>3.5640999999999901</v>
      </c>
      <c r="AF3707">
        <v>2.9064108486140898</v>
      </c>
      <c r="AG3707">
        <v>-1.1095782133350001</v>
      </c>
      <c r="AH3707">
        <v>29.208303893362</v>
      </c>
      <c r="AI3707">
        <v>92.164850783896597</v>
      </c>
      <c r="AJ3707">
        <v>84.317413923793595</v>
      </c>
      <c r="AK3707">
        <v>29.373515352429902</v>
      </c>
      <c r="AL3707">
        <v>79.900426566315701</v>
      </c>
      <c r="AM3707">
        <v>89.005482039448907</v>
      </c>
      <c r="AN3707">
        <v>1.0000000201069399</v>
      </c>
    </row>
    <row r="3708" spans="1:40" x14ac:dyDescent="0.25">
      <c r="A3708" t="str">
        <f>"20190312172737187"</f>
        <v>20190312172737187</v>
      </c>
      <c r="B3708" t="str">
        <f>"1552382857183099"</f>
        <v>1552382857183099</v>
      </c>
      <c r="C3708" t="s">
        <v>40</v>
      </c>
      <c r="D3708">
        <v>3.3003079999999998</v>
      </c>
      <c r="E3708">
        <v>0.50604459999999996</v>
      </c>
      <c r="F3708" t="s">
        <v>41</v>
      </c>
      <c r="G3708">
        <v>-325.25810000000001</v>
      </c>
      <c r="H3708" s="1">
        <v>-3.0060749999999998E-6</v>
      </c>
      <c r="I3708">
        <v>143.33510000000001</v>
      </c>
      <c r="J3708">
        <v>-297.20209999999997</v>
      </c>
      <c r="K3708">
        <v>1.1096469999999901</v>
      </c>
      <c r="L3708">
        <v>141.8065</v>
      </c>
      <c r="M3708">
        <v>-0.9996372</v>
      </c>
      <c r="N3708">
        <v>0</v>
      </c>
      <c r="O3708">
        <v>2.2579309999999998E-2</v>
      </c>
      <c r="P3708">
        <v>-0.98610399999999998</v>
      </c>
      <c r="Q3708">
        <v>0.16161130000000001</v>
      </c>
      <c r="R3708">
        <v>3.8480109999999998E-2</v>
      </c>
      <c r="S3708">
        <v>-3.054932</v>
      </c>
      <c r="T3708">
        <v>-0.11934210000000001</v>
      </c>
      <c r="U3708">
        <v>0.16528319999999999</v>
      </c>
      <c r="V3708">
        <v>1.633192E-2</v>
      </c>
      <c r="W3708">
        <v>0.17606769999999999</v>
      </c>
      <c r="X3708">
        <v>0.98424259999999997</v>
      </c>
      <c r="Y3708">
        <v>3.145543E-2</v>
      </c>
      <c r="Z3708">
        <v>-2.6726719999999997E-4</v>
      </c>
      <c r="AA3708">
        <v>0.99950510000000004</v>
      </c>
      <c r="AB3708">
        <v>35</v>
      </c>
      <c r="AC3708">
        <v>-28.056000000000001</v>
      </c>
      <c r="AD3708">
        <v>-1.1096500060750001</v>
      </c>
      <c r="AE3708">
        <v>1.52860000000001</v>
      </c>
      <c r="AF3708">
        <v>0.89326357297776704</v>
      </c>
      <c r="AG3708">
        <v>-1.1096500060750001</v>
      </c>
      <c r="AH3708">
        <v>28.039631547144399</v>
      </c>
      <c r="AI3708">
        <v>92.265112340098398</v>
      </c>
      <c r="AJ3708">
        <v>88.175335177133505</v>
      </c>
      <c r="AK3708">
        <v>28.075793492729701</v>
      </c>
      <c r="AL3708">
        <v>79.859202688345107</v>
      </c>
      <c r="AM3708">
        <v>89.049356105682605</v>
      </c>
      <c r="AN3708">
        <v>1.0000000311244599</v>
      </c>
    </row>
    <row r="3709" spans="1:40" x14ac:dyDescent="0.25">
      <c r="A3709" t="str">
        <f>"20190312172737211"</f>
        <v>20190312172737211</v>
      </c>
      <c r="B3709" t="str">
        <f>"1552382857202619"</f>
        <v>1552382857202619</v>
      </c>
      <c r="C3709" t="s">
        <v>40</v>
      </c>
      <c r="D3709">
        <v>3.2947250000000001</v>
      </c>
      <c r="E3709">
        <v>0.50507469999999999</v>
      </c>
      <c r="F3709" t="s">
        <v>41</v>
      </c>
      <c r="G3709">
        <v>-326.48390000000001</v>
      </c>
      <c r="H3709" s="1">
        <v>-2.4492070000000002E-6</v>
      </c>
      <c r="I3709">
        <v>143.21870000000001</v>
      </c>
      <c r="J3709">
        <v>-297.56670000000003</v>
      </c>
      <c r="K3709">
        <v>1.109715</v>
      </c>
      <c r="L3709">
        <v>141.81489999999999</v>
      </c>
      <c r="M3709">
        <v>-0.99963380000000002</v>
      </c>
      <c r="N3709">
        <v>0</v>
      </c>
      <c r="O3709">
        <v>2.273501E-2</v>
      </c>
      <c r="P3709">
        <v>-0.98600290000000002</v>
      </c>
      <c r="Q3709">
        <v>0.16237660000000001</v>
      </c>
      <c r="R3709">
        <v>3.7844910000000002E-2</v>
      </c>
      <c r="S3709">
        <v>-3.055542</v>
      </c>
      <c r="T3709">
        <v>-0.11579159999999999</v>
      </c>
      <c r="U3709">
        <v>0.14736939999999901</v>
      </c>
      <c r="V3709">
        <v>1.5520859999999999E-2</v>
      </c>
      <c r="W3709">
        <v>0.1768323</v>
      </c>
      <c r="X3709">
        <v>0.98411859999999995</v>
      </c>
      <c r="Y3709">
        <v>2.5448740000000001E-2</v>
      </c>
      <c r="Z3709">
        <v>-3.7892250000000002E-4</v>
      </c>
      <c r="AA3709">
        <v>0.99967600000000001</v>
      </c>
      <c r="AB3709">
        <v>35</v>
      </c>
      <c r="AC3709">
        <v>-28.917199999999902</v>
      </c>
      <c r="AD3709">
        <v>-1.1097174492069899</v>
      </c>
      <c r="AE3709">
        <v>1.4038000000000099</v>
      </c>
      <c r="AF3709">
        <v>0.74483909246098701</v>
      </c>
      <c r="AG3709">
        <v>-1.1097174492069899</v>
      </c>
      <c r="AH3709">
        <v>28.8991833225855</v>
      </c>
      <c r="AI3709">
        <v>92.198325995401305</v>
      </c>
      <c r="AJ3709">
        <v>88.523602206632802</v>
      </c>
      <c r="AK3709">
        <v>28.9300718077771</v>
      </c>
      <c r="AL3709">
        <v>79.8146955759495</v>
      </c>
      <c r="AM3709">
        <v>89.096444217410294</v>
      </c>
      <c r="AN3709">
        <v>0.99999998914219401</v>
      </c>
    </row>
    <row r="3710" spans="1:40" x14ac:dyDescent="0.25">
      <c r="A3710" t="str">
        <f>"20190312172737234"</f>
        <v>20190312172737234</v>
      </c>
      <c r="B3710" t="str">
        <f>"1552382857223114"</f>
        <v>1552382857223114</v>
      </c>
      <c r="C3710" t="s">
        <v>40</v>
      </c>
      <c r="D3710">
        <v>3.3140890000000001</v>
      </c>
      <c r="E3710">
        <v>0.50469459999999999</v>
      </c>
      <c r="F3710" t="s">
        <v>41</v>
      </c>
      <c r="G3710">
        <v>-326.6422</v>
      </c>
      <c r="H3710" s="1">
        <v>-2.357481E-6</v>
      </c>
      <c r="I3710">
        <v>143.1292</v>
      </c>
      <c r="J3710">
        <v>-297.92840000000001</v>
      </c>
      <c r="K3710">
        <v>1.109766</v>
      </c>
      <c r="L3710">
        <v>141.82329999999999</v>
      </c>
      <c r="M3710">
        <v>-0.99963150000000001</v>
      </c>
      <c r="N3710">
        <v>0</v>
      </c>
      <c r="O3710">
        <v>2.2842910000000001E-2</v>
      </c>
      <c r="P3710">
        <v>-0.98587599999999997</v>
      </c>
      <c r="Q3710">
        <v>0.16342999999999999</v>
      </c>
      <c r="R3710">
        <v>3.659681E-2</v>
      </c>
      <c r="S3710">
        <v>-3.0564580000000001</v>
      </c>
      <c r="T3710">
        <v>-0.11665499999999999</v>
      </c>
      <c r="U3710">
        <v>0.13816829999999999</v>
      </c>
      <c r="V3710">
        <v>1.415048E-2</v>
      </c>
      <c r="W3710">
        <v>0.1778835</v>
      </c>
      <c r="X3710">
        <v>0.98394979999999999</v>
      </c>
      <c r="Y3710">
        <v>2.23258E-2</v>
      </c>
      <c r="Z3710">
        <v>-4.453228E-4</v>
      </c>
      <c r="AA3710">
        <v>0.99975069999999999</v>
      </c>
      <c r="AB3710">
        <v>35</v>
      </c>
      <c r="AC3710">
        <v>-28.7137999999999</v>
      </c>
      <c r="AD3710">
        <v>-1.109768357481</v>
      </c>
      <c r="AE3710">
        <v>1.3059000000000001</v>
      </c>
      <c r="AF3710">
        <v>0.64861500100587699</v>
      </c>
      <c r="AG3710">
        <v>-1.109768357481</v>
      </c>
      <c r="AH3710">
        <v>28.6933669862862</v>
      </c>
      <c r="AI3710">
        <v>92.214349779492096</v>
      </c>
      <c r="AJ3710">
        <v>88.705046566745096</v>
      </c>
      <c r="AK3710">
        <v>28.722144701196999</v>
      </c>
      <c r="AL3710">
        <v>79.753496049160304</v>
      </c>
      <c r="AM3710">
        <v>89.176068845658705</v>
      </c>
      <c r="AN3710">
        <v>0.99999999228825998</v>
      </c>
    </row>
    <row r="3711" spans="1:40" x14ac:dyDescent="0.25">
      <c r="A3711" t="str">
        <f>"20190312172737256"</f>
        <v>20190312172737256</v>
      </c>
      <c r="B3711" t="str">
        <f>"1552382857253371"</f>
        <v>1552382857253371</v>
      </c>
      <c r="C3711" t="s">
        <v>40</v>
      </c>
      <c r="D3711">
        <v>3.2899600000000002</v>
      </c>
      <c r="E3711">
        <v>0.50425039999999999</v>
      </c>
      <c r="F3711" t="s">
        <v>41</v>
      </c>
      <c r="G3711">
        <v>-327.31200000000001</v>
      </c>
      <c r="H3711" s="1">
        <v>-2.0583470000000001E-6</v>
      </c>
      <c r="I3711">
        <v>143.0849</v>
      </c>
      <c r="J3711">
        <v>-298.2731</v>
      </c>
      <c r="K3711">
        <v>1.1098030000000001</v>
      </c>
      <c r="L3711">
        <v>141.8313</v>
      </c>
      <c r="M3711">
        <v>-0.99962969999999896</v>
      </c>
      <c r="N3711">
        <v>0</v>
      </c>
      <c r="O3711">
        <v>2.291866E-2</v>
      </c>
      <c r="P3711">
        <v>-0.98577859999999995</v>
      </c>
      <c r="Q3711">
        <v>0.16436899999999999</v>
      </c>
      <c r="R3711">
        <v>3.4979610000000001E-2</v>
      </c>
      <c r="S3711">
        <v>-3.0572509999999999</v>
      </c>
      <c r="T3711">
        <v>-0.11546729999999999</v>
      </c>
      <c r="U3711">
        <v>0.13127139999999901</v>
      </c>
      <c r="V3711">
        <v>1.244782E-2</v>
      </c>
      <c r="W3711">
        <v>0.17881949999999999</v>
      </c>
      <c r="X3711">
        <v>0.98380319999999999</v>
      </c>
      <c r="Y3711">
        <v>1.9988969999999998E-2</v>
      </c>
      <c r="Z3711">
        <v>-4.8765620000000001E-4</v>
      </c>
      <c r="AA3711">
        <v>0.99980009999999997</v>
      </c>
      <c r="AB3711">
        <v>35</v>
      </c>
      <c r="AC3711">
        <v>-29.038900000000002</v>
      </c>
      <c r="AD3711">
        <v>-1.1098050583470001</v>
      </c>
      <c r="AE3711">
        <v>1.2536</v>
      </c>
      <c r="AF3711">
        <v>0.58681084663064897</v>
      </c>
      <c r="AG3711">
        <v>-1.1098050583470001</v>
      </c>
      <c r="AH3711">
        <v>29.017700134840801</v>
      </c>
      <c r="AI3711">
        <v>92.189807943251495</v>
      </c>
      <c r="AJ3711">
        <v>88.841493204422406</v>
      </c>
      <c r="AK3711">
        <v>29.0448435243297</v>
      </c>
      <c r="AL3711">
        <v>79.698993937597706</v>
      </c>
      <c r="AM3711">
        <v>89.2750892717753</v>
      </c>
      <c r="AN3711">
        <v>1.0000000490666201</v>
      </c>
    </row>
    <row r="3712" spans="1:40" x14ac:dyDescent="0.25">
      <c r="A3712" t="str">
        <f>"20190312172737276"</f>
        <v>20190312172737276</v>
      </c>
      <c r="B3712" t="str">
        <f>"1552382857272891"</f>
        <v>1552382857272891</v>
      </c>
      <c r="C3712" t="s">
        <v>40</v>
      </c>
      <c r="D3712">
        <v>3.3187730000000002</v>
      </c>
      <c r="E3712">
        <v>0.5042394</v>
      </c>
      <c r="F3712" t="s">
        <v>41</v>
      </c>
      <c r="G3712">
        <v>-327.93290000000002</v>
      </c>
      <c r="H3712" s="1">
        <v>-1.775041E-6</v>
      </c>
      <c r="I3712">
        <v>143.02119999999999</v>
      </c>
      <c r="J3712">
        <v>-298.60129999999998</v>
      </c>
      <c r="K3712">
        <v>1.1098319999999999</v>
      </c>
      <c r="L3712">
        <v>141.8389</v>
      </c>
      <c r="M3712">
        <v>-0.99962850000000003</v>
      </c>
      <c r="N3712">
        <v>0</v>
      </c>
      <c r="O3712">
        <v>2.2976460000000001E-2</v>
      </c>
      <c r="P3712">
        <v>-0.98566430000000005</v>
      </c>
      <c r="Q3712">
        <v>0.1652507</v>
      </c>
      <c r="R3712">
        <v>3.4033620000000001E-2</v>
      </c>
      <c r="S3712">
        <v>-3.0580440000000002</v>
      </c>
      <c r="T3712">
        <v>-0.1144254</v>
      </c>
      <c r="U3712">
        <v>0.122695899999999</v>
      </c>
      <c r="V3712">
        <v>1.1438159999999999E-2</v>
      </c>
      <c r="W3712">
        <v>0.17969769999999999</v>
      </c>
      <c r="X3712">
        <v>0.98365539999999996</v>
      </c>
      <c r="Y3712">
        <v>1.712313E-2</v>
      </c>
      <c r="Z3712">
        <v>-5.3890579999999995E-4</v>
      </c>
      <c r="AA3712">
        <v>0.99985329999999994</v>
      </c>
      <c r="AB3712">
        <v>35</v>
      </c>
      <c r="AC3712">
        <v>-29.331600000000002</v>
      </c>
      <c r="AD3712">
        <v>-1.1098337750409999</v>
      </c>
      <c r="AE3712">
        <v>1.1822999999999899</v>
      </c>
      <c r="AF3712">
        <v>0.50725399321324505</v>
      </c>
      <c r="AG3712">
        <v>-1.1098337750409999</v>
      </c>
      <c r="AH3712">
        <v>29.309129889934699</v>
      </c>
      <c r="AI3712">
        <v>92.168229395284598</v>
      </c>
      <c r="AJ3712">
        <v>89.008479209279798</v>
      </c>
      <c r="AK3712">
        <v>29.334521174324902</v>
      </c>
      <c r="AL3712">
        <v>79.647848027778807</v>
      </c>
      <c r="AM3712">
        <v>89.333782178597403</v>
      </c>
      <c r="AN3712">
        <v>1.00000002041931</v>
      </c>
    </row>
    <row r="3713" spans="1:40" x14ac:dyDescent="0.25">
      <c r="A3713" t="str">
        <f>"20190312172737299"</f>
        <v>20190312172737299</v>
      </c>
      <c r="B3713" t="str">
        <f>"1552382857293387"</f>
        <v>1552382857293387</v>
      </c>
      <c r="C3713" t="s">
        <v>40</v>
      </c>
      <c r="D3713">
        <v>3.3077450000000002</v>
      </c>
      <c r="E3713">
        <v>0.50422699999999998</v>
      </c>
      <c r="F3713" t="s">
        <v>41</v>
      </c>
      <c r="G3713">
        <v>-328.5761</v>
      </c>
      <c r="H3713" s="1">
        <v>-1.4949230000000001E-6</v>
      </c>
      <c r="I3713">
        <v>143.00540000000001</v>
      </c>
      <c r="J3713">
        <v>-298.95030000000003</v>
      </c>
      <c r="K3713">
        <v>1.1098520000000001</v>
      </c>
      <c r="L3713">
        <v>141.84700000000001</v>
      </c>
      <c r="M3713">
        <v>-0.99962709999999999</v>
      </c>
      <c r="N3713">
        <v>0</v>
      </c>
      <c r="O3713">
        <v>2.3032150000000001E-2</v>
      </c>
      <c r="P3713">
        <v>-0.98570650000000004</v>
      </c>
      <c r="Q3713">
        <v>0.16518139999999901</v>
      </c>
      <c r="R3713">
        <v>3.3134780000000003E-2</v>
      </c>
      <c r="S3713">
        <v>-3.0584720000000001</v>
      </c>
      <c r="T3713">
        <v>-0.1132418</v>
      </c>
      <c r="U3713">
        <v>0.1190338</v>
      </c>
      <c r="V3713">
        <v>1.047623E-2</v>
      </c>
      <c r="W3713">
        <v>0.17962639999999999</v>
      </c>
      <c r="X3713">
        <v>0.98367910000000003</v>
      </c>
      <c r="Y3713">
        <v>1.5867320000000001E-2</v>
      </c>
      <c r="Z3713">
        <v>-5.5856799999999996E-4</v>
      </c>
      <c r="AA3713">
        <v>0.99987389999999998</v>
      </c>
      <c r="AB3713">
        <v>35</v>
      </c>
      <c r="AC3713">
        <v>-29.625799999999899</v>
      </c>
      <c r="AD3713">
        <v>-1.1098534949229999</v>
      </c>
      <c r="AE3713">
        <v>1.1584000000000001</v>
      </c>
      <c r="AF3713">
        <v>0.47500772085799398</v>
      </c>
      <c r="AG3713">
        <v>-1.1098534949229999</v>
      </c>
      <c r="AH3713">
        <v>29.603140084514301</v>
      </c>
      <c r="AI3713">
        <v>92.146798593165599</v>
      </c>
      <c r="AJ3713">
        <v>89.080719066744905</v>
      </c>
      <c r="AK3713">
        <v>29.627745610802801</v>
      </c>
      <c r="AL3713">
        <v>79.652000401312606</v>
      </c>
      <c r="AM3713">
        <v>89.389820245413006</v>
      </c>
      <c r="AN3713">
        <v>0.999999983374391</v>
      </c>
    </row>
    <row r="3714" spans="1:40" x14ac:dyDescent="0.25">
      <c r="A3714" t="str">
        <f>"20190312172737321"</f>
        <v>20190312172737321</v>
      </c>
      <c r="B3714" t="str">
        <f>"1552382857312907"</f>
        <v>1552382857312907</v>
      </c>
      <c r="C3714" t="s">
        <v>40</v>
      </c>
      <c r="D3714">
        <v>3.306705</v>
      </c>
      <c r="E3714">
        <v>0.50432569999999999</v>
      </c>
      <c r="F3714" t="s">
        <v>41</v>
      </c>
      <c r="G3714">
        <v>-328.43380000000002</v>
      </c>
      <c r="H3714" s="1">
        <v>-1.5461859999999999E-6</v>
      </c>
      <c r="I3714">
        <v>142.96870000000001</v>
      </c>
      <c r="J3714">
        <v>-299.30520000000001</v>
      </c>
      <c r="K3714">
        <v>1.109864</v>
      </c>
      <c r="L3714">
        <v>141.8553</v>
      </c>
      <c r="M3714">
        <v>-0.99962589999999996</v>
      </c>
      <c r="N3714">
        <v>0</v>
      </c>
      <c r="O3714">
        <v>2.3088439999999998E-2</v>
      </c>
      <c r="P3714">
        <v>-0.98578880000000002</v>
      </c>
      <c r="Q3714">
        <v>0.16485720000000001</v>
      </c>
      <c r="R3714">
        <v>3.2292309999999998E-2</v>
      </c>
      <c r="S3714">
        <v>-3.0588989999999998</v>
      </c>
      <c r="T3714">
        <v>-0.11514720000000001</v>
      </c>
      <c r="U3714">
        <v>0.1163788</v>
      </c>
      <c r="V3714">
        <v>9.5706599999999999E-3</v>
      </c>
      <c r="W3714">
        <v>0.17930090000000001</v>
      </c>
      <c r="X3714">
        <v>0.9837477</v>
      </c>
      <c r="Y3714">
        <v>1.4939859999999999E-2</v>
      </c>
      <c r="Z3714">
        <v>-5.8745300000000004E-4</v>
      </c>
      <c r="AA3714">
        <v>0.9998882</v>
      </c>
      <c r="AB3714">
        <v>35</v>
      </c>
      <c r="AC3714">
        <v>-29.128599999999999</v>
      </c>
      <c r="AD3714">
        <v>-1.1098655461860001</v>
      </c>
      <c r="AE3714">
        <v>1.1134000000000099</v>
      </c>
      <c r="AF3714">
        <v>0.43985924784478603</v>
      </c>
      <c r="AG3714">
        <v>-1.1098655461860001</v>
      </c>
      <c r="AH3714">
        <v>29.104351308029401</v>
      </c>
      <c r="AI3714">
        <v>92.183610373402502</v>
      </c>
      <c r="AJ3714">
        <v>89.134144592650003</v>
      </c>
      <c r="AK3714">
        <v>29.128826662770301</v>
      </c>
      <c r="AL3714">
        <v>79.670957861081405</v>
      </c>
      <c r="AM3714">
        <v>89.442599839775795</v>
      </c>
      <c r="AN3714">
        <v>0.99999997376446703</v>
      </c>
    </row>
    <row r="3715" spans="1:40" x14ac:dyDescent="0.25">
      <c r="A3715" t="str">
        <f>"20190312172737343"</f>
        <v>20190312172737343</v>
      </c>
      <c r="B3715" t="str">
        <f>"1552382857333406"</f>
        <v>1552382857333406</v>
      </c>
      <c r="C3715" t="s">
        <v>40</v>
      </c>
      <c r="D3715">
        <v>3.3050290000000002</v>
      </c>
      <c r="E3715">
        <v>0.50435640000000004</v>
      </c>
      <c r="F3715" t="s">
        <v>41</v>
      </c>
      <c r="G3715">
        <v>-328.32389999999998</v>
      </c>
      <c r="H3715" s="1">
        <v>-1.5877840000000001E-6</v>
      </c>
      <c r="I3715">
        <v>142.9479</v>
      </c>
      <c r="J3715">
        <v>-299.637</v>
      </c>
      <c r="K3715">
        <v>1.1098730000000001</v>
      </c>
      <c r="L3715">
        <v>141.863</v>
      </c>
      <c r="M3715">
        <v>-0.99962470000000003</v>
      </c>
      <c r="N3715">
        <v>0</v>
      </c>
      <c r="O3715">
        <v>2.3143130000000001E-2</v>
      </c>
      <c r="P3715">
        <v>-0.98584139999999998</v>
      </c>
      <c r="Q3715">
        <v>0.164658</v>
      </c>
      <c r="R3715">
        <v>3.1694769999999997E-2</v>
      </c>
      <c r="S3715">
        <v>-3.059021</v>
      </c>
      <c r="T3715">
        <v>-0.1169972</v>
      </c>
      <c r="U3715">
        <v>0.1151886</v>
      </c>
      <c r="V3715">
        <v>8.9138510000000004E-3</v>
      </c>
      <c r="W3715">
        <v>0.1790996</v>
      </c>
      <c r="X3715">
        <v>0.98379059999999896</v>
      </c>
      <c r="Y3715">
        <v>1.449572E-2</v>
      </c>
      <c r="Z3715">
        <v>-6.0744290000000001E-4</v>
      </c>
      <c r="AA3715">
        <v>0.99989470000000003</v>
      </c>
      <c r="AB3715">
        <v>35</v>
      </c>
      <c r="AC3715">
        <v>-28.686899999999898</v>
      </c>
      <c r="AD3715">
        <v>-1.1098745877839999</v>
      </c>
      <c r="AE3715">
        <v>1.0849</v>
      </c>
      <c r="AF3715">
        <v>0.42000558020905099</v>
      </c>
      <c r="AG3715">
        <v>-1.1098745877839999</v>
      </c>
      <c r="AH3715">
        <v>28.6614846864024</v>
      </c>
      <c r="AI3715">
        <v>92.217350469341298</v>
      </c>
      <c r="AJ3715">
        <v>89.160447371669704</v>
      </c>
      <c r="AK3715">
        <v>28.686040694332402</v>
      </c>
      <c r="AL3715">
        <v>79.682681902002301</v>
      </c>
      <c r="AM3715">
        <v>89.480873200151606</v>
      </c>
      <c r="AN3715">
        <v>1.00000003405408</v>
      </c>
    </row>
    <row r="3716" spans="1:40" x14ac:dyDescent="0.25">
      <c r="A3716" t="str">
        <f>"20190312172737365"</f>
        <v>20190312172737365</v>
      </c>
      <c r="B3716" t="str">
        <f>"1552382857362683"</f>
        <v>1552382857362683</v>
      </c>
      <c r="C3716" t="s">
        <v>40</v>
      </c>
      <c r="D3716">
        <v>3.2741600000000002</v>
      </c>
      <c r="E3716">
        <v>0.50429309999999905</v>
      </c>
      <c r="F3716" t="s">
        <v>41</v>
      </c>
      <c r="G3716">
        <v>-328.048</v>
      </c>
      <c r="H3716" s="1">
        <v>-1.697645E-6</v>
      </c>
      <c r="I3716">
        <v>142.91589999999999</v>
      </c>
      <c r="J3716">
        <v>-299.98910000000001</v>
      </c>
      <c r="K3716">
        <v>1.1098790000000001</v>
      </c>
      <c r="L3716">
        <v>141.87119999999999</v>
      </c>
      <c r="M3716">
        <v>-0.99962329999999999</v>
      </c>
      <c r="N3716">
        <v>0</v>
      </c>
      <c r="O3716">
        <v>2.3201949999999999E-2</v>
      </c>
      <c r="P3716">
        <v>-0.98584119999999997</v>
      </c>
      <c r="Q3716">
        <v>0.16471450000000001</v>
      </c>
      <c r="R3716">
        <v>3.1407499999999998E-2</v>
      </c>
      <c r="S3716">
        <v>-3.0594790000000001</v>
      </c>
      <c r="T3716">
        <v>-0.1195186</v>
      </c>
      <c r="U3716">
        <v>0.11338810000000001</v>
      </c>
      <c r="V3716">
        <v>8.5649319999999904E-3</v>
      </c>
      <c r="W3716">
        <v>0.17915309999999901</v>
      </c>
      <c r="X3716">
        <v>0.98378390000000004</v>
      </c>
      <c r="Y3716">
        <v>1.384444E-2</v>
      </c>
      <c r="Z3716">
        <v>-6.3544699999999895E-4</v>
      </c>
      <c r="AA3716">
        <v>0.99990400000000002</v>
      </c>
      <c r="AB3716">
        <v>35</v>
      </c>
      <c r="AC3716">
        <v>-28.058899999999898</v>
      </c>
      <c r="AD3716">
        <v>-1.109880697645</v>
      </c>
      <c r="AE3716">
        <v>1.0447</v>
      </c>
      <c r="AF3716">
        <v>0.39271393647853797</v>
      </c>
      <c r="AG3716">
        <v>-1.109880697645</v>
      </c>
      <c r="AH3716">
        <v>28.031787934813799</v>
      </c>
      <c r="AI3716">
        <v>92.267142267545296</v>
      </c>
      <c r="AJ3716">
        <v>89.197361963818906</v>
      </c>
      <c r="AK3716">
        <v>28.056500035130501</v>
      </c>
      <c r="AL3716">
        <v>79.679565585079402</v>
      </c>
      <c r="AM3716">
        <v>89.501189176454304</v>
      </c>
      <c r="AN3716">
        <v>0.99999997659949202</v>
      </c>
    </row>
    <row r="3717" spans="1:40" x14ac:dyDescent="0.25">
      <c r="A3717" t="str">
        <f>"20190312172737387"</f>
        <v>20190312172737387</v>
      </c>
      <c r="B3717" t="str">
        <f>"1552382857383179"</f>
        <v>1552382857383179</v>
      </c>
      <c r="C3717" t="s">
        <v>40</v>
      </c>
      <c r="D3717">
        <v>3.2513169999999998</v>
      </c>
      <c r="E3717">
        <v>0.48487740000000001</v>
      </c>
      <c r="F3717" t="s">
        <v>41</v>
      </c>
      <c r="G3717">
        <v>-328.04689999999999</v>
      </c>
      <c r="H3717" s="1">
        <v>-1.6907059999999999E-6</v>
      </c>
      <c r="I3717">
        <v>142.88810000000001</v>
      </c>
      <c r="J3717">
        <v>-300.32029999999997</v>
      </c>
      <c r="K3717">
        <v>1.10989</v>
      </c>
      <c r="L3717">
        <v>141.87899999999999</v>
      </c>
      <c r="M3717">
        <v>-0.99962229999999996</v>
      </c>
      <c r="N3717">
        <v>0</v>
      </c>
      <c r="O3717">
        <v>2.325265E-2</v>
      </c>
      <c r="P3717">
        <v>-0.98587020000000003</v>
      </c>
      <c r="Q3717">
        <v>0.16448960000000001</v>
      </c>
      <c r="R3717">
        <v>3.1675229999999999E-2</v>
      </c>
      <c r="S3717">
        <v>-3.0598139999999998</v>
      </c>
      <c r="T3717">
        <v>-0.12103700000000001</v>
      </c>
      <c r="U3717">
        <v>0.1109009</v>
      </c>
      <c r="V3717">
        <v>8.7778830000000002E-3</v>
      </c>
      <c r="W3717">
        <v>0.17892559999999999</v>
      </c>
      <c r="X3717">
        <v>0.98382349999999996</v>
      </c>
      <c r="Y3717">
        <v>1.297887E-2</v>
      </c>
      <c r="Z3717">
        <v>-6.6256559999999895E-4</v>
      </c>
      <c r="AA3717">
        <v>0.99991549999999996</v>
      </c>
      <c r="AB3717">
        <v>35</v>
      </c>
      <c r="AC3717">
        <v>-27.726600000000001</v>
      </c>
      <c r="AD3717">
        <v>-1.1098916907059999</v>
      </c>
      <c r="AE3717">
        <v>1.0091000000000101</v>
      </c>
      <c r="AF3717">
        <v>0.36345936308072002</v>
      </c>
      <c r="AG3717">
        <v>-1.1098916907059999</v>
      </c>
      <c r="AH3717">
        <v>27.698243804604001</v>
      </c>
      <c r="AI3717">
        <v>92.294464634930407</v>
      </c>
      <c r="AJ3717">
        <v>89.248201707891397</v>
      </c>
      <c r="AK3717">
        <v>27.722854689461499</v>
      </c>
      <c r="AL3717">
        <v>79.692815220153506</v>
      </c>
      <c r="AM3717">
        <v>89.488808405114597</v>
      </c>
      <c r="AN3717">
        <v>1.00000005035878</v>
      </c>
    </row>
    <row r="3718" spans="1:40" x14ac:dyDescent="0.25">
      <c r="A3718" t="str">
        <f>"20190312172737411"</f>
        <v>20190312172737411</v>
      </c>
      <c r="B3718" t="str">
        <f>"1552382857403675"</f>
        <v>1552382857403675</v>
      </c>
      <c r="C3718" t="s">
        <v>40</v>
      </c>
      <c r="D3718">
        <v>3.2875969999999999</v>
      </c>
      <c r="E3718">
        <v>0.48294009999999998</v>
      </c>
      <c r="F3718" t="s">
        <v>41</v>
      </c>
      <c r="G3718">
        <v>-323.04329999999999</v>
      </c>
      <c r="H3718" s="1">
        <v>-3.4790449999999998E-6</v>
      </c>
      <c r="I3718">
        <v>141.5419</v>
      </c>
      <c r="J3718">
        <v>-300.69170000000003</v>
      </c>
      <c r="K3718">
        <v>1.1099049999999999</v>
      </c>
      <c r="L3718">
        <v>141.8877</v>
      </c>
      <c r="M3718">
        <v>-0.99962119999999999</v>
      </c>
      <c r="N3718">
        <v>0</v>
      </c>
      <c r="O3718">
        <v>2.3296250000000001E-2</v>
      </c>
      <c r="P3718">
        <v>-0.98584369999999999</v>
      </c>
      <c r="Q3718">
        <v>0.16462360000000001</v>
      </c>
      <c r="R3718">
        <v>3.1800519999999999E-2</v>
      </c>
      <c r="S3718">
        <v>-3.0694889999999999</v>
      </c>
      <c r="T3718">
        <v>-0.14992800000000001</v>
      </c>
      <c r="U3718">
        <v>-4.553223E-2</v>
      </c>
      <c r="V3718">
        <v>8.8547309999999994E-3</v>
      </c>
      <c r="W3718">
        <v>0.17905650000000001</v>
      </c>
      <c r="X3718">
        <v>0.98379899999999998</v>
      </c>
      <c r="Y3718">
        <v>-3.8051219999999997E-2</v>
      </c>
      <c r="Z3718">
        <v>-2.0659440000000001E-3</v>
      </c>
      <c r="AA3718">
        <v>0.99927370000000004</v>
      </c>
      <c r="AB3718">
        <v>35</v>
      </c>
      <c r="AC3718">
        <v>-22.351599999999902</v>
      </c>
      <c r="AD3718">
        <v>-1.109908479045</v>
      </c>
      <c r="AE3718">
        <v>-0.345799999999997</v>
      </c>
      <c r="AF3718">
        <v>-0.86433973566260602</v>
      </c>
      <c r="AG3718">
        <v>-1.109908479045</v>
      </c>
      <c r="AH3718">
        <v>22.282544830896502</v>
      </c>
      <c r="AI3718">
        <v>92.8494449582832</v>
      </c>
      <c r="AJ3718">
        <v>92.221389127767395</v>
      </c>
      <c r="AK3718">
        <v>22.326907178367001</v>
      </c>
      <c r="AL3718">
        <v>79.685192137302195</v>
      </c>
      <c r="AM3718">
        <v>89.484320459897404</v>
      </c>
      <c r="AN3718">
        <v>1.0000000544271599</v>
      </c>
    </row>
    <row r="3719" spans="1:40" x14ac:dyDescent="0.25">
      <c r="A3719" t="str">
        <f>"20190312172737433"</f>
        <v>20190312172737433</v>
      </c>
      <c r="B3719" t="str">
        <f>"1552382857423194"</f>
        <v>1552382857423194</v>
      </c>
      <c r="C3719" t="s">
        <v>40</v>
      </c>
      <c r="D3719">
        <v>3.3255629999999998</v>
      </c>
      <c r="E3719">
        <v>0.48188189999999997</v>
      </c>
      <c r="F3719" t="s">
        <v>41</v>
      </c>
      <c r="G3719">
        <v>-324.74560000000002</v>
      </c>
      <c r="H3719" s="1">
        <v>-2.7127400000000001E-6</v>
      </c>
      <c r="I3719">
        <v>141.4066</v>
      </c>
      <c r="J3719">
        <v>-301.04640000000001</v>
      </c>
      <c r="K3719">
        <v>1.1099190000000001</v>
      </c>
      <c r="L3719">
        <v>141.89599999999999</v>
      </c>
      <c r="M3719">
        <v>-0.99962059999999997</v>
      </c>
      <c r="N3719">
        <v>0</v>
      </c>
      <c r="O3719">
        <v>2.332499E-2</v>
      </c>
      <c r="P3719">
        <v>-0.98588140000000002</v>
      </c>
      <c r="Q3719">
        <v>0.164382</v>
      </c>
      <c r="R3719">
        <v>3.1882529999999999E-2</v>
      </c>
      <c r="S3719">
        <v>-3.068695</v>
      </c>
      <c r="T3719">
        <v>-0.14159759999999999</v>
      </c>
      <c r="U3719">
        <v>-6.1370849999999998E-2</v>
      </c>
      <c r="V3719">
        <v>8.9012650000000002E-3</v>
      </c>
      <c r="W3719">
        <v>0.178812</v>
      </c>
      <c r="X3719">
        <v>0.98384300000000002</v>
      </c>
      <c r="Y3719">
        <v>-4.3241590000000003E-2</v>
      </c>
      <c r="Z3719">
        <v>-2.0727110000000001E-3</v>
      </c>
      <c r="AA3719">
        <v>0.99906249999999996</v>
      </c>
      <c r="AB3719">
        <v>35</v>
      </c>
      <c r="AC3719">
        <v>-23.699200000000001</v>
      </c>
      <c r="AD3719">
        <v>-1.1099217127399901</v>
      </c>
      <c r="AE3719">
        <v>-0.48940000000001699</v>
      </c>
      <c r="AF3719">
        <v>-1.0398299613655599</v>
      </c>
      <c r="AG3719">
        <v>-1.1099217127399901</v>
      </c>
      <c r="AH3719">
        <v>23.629527576069201</v>
      </c>
      <c r="AI3719">
        <v>92.686713538390904</v>
      </c>
      <c r="AJ3719">
        <v>92.519705710256403</v>
      </c>
      <c r="AK3719">
        <v>23.678423638941499</v>
      </c>
      <c r="AL3719">
        <v>79.699430249542004</v>
      </c>
      <c r="AM3719">
        <v>89.481633754761901</v>
      </c>
      <c r="AN3719">
        <v>1.0000000062558001</v>
      </c>
    </row>
    <row r="3720" spans="1:40" x14ac:dyDescent="0.25">
      <c r="A3720" t="str">
        <f>"20190312172737456"</f>
        <v>20190312172737456</v>
      </c>
      <c r="B3720" t="str">
        <f>"1552382857453451"</f>
        <v>1552382857453451</v>
      </c>
      <c r="C3720" t="s">
        <v>40</v>
      </c>
      <c r="D3720">
        <v>3.3056830000000001</v>
      </c>
      <c r="E3720">
        <v>0.48110609999999998</v>
      </c>
      <c r="F3720" t="s">
        <v>41</v>
      </c>
      <c r="G3720">
        <v>-326.4896</v>
      </c>
      <c r="H3720" s="1">
        <v>-1.9397459999999998E-6</v>
      </c>
      <c r="I3720">
        <v>141.31309999999999</v>
      </c>
      <c r="J3720">
        <v>-301.39170000000001</v>
      </c>
      <c r="K3720">
        <v>1.1099319999999999</v>
      </c>
      <c r="L3720">
        <v>141.9041</v>
      </c>
      <c r="M3720">
        <v>-0.99962030000000002</v>
      </c>
      <c r="N3720">
        <v>0</v>
      </c>
      <c r="O3720">
        <v>2.334081E-2</v>
      </c>
      <c r="P3720">
        <v>-0.98584280000000002</v>
      </c>
      <c r="Q3720">
        <v>0.16457160000000001</v>
      </c>
      <c r="R3720">
        <v>3.2098689999999999E-2</v>
      </c>
      <c r="S3720">
        <v>-3.0675050000000001</v>
      </c>
      <c r="T3720">
        <v>-0.13381599999999999</v>
      </c>
      <c r="U3720">
        <v>-7.0266720000000005E-2</v>
      </c>
      <c r="V3720">
        <v>9.0968769999999997E-3</v>
      </c>
      <c r="W3720">
        <v>0.1789983</v>
      </c>
      <c r="X3720">
        <v>0.98380730000000005</v>
      </c>
      <c r="Y3720">
        <v>-4.6165669999999999E-2</v>
      </c>
      <c r="Z3720">
        <v>-2.0240530000000001E-3</v>
      </c>
      <c r="AA3720">
        <v>0.99893180000000004</v>
      </c>
      <c r="AB3720">
        <v>35</v>
      </c>
      <c r="AC3720">
        <v>-25.0978999999999</v>
      </c>
      <c r="AD3720">
        <v>-1.109933939746</v>
      </c>
      <c r="AE3720">
        <v>-0.59100000000000796</v>
      </c>
      <c r="AF3720">
        <v>-1.1744114841909301</v>
      </c>
      <c r="AG3720">
        <v>-1.109933939746</v>
      </c>
      <c r="AH3720">
        <v>25.028342371540599</v>
      </c>
      <c r="AI3720">
        <v>92.536449687457605</v>
      </c>
      <c r="AJ3720">
        <v>92.686534339923497</v>
      </c>
      <c r="AK3720">
        <v>25.080452897662301</v>
      </c>
      <c r="AL3720">
        <v>79.688580672057398</v>
      </c>
      <c r="AM3720">
        <v>89.470223685975995</v>
      </c>
      <c r="AN3720">
        <v>0.99999997405366603</v>
      </c>
    </row>
    <row r="3721" spans="1:40" x14ac:dyDescent="0.25">
      <c r="A3721" t="str">
        <f>"20190312172737477"</f>
        <v>20190312172737477</v>
      </c>
      <c r="B3721" t="str">
        <f>"1552382857472971"</f>
        <v>1552382857472971</v>
      </c>
      <c r="C3721" t="s">
        <v>40</v>
      </c>
      <c r="D3721">
        <v>3.3018770000000002</v>
      </c>
      <c r="E3721">
        <v>0.48096810000000001</v>
      </c>
      <c r="F3721" t="s">
        <v>41</v>
      </c>
      <c r="G3721">
        <v>-327.79079999999999</v>
      </c>
      <c r="H3721" s="1">
        <v>-1.364108E-6</v>
      </c>
      <c r="I3721">
        <v>141.24760000000001</v>
      </c>
      <c r="J3721">
        <v>-301.72390000000001</v>
      </c>
      <c r="K3721">
        <v>1.1099490000000001</v>
      </c>
      <c r="L3721">
        <v>141.9118</v>
      </c>
      <c r="M3721">
        <v>-0.99962070000000003</v>
      </c>
      <c r="N3721">
        <v>0</v>
      </c>
      <c r="O3721">
        <v>2.333118E-2</v>
      </c>
      <c r="P3721">
        <v>-0.98577729999999997</v>
      </c>
      <c r="Q3721">
        <v>0.1649072</v>
      </c>
      <c r="R3721">
        <v>3.2386720000000001E-2</v>
      </c>
      <c r="S3721">
        <v>-3.067078</v>
      </c>
      <c r="T3721">
        <v>-0.12895380000000001</v>
      </c>
      <c r="U3721">
        <v>-7.6263429999999993E-2</v>
      </c>
      <c r="V3721">
        <v>9.3884099999999998E-3</v>
      </c>
      <c r="W3721">
        <v>0.17932989999999999</v>
      </c>
      <c r="X3721">
        <v>0.98374419999999996</v>
      </c>
      <c r="Y3721">
        <v>-4.8114110000000002E-2</v>
      </c>
      <c r="Z3721">
        <v>-1.991338E-3</v>
      </c>
      <c r="AA3721">
        <v>0.9988399</v>
      </c>
      <c r="AB3721">
        <v>35</v>
      </c>
      <c r="AC3721">
        <v>-26.066899999999901</v>
      </c>
      <c r="AD3721">
        <v>-1.109950364108</v>
      </c>
      <c r="AE3721">
        <v>-0.66419999999999302</v>
      </c>
      <c r="AF3721">
        <v>-1.26995471909034</v>
      </c>
      <c r="AG3721">
        <v>-1.109950364108</v>
      </c>
      <c r="AH3721">
        <v>25.997198953212401</v>
      </c>
      <c r="AI3721">
        <v>92.441850226159204</v>
      </c>
      <c r="AJ3721">
        <v>92.796657074755799</v>
      </c>
      <c r="AK3721">
        <v>26.051854602162798</v>
      </c>
      <c r="AL3721">
        <v>79.669269215231395</v>
      </c>
      <c r="AM3721">
        <v>89.453211577545403</v>
      </c>
      <c r="AN3721">
        <v>1.0000000031549801</v>
      </c>
    </row>
    <row r="3722" spans="1:40" x14ac:dyDescent="0.25">
      <c r="A3722" t="str">
        <f>"20190312172737500"</f>
        <v>20190312172737500</v>
      </c>
      <c r="B3722" t="str">
        <f>"1552382857493467"</f>
        <v>1552382857493467</v>
      </c>
      <c r="C3722" t="s">
        <v>40</v>
      </c>
      <c r="D3722">
        <v>3.3080099999999999</v>
      </c>
      <c r="E3722">
        <v>0.48073539999999998</v>
      </c>
      <c r="F3722" t="s">
        <v>41</v>
      </c>
      <c r="G3722">
        <v>-328.53480000000002</v>
      </c>
      <c r="H3722" s="1">
        <v>-1.0431579999999999E-6</v>
      </c>
      <c r="I3722">
        <v>141.24100000000001</v>
      </c>
      <c r="J3722">
        <v>-302.06549999999999</v>
      </c>
      <c r="K3722">
        <v>1.1099749999999999</v>
      </c>
      <c r="L3722">
        <v>141.91980000000001</v>
      </c>
      <c r="M3722">
        <v>-0.99962189999999995</v>
      </c>
      <c r="N3722">
        <v>0</v>
      </c>
      <c r="O3722">
        <v>2.3274360000000001E-2</v>
      </c>
      <c r="P3722">
        <v>-0.98571690000000001</v>
      </c>
      <c r="Q3722">
        <v>0.16519679999999901</v>
      </c>
      <c r="R3722">
        <v>3.274987E-2</v>
      </c>
      <c r="S3722">
        <v>-3.066986</v>
      </c>
      <c r="T3722">
        <v>-0.1269711</v>
      </c>
      <c r="U3722">
        <v>-7.6736449999999998E-2</v>
      </c>
      <c r="V3722">
        <v>9.7963749999999995E-3</v>
      </c>
      <c r="W3722">
        <v>0.17961559999999999</v>
      </c>
      <c r="X3722">
        <v>0.98368809999999995</v>
      </c>
      <c r="Y3722">
        <v>-4.8213909999999999E-2</v>
      </c>
      <c r="Z3722">
        <v>-1.9605159999999998E-3</v>
      </c>
      <c r="AA3722">
        <v>0.99883509999999998</v>
      </c>
      <c r="AB3722">
        <v>35</v>
      </c>
      <c r="AC3722">
        <v>-26.4693</v>
      </c>
      <c r="AD3722">
        <v>-1.1099760431579999</v>
      </c>
      <c r="AE3722">
        <v>-0.67879999999999496</v>
      </c>
      <c r="AF3722">
        <v>-1.2924668323245601</v>
      </c>
      <c r="AG3722">
        <v>-1.1099760431579999</v>
      </c>
      <c r="AH3722">
        <v>26.3999342421256</v>
      </c>
      <c r="AI3722">
        <v>92.404686436099894</v>
      </c>
      <c r="AJ3722">
        <v>92.802803045042197</v>
      </c>
      <c r="AK3722">
        <v>26.454849183421899</v>
      </c>
      <c r="AL3722">
        <v>79.652629656734803</v>
      </c>
      <c r="AM3722">
        <v>89.429420375014502</v>
      </c>
      <c r="AN3722">
        <v>1.0000000054040501</v>
      </c>
    </row>
    <row r="3723" spans="1:40" x14ac:dyDescent="0.25">
      <c r="A3723" t="str">
        <f>"20190312172737522"</f>
        <v>20190312172737522</v>
      </c>
      <c r="B3723" t="str">
        <f>"1552382857512987"</f>
        <v>1552382857512987</v>
      </c>
      <c r="C3723" t="s">
        <v>40</v>
      </c>
      <c r="D3723">
        <v>3.2697579999999999</v>
      </c>
      <c r="E3723">
        <v>0.4806552</v>
      </c>
      <c r="F3723" t="s">
        <v>41</v>
      </c>
      <c r="G3723">
        <v>-329.21980000000002</v>
      </c>
      <c r="H3723" s="1">
        <v>-7.4782240000000001E-7</v>
      </c>
      <c r="I3723">
        <v>141.2354</v>
      </c>
      <c r="J3723">
        <v>-302.41370000000001</v>
      </c>
      <c r="K3723">
        <v>1.1100219999999901</v>
      </c>
      <c r="L3723">
        <v>141.92779999999999</v>
      </c>
      <c r="M3723">
        <v>-0.99962510000000004</v>
      </c>
      <c r="N3723">
        <v>0</v>
      </c>
      <c r="O3723">
        <v>2.3147580000000001E-2</v>
      </c>
      <c r="P3723">
        <v>-0.98576129999999995</v>
      </c>
      <c r="Q3723">
        <v>0.16490940000000001</v>
      </c>
      <c r="R3723">
        <v>3.286157E-2</v>
      </c>
      <c r="S3723">
        <v>-3.0670470000000001</v>
      </c>
      <c r="T3723">
        <v>-0.1253707</v>
      </c>
      <c r="U3723">
        <v>-7.7285770000000004E-2</v>
      </c>
      <c r="V3723">
        <v>1.001077E-2</v>
      </c>
      <c r="W3723">
        <v>0.17932670000000001</v>
      </c>
      <c r="X3723">
        <v>0.98373869999999997</v>
      </c>
      <c r="Y3723">
        <v>-4.8267110000000002E-2</v>
      </c>
      <c r="Z3723">
        <v>-1.93169E-3</v>
      </c>
      <c r="AA3723">
        <v>0.99883259999999996</v>
      </c>
      <c r="AB3723">
        <v>35</v>
      </c>
      <c r="AC3723">
        <v>-26.806100000000001</v>
      </c>
      <c r="AD3723">
        <v>-1.1100227478223901</v>
      </c>
      <c r="AE3723">
        <v>-0.69239999999999202</v>
      </c>
      <c r="AF3723">
        <v>-1.3105314259173</v>
      </c>
      <c r="AG3723">
        <v>-1.1100227478223901</v>
      </c>
      <c r="AH3723">
        <v>26.737070540918001</v>
      </c>
      <c r="AI3723">
        <v>92.374492931934199</v>
      </c>
      <c r="AJ3723">
        <v>92.806136618580197</v>
      </c>
      <c r="AK3723">
        <v>26.7921739362266</v>
      </c>
      <c r="AL3723">
        <v>79.669456128139203</v>
      </c>
      <c r="AM3723">
        <v>89.416964003898599</v>
      </c>
      <c r="AN3723">
        <v>1.00000005536328</v>
      </c>
    </row>
    <row r="3724" spans="1:40" x14ac:dyDescent="0.25">
      <c r="A3724" t="str">
        <f>"20190312172737544"</f>
        <v>20190312172737544</v>
      </c>
      <c r="B3724" t="str">
        <f>"1552382857533149"</f>
        <v>1552382857533149</v>
      </c>
      <c r="C3724" t="s">
        <v>40</v>
      </c>
      <c r="D3724">
        <v>3.273263</v>
      </c>
      <c r="E3724">
        <v>0.4806376</v>
      </c>
      <c r="F3724" t="s">
        <v>41</v>
      </c>
      <c r="G3724">
        <v>-329.1121</v>
      </c>
      <c r="H3724" s="1">
        <v>-7.9963540000000002E-7</v>
      </c>
      <c r="I3724">
        <v>141.25659999999999</v>
      </c>
      <c r="J3724">
        <v>-302.7525</v>
      </c>
      <c r="K3724">
        <v>1.110087</v>
      </c>
      <c r="L3724">
        <v>141.93539999999999</v>
      </c>
      <c r="M3724">
        <v>-0.99962969999999896</v>
      </c>
      <c r="N3724">
        <v>0</v>
      </c>
      <c r="O3724">
        <v>2.2941989999999999E-2</v>
      </c>
      <c r="P3724">
        <v>-0.9858711</v>
      </c>
      <c r="Q3724">
        <v>0.16434860000000001</v>
      </c>
      <c r="R3724">
        <v>3.2373159999999998E-2</v>
      </c>
      <c r="S3724">
        <v>-3.0672299999999999</v>
      </c>
      <c r="T3724">
        <v>-0.12752439999999901</v>
      </c>
      <c r="U3724">
        <v>-7.7102660000000003E-2</v>
      </c>
      <c r="V3724">
        <v>9.6945239999999995E-3</v>
      </c>
      <c r="W3724">
        <v>0.17876610000000001</v>
      </c>
      <c r="X3724">
        <v>0.98384389999999999</v>
      </c>
      <c r="Y3724">
        <v>-4.7998949999999999E-2</v>
      </c>
      <c r="Z3724">
        <v>-1.9506149999999999E-3</v>
      </c>
      <c r="AA3724">
        <v>0.99884550000000005</v>
      </c>
      <c r="AB3724">
        <v>35</v>
      </c>
      <c r="AC3724">
        <v>-26.3596</v>
      </c>
      <c r="AD3724">
        <v>-1.1100877996353999</v>
      </c>
      <c r="AE3724">
        <v>-0.67879999999999496</v>
      </c>
      <c r="AF3724">
        <v>-1.28115707936835</v>
      </c>
      <c r="AG3724">
        <v>-1.1100877996353999</v>
      </c>
      <c r="AH3724">
        <v>26.2904900108574</v>
      </c>
      <c r="AI3724">
        <v>92.414954478975901</v>
      </c>
      <c r="AJ3724">
        <v>92.789863234695403</v>
      </c>
      <c r="AK3724">
        <v>26.345085374618002</v>
      </c>
      <c r="AL3724">
        <v>79.702103763039204</v>
      </c>
      <c r="AM3724">
        <v>89.435441604943094</v>
      </c>
      <c r="AN3724">
        <v>1.000000060936</v>
      </c>
    </row>
    <row r="3725" spans="1:40" x14ac:dyDescent="0.25">
      <c r="A3725" t="str">
        <f>"20190312172737566"</f>
        <v>20190312172737566</v>
      </c>
      <c r="B3725" t="str">
        <f>"1552382857563405"</f>
        <v>1552382857563405</v>
      </c>
      <c r="C3725" t="s">
        <v>40</v>
      </c>
      <c r="D3725">
        <v>3.262505</v>
      </c>
      <c r="E3725">
        <v>0.48063289999999997</v>
      </c>
      <c r="F3725" t="s">
        <v>41</v>
      </c>
      <c r="G3725">
        <v>-328.59320000000002</v>
      </c>
      <c r="H3725" s="1">
        <v>-1.027704E-6</v>
      </c>
      <c r="I3725">
        <v>141.27709999999999</v>
      </c>
      <c r="J3725">
        <v>-303.09030000000001</v>
      </c>
      <c r="K3725">
        <v>1.1101730000000001</v>
      </c>
      <c r="L3725">
        <v>141.94290000000001</v>
      </c>
      <c r="M3725">
        <v>-0.99963650000000004</v>
      </c>
      <c r="N3725">
        <v>0</v>
      </c>
      <c r="O3725">
        <v>2.2645809999999999E-2</v>
      </c>
      <c r="P3725">
        <v>-0.98600750000000004</v>
      </c>
      <c r="Q3725">
        <v>0.1637132</v>
      </c>
      <c r="R3725">
        <v>3.1418750000000002E-2</v>
      </c>
      <c r="S3725">
        <v>-3.067596</v>
      </c>
      <c r="T3725">
        <v>-0.1317807</v>
      </c>
      <c r="U3725">
        <v>-7.8140260000000003E-2</v>
      </c>
      <c r="V3725">
        <v>8.9957839999999997E-3</v>
      </c>
      <c r="W3725">
        <v>0.17813029999999999</v>
      </c>
      <c r="X3725">
        <v>0.9839658</v>
      </c>
      <c r="Y3725">
        <v>-4.8033739999999998E-2</v>
      </c>
      <c r="Z3725">
        <v>-2.0034440000000001E-3</v>
      </c>
      <c r="AA3725">
        <v>0.9988437</v>
      </c>
      <c r="AB3725">
        <v>34</v>
      </c>
      <c r="AC3725">
        <v>-25.5029</v>
      </c>
      <c r="AD3725">
        <v>-1.11017402770399</v>
      </c>
      <c r="AE3725">
        <v>-0.66580000000001804</v>
      </c>
      <c r="AF3725">
        <v>-1.24087504064472</v>
      </c>
      <c r="AG3725">
        <v>-1.11017402770399</v>
      </c>
      <c r="AH3725">
        <v>25.4331169661749</v>
      </c>
      <c r="AI3725">
        <v>92.496449952398905</v>
      </c>
      <c r="AJ3725">
        <v>92.793230941165803</v>
      </c>
      <c r="AK3725">
        <v>25.487559629227299</v>
      </c>
      <c r="AL3725">
        <v>79.739126150933998</v>
      </c>
      <c r="AM3725">
        <v>89.476195110440202</v>
      </c>
      <c r="AN3725">
        <v>1.00000001173875</v>
      </c>
    </row>
    <row r="3726" spans="1:40" x14ac:dyDescent="0.25">
      <c r="A3726" t="str">
        <f>"20190312172737588"</f>
        <v>20190312172737588</v>
      </c>
      <c r="B3726" t="str">
        <f>"1552382857582925"</f>
        <v>1552382857582925</v>
      </c>
      <c r="C3726" t="s">
        <v>40</v>
      </c>
      <c r="D3726">
        <v>3.2714120000000002</v>
      </c>
      <c r="E3726">
        <v>0.4806124</v>
      </c>
      <c r="F3726" t="s">
        <v>41</v>
      </c>
      <c r="G3726">
        <v>-327.9853</v>
      </c>
      <c r="H3726" s="1">
        <v>-1.291339E-6</v>
      </c>
      <c r="I3726">
        <v>141.2878</v>
      </c>
      <c r="J3726">
        <v>-303.43270000000001</v>
      </c>
      <c r="K3726">
        <v>1.1102559999999999</v>
      </c>
      <c r="L3726">
        <v>141.9503</v>
      </c>
      <c r="M3726">
        <v>-0.99964560000000002</v>
      </c>
      <c r="N3726">
        <v>0</v>
      </c>
      <c r="O3726">
        <v>2.2246459999999999E-2</v>
      </c>
      <c r="P3726">
        <v>-0.98588019999999998</v>
      </c>
      <c r="Q3726">
        <v>0.1646852</v>
      </c>
      <c r="R3726">
        <v>3.0311769999999998E-2</v>
      </c>
      <c r="S3726">
        <v>-3.067841</v>
      </c>
      <c r="T3726">
        <v>-0.13680819999999999</v>
      </c>
      <c r="U3726">
        <v>-8.0718990000000004E-2</v>
      </c>
      <c r="V3726">
        <v>8.249157E-3</v>
      </c>
      <c r="W3726">
        <v>0.17909820000000001</v>
      </c>
      <c r="X3726">
        <v>0.98379660000000002</v>
      </c>
      <c r="Y3726">
        <v>-4.8466620000000002E-2</v>
      </c>
      <c r="Z3726">
        <v>-2.071462E-3</v>
      </c>
      <c r="AA3726">
        <v>0.9988226</v>
      </c>
      <c r="AB3726">
        <v>34</v>
      </c>
      <c r="AC3726">
        <v>-24.552599999999899</v>
      </c>
      <c r="AD3726">
        <v>-1.1102572913390001</v>
      </c>
      <c r="AE3726">
        <v>-0.66249999999999398</v>
      </c>
      <c r="AF3726">
        <v>-1.20613830635662</v>
      </c>
      <c r="AG3726">
        <v>-1.1102572913390001</v>
      </c>
      <c r="AH3726">
        <v>24.481758445390199</v>
      </c>
      <c r="AI3726">
        <v>92.593465561555107</v>
      </c>
      <c r="AJ3726">
        <v>92.820500152630899</v>
      </c>
      <c r="AK3726">
        <v>24.536583654727998</v>
      </c>
      <c r="AL3726">
        <v>79.682762891477793</v>
      </c>
      <c r="AM3726">
        <v>89.519584836766995</v>
      </c>
      <c r="AN3726">
        <v>0.99999998200300499</v>
      </c>
    </row>
    <row r="3727" spans="1:40" x14ac:dyDescent="0.25">
      <c r="A3727" t="str">
        <f>"20190312172737612"</f>
        <v>20190312172737612</v>
      </c>
      <c r="B3727" t="str">
        <f>"1552382857603437"</f>
        <v>1552382857603437</v>
      </c>
      <c r="C3727" t="s">
        <v>40</v>
      </c>
      <c r="D3727">
        <v>3.2617370000000001</v>
      </c>
      <c r="E3727">
        <v>0.48055019999999998</v>
      </c>
      <c r="F3727" t="s">
        <v>41</v>
      </c>
      <c r="G3727">
        <v>-328.5394</v>
      </c>
      <c r="H3727" s="1">
        <v>-1.047916E-6</v>
      </c>
      <c r="I3727">
        <v>141.2663</v>
      </c>
      <c r="J3727">
        <v>-303.7876</v>
      </c>
      <c r="K3727">
        <v>1.110347</v>
      </c>
      <c r="L3727">
        <v>141.95769999999999</v>
      </c>
      <c r="M3727">
        <v>-0.99965700000000002</v>
      </c>
      <c r="N3727">
        <v>0</v>
      </c>
      <c r="O3727">
        <v>2.172545E-2</v>
      </c>
      <c r="P3727">
        <v>-0.98577789999999998</v>
      </c>
      <c r="Q3727">
        <v>0.16544539999999999</v>
      </c>
      <c r="R3727">
        <v>2.9487470000000002E-2</v>
      </c>
      <c r="S3727">
        <v>-3.0682070000000001</v>
      </c>
      <c r="T3727">
        <v>-0.13568150000000001</v>
      </c>
      <c r="U3727">
        <v>-8.3587649999999999E-2</v>
      </c>
      <c r="V3727">
        <v>7.9045959999999998E-3</v>
      </c>
      <c r="W3727">
        <v>0.17985489999999901</v>
      </c>
      <c r="X3727">
        <v>0.98366140000000002</v>
      </c>
      <c r="Y3727">
        <v>-4.8877379999999998E-2</v>
      </c>
      <c r="Z3727">
        <v>-2.0402010000000002E-3</v>
      </c>
      <c r="AA3727">
        <v>0.99880270000000004</v>
      </c>
      <c r="AB3727">
        <v>34</v>
      </c>
      <c r="AC3727">
        <v>-24.751799999999999</v>
      </c>
      <c r="AD3727">
        <v>-1.1103480479159999</v>
      </c>
      <c r="AE3727">
        <v>-0.69139999999998702</v>
      </c>
      <c r="AF3727">
        <v>-1.22657191367573</v>
      </c>
      <c r="AG3727">
        <v>-1.1103480479159999</v>
      </c>
      <c r="AH3727">
        <v>24.6813052776399</v>
      </c>
      <c r="AI3727">
        <v>92.572681361483006</v>
      </c>
      <c r="AJ3727">
        <v>92.845053098997695</v>
      </c>
      <c r="AK3727">
        <v>24.736697064381602</v>
      </c>
      <c r="AL3727">
        <v>79.638691834268201</v>
      </c>
      <c r="AM3727">
        <v>89.539587259214599</v>
      </c>
      <c r="AN3727">
        <v>1.00000000877094</v>
      </c>
    </row>
    <row r="3728" spans="1:40" x14ac:dyDescent="0.25">
      <c r="A3728" t="str">
        <f>"20190312172737635"</f>
        <v>20190312172737635</v>
      </c>
      <c r="B3728" t="str">
        <f>"1552382857633555"</f>
        <v>1552382857633555</v>
      </c>
      <c r="C3728" t="s">
        <v>40</v>
      </c>
      <c r="D3728">
        <v>3.272475</v>
      </c>
      <c r="E3728">
        <v>0.48057129999999998</v>
      </c>
      <c r="F3728" t="s">
        <v>41</v>
      </c>
      <c r="G3728">
        <v>-329.09809999999999</v>
      </c>
      <c r="H3728" s="1">
        <v>-8.0201399999999997E-7</v>
      </c>
      <c r="I3728">
        <v>141.24299999999999</v>
      </c>
      <c r="J3728">
        <v>-304.1465</v>
      </c>
      <c r="K3728">
        <v>1.1104229999999999</v>
      </c>
      <c r="L3728">
        <v>141.9649</v>
      </c>
      <c r="M3728">
        <v>-0.99967019999999995</v>
      </c>
      <c r="N3728">
        <v>0</v>
      </c>
      <c r="O3728">
        <v>2.1114810000000001E-2</v>
      </c>
      <c r="P3728">
        <v>-0.98571149999999996</v>
      </c>
      <c r="Q3728">
        <v>0.16611809999999999</v>
      </c>
      <c r="R3728">
        <v>2.7881670000000001E-2</v>
      </c>
      <c r="S3728">
        <v>-3.068451</v>
      </c>
      <c r="T3728">
        <v>-0.13461029999999999</v>
      </c>
      <c r="U3728">
        <v>-8.6639399999999894E-2</v>
      </c>
      <c r="V3728">
        <v>6.870981E-3</v>
      </c>
      <c r="W3728">
        <v>0.18052280000000001</v>
      </c>
      <c r="X3728">
        <v>0.98354680000000005</v>
      </c>
      <c r="Y3728">
        <v>-4.9259030000000002E-2</v>
      </c>
      <c r="Z3728">
        <v>-2.0055170000000001E-3</v>
      </c>
      <c r="AA3728">
        <v>0.99878400000000001</v>
      </c>
      <c r="AB3728">
        <v>34</v>
      </c>
      <c r="AC3728">
        <v>-24.9515999999999</v>
      </c>
      <c r="AD3728">
        <v>-1.110423802014</v>
      </c>
      <c r="AE3728">
        <v>-0.72190000000000498</v>
      </c>
      <c r="AF3728">
        <v>-1.24617758392</v>
      </c>
      <c r="AG3728">
        <v>-1.110423802014</v>
      </c>
      <c r="AH3728">
        <v>24.881554259689398</v>
      </c>
      <c r="AI3728">
        <v>92.552128341757097</v>
      </c>
      <c r="AJ3728">
        <v>92.867228606563003</v>
      </c>
      <c r="AK3728">
        <v>24.937476656001301</v>
      </c>
      <c r="AL3728">
        <v>79.599787097904596</v>
      </c>
      <c r="AM3728">
        <v>89.599742677864796</v>
      </c>
      <c r="AN3728">
        <v>0.99999999974499099</v>
      </c>
    </row>
    <row r="3729" spans="1:40" x14ac:dyDescent="0.25">
      <c r="A3729" t="str">
        <f>"20190312172737656"</f>
        <v>20190312172737656</v>
      </c>
      <c r="B3729" t="str">
        <f>"1552382857653073"</f>
        <v>1552382857653073</v>
      </c>
      <c r="C3729" t="s">
        <v>40</v>
      </c>
      <c r="D3729">
        <v>3.3136969999999999</v>
      </c>
      <c r="E3729">
        <v>0.48052270000000002</v>
      </c>
      <c r="F3729" t="s">
        <v>41</v>
      </c>
      <c r="G3729">
        <v>-329.58429999999998</v>
      </c>
      <c r="H3729" s="1">
        <v>-5.851875E-7</v>
      </c>
      <c r="I3729">
        <v>141.21190000000001</v>
      </c>
      <c r="J3729">
        <v>-304.47969999999998</v>
      </c>
      <c r="K3729">
        <v>1.1104810000000001</v>
      </c>
      <c r="L3729">
        <v>141.97130000000001</v>
      </c>
      <c r="M3729">
        <v>-0.9996834</v>
      </c>
      <c r="N3729">
        <v>0</v>
      </c>
      <c r="O3729">
        <v>2.0482520000000001E-2</v>
      </c>
      <c r="P3729">
        <v>-0.98575959999999996</v>
      </c>
      <c r="Q3729">
        <v>0.1660432</v>
      </c>
      <c r="R3729">
        <v>2.6601300000000001E-2</v>
      </c>
      <c r="S3729">
        <v>-3.0686339999999999</v>
      </c>
      <c r="T3729">
        <v>-0.13395370000000001</v>
      </c>
      <c r="U3729">
        <v>-9.0820310000000001E-2</v>
      </c>
      <c r="V3729">
        <v>6.1888510000000004E-3</v>
      </c>
      <c r="W3729">
        <v>0.1804453</v>
      </c>
      <c r="X3729">
        <v>0.98356560000000004</v>
      </c>
      <c r="Y3729">
        <v>-4.998586E-2</v>
      </c>
      <c r="Z3729">
        <v>-1.9838569999999999E-3</v>
      </c>
      <c r="AA3729">
        <v>0.99874790000000002</v>
      </c>
      <c r="AB3729">
        <v>34</v>
      </c>
      <c r="AC3729">
        <v>-25.104600000000001</v>
      </c>
      <c r="AD3729">
        <v>-1.1104815851875001</v>
      </c>
      <c r="AE3729">
        <v>-0.75939999999999896</v>
      </c>
      <c r="AF3729">
        <v>-1.2710163635786</v>
      </c>
      <c r="AG3729">
        <v>-1.1104815851875001</v>
      </c>
      <c r="AH3729">
        <v>25.034836158666099</v>
      </c>
      <c r="AI3729">
        <v>92.536567254703996</v>
      </c>
      <c r="AJ3729">
        <v>92.906406080604199</v>
      </c>
      <c r="AK3729">
        <v>25.091665417799199</v>
      </c>
      <c r="AL3729">
        <v>79.604302175358399</v>
      </c>
      <c r="AM3729">
        <v>89.639484786095196</v>
      </c>
      <c r="AN3729">
        <v>1.0000000488360701</v>
      </c>
    </row>
    <row r="3730" spans="1:40" x14ac:dyDescent="0.25">
      <c r="A3730" t="str">
        <f>"20190312172737677"</f>
        <v>20190312172737677</v>
      </c>
      <c r="B3730" t="str">
        <f>"1552382857672594"</f>
        <v>1552382857672594</v>
      </c>
      <c r="C3730" t="s">
        <v>40</v>
      </c>
      <c r="D3730">
        <v>3.3125969999999998</v>
      </c>
      <c r="E3730">
        <v>0.4809389</v>
      </c>
      <c r="F3730" t="s">
        <v>41</v>
      </c>
      <c r="G3730">
        <v>-329.74860000000001</v>
      </c>
      <c r="H3730" s="1">
        <v>-5.0979199999999996E-7</v>
      </c>
      <c r="I3730">
        <v>141.1934</v>
      </c>
      <c r="J3730">
        <v>-304.79680000000002</v>
      </c>
      <c r="K3730">
        <v>1.110533</v>
      </c>
      <c r="L3730">
        <v>141.97720000000001</v>
      </c>
      <c r="M3730">
        <v>-0.99969669999999999</v>
      </c>
      <c r="N3730">
        <v>0</v>
      </c>
      <c r="O3730">
        <v>1.9828499999999999E-2</v>
      </c>
      <c r="P3730">
        <v>-0.98573560000000005</v>
      </c>
      <c r="Q3730">
        <v>0.16640940000000001</v>
      </c>
      <c r="R3730">
        <v>2.5158509999999999E-2</v>
      </c>
      <c r="S3730">
        <v>-3.0686040000000001</v>
      </c>
      <c r="T3730">
        <v>-0.134854799999999</v>
      </c>
      <c r="U3730">
        <v>-9.4451900000000005E-2</v>
      </c>
      <c r="V3730">
        <v>5.3702219999999896E-3</v>
      </c>
      <c r="W3730">
        <v>0.18080740000000001</v>
      </c>
      <c r="X3730">
        <v>0.98350389999999999</v>
      </c>
      <c r="Y3730">
        <v>-5.0512870000000001E-2</v>
      </c>
      <c r="Z3730">
        <v>-1.9800239999999999E-3</v>
      </c>
      <c r="AA3730">
        <v>0.99872139999999998</v>
      </c>
      <c r="AB3730">
        <v>34</v>
      </c>
      <c r="AC3730">
        <v>-24.951799999999899</v>
      </c>
      <c r="AD3730">
        <v>-1.1105335097919999</v>
      </c>
      <c r="AE3730">
        <v>-0.78380000000001304</v>
      </c>
      <c r="AF3730">
        <v>-1.27593043722831</v>
      </c>
      <c r="AG3730">
        <v>-1.1105335097919999</v>
      </c>
      <c r="AH3730">
        <v>24.882110045996502</v>
      </c>
      <c r="AI3730">
        <v>92.552169288438805</v>
      </c>
      <c r="AJ3730">
        <v>92.935500724183697</v>
      </c>
      <c r="AK3730">
        <v>24.9395405630917</v>
      </c>
      <c r="AL3730">
        <v>79.583208308441996</v>
      </c>
      <c r="AM3730">
        <v>89.687151217413202</v>
      </c>
      <c r="AN3730">
        <v>1.0000000382471399</v>
      </c>
    </row>
    <row r="3731" spans="1:40" x14ac:dyDescent="0.25">
      <c r="A3731" t="str">
        <f>"20190312172737703"</f>
        <v>20190312172737703</v>
      </c>
      <c r="B3731" t="str">
        <f>"1552382857693089"</f>
        <v>1552382857693089</v>
      </c>
      <c r="C3731" t="s">
        <v>40</v>
      </c>
      <c r="D3731">
        <v>3.3287429999999998</v>
      </c>
      <c r="E3731">
        <v>0.48133330000000002</v>
      </c>
      <c r="F3731" t="s">
        <v>41</v>
      </c>
      <c r="G3731">
        <v>-331.5967</v>
      </c>
      <c r="H3731" s="1">
        <v>-4.3591450000000001E-6</v>
      </c>
      <c r="I3731">
        <v>141.14359999999999</v>
      </c>
      <c r="J3731">
        <v>-305.1893</v>
      </c>
      <c r="K3731">
        <v>1.1105929999999999</v>
      </c>
      <c r="L3731">
        <v>141.98410000000001</v>
      </c>
      <c r="M3731">
        <v>-0.99971350000000003</v>
      </c>
      <c r="N3731">
        <v>0</v>
      </c>
      <c r="O3731">
        <v>1.896041E-2</v>
      </c>
      <c r="P3731">
        <v>-0.98581540000000001</v>
      </c>
      <c r="Q3731">
        <v>0.1660529</v>
      </c>
      <c r="R3731">
        <v>2.4378319999999998E-2</v>
      </c>
      <c r="S3731">
        <v>-3.067291</v>
      </c>
      <c r="T3731">
        <v>-0.12710289999999999</v>
      </c>
      <c r="U3731">
        <v>-9.5397949999999995E-2</v>
      </c>
      <c r="V3731">
        <v>5.4207409999999998E-3</v>
      </c>
      <c r="W3731">
        <v>0.1804491</v>
      </c>
      <c r="X3731">
        <v>0.98356940000000004</v>
      </c>
      <c r="Y3731">
        <v>-4.9975239999999997E-2</v>
      </c>
      <c r="Z3731">
        <v>-1.8200110000000001E-3</v>
      </c>
      <c r="AA3731">
        <v>0.99874879999999999</v>
      </c>
      <c r="AB3731">
        <v>34</v>
      </c>
      <c r="AC3731">
        <v>-26.407399999999999</v>
      </c>
      <c r="AD3731">
        <v>-1.110597359145</v>
      </c>
      <c r="AE3731">
        <v>-0.84050000000002001</v>
      </c>
      <c r="AF3731">
        <v>-1.33873198290325</v>
      </c>
      <c r="AG3731">
        <v>-1.110597359145</v>
      </c>
      <c r="AH3731">
        <v>26.340172389503898</v>
      </c>
      <c r="AI3731">
        <v>92.411259523383194</v>
      </c>
      <c r="AJ3731">
        <v>92.909538623449095</v>
      </c>
      <c r="AK3731">
        <v>26.397543660821398</v>
      </c>
      <c r="AL3731">
        <v>79.604080444947897</v>
      </c>
      <c r="AM3731">
        <v>89.684229260714105</v>
      </c>
      <c r="AN3731">
        <v>1.0000000133700699</v>
      </c>
    </row>
    <row r="3732" spans="1:40" x14ac:dyDescent="0.25">
      <c r="A3732" t="str">
        <f>"20190312172737725"</f>
        <v>20190312172737725</v>
      </c>
      <c r="B3732" t="str">
        <f>"1552382857712610"</f>
        <v>1552382857712610</v>
      </c>
      <c r="C3732" t="s">
        <v>40</v>
      </c>
      <c r="D3732">
        <v>3.2847949999999999</v>
      </c>
      <c r="E3732">
        <v>0.48173060000000001</v>
      </c>
      <c r="F3732" t="s">
        <v>41</v>
      </c>
      <c r="G3732">
        <v>-332.43639999999999</v>
      </c>
      <c r="H3732" s="1">
        <v>-3.9602790000000001E-6</v>
      </c>
      <c r="I3732">
        <v>141.13630000000001</v>
      </c>
      <c r="J3732">
        <v>-305.51249999999999</v>
      </c>
      <c r="K3732">
        <v>1.11063</v>
      </c>
      <c r="L3732">
        <v>141.98949999999999</v>
      </c>
      <c r="M3732">
        <v>-0.9997277</v>
      </c>
      <c r="N3732">
        <v>0</v>
      </c>
      <c r="O3732">
        <v>1.820275E-2</v>
      </c>
      <c r="P3732">
        <v>-0.98587469999999999</v>
      </c>
      <c r="Q3732">
        <v>0.16577999999999901</v>
      </c>
      <c r="R3732">
        <v>2.3838089999999999E-2</v>
      </c>
      <c r="S3732">
        <v>-3.066589</v>
      </c>
      <c r="T3732">
        <v>-0.12499499999999999</v>
      </c>
      <c r="U3732">
        <v>-9.5413209999999998E-2</v>
      </c>
      <c r="V3732">
        <v>5.6077019999999896E-3</v>
      </c>
      <c r="W3732">
        <v>0.18017430000000001</v>
      </c>
      <c r="X3732">
        <v>0.98361869999999996</v>
      </c>
      <c r="Y3732">
        <v>-4.9233520000000003E-2</v>
      </c>
      <c r="Z3732">
        <v>-1.744289E-3</v>
      </c>
      <c r="AA3732">
        <v>0.99878579999999995</v>
      </c>
      <c r="AB3732">
        <v>34</v>
      </c>
      <c r="AC3732">
        <v>-26.9239</v>
      </c>
      <c r="AD3732">
        <v>-1.1106339602789901</v>
      </c>
      <c r="AE3732">
        <v>-0.85319999999998597</v>
      </c>
      <c r="AF3732">
        <v>-1.3409204118556</v>
      </c>
      <c r="AG3732">
        <v>-1.1106339602789901</v>
      </c>
      <c r="AH3732">
        <v>26.8582489135127</v>
      </c>
      <c r="AI3732">
        <v>92.364985906691999</v>
      </c>
      <c r="AJ3732">
        <v>92.858166270490003</v>
      </c>
      <c r="AK3732">
        <v>26.9146263218508</v>
      </c>
      <c r="AL3732">
        <v>79.6200874025605</v>
      </c>
      <c r="AM3732">
        <v>89.673354953046001</v>
      </c>
      <c r="AN3732">
        <v>0.99999998584594996</v>
      </c>
    </row>
    <row r="3733" spans="1:40" x14ac:dyDescent="0.25">
      <c r="A3733" t="str">
        <f>"20190312172737746"</f>
        <v>20190312172737746</v>
      </c>
      <c r="B3733" t="str">
        <f>"1552382857742866"</f>
        <v>1552382857742866</v>
      </c>
      <c r="C3733" t="s">
        <v>40</v>
      </c>
      <c r="D3733">
        <v>3.2933439999999998</v>
      </c>
      <c r="E3733">
        <v>0.48231010000000002</v>
      </c>
      <c r="F3733" t="s">
        <v>41</v>
      </c>
      <c r="G3733">
        <v>-333.21260000000001</v>
      </c>
      <c r="H3733" s="1">
        <v>-3.59416E-6</v>
      </c>
      <c r="I3733">
        <v>141.13929999999999</v>
      </c>
      <c r="J3733">
        <v>-305.83870000000002</v>
      </c>
      <c r="K3733">
        <v>1.11067</v>
      </c>
      <c r="L3733">
        <v>141.99469999999999</v>
      </c>
      <c r="M3733">
        <v>-0.99974209999999997</v>
      </c>
      <c r="N3733">
        <v>0</v>
      </c>
      <c r="O3733">
        <v>1.7399979999999999E-2</v>
      </c>
      <c r="P3733">
        <v>-0.98603050000000003</v>
      </c>
      <c r="Q3733">
        <v>0.1649302</v>
      </c>
      <c r="R3733">
        <v>2.3287120000000001E-2</v>
      </c>
      <c r="S3733">
        <v>-3.065887</v>
      </c>
      <c r="T3733">
        <v>-0.12292649999999999</v>
      </c>
      <c r="U3733">
        <v>-9.4100950000000003E-2</v>
      </c>
      <c r="V3733">
        <v>5.8282539999999997E-3</v>
      </c>
      <c r="W3733">
        <v>0.17932429999999999</v>
      </c>
      <c r="X3733">
        <v>0.9837728</v>
      </c>
      <c r="Y3733">
        <v>-4.8014939999999999E-2</v>
      </c>
      <c r="Z3733">
        <v>-1.659265E-3</v>
      </c>
      <c r="AA3733">
        <v>0.99884519999999999</v>
      </c>
      <c r="AB3733">
        <v>34</v>
      </c>
      <c r="AC3733">
        <v>-27.3738999999999</v>
      </c>
      <c r="AD3733">
        <v>-1.1106735941600001</v>
      </c>
      <c r="AE3733">
        <v>-0.85540000000000205</v>
      </c>
      <c r="AF3733">
        <v>-1.32944003892864</v>
      </c>
      <c r="AG3733">
        <v>-1.1106735941600001</v>
      </c>
      <c r="AH3733">
        <v>27.309953883124599</v>
      </c>
      <c r="AI3733">
        <v>92.326137822683407</v>
      </c>
      <c r="AJ3733">
        <v>92.786940653866097</v>
      </c>
      <c r="AK3733">
        <v>27.364842183872799</v>
      </c>
      <c r="AL3733">
        <v>79.669595822376195</v>
      </c>
      <c r="AM3733">
        <v>89.660561412799098</v>
      </c>
      <c r="AN3733">
        <v>1.0000000475674999</v>
      </c>
    </row>
    <row r="3734" spans="1:40" x14ac:dyDescent="0.25">
      <c r="A3734" t="str">
        <f>"20190312172737768"</f>
        <v>20190312172737768</v>
      </c>
      <c r="B3734" t="str">
        <f>"1552382857763362"</f>
        <v>1552382857763362</v>
      </c>
      <c r="C3734" t="s">
        <v>40</v>
      </c>
      <c r="D3734">
        <v>3.2854079999999999</v>
      </c>
      <c r="E3734">
        <v>0.48264829999999997</v>
      </c>
      <c r="F3734" t="s">
        <v>41</v>
      </c>
      <c r="G3734">
        <v>-333.71390000000002</v>
      </c>
      <c r="H3734" s="1">
        <v>-3.3644029999999998E-6</v>
      </c>
      <c r="I3734">
        <v>141.16650000000001</v>
      </c>
      <c r="J3734">
        <v>-306.16399999999999</v>
      </c>
      <c r="K3734">
        <v>1.110706</v>
      </c>
      <c r="L3734">
        <v>141.99950000000001</v>
      </c>
      <c r="M3734">
        <v>-0.99975630000000004</v>
      </c>
      <c r="N3734">
        <v>0</v>
      </c>
      <c r="O3734">
        <v>1.6561820000000001E-2</v>
      </c>
      <c r="P3734">
        <v>-0.98612089999999997</v>
      </c>
      <c r="Q3734">
        <v>0.16442770000000001</v>
      </c>
      <c r="R3734">
        <v>2.3005100000000001E-2</v>
      </c>
      <c r="S3734">
        <v>-3.0650940000000002</v>
      </c>
      <c r="T3734">
        <v>-0.12212720000000001</v>
      </c>
      <c r="U3734">
        <v>-9.1064450000000005E-2</v>
      </c>
      <c r="V3734">
        <v>6.353994E-3</v>
      </c>
      <c r="W3734">
        <v>0.17882190000000001</v>
      </c>
      <c r="X3734">
        <v>0.98386099999999999</v>
      </c>
      <c r="Y3734">
        <v>-4.6199499999999998E-2</v>
      </c>
      <c r="Z3734">
        <v>-1.5794089999999999E-3</v>
      </c>
      <c r="AA3734">
        <v>0.99893100000000001</v>
      </c>
      <c r="AB3734">
        <v>34</v>
      </c>
      <c r="AC3734">
        <v>-27.549900000000001</v>
      </c>
      <c r="AD3734">
        <v>-1.1107093644029999</v>
      </c>
      <c r="AE3734">
        <v>-0.83299999999999796</v>
      </c>
      <c r="AF3734">
        <v>-1.2871206434050899</v>
      </c>
      <c r="AG3734">
        <v>-1.1107093644029999</v>
      </c>
      <c r="AH3734">
        <v>27.487685352691798</v>
      </c>
      <c r="AI3734">
        <v>92.311392033902493</v>
      </c>
      <c r="AJ3734">
        <v>92.680936978976405</v>
      </c>
      <c r="AK3734">
        <v>27.540210618138701</v>
      </c>
      <c r="AL3734">
        <v>79.698854249697703</v>
      </c>
      <c r="AM3734">
        <v>89.629976208086404</v>
      </c>
      <c r="AN3734">
        <v>1.0000000562401701</v>
      </c>
    </row>
    <row r="3735" spans="1:40" x14ac:dyDescent="0.25">
      <c r="A3735" t="str">
        <f>"20190312172737791"</f>
        <v>20190312172737791</v>
      </c>
      <c r="B3735" t="str">
        <f>"1552382857782882"</f>
        <v>1552382857782882</v>
      </c>
      <c r="C3735" t="s">
        <v>40</v>
      </c>
      <c r="D3735">
        <v>3.3152210000000002</v>
      </c>
      <c r="E3735">
        <v>0.48294209999999899</v>
      </c>
      <c r="F3735" t="s">
        <v>41</v>
      </c>
      <c r="G3735">
        <v>-334.11380000000003</v>
      </c>
      <c r="H3735" s="1">
        <v>-3.1805409999999999E-6</v>
      </c>
      <c r="I3735">
        <v>141.1858</v>
      </c>
      <c r="J3735">
        <v>-306.51299999999998</v>
      </c>
      <c r="K3735">
        <v>1.110744</v>
      </c>
      <c r="L3735">
        <v>142.0043</v>
      </c>
      <c r="M3735">
        <v>-0.99977169999999904</v>
      </c>
      <c r="N3735">
        <v>0</v>
      </c>
      <c r="O3735">
        <v>1.5616059999999999E-2</v>
      </c>
      <c r="P3735">
        <v>-0.98622410000000005</v>
      </c>
      <c r="Q3735">
        <v>0.163885</v>
      </c>
      <c r="R3735">
        <v>2.2451209999999999E-2</v>
      </c>
      <c r="S3735">
        <v>-3.0646059999999999</v>
      </c>
      <c r="T3735">
        <v>-0.12178600000000001</v>
      </c>
      <c r="U3735">
        <v>-8.9218140000000001E-2</v>
      </c>
      <c r="V3735">
        <v>6.7137630000000002E-3</v>
      </c>
      <c r="W3735">
        <v>0.17827860000000001</v>
      </c>
      <c r="X3735">
        <v>0.98395719999999998</v>
      </c>
      <c r="Y3735">
        <v>-4.4660119999999998E-2</v>
      </c>
      <c r="Z3735">
        <v>-1.50713E-3</v>
      </c>
      <c r="AA3735">
        <v>0.99900109999999998</v>
      </c>
      <c r="AB3735">
        <v>34</v>
      </c>
      <c r="AC3735">
        <v>-27.6008</v>
      </c>
      <c r="AD3735">
        <v>-1.1107471805410001</v>
      </c>
      <c r="AE3735">
        <v>-0.81850000000000001</v>
      </c>
      <c r="AF3735">
        <v>-1.2474432763304</v>
      </c>
      <c r="AG3735">
        <v>-1.1107471805410001</v>
      </c>
      <c r="AH3735">
        <v>27.540087975652</v>
      </c>
      <c r="AI3735">
        <v>92.307239241466903</v>
      </c>
      <c r="AJ3735">
        <v>92.593470828526904</v>
      </c>
      <c r="AK3735">
        <v>27.5906926287361</v>
      </c>
      <c r="AL3735">
        <v>79.730491392223101</v>
      </c>
      <c r="AM3735">
        <v>89.609063976467894</v>
      </c>
      <c r="AN3735">
        <v>1.0000000526317001</v>
      </c>
    </row>
    <row r="3736" spans="1:40" x14ac:dyDescent="0.25">
      <c r="A3736" t="str">
        <f>"20190312172737813"</f>
        <v>20190312172737813</v>
      </c>
      <c r="B3736" t="str">
        <f>"1552382857803378"</f>
        <v>1552382857803378</v>
      </c>
      <c r="C3736" t="s">
        <v>40</v>
      </c>
      <c r="D3736">
        <v>3.2941449999999999</v>
      </c>
      <c r="E3736">
        <v>0.48323070000000001</v>
      </c>
      <c r="F3736" t="s">
        <v>41</v>
      </c>
      <c r="G3736">
        <v>-334.53320000000002</v>
      </c>
      <c r="H3736" s="1">
        <v>-2.9836889999999998E-6</v>
      </c>
      <c r="I3736">
        <v>141.19110000000001</v>
      </c>
      <c r="J3736">
        <v>-306.8535</v>
      </c>
      <c r="K3736">
        <v>1.110784</v>
      </c>
      <c r="L3736">
        <v>142.0087</v>
      </c>
      <c r="M3736">
        <v>-0.99978619999999996</v>
      </c>
      <c r="N3736">
        <v>0</v>
      </c>
      <c r="O3736">
        <v>1.4651529999999999E-2</v>
      </c>
      <c r="P3736">
        <v>-0.98627160000000003</v>
      </c>
      <c r="Q3736">
        <v>0.163685</v>
      </c>
      <c r="R3736">
        <v>2.180319E-2</v>
      </c>
      <c r="S3736">
        <v>-3.0641479999999999</v>
      </c>
      <c r="T3736">
        <v>-0.12146560000000001</v>
      </c>
      <c r="U3736">
        <v>-8.8928220000000002E-2</v>
      </c>
      <c r="V3736">
        <v>6.9998359999999997E-3</v>
      </c>
      <c r="W3736">
        <v>0.17807729999999999</v>
      </c>
      <c r="X3736">
        <v>0.98399159999999997</v>
      </c>
      <c r="Y3736">
        <v>-4.3608050000000002E-2</v>
      </c>
      <c r="Z3736">
        <v>-1.444337E-3</v>
      </c>
      <c r="AA3736">
        <v>0.99904769999999998</v>
      </c>
      <c r="AB3736">
        <v>34</v>
      </c>
      <c r="AC3736">
        <v>-27.6797</v>
      </c>
      <c r="AD3736">
        <v>-1.1107869836890001</v>
      </c>
      <c r="AE3736">
        <v>-0.817599999999998</v>
      </c>
      <c r="AF3736">
        <v>-1.2211405173399901</v>
      </c>
      <c r="AG3736">
        <v>-1.1107869836890001</v>
      </c>
      <c r="AH3736">
        <v>27.620306394515001</v>
      </c>
      <c r="AI3736">
        <v>92.300739078345302</v>
      </c>
      <c r="AJ3736">
        <v>92.531494879000405</v>
      </c>
      <c r="AK3736">
        <v>27.669592646316801</v>
      </c>
      <c r="AL3736">
        <v>79.742212000788697</v>
      </c>
      <c r="AM3736">
        <v>89.592421017552397</v>
      </c>
      <c r="AN3736">
        <v>0.99999999567493802</v>
      </c>
    </row>
    <row r="3737" spans="1:40" x14ac:dyDescent="0.25">
      <c r="A3737" t="str">
        <f>"20190312172737836"</f>
        <v>20190312172737836</v>
      </c>
      <c r="B3737" t="str">
        <f>"1552382857832658"</f>
        <v>1552382857832658</v>
      </c>
      <c r="C3737" t="s">
        <v>40</v>
      </c>
      <c r="D3737">
        <v>3.2988400000000002</v>
      </c>
      <c r="E3737">
        <v>0.48361530000000003</v>
      </c>
      <c r="F3737" t="s">
        <v>41</v>
      </c>
      <c r="G3737">
        <v>-335.2244</v>
      </c>
      <c r="H3737" s="1">
        <v>-2.6546340000000001E-6</v>
      </c>
      <c r="I3737">
        <v>141.1825</v>
      </c>
      <c r="J3737">
        <v>-307.202</v>
      </c>
      <c r="K3737">
        <v>1.1108209999999901</v>
      </c>
      <c r="L3737">
        <v>142.0127</v>
      </c>
      <c r="M3737">
        <v>-0.99980080000000005</v>
      </c>
      <c r="N3737">
        <v>0</v>
      </c>
      <c r="O3737">
        <v>1.362934E-2</v>
      </c>
      <c r="P3737">
        <v>-0.98626599999999998</v>
      </c>
      <c r="Q3737">
        <v>0.16380549999999999</v>
      </c>
      <c r="R3737">
        <v>2.115676E-2</v>
      </c>
      <c r="S3737">
        <v>-3.06366</v>
      </c>
      <c r="T3737">
        <v>-0.1199495</v>
      </c>
      <c r="U3737">
        <v>-8.9218140000000001E-2</v>
      </c>
      <c r="V3737">
        <v>7.3466750000000004E-3</v>
      </c>
      <c r="W3737">
        <v>0.17819499999999999</v>
      </c>
      <c r="X3737">
        <v>0.98396779999999995</v>
      </c>
      <c r="Y3737">
        <v>-4.268827E-2</v>
      </c>
      <c r="Z3737">
        <v>-1.3685500000000001E-3</v>
      </c>
      <c r="AA3737">
        <v>0.99908750000000002</v>
      </c>
      <c r="AB3737">
        <v>34</v>
      </c>
      <c r="AC3737">
        <v>-28.022400000000001</v>
      </c>
      <c r="AD3737">
        <v>-1.11082365463399</v>
      </c>
      <c r="AE3737">
        <v>-0.83019999999998995</v>
      </c>
      <c r="AF3737">
        <v>-1.2101903002774601</v>
      </c>
      <c r="AG3737">
        <v>-1.11082365463399</v>
      </c>
      <c r="AH3737">
        <v>27.9645760651483</v>
      </c>
      <c r="AI3737">
        <v>92.272612443676806</v>
      </c>
      <c r="AJ3737">
        <v>92.477976393471394</v>
      </c>
      <c r="AK3737">
        <v>28.012782872432499</v>
      </c>
      <c r="AL3737">
        <v>79.735359046583696</v>
      </c>
      <c r="AM3737">
        <v>89.572216032558202</v>
      </c>
      <c r="AN3737">
        <v>1.00000003154769</v>
      </c>
    </row>
    <row r="3738" spans="1:40" x14ac:dyDescent="0.25">
      <c r="A3738" t="str">
        <f>"20190312172737858"</f>
        <v>20190312172737858</v>
      </c>
      <c r="B3738" t="str">
        <f>"1552382857853155"</f>
        <v>1552382857853155</v>
      </c>
      <c r="C3738" t="s">
        <v>40</v>
      </c>
      <c r="D3738">
        <v>3.3114590000000002</v>
      </c>
      <c r="E3738">
        <v>0.4838788</v>
      </c>
      <c r="F3738" t="s">
        <v>41</v>
      </c>
      <c r="G3738">
        <v>-336.2921</v>
      </c>
      <c r="H3738" s="1">
        <v>-2.1477830000000002E-6</v>
      </c>
      <c r="I3738">
        <v>141.17439999999999</v>
      </c>
      <c r="J3738">
        <v>-307.52999999999997</v>
      </c>
      <c r="K3738">
        <v>1.1108549999999999</v>
      </c>
      <c r="L3738">
        <v>142.0162</v>
      </c>
      <c r="M3738">
        <v>-0.99981370000000003</v>
      </c>
      <c r="N3738">
        <v>0</v>
      </c>
      <c r="O3738">
        <v>1.263622E-2</v>
      </c>
      <c r="P3738">
        <v>-0.98617390000000005</v>
      </c>
      <c r="Q3738">
        <v>0.16445489999999999</v>
      </c>
      <c r="R3738">
        <v>2.0385589999999999E-2</v>
      </c>
      <c r="S3738">
        <v>-3.06311</v>
      </c>
      <c r="T3738">
        <v>-0.1169665</v>
      </c>
      <c r="U3738">
        <v>-8.8272089999999998E-2</v>
      </c>
      <c r="V3738">
        <v>7.5422930000000003E-3</v>
      </c>
      <c r="W3738">
        <v>0.17884069999999999</v>
      </c>
      <c r="X3738">
        <v>0.98384919999999998</v>
      </c>
      <c r="Y3738">
        <v>-4.1396509999999997E-2</v>
      </c>
      <c r="Z3738">
        <v>-1.272231E-3</v>
      </c>
      <c r="AA3738">
        <v>0.99914199999999997</v>
      </c>
      <c r="AB3738">
        <v>34</v>
      </c>
      <c r="AC3738">
        <v>-28.7621</v>
      </c>
      <c r="AD3738">
        <v>-1.1108571477829901</v>
      </c>
      <c r="AE3738">
        <v>-0.84180000000000599</v>
      </c>
      <c r="AF3738">
        <v>-1.20342211011331</v>
      </c>
      <c r="AG3738">
        <v>-1.1108571477829901</v>
      </c>
      <c r="AH3738">
        <v>28.706380792590402</v>
      </c>
      <c r="AI3738">
        <v>92.214138870772999</v>
      </c>
      <c r="AJ3738">
        <v>92.400534523346295</v>
      </c>
      <c r="AK3738">
        <v>28.753061168979801</v>
      </c>
      <c r="AL3738">
        <v>79.697759534348805</v>
      </c>
      <c r="AM3738">
        <v>89.560773041729604</v>
      </c>
      <c r="AN3738">
        <v>1.00000006525041</v>
      </c>
    </row>
    <row r="3739" spans="1:40" x14ac:dyDescent="0.25">
      <c r="A3739" t="str">
        <f>"20190312172737880"</f>
        <v>20190312172737880</v>
      </c>
      <c r="B3739" t="str">
        <f>"1552382857872674"</f>
        <v>1552382857872674</v>
      </c>
      <c r="C3739" t="s">
        <v>40</v>
      </c>
      <c r="D3739">
        <v>3.3046709999999999</v>
      </c>
      <c r="E3739">
        <v>0.48416320000000002</v>
      </c>
      <c r="F3739" t="s">
        <v>41</v>
      </c>
      <c r="G3739">
        <v>-337.51240000000001</v>
      </c>
      <c r="H3739" s="1">
        <v>-1.5646710000000001E-6</v>
      </c>
      <c r="I3739">
        <v>141.1508</v>
      </c>
      <c r="J3739">
        <v>-307.86520000000002</v>
      </c>
      <c r="K3739">
        <v>1.110886</v>
      </c>
      <c r="L3739">
        <v>142.01939999999999</v>
      </c>
      <c r="M3739">
        <v>-0.99982649999999995</v>
      </c>
      <c r="N3739">
        <v>0</v>
      </c>
      <c r="O3739">
        <v>1.159171E-2</v>
      </c>
      <c r="P3739">
        <v>-0.98607180000000005</v>
      </c>
      <c r="Q3739">
        <v>0.16518650000000001</v>
      </c>
      <c r="R3739">
        <v>1.9387979999999999E-2</v>
      </c>
      <c r="S3739">
        <v>-3.0628359999999999</v>
      </c>
      <c r="T3739">
        <v>-0.113479</v>
      </c>
      <c r="U3739">
        <v>-8.8409420000000002E-2</v>
      </c>
      <c r="V3739">
        <v>7.5628169999999899E-3</v>
      </c>
      <c r="W3739">
        <v>0.1795678</v>
      </c>
      <c r="X3739">
        <v>0.98371649999999999</v>
      </c>
      <c r="Y3739">
        <v>-4.0403729999999999E-2</v>
      </c>
      <c r="Z3739">
        <v>-1.1773689999999999E-3</v>
      </c>
      <c r="AA3739">
        <v>0.99918280000000004</v>
      </c>
      <c r="AB3739">
        <v>34</v>
      </c>
      <c r="AC3739">
        <v>-29.647200000000002</v>
      </c>
      <c r="AD3739">
        <v>-1.1108875646709999</v>
      </c>
      <c r="AE3739">
        <v>-0.86859999999998605</v>
      </c>
      <c r="AF3739">
        <v>-1.2105417464567101</v>
      </c>
      <c r="AG3739">
        <v>-1.1108875646709999</v>
      </c>
      <c r="AH3739">
        <v>29.593623704083399</v>
      </c>
      <c r="AI3739">
        <v>92.147969083547906</v>
      </c>
      <c r="AJ3739">
        <v>92.342406165647404</v>
      </c>
      <c r="AK3739">
        <v>29.6391978035868</v>
      </c>
      <c r="AL3739">
        <v>79.655413306770996</v>
      </c>
      <c r="AM3739">
        <v>89.559518460353402</v>
      </c>
      <c r="AN3739">
        <v>0.99999997168503196</v>
      </c>
    </row>
    <row r="3740" spans="1:40" x14ac:dyDescent="0.25">
      <c r="A3740" t="str">
        <f>"20190312172737901"</f>
        <v>20190312172737901</v>
      </c>
      <c r="B3740" t="str">
        <f>"1552382857893169"</f>
        <v>1552382857893169</v>
      </c>
      <c r="C3740" t="s">
        <v>40</v>
      </c>
      <c r="D3740">
        <v>3.2940019999999999</v>
      </c>
      <c r="E3740">
        <v>0.48439219999999999</v>
      </c>
      <c r="F3740" t="s">
        <v>41</v>
      </c>
      <c r="G3740">
        <v>-338.7955</v>
      </c>
      <c r="H3740" s="1">
        <v>-9.5045650000000001E-7</v>
      </c>
      <c r="I3740">
        <v>141.12190000000001</v>
      </c>
      <c r="J3740">
        <v>-308.19740000000002</v>
      </c>
      <c r="K3740">
        <v>1.1109199999999999</v>
      </c>
      <c r="L3740">
        <v>142.0222</v>
      </c>
      <c r="M3740">
        <v>-0.99983829999999996</v>
      </c>
      <c r="N3740">
        <v>0</v>
      </c>
      <c r="O3740">
        <v>1.053055E-2</v>
      </c>
      <c r="P3740">
        <v>-0.98598819999999998</v>
      </c>
      <c r="Q3740">
        <v>0.16576629999999901</v>
      </c>
      <c r="R3740">
        <v>1.8680410000000001E-2</v>
      </c>
      <c r="S3740">
        <v>-3.0625610000000001</v>
      </c>
      <c r="T3740">
        <v>-0.1099946</v>
      </c>
      <c r="U3740">
        <v>-8.8867189999999999E-2</v>
      </c>
      <c r="V3740">
        <v>7.8905250000000007E-3</v>
      </c>
      <c r="W3740">
        <v>0.18014379999999999</v>
      </c>
      <c r="X3740">
        <v>0.9836087</v>
      </c>
      <c r="Y3740">
        <v>-3.9498470000000001E-2</v>
      </c>
      <c r="Z3740">
        <v>-1.086996E-3</v>
      </c>
      <c r="AA3740">
        <v>0.99921910000000003</v>
      </c>
      <c r="AB3740">
        <v>34</v>
      </c>
      <c r="AC3740">
        <v>-30.598099999999899</v>
      </c>
      <c r="AD3740">
        <v>-1.1109209504565001</v>
      </c>
      <c r="AE3740">
        <v>-0.900299999999987</v>
      </c>
      <c r="AF3740">
        <v>-1.2208911573444601</v>
      </c>
      <c r="AG3740">
        <v>-1.1109209504565001</v>
      </c>
      <c r="AH3740">
        <v>30.5466899270982</v>
      </c>
      <c r="AI3740">
        <v>92.081152829219803</v>
      </c>
      <c r="AJ3740">
        <v>92.288781478658805</v>
      </c>
      <c r="AK3740">
        <v>30.5912566933516</v>
      </c>
      <c r="AL3740">
        <v>79.621864791276593</v>
      </c>
      <c r="AM3740">
        <v>89.540382183289296</v>
      </c>
      <c r="AN3740">
        <v>1.00000006188945</v>
      </c>
    </row>
    <row r="3741" spans="1:40" x14ac:dyDescent="0.25">
      <c r="A3741" t="str">
        <f>"20190312172737924"</f>
        <v>20190312172737924</v>
      </c>
      <c r="B3741" t="str">
        <f>"1552382857912690"</f>
        <v>1552382857912690</v>
      </c>
      <c r="C3741" t="s">
        <v>40</v>
      </c>
      <c r="D3741">
        <v>3.3309989999999998</v>
      </c>
      <c r="E3741">
        <v>0.48464659999999898</v>
      </c>
      <c r="F3741" t="s">
        <v>41</v>
      </c>
      <c r="G3741">
        <v>-339.988</v>
      </c>
      <c r="H3741" s="1">
        <v>-4.542457E-6</v>
      </c>
      <c r="I3741">
        <v>141.09530000000001</v>
      </c>
      <c r="J3741">
        <v>-308.53730000000002</v>
      </c>
      <c r="K3741">
        <v>1.110941</v>
      </c>
      <c r="L3741">
        <v>142.02459999999999</v>
      </c>
      <c r="M3741">
        <v>-0.9998494</v>
      </c>
      <c r="N3741">
        <v>0</v>
      </c>
      <c r="O3741">
        <v>9.4227549999999997E-3</v>
      </c>
      <c r="P3741">
        <v>-0.98592420000000003</v>
      </c>
      <c r="Q3741">
        <v>0.166257399999999</v>
      </c>
      <c r="R3741">
        <v>1.7656459999999999E-2</v>
      </c>
      <c r="S3741">
        <v>-3.0623779999999998</v>
      </c>
      <c r="T3741">
        <v>-0.1070154</v>
      </c>
      <c r="U3741">
        <v>-8.9279170000000005E-2</v>
      </c>
      <c r="V3741">
        <v>7.9483109999999996E-3</v>
      </c>
      <c r="W3741">
        <v>0.18063109999999999</v>
      </c>
      <c r="X3741">
        <v>0.98351880000000003</v>
      </c>
      <c r="Y3741">
        <v>-3.8530380000000003E-2</v>
      </c>
      <c r="Z3741">
        <v>-1.0020300000000001E-3</v>
      </c>
      <c r="AA3741">
        <v>0.9992569</v>
      </c>
      <c r="AB3741">
        <v>34</v>
      </c>
      <c r="AC3741">
        <v>-31.450700000000001</v>
      </c>
      <c r="AD3741">
        <v>-1.1109455424570001</v>
      </c>
      <c r="AE3741">
        <v>-0.92929999999998303</v>
      </c>
      <c r="AF3741">
        <v>-1.2241164020033499</v>
      </c>
      <c r="AG3741">
        <v>-1.1109455424570001</v>
      </c>
      <c r="AH3741">
        <v>31.401399271655499</v>
      </c>
      <c r="AI3741">
        <v>92.024677412692299</v>
      </c>
      <c r="AJ3741">
        <v>92.232423057254493</v>
      </c>
      <c r="AK3741">
        <v>31.444880937632501</v>
      </c>
      <c r="AL3741">
        <v>79.593478255088996</v>
      </c>
      <c r="AM3741">
        <v>89.536974015464494</v>
      </c>
      <c r="AN3741">
        <v>0.99999999994420097</v>
      </c>
    </row>
    <row r="3742" spans="1:40" x14ac:dyDescent="0.25">
      <c r="A3742" t="str">
        <f>"20190312172737946"</f>
        <v>20190312172737946</v>
      </c>
      <c r="B3742" t="str">
        <f>"1552382857942945"</f>
        <v>1552382857942945</v>
      </c>
      <c r="C3742" t="s">
        <v>40</v>
      </c>
      <c r="D3742">
        <v>3.3071380000000001</v>
      </c>
      <c r="E3742">
        <v>0.48501359999999899</v>
      </c>
      <c r="F3742" t="s">
        <v>41</v>
      </c>
      <c r="G3742">
        <v>-341.21319999999997</v>
      </c>
      <c r="H3742" s="1">
        <v>-4.1188100000000001E-6</v>
      </c>
      <c r="I3742">
        <v>141.0575</v>
      </c>
      <c r="J3742">
        <v>-308.86599999999999</v>
      </c>
      <c r="K3742">
        <v>1.1109629999999999</v>
      </c>
      <c r="L3742">
        <v>142.0266</v>
      </c>
      <c r="M3742">
        <v>-0.99985919999999895</v>
      </c>
      <c r="N3742">
        <v>0</v>
      </c>
      <c r="O3742">
        <v>8.3322009999999991E-3</v>
      </c>
      <c r="P3742">
        <v>-0.98603810000000003</v>
      </c>
      <c r="Q3742">
        <v>0.1657013</v>
      </c>
      <c r="R3742">
        <v>1.6504870000000001E-2</v>
      </c>
      <c r="S3742">
        <v>-3.0620120000000002</v>
      </c>
      <c r="T3742">
        <v>-0.10410519999999999</v>
      </c>
      <c r="U3742">
        <v>-9.0621950000000007E-2</v>
      </c>
      <c r="V3742">
        <v>7.8640700000000008E-3</v>
      </c>
      <c r="W3742">
        <v>0.18007390000000001</v>
      </c>
      <c r="X3742">
        <v>0.98362169999999904</v>
      </c>
      <c r="Y3742">
        <v>-3.7884340000000002E-2</v>
      </c>
      <c r="Z3742">
        <v>-9.268662E-4</v>
      </c>
      <c r="AA3742">
        <v>0.99928170000000005</v>
      </c>
      <c r="AB3742">
        <v>34</v>
      </c>
      <c r="AC3742">
        <v>-32.347199999999901</v>
      </c>
      <c r="AD3742">
        <v>-1.1109671188100001</v>
      </c>
      <c r="AE3742">
        <v>-0.96909999999999696</v>
      </c>
      <c r="AF3742">
        <v>-1.2371602928405601</v>
      </c>
      <c r="AG3742">
        <v>-1.1109671188100001</v>
      </c>
      <c r="AH3742">
        <v>32.299934955302199</v>
      </c>
      <c r="AI3742">
        <v>91.968488721177494</v>
      </c>
      <c r="AJ3742">
        <v>92.193485223823998</v>
      </c>
      <c r="AK3742">
        <v>32.3427056945768</v>
      </c>
      <c r="AL3742">
        <v>79.625936234050698</v>
      </c>
      <c r="AM3742">
        <v>89.541929157511703</v>
      </c>
      <c r="AN3742">
        <v>1.0000000508845299</v>
      </c>
    </row>
    <row r="3743" spans="1:40" x14ac:dyDescent="0.25">
      <c r="A3743" t="str">
        <f>"20190312172737969"</f>
        <v>20190312172737969</v>
      </c>
      <c r="B3743" t="str">
        <f>"1552382857962466"</f>
        <v>1552382857962466</v>
      </c>
      <c r="C3743" t="s">
        <v>40</v>
      </c>
      <c r="D3743">
        <v>3.3022629999999999</v>
      </c>
      <c r="E3743">
        <v>0.48525160000000001</v>
      </c>
      <c r="F3743" t="s">
        <v>41</v>
      </c>
      <c r="G3743">
        <v>-341.44819999999999</v>
      </c>
      <c r="H3743" s="1">
        <v>-4.0339859999999999E-6</v>
      </c>
      <c r="I3743">
        <v>141.0557</v>
      </c>
      <c r="J3743">
        <v>-309.19589999999999</v>
      </c>
      <c r="K3743">
        <v>1.1109719999999901</v>
      </c>
      <c r="L3743">
        <v>142.0282</v>
      </c>
      <c r="M3743">
        <v>-0.99986770000000003</v>
      </c>
      <c r="N3743">
        <v>0</v>
      </c>
      <c r="O3743">
        <v>7.2216290000000002E-3</v>
      </c>
      <c r="P3743">
        <v>-0.98618700000000004</v>
      </c>
      <c r="Q3743">
        <v>0.16493039999999901</v>
      </c>
      <c r="R3743">
        <v>1.526804E-2</v>
      </c>
      <c r="S3743">
        <v>-3.0615540000000001</v>
      </c>
      <c r="T3743">
        <v>-0.104390899999999</v>
      </c>
      <c r="U3743">
        <v>-9.1217039999999999E-2</v>
      </c>
      <c r="V3743">
        <v>7.7159719999999998E-3</v>
      </c>
      <c r="W3743">
        <v>0.17930179999999901</v>
      </c>
      <c r="X3743">
        <v>0.98376390000000002</v>
      </c>
      <c r="Y3743">
        <v>-3.6973899999999997E-2</v>
      </c>
      <c r="Z3743">
        <v>-8.7617640000000002E-4</v>
      </c>
      <c r="AA3743">
        <v>0.99931590000000003</v>
      </c>
      <c r="AB3743">
        <v>34</v>
      </c>
      <c r="AC3743">
        <v>-32.252299999999899</v>
      </c>
      <c r="AD3743">
        <v>-1.11097603398599</v>
      </c>
      <c r="AE3743">
        <v>-0.97249999999999603</v>
      </c>
      <c r="AF3743">
        <v>-1.20398622479599</v>
      </c>
      <c r="AG3743">
        <v>-1.11097603398599</v>
      </c>
      <c r="AH3743">
        <v>32.206255229011198</v>
      </c>
      <c r="AI3743">
        <v>91.974294335713296</v>
      </c>
      <c r="AJ3743">
        <v>92.140926356433894</v>
      </c>
      <c r="AK3743">
        <v>32.247894915076202</v>
      </c>
      <c r="AL3743">
        <v>79.670906150941406</v>
      </c>
      <c r="AM3743">
        <v>89.550620260328401</v>
      </c>
      <c r="AN3743">
        <v>1.00000004132517</v>
      </c>
    </row>
    <row r="3744" spans="1:40" x14ac:dyDescent="0.25">
      <c r="A3744" t="str">
        <f>"20190312172737992"</f>
        <v>20190312172737992</v>
      </c>
      <c r="B3744" t="str">
        <f>"1552382857982961"</f>
        <v>1552382857982961</v>
      </c>
      <c r="C3744" t="s">
        <v>40</v>
      </c>
      <c r="D3744">
        <v>3.338333</v>
      </c>
      <c r="E3744">
        <v>0.48550660000000001</v>
      </c>
      <c r="F3744" t="s">
        <v>41</v>
      </c>
      <c r="G3744">
        <v>-341.24619999999999</v>
      </c>
      <c r="H3744" s="1">
        <v>-4.107358E-6</v>
      </c>
      <c r="I3744">
        <v>141.05619999999999</v>
      </c>
      <c r="J3744">
        <v>-309.55720000000002</v>
      </c>
      <c r="K3744">
        <v>1.1109800000000001</v>
      </c>
      <c r="L3744">
        <v>142.02950000000001</v>
      </c>
      <c r="M3744">
        <v>-0.99987599999999999</v>
      </c>
      <c r="N3744">
        <v>0</v>
      </c>
      <c r="O3744">
        <v>5.9908419999999997E-3</v>
      </c>
      <c r="P3744">
        <v>-0.98629770000000005</v>
      </c>
      <c r="Q3744">
        <v>0.16434979999999999</v>
      </c>
      <c r="R3744">
        <v>1.435607E-2</v>
      </c>
      <c r="S3744">
        <v>-3.061188</v>
      </c>
      <c r="T3744">
        <v>-0.10611180000000001</v>
      </c>
      <c r="U3744">
        <v>-9.2834470000000002E-2</v>
      </c>
      <c r="V3744">
        <v>8.0128969999999997E-3</v>
      </c>
      <c r="W3744">
        <v>0.17871960000000001</v>
      </c>
      <c r="X3744">
        <v>0.98386739999999995</v>
      </c>
      <c r="Y3744">
        <v>-3.6275170000000002E-2</v>
      </c>
      <c r="Z3744">
        <v>-8.3596069999999998E-4</v>
      </c>
      <c r="AA3744">
        <v>0.99934149999999999</v>
      </c>
      <c r="AB3744">
        <v>34</v>
      </c>
      <c r="AC3744">
        <v>-31.688999999999901</v>
      </c>
      <c r="AD3744">
        <v>-1.11098410735799</v>
      </c>
      <c r="AE3744">
        <v>-0.97330000000002304</v>
      </c>
      <c r="AF3744">
        <v>-1.16171989626043</v>
      </c>
      <c r="AG3744">
        <v>-1.11098410735799</v>
      </c>
      <c r="AH3744">
        <v>31.643742019193901</v>
      </c>
      <c r="AI3744">
        <v>92.009426193630304</v>
      </c>
      <c r="AJ3744">
        <v>92.102525267170194</v>
      </c>
      <c r="AK3744">
        <v>31.6845433576289</v>
      </c>
      <c r="AL3744">
        <v>79.704810796340197</v>
      </c>
      <c r="AM3744">
        <v>89.533377130439106</v>
      </c>
      <c r="AN3744">
        <v>0.99999998136262602</v>
      </c>
    </row>
    <row r="3745" spans="1:40" x14ac:dyDescent="0.25">
      <c r="A3745" t="str">
        <f>"20190312172738013"</f>
        <v>20190312172738013</v>
      </c>
      <c r="B3745" t="str">
        <f>"1552382858002482"</f>
        <v>1552382858002482</v>
      </c>
      <c r="C3745" t="s">
        <v>40</v>
      </c>
      <c r="D3745">
        <v>3.323277</v>
      </c>
      <c r="E3745">
        <v>0.48572019999999999</v>
      </c>
      <c r="F3745" t="s">
        <v>41</v>
      </c>
      <c r="G3745">
        <v>-341.33760000000001</v>
      </c>
      <c r="H3745" s="1">
        <v>-4.0753130000000003E-6</v>
      </c>
      <c r="I3745">
        <v>141.05099999999999</v>
      </c>
      <c r="J3745">
        <v>-309.86660000000001</v>
      </c>
      <c r="K3745">
        <v>1.110984</v>
      </c>
      <c r="L3745">
        <v>142.03030000000001</v>
      </c>
      <c r="M3745">
        <v>-0.99988180000000004</v>
      </c>
      <c r="N3745">
        <v>0</v>
      </c>
      <c r="O3745">
        <v>4.9295490000000001E-3</v>
      </c>
      <c r="P3745">
        <v>-0.98639860000000001</v>
      </c>
      <c r="Q3745">
        <v>0.16377320000000001</v>
      </c>
      <c r="R3745">
        <v>1.401005E-2</v>
      </c>
      <c r="S3745">
        <v>-3.060883</v>
      </c>
      <c r="T3745">
        <v>-0.1070029</v>
      </c>
      <c r="U3745">
        <v>-9.4238279999999994E-2</v>
      </c>
      <c r="V3745">
        <v>8.711023E-3</v>
      </c>
      <c r="W3745">
        <v>0.17814340000000001</v>
      </c>
      <c r="X3745">
        <v>0.98396600000000001</v>
      </c>
      <c r="Y3745">
        <v>-3.5675949999999998E-2</v>
      </c>
      <c r="Z3745">
        <v>-7.9550050000000005E-4</v>
      </c>
      <c r="AA3745">
        <v>0.99936309999999995</v>
      </c>
      <c r="AB3745">
        <v>34</v>
      </c>
      <c r="AC3745">
        <v>-31.471</v>
      </c>
      <c r="AD3745">
        <v>-1.1109880753129999</v>
      </c>
      <c r="AE3745">
        <v>-0.97929999999999495</v>
      </c>
      <c r="AF3745">
        <v>-1.1330317385240201</v>
      </c>
      <c r="AG3745">
        <v>-1.1109880753129999</v>
      </c>
      <c r="AH3745">
        <v>31.426662598765201</v>
      </c>
      <c r="AI3745">
        <v>92.023350439780899</v>
      </c>
      <c r="AJ3745">
        <v>92.064801850585098</v>
      </c>
      <c r="AK3745">
        <v>31.466699501546302</v>
      </c>
      <c r="AL3745">
        <v>79.738363472479904</v>
      </c>
      <c r="AM3745">
        <v>89.492775345263198</v>
      </c>
      <c r="AN3745">
        <v>1.0000000210206299</v>
      </c>
    </row>
    <row r="3746" spans="1:40" x14ac:dyDescent="0.25">
      <c r="A3746" t="str">
        <f>"20190312172738036"</f>
        <v>20190312172738036</v>
      </c>
      <c r="B3746" t="str">
        <f>"1552382858032737"</f>
        <v>1552382858032737</v>
      </c>
      <c r="C3746" t="s">
        <v>40</v>
      </c>
      <c r="D3746">
        <v>3.3177099999999999</v>
      </c>
      <c r="E3746">
        <v>0.48604510000000001</v>
      </c>
      <c r="F3746" t="s">
        <v>41</v>
      </c>
      <c r="G3746">
        <v>-341.38850000000002</v>
      </c>
      <c r="H3746" s="1">
        <v>-4.0589269999999999E-6</v>
      </c>
      <c r="I3746">
        <v>141.05619999999999</v>
      </c>
      <c r="J3746">
        <v>-310.2165</v>
      </c>
      <c r="K3746">
        <v>1.110986</v>
      </c>
      <c r="L3746">
        <v>142.0308</v>
      </c>
      <c r="M3746">
        <v>-0.99988710000000003</v>
      </c>
      <c r="N3746">
        <v>0</v>
      </c>
      <c r="O3746">
        <v>3.725084E-3</v>
      </c>
      <c r="P3746">
        <v>-0.9864889</v>
      </c>
      <c r="Q3746">
        <v>0.1632786</v>
      </c>
      <c r="R3746">
        <v>1.340822E-2</v>
      </c>
      <c r="S3746">
        <v>-3.0606080000000002</v>
      </c>
      <c r="T3746">
        <v>-0.1078713</v>
      </c>
      <c r="U3746">
        <v>-9.4573969999999993E-2</v>
      </c>
      <c r="V3746">
        <v>9.2955050000000008E-3</v>
      </c>
      <c r="W3746">
        <v>0.1776479</v>
      </c>
      <c r="X3746">
        <v>0.98405019999999999</v>
      </c>
      <c r="Y3746">
        <v>-3.4585369999999997E-2</v>
      </c>
      <c r="Z3746">
        <v>-7.4038160000000001E-4</v>
      </c>
      <c r="AA3746">
        <v>0.99940150000000005</v>
      </c>
      <c r="AB3746">
        <v>34</v>
      </c>
      <c r="AC3746">
        <v>-31.172000000000001</v>
      </c>
      <c r="AD3746">
        <v>-1.1109900589270001</v>
      </c>
      <c r="AE3746">
        <v>-0.97460000000000901</v>
      </c>
      <c r="AF3746">
        <v>-1.0893414699722299</v>
      </c>
      <c r="AG3746">
        <v>-1.1109900589270001</v>
      </c>
      <c r="AH3746">
        <v>31.1286501087381</v>
      </c>
      <c r="AI3746">
        <v>92.042785091461894</v>
      </c>
      <c r="AJ3746">
        <v>92.004237534237305</v>
      </c>
      <c r="AK3746">
        <v>31.167512273864201</v>
      </c>
      <c r="AL3746">
        <v>79.767213384287999</v>
      </c>
      <c r="AM3746">
        <v>89.458790451267006</v>
      </c>
      <c r="AN3746">
        <v>0.99999998945382695</v>
      </c>
    </row>
    <row r="3747" spans="1:40" x14ac:dyDescent="0.25">
      <c r="A3747" t="str">
        <f>"20190312172738059"</f>
        <v>20190312172738059</v>
      </c>
      <c r="B3747" t="str">
        <f>"1552382858053234"</f>
        <v>1552382858053234</v>
      </c>
      <c r="C3747" t="s">
        <v>40</v>
      </c>
      <c r="D3747">
        <v>3.3283550000000002</v>
      </c>
      <c r="E3747">
        <v>0.48627130000000002</v>
      </c>
      <c r="F3747" t="s">
        <v>41</v>
      </c>
      <c r="G3747">
        <v>-341.64499999999998</v>
      </c>
      <c r="H3747" s="1">
        <v>-3.9506870000000004E-6</v>
      </c>
      <c r="I3747">
        <v>141.0599</v>
      </c>
      <c r="J3747">
        <v>-310.54570000000001</v>
      </c>
      <c r="K3747">
        <v>1.110986</v>
      </c>
      <c r="L3747">
        <v>142.0308</v>
      </c>
      <c r="M3747">
        <v>-0.99989079999999997</v>
      </c>
      <c r="N3747">
        <v>0</v>
      </c>
      <c r="O3747">
        <v>2.5895139999999998E-3</v>
      </c>
      <c r="P3747">
        <v>-0.9866066</v>
      </c>
      <c r="Q3747">
        <v>0.16261339999999999</v>
      </c>
      <c r="R3747">
        <v>1.282719E-2</v>
      </c>
      <c r="S3747">
        <v>-3.0602719999999999</v>
      </c>
      <c r="T3747">
        <v>-0.10818</v>
      </c>
      <c r="U3747">
        <v>-9.4528200000000007E-2</v>
      </c>
      <c r="V3747">
        <v>9.8349209999999999E-3</v>
      </c>
      <c r="W3747">
        <v>0.176982</v>
      </c>
      <c r="X3747">
        <v>0.98416499999999996</v>
      </c>
      <c r="Y3747">
        <v>-3.3440070000000002E-2</v>
      </c>
      <c r="Z3747">
        <v>-6.8222379999999998E-4</v>
      </c>
      <c r="AA3747">
        <v>0.99944049999999995</v>
      </c>
      <c r="AB3747">
        <v>34</v>
      </c>
      <c r="AC3747">
        <v>-31.0992999999999</v>
      </c>
      <c r="AD3747">
        <v>-1.110989950687</v>
      </c>
      <c r="AE3747">
        <v>-0.97089999999999999</v>
      </c>
      <c r="AF3747">
        <v>-1.05009851005472</v>
      </c>
      <c r="AG3747">
        <v>-1.110989950687</v>
      </c>
      <c r="AH3747">
        <v>31.057084797242702</v>
      </c>
      <c r="AI3747">
        <v>92.0475712698248</v>
      </c>
      <c r="AJ3747">
        <v>91.936540425400494</v>
      </c>
      <c r="AK3747">
        <v>31.094686389389199</v>
      </c>
      <c r="AL3747">
        <v>79.805981579851803</v>
      </c>
      <c r="AM3747">
        <v>89.427453009780393</v>
      </c>
      <c r="AN3747">
        <v>1.0000000506100299</v>
      </c>
    </row>
    <row r="3748" spans="1:40" x14ac:dyDescent="0.25">
      <c r="A3748" t="str">
        <f>"20190312172738080"</f>
        <v>20190312172738080</v>
      </c>
      <c r="B3748" t="str">
        <f>"1552382858072757"</f>
        <v>1552382858072757</v>
      </c>
      <c r="C3748" t="s">
        <v>40</v>
      </c>
      <c r="D3748">
        <v>3.3240379999999998</v>
      </c>
      <c r="E3748">
        <v>0.48648540000000001</v>
      </c>
      <c r="F3748" t="s">
        <v>41</v>
      </c>
      <c r="G3748">
        <v>-341.59230000000002</v>
      </c>
      <c r="H3748" s="1">
        <v>-3.9762430000000003E-6</v>
      </c>
      <c r="I3748">
        <v>141.071</v>
      </c>
      <c r="J3748">
        <v>-310.87520000000001</v>
      </c>
      <c r="K3748">
        <v>1.1109830000000001</v>
      </c>
      <c r="L3748">
        <v>142.03049999999999</v>
      </c>
      <c r="M3748">
        <v>-0.99989320000000004</v>
      </c>
      <c r="N3748">
        <v>0</v>
      </c>
      <c r="O3748">
        <v>1.451773E-3</v>
      </c>
      <c r="P3748">
        <v>-0.98681940000000001</v>
      </c>
      <c r="Q3748">
        <v>0.16141739999999999</v>
      </c>
      <c r="R3748">
        <v>1.1505400000000001E-2</v>
      </c>
      <c r="S3748">
        <v>-3.0599669999999999</v>
      </c>
      <c r="T3748">
        <v>-0.10949970000000001</v>
      </c>
      <c r="U3748">
        <v>-9.4589229999999996E-2</v>
      </c>
      <c r="V3748">
        <v>9.6377059999999994E-3</v>
      </c>
      <c r="W3748">
        <v>0.1757852</v>
      </c>
      <c r="X3748">
        <v>0.98438139999999996</v>
      </c>
      <c r="Y3748">
        <v>-3.2326689999999998E-2</v>
      </c>
      <c r="Z3748">
        <v>-6.3000389999999995E-4</v>
      </c>
      <c r="AA3748">
        <v>0.99947710000000001</v>
      </c>
      <c r="AB3748">
        <v>33</v>
      </c>
      <c r="AC3748">
        <v>-30.717099999999999</v>
      </c>
      <c r="AD3748">
        <v>-1.110986976243</v>
      </c>
      <c r="AE3748">
        <v>-0.95949999999999103</v>
      </c>
      <c r="AF3748">
        <v>-1.00278744364322</v>
      </c>
      <c r="AG3748">
        <v>-1.110986976243</v>
      </c>
      <c r="AH3748">
        <v>30.675585351496199</v>
      </c>
      <c r="AI3748">
        <v>92.073085606059706</v>
      </c>
      <c r="AJ3748">
        <v>91.872337048612906</v>
      </c>
      <c r="AK3748">
        <v>30.712072730042799</v>
      </c>
      <c r="AL3748">
        <v>79.8756451959065</v>
      </c>
      <c r="AM3748">
        <v>89.439056614579002</v>
      </c>
      <c r="AN3748">
        <v>1.00000003129097</v>
      </c>
    </row>
    <row r="3749" spans="1:40" x14ac:dyDescent="0.25">
      <c r="A3749" t="str">
        <f>"20190312172738103"</f>
        <v>20190312172738103</v>
      </c>
      <c r="B3749" t="str">
        <f>"1552382858093250"</f>
        <v>1552382858093250</v>
      </c>
      <c r="C3749" t="s">
        <v>40</v>
      </c>
      <c r="D3749">
        <v>3.306953</v>
      </c>
      <c r="E3749">
        <v>0.4866991</v>
      </c>
      <c r="F3749" t="s">
        <v>41</v>
      </c>
      <c r="G3749">
        <v>-341.08640000000003</v>
      </c>
      <c r="H3749" s="1">
        <v>-4.1646510000000003E-6</v>
      </c>
      <c r="I3749">
        <v>141.0728</v>
      </c>
      <c r="J3749">
        <v>-311.20089999999999</v>
      </c>
      <c r="K3749">
        <v>1.1109849999999999</v>
      </c>
      <c r="L3749">
        <v>142.02979999999999</v>
      </c>
      <c r="M3749">
        <v>-0.99989419999999996</v>
      </c>
      <c r="N3749">
        <v>0</v>
      </c>
      <c r="O3749">
        <v>3.2722449999999999E-4</v>
      </c>
      <c r="P3749">
        <v>-0.98688949999999998</v>
      </c>
      <c r="Q3749">
        <v>0.1610897</v>
      </c>
      <c r="R3749">
        <v>9.9672119999999996E-3</v>
      </c>
      <c r="S3749">
        <v>-3.0596009999999998</v>
      </c>
      <c r="T3749">
        <v>-0.1125138</v>
      </c>
      <c r="U3749">
        <v>-9.6984860000000006E-2</v>
      </c>
      <c r="V3749">
        <v>9.2097800000000007E-3</v>
      </c>
      <c r="W3749">
        <v>0.17545369999999999</v>
      </c>
      <c r="X3749">
        <v>0.9844446</v>
      </c>
      <c r="Y3749">
        <v>-3.19879E-2</v>
      </c>
      <c r="Z3749">
        <v>-5.9984299999999997E-4</v>
      </c>
      <c r="AA3749">
        <v>0.99948809999999999</v>
      </c>
      <c r="AB3749">
        <v>33</v>
      </c>
      <c r="AC3749">
        <v>-29.8855</v>
      </c>
      <c r="AD3749">
        <v>-1.1109891646509999</v>
      </c>
      <c r="AE3749">
        <v>-0.95699999999999297</v>
      </c>
      <c r="AF3749">
        <v>-0.96544739824131998</v>
      </c>
      <c r="AG3749">
        <v>-1.1109891646509999</v>
      </c>
      <c r="AH3749">
        <v>29.843983972842299</v>
      </c>
      <c r="AI3749">
        <v>92.130827248532995</v>
      </c>
      <c r="AJ3749">
        <v>91.852861773981701</v>
      </c>
      <c r="AK3749">
        <v>29.880257110239398</v>
      </c>
      <c r="AL3749">
        <v>79.894938238290806</v>
      </c>
      <c r="AM3749">
        <v>89.463996114644601</v>
      </c>
      <c r="AN3749">
        <v>0.999999995680249</v>
      </c>
    </row>
    <row r="3750" spans="1:40" x14ac:dyDescent="0.25">
      <c r="A3750" t="str">
        <f>"20190312172738124"</f>
        <v>20190312172738124</v>
      </c>
      <c r="B3750" t="str">
        <f>"1552382858112770"</f>
        <v>1552382858112770</v>
      </c>
      <c r="C3750" t="s">
        <v>40</v>
      </c>
      <c r="D3750">
        <v>3.331337</v>
      </c>
      <c r="E3750">
        <v>0.4869117</v>
      </c>
      <c r="F3750" t="s">
        <v>41</v>
      </c>
      <c r="G3750">
        <v>-341.37119999999999</v>
      </c>
      <c r="H3750" s="1">
        <v>-4.0626300000000003E-6</v>
      </c>
      <c r="I3750">
        <v>141.0438</v>
      </c>
      <c r="J3750">
        <v>-311.53059999999999</v>
      </c>
      <c r="K3750">
        <v>1.1109830000000001</v>
      </c>
      <c r="L3750">
        <v>142.02879999999999</v>
      </c>
      <c r="M3750">
        <v>-0.9998939</v>
      </c>
      <c r="N3750">
        <v>0</v>
      </c>
      <c r="O3750">
        <v>-8.1042080000000001E-4</v>
      </c>
      <c r="P3750">
        <v>-0.98680970000000001</v>
      </c>
      <c r="Q3750">
        <v>0.16164339999999999</v>
      </c>
      <c r="R3750">
        <v>8.8445739999999991E-3</v>
      </c>
      <c r="S3750">
        <v>-3.0592959999999998</v>
      </c>
      <c r="T3750">
        <v>-0.1126558</v>
      </c>
      <c r="U3750">
        <v>-9.9975590000000003E-2</v>
      </c>
      <c r="V3750">
        <v>9.2085940000000005E-3</v>
      </c>
      <c r="W3750">
        <v>0.17600299999999999</v>
      </c>
      <c r="X3750">
        <v>0.98434659999999996</v>
      </c>
      <c r="Y3750">
        <v>-3.1830770000000001E-2</v>
      </c>
      <c r="Z3750">
        <v>-5.5588679999999996E-4</v>
      </c>
      <c r="AA3750">
        <v>0.99949310000000002</v>
      </c>
      <c r="AB3750">
        <v>33</v>
      </c>
      <c r="AC3750">
        <v>-29.840599999999899</v>
      </c>
      <c r="AD3750">
        <v>-1.11098706263</v>
      </c>
      <c r="AE3750">
        <v>-0.984999999999985</v>
      </c>
      <c r="AF3750">
        <v>-0.95948515496865605</v>
      </c>
      <c r="AG3750">
        <v>-1.11098706263</v>
      </c>
      <c r="AH3750">
        <v>29.800126756632899</v>
      </c>
      <c r="AI3750">
        <v>92.133966762236199</v>
      </c>
      <c r="AJ3750">
        <v>91.844135273779997</v>
      </c>
      <c r="AK3750">
        <v>29.836260803380199</v>
      </c>
      <c r="AL3750">
        <v>79.862968640201501</v>
      </c>
      <c r="AM3750">
        <v>89.464011781414499</v>
      </c>
      <c r="AN3750">
        <v>1.0000000415720001</v>
      </c>
    </row>
    <row r="3751" spans="1:40" x14ac:dyDescent="0.25">
      <c r="A3751" t="str">
        <f>"20190312172738147"</f>
        <v>20190312172738147</v>
      </c>
      <c r="B3751" t="str">
        <f>"1552382858143026"</f>
        <v>1552382858143026</v>
      </c>
      <c r="C3751" t="s">
        <v>40</v>
      </c>
      <c r="D3751">
        <v>3.3280970000000001</v>
      </c>
      <c r="E3751">
        <v>0.48723139999999998</v>
      </c>
      <c r="F3751" t="s">
        <v>41</v>
      </c>
      <c r="G3751">
        <v>-342.41210000000001</v>
      </c>
      <c r="H3751" s="1">
        <v>-3.6058299999999998E-6</v>
      </c>
      <c r="I3751">
        <v>141.00059999999999</v>
      </c>
      <c r="J3751">
        <v>-311.86369999999999</v>
      </c>
      <c r="K3751">
        <v>1.110992</v>
      </c>
      <c r="L3751">
        <v>142.0273</v>
      </c>
      <c r="M3751">
        <v>-0.99989240000000001</v>
      </c>
      <c r="N3751">
        <v>0</v>
      </c>
      <c r="O3751">
        <v>-1.9596150000000001E-3</v>
      </c>
      <c r="P3751">
        <v>-0.98659620000000003</v>
      </c>
      <c r="Q3751">
        <v>0.16299079999999999</v>
      </c>
      <c r="R3751">
        <v>7.8705249999999997E-3</v>
      </c>
      <c r="S3751">
        <v>-3.0589900000000001</v>
      </c>
      <c r="T3751">
        <v>-0.1100498</v>
      </c>
      <c r="U3751">
        <v>-0.1018372</v>
      </c>
      <c r="V3751">
        <v>9.3652360000000007E-3</v>
      </c>
      <c r="W3751">
        <v>0.1773438</v>
      </c>
      <c r="X3751">
        <v>0.98410439999999999</v>
      </c>
      <c r="Y3751">
        <v>-3.1294910000000002E-2</v>
      </c>
      <c r="Z3751">
        <v>-4.9212979999999995E-4</v>
      </c>
      <c r="AA3751">
        <v>0.99951000000000001</v>
      </c>
      <c r="AB3751">
        <v>33</v>
      </c>
      <c r="AC3751">
        <v>-30.548400000000001</v>
      </c>
      <c r="AD3751">
        <v>-1.1109956058299999</v>
      </c>
      <c r="AE3751">
        <v>-1.0266999999999999</v>
      </c>
      <c r="AF3751">
        <v>-0.96555294249162604</v>
      </c>
      <c r="AG3751">
        <v>-1.1109956058299999</v>
      </c>
      <c r="AH3751">
        <v>30.510044642382201</v>
      </c>
      <c r="AI3751">
        <v>92.084409791136096</v>
      </c>
      <c r="AJ3751">
        <v>91.812637484312205</v>
      </c>
      <c r="AK3751">
        <v>30.545530406281799</v>
      </c>
      <c r="AL3751">
        <v>79.784918270232197</v>
      </c>
      <c r="AM3751">
        <v>89.454760796406404</v>
      </c>
      <c r="AN3751">
        <v>1.0000000005715599</v>
      </c>
    </row>
    <row r="3752" spans="1:40" x14ac:dyDescent="0.25">
      <c r="A3752" t="str">
        <f>"20190312172738170"</f>
        <v>20190312172738170</v>
      </c>
      <c r="B3752" t="str">
        <f>"1552382858162545"</f>
        <v>1552382858162545</v>
      </c>
      <c r="C3752" t="s">
        <v>40</v>
      </c>
      <c r="D3752">
        <v>3.27833</v>
      </c>
      <c r="E3752">
        <v>0.48735390000000001</v>
      </c>
      <c r="F3752" t="s">
        <v>41</v>
      </c>
      <c r="G3752">
        <v>-344.35890000000001</v>
      </c>
      <c r="H3752" s="1">
        <v>-2.7547589999999998E-6</v>
      </c>
      <c r="I3752">
        <v>140.9408</v>
      </c>
      <c r="J3752">
        <v>-312.20229999999998</v>
      </c>
      <c r="K3752">
        <v>1.111003</v>
      </c>
      <c r="L3752">
        <v>142.02539999999999</v>
      </c>
      <c r="M3752">
        <v>-0.99988940000000004</v>
      </c>
      <c r="N3752">
        <v>0</v>
      </c>
      <c r="O3752">
        <v>-3.1279889999999999E-3</v>
      </c>
      <c r="P3752">
        <v>-0.98643820000000004</v>
      </c>
      <c r="Q3752">
        <v>0.16399459999999999</v>
      </c>
      <c r="R3752">
        <v>6.7417830000000003E-3</v>
      </c>
      <c r="S3752">
        <v>-3.0588679999999999</v>
      </c>
      <c r="T3752">
        <v>-0.1045816</v>
      </c>
      <c r="U3752">
        <v>-0.10226440000000001</v>
      </c>
      <c r="V3752">
        <v>9.3866839999999993E-3</v>
      </c>
      <c r="W3752">
        <v>0.1783419</v>
      </c>
      <c r="X3752">
        <v>0.98392380000000002</v>
      </c>
      <c r="Y3752">
        <v>-3.027086E-2</v>
      </c>
      <c r="Z3752">
        <v>-4.1028579999999998E-4</v>
      </c>
      <c r="AA3752">
        <v>0.99954160000000003</v>
      </c>
      <c r="AB3752">
        <v>33</v>
      </c>
      <c r="AC3752">
        <v>-32.156599999999997</v>
      </c>
      <c r="AD3752">
        <v>-1.111005754759</v>
      </c>
      <c r="AE3752">
        <v>-1.08459999999999</v>
      </c>
      <c r="AF3752">
        <v>-0.98282670852959897</v>
      </c>
      <c r="AG3752">
        <v>-1.111005754759</v>
      </c>
      <c r="AH3752">
        <v>32.121535969176797</v>
      </c>
      <c r="AI3752">
        <v>91.980006024341407</v>
      </c>
      <c r="AJ3752">
        <v>91.752539466486795</v>
      </c>
      <c r="AK3752">
        <v>32.155767058884202</v>
      </c>
      <c r="AL3752">
        <v>79.726804888334698</v>
      </c>
      <c r="AM3752">
        <v>89.453411878375604</v>
      </c>
      <c r="AN3752">
        <v>0.99999999366928205</v>
      </c>
    </row>
    <row r="3753" spans="1:40" x14ac:dyDescent="0.25">
      <c r="A3753" t="str">
        <f>"20190312172738192"</f>
        <v>20190312172738192</v>
      </c>
      <c r="B3753" t="str">
        <f>"1552382858183042"</f>
        <v>1552382858183042</v>
      </c>
      <c r="C3753" t="s">
        <v>40</v>
      </c>
      <c r="D3753">
        <v>3.2759879999999999</v>
      </c>
      <c r="E3753">
        <v>0.47405180000000002</v>
      </c>
      <c r="F3753" t="s">
        <v>41</v>
      </c>
      <c r="G3753">
        <v>-345.9332</v>
      </c>
      <c r="H3753" s="1">
        <v>-2.061328E-6</v>
      </c>
      <c r="I3753">
        <v>140.87299999999999</v>
      </c>
      <c r="J3753">
        <v>-312.53969999999998</v>
      </c>
      <c r="K3753">
        <v>1.1110059999999999</v>
      </c>
      <c r="L3753">
        <v>142.0231</v>
      </c>
      <c r="M3753">
        <v>-0.99988520000000003</v>
      </c>
      <c r="N3753">
        <v>0</v>
      </c>
      <c r="O3753">
        <v>-4.2925389999999997E-3</v>
      </c>
      <c r="P3753">
        <v>-0.98636979999999996</v>
      </c>
      <c r="Q3753">
        <v>0.16445989999999999</v>
      </c>
      <c r="R3753">
        <v>5.2702360000000002E-3</v>
      </c>
      <c r="S3753">
        <v>-3.0587460000000002</v>
      </c>
      <c r="T3753">
        <v>-0.10074710000000001</v>
      </c>
      <c r="U3753">
        <v>-0.10449219999999999</v>
      </c>
      <c r="V3753">
        <v>9.0634089999999997E-3</v>
      </c>
      <c r="W3753">
        <v>0.17880170000000001</v>
      </c>
      <c r="X3753">
        <v>0.98384340000000003</v>
      </c>
      <c r="Y3753">
        <v>-2.9837209999999999E-2</v>
      </c>
      <c r="Z3753">
        <v>-3.4978610000000002E-4</v>
      </c>
      <c r="AA3753">
        <v>0.99955470000000002</v>
      </c>
      <c r="AB3753">
        <v>33</v>
      </c>
      <c r="AC3753">
        <v>-33.393500000000003</v>
      </c>
      <c r="AD3753">
        <v>-1.111008061328</v>
      </c>
      <c r="AE3753">
        <v>-1.1500999999999999</v>
      </c>
      <c r="AF3753">
        <v>-1.0056195571894</v>
      </c>
      <c r="AG3753">
        <v>-1.111008061328</v>
      </c>
      <c r="AH3753">
        <v>33.361245656420799</v>
      </c>
      <c r="AI3753">
        <v>91.906514185975297</v>
      </c>
      <c r="AJ3753">
        <v>91.726563678615904</v>
      </c>
      <c r="AK3753">
        <v>33.394884658495101</v>
      </c>
      <c r="AL3753">
        <v>79.700030148529507</v>
      </c>
      <c r="AM3753">
        <v>89.472192023274303</v>
      </c>
      <c r="AN3753">
        <v>1.00000001451457</v>
      </c>
    </row>
    <row r="3754" spans="1:40" x14ac:dyDescent="0.25">
      <c r="A3754" t="str">
        <f>"20190312172738215"</f>
        <v>20190312172738215</v>
      </c>
      <c r="B3754" t="str">
        <f>"1552382858202562"</f>
        <v>1552382858202562</v>
      </c>
      <c r="C3754" t="s">
        <v>40</v>
      </c>
      <c r="D3754">
        <v>3.2413979999999998</v>
      </c>
      <c r="E3754">
        <v>0.47155259999999999</v>
      </c>
      <c r="F3754" t="s">
        <v>41</v>
      </c>
      <c r="G3754">
        <v>-369.42610000000002</v>
      </c>
      <c r="H3754" s="1">
        <v>-5.9729829999999996E-7</v>
      </c>
      <c r="I3754">
        <v>138.0531</v>
      </c>
      <c r="J3754">
        <v>-312.86810000000003</v>
      </c>
      <c r="K3754">
        <v>1.111008</v>
      </c>
      <c r="L3754">
        <v>142.0205</v>
      </c>
      <c r="M3754">
        <v>-0.99987969999999904</v>
      </c>
      <c r="N3754">
        <v>0</v>
      </c>
      <c r="O3754">
        <v>-5.4246569999999899E-3</v>
      </c>
      <c r="P3754">
        <v>-0.98637010000000003</v>
      </c>
      <c r="Q3754">
        <v>0.1645171</v>
      </c>
      <c r="R3754">
        <v>2.8865029999999999E-3</v>
      </c>
      <c r="S3754">
        <v>-3.052521</v>
      </c>
      <c r="T3754">
        <v>-5.9616679999999998E-2</v>
      </c>
      <c r="U3754">
        <v>-0.213028</v>
      </c>
      <c r="V3754">
        <v>7.7973460000000001E-3</v>
      </c>
      <c r="W3754">
        <v>0.17885190000000001</v>
      </c>
      <c r="X3754">
        <v>0.98384510000000003</v>
      </c>
      <c r="Y3754">
        <v>-6.4193990000000006E-2</v>
      </c>
      <c r="Z3754">
        <v>-5.2023110000000005E-4</v>
      </c>
      <c r="AA3754">
        <v>0.99793730000000003</v>
      </c>
      <c r="AB3754">
        <v>33</v>
      </c>
      <c r="AC3754">
        <v>-56.5579999999999</v>
      </c>
      <c r="AD3754">
        <v>-1.1110085972982999</v>
      </c>
      <c r="AE3754">
        <v>-3.9673999999999898</v>
      </c>
      <c r="AF3754">
        <v>-3.6590964243503601</v>
      </c>
      <c r="AG3754">
        <v>-1.1110085972982999</v>
      </c>
      <c r="AH3754">
        <v>56.556974645835801</v>
      </c>
      <c r="AI3754">
        <v>91.123029667955095</v>
      </c>
      <c r="AJ3754">
        <v>93.701736152912105</v>
      </c>
      <c r="AK3754">
        <v>56.686106832588898</v>
      </c>
      <c r="AL3754">
        <v>79.697106530013798</v>
      </c>
      <c r="AM3754">
        <v>89.545918698227894</v>
      </c>
      <c r="AN3754">
        <v>0.999999990766131</v>
      </c>
    </row>
    <row r="3755" spans="1:40" x14ac:dyDescent="0.25">
      <c r="A3755" t="str">
        <f>"20190312172738237"</f>
        <v>20190312172738237</v>
      </c>
      <c r="B3755" t="str">
        <f>"1552382858232818"</f>
        <v>1552382858232818</v>
      </c>
      <c r="C3755" t="s">
        <v>40</v>
      </c>
      <c r="D3755">
        <v>3.2483279999999999</v>
      </c>
      <c r="E3755">
        <v>0.47062409999999999</v>
      </c>
      <c r="F3755" t="s">
        <v>41</v>
      </c>
      <c r="G3755">
        <v>-370.93709999999999</v>
      </c>
      <c r="H3755" s="1">
        <v>-4.2527409999999996E-6</v>
      </c>
      <c r="I3755">
        <v>137.4599</v>
      </c>
      <c r="J3755">
        <v>-313.20170000000002</v>
      </c>
      <c r="K3755">
        <v>1.110997</v>
      </c>
      <c r="L3755">
        <v>142.01750000000001</v>
      </c>
      <c r="M3755">
        <v>-0.99987289999999995</v>
      </c>
      <c r="N3755">
        <v>0</v>
      </c>
      <c r="O3755">
        <v>-6.5691200000000003E-3</v>
      </c>
      <c r="P3755">
        <v>-0.98636729999999995</v>
      </c>
      <c r="Q3755">
        <v>0.16455829999999999</v>
      </c>
      <c r="R3755">
        <v>6.3652640000000003E-4</v>
      </c>
      <c r="S3755">
        <v>-3.0519099999999999</v>
      </c>
      <c r="T3755">
        <v>-5.839109E-2</v>
      </c>
      <c r="U3755">
        <v>-0.23968510000000001</v>
      </c>
      <c r="V3755">
        <v>6.6784080000000003E-3</v>
      </c>
      <c r="W3755">
        <v>0.17888709999999999</v>
      </c>
      <c r="X3755">
        <v>0.98384700000000003</v>
      </c>
      <c r="Y3755">
        <v>-7.1731790000000004E-2</v>
      </c>
      <c r="Z3755">
        <v>-5.5960739999999997E-4</v>
      </c>
      <c r="AA3755">
        <v>0.99742379999999997</v>
      </c>
      <c r="AB3755">
        <v>33</v>
      </c>
      <c r="AC3755">
        <v>-57.735399999999899</v>
      </c>
      <c r="AD3755">
        <v>-1.111001252741</v>
      </c>
      <c r="AE3755">
        <v>-4.5575999999999999</v>
      </c>
      <c r="AF3755">
        <v>-4.1766538391064696</v>
      </c>
      <c r="AG3755">
        <v>-1.111001252741</v>
      </c>
      <c r="AH3755">
        <v>57.742847246072103</v>
      </c>
      <c r="AI3755">
        <v>91.099391938993904</v>
      </c>
      <c r="AJ3755">
        <v>94.137111584745497</v>
      </c>
      <c r="AK3755">
        <v>57.904362263637097</v>
      </c>
      <c r="AL3755">
        <v>79.69505735557</v>
      </c>
      <c r="AM3755">
        <v>89.611079044504194</v>
      </c>
      <c r="AN3755">
        <v>1.0000000575444099</v>
      </c>
    </row>
    <row r="3756" spans="1:40" x14ac:dyDescent="0.25">
      <c r="A3756" t="str">
        <f>"20190312172738260"</f>
        <v>20190312172738260</v>
      </c>
      <c r="B3756" t="str">
        <f>"1552382858253314"</f>
        <v>1552382858253314</v>
      </c>
      <c r="C3756" t="s">
        <v>40</v>
      </c>
      <c r="D3756">
        <v>3.2199960000000001</v>
      </c>
      <c r="E3756">
        <v>0.47051140000000002</v>
      </c>
      <c r="F3756" t="s">
        <v>41</v>
      </c>
      <c r="G3756">
        <v>-369.4298</v>
      </c>
      <c r="H3756" s="1">
        <v>-7.8440580000000003E-7</v>
      </c>
      <c r="I3756">
        <v>137.345</v>
      </c>
      <c r="J3756">
        <v>-313.53019999999998</v>
      </c>
      <c r="K3756">
        <v>1.110986</v>
      </c>
      <c r="L3756">
        <v>142.01410000000001</v>
      </c>
      <c r="M3756">
        <v>-0.99986509999999995</v>
      </c>
      <c r="N3756">
        <v>0</v>
      </c>
      <c r="O3756">
        <v>-7.68884199999999E-3</v>
      </c>
      <c r="P3756">
        <v>-0.98633470000000001</v>
      </c>
      <c r="Q3756">
        <v>0.1647469</v>
      </c>
      <c r="R3756">
        <v>-1.598602E-3</v>
      </c>
      <c r="S3756">
        <v>-3.0516969999999999</v>
      </c>
      <c r="T3756">
        <v>-6.0297730000000001E-2</v>
      </c>
      <c r="U3756">
        <v>-0.25358579999999997</v>
      </c>
      <c r="V3756">
        <v>5.5503979999999998E-3</v>
      </c>
      <c r="W3756">
        <v>0.1790687</v>
      </c>
      <c r="X3756">
        <v>0.9838209</v>
      </c>
      <c r="Y3756">
        <v>-7.5132500000000005E-2</v>
      </c>
      <c r="Z3756">
        <v>-5.8926490000000002E-4</v>
      </c>
      <c r="AA3756">
        <v>0.99717339999999999</v>
      </c>
      <c r="AB3756">
        <v>33</v>
      </c>
      <c r="AC3756">
        <v>-55.8996</v>
      </c>
      <c r="AD3756">
        <v>-1.1109867844057999</v>
      </c>
      <c r="AE3756">
        <v>-4.66910000000001</v>
      </c>
      <c r="AF3756">
        <v>-4.2374512737035603</v>
      </c>
      <c r="AG3756">
        <v>-1.1109867844057999</v>
      </c>
      <c r="AH3756">
        <v>55.911918677115303</v>
      </c>
      <c r="AI3756">
        <v>91.135080394440806</v>
      </c>
      <c r="AJ3756">
        <v>94.334045970476595</v>
      </c>
      <c r="AK3756">
        <v>56.083267870983498</v>
      </c>
      <c r="AL3756">
        <v>79.684480919090802</v>
      </c>
      <c r="AM3756">
        <v>89.676759249464197</v>
      </c>
      <c r="AN3756">
        <v>0.99999998475722895</v>
      </c>
    </row>
    <row r="3757" spans="1:40" x14ac:dyDescent="0.25">
      <c r="A3757" t="str">
        <f>"20190312172738284"</f>
        <v>20190312172738284</v>
      </c>
      <c r="B3757" t="str">
        <f>"1552382858272834"</f>
        <v>1552382858272834</v>
      </c>
      <c r="C3757" t="s">
        <v>40</v>
      </c>
      <c r="D3757">
        <v>3.245034</v>
      </c>
      <c r="E3757">
        <v>0.4705104</v>
      </c>
      <c r="F3757" t="s">
        <v>41</v>
      </c>
      <c r="G3757">
        <v>-370.03629999999998</v>
      </c>
      <c r="H3757" s="1">
        <v>-4.6885010000000003E-6</v>
      </c>
      <c r="I3757">
        <v>137.18199999999999</v>
      </c>
      <c r="J3757">
        <v>-313.88170000000002</v>
      </c>
      <c r="K3757">
        <v>1.110975</v>
      </c>
      <c r="L3757">
        <v>142.0102</v>
      </c>
      <c r="M3757">
        <v>-0.9998553</v>
      </c>
      <c r="N3757">
        <v>0</v>
      </c>
      <c r="O3757">
        <v>-8.8701960000000003E-3</v>
      </c>
      <c r="P3757">
        <v>-0.98633959999999998</v>
      </c>
      <c r="Q3757">
        <v>0.16468529999999901</v>
      </c>
      <c r="R3757">
        <v>-3.626214E-3</v>
      </c>
      <c r="S3757">
        <v>-3.0511170000000001</v>
      </c>
      <c r="T3757">
        <v>-5.998945E-2</v>
      </c>
      <c r="U3757">
        <v>-0.26090999999999998</v>
      </c>
      <c r="V3757">
        <v>4.6943189999999997E-3</v>
      </c>
      <c r="W3757">
        <v>0.1790011</v>
      </c>
      <c r="X3757">
        <v>0.98383770000000004</v>
      </c>
      <c r="Y3757">
        <v>-7.6346839999999999E-2</v>
      </c>
      <c r="Z3757">
        <v>-5.7503969999999998E-4</v>
      </c>
      <c r="AA3757">
        <v>0.9970812</v>
      </c>
      <c r="AB3757">
        <v>33</v>
      </c>
      <c r="AC3757">
        <v>-56.154599999999903</v>
      </c>
      <c r="AD3757">
        <v>-1.1109796885009999</v>
      </c>
      <c r="AE3757">
        <v>-4.8281999999999803</v>
      </c>
      <c r="AF3757">
        <v>-4.3281735267453199</v>
      </c>
      <c r="AG3757">
        <v>-1.1109796885009999</v>
      </c>
      <c r="AH3757">
        <v>56.173395985651901</v>
      </c>
      <c r="AI3757">
        <v>91.129682638307102</v>
      </c>
      <c r="AJ3757">
        <v>94.405948216684394</v>
      </c>
      <c r="AK3757">
        <v>56.350845410754403</v>
      </c>
      <c r="AL3757">
        <v>79.688418143310301</v>
      </c>
      <c r="AM3757">
        <v>89.726618907490007</v>
      </c>
      <c r="AN3757">
        <v>1.0000000251866801</v>
      </c>
    </row>
    <row r="3758" spans="1:40" x14ac:dyDescent="0.25">
      <c r="A3758" t="str">
        <f>"20190312172738304"</f>
        <v>20190312172738304</v>
      </c>
      <c r="B3758" t="str">
        <f>"1552382858293330"</f>
        <v>1552382858293330</v>
      </c>
      <c r="C3758" t="s">
        <v>40</v>
      </c>
      <c r="D3758">
        <v>3.2282929999999999</v>
      </c>
      <c r="E3758">
        <v>0.47055629999999998</v>
      </c>
      <c r="F3758" t="s">
        <v>41</v>
      </c>
      <c r="G3758">
        <v>-368.4649</v>
      </c>
      <c r="H3758" s="1">
        <v>-1.1425869999999999E-6</v>
      </c>
      <c r="I3758">
        <v>137.233</v>
      </c>
      <c r="J3758">
        <v>-314.17869999999999</v>
      </c>
      <c r="K3758">
        <v>1.1109610000000001</v>
      </c>
      <c r="L3758">
        <v>142.00649999999999</v>
      </c>
      <c r="M3758">
        <v>-0.99984629999999997</v>
      </c>
      <c r="N3758">
        <v>0</v>
      </c>
      <c r="O3758">
        <v>-9.8453610000000004E-3</v>
      </c>
      <c r="P3758">
        <v>-0.98632220000000004</v>
      </c>
      <c r="Q3758">
        <v>0.164749799999999</v>
      </c>
      <c r="R3758">
        <v>-5.1523230000000003E-3</v>
      </c>
      <c r="S3758">
        <v>-3.0509339999999998</v>
      </c>
      <c r="T3758">
        <v>-6.2098260000000002E-2</v>
      </c>
      <c r="U3758">
        <v>-0.26701350000000001</v>
      </c>
      <c r="V3758">
        <v>4.1376190000000004E-3</v>
      </c>
      <c r="W3758">
        <v>0.1790611</v>
      </c>
      <c r="X3758">
        <v>0.98382930000000002</v>
      </c>
      <c r="Y3758">
        <v>-7.7358360000000001E-2</v>
      </c>
      <c r="Z3758">
        <v>-5.8570239999999895E-4</v>
      </c>
      <c r="AA3758">
        <v>0.99700319999999998</v>
      </c>
      <c r="AB3758">
        <v>33</v>
      </c>
      <c r="AC3758">
        <v>-54.286200000000001</v>
      </c>
      <c r="AD3758">
        <v>-1.110962142587</v>
      </c>
      <c r="AE3758">
        <v>-4.7734999999999799</v>
      </c>
      <c r="AF3758">
        <v>-4.2369842253897101</v>
      </c>
      <c r="AG3758">
        <v>-1.110962142587</v>
      </c>
      <c r="AH3758">
        <v>54.307999793677503</v>
      </c>
      <c r="AI3758">
        <v>91.168369375231194</v>
      </c>
      <c r="AJ3758">
        <v>94.461047409904097</v>
      </c>
      <c r="AK3758">
        <v>54.484356597087</v>
      </c>
      <c r="AL3758">
        <v>79.684924143476593</v>
      </c>
      <c r="AM3758">
        <v>89.759036747279296</v>
      </c>
      <c r="AN3758">
        <v>1.0000000444813399</v>
      </c>
    </row>
    <row r="3759" spans="1:40" x14ac:dyDescent="0.25">
      <c r="A3759" t="str">
        <f>"20190312172738326"</f>
        <v>20190312172738326</v>
      </c>
      <c r="B3759" t="str">
        <f>"1552382858322610"</f>
        <v>1552382858322610</v>
      </c>
      <c r="C3759" t="s">
        <v>40</v>
      </c>
      <c r="D3759">
        <v>3.2622520000000002</v>
      </c>
      <c r="E3759">
        <v>0.47071829999999998</v>
      </c>
      <c r="F3759" t="s">
        <v>41</v>
      </c>
      <c r="G3759">
        <v>-368.16559999999998</v>
      </c>
      <c r="H3759" s="1">
        <v>-1.24909E-6</v>
      </c>
      <c r="I3759">
        <v>137.21549999999999</v>
      </c>
      <c r="J3759">
        <v>-314.5086</v>
      </c>
      <c r="K3759">
        <v>1.1109359999999999</v>
      </c>
      <c r="L3759">
        <v>142.00219999999999</v>
      </c>
      <c r="M3759">
        <v>-0.99983540000000004</v>
      </c>
      <c r="N3759">
        <v>0</v>
      </c>
      <c r="O3759">
        <v>-1.0895180000000001E-2</v>
      </c>
      <c r="P3759">
        <v>-0.98632399999999998</v>
      </c>
      <c r="Q3759">
        <v>0.1647045</v>
      </c>
      <c r="R3759">
        <v>-6.1281290000000004E-3</v>
      </c>
      <c r="S3759">
        <v>-3.050659</v>
      </c>
      <c r="T3759">
        <v>-6.2777639999999996E-2</v>
      </c>
      <c r="U3759">
        <v>-0.2707214</v>
      </c>
      <c r="V3759">
        <v>4.2097209999999996E-3</v>
      </c>
      <c r="W3759">
        <v>0.1790119</v>
      </c>
      <c r="X3759">
        <v>0.98383790000000004</v>
      </c>
      <c r="Y3759">
        <v>-7.7521660000000006E-2</v>
      </c>
      <c r="Z3759">
        <v>-5.7225210000000002E-4</v>
      </c>
      <c r="AA3759">
        <v>0.9969905</v>
      </c>
      <c r="AB3759">
        <v>33</v>
      </c>
      <c r="AC3759">
        <v>-53.656999999999897</v>
      </c>
      <c r="AD3759">
        <v>-1.11093724909</v>
      </c>
      <c r="AE3759">
        <v>-4.78669999999999</v>
      </c>
      <c r="AF3759">
        <v>-4.1999654288942603</v>
      </c>
      <c r="AG3759">
        <v>-1.11093724909</v>
      </c>
      <c r="AH3759">
        <v>53.683141179525002</v>
      </c>
      <c r="AI3759">
        <v>91.181918545038101</v>
      </c>
      <c r="AJ3759">
        <v>94.473492132851405</v>
      </c>
      <c r="AK3759">
        <v>53.858644042308903</v>
      </c>
      <c r="AL3759">
        <v>79.687788904316207</v>
      </c>
      <c r="AM3759">
        <v>89.754839924115501</v>
      </c>
      <c r="AN3759">
        <v>0.99999999778445903</v>
      </c>
    </row>
    <row r="3760" spans="1:40" x14ac:dyDescent="0.25">
      <c r="A3760" t="str">
        <f>"20190312172738347"</f>
        <v>20190312172738347</v>
      </c>
      <c r="B3760" t="str">
        <f>"1552382858343106"</f>
        <v>1552382858343106</v>
      </c>
      <c r="C3760" t="s">
        <v>40</v>
      </c>
      <c r="D3760">
        <v>3.2430340000000002</v>
      </c>
      <c r="E3760">
        <v>0.47083039999999998</v>
      </c>
      <c r="F3760" t="s">
        <v>41</v>
      </c>
      <c r="G3760">
        <v>-367.30970000000002</v>
      </c>
      <c r="H3760" s="1">
        <v>-1.5492820000000001E-6</v>
      </c>
      <c r="I3760">
        <v>137.28890000000001</v>
      </c>
      <c r="J3760">
        <v>-314.82799999999997</v>
      </c>
      <c r="K3760">
        <v>1.1109020000000001</v>
      </c>
      <c r="L3760">
        <v>141.99760000000001</v>
      </c>
      <c r="M3760">
        <v>-0.9998245</v>
      </c>
      <c r="N3760">
        <v>0</v>
      </c>
      <c r="O3760">
        <v>-1.1865189999999999E-2</v>
      </c>
      <c r="P3760">
        <v>-0.98633550000000003</v>
      </c>
      <c r="Q3760">
        <v>0.16459779999999999</v>
      </c>
      <c r="R3760">
        <v>-7.0791530000000004E-3</v>
      </c>
      <c r="S3760">
        <v>-3.0506289999999998</v>
      </c>
      <c r="T3760">
        <v>-6.4185500000000006E-2</v>
      </c>
      <c r="U3760">
        <v>-0.2723083</v>
      </c>
      <c r="V3760">
        <v>4.2317889999999997E-3</v>
      </c>
      <c r="W3760">
        <v>0.1789007</v>
      </c>
      <c r="X3760">
        <v>0.98385800000000001</v>
      </c>
      <c r="Y3760">
        <v>-7.7069499999999999E-2</v>
      </c>
      <c r="Z3760">
        <v>-5.5996589999999895E-4</v>
      </c>
      <c r="AA3760">
        <v>0.99702550000000001</v>
      </c>
      <c r="AB3760">
        <v>33</v>
      </c>
      <c r="AC3760">
        <v>-52.481699999999996</v>
      </c>
      <c r="AD3760">
        <v>-1.1109035492820001</v>
      </c>
      <c r="AE3760">
        <v>-4.7086999999999897</v>
      </c>
      <c r="AF3760">
        <v>-4.0837825014335003</v>
      </c>
      <c r="AG3760">
        <v>-1.1109035492820001</v>
      </c>
      <c r="AH3760">
        <v>52.510540297278503</v>
      </c>
      <c r="AI3760">
        <v>91.208310910729494</v>
      </c>
      <c r="AJ3760">
        <v>94.446982873341696</v>
      </c>
      <c r="AK3760">
        <v>52.680814615255599</v>
      </c>
      <c r="AL3760">
        <v>79.694264406496501</v>
      </c>
      <c r="AM3760">
        <v>89.753559808148495</v>
      </c>
      <c r="AN3760">
        <v>0.99999996633131405</v>
      </c>
    </row>
    <row r="3761" spans="1:40" x14ac:dyDescent="0.25">
      <c r="A3761" t="str">
        <f>"20190312172738371"</f>
        <v>20190312172738371</v>
      </c>
      <c r="B3761" t="str">
        <f>"1552382858362626"</f>
        <v>1552382858362626</v>
      </c>
      <c r="C3761" t="s">
        <v>40</v>
      </c>
      <c r="D3761">
        <v>3.212847</v>
      </c>
      <c r="E3761">
        <v>0.47091240000000001</v>
      </c>
      <c r="F3761" t="s">
        <v>41</v>
      </c>
      <c r="G3761">
        <v>-366.61540000000002</v>
      </c>
      <c r="H3761" s="1">
        <v>-1.8374950000000001E-6</v>
      </c>
      <c r="I3761">
        <v>137.34309999999999</v>
      </c>
      <c r="J3761">
        <v>-315.16030000000001</v>
      </c>
      <c r="K3761">
        <v>1.1108549999999999</v>
      </c>
      <c r="L3761">
        <v>141.99270000000001</v>
      </c>
      <c r="M3761">
        <v>-0.99981299999999995</v>
      </c>
      <c r="N3761">
        <v>0</v>
      </c>
      <c r="O3761">
        <v>-1.280827E-2</v>
      </c>
      <c r="P3761">
        <v>-0.98624009999999995</v>
      </c>
      <c r="Q3761">
        <v>0.16514219999999999</v>
      </c>
      <c r="R3761">
        <v>-7.6716809999999996E-3</v>
      </c>
      <c r="S3761">
        <v>-3.0505369999999998</v>
      </c>
      <c r="T3761">
        <v>-6.5437789999999996E-2</v>
      </c>
      <c r="U3761">
        <v>-0.27416990000000002</v>
      </c>
      <c r="V3761">
        <v>4.5882960000000004E-3</v>
      </c>
      <c r="W3761">
        <v>0.17943970000000001</v>
      </c>
      <c r="X3761">
        <v>0.98375829999999997</v>
      </c>
      <c r="Y3761">
        <v>-7.6735029999999996E-2</v>
      </c>
      <c r="Z3761">
        <v>-5.4712830000000002E-4</v>
      </c>
      <c r="AA3761">
        <v>0.99705140000000003</v>
      </c>
      <c r="AB3761">
        <v>33</v>
      </c>
      <c r="AC3761">
        <v>-51.455100000000002</v>
      </c>
      <c r="AD3761">
        <v>-1.1108568374950001</v>
      </c>
      <c r="AE3761">
        <v>-4.6496000000000199</v>
      </c>
      <c r="AF3761">
        <v>-3.9882547346104502</v>
      </c>
      <c r="AG3761">
        <v>-1.1108568374950001</v>
      </c>
      <c r="AH3761">
        <v>51.486635400983602</v>
      </c>
      <c r="AI3761">
        <v>91.232310567271895</v>
      </c>
      <c r="AJ3761">
        <v>94.429397132271404</v>
      </c>
      <c r="AK3761">
        <v>51.652819900324602</v>
      </c>
      <c r="AL3761">
        <v>79.662874643054195</v>
      </c>
      <c r="AM3761">
        <v>89.732771667861797</v>
      </c>
      <c r="AN3761">
        <v>1.0000000256075801</v>
      </c>
    </row>
    <row r="3762" spans="1:40" x14ac:dyDescent="0.25">
      <c r="A3762" t="str">
        <f>"20190312172738393"</f>
        <v>20190312172738393</v>
      </c>
      <c r="B3762" t="str">
        <f>"1552382858383122"</f>
        <v>1552382858383122</v>
      </c>
      <c r="C3762" t="s">
        <v>40</v>
      </c>
      <c r="D3762">
        <v>3.2595100000000001</v>
      </c>
      <c r="E3762">
        <v>0.47113149999999998</v>
      </c>
      <c r="F3762" t="s">
        <v>41</v>
      </c>
      <c r="G3762">
        <v>-368.09179999999998</v>
      </c>
      <c r="H3762" s="1">
        <v>-1.273118E-6</v>
      </c>
      <c r="I3762">
        <v>137.21950000000001</v>
      </c>
      <c r="J3762">
        <v>-315.49459999999999</v>
      </c>
      <c r="K3762">
        <v>1.1108009999999999</v>
      </c>
      <c r="L3762">
        <v>141.98740000000001</v>
      </c>
      <c r="M3762">
        <v>-0.9998013</v>
      </c>
      <c r="N3762">
        <v>0</v>
      </c>
      <c r="O3762">
        <v>-1.368371E-2</v>
      </c>
      <c r="P3762">
        <v>-0.98612169999999999</v>
      </c>
      <c r="Q3762">
        <v>0.1658126</v>
      </c>
      <c r="R3762">
        <v>-8.3801329999999997E-3</v>
      </c>
      <c r="S3762">
        <v>-3.050446</v>
      </c>
      <c r="T3762">
        <v>-6.4018729999999996E-2</v>
      </c>
      <c r="U3762">
        <v>-0.27507019999999999</v>
      </c>
      <c r="V3762">
        <v>4.7655919999999999E-3</v>
      </c>
      <c r="W3762">
        <v>0.1801044</v>
      </c>
      <c r="X3762">
        <v>0.98363599999999995</v>
      </c>
      <c r="Y3762">
        <v>-7.6157500000000003E-2</v>
      </c>
      <c r="Z3762">
        <v>-5.1089899999999999E-4</v>
      </c>
      <c r="AA3762">
        <v>0.99709559999999997</v>
      </c>
      <c r="AB3762">
        <v>33</v>
      </c>
      <c r="AC3762">
        <v>-52.597200000000001</v>
      </c>
      <c r="AD3762">
        <v>-1.1108022731179901</v>
      </c>
      <c r="AE3762">
        <v>-4.7678999999999903</v>
      </c>
      <c r="AF3762">
        <v>-4.0458632451636598</v>
      </c>
      <c r="AG3762">
        <v>-1.1108022731179901</v>
      </c>
      <c r="AH3762">
        <v>52.634239635761602</v>
      </c>
      <c r="AI3762">
        <v>91.2054458044732</v>
      </c>
      <c r="AJ3762">
        <v>94.395540647887003</v>
      </c>
      <c r="AK3762">
        <v>52.8011938607766</v>
      </c>
      <c r="AL3762">
        <v>79.624159585169707</v>
      </c>
      <c r="AM3762">
        <v>89.722411367509196</v>
      </c>
      <c r="AN3762">
        <v>1.0000000431312299</v>
      </c>
    </row>
    <row r="3763" spans="1:40" x14ac:dyDescent="0.25">
      <c r="A3763" t="str">
        <f>"20190312172738416"</f>
        <v>20190312172738416</v>
      </c>
      <c r="B3763" t="str">
        <f>"1552382858413379"</f>
        <v>1552382858413379</v>
      </c>
      <c r="C3763" t="s">
        <v>40</v>
      </c>
      <c r="D3763">
        <v>3.2469030000000001</v>
      </c>
      <c r="E3763">
        <v>0.47144340000000001</v>
      </c>
      <c r="F3763" t="s">
        <v>41</v>
      </c>
      <c r="G3763">
        <v>-369.89609999999999</v>
      </c>
      <c r="H3763" s="1">
        <v>-6.9907919999999899E-7</v>
      </c>
      <c r="I3763">
        <v>137.0694</v>
      </c>
      <c r="J3763">
        <v>-315.82089999999999</v>
      </c>
      <c r="K3763">
        <v>1.1107469999999999</v>
      </c>
      <c r="L3763">
        <v>141.9821</v>
      </c>
      <c r="M3763">
        <v>-0.99979030000000002</v>
      </c>
      <c r="N3763">
        <v>0</v>
      </c>
      <c r="O3763">
        <v>-1.447442E-2</v>
      </c>
      <c r="P3763">
        <v>-0.98608229999999997</v>
      </c>
      <c r="Q3763">
        <v>0.166025799999999</v>
      </c>
      <c r="R3763">
        <v>-8.8021739999999994E-3</v>
      </c>
      <c r="S3763">
        <v>-3.0503849999999999</v>
      </c>
      <c r="T3763">
        <v>-6.2284590000000001E-2</v>
      </c>
      <c r="U3763">
        <v>-0.27575680000000002</v>
      </c>
      <c r="V3763">
        <v>5.1472710000000001E-3</v>
      </c>
      <c r="W3763">
        <v>0.18031259999999999</v>
      </c>
      <c r="X3763">
        <v>0.98359589999999997</v>
      </c>
      <c r="Y3763">
        <v>-7.5594330000000001E-2</v>
      </c>
      <c r="Z3763">
        <v>-4.7522450000000001E-4</v>
      </c>
      <c r="AA3763">
        <v>0.99713859999999999</v>
      </c>
      <c r="AB3763">
        <v>33</v>
      </c>
      <c r="AC3763">
        <v>-54.075200000000002</v>
      </c>
      <c r="AD3763">
        <v>-1.11074769907919</v>
      </c>
      <c r="AE3763">
        <v>-4.9127000000000001</v>
      </c>
      <c r="AF3763">
        <v>-4.1276686369098501</v>
      </c>
      <c r="AG3763">
        <v>-1.11074769907919</v>
      </c>
      <c r="AH3763">
        <v>54.118003058732</v>
      </c>
      <c r="AI3763">
        <v>91.172400805702296</v>
      </c>
      <c r="AJ3763">
        <v>94.361598260809899</v>
      </c>
      <c r="AK3763">
        <v>54.286551409092802</v>
      </c>
      <c r="AL3763">
        <v>79.612031723511294</v>
      </c>
      <c r="AM3763">
        <v>89.700167302237105</v>
      </c>
      <c r="AN3763">
        <v>1.0000000113071501</v>
      </c>
    </row>
    <row r="3764" spans="1:40" x14ac:dyDescent="0.25">
      <c r="A3764" t="str">
        <f>"20190312172738437"</f>
        <v>20190312172738437</v>
      </c>
      <c r="B3764" t="str">
        <f>"1552382858432898"</f>
        <v>1552382858432898</v>
      </c>
      <c r="C3764" t="s">
        <v>40</v>
      </c>
      <c r="D3764">
        <v>3.2161080000000002</v>
      </c>
      <c r="E3764">
        <v>0.4716014</v>
      </c>
      <c r="F3764" t="s">
        <v>41</v>
      </c>
      <c r="G3764">
        <v>-370.02379999999999</v>
      </c>
      <c r="H3764" s="1">
        <v>-4.7080130000000002E-6</v>
      </c>
      <c r="I3764">
        <v>137.10220000000001</v>
      </c>
      <c r="J3764">
        <v>-316.13260000000002</v>
      </c>
      <c r="K3764">
        <v>1.1106860000000001</v>
      </c>
      <c r="L3764">
        <v>141.9768</v>
      </c>
      <c r="M3764">
        <v>-0.99978020000000001</v>
      </c>
      <c r="N3764">
        <v>0</v>
      </c>
      <c r="O3764">
        <v>-1.516108E-2</v>
      </c>
      <c r="P3764">
        <v>-0.98612049999999996</v>
      </c>
      <c r="Q3764">
        <v>0.165801</v>
      </c>
      <c r="R3764">
        <v>-8.7579230000000008E-3</v>
      </c>
      <c r="S3764">
        <v>-3.0504150000000001</v>
      </c>
      <c r="T3764">
        <v>-6.2510609999999994E-2</v>
      </c>
      <c r="U3764">
        <v>-0.27462769999999997</v>
      </c>
      <c r="V3764">
        <v>5.8942090000000001E-3</v>
      </c>
      <c r="W3764">
        <v>0.18008469999999999</v>
      </c>
      <c r="X3764">
        <v>0.98363350000000005</v>
      </c>
      <c r="Y3764">
        <v>-7.4542700000000003E-2</v>
      </c>
      <c r="Z3764">
        <v>-4.5216210000000002E-4</v>
      </c>
      <c r="AA3764">
        <v>0.99721769999999998</v>
      </c>
      <c r="AB3764">
        <v>33</v>
      </c>
      <c r="AC3764">
        <v>-53.891199999999898</v>
      </c>
      <c r="AD3764">
        <v>-1.110690708013</v>
      </c>
      <c r="AE3764">
        <v>-4.8745999999999796</v>
      </c>
      <c r="AF3764">
        <v>-4.0551966094914</v>
      </c>
      <c r="AG3764">
        <v>-1.110690708013</v>
      </c>
      <c r="AH3764">
        <v>53.936192243686399</v>
      </c>
      <c r="AI3764">
        <v>91.176387558591003</v>
      </c>
      <c r="AJ3764">
        <v>94.299697833239804</v>
      </c>
      <c r="AK3764">
        <v>54.099825204323899</v>
      </c>
      <c r="AL3764">
        <v>79.625307163033796</v>
      </c>
      <c r="AM3764">
        <v>89.656671659500006</v>
      </c>
      <c r="AN3764">
        <v>1.0000000515980301</v>
      </c>
    </row>
    <row r="3765" spans="1:40" x14ac:dyDescent="0.25">
      <c r="A3765" t="str">
        <f>"20190312172738461"</f>
        <v>20190312172738461</v>
      </c>
      <c r="B3765" t="str">
        <f>"1552382858453394"</f>
        <v>1552382858453394</v>
      </c>
      <c r="C3765" t="s">
        <v>40</v>
      </c>
      <c r="D3765">
        <v>3.215884</v>
      </c>
      <c r="E3765">
        <v>0.47170010000000001</v>
      </c>
      <c r="F3765" t="s">
        <v>41</v>
      </c>
      <c r="G3765">
        <v>-368.85270000000003</v>
      </c>
      <c r="H3765" s="1">
        <v>-1.0053309999999999E-6</v>
      </c>
      <c r="I3765">
        <v>137.25290000000001</v>
      </c>
      <c r="J3765">
        <v>-316.48079999999999</v>
      </c>
      <c r="K3765">
        <v>1.1106180000000001</v>
      </c>
      <c r="L3765">
        <v>141.9708</v>
      </c>
      <c r="M3765">
        <v>-0.99976969999999998</v>
      </c>
      <c r="N3765">
        <v>0</v>
      </c>
      <c r="O3765">
        <v>-1.5837609999999998E-2</v>
      </c>
      <c r="P3765">
        <v>-0.98617180000000004</v>
      </c>
      <c r="Q3765">
        <v>0.16549049999999901</v>
      </c>
      <c r="R3765">
        <v>-8.8509650000000006E-3</v>
      </c>
      <c r="S3765">
        <v>-3.0506289999999998</v>
      </c>
      <c r="T3765">
        <v>-6.426954E-2</v>
      </c>
      <c r="U3765">
        <v>-0.27334589999999998</v>
      </c>
      <c r="V3765">
        <v>6.4998719999999899E-3</v>
      </c>
      <c r="W3765">
        <v>0.1797704</v>
      </c>
      <c r="X3765">
        <v>0.98368710000000004</v>
      </c>
      <c r="Y3765">
        <v>-7.3445659999999996E-2</v>
      </c>
      <c r="Z3765">
        <v>-4.391086E-4</v>
      </c>
      <c r="AA3765">
        <v>0.99729909999999999</v>
      </c>
      <c r="AB3765">
        <v>33</v>
      </c>
      <c r="AC3765">
        <v>-52.371899999999997</v>
      </c>
      <c r="AD3765">
        <v>-1.1106190053309899</v>
      </c>
      <c r="AE3765">
        <v>-4.7178999999999798</v>
      </c>
      <c r="AF3765">
        <v>-3.8860419003465601</v>
      </c>
      <c r="AG3765">
        <v>-1.1106190053309899</v>
      </c>
      <c r="AH3765">
        <v>52.416675485601203</v>
      </c>
      <c r="AI3765">
        <v>91.210496070226597</v>
      </c>
      <c r="AJ3765">
        <v>94.240009664668094</v>
      </c>
      <c r="AK3765">
        <v>52.572261366514098</v>
      </c>
      <c r="AL3765">
        <v>79.6436132237545</v>
      </c>
      <c r="AM3765">
        <v>89.621414357181806</v>
      </c>
      <c r="AN3765">
        <v>0.99999997787929296</v>
      </c>
    </row>
    <row r="3766" spans="1:40" x14ac:dyDescent="0.25">
      <c r="A3766" t="str">
        <f>"20190312172738484"</f>
        <v>20190312172738484</v>
      </c>
      <c r="B3766" t="str">
        <f>"1552382858472914"</f>
        <v>1552382858472914</v>
      </c>
      <c r="C3766" t="s">
        <v>40</v>
      </c>
      <c r="D3766">
        <v>3.2306859999999999</v>
      </c>
      <c r="E3766">
        <v>0.47184199999999998</v>
      </c>
      <c r="F3766" t="s">
        <v>41</v>
      </c>
      <c r="G3766">
        <v>-368.23680000000002</v>
      </c>
      <c r="H3766" s="1">
        <v>-1.1921260000000001E-6</v>
      </c>
      <c r="I3766">
        <v>137.33860000000001</v>
      </c>
      <c r="J3766">
        <v>-316.81729999999999</v>
      </c>
      <c r="K3766">
        <v>1.11054599999999</v>
      </c>
      <c r="L3766">
        <v>141.9648</v>
      </c>
      <c r="M3766">
        <v>-0.99976080000000001</v>
      </c>
      <c r="N3766">
        <v>0</v>
      </c>
      <c r="O3766">
        <v>-1.6397120000000001E-2</v>
      </c>
      <c r="P3766">
        <v>-0.98622969999999999</v>
      </c>
      <c r="Q3766">
        <v>0.1651272</v>
      </c>
      <c r="R3766">
        <v>-9.1653819999999997E-3</v>
      </c>
      <c r="S3766">
        <v>-3.0505680000000002</v>
      </c>
      <c r="T3766">
        <v>-6.5461519999999995E-2</v>
      </c>
      <c r="U3766">
        <v>-0.27302549999999998</v>
      </c>
      <c r="V3766">
        <v>6.7710419999999997E-3</v>
      </c>
      <c r="W3766">
        <v>0.17940309999999901</v>
      </c>
      <c r="X3766">
        <v>0.98375239999999997</v>
      </c>
      <c r="Y3766">
        <v>-7.2785180000000005E-2</v>
      </c>
      <c r="Z3766">
        <v>-4.2821329999999998E-4</v>
      </c>
      <c r="AA3766">
        <v>0.99734750000000005</v>
      </c>
      <c r="AB3766">
        <v>33</v>
      </c>
      <c r="AC3766">
        <v>-51.419499999999999</v>
      </c>
      <c r="AD3766">
        <v>-1.11054719212599</v>
      </c>
      <c r="AE3766">
        <v>-4.6261999999999803</v>
      </c>
      <c r="AF3766">
        <v>-3.78060852248236</v>
      </c>
      <c r="AG3766">
        <v>-1.11054719212599</v>
      </c>
      <c r="AH3766">
        <v>51.464636273232401</v>
      </c>
      <c r="AI3766">
        <v>91.232863633857505</v>
      </c>
      <c r="AJ3766">
        <v>94.201419462588106</v>
      </c>
      <c r="AK3766">
        <v>51.615260365538397</v>
      </c>
      <c r="AL3766">
        <v>79.665006534485002</v>
      </c>
      <c r="AM3766">
        <v>89.605646701946796</v>
      </c>
      <c r="AN3766">
        <v>1.00000005190256</v>
      </c>
    </row>
    <row r="3767" spans="1:40" x14ac:dyDescent="0.25">
      <c r="A3767" t="str">
        <f>"20190312172738505"</f>
        <v>20190312172738505</v>
      </c>
      <c r="B3767" t="str">
        <f>"1552382858493411"</f>
        <v>1552382858493411</v>
      </c>
      <c r="C3767" t="s">
        <v>40</v>
      </c>
      <c r="D3767">
        <v>3.2571430000000001</v>
      </c>
      <c r="E3767">
        <v>0.47197539999999999</v>
      </c>
      <c r="F3767" t="s">
        <v>41</v>
      </c>
      <c r="G3767">
        <v>-367.30149999999998</v>
      </c>
      <c r="H3767" s="1">
        <v>-1.524838E-6</v>
      </c>
      <c r="I3767">
        <v>137.44640000000001</v>
      </c>
      <c r="J3767">
        <v>-317.12169999999998</v>
      </c>
      <c r="K3767">
        <v>1.110473</v>
      </c>
      <c r="L3767">
        <v>141.95930000000001</v>
      </c>
      <c r="M3767">
        <v>-0.99975369999999997</v>
      </c>
      <c r="N3767">
        <v>0</v>
      </c>
      <c r="O3767">
        <v>-1.6818389999999999E-2</v>
      </c>
      <c r="P3767">
        <v>-0.98625459999999998</v>
      </c>
      <c r="Q3767">
        <v>0.164968</v>
      </c>
      <c r="R3767">
        <v>-9.3453700000000004E-3</v>
      </c>
      <c r="S3767">
        <v>-3.0505680000000002</v>
      </c>
      <c r="T3767">
        <v>-6.710613E-2</v>
      </c>
      <c r="U3767">
        <v>-0.27302549999999998</v>
      </c>
      <c r="V3767">
        <v>7.0390579999999999E-3</v>
      </c>
      <c r="W3767">
        <v>0.17923939999999999</v>
      </c>
      <c r="X3767">
        <v>0.98378030000000005</v>
      </c>
      <c r="Y3767">
        <v>-7.2364460000000005E-2</v>
      </c>
      <c r="Z3767">
        <v>-4.2510710000000001E-4</v>
      </c>
      <c r="AA3767">
        <v>0.99737819999999999</v>
      </c>
      <c r="AB3767">
        <v>33</v>
      </c>
      <c r="AC3767">
        <v>-50.1798</v>
      </c>
      <c r="AD3767">
        <v>-1.1104745248379999</v>
      </c>
      <c r="AE3767">
        <v>-4.5129000000000001</v>
      </c>
      <c r="AF3767">
        <v>-3.6664484514089102</v>
      </c>
      <c r="AG3767">
        <v>-1.1104745248379999</v>
      </c>
      <c r="AH3767">
        <v>50.2242096892614</v>
      </c>
      <c r="AI3767">
        <v>91.263262440339801</v>
      </c>
      <c r="AJ3767">
        <v>94.175277971120707</v>
      </c>
      <c r="AK3767">
        <v>50.370102608869601</v>
      </c>
      <c r="AL3767">
        <v>79.674539794964602</v>
      </c>
      <c r="AM3767">
        <v>89.590049289644298</v>
      </c>
      <c r="AN3767">
        <v>0.99999999475898804</v>
      </c>
    </row>
    <row r="3768" spans="1:40" x14ac:dyDescent="0.25">
      <c r="A3768" t="str">
        <f>"20190312172738526"</f>
        <v>20190312172738526</v>
      </c>
      <c r="B3768" t="str">
        <f>"1552382858522690"</f>
        <v>1552382858522690</v>
      </c>
      <c r="C3768" t="s">
        <v>40</v>
      </c>
      <c r="D3768">
        <v>3.229714</v>
      </c>
      <c r="E3768">
        <v>0.47215240000000003</v>
      </c>
      <c r="F3768" t="s">
        <v>41</v>
      </c>
      <c r="G3768">
        <v>-366.81619999999998</v>
      </c>
      <c r="H3768" s="1">
        <v>-1.7203299999999901E-6</v>
      </c>
      <c r="I3768">
        <v>137.51820000000001</v>
      </c>
      <c r="J3768">
        <v>-317.43340000000001</v>
      </c>
      <c r="K3768">
        <v>1.110395</v>
      </c>
      <c r="L3768">
        <v>141.9537</v>
      </c>
      <c r="M3768">
        <v>-0.99974790000000002</v>
      </c>
      <c r="N3768">
        <v>0</v>
      </c>
      <c r="O3768">
        <v>-1.7166629999999999E-2</v>
      </c>
      <c r="P3768">
        <v>-0.98626939999999996</v>
      </c>
      <c r="Q3768">
        <v>0.16488949999999999</v>
      </c>
      <c r="R3768">
        <v>-9.1816620000000002E-3</v>
      </c>
      <c r="S3768">
        <v>-3.0506289999999998</v>
      </c>
      <c r="T3768">
        <v>-6.8169590000000002E-2</v>
      </c>
      <c r="U3768">
        <v>-0.2726288</v>
      </c>
      <c r="V3768">
        <v>7.5805619999999999E-3</v>
      </c>
      <c r="W3768">
        <v>0.17915629999999999</v>
      </c>
      <c r="X3768">
        <v>0.98379139999999998</v>
      </c>
      <c r="Y3768">
        <v>-7.188638E-2</v>
      </c>
      <c r="Z3768">
        <v>-4.1874339999999999E-4</v>
      </c>
      <c r="AA3768">
        <v>0.99741270000000004</v>
      </c>
      <c r="AB3768">
        <v>33</v>
      </c>
      <c r="AC3768">
        <v>-49.382799999999897</v>
      </c>
      <c r="AD3768">
        <v>-1.11039672033</v>
      </c>
      <c r="AE3768">
        <v>-4.4354999999999896</v>
      </c>
      <c r="AF3768">
        <v>-3.5852230396412699</v>
      </c>
      <c r="AG3768">
        <v>-1.11039672033</v>
      </c>
      <c r="AH3768">
        <v>49.426881998185401</v>
      </c>
      <c r="AI3768">
        <v>91.2835872915241</v>
      </c>
      <c r="AJ3768">
        <v>94.148734603135594</v>
      </c>
      <c r="AK3768">
        <v>49.5691786212263</v>
      </c>
      <c r="AL3768">
        <v>79.679379276969897</v>
      </c>
      <c r="AM3768">
        <v>89.558518591256899</v>
      </c>
      <c r="AN3768">
        <v>0.99999998173194204</v>
      </c>
    </row>
    <row r="3769" spans="1:40" x14ac:dyDescent="0.25">
      <c r="A3769" t="str">
        <f>"20190312172738549"</f>
        <v>20190312172738549</v>
      </c>
      <c r="B3769" t="str">
        <f>"1552382858543187"</f>
        <v>1552382858543187</v>
      </c>
      <c r="C3769" t="s">
        <v>40</v>
      </c>
      <c r="D3769">
        <v>3.2529219999999999</v>
      </c>
      <c r="E3769">
        <v>0.47227940000000002</v>
      </c>
      <c r="F3769" t="s">
        <v>41</v>
      </c>
      <c r="G3769">
        <v>-366.267</v>
      </c>
      <c r="H3769" s="1">
        <v>-1.9378170000000002E-6</v>
      </c>
      <c r="I3769">
        <v>137.62029999999999</v>
      </c>
      <c r="J3769">
        <v>-317.75920000000002</v>
      </c>
      <c r="K3769">
        <v>1.110317</v>
      </c>
      <c r="L3769">
        <v>141.9477</v>
      </c>
      <c r="M3769">
        <v>-0.99974320000000005</v>
      </c>
      <c r="N3769">
        <v>0</v>
      </c>
      <c r="O3769">
        <v>-1.7443940000000002E-2</v>
      </c>
      <c r="P3769">
        <v>-0.98624009999999995</v>
      </c>
      <c r="Q3769">
        <v>0.16506660000000001</v>
      </c>
      <c r="R3769">
        <v>-9.1492369999999993E-3</v>
      </c>
      <c r="S3769">
        <v>-3.0508419999999998</v>
      </c>
      <c r="T3769">
        <v>-6.9371340000000004E-2</v>
      </c>
      <c r="U3769">
        <v>-0.2707214</v>
      </c>
      <c r="V3769">
        <v>7.9204050000000002E-3</v>
      </c>
      <c r="W3769">
        <v>0.17932809999999999</v>
      </c>
      <c r="X3769">
        <v>0.9837574</v>
      </c>
      <c r="Y3769">
        <v>-7.0984660000000005E-2</v>
      </c>
      <c r="Z3769">
        <v>-4.095848E-4</v>
      </c>
      <c r="AA3769">
        <v>0.99747739999999996</v>
      </c>
      <c r="AB3769">
        <v>33</v>
      </c>
      <c r="AC3769">
        <v>-48.507799999999897</v>
      </c>
      <c r="AD3769">
        <v>-1.110318937817</v>
      </c>
      <c r="AE3769">
        <v>-4.3274000000000097</v>
      </c>
      <c r="AF3769">
        <v>-3.4786775344946901</v>
      </c>
      <c r="AG3769">
        <v>-1.110318937817</v>
      </c>
      <c r="AH3769">
        <v>48.550676195126599</v>
      </c>
      <c r="AI3769">
        <v>91.306735988654196</v>
      </c>
      <c r="AJ3769">
        <v>94.098264446118407</v>
      </c>
      <c r="AK3769">
        <v>48.687803036661101</v>
      </c>
      <c r="AL3769">
        <v>79.669373608446904</v>
      </c>
      <c r="AM3769">
        <v>89.538711501976096</v>
      </c>
      <c r="AN3769">
        <v>0.999999961159866</v>
      </c>
    </row>
    <row r="3770" spans="1:40" x14ac:dyDescent="0.25">
      <c r="A3770" t="str">
        <f>"20190312172738572"</f>
        <v>20190312172738572</v>
      </c>
      <c r="B3770" t="str">
        <f>"1552382858562710"</f>
        <v>1552382858562710</v>
      </c>
      <c r="C3770" t="s">
        <v>40</v>
      </c>
      <c r="D3770">
        <v>3.2529789999999998</v>
      </c>
      <c r="E3770">
        <v>0.47239100000000001</v>
      </c>
      <c r="F3770" t="s">
        <v>41</v>
      </c>
      <c r="G3770">
        <v>-366.53980000000001</v>
      </c>
      <c r="H3770" s="1">
        <v>-1.8172750000000001E-6</v>
      </c>
      <c r="I3770">
        <v>137.63999999999999</v>
      </c>
      <c r="J3770">
        <v>-318.09699999999998</v>
      </c>
      <c r="K3770">
        <v>1.1102399999999999</v>
      </c>
      <c r="L3770">
        <v>141.94159999999999</v>
      </c>
      <c r="M3770">
        <v>-0.99973979999999996</v>
      </c>
      <c r="N3770">
        <v>0</v>
      </c>
      <c r="O3770">
        <v>-1.764543E-2</v>
      </c>
      <c r="P3770">
        <v>-0.98621049999999999</v>
      </c>
      <c r="Q3770">
        <v>0.1652438</v>
      </c>
      <c r="R3770">
        <v>-9.1627870000000004E-3</v>
      </c>
      <c r="S3770">
        <v>-3.0509949999999999</v>
      </c>
      <c r="T3770">
        <v>-6.944525E-2</v>
      </c>
      <c r="U3770">
        <v>-0.26942440000000001</v>
      </c>
      <c r="V3770">
        <v>8.1371849999999999E-3</v>
      </c>
      <c r="W3770">
        <v>0.1794993</v>
      </c>
      <c r="X3770">
        <v>0.9837245</v>
      </c>
      <c r="Y3770">
        <v>-7.035864E-2</v>
      </c>
      <c r="Z3770">
        <v>-3.9832300000000001E-4</v>
      </c>
      <c r="AA3770">
        <v>0.99752169999999896</v>
      </c>
      <c r="AB3770">
        <v>33</v>
      </c>
      <c r="AC3770">
        <v>-48.442799999999998</v>
      </c>
      <c r="AD3770">
        <v>-1.1102418172749999</v>
      </c>
      <c r="AE3770">
        <v>-4.3015999999999996</v>
      </c>
      <c r="AF3770">
        <v>-3.44425178410531</v>
      </c>
      <c r="AG3770">
        <v>-1.1102418172749999</v>
      </c>
      <c r="AH3770">
        <v>48.485899147103297</v>
      </c>
      <c r="AI3770">
        <v>91.308447357380203</v>
      </c>
      <c r="AJ3770">
        <v>94.063246408982707</v>
      </c>
      <c r="AK3770">
        <v>48.620756096015299</v>
      </c>
      <c r="AL3770">
        <v>79.659403732774095</v>
      </c>
      <c r="AM3770">
        <v>89.526070841444195</v>
      </c>
      <c r="AN3770">
        <v>1.0000000521902299</v>
      </c>
    </row>
    <row r="3771" spans="1:40" x14ac:dyDescent="0.25">
      <c r="A3771" t="str">
        <f>"20190312172738593"</f>
        <v>20190312172738593</v>
      </c>
      <c r="B3771" t="str">
        <f>"1552382858583202"</f>
        <v>1552382858583202</v>
      </c>
      <c r="C3771" t="s">
        <v>40</v>
      </c>
      <c r="D3771">
        <v>3.2277550000000002</v>
      </c>
      <c r="E3771">
        <v>0.47248079999999998</v>
      </c>
      <c r="F3771" t="s">
        <v>41</v>
      </c>
      <c r="G3771">
        <v>-367.15750000000003</v>
      </c>
      <c r="H3771" s="1">
        <v>-1.557356E-6</v>
      </c>
      <c r="I3771">
        <v>137.61150000000001</v>
      </c>
      <c r="J3771">
        <v>-318.40929999999997</v>
      </c>
      <c r="K3771">
        <v>1.1101829999999999</v>
      </c>
      <c r="L3771">
        <v>141.9359</v>
      </c>
      <c r="M3771">
        <v>-0.9997374</v>
      </c>
      <c r="N3771">
        <v>0</v>
      </c>
      <c r="O3771">
        <v>-1.7777540000000001E-2</v>
      </c>
      <c r="P3771">
        <v>-0.98621020000000004</v>
      </c>
      <c r="Q3771">
        <v>0.16525799999999999</v>
      </c>
      <c r="R3771">
        <v>-8.900402E-3</v>
      </c>
      <c r="S3771">
        <v>-3.050964</v>
      </c>
      <c r="T3771">
        <v>-6.9043519999999997E-2</v>
      </c>
      <c r="U3771">
        <v>-0.26927190000000001</v>
      </c>
      <c r="V3771">
        <v>8.5541090000000007E-3</v>
      </c>
      <c r="W3771">
        <v>0.1795091</v>
      </c>
      <c r="X3771">
        <v>0.98371909999999896</v>
      </c>
      <c r="Y3771">
        <v>-7.0178450000000003E-2</v>
      </c>
      <c r="Z3771">
        <v>-3.9100739999999999E-4</v>
      </c>
      <c r="AA3771">
        <v>0.99753440000000004</v>
      </c>
      <c r="AB3771">
        <v>32</v>
      </c>
      <c r="AC3771">
        <v>-48.748199999999997</v>
      </c>
      <c r="AD3771">
        <v>-1.1101845573560001</v>
      </c>
      <c r="AE3771">
        <v>-4.32439999999999</v>
      </c>
      <c r="AF3771">
        <v>-3.4552247131759102</v>
      </c>
      <c r="AG3771">
        <v>-1.1101845573560001</v>
      </c>
      <c r="AH3771">
        <v>48.792271342079097</v>
      </c>
      <c r="AI3771">
        <v>91.300187546824006</v>
      </c>
      <c r="AJ3771">
        <v>94.050638679024701</v>
      </c>
      <c r="AK3771">
        <v>48.927056219325102</v>
      </c>
      <c r="AL3771">
        <v>79.658832195295901</v>
      </c>
      <c r="AM3771">
        <v>89.501786647793594</v>
      </c>
      <c r="AN3771">
        <v>0.99999997873420099</v>
      </c>
    </row>
    <row r="3772" spans="1:40" x14ac:dyDescent="0.25">
      <c r="A3772" t="str">
        <f>"20190312172738615"</f>
        <v>20190312172738615</v>
      </c>
      <c r="B3772" t="str">
        <f>"1552382858613459"</f>
        <v>1552382858613459</v>
      </c>
      <c r="C3772" t="s">
        <v>40</v>
      </c>
      <c r="D3772">
        <v>3.222137</v>
      </c>
      <c r="E3772">
        <v>0.47261589999999998</v>
      </c>
      <c r="F3772" t="s">
        <v>41</v>
      </c>
      <c r="G3772">
        <v>-367.20850000000002</v>
      </c>
      <c r="H3772" s="1">
        <v>-1.528428E-6</v>
      </c>
      <c r="I3772">
        <v>137.65110000000001</v>
      </c>
      <c r="J3772">
        <v>-318.72840000000002</v>
      </c>
      <c r="K3772">
        <v>1.110144</v>
      </c>
      <c r="L3772">
        <v>141.93010000000001</v>
      </c>
      <c r="M3772">
        <v>-0.99973579999999995</v>
      </c>
      <c r="N3772">
        <v>0</v>
      </c>
      <c r="O3772">
        <v>-1.7869920000000001E-2</v>
      </c>
      <c r="P3772">
        <v>-0.98621349999999997</v>
      </c>
      <c r="Q3772">
        <v>0.1652458</v>
      </c>
      <c r="R3772">
        <v>-8.7637779999999998E-3</v>
      </c>
      <c r="S3772">
        <v>-3.0511170000000001</v>
      </c>
      <c r="T3772">
        <v>-6.941319E-2</v>
      </c>
      <c r="U3772">
        <v>-0.26789859999999999</v>
      </c>
      <c r="V3772">
        <v>8.8015490000000005E-3</v>
      </c>
      <c r="W3772">
        <v>0.17949229999999899</v>
      </c>
      <c r="X3772">
        <v>0.98372000000000004</v>
      </c>
      <c r="Y3772">
        <v>-6.9636370000000003E-2</v>
      </c>
      <c r="Z3772">
        <v>-3.8483819999999999E-4</v>
      </c>
      <c r="AA3772">
        <v>0.99757240000000003</v>
      </c>
      <c r="AB3772">
        <v>32</v>
      </c>
      <c r="AC3772">
        <v>-48.480099999999901</v>
      </c>
      <c r="AD3772">
        <v>-1.110145528428</v>
      </c>
      <c r="AE3772">
        <v>-4.2789999999999901</v>
      </c>
      <c r="AF3772">
        <v>-3.4101162148744999</v>
      </c>
      <c r="AG3772">
        <v>-1.110145528428</v>
      </c>
      <c r="AH3772">
        <v>48.523583138685197</v>
      </c>
      <c r="AI3772">
        <v>91.307387910031807</v>
      </c>
      <c r="AJ3772">
        <v>94.019994803725993</v>
      </c>
      <c r="AK3772">
        <v>48.655929097183297</v>
      </c>
      <c r="AL3772">
        <v>79.659810834219797</v>
      </c>
      <c r="AM3772">
        <v>89.487376331768601</v>
      </c>
      <c r="AN3772">
        <v>0.99999999571204401</v>
      </c>
    </row>
    <row r="3773" spans="1:40" x14ac:dyDescent="0.25">
      <c r="A3773" t="str">
        <f>"20190312172738637"</f>
        <v>20190312172738637</v>
      </c>
      <c r="B3773" t="str">
        <f>"1552382858632979"</f>
        <v>1552382858632979</v>
      </c>
      <c r="C3773" t="s">
        <v>40</v>
      </c>
      <c r="D3773">
        <v>3.247741</v>
      </c>
      <c r="E3773">
        <v>0.47268850000000001</v>
      </c>
      <c r="F3773" t="s">
        <v>41</v>
      </c>
      <c r="G3773">
        <v>-367.21960000000001</v>
      </c>
      <c r="H3773" s="1">
        <v>-1.517504E-6</v>
      </c>
      <c r="I3773">
        <v>137.6858</v>
      </c>
      <c r="J3773">
        <v>-319.05220000000003</v>
      </c>
      <c r="K3773">
        <v>1.110106</v>
      </c>
      <c r="L3773">
        <v>141.92420000000001</v>
      </c>
      <c r="M3773">
        <v>-0.99973480000000003</v>
      </c>
      <c r="N3773">
        <v>0</v>
      </c>
      <c r="O3773">
        <v>-1.7933999999999999E-2</v>
      </c>
      <c r="P3773">
        <v>-0.98623879999999997</v>
      </c>
      <c r="Q3773">
        <v>0.1651088</v>
      </c>
      <c r="R3773">
        <v>-8.5078700000000007E-3</v>
      </c>
      <c r="S3773">
        <v>-3.0512700000000001</v>
      </c>
      <c r="T3773">
        <v>-6.9855089999999995E-2</v>
      </c>
      <c r="U3773">
        <v>-0.2670593</v>
      </c>
      <c r="V3773">
        <v>9.1362909999999995E-3</v>
      </c>
      <c r="W3773">
        <v>0.17935110000000001</v>
      </c>
      <c r="X3773">
        <v>0.98374269999999997</v>
      </c>
      <c r="Y3773">
        <v>-6.9295759999999998E-2</v>
      </c>
      <c r="Z3773">
        <v>-3.8191819999999999E-4</v>
      </c>
      <c r="AA3773">
        <v>0.99759609999999999</v>
      </c>
      <c r="AB3773">
        <v>32</v>
      </c>
      <c r="AC3773">
        <v>-48.167400000000001</v>
      </c>
      <c r="AD3773">
        <v>-1.1101075175040001</v>
      </c>
      <c r="AE3773">
        <v>-4.2384000000000102</v>
      </c>
      <c r="AF3773">
        <v>-3.3720165886654301</v>
      </c>
      <c r="AG3773">
        <v>-1.1101075175040001</v>
      </c>
      <c r="AH3773">
        <v>48.210260643230001</v>
      </c>
      <c r="AI3773">
        <v>91.315867325248206</v>
      </c>
      <c r="AJ3773">
        <v>94.000977784397406</v>
      </c>
      <c r="AK3773">
        <v>48.340790910604902</v>
      </c>
      <c r="AL3773">
        <v>79.668034434747497</v>
      </c>
      <c r="AM3773">
        <v>89.467893520246605</v>
      </c>
      <c r="AN3773">
        <v>0.99999999434386799</v>
      </c>
    </row>
    <row r="3774" spans="1:40" x14ac:dyDescent="0.25">
      <c r="A3774" t="str">
        <f>"20190312172738662"</f>
        <v>20190312172738662</v>
      </c>
      <c r="B3774" t="str">
        <f>"1552382858653474"</f>
        <v>1552382858653474</v>
      </c>
      <c r="C3774" t="s">
        <v>40</v>
      </c>
      <c r="D3774">
        <v>3.3093219999999999</v>
      </c>
      <c r="E3774">
        <v>0.47275200000000001</v>
      </c>
      <c r="F3774" t="s">
        <v>41</v>
      </c>
      <c r="G3774">
        <v>-367.05829999999997</v>
      </c>
      <c r="H3774" s="1">
        <v>-1.57725E-6</v>
      </c>
      <c r="I3774">
        <v>137.73910000000001</v>
      </c>
      <c r="J3774">
        <v>-319.39569999999998</v>
      </c>
      <c r="K3774">
        <v>1.1100810000000001</v>
      </c>
      <c r="L3774">
        <v>141.9179</v>
      </c>
      <c r="M3774">
        <v>-0.99973389999999995</v>
      </c>
      <c r="N3774">
        <v>0</v>
      </c>
      <c r="O3774">
        <v>-1.798427E-2</v>
      </c>
      <c r="P3774">
        <v>-0.98622589999999999</v>
      </c>
      <c r="Q3774">
        <v>0.1652025</v>
      </c>
      <c r="R3774">
        <v>-8.1756380000000007E-3</v>
      </c>
      <c r="S3774">
        <v>-3.051361</v>
      </c>
      <c r="T3774">
        <v>-7.0560689999999995E-2</v>
      </c>
      <c r="U3774">
        <v>-0.26600649999999998</v>
      </c>
      <c r="V3774">
        <v>9.5293410000000002E-3</v>
      </c>
      <c r="W3774">
        <v>0.17944019999999999</v>
      </c>
      <c r="X3774">
        <v>0.98372269999999995</v>
      </c>
      <c r="Y3774">
        <v>-6.8901210000000004E-2</v>
      </c>
      <c r="Z3774">
        <v>-3.8005629999999997E-4</v>
      </c>
      <c r="AA3774">
        <v>0.99762340000000005</v>
      </c>
      <c r="AB3774">
        <v>32</v>
      </c>
      <c r="AC3774">
        <v>-47.662599999999998</v>
      </c>
      <c r="AD3774">
        <v>-1.11008257724999</v>
      </c>
      <c r="AE3774">
        <v>-4.1787999999999901</v>
      </c>
      <c r="AF3774">
        <v>-3.31907081864638</v>
      </c>
      <c r="AG3774">
        <v>-1.11008257724999</v>
      </c>
      <c r="AH3774">
        <v>47.704370859018198</v>
      </c>
      <c r="AI3774">
        <v>91.329820805928804</v>
      </c>
      <c r="AJ3774">
        <v>93.979987129099499</v>
      </c>
      <c r="AK3774">
        <v>47.832577951457402</v>
      </c>
      <c r="AL3774">
        <v>79.662844963369494</v>
      </c>
      <c r="AM3774">
        <v>89.444992025187403</v>
      </c>
      <c r="AN3774">
        <v>0.99999997210561098</v>
      </c>
    </row>
    <row r="3775" spans="1:40" x14ac:dyDescent="0.25">
      <c r="A3775" t="str">
        <f>"20190312172738685"</f>
        <v>20190312172738685</v>
      </c>
      <c r="B3775" t="str">
        <f>"1552382858682754"</f>
        <v>1552382858682754</v>
      </c>
      <c r="C3775" t="s">
        <v>40</v>
      </c>
      <c r="D3775">
        <v>3.2211219999999998</v>
      </c>
      <c r="E3775">
        <v>0.47285359999999999</v>
      </c>
      <c r="F3775" t="s">
        <v>41</v>
      </c>
      <c r="G3775">
        <v>-367.22300000000001</v>
      </c>
      <c r="H3775" s="1">
        <v>-1.498762E-6</v>
      </c>
      <c r="I3775">
        <v>137.7834</v>
      </c>
      <c r="J3775">
        <v>-319.73570000000001</v>
      </c>
      <c r="K3775">
        <v>1.1100589999999999</v>
      </c>
      <c r="L3775">
        <v>141.9117</v>
      </c>
      <c r="M3775">
        <v>-0.99973319999999999</v>
      </c>
      <c r="N3775">
        <v>0</v>
      </c>
      <c r="O3775">
        <v>-1.8027069999999999E-2</v>
      </c>
      <c r="P3775">
        <v>-0.98624029999999996</v>
      </c>
      <c r="Q3775">
        <v>0.16508919999999999</v>
      </c>
      <c r="R3775">
        <v>-8.7021159999999993E-3</v>
      </c>
      <c r="S3775">
        <v>-3.0516049999999999</v>
      </c>
      <c r="T3775">
        <v>-7.0828559999999999E-2</v>
      </c>
      <c r="U3775">
        <v>-0.26379390000000003</v>
      </c>
      <c r="V3775">
        <v>9.0534199999999995E-3</v>
      </c>
      <c r="W3775">
        <v>0.17932290000000001</v>
      </c>
      <c r="X3775">
        <v>0.98374859999999997</v>
      </c>
      <c r="Y3775">
        <v>-6.813379E-2</v>
      </c>
      <c r="Z3775">
        <v>-3.7160040000000001E-4</v>
      </c>
      <c r="AA3775">
        <v>0.99767609999999995</v>
      </c>
      <c r="AB3775">
        <v>32</v>
      </c>
      <c r="AC3775">
        <v>-47.487299999999998</v>
      </c>
      <c r="AD3775">
        <v>-1.110060498762</v>
      </c>
      <c r="AE3775">
        <v>-4.1282999999999896</v>
      </c>
      <c r="AF3775">
        <v>-3.26970956464345</v>
      </c>
      <c r="AG3775">
        <v>-1.110060498762</v>
      </c>
      <c r="AH3775">
        <v>47.528234306855602</v>
      </c>
      <c r="AI3775">
        <v>91.334792445839</v>
      </c>
      <c r="AJ3775">
        <v>93.935468067007093</v>
      </c>
      <c r="AK3775">
        <v>47.653502403028099</v>
      </c>
      <c r="AL3775">
        <v>79.669676730191298</v>
      </c>
      <c r="AM3775">
        <v>89.472722896359002</v>
      </c>
      <c r="AN3775">
        <v>0.99999998744003304</v>
      </c>
    </row>
    <row r="3776" spans="1:40" x14ac:dyDescent="0.25">
      <c r="A3776" t="str">
        <f>"20190312172738705"</f>
        <v>20190312172738705</v>
      </c>
      <c r="B3776" t="str">
        <f>"1552382858703250"</f>
        <v>1552382858703250</v>
      </c>
      <c r="C3776" t="s">
        <v>40</v>
      </c>
      <c r="D3776">
        <v>3.2089129999999999</v>
      </c>
      <c r="E3776">
        <v>0.47292519999999999</v>
      </c>
      <c r="F3776" t="s">
        <v>41</v>
      </c>
      <c r="G3776">
        <v>-366.7226</v>
      </c>
      <c r="H3776" s="1">
        <v>-1.7032550000000001E-6</v>
      </c>
      <c r="I3776">
        <v>137.8407</v>
      </c>
      <c r="J3776">
        <v>-320.02699999999999</v>
      </c>
      <c r="K3776">
        <v>1.110052</v>
      </c>
      <c r="L3776">
        <v>141.90639999999999</v>
      </c>
      <c r="M3776">
        <v>-0.99973259999999997</v>
      </c>
      <c r="N3776">
        <v>0</v>
      </c>
      <c r="O3776">
        <v>-1.8063220000000001E-2</v>
      </c>
      <c r="P3776">
        <v>-0.98618260000000002</v>
      </c>
      <c r="Q3776">
        <v>0.16540750000000001</v>
      </c>
      <c r="R3776">
        <v>-9.1983580000000002E-3</v>
      </c>
      <c r="S3776">
        <v>-3.0516359999999998</v>
      </c>
      <c r="T3776">
        <v>-7.2094679999999994E-2</v>
      </c>
      <c r="U3776">
        <v>-0.26438899999999999</v>
      </c>
      <c r="V3776">
        <v>8.5964839999999997E-3</v>
      </c>
      <c r="W3776">
        <v>0.1796372</v>
      </c>
      <c r="X3776">
        <v>0.9836954</v>
      </c>
      <c r="Y3776">
        <v>-6.8289470000000005E-2</v>
      </c>
      <c r="Z3776">
        <v>-3.7921809999999999E-4</v>
      </c>
      <c r="AA3776">
        <v>0.99766549999999998</v>
      </c>
      <c r="AB3776">
        <v>32</v>
      </c>
      <c r="AC3776">
        <v>-46.695599999999999</v>
      </c>
      <c r="AD3776">
        <v>-1.110053703255</v>
      </c>
      <c r="AE3776">
        <v>-4.0656999999999899</v>
      </c>
      <c r="AF3776">
        <v>-3.21966991844545</v>
      </c>
      <c r="AG3776">
        <v>-1.110053703255</v>
      </c>
      <c r="AH3776">
        <v>46.735215146440801</v>
      </c>
      <c r="AI3776">
        <v>91.357415967084293</v>
      </c>
      <c r="AJ3776">
        <v>93.940978639011007</v>
      </c>
      <c r="AK3776">
        <v>46.859138152466699</v>
      </c>
      <c r="AL3776">
        <v>79.651371879354599</v>
      </c>
      <c r="AM3776">
        <v>89.499306681712397</v>
      </c>
      <c r="AN3776">
        <v>1.00000003157108</v>
      </c>
    </row>
    <row r="3777" spans="1:40" x14ac:dyDescent="0.25">
      <c r="A3777" t="str">
        <f>"20190312172738727"</f>
        <v>20190312172738727</v>
      </c>
      <c r="B3777" t="str">
        <f>"1552382858722770"</f>
        <v>1552382858722770</v>
      </c>
      <c r="C3777" t="s">
        <v>40</v>
      </c>
      <c r="D3777">
        <v>3.2347009999999998</v>
      </c>
      <c r="E3777">
        <v>0.47297359999999999</v>
      </c>
      <c r="F3777" t="s">
        <v>41</v>
      </c>
      <c r="G3777">
        <v>-367.29109999999997</v>
      </c>
      <c r="H3777" s="1">
        <v>-1.466728E-6</v>
      </c>
      <c r="I3777">
        <v>137.79929999999999</v>
      </c>
      <c r="J3777">
        <v>-320.34230000000002</v>
      </c>
      <c r="K3777">
        <v>1.1100479999999999</v>
      </c>
      <c r="L3777">
        <v>141.9007</v>
      </c>
      <c r="M3777">
        <v>-0.99973190000000001</v>
      </c>
      <c r="N3777">
        <v>0</v>
      </c>
      <c r="O3777">
        <v>-1.81037E-2</v>
      </c>
      <c r="P3777">
        <v>-0.9861124</v>
      </c>
      <c r="Q3777">
        <v>0.1658085</v>
      </c>
      <c r="R3777">
        <v>-9.4991090000000004E-3</v>
      </c>
      <c r="S3777">
        <v>-3.0515439999999998</v>
      </c>
      <c r="T3777">
        <v>-7.1669220000000006E-2</v>
      </c>
      <c r="U3777">
        <v>-0.26516719999999999</v>
      </c>
      <c r="V3777">
        <v>8.337812E-3</v>
      </c>
      <c r="W3777">
        <v>0.18003359999999999</v>
      </c>
      <c r="X3777">
        <v>0.98362510000000003</v>
      </c>
      <c r="Y3777">
        <v>-6.8504280000000001E-2</v>
      </c>
      <c r="Z3777">
        <v>-3.7855700000000001E-4</v>
      </c>
      <c r="AA3777">
        <v>0.9976507</v>
      </c>
      <c r="AB3777">
        <v>32</v>
      </c>
      <c r="AC3777">
        <v>-46.948799999999899</v>
      </c>
      <c r="AD3777">
        <v>-1.1100494667280001</v>
      </c>
      <c r="AE3777">
        <v>-4.1014000000000097</v>
      </c>
      <c r="AF3777">
        <v>-3.2488896647590302</v>
      </c>
      <c r="AG3777">
        <v>-1.1100494667280001</v>
      </c>
      <c r="AH3777">
        <v>46.989292919461498</v>
      </c>
      <c r="AI3777">
        <v>91.350050686526203</v>
      </c>
      <c r="AJ3777">
        <v>93.955196530680894</v>
      </c>
      <c r="AK3777">
        <v>47.114553409146502</v>
      </c>
      <c r="AL3777">
        <v>79.628282840715499</v>
      </c>
      <c r="AM3777">
        <v>89.514337325716497</v>
      </c>
      <c r="AN3777">
        <v>0.99999997679395802</v>
      </c>
    </row>
    <row r="3778" spans="1:40" x14ac:dyDescent="0.25">
      <c r="A3778" t="str">
        <f>"20190312172738750"</f>
        <v>20190312172738750</v>
      </c>
      <c r="B3778" t="str">
        <f>"1552382858743266"</f>
        <v>1552382858743266</v>
      </c>
      <c r="C3778" t="s">
        <v>40</v>
      </c>
      <c r="D3778">
        <v>3.2038169999999999</v>
      </c>
      <c r="E3778">
        <v>0.47300300000000001</v>
      </c>
      <c r="F3778" t="s">
        <v>41</v>
      </c>
      <c r="G3778">
        <v>-368.13709999999998</v>
      </c>
      <c r="H3778" s="1">
        <v>-1.119976E-6</v>
      </c>
      <c r="I3778">
        <v>137.7372</v>
      </c>
      <c r="J3778">
        <v>-320.66669999999999</v>
      </c>
      <c r="K3778">
        <v>1.1100540000000001</v>
      </c>
      <c r="L3778">
        <v>141.8947</v>
      </c>
      <c r="M3778">
        <v>-0.99973120000000004</v>
      </c>
      <c r="N3778">
        <v>0</v>
      </c>
      <c r="O3778">
        <v>-1.8147460000000001E-2</v>
      </c>
      <c r="P3778">
        <v>-0.98614900000000005</v>
      </c>
      <c r="Q3778">
        <v>0.1655731</v>
      </c>
      <c r="R3778">
        <v>-9.8125220000000006E-3</v>
      </c>
      <c r="S3778">
        <v>-3.0515750000000001</v>
      </c>
      <c r="T3778">
        <v>-7.0873859999999997E-2</v>
      </c>
      <c r="U3778">
        <v>-0.26582339999999999</v>
      </c>
      <c r="V3778">
        <v>8.0706219999999995E-3</v>
      </c>
      <c r="W3778">
        <v>0.17979479999999901</v>
      </c>
      <c r="X3778">
        <v>0.98367099999999996</v>
      </c>
      <c r="Y3778">
        <v>-6.8672910000000004E-2</v>
      </c>
      <c r="Z3778">
        <v>-3.7529069999999999E-4</v>
      </c>
      <c r="AA3778">
        <v>0.99763919999999995</v>
      </c>
      <c r="AB3778">
        <v>32</v>
      </c>
      <c r="AC3778">
        <v>-47.470399999999898</v>
      </c>
      <c r="AD3778">
        <v>-1.110055119976</v>
      </c>
      <c r="AE3778">
        <v>-4.15749999999999</v>
      </c>
      <c r="AF3778">
        <v>-3.2934711062119701</v>
      </c>
      <c r="AG3778">
        <v>-1.110055119976</v>
      </c>
      <c r="AH3778">
        <v>47.512254106838398</v>
      </c>
      <c r="AI3778">
        <v>91.3351867576052</v>
      </c>
      <c r="AJ3778">
        <v>93.965305928768004</v>
      </c>
      <c r="AK3778">
        <v>47.639200923290304</v>
      </c>
      <c r="AL3778">
        <v>79.642191974857695</v>
      </c>
      <c r="AM3778">
        <v>89.529921891324506</v>
      </c>
      <c r="AN3778">
        <v>0.99999997064375301</v>
      </c>
    </row>
    <row r="3779" spans="1:40" x14ac:dyDescent="0.25">
      <c r="A3779" t="str">
        <f>"20190312172738885"</f>
        <v>20190312172738885</v>
      </c>
      <c r="B3779" t="str">
        <f>"1552382858882834"</f>
        <v>1552382858882834</v>
      </c>
      <c r="C3779" t="s">
        <v>40</v>
      </c>
      <c r="D3779">
        <v>3.2855859999999999</v>
      </c>
      <c r="E3779">
        <v>0.51545359999999996</v>
      </c>
      <c r="F3779" t="s">
        <v>41</v>
      </c>
      <c r="G3779">
        <v>-367.80990000000003</v>
      </c>
      <c r="H3779" s="1">
        <v>-1.247718E-6</v>
      </c>
      <c r="I3779">
        <v>137.7791</v>
      </c>
      <c r="J3779">
        <v>-322.60129999999998</v>
      </c>
      <c r="K3779">
        <v>1.1100410000000001</v>
      </c>
      <c r="L3779">
        <v>141.85900000000001</v>
      </c>
      <c r="M3779">
        <v>-0.99972609999999995</v>
      </c>
      <c r="N3779">
        <v>0</v>
      </c>
      <c r="O3779">
        <v>-1.8436210000000001E-2</v>
      </c>
      <c r="P3779">
        <v>-0.98591300000000004</v>
      </c>
      <c r="Q3779">
        <v>0.1669224</v>
      </c>
      <c r="R3779">
        <v>-1.062577E-2</v>
      </c>
      <c r="S3779">
        <v>-3.0514830000000002</v>
      </c>
      <c r="T3779">
        <v>-7.1851730000000003E-2</v>
      </c>
      <c r="U3779">
        <v>-0.26638790000000001</v>
      </c>
      <c r="V3779">
        <v>7.5418009999999999E-3</v>
      </c>
      <c r="W3779">
        <v>0.1811198</v>
      </c>
      <c r="X3779">
        <v>0.98343210000000003</v>
      </c>
      <c r="Y3779">
        <v>-6.8570270000000003E-2</v>
      </c>
      <c r="Z3779">
        <v>-3.7248730000000001E-4</v>
      </c>
      <c r="AA3779">
        <v>0.99764620000000004</v>
      </c>
      <c r="AB3779">
        <v>32</v>
      </c>
      <c r="AC3779">
        <v>-45.208599999999997</v>
      </c>
      <c r="AD3779">
        <v>-1.1100422477179901</v>
      </c>
      <c r="AE3779">
        <v>-4.0799000000000003</v>
      </c>
      <c r="AF3779">
        <v>-3.2437047690361598</v>
      </c>
      <c r="AG3779">
        <v>-1.1100422477179901</v>
      </c>
      <c r="AH3779">
        <v>45.249080638377002</v>
      </c>
      <c r="AI3779">
        <v>91.401692357120197</v>
      </c>
      <c r="AJ3779">
        <v>94.100264975740004</v>
      </c>
      <c r="AK3779">
        <v>45.378773815945401</v>
      </c>
      <c r="AL3779">
        <v>79.565007991471305</v>
      </c>
      <c r="AM3779">
        <v>89.560615423814994</v>
      </c>
      <c r="AN3779">
        <v>0.99999997801238605</v>
      </c>
    </row>
    <row r="3780" spans="1:40" x14ac:dyDescent="0.25">
      <c r="A3780" t="str">
        <f>"20190312172738906"</f>
        <v>20190312172738906</v>
      </c>
      <c r="B3780" t="str">
        <f>"1552382858903330"</f>
        <v>1552382858903330</v>
      </c>
      <c r="C3780" t="s">
        <v>40</v>
      </c>
      <c r="D3780">
        <v>3.2963499999999999</v>
      </c>
      <c r="E3780">
        <v>0.51937319999999998</v>
      </c>
      <c r="F3780" t="s">
        <v>44</v>
      </c>
      <c r="G3780">
        <v>-323.34589999999997</v>
      </c>
      <c r="H3780">
        <v>0.99314360000000002</v>
      </c>
      <c r="I3780">
        <v>141.8724</v>
      </c>
      <c r="J3780">
        <v>-322.89769999999999</v>
      </c>
      <c r="K3780">
        <v>1.1100380000000001</v>
      </c>
      <c r="L3780">
        <v>141.8535</v>
      </c>
      <c r="M3780">
        <v>-0.99972539999999999</v>
      </c>
      <c r="N3780">
        <v>0</v>
      </c>
      <c r="O3780">
        <v>-1.8481480000000002E-2</v>
      </c>
      <c r="P3780">
        <v>-0.98591459999999997</v>
      </c>
      <c r="Q3780">
        <v>0.16695889999999999</v>
      </c>
      <c r="R3780">
        <v>-9.8542009999999999E-3</v>
      </c>
      <c r="S3780">
        <v>-3.1265869999999998</v>
      </c>
      <c r="T3780">
        <v>-0.49094690000000002</v>
      </c>
      <c r="U3780">
        <v>5.6503299999999999E-2</v>
      </c>
      <c r="V3780">
        <v>8.3577200000000008E-3</v>
      </c>
      <c r="W3780">
        <v>0.18115300000000001</v>
      </c>
      <c r="X3780">
        <v>0.98341940000000005</v>
      </c>
      <c r="Y3780">
        <v>3.5880280000000001E-2</v>
      </c>
      <c r="Z3780">
        <v>5.6840569999999898E-3</v>
      </c>
      <c r="AA3780">
        <v>0.99933989999999995</v>
      </c>
      <c r="AB3780">
        <v>32</v>
      </c>
      <c r="AC3780">
        <v>-0.448199999999985</v>
      </c>
      <c r="AD3780">
        <v>-0.116894399999999</v>
      </c>
      <c r="AE3780">
        <v>1.8900000000002099E-2</v>
      </c>
      <c r="AF3780">
        <v>2.5452777412214401E-2</v>
      </c>
      <c r="AG3780">
        <v>-0.116894399999999</v>
      </c>
      <c r="AH3780">
        <v>0.41930325124682899</v>
      </c>
      <c r="AI3780">
        <v>105.550303838237</v>
      </c>
      <c r="AJ3780">
        <v>86.526262456181399</v>
      </c>
      <c r="AK3780">
        <v>0.43603596312175602</v>
      </c>
      <c r="AL3780">
        <v>79.563073887401103</v>
      </c>
      <c r="AM3780">
        <v>89.513075953182096</v>
      </c>
      <c r="AN3780">
        <v>0.99999998859447903</v>
      </c>
    </row>
    <row r="3781" spans="1:40" x14ac:dyDescent="0.25">
      <c r="A3781" t="str">
        <f>"20190312172738928"</f>
        <v>20190312172738928</v>
      </c>
      <c r="B3781" t="str">
        <f>"1552382858922851"</f>
        <v>1552382858922851</v>
      </c>
      <c r="C3781" t="s">
        <v>40</v>
      </c>
      <c r="D3781">
        <v>3.2722790000000002</v>
      </c>
      <c r="E3781">
        <v>0.53674419999999901</v>
      </c>
      <c r="F3781" t="s">
        <v>44</v>
      </c>
      <c r="G3781">
        <v>-323.63709999999998</v>
      </c>
      <c r="H3781">
        <v>1.006516</v>
      </c>
      <c r="I3781">
        <v>141.87540000000001</v>
      </c>
      <c r="J3781">
        <v>-323.21640000000002</v>
      </c>
      <c r="K3781">
        <v>1.110039</v>
      </c>
      <c r="L3781">
        <v>141.8475</v>
      </c>
      <c r="M3781">
        <v>-0.99972439999999996</v>
      </c>
      <c r="N3781">
        <v>0</v>
      </c>
      <c r="O3781">
        <v>-1.852937E-2</v>
      </c>
      <c r="P3781">
        <v>-0.98597190000000001</v>
      </c>
      <c r="Q3781">
        <v>0.16665329999999901</v>
      </c>
      <c r="R3781">
        <v>-9.2922170000000002E-3</v>
      </c>
      <c r="S3781">
        <v>-3.117737</v>
      </c>
      <c r="T3781">
        <v>-0.43658849999999999</v>
      </c>
      <c r="U3781">
        <v>9.1171260000000004E-2</v>
      </c>
      <c r="V3781">
        <v>8.9682979999999995E-3</v>
      </c>
      <c r="W3781">
        <v>0.18084449999999999</v>
      </c>
      <c r="X3781">
        <v>0.98347079999999998</v>
      </c>
      <c r="Y3781">
        <v>4.7108650000000002E-2</v>
      </c>
      <c r="Z3781">
        <v>5.8636259999999898E-3</v>
      </c>
      <c r="AA3781">
        <v>0.9988726</v>
      </c>
      <c r="AB3781">
        <v>32</v>
      </c>
      <c r="AC3781">
        <v>-0.420699999999953</v>
      </c>
      <c r="AD3781">
        <v>-0.103523</v>
      </c>
      <c r="AE3781">
        <v>2.7900000000016599E-2</v>
      </c>
      <c r="AF3781">
        <v>3.3661951041566697E-2</v>
      </c>
      <c r="AG3781">
        <v>-0.103523</v>
      </c>
      <c r="AH3781">
        <v>0.39622364762798701</v>
      </c>
      <c r="AI3781">
        <v>104.592265083331</v>
      </c>
      <c r="AJ3781">
        <v>85.143986206601497</v>
      </c>
      <c r="AK3781">
        <v>0.41090548477302202</v>
      </c>
      <c r="AL3781">
        <v>79.581046487457002</v>
      </c>
      <c r="AM3781">
        <v>89.477532650389904</v>
      </c>
      <c r="AN3781">
        <v>0.99999998900095299</v>
      </c>
    </row>
    <row r="3782" spans="1:40" x14ac:dyDescent="0.25">
      <c r="A3782" t="str">
        <f>"20190312172738951"</f>
        <v>20190312172738951</v>
      </c>
      <c r="B3782" t="str">
        <f>"1552382858942778"</f>
        <v>1552382858942778</v>
      </c>
      <c r="C3782" t="s">
        <v>40</v>
      </c>
      <c r="D3782">
        <v>3.2543470000000001</v>
      </c>
      <c r="E3782">
        <v>0.53643459999999998</v>
      </c>
      <c r="F3782" t="s">
        <v>41</v>
      </c>
      <c r="G3782">
        <v>-385.0369</v>
      </c>
      <c r="H3782" s="1">
        <v>-3.8391129999999999E-6</v>
      </c>
      <c r="I3782">
        <v>146.81620000000001</v>
      </c>
      <c r="J3782">
        <v>-323.53680000000003</v>
      </c>
      <c r="K3782">
        <v>1.1100479999999999</v>
      </c>
      <c r="L3782">
        <v>141.8416</v>
      </c>
      <c r="M3782">
        <v>-0.99972360000000005</v>
      </c>
      <c r="N3782">
        <v>0</v>
      </c>
      <c r="O3782">
        <v>-1.8577969999999999E-2</v>
      </c>
      <c r="P3782">
        <v>-0.98592599999999997</v>
      </c>
      <c r="Q3782">
        <v>0.16694870000000001</v>
      </c>
      <c r="R3782">
        <v>-8.8278939999999993E-3</v>
      </c>
      <c r="S3782">
        <v>-3.0542600000000002</v>
      </c>
      <c r="T3782">
        <v>-5.4842000000000002E-2</v>
      </c>
      <c r="U3782">
        <v>0.24548339999999999</v>
      </c>
      <c r="V3782">
        <v>9.4797260000000008E-3</v>
      </c>
      <c r="W3782">
        <v>0.18113570000000001</v>
      </c>
      <c r="X3782">
        <v>0.98341239999999996</v>
      </c>
      <c r="Y3782">
        <v>9.8603319999999994E-2</v>
      </c>
      <c r="Z3782">
        <v>1.2168630000000001E-3</v>
      </c>
      <c r="AA3782">
        <v>0.99512610000000001</v>
      </c>
      <c r="AB3782">
        <v>32</v>
      </c>
      <c r="AC3782">
        <v>-61.500099999999897</v>
      </c>
      <c r="AD3782">
        <v>-1.1100518391130001</v>
      </c>
      <c r="AE3782">
        <v>4.9745999999999997</v>
      </c>
      <c r="AF3782">
        <v>6.1144278385696103</v>
      </c>
      <c r="AG3782">
        <v>-1.1100518391130001</v>
      </c>
      <c r="AH3782">
        <v>61.3771902516186</v>
      </c>
      <c r="AI3782">
        <v>91.031021234834199</v>
      </c>
      <c r="AJ3782">
        <v>84.310934787273595</v>
      </c>
      <c r="AK3782">
        <v>61.690987397366101</v>
      </c>
      <c r="AL3782">
        <v>79.564081663948599</v>
      </c>
      <c r="AM3782">
        <v>89.447707321832794</v>
      </c>
      <c r="AN3782">
        <v>0.99999997774664195</v>
      </c>
    </row>
    <row r="3783" spans="1:40" x14ac:dyDescent="0.25">
      <c r="A3783" t="str">
        <f>"20190312172738973"</f>
        <v>20190312172738973</v>
      </c>
      <c r="B3783" t="str">
        <f>"1552382858963275"</f>
        <v>1552382858963275</v>
      </c>
      <c r="C3783" t="s">
        <v>40</v>
      </c>
      <c r="D3783">
        <v>3.3874270000000002</v>
      </c>
      <c r="E3783">
        <v>0.53486750000000005</v>
      </c>
      <c r="F3783" t="s">
        <v>41</v>
      </c>
      <c r="G3783">
        <v>-383.54070000000002</v>
      </c>
      <c r="H3783" s="1">
        <v>-4.3182880000000003E-6</v>
      </c>
      <c r="I3783">
        <v>146.6472</v>
      </c>
      <c r="J3783">
        <v>-323.85120000000001</v>
      </c>
      <c r="K3783">
        <v>1.110047</v>
      </c>
      <c r="L3783">
        <v>141.8357</v>
      </c>
      <c r="M3783">
        <v>-0.99972280000000002</v>
      </c>
      <c r="N3783">
        <v>0</v>
      </c>
      <c r="O3783">
        <v>-1.8625739999999998E-2</v>
      </c>
      <c r="P3783">
        <v>-0.98595109999999997</v>
      </c>
      <c r="Q3783">
        <v>0.16683249999999999</v>
      </c>
      <c r="R3783">
        <v>-8.2111739999999999E-3</v>
      </c>
      <c r="S3783">
        <v>-3.0545960000000001</v>
      </c>
      <c r="T3783">
        <v>-5.650902E-2</v>
      </c>
      <c r="U3783">
        <v>0.24464420000000001</v>
      </c>
      <c r="V3783">
        <v>1.0144179999999999E-2</v>
      </c>
      <c r="W3783">
        <v>0.18101610000000001</v>
      </c>
      <c r="X3783">
        <v>0.98342779999999996</v>
      </c>
      <c r="Y3783">
        <v>9.8369349999999994E-2</v>
      </c>
      <c r="Z3783">
        <v>1.2524439999999999E-3</v>
      </c>
      <c r="AA3783">
        <v>0.99514919999999996</v>
      </c>
      <c r="AB3783">
        <v>32</v>
      </c>
      <c r="AC3783">
        <v>-59.689500000000002</v>
      </c>
      <c r="AD3783">
        <v>-1.1100513182879901</v>
      </c>
      <c r="AE3783">
        <v>4.8114999999999899</v>
      </c>
      <c r="AF3783">
        <v>5.9205071741762696</v>
      </c>
      <c r="AG3783">
        <v>-1.1100513182879901</v>
      </c>
      <c r="AH3783">
        <v>59.569047156198501</v>
      </c>
      <c r="AI3783">
        <v>91.062333245739396</v>
      </c>
      <c r="AJ3783">
        <v>84.324070878428202</v>
      </c>
      <c r="AK3783">
        <v>59.872831887477197</v>
      </c>
      <c r="AL3783">
        <v>79.571049502462301</v>
      </c>
      <c r="AM3783">
        <v>89.409007872565297</v>
      </c>
      <c r="AN3783">
        <v>0.99999998532996104</v>
      </c>
    </row>
    <row r="3784" spans="1:40" x14ac:dyDescent="0.25">
      <c r="A3784" t="str">
        <f>"20190312172738995"</f>
        <v>20190312172738995</v>
      </c>
      <c r="B3784" t="str">
        <f>"1552382858992554"</f>
        <v>1552382858992554</v>
      </c>
      <c r="C3784" t="s">
        <v>40</v>
      </c>
      <c r="D3784">
        <v>3.2864680000000002</v>
      </c>
      <c r="E3784">
        <v>0.53353969999999995</v>
      </c>
      <c r="F3784" t="s">
        <v>41</v>
      </c>
      <c r="G3784">
        <v>-377.58940000000001</v>
      </c>
      <c r="H3784" s="1">
        <v>-2.7013529999999999E-6</v>
      </c>
      <c r="I3784">
        <v>145.9486</v>
      </c>
      <c r="J3784">
        <v>-324.1728</v>
      </c>
      <c r="K3784">
        <v>1.1100460000000001</v>
      </c>
      <c r="L3784">
        <v>141.8296</v>
      </c>
      <c r="M3784">
        <v>-0.99972190000000005</v>
      </c>
      <c r="N3784">
        <v>0</v>
      </c>
      <c r="O3784">
        <v>-1.8674590000000001E-2</v>
      </c>
      <c r="P3784">
        <v>-0.98602990000000001</v>
      </c>
      <c r="Q3784">
        <v>0.16637679999999999</v>
      </c>
      <c r="R3784">
        <v>-7.9857460000000002E-3</v>
      </c>
      <c r="S3784">
        <v>-3.0554199999999998</v>
      </c>
      <c r="T3784">
        <v>-6.311464E-2</v>
      </c>
      <c r="U3784">
        <v>0.23385619999999999</v>
      </c>
      <c r="V3784">
        <v>1.0419090000000001E-2</v>
      </c>
      <c r="W3784">
        <v>0.18055840000000001</v>
      </c>
      <c r="X3784">
        <v>0.98350910000000002</v>
      </c>
      <c r="Y3784">
        <v>9.4899600000000001E-2</v>
      </c>
      <c r="Z3784">
        <v>1.363859E-3</v>
      </c>
      <c r="AA3784">
        <v>0.99548590000000003</v>
      </c>
      <c r="AB3784">
        <v>32</v>
      </c>
      <c r="AC3784">
        <v>-53.416600000000003</v>
      </c>
      <c r="AD3784">
        <v>-1.1100487013529901</v>
      </c>
      <c r="AE3784">
        <v>4.1189999999999998</v>
      </c>
      <c r="AF3784">
        <v>5.1137228124230498</v>
      </c>
      <c r="AG3784">
        <v>-1.1100487013529901</v>
      </c>
      <c r="AH3784">
        <v>53.3074696956933</v>
      </c>
      <c r="AI3784">
        <v>91.187477211113205</v>
      </c>
      <c r="AJ3784">
        <v>84.520450497057098</v>
      </c>
      <c r="AK3784">
        <v>53.563688208327598</v>
      </c>
      <c r="AL3784">
        <v>79.597713519357498</v>
      </c>
      <c r="AM3784">
        <v>89.393043183287702</v>
      </c>
      <c r="AN3784">
        <v>1.0000000215148901</v>
      </c>
    </row>
    <row r="3785" spans="1:40" x14ac:dyDescent="0.25">
      <c r="A3785" t="str">
        <f>"20190312172739016"</f>
        <v>20190312172739016</v>
      </c>
      <c r="B3785" t="str">
        <f>"1552382859013051"</f>
        <v>1552382859013051</v>
      </c>
      <c r="C3785" t="s">
        <v>40</v>
      </c>
      <c r="D3785">
        <v>3.2724139999999999</v>
      </c>
      <c r="E3785">
        <v>0.53325710000000004</v>
      </c>
      <c r="F3785" t="s">
        <v>41</v>
      </c>
      <c r="G3785">
        <v>-371.63189999999997</v>
      </c>
      <c r="H3785" s="1">
        <v>-4.7283449999999999E-6</v>
      </c>
      <c r="I3785">
        <v>145.297</v>
      </c>
      <c r="J3785">
        <v>-324.46480000000003</v>
      </c>
      <c r="K3785">
        <v>1.1100490000000001</v>
      </c>
      <c r="L3785">
        <v>141.82409999999999</v>
      </c>
      <c r="M3785">
        <v>-0.99972119999999998</v>
      </c>
      <c r="N3785">
        <v>0</v>
      </c>
      <c r="O3785">
        <v>-1.8719139999999999E-2</v>
      </c>
      <c r="P3785">
        <v>-0.98604139999999996</v>
      </c>
      <c r="Q3785">
        <v>0.166325</v>
      </c>
      <c r="R3785">
        <v>-7.6521480000000001E-3</v>
      </c>
      <c r="S3785">
        <v>-3.056305</v>
      </c>
      <c r="T3785">
        <v>-7.1485880000000002E-2</v>
      </c>
      <c r="U3785">
        <v>0.2232971</v>
      </c>
      <c r="V3785">
        <v>1.0797080000000001E-2</v>
      </c>
      <c r="W3785">
        <v>0.18050350000000001</v>
      </c>
      <c r="X3785">
        <v>0.98351509999999998</v>
      </c>
      <c r="Y3785">
        <v>9.1495460000000001E-2</v>
      </c>
      <c r="Z3785">
        <v>1.5057460000000001E-3</v>
      </c>
      <c r="AA3785">
        <v>0.99580440000000003</v>
      </c>
      <c r="AB3785">
        <v>32</v>
      </c>
      <c r="AC3785">
        <v>-47.167099999999898</v>
      </c>
      <c r="AD3785">
        <v>-1.110053728345</v>
      </c>
      <c r="AE3785">
        <v>3.4729000000000001</v>
      </c>
      <c r="AF3785">
        <v>4.3529123970177599</v>
      </c>
      <c r="AG3785">
        <v>-1.110053728345</v>
      </c>
      <c r="AH3785">
        <v>47.067888277101297</v>
      </c>
      <c r="AI3785">
        <v>91.345280267276905</v>
      </c>
      <c r="AJ3785">
        <v>84.7162256796354</v>
      </c>
      <c r="AK3785">
        <v>47.2817742103827</v>
      </c>
      <c r="AL3785">
        <v>79.6009116009118</v>
      </c>
      <c r="AM3785">
        <v>89.371029214459497</v>
      </c>
      <c r="AN3785">
        <v>1.0000000211883899</v>
      </c>
    </row>
    <row r="3786" spans="1:40" x14ac:dyDescent="0.25">
      <c r="A3786" t="str">
        <f>"20190312172739045"</f>
        <v>20190312172739045</v>
      </c>
      <c r="B3786" t="str">
        <f>"1552382859032571"</f>
        <v>1552382859032571</v>
      </c>
      <c r="C3786" t="s">
        <v>40</v>
      </c>
      <c r="D3786">
        <v>3.2521010000000001</v>
      </c>
      <c r="E3786">
        <v>0.5332095</v>
      </c>
      <c r="F3786" t="s">
        <v>41</v>
      </c>
      <c r="G3786">
        <v>-370.6524</v>
      </c>
      <c r="H3786" s="1">
        <v>-5.0395770000000004E-6</v>
      </c>
      <c r="I3786">
        <v>145.17240000000001</v>
      </c>
      <c r="J3786">
        <v>-324.8664</v>
      </c>
      <c r="K3786">
        <v>1.110047</v>
      </c>
      <c r="L3786">
        <v>141.81659999999999</v>
      </c>
      <c r="M3786">
        <v>-0.99972019999999995</v>
      </c>
      <c r="N3786">
        <v>0</v>
      </c>
      <c r="O3786">
        <v>-1.8779899999999999E-2</v>
      </c>
      <c r="P3786">
        <v>-0.98600690000000002</v>
      </c>
      <c r="Q3786">
        <v>0.16654349999999901</v>
      </c>
      <c r="R3786">
        <v>-7.3596429999999999E-3</v>
      </c>
      <c r="S3786">
        <v>-3.05661</v>
      </c>
      <c r="T3786">
        <v>-7.3461289999999999E-2</v>
      </c>
      <c r="U3786">
        <v>0.22158810000000001</v>
      </c>
      <c r="V3786">
        <v>1.114887E-2</v>
      </c>
      <c r="W3786">
        <v>0.18071690000000001</v>
      </c>
      <c r="X3786">
        <v>0.98347200000000001</v>
      </c>
      <c r="Y3786">
        <v>9.0993370000000004E-2</v>
      </c>
      <c r="Z3786">
        <v>1.5426540000000001E-3</v>
      </c>
      <c r="AA3786">
        <v>0.99585029999999997</v>
      </c>
      <c r="AB3786">
        <v>32</v>
      </c>
      <c r="AC3786">
        <v>-45.786000000000001</v>
      </c>
      <c r="AD3786">
        <v>-1.1100520395769999</v>
      </c>
      <c r="AE3786">
        <v>3.3558000000000101</v>
      </c>
      <c r="AF3786">
        <v>4.2126905546184297</v>
      </c>
      <c r="AG3786">
        <v>-1.1100520395769999</v>
      </c>
      <c r="AH3786">
        <v>45.688183991309302</v>
      </c>
      <c r="AI3786">
        <v>91.385922740204293</v>
      </c>
      <c r="AJ3786">
        <v>84.731923860468399</v>
      </c>
      <c r="AK3786">
        <v>45.895415170398799</v>
      </c>
      <c r="AL3786">
        <v>79.588480390682193</v>
      </c>
      <c r="AM3786">
        <v>89.3505093830249</v>
      </c>
      <c r="AN3786">
        <v>1.0000000350159399</v>
      </c>
    </row>
    <row r="3787" spans="1:40" x14ac:dyDescent="0.25">
      <c r="A3787" t="str">
        <f>"20190312172739062"</f>
        <v>20190312172739062</v>
      </c>
      <c r="B3787" t="str">
        <f>"1552382859053067"</f>
        <v>1552382859053067</v>
      </c>
      <c r="C3787" t="s">
        <v>40</v>
      </c>
      <c r="D3787">
        <v>3.2811780000000002</v>
      </c>
      <c r="E3787">
        <v>0.53319879999999997</v>
      </c>
      <c r="F3787" t="s">
        <v>41</v>
      </c>
      <c r="G3787">
        <v>-370.74239999999998</v>
      </c>
      <c r="H3787" s="1">
        <v>-5.0046789999999998E-6</v>
      </c>
      <c r="I3787">
        <v>145.14830000000001</v>
      </c>
      <c r="J3787">
        <v>-325.11599999999999</v>
      </c>
      <c r="K3787">
        <v>1.1100449999999999</v>
      </c>
      <c r="L3787">
        <v>141.81180000000001</v>
      </c>
      <c r="M3787">
        <v>-0.99971949999999998</v>
      </c>
      <c r="N3787">
        <v>0</v>
      </c>
      <c r="O3787">
        <v>-1.8817549999999999E-2</v>
      </c>
      <c r="P3787">
        <v>-0.98607840000000002</v>
      </c>
      <c r="Q3787">
        <v>0.1661291</v>
      </c>
      <c r="R3787">
        <v>-7.1372240000000002E-3</v>
      </c>
      <c r="S3787">
        <v>-3.0567319999999998</v>
      </c>
      <c r="T3787">
        <v>-7.3963169999999995E-2</v>
      </c>
      <c r="U3787">
        <v>0.22200010000000001</v>
      </c>
      <c r="V3787">
        <v>1.1409900000000001E-2</v>
      </c>
      <c r="W3787">
        <v>0.1803004</v>
      </c>
      <c r="X3787">
        <v>0.98354540000000001</v>
      </c>
      <c r="Y3787">
        <v>9.1161030000000004E-2</v>
      </c>
      <c r="Z3787">
        <v>1.5560560000000001E-3</v>
      </c>
      <c r="AA3787">
        <v>0.99583489999999997</v>
      </c>
      <c r="AB3787">
        <v>32</v>
      </c>
      <c r="AC3787">
        <v>-45.626399999999897</v>
      </c>
      <c r="AD3787">
        <v>-1.1100500046790001</v>
      </c>
      <c r="AE3787">
        <v>3.3365</v>
      </c>
      <c r="AF3787">
        <v>4.1921068263704804</v>
      </c>
      <c r="AG3787">
        <v>-1.1100500046790001</v>
      </c>
      <c r="AH3787">
        <v>45.528722826956503</v>
      </c>
      <c r="AI3787">
        <v>91.390788791875593</v>
      </c>
      <c r="AJ3787">
        <v>84.739261985850206</v>
      </c>
      <c r="AK3787">
        <v>45.734785152118299</v>
      </c>
      <c r="AL3787">
        <v>79.612742123613302</v>
      </c>
      <c r="AM3787">
        <v>89.335353720651398</v>
      </c>
      <c r="AN3787">
        <v>0.99999998695966497</v>
      </c>
    </row>
    <row r="3788" spans="1:40" x14ac:dyDescent="0.25">
      <c r="A3788" t="str">
        <f>"20190312172739086"</f>
        <v>20190312172739086</v>
      </c>
      <c r="B3788" t="str">
        <f>"1552382859083323"</f>
        <v>1552382859083323</v>
      </c>
      <c r="C3788" t="s">
        <v>40</v>
      </c>
      <c r="D3788">
        <v>3.2760150000000001</v>
      </c>
      <c r="E3788">
        <v>0.53304510000000005</v>
      </c>
      <c r="F3788" t="s">
        <v>41</v>
      </c>
      <c r="G3788">
        <v>-369.61880000000002</v>
      </c>
      <c r="H3788" s="1">
        <v>-1.5914910000000001E-6</v>
      </c>
      <c r="I3788">
        <v>145.04949999999999</v>
      </c>
      <c r="J3788">
        <v>-325.44819999999999</v>
      </c>
      <c r="K3788">
        <v>1.1100479999999999</v>
      </c>
      <c r="L3788">
        <v>141.80549999999999</v>
      </c>
      <c r="M3788">
        <v>-0.99971840000000001</v>
      </c>
      <c r="N3788">
        <v>0</v>
      </c>
      <c r="O3788">
        <v>-1.886782E-2</v>
      </c>
      <c r="P3788">
        <v>-0.98612929999999999</v>
      </c>
      <c r="Q3788">
        <v>0.16584170000000001</v>
      </c>
      <c r="R3788">
        <v>-6.7535449999999997E-3</v>
      </c>
      <c r="S3788">
        <v>-3.0568240000000002</v>
      </c>
      <c r="T3788">
        <v>-7.6247220000000004E-2</v>
      </c>
      <c r="U3788">
        <v>0.22239690000000001</v>
      </c>
      <c r="V3788">
        <v>1.184407E-2</v>
      </c>
      <c r="W3788">
        <v>0.18001110000000001</v>
      </c>
      <c r="X3788">
        <v>0.9835933</v>
      </c>
      <c r="Y3788">
        <v>9.1335429999999995E-2</v>
      </c>
      <c r="Z3788">
        <v>1.6074629999999999E-3</v>
      </c>
      <c r="AA3788">
        <v>0.99581889999999995</v>
      </c>
      <c r="AB3788">
        <v>32</v>
      </c>
      <c r="AC3788">
        <v>-44.1706</v>
      </c>
      <c r="AD3788">
        <v>-1.110049591491</v>
      </c>
      <c r="AE3788">
        <v>3.2440000000000002</v>
      </c>
      <c r="AF3788">
        <v>4.07435224494313</v>
      </c>
      <c r="AG3788">
        <v>-1.110049591491</v>
      </c>
      <c r="AH3788">
        <v>44.073835709492201</v>
      </c>
      <c r="AI3788">
        <v>91.436631265530195</v>
      </c>
      <c r="AJ3788">
        <v>84.718372413665193</v>
      </c>
      <c r="AK3788">
        <v>44.275676736316001</v>
      </c>
      <c r="AL3788">
        <v>79.629593954119002</v>
      </c>
      <c r="AM3788">
        <v>89.310098568012606</v>
      </c>
      <c r="AN3788">
        <v>1.0000000289611299</v>
      </c>
    </row>
    <row r="3789" spans="1:40" x14ac:dyDescent="0.25">
      <c r="A3789" t="str">
        <f>"20190312172739108"</f>
        <v>20190312172739108</v>
      </c>
      <c r="B3789" t="str">
        <f>"1552382859102842"</f>
        <v>1552382859102842</v>
      </c>
      <c r="C3789" t="s">
        <v>40</v>
      </c>
      <c r="D3789">
        <v>3.262915</v>
      </c>
      <c r="E3789">
        <v>0.53302369999999899</v>
      </c>
      <c r="F3789" t="s">
        <v>41</v>
      </c>
      <c r="G3789">
        <v>-369.75909999999999</v>
      </c>
      <c r="H3789" s="1">
        <v>-1.5257320000000001E-6</v>
      </c>
      <c r="I3789">
        <v>145.02850000000001</v>
      </c>
      <c r="J3789">
        <v>-325.75459999999998</v>
      </c>
      <c r="K3789">
        <v>1.1100449999999999</v>
      </c>
      <c r="L3789">
        <v>141.7997</v>
      </c>
      <c r="M3789">
        <v>-0.99971770000000004</v>
      </c>
      <c r="N3789">
        <v>0</v>
      </c>
      <c r="O3789">
        <v>-1.8914159999999999E-2</v>
      </c>
      <c r="P3789">
        <v>-0.9861704</v>
      </c>
      <c r="Q3789">
        <v>0.16561229999999999</v>
      </c>
      <c r="R3789">
        <v>-6.3769969999999997E-3</v>
      </c>
      <c r="S3789">
        <v>-3.0566710000000001</v>
      </c>
      <c r="T3789">
        <v>-7.6573970000000005E-2</v>
      </c>
      <c r="U3789">
        <v>0.2223358</v>
      </c>
      <c r="V3789">
        <v>1.2267139999999999E-2</v>
      </c>
      <c r="W3789">
        <v>0.17977839999999901</v>
      </c>
      <c r="X3789">
        <v>0.98363069999999997</v>
      </c>
      <c r="Y3789">
        <v>9.1365119999999994E-2</v>
      </c>
      <c r="Z3789">
        <v>1.6159620000000001E-3</v>
      </c>
      <c r="AA3789">
        <v>0.99581620000000004</v>
      </c>
      <c r="AB3789">
        <v>32</v>
      </c>
      <c r="AC3789">
        <v>-44.0045</v>
      </c>
      <c r="AD3789">
        <v>-1.110046525732</v>
      </c>
      <c r="AE3789">
        <v>3.2288000000000001</v>
      </c>
      <c r="AF3789">
        <v>4.0580480378583497</v>
      </c>
      <c r="AG3789">
        <v>-1.110046525732</v>
      </c>
      <c r="AH3789">
        <v>43.907759530173699</v>
      </c>
      <c r="AI3789">
        <v>91.442061753902493</v>
      </c>
      <c r="AJ3789">
        <v>84.719603514599697</v>
      </c>
      <c r="AK3789">
        <v>44.108857433926097</v>
      </c>
      <c r="AL3789">
        <v>79.643148072624996</v>
      </c>
      <c r="AM3789">
        <v>89.285484976186794</v>
      </c>
      <c r="AN3789">
        <v>1.0000000549064101</v>
      </c>
    </row>
    <row r="3790" spans="1:40" x14ac:dyDescent="0.25">
      <c r="A3790" t="str">
        <f>"20190312172739130"</f>
        <v>20190312172739130</v>
      </c>
      <c r="B3790" t="str">
        <f>"1552382859123339"</f>
        <v>1552382859123339</v>
      </c>
      <c r="C3790" t="s">
        <v>40</v>
      </c>
      <c r="D3790">
        <v>3.2397879999999999</v>
      </c>
      <c r="E3790">
        <v>0.53289069999999905</v>
      </c>
      <c r="F3790" t="s">
        <v>41</v>
      </c>
      <c r="G3790">
        <v>-369.36270000000002</v>
      </c>
      <c r="H3790" s="1">
        <v>-1.684272E-6</v>
      </c>
      <c r="I3790">
        <v>144.98519999999999</v>
      </c>
      <c r="J3790">
        <v>-326.05759999999998</v>
      </c>
      <c r="K3790">
        <v>1.1100429999999999</v>
      </c>
      <c r="L3790">
        <v>141.79390000000001</v>
      </c>
      <c r="M3790">
        <v>-0.99971690000000002</v>
      </c>
      <c r="N3790">
        <v>0</v>
      </c>
      <c r="O3790">
        <v>-1.895991E-2</v>
      </c>
      <c r="P3790">
        <v>-0.98614639999999998</v>
      </c>
      <c r="Q3790">
        <v>0.16576150000000001</v>
      </c>
      <c r="R3790">
        <v>-6.2013390000000002E-3</v>
      </c>
      <c r="S3790">
        <v>-3.0565799999999999</v>
      </c>
      <c r="T3790">
        <v>-7.7805639999999995E-2</v>
      </c>
      <c r="U3790">
        <v>0.22328190000000001</v>
      </c>
      <c r="V3790">
        <v>1.24873E-2</v>
      </c>
      <c r="W3790">
        <v>0.17992379999999999</v>
      </c>
      <c r="X3790">
        <v>0.98360130000000001</v>
      </c>
      <c r="Y3790">
        <v>9.1718149999999998E-2</v>
      </c>
      <c r="Z3790">
        <v>1.6476259999999999E-3</v>
      </c>
      <c r="AA3790">
        <v>0.99578359999999999</v>
      </c>
      <c r="AB3790">
        <v>31</v>
      </c>
      <c r="AC3790">
        <v>-43.305100000000003</v>
      </c>
      <c r="AD3790">
        <v>-1.110044684272</v>
      </c>
      <c r="AE3790">
        <v>3.19129999999998</v>
      </c>
      <c r="AF3790">
        <v>4.0092517961163798</v>
      </c>
      <c r="AG3790">
        <v>-1.110044684272</v>
      </c>
      <c r="AH3790">
        <v>43.208563931063303</v>
      </c>
      <c r="AI3790">
        <v>91.465335238599593</v>
      </c>
      <c r="AJ3790">
        <v>84.698797681186605</v>
      </c>
      <c r="AK3790">
        <v>43.408366660708801</v>
      </c>
      <c r="AL3790">
        <v>79.634678720990493</v>
      </c>
      <c r="AM3790">
        <v>89.272641107206098</v>
      </c>
      <c r="AN3790">
        <v>1.0000000119146999</v>
      </c>
    </row>
    <row r="3791" spans="1:40" x14ac:dyDescent="0.25">
      <c r="A3791" t="str">
        <f>"20190312172739152"</f>
        <v>20190312172739152</v>
      </c>
      <c r="B3791" t="str">
        <f>"1552382859142859"</f>
        <v>1552382859142859</v>
      </c>
      <c r="C3791" t="s">
        <v>40</v>
      </c>
      <c r="D3791">
        <v>3.2347109999999999</v>
      </c>
      <c r="E3791">
        <v>0.53267790000000004</v>
      </c>
      <c r="F3791" t="s">
        <v>41</v>
      </c>
      <c r="G3791">
        <v>-369.60700000000003</v>
      </c>
      <c r="H3791" s="1">
        <v>-1.57467899999999E-6</v>
      </c>
      <c r="I3791">
        <v>144.96719999999999</v>
      </c>
      <c r="J3791">
        <v>-326.3768</v>
      </c>
      <c r="K3791">
        <v>1.1100429999999999</v>
      </c>
      <c r="L3791">
        <v>141.7878</v>
      </c>
      <c r="M3791">
        <v>-0.99971600000000005</v>
      </c>
      <c r="N3791">
        <v>0</v>
      </c>
      <c r="O3791">
        <v>-1.9008279999999999E-2</v>
      </c>
      <c r="P3791">
        <v>-0.98619849999999998</v>
      </c>
      <c r="Q3791">
        <v>0.1654427</v>
      </c>
      <c r="R3791">
        <v>-6.4244480000000001E-3</v>
      </c>
      <c r="S3791">
        <v>-3.0566409999999999</v>
      </c>
      <c r="T3791">
        <v>-7.7911850000000005E-2</v>
      </c>
      <c r="U3791">
        <v>0.2227325</v>
      </c>
      <c r="V3791">
        <v>1.2312989999999999E-2</v>
      </c>
      <c r="W3791">
        <v>0.17960299999999901</v>
      </c>
      <c r="X3791">
        <v>0.98366209999999998</v>
      </c>
      <c r="Y3791">
        <v>9.1586840000000003E-2</v>
      </c>
      <c r="Z3791">
        <v>1.649413E-3</v>
      </c>
      <c r="AA3791">
        <v>0.99579569999999995</v>
      </c>
      <c r="AB3791">
        <v>31</v>
      </c>
      <c r="AC3791">
        <v>-43.230199999999897</v>
      </c>
      <c r="AD3791">
        <v>-1.110044574679</v>
      </c>
      <c r="AE3791">
        <v>3.1793999999999798</v>
      </c>
      <c r="AF3791">
        <v>3.9980202389856401</v>
      </c>
      <c r="AG3791">
        <v>-1.110044574679</v>
      </c>
      <c r="AH3791">
        <v>43.133660112720698</v>
      </c>
      <c r="AI3791">
        <v>91.467892002259006</v>
      </c>
      <c r="AJ3791">
        <v>84.7044362431526</v>
      </c>
      <c r="AK3791">
        <v>43.332770503497997</v>
      </c>
      <c r="AL3791">
        <v>79.653363326674693</v>
      </c>
      <c r="AM3791">
        <v>89.282837554862894</v>
      </c>
      <c r="AN3791">
        <v>0.99999998715407401</v>
      </c>
    </row>
    <row r="3792" spans="1:40" x14ac:dyDescent="0.25">
      <c r="A3792" t="str">
        <f>"20190312172739176"</f>
        <v>20190312172739176</v>
      </c>
      <c r="B3792" t="str">
        <f>"1552382859163356"</f>
        <v>1552382859163356</v>
      </c>
      <c r="C3792" t="s">
        <v>40</v>
      </c>
      <c r="D3792">
        <v>3.2733379999999999</v>
      </c>
      <c r="E3792">
        <v>0.53247999999999995</v>
      </c>
      <c r="F3792" t="s">
        <v>41</v>
      </c>
      <c r="G3792">
        <v>-369.2604</v>
      </c>
      <c r="H3792" s="1">
        <v>-1.6994059999999999E-6</v>
      </c>
      <c r="I3792">
        <v>144.87719999999999</v>
      </c>
      <c r="J3792">
        <v>-326.69600000000003</v>
      </c>
      <c r="K3792">
        <v>1.1100460000000001</v>
      </c>
      <c r="L3792">
        <v>141.7817</v>
      </c>
      <c r="M3792">
        <v>-0.99971509999999997</v>
      </c>
      <c r="N3792">
        <v>0</v>
      </c>
      <c r="O3792">
        <v>-1.9056420000000001E-2</v>
      </c>
      <c r="P3792">
        <v>-0.9862805</v>
      </c>
      <c r="Q3792">
        <v>0.16495870000000001</v>
      </c>
      <c r="R3792">
        <v>-6.2567810000000003E-3</v>
      </c>
      <c r="S3792">
        <v>-3.0567319999999998</v>
      </c>
      <c r="T3792">
        <v>-7.9123739999999998E-2</v>
      </c>
      <c r="U3792">
        <v>0.22021479999999999</v>
      </c>
      <c r="V3792">
        <v>1.25297E-2</v>
      </c>
      <c r="W3792">
        <v>0.17911649999999901</v>
      </c>
      <c r="X3792">
        <v>0.98374810000000001</v>
      </c>
      <c r="Y3792">
        <v>9.0815779999999999E-2</v>
      </c>
      <c r="Z3792">
        <v>1.666339E-3</v>
      </c>
      <c r="AA3792">
        <v>0.99586629999999998</v>
      </c>
      <c r="AB3792">
        <v>31</v>
      </c>
      <c r="AC3792">
        <v>-42.564399999999999</v>
      </c>
      <c r="AD3792">
        <v>-1.11004769940599</v>
      </c>
      <c r="AE3792">
        <v>3.0954999999999799</v>
      </c>
      <c r="AF3792">
        <v>3.9035057325443199</v>
      </c>
      <c r="AG3792">
        <v>-1.11004769940599</v>
      </c>
      <c r="AH3792">
        <v>42.4689415632823</v>
      </c>
      <c r="AI3792">
        <v>91.490966836004006</v>
      </c>
      <c r="AJ3792">
        <v>84.748450525268694</v>
      </c>
      <c r="AK3792">
        <v>42.662402187458298</v>
      </c>
      <c r="AL3792">
        <v>79.681697532092102</v>
      </c>
      <c r="AM3792">
        <v>89.270280560299398</v>
      </c>
      <c r="AN3792">
        <v>1.00000001910397</v>
      </c>
    </row>
    <row r="3793" spans="1:40" x14ac:dyDescent="0.25">
      <c r="A3793" t="str">
        <f>"20190312172739197"</f>
        <v>20190312172739197</v>
      </c>
      <c r="B3793" t="str">
        <f>"1552382859192636"</f>
        <v>1552382859192636</v>
      </c>
      <c r="C3793" t="s">
        <v>40</v>
      </c>
      <c r="D3793">
        <v>3.2717139999999998</v>
      </c>
      <c r="E3793">
        <v>0.53242409999999996</v>
      </c>
      <c r="F3793" t="s">
        <v>41</v>
      </c>
      <c r="G3793">
        <v>-368.86880000000002</v>
      </c>
      <c r="H3793" s="1">
        <v>-1.8470939999999999E-6</v>
      </c>
      <c r="I3793">
        <v>144.80080000000001</v>
      </c>
      <c r="J3793">
        <v>-327.00450000000001</v>
      </c>
      <c r="K3793">
        <v>1.110047</v>
      </c>
      <c r="L3793">
        <v>141.7758</v>
      </c>
      <c r="M3793">
        <v>-0.99971429999999994</v>
      </c>
      <c r="N3793">
        <v>0</v>
      </c>
      <c r="O3793">
        <v>-1.910336E-2</v>
      </c>
      <c r="P3793">
        <v>-0.98634920000000004</v>
      </c>
      <c r="Q3793">
        <v>0.16455549999999999</v>
      </c>
      <c r="R3793">
        <v>-6.0853929999999997E-3</v>
      </c>
      <c r="S3793">
        <v>-3.0565799999999999</v>
      </c>
      <c r="T3793">
        <v>-8.0453629999999998E-2</v>
      </c>
      <c r="U3793">
        <v>0.2188263</v>
      </c>
      <c r="V3793">
        <v>1.274895E-2</v>
      </c>
      <c r="W3793">
        <v>0.1787107</v>
      </c>
      <c r="X3793">
        <v>0.98381909999999895</v>
      </c>
      <c r="Y3793">
        <v>9.0414880000000003E-2</v>
      </c>
      <c r="Z3793">
        <v>1.690413E-3</v>
      </c>
      <c r="AA3793">
        <v>0.99590279999999998</v>
      </c>
      <c r="AB3793">
        <v>31</v>
      </c>
      <c r="AC3793">
        <v>-41.8643</v>
      </c>
      <c r="AD3793">
        <v>-1.110048847094</v>
      </c>
      <c r="AE3793">
        <v>3.0249999999999999</v>
      </c>
      <c r="AF3793">
        <v>3.82160631072035</v>
      </c>
      <c r="AG3793">
        <v>-1.110048847094</v>
      </c>
      <c r="AH3793">
        <v>41.769650834978499</v>
      </c>
      <c r="AI3793">
        <v>91.515976161241795</v>
      </c>
      <c r="AJ3793">
        <v>84.772424669966995</v>
      </c>
      <c r="AK3793">
        <v>41.958796623748597</v>
      </c>
      <c r="AL3793">
        <v>79.705329638831799</v>
      </c>
      <c r="AM3793">
        <v>89.257566615136895</v>
      </c>
      <c r="AN3793">
        <v>1.0000000357726999</v>
      </c>
    </row>
    <row r="3794" spans="1:40" x14ac:dyDescent="0.25">
      <c r="A3794" t="str">
        <f>"20190312172739218"</f>
        <v>20190312172739218</v>
      </c>
      <c r="B3794" t="str">
        <f>"1552382859213131"</f>
        <v>1552382859213131</v>
      </c>
      <c r="C3794" t="s">
        <v>40</v>
      </c>
      <c r="D3794">
        <v>3.252418</v>
      </c>
      <c r="E3794">
        <v>0.5323909</v>
      </c>
      <c r="F3794" t="s">
        <v>41</v>
      </c>
      <c r="G3794">
        <v>-368.95260000000002</v>
      </c>
      <c r="H3794" s="1">
        <v>-1.8052329999999999E-6</v>
      </c>
      <c r="I3794">
        <v>144.77860000000001</v>
      </c>
      <c r="J3794">
        <v>-327.30700000000002</v>
      </c>
      <c r="K3794">
        <v>1.110047</v>
      </c>
      <c r="L3794">
        <v>141.76990000000001</v>
      </c>
      <c r="M3794">
        <v>-0.99971350000000003</v>
      </c>
      <c r="N3794">
        <v>0</v>
      </c>
      <c r="O3794">
        <v>-1.9149220000000002E-2</v>
      </c>
      <c r="P3794">
        <v>-0.98636690000000005</v>
      </c>
      <c r="Q3794">
        <v>0.16444800000000001</v>
      </c>
      <c r="R3794">
        <v>-6.1184459999999996E-3</v>
      </c>
      <c r="S3794">
        <v>-3.0563660000000001</v>
      </c>
      <c r="T3794">
        <v>-8.0878969999999994E-2</v>
      </c>
      <c r="U3794">
        <v>0.21879580000000001</v>
      </c>
      <c r="V3794">
        <v>1.276152E-2</v>
      </c>
      <c r="W3794">
        <v>0.17860039999999999</v>
      </c>
      <c r="X3794">
        <v>0.98383889999999996</v>
      </c>
      <c r="Y3794">
        <v>9.0455209999999994E-2</v>
      </c>
      <c r="Z3794">
        <v>1.7012119999999999E-3</v>
      </c>
      <c r="AA3794">
        <v>0.99589910000000004</v>
      </c>
      <c r="AB3794">
        <v>31</v>
      </c>
      <c r="AC3794">
        <v>-41.645600000000002</v>
      </c>
      <c r="AD3794">
        <v>-1.110048805233</v>
      </c>
      <c r="AE3794">
        <v>3.0087000000000002</v>
      </c>
      <c r="AF3794">
        <v>3.8030232953545</v>
      </c>
      <c r="AG3794">
        <v>-1.110048805233</v>
      </c>
      <c r="AH3794">
        <v>41.550974506146503</v>
      </c>
      <c r="AI3794">
        <v>91.523945960432599</v>
      </c>
      <c r="AJ3794">
        <v>84.770477095999993</v>
      </c>
      <c r="AK3794">
        <v>41.739413950670702</v>
      </c>
      <c r="AL3794">
        <v>79.711752017495598</v>
      </c>
      <c r="AM3794">
        <v>89.2568496396472</v>
      </c>
      <c r="AN3794">
        <v>0.99999997021303899</v>
      </c>
    </row>
    <row r="3795" spans="1:40" x14ac:dyDescent="0.25">
      <c r="A3795" t="str">
        <f>"20190312172739241"</f>
        <v>20190312172739241</v>
      </c>
      <c r="B3795" t="str">
        <f>"1552382859232654"</f>
        <v>1552382859232654</v>
      </c>
      <c r="C3795" t="s">
        <v>40</v>
      </c>
      <c r="D3795">
        <v>3.2195390000000002</v>
      </c>
      <c r="E3795">
        <v>0.53242860000000003</v>
      </c>
      <c r="F3795" t="s">
        <v>41</v>
      </c>
      <c r="G3795">
        <v>-369.34980000000002</v>
      </c>
      <c r="H3795" s="1">
        <v>-1.6340500000000001E-6</v>
      </c>
      <c r="I3795">
        <v>144.7757</v>
      </c>
      <c r="J3795">
        <v>-327.62439999999998</v>
      </c>
      <c r="K3795">
        <v>1.110042</v>
      </c>
      <c r="L3795">
        <v>141.7638</v>
      </c>
      <c r="M3795">
        <v>-0.99971270000000001</v>
      </c>
      <c r="N3795">
        <v>0</v>
      </c>
      <c r="O3795">
        <v>-1.9195790000000001E-2</v>
      </c>
      <c r="P3795">
        <v>-0.98635790000000001</v>
      </c>
      <c r="Q3795">
        <v>0.16452410000000001</v>
      </c>
      <c r="R3795">
        <v>-5.4999510000000003E-3</v>
      </c>
      <c r="S3795">
        <v>-3.056244</v>
      </c>
      <c r="T3795">
        <v>-8.0693600000000004E-2</v>
      </c>
      <c r="U3795">
        <v>0.2185059</v>
      </c>
      <c r="V3795">
        <v>1.342607E-2</v>
      </c>
      <c r="W3795">
        <v>0.17867269999999999</v>
      </c>
      <c r="X3795">
        <v>0.98381700000000005</v>
      </c>
      <c r="Y3795">
        <v>9.0410610000000002E-2</v>
      </c>
      <c r="Z3795">
        <v>1.698027E-3</v>
      </c>
      <c r="AA3795">
        <v>0.99590310000000004</v>
      </c>
      <c r="AB3795">
        <v>31</v>
      </c>
      <c r="AC3795">
        <v>-41.7254</v>
      </c>
      <c r="AD3795">
        <v>-1.1100436340499999</v>
      </c>
      <c r="AE3795">
        <v>3.01189999999999</v>
      </c>
      <c r="AF3795">
        <v>3.8096971351520201</v>
      </c>
      <c r="AG3795">
        <v>-1.1100436340499999</v>
      </c>
      <c r="AH3795">
        <v>41.630577236258503</v>
      </c>
      <c r="AI3795">
        <v>91.521028306272498</v>
      </c>
      <c r="AJ3795">
        <v>84.771312300801995</v>
      </c>
      <c r="AK3795">
        <v>41.819265299083902</v>
      </c>
      <c r="AL3795">
        <v>79.707542551374701</v>
      </c>
      <c r="AM3795">
        <v>89.218137726105198</v>
      </c>
      <c r="AN3795">
        <v>1.0000000412849599</v>
      </c>
    </row>
    <row r="3796" spans="1:40" x14ac:dyDescent="0.25">
      <c r="A3796" t="str">
        <f>"20190312172739263"</f>
        <v>20190312172739263</v>
      </c>
      <c r="B3796" t="str">
        <f>"1552382859253147"</f>
        <v>1552382859253147</v>
      </c>
      <c r="C3796" t="s">
        <v>40</v>
      </c>
      <c r="D3796">
        <v>3.213819</v>
      </c>
      <c r="E3796">
        <v>0.53249019999999903</v>
      </c>
      <c r="F3796" t="s">
        <v>41</v>
      </c>
      <c r="G3796">
        <v>-369.92430000000002</v>
      </c>
      <c r="H3796" s="1">
        <v>-1.3993140000000001E-6</v>
      </c>
      <c r="I3796">
        <v>144.81979999999999</v>
      </c>
      <c r="J3796">
        <v>-327.93200000000002</v>
      </c>
      <c r="K3796">
        <v>1.1100399999999999</v>
      </c>
      <c r="L3796">
        <v>141.7578</v>
      </c>
      <c r="M3796">
        <v>-0.99971180000000004</v>
      </c>
      <c r="N3796">
        <v>0</v>
      </c>
      <c r="O3796">
        <v>-1.923625E-2</v>
      </c>
      <c r="P3796">
        <v>-0.98633899999999997</v>
      </c>
      <c r="Q3796">
        <v>0.16464229999999899</v>
      </c>
      <c r="R3796">
        <v>-5.337423E-3</v>
      </c>
      <c r="S3796">
        <v>-3.0560909999999999</v>
      </c>
      <c r="T3796">
        <v>-8.0198649999999996E-2</v>
      </c>
      <c r="U3796">
        <v>0.22079470000000001</v>
      </c>
      <c r="V3796">
        <v>1.3629290000000001E-2</v>
      </c>
      <c r="W3796">
        <v>0.17878720000000001</v>
      </c>
      <c r="X3796">
        <v>0.98379340000000004</v>
      </c>
      <c r="Y3796">
        <v>9.1196630000000001E-2</v>
      </c>
      <c r="Z3796">
        <v>1.699014E-3</v>
      </c>
      <c r="AA3796">
        <v>0.99583140000000003</v>
      </c>
      <c r="AB3796">
        <v>31</v>
      </c>
      <c r="AC3796">
        <v>-41.9923</v>
      </c>
      <c r="AD3796">
        <v>-1.1100413993139999</v>
      </c>
      <c r="AE3796">
        <v>3.0619999999999798</v>
      </c>
      <c r="AF3796">
        <v>3.8666034127148499</v>
      </c>
      <c r="AG3796">
        <v>-1.1100413993139999</v>
      </c>
      <c r="AH3796">
        <v>41.896499430931698</v>
      </c>
      <c r="AI3796">
        <v>91.511268581587899</v>
      </c>
      <c r="AJ3796">
        <v>84.727142423355204</v>
      </c>
      <c r="AK3796">
        <v>42.089184815406703</v>
      </c>
      <c r="AL3796">
        <v>79.700874779259806</v>
      </c>
      <c r="AM3796">
        <v>89.206285749054203</v>
      </c>
      <c r="AN3796">
        <v>1.00000003715665</v>
      </c>
    </row>
    <row r="3797" spans="1:40" x14ac:dyDescent="0.25">
      <c r="A3797" t="str">
        <f>"20190312172739287"</f>
        <v>20190312172739287</v>
      </c>
      <c r="B3797" t="str">
        <f>"1552382859283403"</f>
        <v>1552382859283403</v>
      </c>
      <c r="C3797" t="s">
        <v>40</v>
      </c>
      <c r="D3797">
        <v>3.1769120000000002</v>
      </c>
      <c r="E3797">
        <v>0.53262509999999996</v>
      </c>
      <c r="F3797" t="s">
        <v>41</v>
      </c>
      <c r="G3797">
        <v>-370.1508</v>
      </c>
      <c r="H3797" s="1">
        <v>-5.1471609999999996E-6</v>
      </c>
      <c r="I3797">
        <v>144.81659999999999</v>
      </c>
      <c r="J3797">
        <v>-328.25450000000001</v>
      </c>
      <c r="K3797">
        <v>1.110034</v>
      </c>
      <c r="L3797">
        <v>141.7516</v>
      </c>
      <c r="M3797">
        <v>-0.99971140000000003</v>
      </c>
      <c r="N3797">
        <v>0</v>
      </c>
      <c r="O3797">
        <v>-1.926986E-2</v>
      </c>
      <c r="P3797">
        <v>-0.98639679999999996</v>
      </c>
      <c r="Q3797">
        <v>0.16429530000000001</v>
      </c>
      <c r="R3797">
        <v>-5.3243469999999897E-3</v>
      </c>
      <c r="S3797">
        <v>-3.0561219999999998</v>
      </c>
      <c r="T3797">
        <v>-8.0353740000000007E-2</v>
      </c>
      <c r="U3797">
        <v>0.22142029999999999</v>
      </c>
      <c r="V3797">
        <v>1.367898E-2</v>
      </c>
      <c r="W3797">
        <v>0.1784376</v>
      </c>
      <c r="X3797">
        <v>0.98385610000000001</v>
      </c>
      <c r="Y3797">
        <v>9.1431949999999998E-2</v>
      </c>
      <c r="Z3797">
        <v>1.7062399999999999E-3</v>
      </c>
      <c r="AA3797">
        <v>0.99580990000000003</v>
      </c>
      <c r="AB3797">
        <v>31</v>
      </c>
      <c r="AC3797">
        <v>-41.896299999999997</v>
      </c>
      <c r="AD3797">
        <v>-1.1100391471610001</v>
      </c>
      <c r="AE3797">
        <v>3.0649999999999902</v>
      </c>
      <c r="AF3797">
        <v>3.8691480804888698</v>
      </c>
      <c r="AG3797">
        <v>-1.1100391471610001</v>
      </c>
      <c r="AH3797">
        <v>41.800264074582003</v>
      </c>
      <c r="AI3797">
        <v>91.514705306558795</v>
      </c>
      <c r="AJ3797">
        <v>84.711613185541793</v>
      </c>
      <c r="AK3797">
        <v>41.993625355305703</v>
      </c>
      <c r="AL3797">
        <v>79.721231932381599</v>
      </c>
      <c r="AM3797">
        <v>89.203443138714405</v>
      </c>
      <c r="AN3797">
        <v>0.99999995854740398</v>
      </c>
    </row>
    <row r="3798" spans="1:40" x14ac:dyDescent="0.25">
      <c r="A3798" t="str">
        <f>"20190312172739310"</f>
        <v>20190312172739310</v>
      </c>
      <c r="B3798" t="str">
        <f>"1552382859302923"</f>
        <v>1552382859302923</v>
      </c>
      <c r="C3798" t="s">
        <v>40</v>
      </c>
      <c r="D3798">
        <v>3.1844480000000002</v>
      </c>
      <c r="E3798">
        <v>0.53272580000000003</v>
      </c>
      <c r="F3798" t="s">
        <v>41</v>
      </c>
      <c r="G3798">
        <v>-369.97660000000002</v>
      </c>
      <c r="H3798" s="1">
        <v>-5.2028880000000003E-6</v>
      </c>
      <c r="I3798">
        <v>144.79660000000001</v>
      </c>
      <c r="J3798">
        <v>-328.58030000000002</v>
      </c>
      <c r="K3798">
        <v>1.1100239999999999</v>
      </c>
      <c r="L3798">
        <v>141.74529999999999</v>
      </c>
      <c r="M3798">
        <v>-0.99971100000000002</v>
      </c>
      <c r="N3798">
        <v>0</v>
      </c>
      <c r="O3798">
        <v>-1.9292440000000001E-2</v>
      </c>
      <c r="P3798">
        <v>-0.98641939999999995</v>
      </c>
      <c r="Q3798">
        <v>0.16415579999999999</v>
      </c>
      <c r="R3798">
        <v>-5.473856E-3</v>
      </c>
      <c r="S3798">
        <v>-3.0561219999999998</v>
      </c>
      <c r="T3798">
        <v>-8.1309679999999995E-2</v>
      </c>
      <c r="U3798">
        <v>0.223053</v>
      </c>
      <c r="V3798">
        <v>1.3556439999999999E-2</v>
      </c>
      <c r="W3798">
        <v>0.17829449999999999</v>
      </c>
      <c r="X3798">
        <v>0.98388379999999998</v>
      </c>
      <c r="Y3798">
        <v>9.1982540000000002E-2</v>
      </c>
      <c r="Z3798">
        <v>1.734413E-3</v>
      </c>
      <c r="AA3798">
        <v>0.99575910000000001</v>
      </c>
      <c r="AB3798">
        <v>31</v>
      </c>
      <c r="AC3798">
        <v>-41.396299999999997</v>
      </c>
      <c r="AD3798">
        <v>-1.1100292028880001</v>
      </c>
      <c r="AE3798">
        <v>3.0513000000000199</v>
      </c>
      <c r="AF3798">
        <v>3.8466988418510302</v>
      </c>
      <c r="AG3798">
        <v>-1.1100292028880001</v>
      </c>
      <c r="AH3798">
        <v>41.300185286986903</v>
      </c>
      <c r="AI3798">
        <v>91.532942102822204</v>
      </c>
      <c r="AJ3798">
        <v>84.678823409277399</v>
      </c>
      <c r="AK3798">
        <v>41.493789433487699</v>
      </c>
      <c r="AL3798">
        <v>79.729565205471999</v>
      </c>
      <c r="AM3798">
        <v>89.2106002256144</v>
      </c>
      <c r="AN3798">
        <v>1.0000000188490801</v>
      </c>
    </row>
    <row r="3799" spans="1:40" x14ac:dyDescent="0.25">
      <c r="A3799" t="str">
        <f>"20190312172739331"</f>
        <v>20190312172739331</v>
      </c>
      <c r="B3799" t="str">
        <f>"1552382859323419"</f>
        <v>1552382859323419</v>
      </c>
      <c r="C3799" t="s">
        <v>40</v>
      </c>
      <c r="D3799">
        <v>3.1982620000000002</v>
      </c>
      <c r="E3799">
        <v>0.53276319999999999</v>
      </c>
      <c r="F3799" t="s">
        <v>41</v>
      </c>
      <c r="G3799">
        <v>-370.15629999999999</v>
      </c>
      <c r="H3799" s="1">
        <v>-5.1401369999999997E-6</v>
      </c>
      <c r="I3799">
        <v>144.7876</v>
      </c>
      <c r="J3799">
        <v>-328.87099999999998</v>
      </c>
      <c r="K3799">
        <v>1.110023</v>
      </c>
      <c r="L3799">
        <v>141.7397</v>
      </c>
      <c r="M3799">
        <v>-0.99971080000000001</v>
      </c>
      <c r="N3799">
        <v>0</v>
      </c>
      <c r="O3799">
        <v>-1.9305639999999999E-2</v>
      </c>
      <c r="P3799">
        <v>-0.98632560000000002</v>
      </c>
      <c r="Q3799">
        <v>0.16473309999999999</v>
      </c>
      <c r="R3799">
        <v>-5.0241779999999998E-3</v>
      </c>
      <c r="S3799">
        <v>-3.0560610000000001</v>
      </c>
      <c r="T3799">
        <v>-8.1593159999999998E-2</v>
      </c>
      <c r="U3799">
        <v>0.22363279999999999</v>
      </c>
      <c r="V3799">
        <v>1.402051E-2</v>
      </c>
      <c r="W3799">
        <v>0.1788669</v>
      </c>
      <c r="X3799">
        <v>0.98377340000000002</v>
      </c>
      <c r="Y3799">
        <v>9.2184669999999996E-2</v>
      </c>
      <c r="Z3799">
        <v>1.7435269999999999E-3</v>
      </c>
      <c r="AA3799">
        <v>0.99574039999999997</v>
      </c>
      <c r="AB3799">
        <v>31</v>
      </c>
      <c r="AC3799">
        <v>-41.285299999999999</v>
      </c>
      <c r="AD3799">
        <v>-1.110028140137</v>
      </c>
      <c r="AE3799">
        <v>3.0478999999999901</v>
      </c>
      <c r="AF3799">
        <v>3.84169083595601</v>
      </c>
      <c r="AG3799">
        <v>-1.110028140137</v>
      </c>
      <c r="AH3799">
        <v>41.189142164294701</v>
      </c>
      <c r="AI3799">
        <v>91.537052973888606</v>
      </c>
      <c r="AJ3799">
        <v>84.671466741375497</v>
      </c>
      <c r="AK3799">
        <v>41.382800571994203</v>
      </c>
      <c r="AL3799">
        <v>79.696233338853204</v>
      </c>
      <c r="AM3799">
        <v>89.183489136520905</v>
      </c>
      <c r="AN3799">
        <v>1.0000000225819099</v>
      </c>
    </row>
    <row r="3800" spans="1:40" x14ac:dyDescent="0.25">
      <c r="A3800" t="str">
        <f>"20190312172739353"</f>
        <v>20190312172739353</v>
      </c>
      <c r="B3800" t="str">
        <f>"1552382859342939"</f>
        <v>1552382859342939</v>
      </c>
      <c r="C3800" t="s">
        <v>40</v>
      </c>
      <c r="D3800">
        <v>3.1858870000000001</v>
      </c>
      <c r="E3800">
        <v>0.53280719999999904</v>
      </c>
      <c r="F3800" t="s">
        <v>41</v>
      </c>
      <c r="G3800">
        <v>-371.11309999999997</v>
      </c>
      <c r="H3800" s="1">
        <v>-4.8255669999999997E-6</v>
      </c>
      <c r="I3800">
        <v>144.84979999999999</v>
      </c>
      <c r="J3800">
        <v>-329.1771</v>
      </c>
      <c r="K3800">
        <v>1.1100190000000001</v>
      </c>
      <c r="L3800">
        <v>141.7337</v>
      </c>
      <c r="M3800">
        <v>-0.99971069999999995</v>
      </c>
      <c r="N3800">
        <v>0</v>
      </c>
      <c r="O3800">
        <v>-1.931277E-2</v>
      </c>
      <c r="P3800">
        <v>-0.98627929999999997</v>
      </c>
      <c r="Q3800">
        <v>0.16502069999999999</v>
      </c>
      <c r="R3800">
        <v>-4.6442669999999997E-3</v>
      </c>
      <c r="S3800">
        <v>-3.056152</v>
      </c>
      <c r="T3800">
        <v>-8.0308790000000005E-2</v>
      </c>
      <c r="U3800">
        <v>0.22502140000000001</v>
      </c>
      <c r="V3800">
        <v>1.4409129999999999E-2</v>
      </c>
      <c r="W3800">
        <v>0.179149799999999</v>
      </c>
      <c r="X3800">
        <v>0.98371629999999999</v>
      </c>
      <c r="Y3800">
        <v>9.2640669999999994E-2</v>
      </c>
      <c r="Z3800">
        <v>1.7221820000000001E-3</v>
      </c>
      <c r="AA3800">
        <v>0.99569810000000003</v>
      </c>
      <c r="AB3800">
        <v>31</v>
      </c>
      <c r="AC3800">
        <v>-41.9359999999999</v>
      </c>
      <c r="AD3800">
        <v>-1.1100238255670001</v>
      </c>
      <c r="AE3800">
        <v>3.1160999999999799</v>
      </c>
      <c r="AF3800">
        <v>3.9227689366717802</v>
      </c>
      <c r="AG3800">
        <v>-1.1100238255670001</v>
      </c>
      <c r="AH3800">
        <v>41.838837538127898</v>
      </c>
      <c r="AI3800">
        <v>91.513121479535798</v>
      </c>
      <c r="AJ3800">
        <v>84.643661931275801</v>
      </c>
      <c r="AK3800">
        <v>42.036990800552097</v>
      </c>
      <c r="AL3800">
        <v>79.679758185432306</v>
      </c>
      <c r="AM3800">
        <v>89.160811608823906</v>
      </c>
      <c r="AN3800">
        <v>1.0000000163765399</v>
      </c>
    </row>
    <row r="3801" spans="1:40" x14ac:dyDescent="0.25">
      <c r="A3801" t="str">
        <f>"20190312172739376"</f>
        <v>20190312172739376</v>
      </c>
      <c r="B3801" t="str">
        <f>"1552382859373195"</f>
        <v>1552382859373195</v>
      </c>
      <c r="C3801" t="s">
        <v>40</v>
      </c>
      <c r="D3801">
        <v>3.1257440000000001</v>
      </c>
      <c r="E3801">
        <v>0.53293869999999999</v>
      </c>
      <c r="F3801" t="s">
        <v>41</v>
      </c>
      <c r="G3801">
        <v>-372.16520000000003</v>
      </c>
      <c r="H3801" s="1">
        <v>-4.480356E-6</v>
      </c>
      <c r="I3801">
        <v>144.92189999999999</v>
      </c>
      <c r="J3801">
        <v>-329.48689999999999</v>
      </c>
      <c r="K3801">
        <v>1.110015</v>
      </c>
      <c r="L3801">
        <v>141.7278</v>
      </c>
      <c r="M3801">
        <v>-0.99971069999999995</v>
      </c>
      <c r="N3801">
        <v>0</v>
      </c>
      <c r="O3801">
        <v>-1.9312800000000001E-2</v>
      </c>
      <c r="P3801">
        <v>-0.98640620000000001</v>
      </c>
      <c r="Q3801">
        <v>0.164251799999999</v>
      </c>
      <c r="R3801">
        <v>-4.9191929999999997E-3</v>
      </c>
      <c r="S3801">
        <v>-3.0560299999999998</v>
      </c>
      <c r="T3801">
        <v>-7.8911899999999993E-2</v>
      </c>
      <c r="U3801">
        <v>0.2266541</v>
      </c>
      <c r="V3801">
        <v>1.413853E-2</v>
      </c>
      <c r="W3801">
        <v>0.17838039999999999</v>
      </c>
      <c r="X3801">
        <v>0.98385999999999996</v>
      </c>
      <c r="Y3801">
        <v>9.3173800000000001E-2</v>
      </c>
      <c r="Z3801">
        <v>1.6991440000000001E-3</v>
      </c>
      <c r="AA3801">
        <v>0.99564839999999999</v>
      </c>
      <c r="AB3801">
        <v>31</v>
      </c>
      <c r="AC3801">
        <v>-42.6783</v>
      </c>
      <c r="AD3801">
        <v>-1.110019480356</v>
      </c>
      <c r="AE3801">
        <v>3.1940999999999899</v>
      </c>
      <c r="AF3801">
        <v>4.0151253630719701</v>
      </c>
      <c r="AG3801">
        <v>-1.110019480356</v>
      </c>
      <c r="AH3801">
        <v>42.580001548658302</v>
      </c>
      <c r="AI3801">
        <v>91.486715230273006</v>
      </c>
      <c r="AJ3801">
        <v>84.613163545080894</v>
      </c>
      <c r="AK3801">
        <v>42.7832900419276</v>
      </c>
      <c r="AL3801">
        <v>79.724562935792704</v>
      </c>
      <c r="AM3801">
        <v>89.176689426090903</v>
      </c>
      <c r="AN3801">
        <v>0.99999998236735999</v>
      </c>
    </row>
    <row r="3802" spans="1:40" x14ac:dyDescent="0.25">
      <c r="A3802" t="str">
        <f>"20190312172739397"</f>
        <v>20190312172739397</v>
      </c>
      <c r="B3802" t="str">
        <f>"1552382859392715"</f>
        <v>1552382859392715</v>
      </c>
      <c r="C3802" t="s">
        <v>40</v>
      </c>
      <c r="D3802">
        <v>3.138439</v>
      </c>
      <c r="E3802">
        <v>0.53288310000000005</v>
      </c>
      <c r="F3802" t="s">
        <v>41</v>
      </c>
      <c r="G3802">
        <v>-371.37150000000003</v>
      </c>
      <c r="H3802" s="1">
        <v>-4.7357619999999998E-6</v>
      </c>
      <c r="I3802">
        <v>144.8391</v>
      </c>
      <c r="J3802">
        <v>-329.78250000000003</v>
      </c>
      <c r="K3802">
        <v>1.110007</v>
      </c>
      <c r="L3802">
        <v>141.72210000000001</v>
      </c>
      <c r="M3802">
        <v>-0.99971089999999996</v>
      </c>
      <c r="N3802">
        <v>0</v>
      </c>
      <c r="O3802">
        <v>-1.930374E-2</v>
      </c>
      <c r="P3802">
        <v>-0.98643080000000005</v>
      </c>
      <c r="Q3802">
        <v>0.1641155</v>
      </c>
      <c r="R3802">
        <v>-4.5344529999999999E-3</v>
      </c>
      <c r="S3802">
        <v>-3.056</v>
      </c>
      <c r="T3802">
        <v>-8.0989720000000001E-2</v>
      </c>
      <c r="U3802">
        <v>0.22702030000000001</v>
      </c>
      <c r="V3802">
        <v>1.451711E-2</v>
      </c>
      <c r="W3802">
        <v>0.1782406</v>
      </c>
      <c r="X3802">
        <v>0.98387990000000003</v>
      </c>
      <c r="Y3802">
        <v>9.3282160000000003E-2</v>
      </c>
      <c r="Z3802">
        <v>1.7450720000000001E-3</v>
      </c>
      <c r="AA3802">
        <v>0.99563820000000003</v>
      </c>
      <c r="AB3802">
        <v>31</v>
      </c>
      <c r="AC3802">
        <v>-41.588999999999999</v>
      </c>
      <c r="AD3802">
        <v>-1.1100117357619901</v>
      </c>
      <c r="AE3802">
        <v>3.1169999999999898</v>
      </c>
      <c r="AF3802">
        <v>3.9165504132898099</v>
      </c>
      <c r="AG3802">
        <v>-1.1100117357619901</v>
      </c>
      <c r="AH3802">
        <v>41.491681174879098</v>
      </c>
      <c r="AI3802">
        <v>91.525668787636604</v>
      </c>
      <c r="AJ3802">
        <v>84.607621141906705</v>
      </c>
      <c r="AK3802">
        <v>41.690899485513398</v>
      </c>
      <c r="AL3802">
        <v>79.732704124727107</v>
      </c>
      <c r="AM3802">
        <v>89.154664323935194</v>
      </c>
      <c r="AN3802">
        <v>1.0000000577975501</v>
      </c>
    </row>
    <row r="3803" spans="1:40" x14ac:dyDescent="0.25">
      <c r="A3803" t="str">
        <f>"20190312172739420"</f>
        <v>20190312172739420</v>
      </c>
      <c r="B3803" t="str">
        <f>"1552382859413211"</f>
        <v>1552382859413211</v>
      </c>
      <c r="C3803" t="s">
        <v>40</v>
      </c>
      <c r="D3803">
        <v>3.1458270000000002</v>
      </c>
      <c r="E3803">
        <v>0.51897899999999997</v>
      </c>
      <c r="F3803" t="s">
        <v>41</v>
      </c>
      <c r="G3803">
        <v>-371.53230000000002</v>
      </c>
      <c r="H3803" s="1">
        <v>-4.6795709999999999E-6</v>
      </c>
      <c r="I3803">
        <v>144.83099999999999</v>
      </c>
      <c r="J3803">
        <v>-330.09930000000003</v>
      </c>
      <c r="K3803">
        <v>1.109999</v>
      </c>
      <c r="L3803">
        <v>141.71600000000001</v>
      </c>
      <c r="M3803">
        <v>-0.99971140000000003</v>
      </c>
      <c r="N3803">
        <v>0</v>
      </c>
      <c r="O3803">
        <v>-1.9279709999999999E-2</v>
      </c>
      <c r="P3803">
        <v>-0.98641829999999997</v>
      </c>
      <c r="Q3803">
        <v>0.16420489999999999</v>
      </c>
      <c r="R3803">
        <v>-3.9732020000000003E-3</v>
      </c>
      <c r="S3803">
        <v>-3.0557859999999999</v>
      </c>
      <c r="T3803">
        <v>-8.1244830000000004E-2</v>
      </c>
      <c r="U3803">
        <v>0.22755429999999999</v>
      </c>
      <c r="V3803">
        <v>1.5058429999999999E-2</v>
      </c>
      <c r="W3803">
        <v>0.1783264</v>
      </c>
      <c r="X3803">
        <v>0.98385610000000001</v>
      </c>
      <c r="Y3803">
        <v>9.3436110000000003E-2</v>
      </c>
      <c r="Z3803">
        <v>1.752083E-3</v>
      </c>
      <c r="AA3803">
        <v>0.9956237</v>
      </c>
      <c r="AB3803">
        <v>31</v>
      </c>
      <c r="AC3803">
        <v>-41.4329999999999</v>
      </c>
      <c r="AD3803">
        <v>-1.110003679571</v>
      </c>
      <c r="AE3803">
        <v>3.1150000000000002</v>
      </c>
      <c r="AF3803">
        <v>3.9105282764371201</v>
      </c>
      <c r="AG3803">
        <v>-1.110003679571</v>
      </c>
      <c r="AH3803">
        <v>41.335733957137897</v>
      </c>
      <c r="AI3803">
        <v>91.531380660633701</v>
      </c>
      <c r="AJ3803">
        <v>84.595671093364501</v>
      </c>
      <c r="AK3803">
        <v>41.535132614989401</v>
      </c>
      <c r="AL3803">
        <v>79.727706918651194</v>
      </c>
      <c r="AM3803">
        <v>89.123126722603303</v>
      </c>
      <c r="AN3803">
        <v>0.99999994337911502</v>
      </c>
    </row>
    <row r="3804" spans="1:40" x14ac:dyDescent="0.25">
      <c r="A3804" t="str">
        <f>"20190312172739442"</f>
        <v>20190312172739442</v>
      </c>
      <c r="B3804" t="str">
        <f>"1552382859432731"</f>
        <v>1552382859432731</v>
      </c>
      <c r="C3804" t="s">
        <v>40</v>
      </c>
      <c r="D3804">
        <v>3.143122</v>
      </c>
      <c r="E3804">
        <v>0.51884160000000001</v>
      </c>
      <c r="F3804" t="s">
        <v>41</v>
      </c>
      <c r="G3804">
        <v>-372.76679999999999</v>
      </c>
      <c r="H3804" s="1">
        <v>-3.9989650000000003E-6</v>
      </c>
      <c r="I3804">
        <v>143.36240000000001</v>
      </c>
      <c r="J3804">
        <v>-330.404</v>
      </c>
      <c r="K3804">
        <v>1.1099829999999999</v>
      </c>
      <c r="L3804">
        <v>141.71010000000001</v>
      </c>
      <c r="M3804">
        <v>-0.99971220000000005</v>
      </c>
      <c r="N3804">
        <v>0</v>
      </c>
      <c r="O3804">
        <v>-1.9240839999999999E-2</v>
      </c>
      <c r="P3804">
        <v>-0.98645629999999995</v>
      </c>
      <c r="Q3804">
        <v>0.163996</v>
      </c>
      <c r="R3804">
        <v>-3.0960419999999998E-3</v>
      </c>
      <c r="S3804">
        <v>-3.0550229999999998</v>
      </c>
      <c r="T3804">
        <v>-7.9476950000000005E-2</v>
      </c>
      <c r="U3804">
        <v>0.11788940000000001</v>
      </c>
      <c r="V3804">
        <v>1.5903790000000001E-2</v>
      </c>
      <c r="W3804">
        <v>0.17811389999999999</v>
      </c>
      <c r="X3804">
        <v>0.98388140000000002</v>
      </c>
      <c r="Y3804">
        <v>5.7755359999999999E-2</v>
      </c>
      <c r="Z3804">
        <v>1.2512090000000001E-3</v>
      </c>
      <c r="AA3804">
        <v>0.99833000000000005</v>
      </c>
      <c r="AB3804">
        <v>31</v>
      </c>
      <c r="AC3804">
        <v>-42.362799999999901</v>
      </c>
      <c r="AD3804">
        <v>-1.109986998965</v>
      </c>
      <c r="AE3804">
        <v>1.6522999999999901</v>
      </c>
      <c r="AF3804">
        <v>2.4654835177260002</v>
      </c>
      <c r="AG3804">
        <v>-1.109986998965</v>
      </c>
      <c r="AH3804">
        <v>42.294168620646602</v>
      </c>
      <c r="AI3804">
        <v>91.500804213449399</v>
      </c>
      <c r="AJ3804">
        <v>86.663792663736501</v>
      </c>
      <c r="AK3804">
        <v>42.3805070690021</v>
      </c>
      <c r="AL3804">
        <v>79.740081475339395</v>
      </c>
      <c r="AM3804">
        <v>89.0739323918949</v>
      </c>
      <c r="AN3804">
        <v>1.00000005058776</v>
      </c>
    </row>
    <row r="3805" spans="1:40" x14ac:dyDescent="0.25">
      <c r="A3805" t="str">
        <f>"20190312172739464"</f>
        <v>20190312172739464</v>
      </c>
      <c r="B3805" t="str">
        <f>"1552382859453227"</f>
        <v>1552382859453227</v>
      </c>
      <c r="C3805" t="s">
        <v>40</v>
      </c>
      <c r="D3805">
        <v>3.0912609999999998</v>
      </c>
      <c r="E3805">
        <v>0.51843640000000002</v>
      </c>
      <c r="F3805" t="s">
        <v>41</v>
      </c>
      <c r="G3805">
        <v>-378.16660000000002</v>
      </c>
      <c r="H3805" s="1">
        <v>-1.822656E-6</v>
      </c>
      <c r="I3805">
        <v>143.57679999999999</v>
      </c>
      <c r="J3805">
        <v>-330.714</v>
      </c>
      <c r="K3805">
        <v>1.1099600000000001</v>
      </c>
      <c r="L3805">
        <v>141.70419999999999</v>
      </c>
      <c r="M3805">
        <v>-0.99971330000000003</v>
      </c>
      <c r="N3805">
        <v>0</v>
      </c>
      <c r="O3805">
        <v>-1.9185600000000001E-2</v>
      </c>
      <c r="P3805">
        <v>-0.98649010000000004</v>
      </c>
      <c r="Q3805">
        <v>0.163804799999999</v>
      </c>
      <c r="R3805">
        <v>-2.3475890000000002E-3</v>
      </c>
      <c r="S3805">
        <v>-3.0533139999999999</v>
      </c>
      <c r="T3805">
        <v>-7.0957899999999893E-2</v>
      </c>
      <c r="U3805">
        <v>0.119339</v>
      </c>
      <c r="V3805">
        <v>1.660472E-2</v>
      </c>
      <c r="W3805">
        <v>0.17791960000000001</v>
      </c>
      <c r="X3805">
        <v>0.98390489999999997</v>
      </c>
      <c r="Y3805">
        <v>5.8200120000000001E-2</v>
      </c>
      <c r="Z3805">
        <v>1.1216290000000001E-3</v>
      </c>
      <c r="AA3805">
        <v>0.99830430000000003</v>
      </c>
      <c r="AB3805">
        <v>31</v>
      </c>
      <c r="AC3805">
        <v>-47.452599999999997</v>
      </c>
      <c r="AD3805">
        <v>-1.109961822656</v>
      </c>
      <c r="AE3805">
        <v>1.8726</v>
      </c>
      <c r="AF3805">
        <v>2.7812359450807</v>
      </c>
      <c r="AG3805">
        <v>-1.109961822656</v>
      </c>
      <c r="AH3805">
        <v>47.382049251499602</v>
      </c>
      <c r="AI3805">
        <v>91.339648295238405</v>
      </c>
      <c r="AJ3805">
        <v>86.640701569548597</v>
      </c>
      <c r="AK3805">
        <v>47.476582437044598</v>
      </c>
      <c r="AL3805">
        <v>79.751393979122099</v>
      </c>
      <c r="AM3805">
        <v>89.033148355896103</v>
      </c>
      <c r="AN3805">
        <v>0.99999997651722305</v>
      </c>
    </row>
    <row r="3806" spans="1:40" x14ac:dyDescent="0.25">
      <c r="A3806" t="str">
        <f>"20190312172739488"</f>
        <v>20190312172739488</v>
      </c>
      <c r="B3806" t="str">
        <f>"1552382859482507"</f>
        <v>1552382859482507</v>
      </c>
      <c r="C3806" t="s">
        <v>40</v>
      </c>
      <c r="D3806">
        <v>3.1009519999999999</v>
      </c>
      <c r="E3806">
        <v>0.5183316</v>
      </c>
      <c r="F3806" t="s">
        <v>41</v>
      </c>
      <c r="G3806">
        <v>-382.23270000000002</v>
      </c>
      <c r="H3806" s="1">
        <v>-4.2411059999999997E-6</v>
      </c>
      <c r="I3806">
        <v>143.70269999999999</v>
      </c>
      <c r="J3806">
        <v>-331.02879999999999</v>
      </c>
      <c r="K3806">
        <v>1.109945</v>
      </c>
      <c r="L3806">
        <v>141.69820000000001</v>
      </c>
      <c r="M3806">
        <v>-0.99971469999999996</v>
      </c>
      <c r="N3806">
        <v>0</v>
      </c>
      <c r="O3806">
        <v>-1.911477E-2</v>
      </c>
      <c r="P3806">
        <v>-0.98653709999999994</v>
      </c>
      <c r="Q3806">
        <v>0.16352929999999999</v>
      </c>
      <c r="R3806">
        <v>-1.6912470000000001E-3</v>
      </c>
      <c r="S3806">
        <v>-3.0522770000000001</v>
      </c>
      <c r="T3806">
        <v>-6.5760970000000002E-2</v>
      </c>
      <c r="U3806">
        <v>0.11840820000000001</v>
      </c>
      <c r="V3806">
        <v>1.719793E-2</v>
      </c>
      <c r="W3806">
        <v>0.1776404</v>
      </c>
      <c r="X3806">
        <v>0.98394519999999996</v>
      </c>
      <c r="Y3806">
        <v>5.7841679999999999E-2</v>
      </c>
      <c r="Z3806">
        <v>1.034475E-3</v>
      </c>
      <c r="AA3806">
        <v>0.99832520000000002</v>
      </c>
      <c r="AB3806">
        <v>31</v>
      </c>
      <c r="AC3806">
        <v>-51.203899999999997</v>
      </c>
      <c r="AD3806">
        <v>-1.1099492411059999</v>
      </c>
      <c r="AE3806">
        <v>2.0044999999999802</v>
      </c>
      <c r="AF3806">
        <v>2.9815859880557301</v>
      </c>
      <c r="AG3806">
        <v>-1.1099492411059999</v>
      </c>
      <c r="AH3806">
        <v>51.132233461779599</v>
      </c>
      <c r="AI3806">
        <v>91.241440544610199</v>
      </c>
      <c r="AJ3806">
        <v>86.662788729432293</v>
      </c>
      <c r="AK3806">
        <v>51.231114970415497</v>
      </c>
      <c r="AL3806">
        <v>79.767650348852499</v>
      </c>
      <c r="AM3806">
        <v>88.998655127828002</v>
      </c>
      <c r="AN3806">
        <v>1.0000000185557401</v>
      </c>
    </row>
    <row r="3807" spans="1:40" x14ac:dyDescent="0.25">
      <c r="A3807" t="str">
        <f>"20190312172739512"</f>
        <v>20190312172739512</v>
      </c>
      <c r="B3807" t="str">
        <f>"1552382859503003"</f>
        <v>1552382859503003</v>
      </c>
      <c r="C3807" t="s">
        <v>40</v>
      </c>
      <c r="D3807">
        <v>3.1213419999999998</v>
      </c>
      <c r="E3807">
        <v>0.51830969999999998</v>
      </c>
      <c r="F3807" t="s">
        <v>41</v>
      </c>
      <c r="G3807">
        <v>-384.9085</v>
      </c>
      <c r="H3807" s="1">
        <v>-3.2816539999999999E-6</v>
      </c>
      <c r="I3807">
        <v>143.80709999999999</v>
      </c>
      <c r="J3807">
        <v>-331.36790000000002</v>
      </c>
      <c r="K3807">
        <v>1.1099399999999999</v>
      </c>
      <c r="L3807">
        <v>141.6919</v>
      </c>
      <c r="M3807">
        <v>-0.99971639999999995</v>
      </c>
      <c r="N3807">
        <v>0</v>
      </c>
      <c r="O3807">
        <v>-1.9023379999999999E-2</v>
      </c>
      <c r="P3807">
        <v>-0.98656710000000003</v>
      </c>
      <c r="Q3807">
        <v>0.16335250000000001</v>
      </c>
      <c r="R3807">
        <v>-1.1658689999999999E-3</v>
      </c>
      <c r="S3807">
        <v>-3.0515750000000001</v>
      </c>
      <c r="T3807">
        <v>-6.2864069999999994E-2</v>
      </c>
      <c r="U3807">
        <v>0.1194458</v>
      </c>
      <c r="V3807">
        <v>1.7637900000000001E-2</v>
      </c>
      <c r="W3807">
        <v>0.17746020000000001</v>
      </c>
      <c r="X3807">
        <v>0.98396989999999995</v>
      </c>
      <c r="Y3807">
        <v>5.809976E-2</v>
      </c>
      <c r="Z3807">
        <v>9.8990969999999999E-4</v>
      </c>
      <c r="AA3807">
        <v>0.99831029999999998</v>
      </c>
      <c r="AB3807">
        <v>31</v>
      </c>
      <c r="AC3807">
        <v>-53.540599999999898</v>
      </c>
      <c r="AD3807">
        <v>-1.109943281654</v>
      </c>
      <c r="AE3807">
        <v>2.1151999999999802</v>
      </c>
      <c r="AF3807">
        <v>3.1321008820760001</v>
      </c>
      <c r="AG3807">
        <v>-1.109943281654</v>
      </c>
      <c r="AH3807">
        <v>53.467723911704901</v>
      </c>
      <c r="AI3807">
        <v>91.187204926047002</v>
      </c>
      <c r="AJ3807">
        <v>86.6474856199589</v>
      </c>
      <c r="AK3807">
        <v>53.570883232613298</v>
      </c>
      <c r="AL3807">
        <v>79.778141454566907</v>
      </c>
      <c r="AM3807">
        <v>88.973069183640703</v>
      </c>
      <c r="AN3807">
        <v>0.99999999110322901</v>
      </c>
    </row>
    <row r="3808" spans="1:40" x14ac:dyDescent="0.25">
      <c r="A3808" t="str">
        <f>"20190312172739535"</f>
        <v>20190312172739535</v>
      </c>
      <c r="B3808" t="str">
        <f>"1552382859523499"</f>
        <v>1552382859523499</v>
      </c>
      <c r="C3808" t="s">
        <v>40</v>
      </c>
      <c r="D3808">
        <v>3.1342430000000001</v>
      </c>
      <c r="E3808">
        <v>0.51820459999999902</v>
      </c>
      <c r="F3808" t="s">
        <v>41</v>
      </c>
      <c r="G3808">
        <v>-385.0061</v>
      </c>
      <c r="H3808" s="1">
        <v>-3.242228E-6</v>
      </c>
      <c r="I3808">
        <v>143.81630000000001</v>
      </c>
      <c r="J3808">
        <v>-331.68189999999998</v>
      </c>
      <c r="K3808">
        <v>1.109936</v>
      </c>
      <c r="L3808">
        <v>141.68600000000001</v>
      </c>
      <c r="M3808">
        <v>-0.99971829999999995</v>
      </c>
      <c r="N3808">
        <v>0</v>
      </c>
      <c r="O3808">
        <v>-1.8930760000000001E-2</v>
      </c>
      <c r="P3808">
        <v>-0.98660740000000002</v>
      </c>
      <c r="Q3808">
        <v>0.16311020000000001</v>
      </c>
      <c r="R3808">
        <v>-1.008723E-3</v>
      </c>
      <c r="S3808">
        <v>-3.051453</v>
      </c>
      <c r="T3808">
        <v>-6.3144210000000006E-2</v>
      </c>
      <c r="U3808">
        <v>0.120864899999999</v>
      </c>
      <c r="V3808">
        <v>1.770656E-2</v>
      </c>
      <c r="W3808">
        <v>0.17721479999999901</v>
      </c>
      <c r="X3808">
        <v>0.98401289999999997</v>
      </c>
      <c r="Y3808">
        <v>5.8472150000000001E-2</v>
      </c>
      <c r="Z3808">
        <v>9.9628629999999998E-4</v>
      </c>
      <c r="AA3808">
        <v>0.99828859999999997</v>
      </c>
      <c r="AB3808">
        <v>31</v>
      </c>
      <c r="AC3808">
        <v>-53.324199999999998</v>
      </c>
      <c r="AD3808">
        <v>-1.1099392422279999</v>
      </c>
      <c r="AE3808">
        <v>2.1303000000000001</v>
      </c>
      <c r="AF3808">
        <v>3.1381317937993698</v>
      </c>
      <c r="AG3808">
        <v>-1.1099392422279999</v>
      </c>
      <c r="AH3808">
        <v>53.251274915690502</v>
      </c>
      <c r="AI3808">
        <v>91.1920002825794</v>
      </c>
      <c r="AJ3808">
        <v>86.627423464223696</v>
      </c>
      <c r="AK3808">
        <v>53.355207022587201</v>
      </c>
      <c r="AL3808">
        <v>79.792428349757898</v>
      </c>
      <c r="AM3808">
        <v>88.969117496404095</v>
      </c>
      <c r="AN3808">
        <v>0.99999999748624102</v>
      </c>
    </row>
    <row r="3809" spans="1:40" x14ac:dyDescent="0.25">
      <c r="A3809" t="str">
        <f>"20190312172739553"</f>
        <v>20190312172739553</v>
      </c>
      <c r="B3809" t="str">
        <f>"1552382859543019"</f>
        <v>1552382859543019</v>
      </c>
      <c r="C3809" t="s">
        <v>40</v>
      </c>
      <c r="D3809">
        <v>3.1086019999999999</v>
      </c>
      <c r="E3809">
        <v>0.51802190000000004</v>
      </c>
      <c r="F3809" t="s">
        <v>41</v>
      </c>
      <c r="G3809">
        <v>-384.25970000000001</v>
      </c>
      <c r="H3809" s="1">
        <v>-3.5473829999999999E-6</v>
      </c>
      <c r="I3809">
        <v>143.75980000000001</v>
      </c>
      <c r="J3809">
        <v>-331.93729999999999</v>
      </c>
      <c r="K3809">
        <v>1.1099289999999999</v>
      </c>
      <c r="L3809">
        <v>141.68119999999999</v>
      </c>
      <c r="M3809">
        <v>-0.99971989999999999</v>
      </c>
      <c r="N3809">
        <v>0</v>
      </c>
      <c r="O3809">
        <v>-1.8852270000000001E-2</v>
      </c>
      <c r="P3809">
        <v>-0.98663040000000002</v>
      </c>
      <c r="Q3809">
        <v>0.16297110000000001</v>
      </c>
      <c r="R3809">
        <v>-8.6544689999999995E-4</v>
      </c>
      <c r="S3809">
        <v>-3.0514830000000002</v>
      </c>
      <c r="T3809">
        <v>-6.4418080000000003E-2</v>
      </c>
      <c r="U3809">
        <v>0.1203613</v>
      </c>
      <c r="V3809">
        <v>1.77737E-2</v>
      </c>
      <c r="W3809">
        <v>0.17707310000000001</v>
      </c>
      <c r="X3809">
        <v>0.98403719999999995</v>
      </c>
      <c r="Y3809">
        <v>5.8228290000000002E-2</v>
      </c>
      <c r="Z3809">
        <v>1.0121450000000001E-3</v>
      </c>
      <c r="AA3809">
        <v>0.99830280000000005</v>
      </c>
      <c r="AB3809">
        <v>31</v>
      </c>
      <c r="AC3809">
        <v>-52.322400000000002</v>
      </c>
      <c r="AD3809">
        <v>-1.109932547383</v>
      </c>
      <c r="AE3809">
        <v>2.0786000000000202</v>
      </c>
      <c r="AF3809">
        <v>3.0633511547223402</v>
      </c>
      <c r="AG3809">
        <v>-1.109932547383</v>
      </c>
      <c r="AH3809">
        <v>52.250433093342103</v>
      </c>
      <c r="AI3809">
        <v>91.214840109812599</v>
      </c>
      <c r="AJ3809">
        <v>86.644689895571503</v>
      </c>
      <c r="AK3809">
        <v>52.351922877757801</v>
      </c>
      <c r="AL3809">
        <v>79.800677640734804</v>
      </c>
      <c r="AM3809">
        <v>88.965234976760797</v>
      </c>
      <c r="AN3809">
        <v>0.99999999906956905</v>
      </c>
    </row>
    <row r="3810" spans="1:40" x14ac:dyDescent="0.25">
      <c r="A3810" t="str">
        <f>"20190312172739576"</f>
        <v>20190312172739576</v>
      </c>
      <c r="B3810" t="str">
        <f>"1552382859562540"</f>
        <v>1552382859562540</v>
      </c>
      <c r="C3810" t="s">
        <v>40</v>
      </c>
      <c r="D3810">
        <v>3.1095959999999998</v>
      </c>
      <c r="E3810">
        <v>0.51780899999999996</v>
      </c>
      <c r="F3810" t="s">
        <v>41</v>
      </c>
      <c r="G3810">
        <v>-385.1216</v>
      </c>
      <c r="H3810" s="1">
        <v>-3.1791740000000001E-6</v>
      </c>
      <c r="I3810">
        <v>143.7655</v>
      </c>
      <c r="J3810">
        <v>-332.2441</v>
      </c>
      <c r="K3810">
        <v>1.1099319999999999</v>
      </c>
      <c r="L3810">
        <v>141.6755</v>
      </c>
      <c r="M3810">
        <v>-0.99972159999999999</v>
      </c>
      <c r="N3810">
        <v>0</v>
      </c>
      <c r="O3810">
        <v>-1.8757079999999999E-2</v>
      </c>
      <c r="P3810">
        <v>-0.9865254</v>
      </c>
      <c r="Q3810">
        <v>0.16360669999999999</v>
      </c>
      <c r="R3810">
        <v>-6.5986979999999897E-4</v>
      </c>
      <c r="S3810">
        <v>-3.0512700000000001</v>
      </c>
      <c r="T3810">
        <v>-6.3678739999999998E-2</v>
      </c>
      <c r="U3810">
        <v>0.1195831</v>
      </c>
      <c r="V3810">
        <v>1.7884589999999999E-2</v>
      </c>
      <c r="W3810">
        <v>0.17770420000000001</v>
      </c>
      <c r="X3810">
        <v>0.98392139999999995</v>
      </c>
      <c r="Y3810">
        <v>5.788227E-2</v>
      </c>
      <c r="Z3810">
        <v>9.950108E-4</v>
      </c>
      <c r="AA3810">
        <v>0.99832290000000001</v>
      </c>
      <c r="AB3810">
        <v>31</v>
      </c>
      <c r="AC3810">
        <v>-52.877499999999998</v>
      </c>
      <c r="AD3810">
        <v>-1.109935179174</v>
      </c>
      <c r="AE3810">
        <v>2.09</v>
      </c>
      <c r="AF3810">
        <v>3.08020630545077</v>
      </c>
      <c r="AG3810">
        <v>-1.109935179174</v>
      </c>
      <c r="AH3810">
        <v>52.805758664199701</v>
      </c>
      <c r="AI3810">
        <v>91.202091830740599</v>
      </c>
      <c r="AJ3810">
        <v>86.661669617119102</v>
      </c>
      <c r="AK3810">
        <v>52.907161850621002</v>
      </c>
      <c r="AL3810">
        <v>79.763935393006903</v>
      </c>
      <c r="AM3810">
        <v>88.958657984733705</v>
      </c>
      <c r="AN3810">
        <v>0.99999998131753298</v>
      </c>
    </row>
    <row r="3811" spans="1:40" x14ac:dyDescent="0.25">
      <c r="A3811" t="str">
        <f>"20190312172739598"</f>
        <v>20190312172739598</v>
      </c>
      <c r="B3811" t="str">
        <f>"1552382859592795"</f>
        <v>1552382859592795</v>
      </c>
      <c r="C3811" t="s">
        <v>40</v>
      </c>
      <c r="D3811">
        <v>3.1382750000000001</v>
      </c>
      <c r="E3811">
        <v>0.51761590000000002</v>
      </c>
      <c r="F3811" t="s">
        <v>41</v>
      </c>
      <c r="G3811">
        <v>-387.78390000000002</v>
      </c>
      <c r="H3811" s="1">
        <v>-2.052736E-6</v>
      </c>
      <c r="I3811">
        <v>143.8244</v>
      </c>
      <c r="J3811">
        <v>-332.5514</v>
      </c>
      <c r="K3811">
        <v>1.1099300000000001</v>
      </c>
      <c r="L3811">
        <v>141.66990000000001</v>
      </c>
      <c r="M3811">
        <v>-0.99972349999999999</v>
      </c>
      <c r="N3811">
        <v>0</v>
      </c>
      <c r="O3811">
        <v>-1.866321E-2</v>
      </c>
      <c r="P3811">
        <v>-0.98653639999999998</v>
      </c>
      <c r="Q3811">
        <v>0.163540299999999</v>
      </c>
      <c r="R3811">
        <v>-7.5673570000000005E-4</v>
      </c>
      <c r="S3811">
        <v>-3.0511780000000002</v>
      </c>
      <c r="T3811">
        <v>-6.0976269999999999E-2</v>
      </c>
      <c r="U3811">
        <v>0.1180573</v>
      </c>
      <c r="V3811">
        <v>1.769621E-2</v>
      </c>
      <c r="W3811">
        <v>0.17763429999999999</v>
      </c>
      <c r="X3811">
        <v>0.98393739999999996</v>
      </c>
      <c r="Y3811">
        <v>5.7292709999999997E-2</v>
      </c>
      <c r="Z3811">
        <v>9.4506560000000002E-4</v>
      </c>
      <c r="AA3811">
        <v>0.99835700000000005</v>
      </c>
      <c r="AB3811">
        <v>31</v>
      </c>
      <c r="AC3811">
        <v>-55.232500000000002</v>
      </c>
      <c r="AD3811">
        <v>-1.1099320527359999</v>
      </c>
      <c r="AE3811">
        <v>2.1544999999999801</v>
      </c>
      <c r="AF3811">
        <v>3.1837621273997199</v>
      </c>
      <c r="AG3811">
        <v>-1.1099320527359999</v>
      </c>
      <c r="AH3811">
        <v>55.160422191413602</v>
      </c>
      <c r="AI3811">
        <v>91.150829097769204</v>
      </c>
      <c r="AJ3811">
        <v>86.696653816773605</v>
      </c>
      <c r="AK3811">
        <v>55.263373646390299</v>
      </c>
      <c r="AL3811">
        <v>79.768004831227898</v>
      </c>
      <c r="AM3811">
        <v>88.969640908380597</v>
      </c>
      <c r="AN3811">
        <v>0.99999995375180595</v>
      </c>
    </row>
    <row r="3812" spans="1:40" x14ac:dyDescent="0.25">
      <c r="A3812" t="str">
        <f>"20190312172739621"</f>
        <v>20190312172739621</v>
      </c>
      <c r="B3812" t="str">
        <f>"1552382859613291"</f>
        <v>1552382859613291</v>
      </c>
      <c r="C3812" t="s">
        <v>40</v>
      </c>
      <c r="D3812">
        <v>3.1566169999999998</v>
      </c>
      <c r="E3812">
        <v>0.5175535</v>
      </c>
      <c r="F3812" t="s">
        <v>41</v>
      </c>
      <c r="G3812">
        <v>-388.8449</v>
      </c>
      <c r="H3812" s="1">
        <v>-1.5954669999999999E-6</v>
      </c>
      <c r="I3812">
        <v>143.81649999999999</v>
      </c>
      <c r="J3812">
        <v>-332.86149999999998</v>
      </c>
      <c r="K3812">
        <v>1.109926</v>
      </c>
      <c r="L3812">
        <v>141.66419999999999</v>
      </c>
      <c r="M3812">
        <v>-0.99972519999999998</v>
      </c>
      <c r="N3812">
        <v>0</v>
      </c>
      <c r="O3812">
        <v>-1.857031E-2</v>
      </c>
      <c r="P3812">
        <v>-0.98653860000000004</v>
      </c>
      <c r="Q3812">
        <v>0.16352630000000001</v>
      </c>
      <c r="R3812">
        <v>-8.896752E-4</v>
      </c>
      <c r="S3812">
        <v>-3.050964</v>
      </c>
      <c r="T3812">
        <v>-6.0155510000000002E-2</v>
      </c>
      <c r="U3812">
        <v>0.1163483</v>
      </c>
      <c r="V3812">
        <v>1.747216E-2</v>
      </c>
      <c r="W3812">
        <v>0.177617</v>
      </c>
      <c r="X3812">
        <v>0.98394459999999995</v>
      </c>
      <c r="Y3812">
        <v>5.6644760000000002E-2</v>
      </c>
      <c r="Z3812">
        <v>9.2420619999999997E-4</v>
      </c>
      <c r="AA3812">
        <v>0.998394</v>
      </c>
      <c r="AB3812">
        <v>31</v>
      </c>
      <c r="AC3812">
        <v>-55.983400000000003</v>
      </c>
      <c r="AD3812">
        <v>-1.109927595467</v>
      </c>
      <c r="AE3812">
        <v>2.1522999999999901</v>
      </c>
      <c r="AF3812">
        <v>3.1904120664798699</v>
      </c>
      <c r="AG3812">
        <v>-1.109927595467</v>
      </c>
      <c r="AH3812">
        <v>55.911826235394201</v>
      </c>
      <c r="AI3812">
        <v>91.135405161612496</v>
      </c>
      <c r="AJ3812">
        <v>86.734158967069305</v>
      </c>
      <c r="AK3812">
        <v>56.013774925441702</v>
      </c>
      <c r="AL3812">
        <v>79.769012806776701</v>
      </c>
      <c r="AM3812">
        <v>88.982690868473</v>
      </c>
      <c r="AN3812">
        <v>1.0000000254666099</v>
      </c>
    </row>
    <row r="3813" spans="1:40" x14ac:dyDescent="0.25">
      <c r="A3813" t="str">
        <f>"20190312172739642"</f>
        <v>20190312172739642</v>
      </c>
      <c r="B3813" t="str">
        <f>"1552382859632811"</f>
        <v>1552382859632811</v>
      </c>
      <c r="C3813" t="s">
        <v>40</v>
      </c>
      <c r="D3813">
        <v>3.1426470000000002</v>
      </c>
      <c r="E3813">
        <v>0.51766679999999998</v>
      </c>
      <c r="F3813" t="s">
        <v>41</v>
      </c>
      <c r="G3813">
        <v>-389.25139999999999</v>
      </c>
      <c r="H3813" s="1">
        <v>-1.4178199999999999E-6</v>
      </c>
      <c r="I3813">
        <v>143.80430000000001</v>
      </c>
      <c r="J3813">
        <v>-333.15570000000002</v>
      </c>
      <c r="K3813">
        <v>1.1099270000000001</v>
      </c>
      <c r="L3813">
        <v>141.65880000000001</v>
      </c>
      <c r="M3813">
        <v>-0.99972689999999997</v>
      </c>
      <c r="N3813">
        <v>0</v>
      </c>
      <c r="O3813">
        <v>-1.8483139999999999E-2</v>
      </c>
      <c r="P3813">
        <v>-0.98657280000000003</v>
      </c>
      <c r="Q3813">
        <v>0.16331709999999999</v>
      </c>
      <c r="R3813">
        <v>-1.1639039999999999E-3</v>
      </c>
      <c r="S3813">
        <v>-3.0510250000000001</v>
      </c>
      <c r="T3813">
        <v>-6.0053589999999997E-2</v>
      </c>
      <c r="U3813">
        <v>0.115799</v>
      </c>
      <c r="V3813">
        <v>1.7112619999999999E-2</v>
      </c>
      <c r="W3813">
        <v>0.17740529999999999</v>
      </c>
      <c r="X3813">
        <v>0.98398909999999995</v>
      </c>
      <c r="Y3813">
        <v>5.6377579999999997E-2</v>
      </c>
      <c r="Z3813">
        <v>9.1828159999999995E-4</v>
      </c>
      <c r="AA3813">
        <v>0.99840910000000005</v>
      </c>
      <c r="AB3813">
        <v>31</v>
      </c>
      <c r="AC3813">
        <v>-56.095699999999901</v>
      </c>
      <c r="AD3813">
        <v>-1.10992841782</v>
      </c>
      <c r="AE3813">
        <v>2.14549999999999</v>
      </c>
      <c r="AF3813">
        <v>3.1808206519654698</v>
      </c>
      <c r="AG3813">
        <v>-1.10992841782</v>
      </c>
      <c r="AH3813">
        <v>56.024554175647097</v>
      </c>
      <c r="AI3813">
        <v>91.133140411966707</v>
      </c>
      <c r="AJ3813">
        <v>86.750493475451293</v>
      </c>
      <c r="AK3813">
        <v>56.125753729394702</v>
      </c>
      <c r="AL3813">
        <v>79.781337960832502</v>
      </c>
      <c r="AM3813">
        <v>89.003665719680299</v>
      </c>
      <c r="AN3813">
        <v>1.0000000155750799</v>
      </c>
    </row>
    <row r="3814" spans="1:40" x14ac:dyDescent="0.25">
      <c r="A3814" t="str">
        <f>"20190312172739665"</f>
        <v>20190312172739665</v>
      </c>
      <c r="B3814" t="str">
        <f>"1552382859653308"</f>
        <v>1552382859653308</v>
      </c>
      <c r="C3814" t="s">
        <v>40</v>
      </c>
      <c r="D3814">
        <v>3.1630639999999999</v>
      </c>
      <c r="E3814">
        <v>0.51760499999999998</v>
      </c>
      <c r="F3814" t="s">
        <v>41</v>
      </c>
      <c r="G3814">
        <v>-388.24489999999997</v>
      </c>
      <c r="H3814" s="1">
        <v>-1.836344E-6</v>
      </c>
      <c r="I3814">
        <v>143.75450000000001</v>
      </c>
      <c r="J3814">
        <v>-333.46800000000002</v>
      </c>
      <c r="K3814">
        <v>1.109928</v>
      </c>
      <c r="L3814">
        <v>141.65309999999999</v>
      </c>
      <c r="M3814">
        <v>-0.99972870000000003</v>
      </c>
      <c r="N3814">
        <v>0</v>
      </c>
      <c r="O3814">
        <v>-1.8391089999999999E-2</v>
      </c>
      <c r="P3814">
        <v>-0.98657530000000004</v>
      </c>
      <c r="Q3814">
        <v>0.16330510000000001</v>
      </c>
      <c r="R3814">
        <v>-8.5696350000000004E-4</v>
      </c>
      <c r="S3814">
        <v>-3.0511170000000001</v>
      </c>
      <c r="T3814">
        <v>-6.1473489999999999E-2</v>
      </c>
      <c r="U3814">
        <v>0.1160736</v>
      </c>
      <c r="V3814">
        <v>1.732908E-2</v>
      </c>
      <c r="W3814">
        <v>0.177390299999999</v>
      </c>
      <c r="X3814">
        <v>0.98398799999999997</v>
      </c>
      <c r="Y3814">
        <v>5.637358E-2</v>
      </c>
      <c r="Z3814">
        <v>9.3806499999999997E-4</v>
      </c>
      <c r="AA3814">
        <v>0.99840930000000006</v>
      </c>
      <c r="AB3814">
        <v>31</v>
      </c>
      <c r="AC3814">
        <v>-54.776899999999898</v>
      </c>
      <c r="AD3814">
        <v>-1.109929836344</v>
      </c>
      <c r="AE3814">
        <v>2.1014000000000101</v>
      </c>
      <c r="AF3814">
        <v>3.1072804264806</v>
      </c>
      <c r="AG3814">
        <v>-1.109929836344</v>
      </c>
      <c r="AH3814">
        <v>54.706554358774</v>
      </c>
      <c r="AI3814">
        <v>91.160432784927494</v>
      </c>
      <c r="AJ3814">
        <v>86.749146930893502</v>
      </c>
      <c r="AK3814">
        <v>54.805968887520699</v>
      </c>
      <c r="AL3814">
        <v>79.7822110860847</v>
      </c>
      <c r="AM3814">
        <v>88.991064404787807</v>
      </c>
      <c r="AN3814">
        <v>0.99999999984586796</v>
      </c>
    </row>
    <row r="3815" spans="1:40" x14ac:dyDescent="0.25">
      <c r="A3815" t="str">
        <f>"20190312172739689"</f>
        <v>20190312172739689</v>
      </c>
      <c r="B3815" t="str">
        <f>"1552382859683564"</f>
        <v>1552382859683564</v>
      </c>
      <c r="C3815" t="s">
        <v>40</v>
      </c>
      <c r="D3815">
        <v>3.1301260000000002</v>
      </c>
      <c r="E3815">
        <v>0.51773990000000003</v>
      </c>
      <c r="F3815" t="s">
        <v>41</v>
      </c>
      <c r="G3815">
        <v>-388.88279999999997</v>
      </c>
      <c r="H3815" s="1">
        <v>-1.5672340000000001E-6</v>
      </c>
      <c r="I3815">
        <v>143.7715</v>
      </c>
      <c r="J3815">
        <v>-333.77859999999998</v>
      </c>
      <c r="K3815">
        <v>1.109928</v>
      </c>
      <c r="L3815">
        <v>141.64750000000001</v>
      </c>
      <c r="M3815">
        <v>-0.99973029999999996</v>
      </c>
      <c r="N3815">
        <v>0</v>
      </c>
      <c r="O3815">
        <v>-1.829975E-2</v>
      </c>
      <c r="P3815">
        <v>-0.98651149999999999</v>
      </c>
      <c r="Q3815">
        <v>0.1636889</v>
      </c>
      <c r="R3815">
        <v>-9.6208090000000001E-4</v>
      </c>
      <c r="S3815">
        <v>-3.051056</v>
      </c>
      <c r="T3815">
        <v>-6.1111209999999999E-2</v>
      </c>
      <c r="U3815">
        <v>0.1166382</v>
      </c>
      <c r="V3815">
        <v>1.713261E-2</v>
      </c>
      <c r="W3815">
        <v>0.1777695</v>
      </c>
      <c r="X3815">
        <v>0.98392299999999999</v>
      </c>
      <c r="Y3815">
        <v>5.6467789999999997E-2</v>
      </c>
      <c r="Z3815">
        <v>9.3166760000000005E-4</v>
      </c>
      <c r="AA3815">
        <v>0.99840399999999996</v>
      </c>
      <c r="AB3815">
        <v>30</v>
      </c>
      <c r="AC3815">
        <v>-55.104199999999899</v>
      </c>
      <c r="AD3815">
        <v>-1.1099295672339999</v>
      </c>
      <c r="AE3815">
        <v>2.1239999999999899</v>
      </c>
      <c r="AF3815">
        <v>3.1308720765338598</v>
      </c>
      <c r="AG3815">
        <v>-1.1099295672339999</v>
      </c>
      <c r="AH3815">
        <v>55.033803092412803</v>
      </c>
      <c r="AI3815">
        <v>91.153528126309794</v>
      </c>
      <c r="AJ3815">
        <v>86.743953797389594</v>
      </c>
      <c r="AK3815">
        <v>55.133962186825499</v>
      </c>
      <c r="AL3815">
        <v>79.7601335928819</v>
      </c>
      <c r="AM3815">
        <v>89.002435094624104</v>
      </c>
      <c r="AN3815">
        <v>0.999999995692331</v>
      </c>
    </row>
    <row r="3816" spans="1:40" x14ac:dyDescent="0.25">
      <c r="A3816" t="str">
        <f>"20190312172739711"</f>
        <v>20190312172739711</v>
      </c>
      <c r="B3816" t="str">
        <f>"1552382859703083"</f>
        <v>1552382859703083</v>
      </c>
      <c r="C3816" t="s">
        <v>40</v>
      </c>
      <c r="D3816">
        <v>3.1270690000000001</v>
      </c>
      <c r="E3816">
        <v>0.51782629999999996</v>
      </c>
      <c r="F3816" t="s">
        <v>41</v>
      </c>
      <c r="G3816">
        <v>-389.37990000000002</v>
      </c>
      <c r="H3816" s="1">
        <v>-1.3583049999999999E-6</v>
      </c>
      <c r="I3816">
        <v>143.78790000000001</v>
      </c>
      <c r="J3816">
        <v>-334.0881</v>
      </c>
      <c r="K3816">
        <v>1.109934</v>
      </c>
      <c r="L3816">
        <v>141.642</v>
      </c>
      <c r="M3816">
        <v>-0.99973219999999996</v>
      </c>
      <c r="N3816">
        <v>0</v>
      </c>
      <c r="O3816">
        <v>-1.82089E-2</v>
      </c>
      <c r="P3816">
        <v>-0.98648309999999995</v>
      </c>
      <c r="Q3816">
        <v>0.16386319999999999</v>
      </c>
      <c r="R3816">
        <v>-3.165989E-4</v>
      </c>
      <c r="S3816">
        <v>-3.0512389999999998</v>
      </c>
      <c r="T3816">
        <v>-6.0909749999999999E-2</v>
      </c>
      <c r="U3816">
        <v>0.1174622</v>
      </c>
      <c r="V3816">
        <v>1.7687850000000001E-2</v>
      </c>
      <c r="W3816">
        <v>0.17793979999999901</v>
      </c>
      <c r="X3816">
        <v>0.98388240000000005</v>
      </c>
      <c r="Y3816">
        <v>5.6644060000000003E-2</v>
      </c>
      <c r="Z3816">
        <v>9.2848189999999997E-4</v>
      </c>
      <c r="AA3816">
        <v>0.998394</v>
      </c>
      <c r="AB3816">
        <v>30</v>
      </c>
      <c r="AC3816">
        <v>-55.291800000000002</v>
      </c>
      <c r="AD3816">
        <v>-1.109935358305</v>
      </c>
      <c r="AE3816">
        <v>2.1459000000000099</v>
      </c>
      <c r="AF3816">
        <v>3.15118176948971</v>
      </c>
      <c r="AG3816">
        <v>-1.109935358305</v>
      </c>
      <c r="AH3816">
        <v>55.2213333848226</v>
      </c>
      <c r="AI3816">
        <v>91.149606426805406</v>
      </c>
      <c r="AJ3816">
        <v>86.733982891348802</v>
      </c>
      <c r="AK3816">
        <v>55.322306205017398</v>
      </c>
      <c r="AL3816">
        <v>79.7502181293451</v>
      </c>
      <c r="AM3816">
        <v>88.970070004737906</v>
      </c>
      <c r="AN3816">
        <v>1.00000000474571</v>
      </c>
    </row>
    <row r="3817" spans="1:40" x14ac:dyDescent="0.25">
      <c r="A3817" t="str">
        <f>"20190312172739735"</f>
        <v>20190312172739735</v>
      </c>
      <c r="B3817" t="str">
        <f>"1552382859723579"</f>
        <v>1552382859723579</v>
      </c>
      <c r="C3817" t="s">
        <v>40</v>
      </c>
      <c r="D3817">
        <v>3.1522549999999998</v>
      </c>
      <c r="E3817">
        <v>0.51214269999999995</v>
      </c>
      <c r="F3817" t="s">
        <v>41</v>
      </c>
      <c r="G3817">
        <v>-389.28640000000001</v>
      </c>
      <c r="H3817" s="1">
        <v>-1.4050819999999901E-6</v>
      </c>
      <c r="I3817">
        <v>143.81280000000001</v>
      </c>
      <c r="J3817">
        <v>-334.40890000000002</v>
      </c>
      <c r="K3817">
        <v>1.109937</v>
      </c>
      <c r="L3817">
        <v>141.6362</v>
      </c>
      <c r="M3817">
        <v>-0.99973389999999995</v>
      </c>
      <c r="N3817">
        <v>0</v>
      </c>
      <c r="O3817">
        <v>-1.811482E-2</v>
      </c>
      <c r="P3817">
        <v>-0.98648550000000002</v>
      </c>
      <c r="Q3817">
        <v>0.1638492</v>
      </c>
      <c r="R3817">
        <v>-2.6059800000000001E-4</v>
      </c>
      <c r="S3817">
        <v>-3.0513309999999998</v>
      </c>
      <c r="T3817">
        <v>-6.135666E-2</v>
      </c>
      <c r="U3817">
        <v>0.1200104</v>
      </c>
      <c r="V3817">
        <v>1.7650909999999999E-2</v>
      </c>
      <c r="W3817">
        <v>0.177922</v>
      </c>
      <c r="X3817">
        <v>0.98388629999999999</v>
      </c>
      <c r="Y3817">
        <v>5.7381109999999999E-2</v>
      </c>
      <c r="Z3817">
        <v>9.4076619999999996E-4</v>
      </c>
      <c r="AA3817">
        <v>0.99835189999999996</v>
      </c>
      <c r="AB3817">
        <v>30</v>
      </c>
      <c r="AC3817">
        <v>-54.877499999999998</v>
      </c>
      <c r="AD3817">
        <v>-1.109938405082</v>
      </c>
      <c r="AE3817">
        <v>2.1766000000000001</v>
      </c>
      <c r="AF3817">
        <v>3.1691458144239699</v>
      </c>
      <c r="AG3817">
        <v>-1.109938405082</v>
      </c>
      <c r="AH3817">
        <v>54.806675604455499</v>
      </c>
      <c r="AI3817">
        <v>91.158254611756703</v>
      </c>
      <c r="AJ3817">
        <v>86.690609202649895</v>
      </c>
      <c r="AK3817">
        <v>54.909444900382702</v>
      </c>
      <c r="AL3817">
        <v>79.751254711040005</v>
      </c>
      <c r="AM3817">
        <v>88.972224562197795</v>
      </c>
      <c r="AN3817">
        <v>1.0000000220177501</v>
      </c>
    </row>
    <row r="3818" spans="1:40" x14ac:dyDescent="0.25">
      <c r="A3818" t="str">
        <f>"20190312172739755"</f>
        <v>20190312172739755</v>
      </c>
      <c r="B3818" t="str">
        <f>"1552382859743100"</f>
        <v>1552382859743100</v>
      </c>
      <c r="C3818" t="s">
        <v>40</v>
      </c>
      <c r="D3818">
        <v>3.168866</v>
      </c>
      <c r="E3818">
        <v>0.51228909999999905</v>
      </c>
      <c r="F3818" t="s">
        <v>41</v>
      </c>
      <c r="G3818">
        <v>-374.36340000000001</v>
      </c>
      <c r="H3818" s="1">
        <v>-3.1958890000000001E-6</v>
      </c>
      <c r="I3818">
        <v>142.60589999999999</v>
      </c>
      <c r="J3818">
        <v>-334.68189999999998</v>
      </c>
      <c r="K3818">
        <v>1.1099380000000001</v>
      </c>
      <c r="L3818">
        <v>141.63140000000001</v>
      </c>
      <c r="M3818">
        <v>-0.99973529999999999</v>
      </c>
      <c r="N3818">
        <v>0</v>
      </c>
      <c r="O3818">
        <v>-1.8034459999999999E-2</v>
      </c>
      <c r="P3818">
        <v>-0.98655029999999999</v>
      </c>
      <c r="Q3818">
        <v>0.16345760000000001</v>
      </c>
      <c r="R3818">
        <v>-3.7299050000000003E-4</v>
      </c>
      <c r="S3818">
        <v>-3.0552060000000001</v>
      </c>
      <c r="T3818">
        <v>-8.4874030000000003E-2</v>
      </c>
      <c r="U3818">
        <v>7.4157710000000002E-2</v>
      </c>
      <c r="V3818">
        <v>1.7460549999999998E-2</v>
      </c>
      <c r="W3818">
        <v>0.1775292</v>
      </c>
      <c r="X3818">
        <v>0.98396059999999996</v>
      </c>
      <c r="Y3818">
        <v>4.2269210000000002E-2</v>
      </c>
      <c r="Z3818">
        <v>1.08781E-3</v>
      </c>
      <c r="AA3818">
        <v>0.99910569999999999</v>
      </c>
      <c r="AB3818">
        <v>30</v>
      </c>
      <c r="AC3818">
        <v>-39.6815</v>
      </c>
      <c r="AD3818">
        <v>-1.109941195889</v>
      </c>
      <c r="AE3818">
        <v>0.97449999999997705</v>
      </c>
      <c r="AF3818">
        <v>1.68872849323713</v>
      </c>
      <c r="AG3818">
        <v>-1.109941195889</v>
      </c>
      <c r="AH3818">
        <v>39.626484029643997</v>
      </c>
      <c r="AI3818">
        <v>91.602985960139705</v>
      </c>
      <c r="AJ3818">
        <v>87.559750584564696</v>
      </c>
      <c r="AK3818">
        <v>39.677978904347398</v>
      </c>
      <c r="AL3818">
        <v>79.774124093363199</v>
      </c>
      <c r="AM3818">
        <v>88.983383241709902</v>
      </c>
      <c r="AN3818">
        <v>0.99999997500564997</v>
      </c>
    </row>
    <row r="3819" spans="1:40" x14ac:dyDescent="0.25">
      <c r="A3819" t="str">
        <f>"20190312172739777"</f>
        <v>20190312172739777</v>
      </c>
      <c r="B3819" t="str">
        <f>"1552382859773356"</f>
        <v>1552382859773356</v>
      </c>
      <c r="C3819" t="s">
        <v>40</v>
      </c>
      <c r="D3819">
        <v>3.30918</v>
      </c>
      <c r="E3819">
        <v>0.51174710000000001</v>
      </c>
      <c r="F3819" t="s">
        <v>41</v>
      </c>
      <c r="G3819">
        <v>-373.77640000000002</v>
      </c>
      <c r="H3819" s="1">
        <v>-3.4453260000000002E-6</v>
      </c>
      <c r="I3819">
        <v>142.59700000000001</v>
      </c>
      <c r="J3819">
        <v>-334.97179999999997</v>
      </c>
      <c r="K3819">
        <v>1.109936</v>
      </c>
      <c r="L3819">
        <v>141.62620000000001</v>
      </c>
      <c r="M3819">
        <v>-0.99973690000000004</v>
      </c>
      <c r="N3819">
        <v>0</v>
      </c>
      <c r="O3819">
        <v>-1.794921E-2</v>
      </c>
      <c r="P3819">
        <v>-0.98652930000000005</v>
      </c>
      <c r="Q3819">
        <v>0.16358589999999901</v>
      </c>
      <c r="R3819">
        <v>-2.2908809999999999E-4</v>
      </c>
      <c r="S3819">
        <v>-3.0552670000000002</v>
      </c>
      <c r="T3819">
        <v>-8.6742879999999994E-2</v>
      </c>
      <c r="U3819">
        <v>7.5469969999999997E-2</v>
      </c>
      <c r="V3819">
        <v>1.7520029999999999E-2</v>
      </c>
      <c r="W3819">
        <v>0.17765359999999999</v>
      </c>
      <c r="X3819">
        <v>0.98393710000000001</v>
      </c>
      <c r="Y3819">
        <v>4.2611259999999998E-2</v>
      </c>
      <c r="Z3819">
        <v>1.114159E-3</v>
      </c>
      <c r="AA3819">
        <v>0.99909110000000001</v>
      </c>
      <c r="AB3819">
        <v>30</v>
      </c>
      <c r="AC3819">
        <v>-38.804600000000001</v>
      </c>
      <c r="AD3819">
        <v>-1.1099394453260001</v>
      </c>
      <c r="AE3819">
        <v>0.970799999999997</v>
      </c>
      <c r="AF3819">
        <v>1.6658644544742001</v>
      </c>
      <c r="AG3819">
        <v>-1.1099394453260001</v>
      </c>
      <c r="AH3819">
        <v>38.749237629723197</v>
      </c>
      <c r="AI3819">
        <v>91.639227662320494</v>
      </c>
      <c r="AJ3819">
        <v>87.538318914741694</v>
      </c>
      <c r="AK3819">
        <v>38.800908324905599</v>
      </c>
      <c r="AL3819">
        <v>79.766881472468995</v>
      </c>
      <c r="AM3819">
        <v>88.979896472139004</v>
      </c>
      <c r="AN3819">
        <v>0.99999998490028497</v>
      </c>
    </row>
    <row r="3820" spans="1:40" x14ac:dyDescent="0.25">
      <c r="A3820" t="str">
        <f>"20190312172739799"</f>
        <v>20190312172739799</v>
      </c>
      <c r="B3820" t="str">
        <f>"1552382859792878"</f>
        <v>1552382859792878</v>
      </c>
      <c r="C3820" t="s">
        <v>40</v>
      </c>
      <c r="D3820">
        <v>3.1687029999999998</v>
      </c>
      <c r="E3820">
        <v>0.51161840000000003</v>
      </c>
      <c r="F3820" t="s">
        <v>41</v>
      </c>
      <c r="G3820">
        <v>-375.99900000000002</v>
      </c>
      <c r="H3820" s="1">
        <v>-2.4916029999999999E-6</v>
      </c>
      <c r="I3820">
        <v>142.59610000000001</v>
      </c>
      <c r="J3820">
        <v>-335.28480000000002</v>
      </c>
      <c r="K3820">
        <v>1.109931</v>
      </c>
      <c r="L3820">
        <v>141.6207</v>
      </c>
      <c r="M3820">
        <v>-0.99973880000000004</v>
      </c>
      <c r="N3820">
        <v>0</v>
      </c>
      <c r="O3820">
        <v>-1.7857520000000002E-2</v>
      </c>
      <c r="P3820">
        <v>-0.98649419999999999</v>
      </c>
      <c r="Q3820">
        <v>0.16379739999999901</v>
      </c>
      <c r="R3820">
        <v>5.0230559999999997E-4</v>
      </c>
      <c r="S3820">
        <v>-3.0546570000000002</v>
      </c>
      <c r="T3820">
        <v>-8.263993E-2</v>
      </c>
      <c r="U3820">
        <v>7.2219850000000002E-2</v>
      </c>
      <c r="V3820">
        <v>1.816015E-2</v>
      </c>
      <c r="W3820">
        <v>0.17786099999999999</v>
      </c>
      <c r="X3820">
        <v>0.98388799999999998</v>
      </c>
      <c r="Y3820">
        <v>4.1464819999999999E-2</v>
      </c>
      <c r="Z3820">
        <v>1.0437210000000001E-3</v>
      </c>
      <c r="AA3820">
        <v>0.99913940000000001</v>
      </c>
      <c r="AB3820">
        <v>30</v>
      </c>
      <c r="AC3820">
        <v>-40.714199999999998</v>
      </c>
      <c r="AD3820">
        <v>-1.1099334916029999</v>
      </c>
      <c r="AE3820">
        <v>0.97540000000000704</v>
      </c>
      <c r="AF3820">
        <v>1.70110951223187</v>
      </c>
      <c r="AG3820">
        <v>-1.1099334916029999</v>
      </c>
      <c r="AH3820">
        <v>40.660085476573698</v>
      </c>
      <c r="AI3820">
        <v>91.562298067228994</v>
      </c>
      <c r="AJ3820">
        <v>87.604294558749004</v>
      </c>
      <c r="AK3820">
        <v>40.710788212593798</v>
      </c>
      <c r="AL3820">
        <v>79.754805775449597</v>
      </c>
      <c r="AM3820">
        <v>88.942581050838001</v>
      </c>
      <c r="AN3820">
        <v>0.99999996145651004</v>
      </c>
    </row>
    <row r="3821" spans="1:40" x14ac:dyDescent="0.25">
      <c r="A3821" t="str">
        <f>"20190312172739822"</f>
        <v>20190312172739822</v>
      </c>
      <c r="B3821" t="str">
        <f>"1552382859813381"</f>
        <v>1552382859813381</v>
      </c>
      <c r="C3821" t="s">
        <v>40</v>
      </c>
      <c r="D3821">
        <v>3.1682489999999999</v>
      </c>
      <c r="E3821">
        <v>0.51151919999999995</v>
      </c>
      <c r="F3821" t="s">
        <v>41</v>
      </c>
      <c r="G3821">
        <v>-377.88</v>
      </c>
      <c r="H3821" s="1">
        <v>-1.6959670000000001E-6</v>
      </c>
      <c r="I3821">
        <v>142.6386</v>
      </c>
      <c r="J3821">
        <v>-335.58850000000001</v>
      </c>
      <c r="K3821">
        <v>1.109931</v>
      </c>
      <c r="L3821">
        <v>141.61539999999999</v>
      </c>
      <c r="M3821">
        <v>-0.99974039999999997</v>
      </c>
      <c r="N3821">
        <v>0</v>
      </c>
      <c r="O3821">
        <v>-1.776846E-2</v>
      </c>
      <c r="P3821">
        <v>-0.98656259999999996</v>
      </c>
      <c r="Q3821">
        <v>0.1633821</v>
      </c>
      <c r="R3821">
        <v>1.0846670000000001E-3</v>
      </c>
      <c r="S3821">
        <v>-3.0542600000000002</v>
      </c>
      <c r="T3821">
        <v>-7.9586859999999995E-2</v>
      </c>
      <c r="U3821">
        <v>7.2998049999999995E-2</v>
      </c>
      <c r="V3821">
        <v>1.865555E-2</v>
      </c>
      <c r="W3821">
        <v>0.17744289999999999</v>
      </c>
      <c r="X3821">
        <v>0.98395429999999995</v>
      </c>
      <c r="Y3821">
        <v>4.1634839999999999E-2</v>
      </c>
      <c r="Z3821">
        <v>1.005197E-3</v>
      </c>
      <c r="AA3821">
        <v>0.99913240000000003</v>
      </c>
      <c r="AB3821">
        <v>30</v>
      </c>
      <c r="AC3821">
        <v>-42.2914999999999</v>
      </c>
      <c r="AD3821">
        <v>-1.1099326959669999</v>
      </c>
      <c r="AE3821">
        <v>1.0232000000000001</v>
      </c>
      <c r="AF3821">
        <v>1.7733489478583599</v>
      </c>
      <c r="AG3821">
        <v>-1.1099326959669999</v>
      </c>
      <c r="AH3821">
        <v>42.2375636686699</v>
      </c>
      <c r="AI3821">
        <v>91.503966687328102</v>
      </c>
      <c r="AJ3821">
        <v>87.595842114934797</v>
      </c>
      <c r="AK3821">
        <v>42.2893426497196</v>
      </c>
      <c r="AL3821">
        <v>79.779149144898597</v>
      </c>
      <c r="AM3821">
        <v>88.913815175388194</v>
      </c>
      <c r="AN3821">
        <v>1.00000003839735</v>
      </c>
    </row>
    <row r="3822" spans="1:40" x14ac:dyDescent="0.25">
      <c r="A3822" t="str">
        <f>"20190312172739844"</f>
        <v>20190312172739844</v>
      </c>
      <c r="B3822" t="str">
        <f>"1552382859832892"</f>
        <v>1552382859832892</v>
      </c>
      <c r="C3822" t="s">
        <v>40</v>
      </c>
      <c r="D3822">
        <v>3.1734369999999998</v>
      </c>
      <c r="E3822">
        <v>0.51131800000000005</v>
      </c>
      <c r="F3822" t="s">
        <v>41</v>
      </c>
      <c r="G3822">
        <v>-377.88729999999998</v>
      </c>
      <c r="H3822" s="1">
        <v>-1.6937180000000001E-6</v>
      </c>
      <c r="I3822">
        <v>142.64189999999999</v>
      </c>
      <c r="J3822">
        <v>-335.8818</v>
      </c>
      <c r="K3822">
        <v>1.1099239999999999</v>
      </c>
      <c r="L3822">
        <v>141.61019999999999</v>
      </c>
      <c r="M3822">
        <v>-0.99974180000000001</v>
      </c>
      <c r="N3822">
        <v>0</v>
      </c>
      <c r="O3822">
        <v>-1.7682130000000001E-2</v>
      </c>
      <c r="P3822">
        <v>-0.98657830000000002</v>
      </c>
      <c r="Q3822">
        <v>0.1632808</v>
      </c>
      <c r="R3822">
        <v>1.6263499999999999E-3</v>
      </c>
      <c r="S3822">
        <v>-3.0540769999999999</v>
      </c>
      <c r="T3822">
        <v>-8.0139879999999997E-2</v>
      </c>
      <c r="U3822">
        <v>7.4127199999999893E-2</v>
      </c>
      <c r="V3822">
        <v>1.9112130000000001E-2</v>
      </c>
      <c r="W3822">
        <v>0.17733869999999999</v>
      </c>
      <c r="X3822">
        <v>0.98396430000000001</v>
      </c>
      <c r="Y3822">
        <v>4.1918839999999999E-2</v>
      </c>
      <c r="Z3822">
        <v>1.0136959999999999E-3</v>
      </c>
      <c r="AA3822">
        <v>0.99912049999999997</v>
      </c>
      <c r="AB3822">
        <v>30</v>
      </c>
      <c r="AC3822">
        <v>-42.005499999999898</v>
      </c>
      <c r="AD3822">
        <v>-1.109925693718</v>
      </c>
      <c r="AE3822">
        <v>1.0317000000000001</v>
      </c>
      <c r="AF3822">
        <v>1.77312379673862</v>
      </c>
      <c r="AG3822">
        <v>-1.109925693718</v>
      </c>
      <c r="AH3822">
        <v>41.9514144395961</v>
      </c>
      <c r="AI3822">
        <v>91.514193002095197</v>
      </c>
      <c r="AJ3822">
        <v>87.579769826402398</v>
      </c>
      <c r="AK3822">
        <v>42.003536476431201</v>
      </c>
      <c r="AL3822">
        <v>79.785215342746596</v>
      </c>
      <c r="AM3822">
        <v>88.887249561547193</v>
      </c>
      <c r="AN3822">
        <v>1.0000000158526501</v>
      </c>
    </row>
    <row r="3823" spans="1:40" x14ac:dyDescent="0.25">
      <c r="A3823" t="str">
        <f>"20190312172739866"</f>
        <v>20190312172739866</v>
      </c>
      <c r="B3823" t="str">
        <f>"1552382859863147"</f>
        <v>1552382859863147</v>
      </c>
      <c r="C3823" t="s">
        <v>40</v>
      </c>
      <c r="D3823">
        <v>3.210296</v>
      </c>
      <c r="E3823">
        <v>0.51110319999999998</v>
      </c>
      <c r="F3823" t="s">
        <v>41</v>
      </c>
      <c r="G3823">
        <v>-377.70920000000001</v>
      </c>
      <c r="H3823" s="1">
        <v>-1.7674659999999999E-6</v>
      </c>
      <c r="I3823">
        <v>142.6319</v>
      </c>
      <c r="J3823">
        <v>-336.17899999999997</v>
      </c>
      <c r="K3823">
        <v>1.109931</v>
      </c>
      <c r="L3823">
        <v>141.60509999999999</v>
      </c>
      <c r="M3823">
        <v>-0.99974350000000001</v>
      </c>
      <c r="N3823">
        <v>0</v>
      </c>
      <c r="O3823">
        <v>-1.7594619999999998E-2</v>
      </c>
      <c r="P3823">
        <v>-0.98661189999999999</v>
      </c>
      <c r="Q3823">
        <v>0.16307569999999999</v>
      </c>
      <c r="R3823">
        <v>1.9233659999999999E-3</v>
      </c>
      <c r="S3823">
        <v>-3.0540769999999999</v>
      </c>
      <c r="T3823">
        <v>-8.1042649999999994E-2</v>
      </c>
      <c r="U3823">
        <v>7.4600219999999995E-2</v>
      </c>
      <c r="V3823">
        <v>1.9323280000000002E-2</v>
      </c>
      <c r="W3823">
        <v>0.1771308</v>
      </c>
      <c r="X3823">
        <v>0.98399760000000003</v>
      </c>
      <c r="Y3823">
        <v>4.198557E-2</v>
      </c>
      <c r="Z3823">
        <v>1.0236729999999999E-3</v>
      </c>
      <c r="AA3823">
        <v>0.9991177</v>
      </c>
      <c r="AB3823">
        <v>30</v>
      </c>
      <c r="AC3823">
        <v>-41.530199999999901</v>
      </c>
      <c r="AD3823">
        <v>-1.109932767466</v>
      </c>
      <c r="AE3823">
        <v>1.0267999999999999</v>
      </c>
      <c r="AF3823">
        <v>1.7561697989152001</v>
      </c>
      <c r="AG3823">
        <v>-1.109932767466</v>
      </c>
      <c r="AH3823">
        <v>41.476094707110803</v>
      </c>
      <c r="AI3823">
        <v>91.531542439126696</v>
      </c>
      <c r="AJ3823">
        <v>87.575445543688502</v>
      </c>
      <c r="AK3823">
        <v>41.528093084852102</v>
      </c>
      <c r="AL3823">
        <v>79.7973185146475</v>
      </c>
      <c r="AM3823">
        <v>88.874997147779894</v>
      </c>
      <c r="AN3823">
        <v>0.99999999313217902</v>
      </c>
    </row>
    <row r="3824" spans="1:40" x14ac:dyDescent="0.25">
      <c r="A3824" t="str">
        <f>"20190312172739890"</f>
        <v>20190312172739890</v>
      </c>
      <c r="B3824" t="str">
        <f>"1552382859882667"</f>
        <v>1552382859882667</v>
      </c>
      <c r="C3824" t="s">
        <v>40</v>
      </c>
      <c r="D3824">
        <v>3.216059</v>
      </c>
      <c r="E3824">
        <v>0.51101339999999995</v>
      </c>
      <c r="F3824" t="s">
        <v>41</v>
      </c>
      <c r="G3824">
        <v>-377.5677</v>
      </c>
      <c r="H3824" s="1">
        <v>-1.822187E-6</v>
      </c>
      <c r="I3824">
        <v>142.60939999999999</v>
      </c>
      <c r="J3824">
        <v>-336.4966</v>
      </c>
      <c r="K3824">
        <v>1.109931</v>
      </c>
      <c r="L3824">
        <v>141.59960000000001</v>
      </c>
      <c r="M3824">
        <v>-0.99974510000000005</v>
      </c>
      <c r="N3824">
        <v>0</v>
      </c>
      <c r="O3824">
        <v>-1.7500910000000001E-2</v>
      </c>
      <c r="P3824">
        <v>-0.98669689999999999</v>
      </c>
      <c r="Q3824">
        <v>0.1625586</v>
      </c>
      <c r="R3824">
        <v>1.9891190000000001E-3</v>
      </c>
      <c r="S3824">
        <v>-3.0540769999999999</v>
      </c>
      <c r="T3824">
        <v>-8.1902150000000007E-2</v>
      </c>
      <c r="U3824">
        <v>7.4111940000000001E-2</v>
      </c>
      <c r="V3824">
        <v>1.929761E-2</v>
      </c>
      <c r="W3824">
        <v>0.17661170000000001</v>
      </c>
      <c r="X3824">
        <v>0.98409139999999995</v>
      </c>
      <c r="Y3824">
        <v>4.1731949999999997E-2</v>
      </c>
      <c r="Z3824">
        <v>1.0286150000000001E-3</v>
      </c>
      <c r="AA3824">
        <v>0.99912829999999997</v>
      </c>
      <c r="AB3824">
        <v>30</v>
      </c>
      <c r="AC3824">
        <v>-41.071100000000001</v>
      </c>
      <c r="AD3824">
        <v>-1.109932822187</v>
      </c>
      <c r="AE3824">
        <v>1.00979999999998</v>
      </c>
      <c r="AF3824">
        <v>1.72723937281749</v>
      </c>
      <c r="AG3824">
        <v>-1.109932822187</v>
      </c>
      <c r="AH3824">
        <v>41.0171962548363</v>
      </c>
      <c r="AI3824">
        <v>91.548684152985999</v>
      </c>
      <c r="AJ3824">
        <v>87.588692028085902</v>
      </c>
      <c r="AK3824">
        <v>41.068548736576197</v>
      </c>
      <c r="AL3824">
        <v>79.827537118333595</v>
      </c>
      <c r="AM3824">
        <v>88.876598335137899</v>
      </c>
      <c r="AN3824">
        <v>0.99999998694128001</v>
      </c>
    </row>
    <row r="3825" spans="1:40" x14ac:dyDescent="0.25">
      <c r="A3825" t="str">
        <f>"20190312172739912"</f>
        <v>20190312172739912</v>
      </c>
      <c r="B3825" t="str">
        <f>"1552382859903164"</f>
        <v>1552382859903164</v>
      </c>
      <c r="C3825" t="s">
        <v>40</v>
      </c>
      <c r="D3825">
        <v>3.2023190000000001</v>
      </c>
      <c r="E3825">
        <v>0.51104470000000002</v>
      </c>
      <c r="F3825" t="s">
        <v>41</v>
      </c>
      <c r="G3825">
        <v>-376.75940000000003</v>
      </c>
      <c r="H3825" s="1">
        <v>-2.1580829999999999E-6</v>
      </c>
      <c r="I3825">
        <v>142.5686</v>
      </c>
      <c r="J3825">
        <v>-336.80009999999999</v>
      </c>
      <c r="K3825">
        <v>1.1099330000000001</v>
      </c>
      <c r="L3825">
        <v>141.59440000000001</v>
      </c>
      <c r="M3825">
        <v>-0.99974689999999999</v>
      </c>
      <c r="N3825">
        <v>0</v>
      </c>
      <c r="O3825">
        <v>-1.7411719999999999E-2</v>
      </c>
      <c r="P3825">
        <v>-0.98673270000000002</v>
      </c>
      <c r="Q3825">
        <v>0.1623416</v>
      </c>
      <c r="R3825">
        <v>2.0526770000000001E-3</v>
      </c>
      <c r="S3825">
        <v>-3.0541990000000001</v>
      </c>
      <c r="T3825">
        <v>-8.4195729999999996E-2</v>
      </c>
      <c r="U3825">
        <v>7.3516849999999995E-2</v>
      </c>
      <c r="V3825">
        <v>1.927386E-2</v>
      </c>
      <c r="W3825">
        <v>0.1763921</v>
      </c>
      <c r="X3825">
        <v>0.98413130000000004</v>
      </c>
      <c r="Y3825">
        <v>4.1446219999999999E-2</v>
      </c>
      <c r="Z3825">
        <v>1.050975E-3</v>
      </c>
      <c r="AA3825">
        <v>0.99914020000000003</v>
      </c>
      <c r="AB3825">
        <v>30</v>
      </c>
      <c r="AC3825">
        <v>-39.959299999999999</v>
      </c>
      <c r="AD3825">
        <v>-1.1099351580829999</v>
      </c>
      <c r="AE3825">
        <v>0.97419999999999596</v>
      </c>
      <c r="AF3825">
        <v>1.66859642075711</v>
      </c>
      <c r="AG3825">
        <v>-1.1099351580829999</v>
      </c>
      <c r="AH3825">
        <v>39.905506423302398</v>
      </c>
      <c r="AI3825">
        <v>91.591828690762995</v>
      </c>
      <c r="AJ3825">
        <v>87.605646881510907</v>
      </c>
      <c r="AK3825">
        <v>39.955795736923299</v>
      </c>
      <c r="AL3825">
        <v>79.840320453262294</v>
      </c>
      <c r="AM3825">
        <v>88.878026055833601</v>
      </c>
      <c r="AN3825">
        <v>1.0000000351306899</v>
      </c>
    </row>
    <row r="3826" spans="1:40" x14ac:dyDescent="0.25">
      <c r="A3826" t="str">
        <f>"20190312172739937"</f>
        <v>20190312172739937</v>
      </c>
      <c r="B3826" t="str">
        <f>"1552382859933420"</f>
        <v>1552382859933420</v>
      </c>
      <c r="C3826" t="s">
        <v>40</v>
      </c>
      <c r="D3826">
        <v>3.2141389999999999</v>
      </c>
      <c r="E3826">
        <v>0.51098270000000001</v>
      </c>
      <c r="F3826" t="s">
        <v>41</v>
      </c>
      <c r="G3826">
        <v>-376.041</v>
      </c>
      <c r="H3826" s="1">
        <v>-2.4584309999999998E-6</v>
      </c>
      <c r="I3826">
        <v>142.53919999999999</v>
      </c>
      <c r="J3826">
        <v>-337.1277</v>
      </c>
      <c r="K3826">
        <v>1.1099300000000001</v>
      </c>
      <c r="L3826">
        <v>141.58879999999999</v>
      </c>
      <c r="M3826">
        <v>-0.99974839999999998</v>
      </c>
      <c r="N3826">
        <v>0</v>
      </c>
      <c r="O3826">
        <v>-1.731514E-2</v>
      </c>
      <c r="P3826">
        <v>-0.98678259999999995</v>
      </c>
      <c r="Q3826">
        <v>0.16203339999999999</v>
      </c>
      <c r="R3826">
        <v>2.3060289999999998E-3</v>
      </c>
      <c r="S3826">
        <v>-3.0544129999999998</v>
      </c>
      <c r="T3826">
        <v>-8.6394670000000007E-2</v>
      </c>
      <c r="U3826">
        <v>7.3547360000000006E-2</v>
      </c>
      <c r="V3826">
        <v>1.943247E-2</v>
      </c>
      <c r="W3826">
        <v>0.1760804</v>
      </c>
      <c r="X3826">
        <v>0.98418399999999995</v>
      </c>
      <c r="Y3826">
        <v>4.135689E-2</v>
      </c>
      <c r="Z3826">
        <v>1.074343E-3</v>
      </c>
      <c r="AA3826">
        <v>0.99914380000000003</v>
      </c>
      <c r="AB3826">
        <v>30</v>
      </c>
      <c r="AC3826">
        <v>-38.9132999999999</v>
      </c>
      <c r="AD3826">
        <v>-1.109932458431</v>
      </c>
      <c r="AE3826">
        <v>0.95040000000000202</v>
      </c>
      <c r="AF3826">
        <v>1.6227957576933301</v>
      </c>
      <c r="AG3826">
        <v>-1.109932458431</v>
      </c>
      <c r="AH3826">
        <v>38.8594108634477</v>
      </c>
      <c r="AI3826">
        <v>91.6346574211329</v>
      </c>
      <c r="AJ3826">
        <v>87.608678264894607</v>
      </c>
      <c r="AK3826">
        <v>38.909114983351998</v>
      </c>
      <c r="AL3826">
        <v>79.858463543583099</v>
      </c>
      <c r="AM3826">
        <v>88.868855963665396</v>
      </c>
      <c r="AN3826">
        <v>1.00000003700522</v>
      </c>
    </row>
    <row r="3827" spans="1:40" x14ac:dyDescent="0.25">
      <c r="A3827" t="str">
        <f>"20190312172739955"</f>
        <v>20190312172739955</v>
      </c>
      <c r="B3827" t="str">
        <f>"1552382859943180"</f>
        <v>1552382859943180</v>
      </c>
      <c r="C3827" t="s">
        <v>40</v>
      </c>
      <c r="D3827">
        <v>3.2213159999999998</v>
      </c>
      <c r="E3827">
        <v>0.5109475</v>
      </c>
      <c r="F3827" t="s">
        <v>41</v>
      </c>
      <c r="G3827">
        <v>-375.51299999999998</v>
      </c>
      <c r="H3827" s="1">
        <v>-2.679343E-6</v>
      </c>
      <c r="I3827">
        <v>142.5181</v>
      </c>
      <c r="J3827">
        <v>-337.37810000000002</v>
      </c>
      <c r="K3827">
        <v>1.1099270000000001</v>
      </c>
      <c r="L3827">
        <v>141.58449999999999</v>
      </c>
      <c r="M3827">
        <v>-0.99974980000000002</v>
      </c>
      <c r="N3827">
        <v>0</v>
      </c>
      <c r="O3827">
        <v>-1.724146E-2</v>
      </c>
      <c r="P3827">
        <v>-0.98686779999999996</v>
      </c>
      <c r="Q3827">
        <v>0.1615182</v>
      </c>
      <c r="R3827">
        <v>2.0106780000000001E-3</v>
      </c>
      <c r="S3827">
        <v>-3.0545040000000001</v>
      </c>
      <c r="T3827">
        <v>-8.8322880000000006E-2</v>
      </c>
      <c r="U3827">
        <v>7.3959349999999993E-2</v>
      </c>
      <c r="V3827">
        <v>1.9065909999999998E-2</v>
      </c>
      <c r="W3827">
        <v>0.17556449999999901</v>
      </c>
      <c r="X3827">
        <v>0.98428329999999997</v>
      </c>
      <c r="Y3827">
        <v>4.141616E-2</v>
      </c>
      <c r="Z3827">
        <v>1.097003E-3</v>
      </c>
      <c r="AA3827">
        <v>0.99914139999999996</v>
      </c>
      <c r="AB3827">
        <v>30</v>
      </c>
      <c r="AC3827">
        <v>-38.134900000000002</v>
      </c>
      <c r="AD3827">
        <v>-1.109929679343</v>
      </c>
      <c r="AE3827">
        <v>0.93360000000001198</v>
      </c>
      <c r="AF3827">
        <v>1.5896834707435501</v>
      </c>
      <c r="AG3827">
        <v>-1.109929679343</v>
      </c>
      <c r="AH3827">
        <v>38.0808922041168</v>
      </c>
      <c r="AI3827">
        <v>91.668054283766395</v>
      </c>
      <c r="AJ3827">
        <v>87.609580661380804</v>
      </c>
      <c r="AK3827">
        <v>38.130216213546497</v>
      </c>
      <c r="AL3827">
        <v>79.888489903787104</v>
      </c>
      <c r="AM3827">
        <v>88.890299591389706</v>
      </c>
      <c r="AN3827">
        <v>1.0000000086216301</v>
      </c>
    </row>
    <row r="3828" spans="1:40" x14ac:dyDescent="0.25">
      <c r="A3828" t="str">
        <f>"20190312172739979"</f>
        <v>20190312172739979</v>
      </c>
      <c r="B3828" t="str">
        <f>"1552382859973436"</f>
        <v>1552382859973436</v>
      </c>
      <c r="C3828" t="s">
        <v>40</v>
      </c>
      <c r="D3828">
        <v>3.2313580000000002</v>
      </c>
      <c r="E3828">
        <v>0.51084300000000005</v>
      </c>
      <c r="F3828" t="s">
        <v>41</v>
      </c>
      <c r="G3828">
        <v>-375.03829999999999</v>
      </c>
      <c r="H3828" s="1">
        <v>-2.8728900000000002E-6</v>
      </c>
      <c r="I3828">
        <v>142.48009999999999</v>
      </c>
      <c r="J3828">
        <v>-337.6866</v>
      </c>
      <c r="K3828">
        <v>1.1099289999999999</v>
      </c>
      <c r="L3828">
        <v>141.57929999999999</v>
      </c>
      <c r="M3828">
        <v>-0.99975139999999996</v>
      </c>
      <c r="N3828">
        <v>0</v>
      </c>
      <c r="O3828">
        <v>-1.7150490000000001E-2</v>
      </c>
      <c r="P3828">
        <v>-0.98688770000000003</v>
      </c>
      <c r="Q3828">
        <v>0.1613927</v>
      </c>
      <c r="R3828">
        <v>2.2985530000000001E-3</v>
      </c>
      <c r="S3828">
        <v>-3.0544739999999999</v>
      </c>
      <c r="T3828">
        <v>-9.0022329999999998E-2</v>
      </c>
      <c r="U3828">
        <v>7.2647089999999998E-2</v>
      </c>
      <c r="V3828">
        <v>1.9264199999999999E-2</v>
      </c>
      <c r="W3828">
        <v>0.17543539999999999</v>
      </c>
      <c r="X3828">
        <v>0.98430249999999997</v>
      </c>
      <c r="Y3828">
        <v>4.0895790000000001E-2</v>
      </c>
      <c r="Z3828">
        <v>1.1077719999999999E-3</v>
      </c>
      <c r="AA3828">
        <v>0.99916280000000002</v>
      </c>
      <c r="AB3828">
        <v>30</v>
      </c>
      <c r="AC3828">
        <v>-37.351700000000001</v>
      </c>
      <c r="AD3828">
        <v>-1.1099318728899901</v>
      </c>
      <c r="AE3828">
        <v>0.90080000000000304</v>
      </c>
      <c r="AF3828">
        <v>1.5399734296282701</v>
      </c>
      <c r="AG3828">
        <v>-1.1099318728899901</v>
      </c>
      <c r="AH3828">
        <v>37.297838752759802</v>
      </c>
      <c r="AI3828">
        <v>91.703089572851894</v>
      </c>
      <c r="AJ3828">
        <v>87.635683635436394</v>
      </c>
      <c r="AK3828">
        <v>37.346114156004099</v>
      </c>
      <c r="AL3828">
        <v>79.896003827503094</v>
      </c>
      <c r="AM3828">
        <v>88.878783239781399</v>
      </c>
      <c r="AN3828">
        <v>1.00000005024052</v>
      </c>
    </row>
    <row r="3829" spans="1:40" x14ac:dyDescent="0.25">
      <c r="A3829" t="str">
        <f>"20190312172740000"</f>
        <v>20190312172740000</v>
      </c>
      <c r="B3829" t="str">
        <f>"1552382859992956"</f>
        <v>1552382859992956</v>
      </c>
      <c r="C3829" t="s">
        <v>40</v>
      </c>
      <c r="D3829">
        <v>3.2238000000000002</v>
      </c>
      <c r="E3829">
        <v>0.51080479999999995</v>
      </c>
      <c r="F3829" t="s">
        <v>41</v>
      </c>
      <c r="G3829">
        <v>-375.10300000000001</v>
      </c>
      <c r="H3829" s="1">
        <v>-2.8429529999999999E-6</v>
      </c>
      <c r="I3829">
        <v>142.47190000000001</v>
      </c>
      <c r="J3829">
        <v>-337.98079999999999</v>
      </c>
      <c r="K3829">
        <v>1.1099250000000001</v>
      </c>
      <c r="L3829">
        <v>141.5744</v>
      </c>
      <c r="M3829">
        <v>-0.99975290000000006</v>
      </c>
      <c r="N3829">
        <v>0</v>
      </c>
      <c r="O3829">
        <v>-1.7064159999999998E-2</v>
      </c>
      <c r="P3829">
        <v>-0.98688419999999999</v>
      </c>
      <c r="Q3829">
        <v>0.16141349999999999</v>
      </c>
      <c r="R3829">
        <v>2.3372879999999999E-3</v>
      </c>
      <c r="S3829">
        <v>-3.054443</v>
      </c>
      <c r="T3829">
        <v>-9.060812E-2</v>
      </c>
      <c r="U3829">
        <v>7.2875980000000007E-2</v>
      </c>
      <c r="V3829">
        <v>1.921761E-2</v>
      </c>
      <c r="W3829">
        <v>0.17545329999999901</v>
      </c>
      <c r="X3829">
        <v>0.98430019999999996</v>
      </c>
      <c r="Y3829">
        <v>4.0884299999999998E-2</v>
      </c>
      <c r="Z3829">
        <v>1.112257E-3</v>
      </c>
      <c r="AA3829">
        <v>0.99916329999999998</v>
      </c>
      <c r="AB3829">
        <v>30</v>
      </c>
      <c r="AC3829">
        <v>-37.122199999999999</v>
      </c>
      <c r="AD3829">
        <v>-1.109927842953</v>
      </c>
      <c r="AE3829">
        <v>0.89750000000000696</v>
      </c>
      <c r="AF3829">
        <v>1.5295261968870999</v>
      </c>
      <c r="AG3829">
        <v>-1.109927842953</v>
      </c>
      <c r="AH3829">
        <v>37.068358571101598</v>
      </c>
      <c r="AI3829">
        <v>91.713622305662597</v>
      </c>
      <c r="AJ3829">
        <v>87.637183989809003</v>
      </c>
      <c r="AK3829">
        <v>37.116500338249701</v>
      </c>
      <c r="AL3829">
        <v>79.894961871916095</v>
      </c>
      <c r="AM3829">
        <v>88.881491572656401</v>
      </c>
      <c r="AN3829">
        <v>1.0000000303675201</v>
      </c>
    </row>
    <row r="3830" spans="1:40" x14ac:dyDescent="0.25">
      <c r="A3830" t="str">
        <f>"20190312172740023"</f>
        <v>20190312172740023</v>
      </c>
      <c r="B3830" t="str">
        <f>"1552382860013452"</f>
        <v>1552382860013452</v>
      </c>
      <c r="C3830" t="s">
        <v>40</v>
      </c>
      <c r="D3830">
        <v>3.2840660000000002</v>
      </c>
      <c r="E3830">
        <v>0.51074849999999905</v>
      </c>
      <c r="F3830" t="s">
        <v>41</v>
      </c>
      <c r="G3830">
        <v>-375.28149999999999</v>
      </c>
      <c r="H3830" s="1">
        <v>-2.7633720000000002E-6</v>
      </c>
      <c r="I3830">
        <v>142.4607</v>
      </c>
      <c r="J3830">
        <v>-338.27730000000003</v>
      </c>
      <c r="K3830">
        <v>1.1099270000000001</v>
      </c>
      <c r="L3830">
        <v>141.5694</v>
      </c>
      <c r="M3830">
        <v>-0.99975440000000004</v>
      </c>
      <c r="N3830">
        <v>0</v>
      </c>
      <c r="O3830">
        <v>-1.6976769999999999E-2</v>
      </c>
      <c r="P3830">
        <v>-0.98690049999999996</v>
      </c>
      <c r="Q3830">
        <v>0.16131429999999999</v>
      </c>
      <c r="R3830">
        <v>2.3043120000000002E-3</v>
      </c>
      <c r="S3830">
        <v>-3.054535</v>
      </c>
      <c r="T3830">
        <v>-9.0891479999999997E-2</v>
      </c>
      <c r="U3830">
        <v>7.2586059999999994E-2</v>
      </c>
      <c r="V3830">
        <v>1.9098460000000001E-2</v>
      </c>
      <c r="W3830">
        <v>0.1753509</v>
      </c>
      <c r="X3830">
        <v>0.9843208</v>
      </c>
      <c r="Y3830">
        <v>4.0701429999999997E-2</v>
      </c>
      <c r="Z3830">
        <v>1.110382E-3</v>
      </c>
      <c r="AA3830">
        <v>0.99917069999999997</v>
      </c>
      <c r="AB3830">
        <v>30</v>
      </c>
      <c r="AC3830">
        <v>-37.004199999999898</v>
      </c>
      <c r="AD3830">
        <v>-1.109929763372</v>
      </c>
      <c r="AE3830">
        <v>0.89130000000000098</v>
      </c>
      <c r="AF3830">
        <v>1.5180820679253899</v>
      </c>
      <c r="AG3830">
        <v>-1.109929763372</v>
      </c>
      <c r="AH3830">
        <v>36.950508672702099</v>
      </c>
      <c r="AI3830">
        <v>91.719100006568993</v>
      </c>
      <c r="AJ3830">
        <v>87.647371847814497</v>
      </c>
      <c r="AK3830">
        <v>36.998332508587602</v>
      </c>
      <c r="AL3830">
        <v>79.900921686238902</v>
      </c>
      <c r="AM3830">
        <v>88.888447884481195</v>
      </c>
      <c r="AN3830">
        <v>1.0000000633088999</v>
      </c>
    </row>
    <row r="3831" spans="1:40" x14ac:dyDescent="0.25">
      <c r="A3831" t="str">
        <f>"20190312172740044"</f>
        <v>20190312172740044</v>
      </c>
      <c r="B3831" t="str">
        <f>"1552382860032972"</f>
        <v>1552382860032972</v>
      </c>
      <c r="C3831" t="s">
        <v>40</v>
      </c>
      <c r="D3831">
        <v>3.256532</v>
      </c>
      <c r="E3831">
        <v>0.51069240000000005</v>
      </c>
      <c r="F3831" t="s">
        <v>41</v>
      </c>
      <c r="G3831">
        <v>-375.39830000000001</v>
      </c>
      <c r="H3831" s="1">
        <v>-2.7098490000000002E-6</v>
      </c>
      <c r="I3831">
        <v>142.4479</v>
      </c>
      <c r="J3831">
        <v>-338.56950000000001</v>
      </c>
      <c r="K3831">
        <v>1.1099319999999999</v>
      </c>
      <c r="L3831">
        <v>141.56450000000001</v>
      </c>
      <c r="M3831">
        <v>-0.99975599999999998</v>
      </c>
      <c r="N3831">
        <v>0</v>
      </c>
      <c r="O3831">
        <v>-1.689092E-2</v>
      </c>
      <c r="P3831">
        <v>-0.98688750000000003</v>
      </c>
      <c r="Q3831">
        <v>0.1613908</v>
      </c>
      <c r="R3831">
        <v>2.4934850000000001E-3</v>
      </c>
      <c r="S3831">
        <v>-3.054535</v>
      </c>
      <c r="T3831">
        <v>-9.1331480000000007E-2</v>
      </c>
      <c r="U3831">
        <v>7.2296139999999995E-2</v>
      </c>
      <c r="V3831">
        <v>1.920268E-2</v>
      </c>
      <c r="W3831">
        <v>0.17542460000000001</v>
      </c>
      <c r="X3831">
        <v>0.9843056</v>
      </c>
      <c r="Y3831">
        <v>4.0520710000000001E-2</v>
      </c>
      <c r="Z3831">
        <v>1.1104890000000001E-3</v>
      </c>
      <c r="AA3831">
        <v>0.99917809999999996</v>
      </c>
      <c r="AB3831">
        <v>30</v>
      </c>
      <c r="AC3831">
        <v>-36.828800000000001</v>
      </c>
      <c r="AD3831">
        <v>-1.109934709849</v>
      </c>
      <c r="AE3831">
        <v>0.88339999999999397</v>
      </c>
      <c r="AF3831">
        <v>1.50404399118785</v>
      </c>
      <c r="AG3831">
        <v>-1.109934709849</v>
      </c>
      <c r="AH3831">
        <v>36.775238917595402</v>
      </c>
      <c r="AI3831">
        <v>91.727309064400401</v>
      </c>
      <c r="AJ3831">
        <v>87.658006420537802</v>
      </c>
      <c r="AK3831">
        <v>36.822714468569202</v>
      </c>
      <c r="AL3831">
        <v>79.896632098390498</v>
      </c>
      <c r="AM3831">
        <v>88.882366441903002</v>
      </c>
      <c r="AN3831">
        <v>1.0000000236978499</v>
      </c>
    </row>
    <row r="3832" spans="1:40" x14ac:dyDescent="0.25">
      <c r="A3832" t="str">
        <f>"20190312172740067"</f>
        <v>20190312172740067</v>
      </c>
      <c r="B3832" t="str">
        <f>"1552382860063228"</f>
        <v>1552382860063228</v>
      </c>
      <c r="C3832" t="s">
        <v>40</v>
      </c>
      <c r="D3832">
        <v>3.302467</v>
      </c>
      <c r="E3832">
        <v>0.51065119999999997</v>
      </c>
      <c r="F3832" t="s">
        <v>41</v>
      </c>
      <c r="G3832">
        <v>-375.8091</v>
      </c>
      <c r="H3832" s="1">
        <v>-2.534468E-6</v>
      </c>
      <c r="I3832">
        <v>142.45099999999999</v>
      </c>
      <c r="J3832">
        <v>-338.8623</v>
      </c>
      <c r="K3832">
        <v>1.109934</v>
      </c>
      <c r="L3832">
        <v>141.55969999999999</v>
      </c>
      <c r="M3832">
        <v>-0.99975740000000002</v>
      </c>
      <c r="N3832">
        <v>0</v>
      </c>
      <c r="O3832">
        <v>-1.6804360000000001E-2</v>
      </c>
      <c r="P3832">
        <v>-0.98693180000000003</v>
      </c>
      <c r="Q3832">
        <v>0.16111800000000001</v>
      </c>
      <c r="R3832">
        <v>2.5893079999999998E-3</v>
      </c>
      <c r="S3832">
        <v>-3.0545650000000002</v>
      </c>
      <c r="T3832">
        <v>-9.1042040000000005E-2</v>
      </c>
      <c r="U3832">
        <v>7.2723389999999999E-2</v>
      </c>
      <c r="V3832">
        <v>1.9213620000000001E-2</v>
      </c>
      <c r="W3832">
        <v>0.17514859999999999</v>
      </c>
      <c r="X3832">
        <v>0.98435450000000002</v>
      </c>
      <c r="Y3832">
        <v>4.0573829999999998E-2</v>
      </c>
      <c r="Z3832">
        <v>1.1051699999999999E-3</v>
      </c>
      <c r="AA3832">
        <v>0.99917590000000001</v>
      </c>
      <c r="AB3832">
        <v>30</v>
      </c>
      <c r="AC3832">
        <v>-36.946800000000003</v>
      </c>
      <c r="AD3832">
        <v>-1.1099365344679999</v>
      </c>
      <c r="AE3832">
        <v>0.89130000000000098</v>
      </c>
      <c r="AF3832">
        <v>1.51074176245184</v>
      </c>
      <c r="AG3832">
        <v>-1.1099365344679999</v>
      </c>
      <c r="AH3832">
        <v>36.893326179483303</v>
      </c>
      <c r="AI3832">
        <v>91.721782937542997</v>
      </c>
      <c r="AJ3832">
        <v>87.655109925871599</v>
      </c>
      <c r="AK3832">
        <v>36.9409233285947</v>
      </c>
      <c r="AL3832">
        <v>79.912694059856193</v>
      </c>
      <c r="AM3832">
        <v>88.881785412585302</v>
      </c>
      <c r="AN3832">
        <v>0.99999998847285698</v>
      </c>
    </row>
    <row r="3833" spans="1:40" x14ac:dyDescent="0.25">
      <c r="A3833" t="str">
        <f>"20190312172740090"</f>
        <v>20190312172740090</v>
      </c>
      <c r="B3833" t="str">
        <f>"1552382860082747"</f>
        <v>1552382860082747</v>
      </c>
      <c r="C3833" t="s">
        <v>40</v>
      </c>
      <c r="D3833">
        <v>3.304783</v>
      </c>
      <c r="E3833">
        <v>0.51059960000000004</v>
      </c>
      <c r="F3833" t="s">
        <v>41</v>
      </c>
      <c r="G3833">
        <v>-375.69060000000002</v>
      </c>
      <c r="H3833" s="1">
        <v>-2.5810400000000002E-6</v>
      </c>
      <c r="I3833">
        <v>142.43510000000001</v>
      </c>
      <c r="J3833">
        <v>-339.17090000000002</v>
      </c>
      <c r="K3833">
        <v>1.1099319999999999</v>
      </c>
      <c r="L3833">
        <v>141.55459999999999</v>
      </c>
      <c r="M3833">
        <v>-0.99975910000000001</v>
      </c>
      <c r="N3833">
        <v>0</v>
      </c>
      <c r="O3833">
        <v>-1.6712189999999998E-2</v>
      </c>
      <c r="P3833">
        <v>-0.98702619999999996</v>
      </c>
      <c r="Q3833">
        <v>0.16053489999999901</v>
      </c>
      <c r="R3833">
        <v>2.847966E-3</v>
      </c>
      <c r="S3833">
        <v>-3.0545960000000001</v>
      </c>
      <c r="T3833">
        <v>-9.2059849999999999E-2</v>
      </c>
      <c r="U3833">
        <v>7.261658E-2</v>
      </c>
      <c r="V3833">
        <v>1.9382759999999999E-2</v>
      </c>
      <c r="W3833">
        <v>0.1745641</v>
      </c>
      <c r="X3833">
        <v>0.98445499999999997</v>
      </c>
      <c r="Y3833">
        <v>4.0446070000000001E-2</v>
      </c>
      <c r="Z3833">
        <v>1.1128080000000001E-3</v>
      </c>
      <c r="AA3833">
        <v>0.99918110000000004</v>
      </c>
      <c r="AB3833">
        <v>30</v>
      </c>
      <c r="AC3833">
        <v>-36.5197</v>
      </c>
      <c r="AD3833">
        <v>-1.1099345810400001</v>
      </c>
      <c r="AE3833">
        <v>0.88050000000001205</v>
      </c>
      <c r="AF3833">
        <v>1.48938798060814</v>
      </c>
      <c r="AG3833">
        <v>-1.1099345810400001</v>
      </c>
      <c r="AH3833">
        <v>36.466217105704601</v>
      </c>
      <c r="AI3833">
        <v>91.741941364779393</v>
      </c>
      <c r="AJ3833">
        <v>87.661171112391798</v>
      </c>
      <c r="AK3833">
        <v>36.513493688379803</v>
      </c>
      <c r="AL3833">
        <v>79.946707387115396</v>
      </c>
      <c r="AM3833">
        <v>88.872059286442706</v>
      </c>
      <c r="AN3833">
        <v>0.99999998170951299</v>
      </c>
    </row>
    <row r="3834" spans="1:40" x14ac:dyDescent="0.25">
      <c r="A3834" t="str">
        <f>"20190312172740113"</f>
        <v>20190312172740113</v>
      </c>
      <c r="B3834" t="str">
        <f>"1552382860103244"</f>
        <v>1552382860103244</v>
      </c>
      <c r="C3834" t="s">
        <v>40</v>
      </c>
      <c r="D3834">
        <v>3.2895479999999999</v>
      </c>
      <c r="E3834">
        <v>0.51058779999999904</v>
      </c>
      <c r="F3834" t="s">
        <v>41</v>
      </c>
      <c r="G3834">
        <v>-375.43049999999999</v>
      </c>
      <c r="H3834" s="1">
        <v>-2.6897630000000001E-6</v>
      </c>
      <c r="I3834">
        <v>142.42429999999999</v>
      </c>
      <c r="J3834">
        <v>-339.47890000000001</v>
      </c>
      <c r="K3834">
        <v>1.1099220000000001</v>
      </c>
      <c r="L3834">
        <v>141.54949999999999</v>
      </c>
      <c r="M3834">
        <v>-0.99976080000000001</v>
      </c>
      <c r="N3834">
        <v>0</v>
      </c>
      <c r="O3834">
        <v>-1.6615339999999999E-2</v>
      </c>
      <c r="P3834">
        <v>-0.98707520000000004</v>
      </c>
      <c r="Q3834">
        <v>0.1602362</v>
      </c>
      <c r="R3834">
        <v>2.7377370000000001E-3</v>
      </c>
      <c r="S3834">
        <v>-3.0544739999999999</v>
      </c>
      <c r="T3834">
        <v>-9.3499780000000005E-2</v>
      </c>
      <c r="U3834">
        <v>7.3272710000000005E-2</v>
      </c>
      <c r="V3834">
        <v>1.9178799999999999E-2</v>
      </c>
      <c r="W3834">
        <v>0.1742631</v>
      </c>
      <c r="X3834">
        <v>0.98451230000000001</v>
      </c>
      <c r="Y3834">
        <v>4.0563910000000002E-2</v>
      </c>
      <c r="Z3834">
        <v>1.129087E-3</v>
      </c>
      <c r="AA3834">
        <v>0.99917630000000002</v>
      </c>
      <c r="AB3834">
        <v>30</v>
      </c>
      <c r="AC3834">
        <v>-35.9515999999999</v>
      </c>
      <c r="AD3834">
        <v>-1.109924689763</v>
      </c>
      <c r="AE3834">
        <v>0.87479999999999303</v>
      </c>
      <c r="AF3834">
        <v>1.470686773715</v>
      </c>
      <c r="AG3834">
        <v>-1.109924689763</v>
      </c>
      <c r="AH3834">
        <v>35.897904512562398</v>
      </c>
      <c r="AI3834">
        <v>91.769476434819595</v>
      </c>
      <c r="AJ3834">
        <v>87.653984265259695</v>
      </c>
      <c r="AK3834">
        <v>35.945158238577399</v>
      </c>
      <c r="AL3834">
        <v>79.964221667026806</v>
      </c>
      <c r="AM3834">
        <v>88.883990250784706</v>
      </c>
      <c r="AN3834">
        <v>0.999999961621169</v>
      </c>
    </row>
    <row r="3835" spans="1:40" x14ac:dyDescent="0.25">
      <c r="A3835" t="str">
        <f>"20190312172740136"</f>
        <v>20190312172740136</v>
      </c>
      <c r="B3835" t="str">
        <f>"1552382860122764"</f>
        <v>1552382860122764</v>
      </c>
      <c r="C3835" t="s">
        <v>40</v>
      </c>
      <c r="D3835">
        <v>3.2834729999999999</v>
      </c>
      <c r="E3835">
        <v>0.51056290000000004</v>
      </c>
      <c r="F3835" t="s">
        <v>41</v>
      </c>
      <c r="G3835">
        <v>-375.298</v>
      </c>
      <c r="H3835" s="1">
        <v>-2.74227E-6</v>
      </c>
      <c r="I3835">
        <v>142.40799999999999</v>
      </c>
      <c r="J3835">
        <v>-339.77519999999998</v>
      </c>
      <c r="K3835">
        <v>1.1099239999999999</v>
      </c>
      <c r="L3835">
        <v>141.54470000000001</v>
      </c>
      <c r="M3835">
        <v>-0.99976229999999999</v>
      </c>
      <c r="N3835">
        <v>0</v>
      </c>
      <c r="O3835">
        <v>-1.6516079999999999E-2</v>
      </c>
      <c r="P3835">
        <v>-0.98714579999999996</v>
      </c>
      <c r="Q3835">
        <v>0.15978719999999999</v>
      </c>
      <c r="R3835">
        <v>3.3569659999999999E-3</v>
      </c>
      <c r="S3835">
        <v>-3.0544129999999998</v>
      </c>
      <c r="T3835">
        <v>-9.4646809999999998E-2</v>
      </c>
      <c r="U3835">
        <v>7.3211670000000006E-2</v>
      </c>
      <c r="V3835">
        <v>1.970241E-2</v>
      </c>
      <c r="W3835">
        <v>0.1738114</v>
      </c>
      <c r="X3835">
        <v>0.98458179999999995</v>
      </c>
      <c r="Y3835">
        <v>4.0444679999999997E-2</v>
      </c>
      <c r="Z3835">
        <v>1.1380330000000001E-3</v>
      </c>
      <c r="AA3835">
        <v>0.99918119999999999</v>
      </c>
      <c r="AB3835">
        <v>30</v>
      </c>
      <c r="AC3835">
        <v>-35.522799999999997</v>
      </c>
      <c r="AD3835">
        <v>-1.1099267422700001</v>
      </c>
      <c r="AE3835">
        <v>0.86329999999998097</v>
      </c>
      <c r="AF3835">
        <v>1.4485257278768899</v>
      </c>
      <c r="AG3835">
        <v>-1.1099267422700001</v>
      </c>
      <c r="AH3835">
        <v>35.4690866323092</v>
      </c>
      <c r="AI3835">
        <v>91.790868162312293</v>
      </c>
      <c r="AJ3835">
        <v>87.661391243475506</v>
      </c>
      <c r="AK3835">
        <v>35.516000206776901</v>
      </c>
      <c r="AL3835">
        <v>79.990503179429794</v>
      </c>
      <c r="AM3835">
        <v>88.853610441149797</v>
      </c>
      <c r="AN3835">
        <v>0.99999995431050304</v>
      </c>
    </row>
    <row r="3836" spans="1:40" x14ac:dyDescent="0.25">
      <c r="A3836" t="str">
        <f>"20190312172740158"</f>
        <v>20190312172740158</v>
      </c>
      <c r="B3836" t="str">
        <f>"1552382860153020"</f>
        <v>1552382860153020</v>
      </c>
      <c r="C3836" t="s">
        <v>40</v>
      </c>
      <c r="D3836">
        <v>3.329901</v>
      </c>
      <c r="E3836">
        <v>0.51052529999999996</v>
      </c>
      <c r="F3836" t="s">
        <v>41</v>
      </c>
      <c r="G3836">
        <v>-375.06540000000001</v>
      </c>
      <c r="H3836" s="1">
        <v>-2.8443940000000001E-6</v>
      </c>
      <c r="I3836">
        <v>142.41679999999999</v>
      </c>
      <c r="J3836">
        <v>-340.07569999999998</v>
      </c>
      <c r="K3836">
        <v>1.1099190000000001</v>
      </c>
      <c r="L3836">
        <v>141.53989999999999</v>
      </c>
      <c r="M3836">
        <v>-0.99976430000000005</v>
      </c>
      <c r="N3836">
        <v>0</v>
      </c>
      <c r="O3836">
        <v>-1.6403770000000002E-2</v>
      </c>
      <c r="P3836">
        <v>-0.98718090000000003</v>
      </c>
      <c r="Q3836">
        <v>0.15955759999999999</v>
      </c>
      <c r="R3836">
        <v>3.877124E-3</v>
      </c>
      <c r="S3836">
        <v>-3.0543819999999999</v>
      </c>
      <c r="T3836">
        <v>-9.6064689999999994E-2</v>
      </c>
      <c r="U3836">
        <v>7.548523E-2</v>
      </c>
      <c r="V3836">
        <v>2.0114900000000002E-2</v>
      </c>
      <c r="W3836">
        <v>0.17357890000000001</v>
      </c>
      <c r="X3836">
        <v>0.98461449999999995</v>
      </c>
      <c r="Y3836">
        <v>4.1074890000000003E-2</v>
      </c>
      <c r="Z3836">
        <v>1.1614500000000001E-3</v>
      </c>
      <c r="AA3836">
        <v>0.99915540000000003</v>
      </c>
      <c r="AB3836">
        <v>30</v>
      </c>
      <c r="AC3836">
        <v>-34.989699999999999</v>
      </c>
      <c r="AD3836">
        <v>-1.109921844394</v>
      </c>
      <c r="AE3836">
        <v>0.87690000000000601</v>
      </c>
      <c r="AF3836">
        <v>1.44934555014769</v>
      </c>
      <c r="AG3836">
        <v>-1.109921844394</v>
      </c>
      <c r="AH3836">
        <v>34.935473601036101</v>
      </c>
      <c r="AI3836">
        <v>91.818147756717195</v>
      </c>
      <c r="AJ3836">
        <v>87.624369091750907</v>
      </c>
      <c r="AK3836">
        <v>34.983136576829203</v>
      </c>
      <c r="AL3836">
        <v>80.0040303106463</v>
      </c>
      <c r="AM3836">
        <v>88.829655075566507</v>
      </c>
      <c r="AN3836">
        <v>0.99999997866873402</v>
      </c>
    </row>
    <row r="3837" spans="1:40" x14ac:dyDescent="0.25">
      <c r="A3837" t="str">
        <f>"20190312172740180"</f>
        <v>20190312172740180</v>
      </c>
      <c r="B3837" t="str">
        <f>"1552382860173515"</f>
        <v>1552382860173515</v>
      </c>
      <c r="C3837" t="s">
        <v>40</v>
      </c>
      <c r="D3837">
        <v>3.3192430000000002</v>
      </c>
      <c r="E3837">
        <v>0.51048959999999999</v>
      </c>
      <c r="F3837" t="s">
        <v>41</v>
      </c>
      <c r="G3837">
        <v>-375.11919999999998</v>
      </c>
      <c r="H3837" s="1">
        <v>-2.8235679999999999E-6</v>
      </c>
      <c r="I3837">
        <v>142.42529999999999</v>
      </c>
      <c r="J3837">
        <v>-340.36009999999999</v>
      </c>
      <c r="K3837">
        <v>1.1099079999999999</v>
      </c>
      <c r="L3837">
        <v>141.53540000000001</v>
      </c>
      <c r="M3837">
        <v>-0.99976640000000006</v>
      </c>
      <c r="N3837">
        <v>0</v>
      </c>
      <c r="O3837">
        <v>-1.627814E-2</v>
      </c>
      <c r="P3837">
        <v>-0.98722399999999999</v>
      </c>
      <c r="Q3837">
        <v>0.15925929999999999</v>
      </c>
      <c r="R3837">
        <v>5.0412590000000002E-3</v>
      </c>
      <c r="S3837">
        <v>-3.0542910000000001</v>
      </c>
      <c r="T3837">
        <v>-9.6737500000000004E-2</v>
      </c>
      <c r="U3837">
        <v>7.7178960000000005E-2</v>
      </c>
      <c r="V3837">
        <v>2.1160640000000001E-2</v>
      </c>
      <c r="W3837">
        <v>0.1732775</v>
      </c>
      <c r="X3837">
        <v>0.98464569999999996</v>
      </c>
      <c r="Y3837">
        <v>4.1503249999999998E-2</v>
      </c>
      <c r="Z3837">
        <v>1.1724109999999999E-3</v>
      </c>
      <c r="AA3837">
        <v>0.99913770000000002</v>
      </c>
      <c r="AB3837">
        <v>30</v>
      </c>
      <c r="AC3837">
        <v>-34.759099999999897</v>
      </c>
      <c r="AD3837">
        <v>-1.109910823568</v>
      </c>
      <c r="AE3837">
        <v>0.88989999999998204</v>
      </c>
      <c r="AF3837">
        <v>1.45417103245548</v>
      </c>
      <c r="AG3837">
        <v>-1.109910823568</v>
      </c>
      <c r="AH3837">
        <v>34.704643752681001</v>
      </c>
      <c r="AI3837">
        <v>91.830182794506698</v>
      </c>
      <c r="AJ3837">
        <v>87.6006336864113</v>
      </c>
      <c r="AK3837">
        <v>34.752824538854497</v>
      </c>
      <c r="AL3837">
        <v>80.021565282139093</v>
      </c>
      <c r="AM3837">
        <v>88.768868065350006</v>
      </c>
      <c r="AN3837">
        <v>1.0000000096099699</v>
      </c>
    </row>
    <row r="3838" spans="1:40" x14ac:dyDescent="0.25">
      <c r="A3838" t="str">
        <f>"20190312172740202"</f>
        <v>20190312172740202</v>
      </c>
      <c r="B3838" t="str">
        <f>"1552382860193037"</f>
        <v>1552382860193037</v>
      </c>
      <c r="C3838" t="s">
        <v>40</v>
      </c>
      <c r="D3838">
        <v>3.339162</v>
      </c>
      <c r="E3838">
        <v>0.5104727</v>
      </c>
      <c r="F3838" t="s">
        <v>41</v>
      </c>
      <c r="G3838">
        <v>-375.1395</v>
      </c>
      <c r="H3838" s="1">
        <v>-2.8225359999999998E-6</v>
      </c>
      <c r="I3838">
        <v>142.45410000000001</v>
      </c>
      <c r="J3838">
        <v>-340.65429999999998</v>
      </c>
      <c r="K3838">
        <v>1.109891</v>
      </c>
      <c r="L3838">
        <v>141.5307</v>
      </c>
      <c r="M3838">
        <v>-0.99976889999999996</v>
      </c>
      <c r="N3838">
        <v>0</v>
      </c>
      <c r="O3838">
        <v>-1.6121529999999999E-2</v>
      </c>
      <c r="P3838">
        <v>-0.98730340000000005</v>
      </c>
      <c r="Q3838">
        <v>0.1587161</v>
      </c>
      <c r="R3838">
        <v>6.4377929999999998E-3</v>
      </c>
      <c r="S3838">
        <v>-3.0541689999999999</v>
      </c>
      <c r="T3838">
        <v>-9.7467419999999999E-2</v>
      </c>
      <c r="U3838">
        <v>8.0688480000000007E-2</v>
      </c>
      <c r="V3838">
        <v>2.2411690000000001E-2</v>
      </c>
      <c r="W3838">
        <v>0.17273079999999999</v>
      </c>
      <c r="X3838">
        <v>0.98471410000000004</v>
      </c>
      <c r="Y3838">
        <v>4.2494209999999998E-2</v>
      </c>
      <c r="Z3838">
        <v>1.1920940000000001E-3</v>
      </c>
      <c r="AA3838">
        <v>0.99909599999999998</v>
      </c>
      <c r="AB3838">
        <v>30</v>
      </c>
      <c r="AC3838">
        <v>-34.485199999999999</v>
      </c>
      <c r="AD3838">
        <v>-1.109893822536</v>
      </c>
      <c r="AE3838">
        <v>0.92340000000001499</v>
      </c>
      <c r="AF3838">
        <v>1.47776074065829</v>
      </c>
      <c r="AG3838">
        <v>-1.109893822536</v>
      </c>
      <c r="AH3838">
        <v>34.430190258951797</v>
      </c>
      <c r="AI3838">
        <v>91.844653923221301</v>
      </c>
      <c r="AJ3838">
        <v>87.5423452929478</v>
      </c>
      <c r="AK3838">
        <v>34.479756994090799</v>
      </c>
      <c r="AL3838">
        <v>80.053368706176897</v>
      </c>
      <c r="AM3838">
        <v>88.696196593881297</v>
      </c>
      <c r="AN3838">
        <v>1.0000000359280501</v>
      </c>
    </row>
    <row r="3839" spans="1:40" x14ac:dyDescent="0.25">
      <c r="A3839" t="str">
        <f>"20190312172740224"</f>
        <v>20190312172740224</v>
      </c>
      <c r="B3839" t="str">
        <f>"1552382860213533"</f>
        <v>1552382860213533</v>
      </c>
      <c r="C3839" t="s">
        <v>40</v>
      </c>
      <c r="D3839">
        <v>3.3620269999999999</v>
      </c>
      <c r="E3839">
        <v>0.52438999999999902</v>
      </c>
      <c r="F3839" t="s">
        <v>41</v>
      </c>
      <c r="G3839">
        <v>-374.85730000000001</v>
      </c>
      <c r="H3839" s="1">
        <v>-2.9520840000000001E-6</v>
      </c>
      <c r="I3839">
        <v>142.48589999999999</v>
      </c>
      <c r="J3839">
        <v>-340.94659999999999</v>
      </c>
      <c r="K3839">
        <v>1.1098709999999901</v>
      </c>
      <c r="L3839">
        <v>141.52619999999999</v>
      </c>
      <c r="M3839">
        <v>-0.99977199999999999</v>
      </c>
      <c r="N3839">
        <v>0</v>
      </c>
      <c r="O3839">
        <v>-1.5934199999999999E-2</v>
      </c>
      <c r="P3839">
        <v>-0.98746210000000001</v>
      </c>
      <c r="Q3839">
        <v>0.15761520000000001</v>
      </c>
      <c r="R3839">
        <v>8.7182270000000003E-3</v>
      </c>
      <c r="S3839">
        <v>-3.0539860000000001</v>
      </c>
      <c r="T3839">
        <v>-9.9102499999999996E-2</v>
      </c>
      <c r="U3839">
        <v>8.5296629999999998E-2</v>
      </c>
      <c r="V3839">
        <v>2.451884E-2</v>
      </c>
      <c r="W3839">
        <v>0.171627</v>
      </c>
      <c r="X3839">
        <v>0.98485679999999998</v>
      </c>
      <c r="Y3839">
        <v>4.3813339999999999E-2</v>
      </c>
      <c r="Z3839">
        <v>1.227447E-3</v>
      </c>
      <c r="AA3839">
        <v>0.99903900000000001</v>
      </c>
      <c r="AB3839">
        <v>30</v>
      </c>
      <c r="AC3839">
        <v>-33.910699999999999</v>
      </c>
      <c r="AD3839">
        <v>-1.10987395208399</v>
      </c>
      <c r="AE3839">
        <v>0.959699999999997</v>
      </c>
      <c r="AF3839">
        <v>1.49836882603986</v>
      </c>
      <c r="AG3839">
        <v>-1.10987395208399</v>
      </c>
      <c r="AH3839">
        <v>33.854863740142299</v>
      </c>
      <c r="AI3839">
        <v>91.875836902179699</v>
      </c>
      <c r="AJ3839">
        <v>87.465822896346495</v>
      </c>
      <c r="AK3839">
        <v>33.906175369568999</v>
      </c>
      <c r="AL3839">
        <v>80.117569827326605</v>
      </c>
      <c r="AM3839">
        <v>88.573867876036999</v>
      </c>
      <c r="AN3839">
        <v>0.99999995857509105</v>
      </c>
    </row>
    <row r="3840" spans="1:40" x14ac:dyDescent="0.25">
      <c r="A3840" t="str">
        <f>"20190312172740246"</f>
        <v>20190312172740246</v>
      </c>
      <c r="B3840" t="str">
        <f>"1552382860242812"</f>
        <v>1552382860242812</v>
      </c>
      <c r="C3840" t="s">
        <v>40</v>
      </c>
      <c r="D3840">
        <v>3.3612099999999998</v>
      </c>
      <c r="E3840">
        <v>0.53401339999999997</v>
      </c>
      <c r="F3840" t="s">
        <v>41</v>
      </c>
      <c r="G3840">
        <v>-371.31599999999997</v>
      </c>
      <c r="H3840" s="1">
        <v>-4.5251190000000004E-6</v>
      </c>
      <c r="I3840">
        <v>143.54519999999999</v>
      </c>
      <c r="J3840">
        <v>-341.23390000000001</v>
      </c>
      <c r="K3840">
        <v>1.109837</v>
      </c>
      <c r="L3840">
        <v>141.52189999999999</v>
      </c>
      <c r="M3840">
        <v>-0.99977539999999998</v>
      </c>
      <c r="N3840">
        <v>0</v>
      </c>
      <c r="O3840">
        <v>-1.5716790000000001E-2</v>
      </c>
      <c r="P3840">
        <v>-0.98763389999999995</v>
      </c>
      <c r="Q3840">
        <v>0.15639149999999999</v>
      </c>
      <c r="R3840">
        <v>1.101312E-2</v>
      </c>
      <c r="S3840">
        <v>-3.0541079999999998</v>
      </c>
      <c r="T3840">
        <v>-0.1116149</v>
      </c>
      <c r="U3840">
        <v>0.2030487</v>
      </c>
      <c r="V3840">
        <v>2.66121E-2</v>
      </c>
      <c r="W3840">
        <v>0.17039979999999999</v>
      </c>
      <c r="X3840">
        <v>0.98501559999999999</v>
      </c>
      <c r="Y3840">
        <v>8.1947999999999993E-2</v>
      </c>
      <c r="Z3840">
        <v>2.0689549999999999E-3</v>
      </c>
      <c r="AA3840">
        <v>0.99663449999999998</v>
      </c>
      <c r="AB3840">
        <v>29</v>
      </c>
      <c r="AC3840">
        <v>-30.082099999999901</v>
      </c>
      <c r="AD3840">
        <v>-1.1098415251189999</v>
      </c>
      <c r="AE3840">
        <v>2.0232999999999999</v>
      </c>
      <c r="AF3840">
        <v>2.4925144733007598</v>
      </c>
      <c r="AG3840">
        <v>-1.1098415251189999</v>
      </c>
      <c r="AH3840">
        <v>30.0059220250685</v>
      </c>
      <c r="AI3840">
        <v>92.110993218157802</v>
      </c>
      <c r="AJ3840">
        <v>85.251489382232606</v>
      </c>
      <c r="AK3840">
        <v>30.1297151195458</v>
      </c>
      <c r="AL3840">
        <v>80.188935059150793</v>
      </c>
      <c r="AM3840">
        <v>88.452420251446298</v>
      </c>
      <c r="AN3840">
        <v>1.0000000139748999</v>
      </c>
    </row>
    <row r="3841" spans="1:40" x14ac:dyDescent="0.25">
      <c r="A3841" t="str">
        <f>"20190312172740269"</f>
        <v>20190312172740269</v>
      </c>
      <c r="B3841" t="str">
        <f>"1552382860263309"</f>
        <v>1552382860263309</v>
      </c>
      <c r="C3841" t="s">
        <v>40</v>
      </c>
      <c r="D3841">
        <v>3.3761760000000001</v>
      </c>
      <c r="E3841">
        <v>0.53610500000000005</v>
      </c>
      <c r="F3841" t="s">
        <v>41</v>
      </c>
      <c r="G3841">
        <v>-370.96159999999998</v>
      </c>
      <c r="H3841" s="1">
        <v>-4.7829060000000001E-6</v>
      </c>
      <c r="I3841">
        <v>144.3186</v>
      </c>
      <c r="J3841">
        <v>-341.52300000000002</v>
      </c>
      <c r="K3841">
        <v>1.109804</v>
      </c>
      <c r="L3841">
        <v>141.51759999999999</v>
      </c>
      <c r="M3841">
        <v>-0.99977930000000004</v>
      </c>
      <c r="N3841">
        <v>0</v>
      </c>
      <c r="O3841">
        <v>-1.546722E-2</v>
      </c>
      <c r="P3841">
        <v>-0.98784629999999995</v>
      </c>
      <c r="Q3841">
        <v>0.15486549999999999</v>
      </c>
      <c r="R3841">
        <v>1.3276619999999999E-2</v>
      </c>
      <c r="S3841">
        <v>-3.052368</v>
      </c>
      <c r="T3841">
        <v>-0.11395569999999999</v>
      </c>
      <c r="U3841">
        <v>0.28717039999999999</v>
      </c>
      <c r="V3841">
        <v>2.86415E-2</v>
      </c>
      <c r="W3841">
        <v>0.1688711</v>
      </c>
      <c r="X3841">
        <v>0.98522189999999998</v>
      </c>
      <c r="Y3841">
        <v>0.1089712</v>
      </c>
      <c r="Z3841">
        <v>2.6050769999999999E-3</v>
      </c>
      <c r="AA3841">
        <v>0.99404150000000002</v>
      </c>
      <c r="AB3841">
        <v>29</v>
      </c>
      <c r="AC3841">
        <v>-29.438599999999902</v>
      </c>
      <c r="AD3841">
        <v>-1.1098087829059999</v>
      </c>
      <c r="AE3841">
        <v>2.8010000000000099</v>
      </c>
      <c r="AF3841">
        <v>3.2514645936445099</v>
      </c>
      <c r="AG3841">
        <v>-1.1098087829059999</v>
      </c>
      <c r="AH3841">
        <v>29.350410431031701</v>
      </c>
      <c r="AI3841">
        <v>92.152303763930902</v>
      </c>
      <c r="AJ3841">
        <v>83.678498463574698</v>
      </c>
      <c r="AK3841">
        <v>29.550808618519302</v>
      </c>
      <c r="AL3841">
        <v>80.277810964156302</v>
      </c>
      <c r="AM3841">
        <v>88.334816748620696</v>
      </c>
      <c r="AN3841">
        <v>0.99999998808853396</v>
      </c>
    </row>
    <row r="3842" spans="1:40" x14ac:dyDescent="0.25">
      <c r="A3842" t="str">
        <f>"20190312172740291"</f>
        <v>20190312172740291</v>
      </c>
      <c r="B3842" t="str">
        <f>"1552382860282830"</f>
        <v>1552382860282830</v>
      </c>
      <c r="C3842" t="s">
        <v>40</v>
      </c>
      <c r="D3842">
        <v>3.3897560000000002</v>
      </c>
      <c r="E3842">
        <v>0.53703939999999994</v>
      </c>
      <c r="F3842" t="s">
        <v>41</v>
      </c>
      <c r="G3842">
        <v>-370.23020000000002</v>
      </c>
      <c r="H3842" s="1">
        <v>-5.0538669999999997E-6</v>
      </c>
      <c r="I3842">
        <v>144.44299999999899</v>
      </c>
      <c r="J3842">
        <v>-341.82530000000003</v>
      </c>
      <c r="K3842">
        <v>1.1097760000000001</v>
      </c>
      <c r="L3842">
        <v>141.51320000000001</v>
      </c>
      <c r="M3842">
        <v>-0.9997838</v>
      </c>
      <c r="N3842">
        <v>0</v>
      </c>
      <c r="O3842">
        <v>-1.517875E-2</v>
      </c>
      <c r="P3842">
        <v>-0.98799099999999995</v>
      </c>
      <c r="Q3842">
        <v>0.15368899999999999</v>
      </c>
      <c r="R3842">
        <v>1.5920989999999999E-2</v>
      </c>
      <c r="S3842">
        <v>-3.0512079999999999</v>
      </c>
      <c r="T3842">
        <v>-0.1179587</v>
      </c>
      <c r="U3842">
        <v>0.31094359999999999</v>
      </c>
      <c r="V3842">
        <v>3.1010409999999999E-2</v>
      </c>
      <c r="W3842">
        <v>0.16769039999999999</v>
      </c>
      <c r="X3842">
        <v>0.98535189999999995</v>
      </c>
      <c r="Y3842">
        <v>0.1163763</v>
      </c>
      <c r="Z3842">
        <v>2.8281199999999999E-3</v>
      </c>
      <c r="AA3842">
        <v>0.99320109999999995</v>
      </c>
      <c r="AB3842">
        <v>29</v>
      </c>
      <c r="AC3842">
        <v>-28.404900000000001</v>
      </c>
      <c r="AD3842">
        <v>-1.1097810538670001</v>
      </c>
      <c r="AE3842">
        <v>2.92979999999997</v>
      </c>
      <c r="AF3842">
        <v>3.3555885444173601</v>
      </c>
      <c r="AG3842">
        <v>-1.1097810538670001</v>
      </c>
      <c r="AH3842">
        <v>28.314385726507599</v>
      </c>
      <c r="AI3842">
        <v>92.228973991399002</v>
      </c>
      <c r="AJ3842">
        <v>83.241299030457697</v>
      </c>
      <c r="AK3842">
        <v>28.534120409369599</v>
      </c>
      <c r="AL3842">
        <v>80.346439308931195</v>
      </c>
      <c r="AM3842">
        <v>88.197416208868304</v>
      </c>
      <c r="AN3842">
        <v>1.00000004130706</v>
      </c>
    </row>
    <row r="3843" spans="1:40" x14ac:dyDescent="0.25">
      <c r="A3843" t="str">
        <f>"20190312172740314"</f>
        <v>20190312172740314</v>
      </c>
      <c r="B3843" t="str">
        <f>"1552382860303325"</f>
        <v>1552382860303325</v>
      </c>
      <c r="C3843" t="s">
        <v>40</v>
      </c>
      <c r="D3843">
        <v>3.4258000000000002</v>
      </c>
      <c r="E3843">
        <v>0.53713409999999995</v>
      </c>
      <c r="F3843" t="s">
        <v>41</v>
      </c>
      <c r="G3843">
        <v>-369.5865</v>
      </c>
      <c r="H3843" s="1">
        <v>-1.4545800000000001E-6</v>
      </c>
      <c r="I3843">
        <v>144.4828</v>
      </c>
      <c r="J3843">
        <v>-342.11939999999998</v>
      </c>
      <c r="K3843">
        <v>1.1097629999999901</v>
      </c>
      <c r="L3843">
        <v>141.50909999999999</v>
      </c>
      <c r="M3843">
        <v>-0.99978840000000002</v>
      </c>
      <c r="N3843">
        <v>0</v>
      </c>
      <c r="O3843">
        <v>-1.488183E-2</v>
      </c>
      <c r="P3843">
        <v>-0.98811689999999996</v>
      </c>
      <c r="Q3843">
        <v>0.15258679999999999</v>
      </c>
      <c r="R3843">
        <v>1.8503209999999999E-2</v>
      </c>
      <c r="S3843">
        <v>-3.0501710000000002</v>
      </c>
      <c r="T3843">
        <v>-0.1219336</v>
      </c>
      <c r="U3843">
        <v>0.32627869999999998</v>
      </c>
      <c r="V3843">
        <v>3.3305149999999999E-2</v>
      </c>
      <c r="W3843">
        <v>0.1665847</v>
      </c>
      <c r="X3843">
        <v>0.98546449999999997</v>
      </c>
      <c r="Y3843">
        <v>0.1210435</v>
      </c>
      <c r="Z3843">
        <v>3.0047300000000002E-3</v>
      </c>
      <c r="AA3843">
        <v>0.99264260000000004</v>
      </c>
      <c r="AB3843">
        <v>29</v>
      </c>
      <c r="AC3843">
        <v>-27.467099999999999</v>
      </c>
      <c r="AD3843">
        <v>-1.1097644545799901</v>
      </c>
      <c r="AE3843">
        <v>2.9737</v>
      </c>
      <c r="AF3843">
        <v>3.3767241416448401</v>
      </c>
      <c r="AG3843">
        <v>-1.1097644545799901</v>
      </c>
      <c r="AH3843">
        <v>27.375627894477599</v>
      </c>
      <c r="AI3843">
        <v>92.303966904900506</v>
      </c>
      <c r="AJ3843">
        <v>82.968208867023506</v>
      </c>
      <c r="AK3843">
        <v>27.605413340327299</v>
      </c>
      <c r="AL3843">
        <v>80.410694585967704</v>
      </c>
      <c r="AM3843">
        <v>88.064345799892195</v>
      </c>
      <c r="AN3843">
        <v>0.999999988025431</v>
      </c>
    </row>
    <row r="3844" spans="1:40" x14ac:dyDescent="0.25">
      <c r="A3844" t="str">
        <f>"20190312172740336"</f>
        <v>20190312172740336</v>
      </c>
      <c r="B3844" t="str">
        <f>"1552382860333580"</f>
        <v>1552382860333580</v>
      </c>
      <c r="C3844" t="s">
        <v>40</v>
      </c>
      <c r="D3844">
        <v>3.411689</v>
      </c>
      <c r="E3844">
        <v>0.53704219999999903</v>
      </c>
      <c r="F3844" t="s">
        <v>41</v>
      </c>
      <c r="G3844">
        <v>-369.44760000000002</v>
      </c>
      <c r="H3844" s="1">
        <v>-1.521525E-6</v>
      </c>
      <c r="I3844">
        <v>144.5104</v>
      </c>
      <c r="J3844">
        <v>-342.41149999999999</v>
      </c>
      <c r="K3844">
        <v>1.1097490000000001</v>
      </c>
      <c r="L3844">
        <v>141.5051</v>
      </c>
      <c r="M3844">
        <v>-0.99979280000000004</v>
      </c>
      <c r="N3844">
        <v>0</v>
      </c>
      <c r="O3844">
        <v>-1.457689E-2</v>
      </c>
      <c r="P3844">
        <v>-0.98828950000000004</v>
      </c>
      <c r="Q3844">
        <v>0.15119579999999999</v>
      </c>
      <c r="R3844">
        <v>2.0583629999999999E-2</v>
      </c>
      <c r="S3844">
        <v>-3.0489199999999999</v>
      </c>
      <c r="T3844">
        <v>-0.1238134</v>
      </c>
      <c r="U3844">
        <v>0.33485409999999999</v>
      </c>
      <c r="V3844">
        <v>3.508849E-2</v>
      </c>
      <c r="W3844">
        <v>0.1651909</v>
      </c>
      <c r="X3844">
        <v>0.98563719999999999</v>
      </c>
      <c r="Y3844">
        <v>0.1235378</v>
      </c>
      <c r="Z3844">
        <v>3.0899289999999999E-3</v>
      </c>
      <c r="AA3844">
        <v>0.99233510000000003</v>
      </c>
      <c r="AB3844">
        <v>29</v>
      </c>
      <c r="AC3844">
        <v>-27.036100000000001</v>
      </c>
      <c r="AD3844">
        <v>-1.1097505215250001</v>
      </c>
      <c r="AE3844">
        <v>3.0053000000000001</v>
      </c>
      <c r="AF3844">
        <v>3.3934749380374298</v>
      </c>
      <c r="AG3844">
        <v>-1.1097505215250001</v>
      </c>
      <c r="AH3844">
        <v>26.944570919611301</v>
      </c>
      <c r="AI3844">
        <v>92.340010948178403</v>
      </c>
      <c r="AJ3844">
        <v>82.821801944837702</v>
      </c>
      <c r="AK3844">
        <v>27.1800868360842</v>
      </c>
      <c r="AL3844">
        <v>80.491675229419897</v>
      </c>
      <c r="AM3844">
        <v>87.961142566975397</v>
      </c>
      <c r="AN3844">
        <v>0.99999996279856396</v>
      </c>
    </row>
    <row r="3845" spans="1:40" x14ac:dyDescent="0.25">
      <c r="A3845" t="str">
        <f>"20190312172740357"</f>
        <v>20190312172740357</v>
      </c>
      <c r="B3845" t="str">
        <f>"1552382860353100"</f>
        <v>1552382860353100</v>
      </c>
      <c r="C3845" t="s">
        <v>40</v>
      </c>
      <c r="D3845">
        <v>3.4083570000000001</v>
      </c>
      <c r="E3845">
        <v>0.53698440000000003</v>
      </c>
      <c r="F3845" t="s">
        <v>41</v>
      </c>
      <c r="G3845">
        <v>-368.62849999999997</v>
      </c>
      <c r="H3845" s="1">
        <v>-1.8533680000000001E-6</v>
      </c>
      <c r="I3845">
        <v>144.43700000000001</v>
      </c>
      <c r="J3845">
        <v>-342.69499999999999</v>
      </c>
      <c r="K3845">
        <v>1.1097459999999999</v>
      </c>
      <c r="L3845">
        <v>141.50129999999999</v>
      </c>
      <c r="M3845">
        <v>-0.9997973</v>
      </c>
      <c r="N3845">
        <v>0</v>
      </c>
      <c r="O3845">
        <v>-1.42781E-2</v>
      </c>
      <c r="P3845">
        <v>-0.98834469999999996</v>
      </c>
      <c r="Q3845">
        <v>0.15057970000000001</v>
      </c>
      <c r="R3845">
        <v>2.2376699999999999E-2</v>
      </c>
      <c r="S3845">
        <v>-3.0482179999999999</v>
      </c>
      <c r="T3845">
        <v>-0.12902959999999999</v>
      </c>
      <c r="U3845">
        <v>0.34089659999999999</v>
      </c>
      <c r="V3845">
        <v>3.6587929999999998E-2</v>
      </c>
      <c r="W3845">
        <v>0.16457149999999901</v>
      </c>
      <c r="X3845">
        <v>0.98568639999999996</v>
      </c>
      <c r="Y3845">
        <v>0.12519820000000001</v>
      </c>
      <c r="Z3845">
        <v>3.2427900000000002E-3</v>
      </c>
      <c r="AA3845">
        <v>0.99212650000000002</v>
      </c>
      <c r="AB3845">
        <v>29</v>
      </c>
      <c r="AC3845">
        <v>-25.933499999999899</v>
      </c>
      <c r="AD3845">
        <v>-1.1097478533680001</v>
      </c>
      <c r="AE3845">
        <v>2.9357000000000202</v>
      </c>
      <c r="AF3845">
        <v>3.2997531726035598</v>
      </c>
      <c r="AG3845">
        <v>-1.1097478533680001</v>
      </c>
      <c r="AH3845">
        <v>25.842212926171499</v>
      </c>
      <c r="AI3845">
        <v>92.4391745417511</v>
      </c>
      <c r="AJ3845">
        <v>82.723364820646196</v>
      </c>
      <c r="AK3845">
        <v>26.0756568511658</v>
      </c>
      <c r="AL3845">
        <v>80.527657697949905</v>
      </c>
      <c r="AM3845">
        <v>87.874200189391999</v>
      </c>
      <c r="AN3845">
        <v>1.00000006718944</v>
      </c>
    </row>
    <row r="3846" spans="1:40" x14ac:dyDescent="0.25">
      <c r="A3846" t="str">
        <f>"20190312172740380"</f>
        <v>20190312172740380</v>
      </c>
      <c r="B3846" t="str">
        <f>"1552382860373596"</f>
        <v>1552382860373596</v>
      </c>
      <c r="C3846" t="s">
        <v>40</v>
      </c>
      <c r="D3846">
        <v>3.4028909999999999</v>
      </c>
      <c r="E3846">
        <v>0.53695190000000004</v>
      </c>
      <c r="F3846" t="s">
        <v>41</v>
      </c>
      <c r="G3846">
        <v>-368.13400000000001</v>
      </c>
      <c r="H3846" s="1">
        <v>-2.0533939999999999E-6</v>
      </c>
      <c r="I3846">
        <v>144.3914</v>
      </c>
      <c r="J3846">
        <v>-342.98439999999999</v>
      </c>
      <c r="K3846">
        <v>1.1097440000000001</v>
      </c>
      <c r="L3846">
        <v>141.4975</v>
      </c>
      <c r="M3846">
        <v>-0.99980159999999996</v>
      </c>
      <c r="N3846">
        <v>0</v>
      </c>
      <c r="O3846">
        <v>-1.3974200000000001E-2</v>
      </c>
      <c r="P3846">
        <v>-0.98839940000000004</v>
      </c>
      <c r="Q3846">
        <v>0.14999279999999901</v>
      </c>
      <c r="R3846">
        <v>2.3853320000000001E-2</v>
      </c>
      <c r="S3846">
        <v>-3.0477599999999998</v>
      </c>
      <c r="T3846">
        <v>-0.132955399999999</v>
      </c>
      <c r="U3846">
        <v>0.34626770000000001</v>
      </c>
      <c r="V3846">
        <v>3.7765109999999998E-2</v>
      </c>
      <c r="W3846">
        <v>0.16398170000000001</v>
      </c>
      <c r="X3846">
        <v>0.98574019999999996</v>
      </c>
      <c r="Y3846">
        <v>0.12663079999999999</v>
      </c>
      <c r="Z3846">
        <v>3.359454E-3</v>
      </c>
      <c r="AA3846">
        <v>0.9919443</v>
      </c>
      <c r="AB3846">
        <v>29</v>
      </c>
      <c r="AC3846">
        <v>-25.1496</v>
      </c>
      <c r="AD3846">
        <v>-1.109746053394</v>
      </c>
      <c r="AE3846">
        <v>2.8938999999999999</v>
      </c>
      <c r="AF3846">
        <v>3.2388743647102198</v>
      </c>
      <c r="AG3846">
        <v>-1.109746053394</v>
      </c>
      <c r="AH3846">
        <v>25.058546230426401</v>
      </c>
      <c r="AI3846">
        <v>92.514858884258899</v>
      </c>
      <c r="AJ3846">
        <v>82.635220813371305</v>
      </c>
      <c r="AK3846">
        <v>25.291353910690798</v>
      </c>
      <c r="AL3846">
        <v>80.561915262141198</v>
      </c>
      <c r="AM3846">
        <v>87.805990152184194</v>
      </c>
      <c r="AN3846">
        <v>0.99999997168211996</v>
      </c>
    </row>
    <row r="3847" spans="1:40" x14ac:dyDescent="0.25">
      <c r="A3847" t="str">
        <f>"20190312172740402"</f>
        <v>20190312172740402</v>
      </c>
      <c r="B3847" t="str">
        <f>"1552382860393116"</f>
        <v>1552382860393116</v>
      </c>
      <c r="C3847" t="s">
        <v>40</v>
      </c>
      <c r="D3847">
        <v>3.413278</v>
      </c>
      <c r="E3847">
        <v>0.53694730000000002</v>
      </c>
      <c r="F3847" t="s">
        <v>41</v>
      </c>
      <c r="G3847">
        <v>-367.94260000000003</v>
      </c>
      <c r="H3847" s="1">
        <v>-2.129091E-6</v>
      </c>
      <c r="I3847">
        <v>144.3674</v>
      </c>
      <c r="J3847">
        <v>-343.27749999999997</v>
      </c>
      <c r="K3847">
        <v>1.1097440000000001</v>
      </c>
      <c r="L3847">
        <v>141.49369999999999</v>
      </c>
      <c r="M3847">
        <v>-0.99980590000000003</v>
      </c>
      <c r="N3847">
        <v>0</v>
      </c>
      <c r="O3847">
        <v>-1.366937E-2</v>
      </c>
      <c r="P3847">
        <v>-0.98851529999999999</v>
      </c>
      <c r="Q3847">
        <v>0.14903910000000001</v>
      </c>
      <c r="R3847">
        <v>2.5000069999999999E-2</v>
      </c>
      <c r="S3847">
        <v>-3.0473020000000002</v>
      </c>
      <c r="T3847">
        <v>-0.13549600000000001</v>
      </c>
      <c r="U3847">
        <v>0.35041809999999901</v>
      </c>
      <c r="V3847">
        <v>3.8611640000000003E-2</v>
      </c>
      <c r="W3847">
        <v>0.163025799999999</v>
      </c>
      <c r="X3847">
        <v>0.98586600000000002</v>
      </c>
      <c r="Y3847">
        <v>0.127672699999999</v>
      </c>
      <c r="Z3847">
        <v>3.4334029999999998E-3</v>
      </c>
      <c r="AA3847">
        <v>0.99181039999999998</v>
      </c>
      <c r="AB3847">
        <v>29</v>
      </c>
      <c r="AC3847">
        <v>-24.665099999999999</v>
      </c>
      <c r="AD3847">
        <v>-1.109746129091</v>
      </c>
      <c r="AE3847">
        <v>2.8737000000000101</v>
      </c>
      <c r="AF3847">
        <v>3.20422223815727</v>
      </c>
      <c r="AG3847">
        <v>-1.109746129091</v>
      </c>
      <c r="AH3847">
        <v>24.5744289039188</v>
      </c>
      <c r="AI3847">
        <v>92.563964945644003</v>
      </c>
      <c r="AJ3847">
        <v>82.571201051860896</v>
      </c>
      <c r="AK3847">
        <v>24.8072798302493</v>
      </c>
      <c r="AL3847">
        <v>80.617431856514898</v>
      </c>
      <c r="AM3847">
        <v>87.757145594214094</v>
      </c>
      <c r="AN3847">
        <v>1.0000000200825601</v>
      </c>
    </row>
    <row r="3848" spans="1:40" x14ac:dyDescent="0.25">
      <c r="A3848" t="str">
        <f>"20190312172740425"</f>
        <v>20190312172740425</v>
      </c>
      <c r="B3848" t="str">
        <f>"1552382860412636"</f>
        <v>1552382860412636</v>
      </c>
      <c r="C3848" t="s">
        <v>40</v>
      </c>
      <c r="D3848">
        <v>3.409351</v>
      </c>
      <c r="E3848">
        <v>0.53683950000000003</v>
      </c>
      <c r="F3848" t="s">
        <v>41</v>
      </c>
      <c r="G3848">
        <v>-367.71960000000001</v>
      </c>
      <c r="H3848" s="1">
        <v>-2.2154570000000001E-6</v>
      </c>
      <c r="I3848">
        <v>144.33240000000001</v>
      </c>
      <c r="J3848">
        <v>-343.56880000000001</v>
      </c>
      <c r="K3848">
        <v>1.1097379999999999</v>
      </c>
      <c r="L3848">
        <v>141.49010000000001</v>
      </c>
      <c r="M3848">
        <v>-0.99980999999999998</v>
      </c>
      <c r="N3848">
        <v>0</v>
      </c>
      <c r="O3848">
        <v>-1.336944E-2</v>
      </c>
      <c r="P3848">
        <v>-0.98864379999999996</v>
      </c>
      <c r="Q3848">
        <v>0.1480766</v>
      </c>
      <c r="R3848">
        <v>2.5628000000000001E-2</v>
      </c>
      <c r="S3848">
        <v>-3.0467529999999998</v>
      </c>
      <c r="T3848">
        <v>-0.13833239999999999</v>
      </c>
      <c r="U3848">
        <v>0.35385129999999998</v>
      </c>
      <c r="V3848">
        <v>3.8944260000000001E-2</v>
      </c>
      <c r="W3848">
        <v>0.16206219999999999</v>
      </c>
      <c r="X3848">
        <v>0.98601170000000005</v>
      </c>
      <c r="Y3848">
        <v>0.128492</v>
      </c>
      <c r="Z3848">
        <v>3.5105599999999998E-3</v>
      </c>
      <c r="AA3848">
        <v>0.99170429999999998</v>
      </c>
      <c r="AB3848">
        <v>29</v>
      </c>
      <c r="AC3848">
        <v>-24.1508</v>
      </c>
      <c r="AD3848">
        <v>-1.109740215457</v>
      </c>
      <c r="AE3848">
        <v>2.8422999999999901</v>
      </c>
      <c r="AF3848">
        <v>3.15838343611976</v>
      </c>
      <c r="AG3848">
        <v>-1.109740215457</v>
      </c>
      <c r="AH3848">
        <v>24.060528886632099</v>
      </c>
      <c r="AI3848">
        <v>92.618342461460699</v>
      </c>
      <c r="AJ3848">
        <v>82.521641954414093</v>
      </c>
      <c r="AK3848">
        <v>24.292302475883499</v>
      </c>
      <c r="AL3848">
        <v>80.673385459045505</v>
      </c>
      <c r="AM3848">
        <v>87.738178435154893</v>
      </c>
      <c r="AN3848">
        <v>0.99999994229633704</v>
      </c>
    </row>
    <row r="3849" spans="1:40" x14ac:dyDescent="0.25">
      <c r="A3849" t="str">
        <f>"20190312172740447"</f>
        <v>20190312172740447</v>
      </c>
      <c r="B3849" t="str">
        <f>"1552382860442892"</f>
        <v>1552382860442892</v>
      </c>
      <c r="C3849" t="s">
        <v>40</v>
      </c>
      <c r="D3849">
        <v>3.44672</v>
      </c>
      <c r="E3849">
        <v>0.53662330000000003</v>
      </c>
      <c r="F3849" t="s">
        <v>41</v>
      </c>
      <c r="G3849">
        <v>-367.59820000000002</v>
      </c>
      <c r="H3849" s="1">
        <v>-2.2565130000000001E-6</v>
      </c>
      <c r="I3849">
        <v>144.291</v>
      </c>
      <c r="J3849">
        <v>-343.85660000000001</v>
      </c>
      <c r="K3849">
        <v>1.109737</v>
      </c>
      <c r="L3849">
        <v>141.48660000000001</v>
      </c>
      <c r="M3849">
        <v>-0.99981390000000003</v>
      </c>
      <c r="N3849">
        <v>0</v>
      </c>
      <c r="O3849">
        <v>-1.3075349999999999E-2</v>
      </c>
      <c r="P3849">
        <v>-0.98883430000000005</v>
      </c>
      <c r="Q3849">
        <v>0.1466721</v>
      </c>
      <c r="R3849">
        <v>2.6347329999999999E-2</v>
      </c>
      <c r="S3849">
        <v>-3.0463260000000001</v>
      </c>
      <c r="T3849">
        <v>-0.14068729999999999</v>
      </c>
      <c r="U3849">
        <v>0.35510249999999999</v>
      </c>
      <c r="V3849">
        <v>3.9374220000000001E-2</v>
      </c>
      <c r="W3849">
        <v>0.16065750000000001</v>
      </c>
      <c r="X3849">
        <v>0.98622449999999995</v>
      </c>
      <c r="Y3849">
        <v>0.12861330000000001</v>
      </c>
      <c r="Z3849">
        <v>3.5599310000000001E-3</v>
      </c>
      <c r="AA3849">
        <v>0.99168840000000003</v>
      </c>
      <c r="AB3849">
        <v>29</v>
      </c>
      <c r="AC3849">
        <v>-23.741599999999998</v>
      </c>
      <c r="AD3849">
        <v>-1.109739256513</v>
      </c>
      <c r="AE3849">
        <v>2.8043999999999798</v>
      </c>
      <c r="AF3849">
        <v>3.10792426556594</v>
      </c>
      <c r="AG3849">
        <v>-1.109739256513</v>
      </c>
      <c r="AH3849">
        <v>23.651932953333699</v>
      </c>
      <c r="AI3849">
        <v>92.663462298657507</v>
      </c>
      <c r="AJ3849">
        <v>82.514077497731506</v>
      </c>
      <c r="AK3849">
        <v>23.881052047322601</v>
      </c>
      <c r="AL3849">
        <v>80.754937733348399</v>
      </c>
      <c r="AM3849">
        <v>87.713726295457903</v>
      </c>
      <c r="AN3849">
        <v>0.99999996295355298</v>
      </c>
    </row>
    <row r="3850" spans="1:40" x14ac:dyDescent="0.25">
      <c r="A3850" t="str">
        <f>"20190312172740470"</f>
        <v>20190312172740470</v>
      </c>
      <c r="B3850" t="str">
        <f>"1552382860463388"</f>
        <v>1552382860463388</v>
      </c>
      <c r="C3850" t="s">
        <v>40</v>
      </c>
      <c r="D3850">
        <v>3.4380820000000001</v>
      </c>
      <c r="E3850">
        <v>0.53646830000000001</v>
      </c>
      <c r="F3850" t="s">
        <v>41</v>
      </c>
      <c r="G3850">
        <v>-367.48270000000002</v>
      </c>
      <c r="H3850" s="1">
        <v>-2.2947159999999998E-6</v>
      </c>
      <c r="I3850">
        <v>144.2484</v>
      </c>
      <c r="J3850">
        <v>-344.15109999999999</v>
      </c>
      <c r="K3850">
        <v>1.1097300000000001</v>
      </c>
      <c r="L3850">
        <v>141.483</v>
      </c>
      <c r="M3850">
        <v>-0.99981790000000004</v>
      </c>
      <c r="N3850">
        <v>0</v>
      </c>
      <c r="O3850">
        <v>-1.2776030000000001E-2</v>
      </c>
      <c r="P3850">
        <v>-0.98910410000000004</v>
      </c>
      <c r="Q3850">
        <v>0.14479829999999999</v>
      </c>
      <c r="R3850">
        <v>2.6588270000000001E-2</v>
      </c>
      <c r="S3850">
        <v>-3.0455930000000002</v>
      </c>
      <c r="T3850">
        <v>-0.1430546</v>
      </c>
      <c r="U3850">
        <v>0.3560333</v>
      </c>
      <c r="V3850">
        <v>3.9321139999999997E-2</v>
      </c>
      <c r="W3850">
        <v>0.1587845</v>
      </c>
      <c r="X3850">
        <v>0.98652989999999996</v>
      </c>
      <c r="Y3850">
        <v>0.128638</v>
      </c>
      <c r="Z3850">
        <v>3.607135E-3</v>
      </c>
      <c r="AA3850">
        <v>0.99168500000000004</v>
      </c>
      <c r="AB3850">
        <v>29</v>
      </c>
      <c r="AC3850">
        <v>-23.331600000000002</v>
      </c>
      <c r="AD3850">
        <v>-1.109732294716</v>
      </c>
      <c r="AE3850">
        <v>2.7654000000000001</v>
      </c>
      <c r="AF3850">
        <v>3.05647061061681</v>
      </c>
      <c r="AG3850">
        <v>-1.109732294716</v>
      </c>
      <c r="AH3850">
        <v>23.242508242605101</v>
      </c>
      <c r="AI3850">
        <v>92.710258468880099</v>
      </c>
      <c r="AJ3850">
        <v>82.508393036433702</v>
      </c>
      <c r="AK3850">
        <v>23.4688667763713</v>
      </c>
      <c r="AL3850">
        <v>80.863648296349794</v>
      </c>
      <c r="AM3850">
        <v>87.717511195438604</v>
      </c>
      <c r="AN3850">
        <v>0.99999995654257801</v>
      </c>
    </row>
    <row r="3851" spans="1:40" x14ac:dyDescent="0.25">
      <c r="A3851" t="str">
        <f>"20190312172740491"</f>
        <v>20190312172740491</v>
      </c>
      <c r="B3851" t="str">
        <f>"1552382860482908"</f>
        <v>1552382860482908</v>
      </c>
      <c r="C3851" t="s">
        <v>40</v>
      </c>
      <c r="D3851">
        <v>3.4417360000000001</v>
      </c>
      <c r="E3851">
        <v>0.53629959999999999</v>
      </c>
      <c r="F3851" t="s">
        <v>41</v>
      </c>
      <c r="G3851">
        <v>-367.13670000000002</v>
      </c>
      <c r="H3851" s="1">
        <v>-2.421914E-6</v>
      </c>
      <c r="I3851">
        <v>144.1686</v>
      </c>
      <c r="J3851">
        <v>-344.4384</v>
      </c>
      <c r="K3851">
        <v>1.109723</v>
      </c>
      <c r="L3851">
        <v>141.47970000000001</v>
      </c>
      <c r="M3851">
        <v>-0.99982150000000003</v>
      </c>
      <c r="N3851">
        <v>0</v>
      </c>
      <c r="O3851">
        <v>-1.24841E-2</v>
      </c>
      <c r="P3851">
        <v>-0.98941389999999996</v>
      </c>
      <c r="Q3851">
        <v>0.1426171</v>
      </c>
      <c r="R3851">
        <v>2.6838850000000001E-2</v>
      </c>
      <c r="S3851">
        <v>-3.045013</v>
      </c>
      <c r="T3851">
        <v>-0.14701159999999999</v>
      </c>
      <c r="U3851">
        <v>0.35577389999999998</v>
      </c>
      <c r="V3851">
        <v>3.9284989999999999E-2</v>
      </c>
      <c r="W3851">
        <v>0.15660579999999999</v>
      </c>
      <c r="X3851">
        <v>0.98687959999999997</v>
      </c>
      <c r="Y3851">
        <v>0.1282789</v>
      </c>
      <c r="Z3851">
        <v>3.68484E-3</v>
      </c>
      <c r="AA3851">
        <v>0.99173129999999998</v>
      </c>
      <c r="AB3851">
        <v>29</v>
      </c>
      <c r="AC3851">
        <v>-22.6983</v>
      </c>
      <c r="AD3851">
        <v>-1.109725421914</v>
      </c>
      <c r="AE3851">
        <v>2.6888999999999799</v>
      </c>
      <c r="AF3851">
        <v>2.9650975006768299</v>
      </c>
      <c r="AG3851">
        <v>-1.109725421914</v>
      </c>
      <c r="AH3851">
        <v>22.6096639320495</v>
      </c>
      <c r="AI3851">
        <v>92.786112933535406</v>
      </c>
      <c r="AJ3851">
        <v>82.528700729890701</v>
      </c>
      <c r="AK3851">
        <v>22.830247410415399</v>
      </c>
      <c r="AL3851">
        <v>80.990060871092595</v>
      </c>
      <c r="AM3851">
        <v>87.720414594251494</v>
      </c>
      <c r="AN3851">
        <v>1.0000000159645499</v>
      </c>
    </row>
    <row r="3852" spans="1:40" x14ac:dyDescent="0.25">
      <c r="A3852" t="str">
        <f>"20190312172740515"</f>
        <v>20190312172740515</v>
      </c>
      <c r="B3852" t="str">
        <f>"1552382860503405"</f>
        <v>1552382860503405</v>
      </c>
      <c r="C3852" t="s">
        <v>40</v>
      </c>
      <c r="D3852">
        <v>3.419699</v>
      </c>
      <c r="E3852">
        <v>0.53607959999999999</v>
      </c>
      <c r="F3852" t="s">
        <v>41</v>
      </c>
      <c r="G3852">
        <v>-366.83870000000002</v>
      </c>
      <c r="H3852" s="1">
        <v>-2.5295839999999999E-6</v>
      </c>
      <c r="I3852">
        <v>144.09270000000001</v>
      </c>
      <c r="J3852">
        <v>-344.73739999999998</v>
      </c>
      <c r="K3852">
        <v>1.109715</v>
      </c>
      <c r="L3852">
        <v>141.47630000000001</v>
      </c>
      <c r="M3852">
        <v>-0.99982530000000003</v>
      </c>
      <c r="N3852">
        <v>0</v>
      </c>
      <c r="O3852">
        <v>-1.218049E-2</v>
      </c>
      <c r="P3852">
        <v>-0.98961759999999999</v>
      </c>
      <c r="Q3852">
        <v>0.1411259</v>
      </c>
      <c r="R3852">
        <v>2.721376E-2</v>
      </c>
      <c r="S3852">
        <v>-3.0442200000000001</v>
      </c>
      <c r="T3852">
        <v>-0.15081359999999999</v>
      </c>
      <c r="U3852">
        <v>0.35511779999999998</v>
      </c>
      <c r="V3852">
        <v>3.9360829999999999E-2</v>
      </c>
      <c r="W3852">
        <v>0.15511459999999999</v>
      </c>
      <c r="X3852">
        <v>0.98711199999999999</v>
      </c>
      <c r="Y3852">
        <v>0.12778909999999999</v>
      </c>
      <c r="Z3852">
        <v>3.753972E-3</v>
      </c>
      <c r="AA3852">
        <v>0.99179430000000002</v>
      </c>
      <c r="AB3852">
        <v>29</v>
      </c>
      <c r="AC3852">
        <v>-22.101299999999998</v>
      </c>
      <c r="AD3852">
        <v>-1.1097175295840001</v>
      </c>
      <c r="AE3852">
        <v>2.6163999999999898</v>
      </c>
      <c r="AF3852">
        <v>2.8782814538210899</v>
      </c>
      <c r="AG3852">
        <v>-1.1097175295840001</v>
      </c>
      <c r="AH3852">
        <v>22.013057839239099</v>
      </c>
      <c r="AI3852">
        <v>92.861622313459407</v>
      </c>
      <c r="AJ3852">
        <v>82.550644518511902</v>
      </c>
      <c r="AK3852">
        <v>22.228150902775599</v>
      </c>
      <c r="AL3852">
        <v>81.076556880574103</v>
      </c>
      <c r="AM3852">
        <v>87.716555650003698</v>
      </c>
      <c r="AN3852">
        <v>0.99999995730772295</v>
      </c>
    </row>
    <row r="3853" spans="1:40" x14ac:dyDescent="0.25">
      <c r="A3853" t="str">
        <f>"20190312172740537"</f>
        <v>20190312172740537</v>
      </c>
      <c r="B3853" t="str">
        <f>"1552382860532683"</f>
        <v>1552382860532683</v>
      </c>
      <c r="C3853" t="s">
        <v>40</v>
      </c>
      <c r="D3853">
        <v>3.4197700000000002</v>
      </c>
      <c r="E3853">
        <v>0.535829</v>
      </c>
      <c r="F3853" t="s">
        <v>41</v>
      </c>
      <c r="G3853">
        <v>-366.9307</v>
      </c>
      <c r="H3853" s="1">
        <v>-2.482364E-6</v>
      </c>
      <c r="I3853">
        <v>144.06360000000001</v>
      </c>
      <c r="J3853">
        <v>-345.02120000000002</v>
      </c>
      <c r="K3853">
        <v>1.1097129999999999</v>
      </c>
      <c r="L3853">
        <v>141.47319999999999</v>
      </c>
      <c r="M3853">
        <v>-0.99982890000000002</v>
      </c>
      <c r="N3853">
        <v>0</v>
      </c>
      <c r="O3853">
        <v>-1.189225E-2</v>
      </c>
      <c r="P3853">
        <v>-0.98982979999999998</v>
      </c>
      <c r="Q3853">
        <v>0.13962529999999901</v>
      </c>
      <c r="R3853">
        <v>2.724033E-2</v>
      </c>
      <c r="S3853">
        <v>-3.0434570000000001</v>
      </c>
      <c r="T3853">
        <v>-0.1521807</v>
      </c>
      <c r="U3853">
        <v>0.35481259999999998</v>
      </c>
      <c r="V3853">
        <v>3.9103470000000001E-2</v>
      </c>
      <c r="W3853">
        <v>0.15361459999999999</v>
      </c>
      <c r="X3853">
        <v>0.98735680000000003</v>
      </c>
      <c r="Y3853">
        <v>0.1274313</v>
      </c>
      <c r="Z3853">
        <v>3.7656539999999998E-3</v>
      </c>
      <c r="AA3853">
        <v>0.99184019999999995</v>
      </c>
      <c r="AB3853">
        <v>29</v>
      </c>
      <c r="AC3853">
        <v>-21.909499999999898</v>
      </c>
      <c r="AD3853">
        <v>-1.1097154823640001</v>
      </c>
      <c r="AE3853">
        <v>2.59040000000001</v>
      </c>
      <c r="AF3853">
        <v>2.84360172891467</v>
      </c>
      <c r="AG3853">
        <v>-1.1097154823640001</v>
      </c>
      <c r="AH3853">
        <v>21.821930948487498</v>
      </c>
      <c r="AI3853">
        <v>92.886802471218402</v>
      </c>
      <c r="AJ3853">
        <v>82.575658441326595</v>
      </c>
      <c r="AK3853">
        <v>22.0343869795609</v>
      </c>
      <c r="AL3853">
        <v>81.163543463184098</v>
      </c>
      <c r="AM3853">
        <v>87.732032115274293</v>
      </c>
      <c r="AN3853">
        <v>0.99999998860271999</v>
      </c>
    </row>
    <row r="3854" spans="1:40" x14ac:dyDescent="0.25">
      <c r="A3854" t="str">
        <f>"20190312172740558"</f>
        <v>20190312172740558</v>
      </c>
      <c r="B3854" t="str">
        <f>"1552382860552784"</f>
        <v>1552382860552784</v>
      </c>
      <c r="C3854" t="s">
        <v>40</v>
      </c>
      <c r="D3854">
        <v>3.4435790000000002</v>
      </c>
      <c r="E3854">
        <v>0.53577790000000003</v>
      </c>
      <c r="F3854" t="s">
        <v>41</v>
      </c>
      <c r="G3854">
        <v>-367.00670000000002</v>
      </c>
      <c r="H3854" s="1">
        <v>-2.4385430000000002E-6</v>
      </c>
      <c r="I3854">
        <v>144.0213</v>
      </c>
      <c r="J3854">
        <v>-345.30149999999998</v>
      </c>
      <c r="K3854">
        <v>1.1097140000000001</v>
      </c>
      <c r="L3854">
        <v>141.47020000000001</v>
      </c>
      <c r="M3854">
        <v>-0.99983230000000001</v>
      </c>
      <c r="N3854">
        <v>0</v>
      </c>
      <c r="O3854">
        <v>-1.160747E-2</v>
      </c>
      <c r="P3854">
        <v>-0.98998759999999997</v>
      </c>
      <c r="Q3854">
        <v>0.13854720000000001</v>
      </c>
      <c r="R3854">
        <v>2.7010719999999998E-2</v>
      </c>
      <c r="S3854">
        <v>-3.042786</v>
      </c>
      <c r="T3854">
        <v>-0.1535851</v>
      </c>
      <c r="U3854">
        <v>0.3526764</v>
      </c>
      <c r="V3854">
        <v>3.8592979999999999E-2</v>
      </c>
      <c r="W3854">
        <v>0.1525368</v>
      </c>
      <c r="X3854">
        <v>0.98754399999999998</v>
      </c>
      <c r="Y3854">
        <v>0.12648519999999999</v>
      </c>
      <c r="Z3854">
        <v>3.7632379999999999E-3</v>
      </c>
      <c r="AA3854">
        <v>0.99196139999999999</v>
      </c>
      <c r="AB3854">
        <v>29</v>
      </c>
      <c r="AC3854">
        <v>-21.705200000000001</v>
      </c>
      <c r="AD3854">
        <v>-1.1097164385429901</v>
      </c>
      <c r="AE3854">
        <v>2.5510999999999902</v>
      </c>
      <c r="AF3854">
        <v>2.7956876388907701</v>
      </c>
      <c r="AG3854">
        <v>-1.1097164385429901</v>
      </c>
      <c r="AH3854">
        <v>21.6183833921461</v>
      </c>
      <c r="AI3854">
        <v>92.9143064559469</v>
      </c>
      <c r="AJ3854">
        <v>82.631409261492493</v>
      </c>
      <c r="AK3854">
        <v>21.8266314496314</v>
      </c>
      <c r="AL3854">
        <v>81.226033636385196</v>
      </c>
      <c r="AM3854">
        <v>87.762033664125497</v>
      </c>
      <c r="AN3854">
        <v>1.0000000226977599</v>
      </c>
    </row>
    <row r="3855" spans="1:40" x14ac:dyDescent="0.25">
      <c r="A3855" t="str">
        <f>"20190312172740582"</f>
        <v>20190312172740582</v>
      </c>
      <c r="B3855" t="str">
        <f>"1552382860573281"</f>
        <v>1552382860573281</v>
      </c>
      <c r="C3855" t="s">
        <v>40</v>
      </c>
      <c r="D3855">
        <v>3.4289710000000002</v>
      </c>
      <c r="E3855">
        <v>0.53572799999999998</v>
      </c>
      <c r="F3855" t="s">
        <v>41</v>
      </c>
      <c r="G3855">
        <v>-366.9153</v>
      </c>
      <c r="H3855" s="1">
        <v>-2.463991E-6</v>
      </c>
      <c r="I3855">
        <v>143.96969999999999</v>
      </c>
      <c r="J3855">
        <v>-345.59859999999998</v>
      </c>
      <c r="K3855">
        <v>1.109707</v>
      </c>
      <c r="L3855">
        <v>141.46709999999999</v>
      </c>
      <c r="M3855">
        <v>-0.99983569999999999</v>
      </c>
      <c r="N3855">
        <v>0</v>
      </c>
      <c r="O3855">
        <v>-1.1305519999999999E-2</v>
      </c>
      <c r="P3855">
        <v>-0.99015940000000002</v>
      </c>
      <c r="Q3855">
        <v>0.13733960000000001</v>
      </c>
      <c r="R3855">
        <v>2.6881289999999999E-2</v>
      </c>
      <c r="S3855">
        <v>-3.0425719999999998</v>
      </c>
      <c r="T3855">
        <v>-0.1562151</v>
      </c>
      <c r="U3855">
        <v>0.35186770000000001</v>
      </c>
      <c r="V3855">
        <v>3.8165699999999997E-2</v>
      </c>
      <c r="W3855">
        <v>0.15132889999999999</v>
      </c>
      <c r="X3855">
        <v>0.98774640000000002</v>
      </c>
      <c r="Y3855">
        <v>0.1259284</v>
      </c>
      <c r="Z3855">
        <v>3.7982390000000001E-3</v>
      </c>
      <c r="AA3855">
        <v>0.99203209999999997</v>
      </c>
      <c r="AB3855">
        <v>29</v>
      </c>
      <c r="AC3855">
        <v>-21.316700000000001</v>
      </c>
      <c r="AD3855">
        <v>-1.1097094639909999</v>
      </c>
      <c r="AE3855">
        <v>2.5026000000000002</v>
      </c>
      <c r="AF3855">
        <v>2.73614629783608</v>
      </c>
      <c r="AG3855">
        <v>-1.1097094639909999</v>
      </c>
      <c r="AH3855">
        <v>21.230288260923501</v>
      </c>
      <c r="AI3855">
        <v>92.967633457032406</v>
      </c>
      <c r="AJ3855">
        <v>82.656236867640402</v>
      </c>
      <c r="AK3855">
        <v>21.434623656587501</v>
      </c>
      <c r="AL3855">
        <v>81.296053924790797</v>
      </c>
      <c r="AM3855">
        <v>87.787239465266794</v>
      </c>
      <c r="AN3855">
        <v>1.00000000367233</v>
      </c>
    </row>
    <row r="3856" spans="1:40" x14ac:dyDescent="0.25">
      <c r="A3856" t="str">
        <f>"20190312172740603"</f>
        <v>20190312172740603</v>
      </c>
      <c r="B3856" t="str">
        <f>"1552382860592801"</f>
        <v>1552382860592801</v>
      </c>
      <c r="C3856" t="s">
        <v>40</v>
      </c>
      <c r="D3856">
        <v>3.4494769999999901</v>
      </c>
      <c r="E3856">
        <v>0.53569880000000003</v>
      </c>
      <c r="F3856" t="s">
        <v>41</v>
      </c>
      <c r="G3856">
        <v>-366.78570000000002</v>
      </c>
      <c r="H3856" s="1">
        <v>-2.504426E-6</v>
      </c>
      <c r="I3856">
        <v>143.9127</v>
      </c>
      <c r="J3856">
        <v>-345.8861</v>
      </c>
      <c r="K3856">
        <v>1.1097060000000001</v>
      </c>
      <c r="L3856">
        <v>141.4641</v>
      </c>
      <c r="M3856">
        <v>-0.99983889999999997</v>
      </c>
      <c r="N3856">
        <v>0</v>
      </c>
      <c r="O3856">
        <v>-1.101311E-2</v>
      </c>
      <c r="P3856">
        <v>-0.99029769999999995</v>
      </c>
      <c r="Q3856">
        <v>0.1363885</v>
      </c>
      <c r="R3856">
        <v>2.662349E-2</v>
      </c>
      <c r="S3856">
        <v>-3.0423580000000001</v>
      </c>
      <c r="T3856">
        <v>-0.1593493</v>
      </c>
      <c r="U3856">
        <v>0.35119630000000002</v>
      </c>
      <c r="V3856">
        <v>3.7619050000000001E-2</v>
      </c>
      <c r="W3856">
        <v>0.1503776</v>
      </c>
      <c r="X3856">
        <v>0.98791269999999998</v>
      </c>
      <c r="Y3856">
        <v>0.12542400000000001</v>
      </c>
      <c r="Z3856">
        <v>3.8462449999999999E-3</v>
      </c>
      <c r="AA3856">
        <v>0.99209579999999997</v>
      </c>
      <c r="AB3856">
        <v>29</v>
      </c>
      <c r="AC3856">
        <v>-20.8996</v>
      </c>
      <c r="AD3856">
        <v>-1.10970850442599</v>
      </c>
      <c r="AE3856">
        <v>2.4485999999999901</v>
      </c>
      <c r="AF3856">
        <v>2.6712151949827398</v>
      </c>
      <c r="AG3856">
        <v>-1.10970850442599</v>
      </c>
      <c r="AH3856">
        <v>20.813477895161501</v>
      </c>
      <c r="AI3856">
        <v>93.027157122336206</v>
      </c>
      <c r="AJ3856">
        <v>82.686601568803098</v>
      </c>
      <c r="AK3856">
        <v>21.0135124544917</v>
      </c>
      <c r="AL3856">
        <v>81.351190857766298</v>
      </c>
      <c r="AM3856">
        <v>87.819268957986495</v>
      </c>
      <c r="AN3856">
        <v>1.0000000591629701</v>
      </c>
    </row>
    <row r="3857" spans="1:40" x14ac:dyDescent="0.25">
      <c r="A3857" t="str">
        <f>"20190312172740625"</f>
        <v>20190312172740625</v>
      </c>
      <c r="B3857" t="str">
        <f>"1552382860613297"</f>
        <v>1552382860613297</v>
      </c>
      <c r="C3857" t="s">
        <v>40</v>
      </c>
      <c r="D3857">
        <v>3.4344049999999999</v>
      </c>
      <c r="E3857">
        <v>0.53569040000000001</v>
      </c>
      <c r="F3857" t="s">
        <v>41</v>
      </c>
      <c r="G3857">
        <v>-366.77089999999998</v>
      </c>
      <c r="H3857" s="1">
        <v>-2.4990600000000001E-6</v>
      </c>
      <c r="I3857">
        <v>143.86859999999999</v>
      </c>
      <c r="J3857">
        <v>-346.1651</v>
      </c>
      <c r="K3857">
        <v>1.109701</v>
      </c>
      <c r="L3857">
        <v>141.4614</v>
      </c>
      <c r="M3857">
        <v>-0.99984220000000001</v>
      </c>
      <c r="N3857">
        <v>0</v>
      </c>
      <c r="O3857">
        <v>-1.072963E-2</v>
      </c>
      <c r="P3857">
        <v>-0.99052980000000002</v>
      </c>
      <c r="Q3857">
        <v>0.13471029999999901</v>
      </c>
      <c r="R3857">
        <v>2.6537330000000001E-2</v>
      </c>
      <c r="S3857">
        <v>-3.042297</v>
      </c>
      <c r="T3857">
        <v>-0.16165270000000001</v>
      </c>
      <c r="U3857">
        <v>0.3502808</v>
      </c>
      <c r="V3857">
        <v>3.7253399999999999E-2</v>
      </c>
      <c r="W3857">
        <v>0.1487002</v>
      </c>
      <c r="X3857">
        <v>0.98818039999999996</v>
      </c>
      <c r="Y3857">
        <v>0.1248461</v>
      </c>
      <c r="Z3857">
        <v>3.8716089999999998E-3</v>
      </c>
      <c r="AA3857">
        <v>0.99216850000000001</v>
      </c>
      <c r="AB3857">
        <v>29</v>
      </c>
      <c r="AC3857">
        <v>-20.605799999999899</v>
      </c>
      <c r="AD3857">
        <v>-1.1097034990600001</v>
      </c>
      <c r="AE3857">
        <v>2.40719999999998</v>
      </c>
      <c r="AF3857">
        <v>2.6206778944422799</v>
      </c>
      <c r="AG3857">
        <v>-1.1097034990600001</v>
      </c>
      <c r="AH3857">
        <v>20.5200706422407</v>
      </c>
      <c r="AI3857">
        <v>93.070587342800593</v>
      </c>
      <c r="AJ3857">
        <v>82.721988276465495</v>
      </c>
      <c r="AK3857">
        <v>20.7164836216186</v>
      </c>
      <c r="AL3857">
        <v>81.448391531082606</v>
      </c>
      <c r="AM3857">
        <v>87.841029554796407</v>
      </c>
      <c r="AN3857">
        <v>1.0000000341178701</v>
      </c>
    </row>
    <row r="3858" spans="1:40" x14ac:dyDescent="0.25">
      <c r="A3858" t="str">
        <f>"20190312172740648"</f>
        <v>20190312172740648</v>
      </c>
      <c r="B3858" t="str">
        <f>"1552382860643553"</f>
        <v>1552382860643553</v>
      </c>
      <c r="C3858" t="s">
        <v>40</v>
      </c>
      <c r="D3858">
        <v>3.4399609999999998</v>
      </c>
      <c r="E3858">
        <v>0.53566320000000001</v>
      </c>
      <c r="F3858" t="s">
        <v>41</v>
      </c>
      <c r="G3858">
        <v>-366.50389999999999</v>
      </c>
      <c r="H3858" s="1">
        <v>-2.5957469999999998E-6</v>
      </c>
      <c r="I3858">
        <v>143.80160000000001</v>
      </c>
      <c r="J3858">
        <v>-346.45119999999997</v>
      </c>
      <c r="K3858">
        <v>1.1096980000000001</v>
      </c>
      <c r="L3858">
        <v>141.45859999999999</v>
      </c>
      <c r="M3858">
        <v>-0.99984530000000005</v>
      </c>
      <c r="N3858">
        <v>0</v>
      </c>
      <c r="O3858">
        <v>-1.0438289999999999E-2</v>
      </c>
      <c r="P3858">
        <v>-0.99079950000000006</v>
      </c>
      <c r="Q3858">
        <v>0.1328684</v>
      </c>
      <c r="R3858">
        <v>2.5741099999999999E-2</v>
      </c>
      <c r="S3858">
        <v>-3.0419309999999999</v>
      </c>
      <c r="T3858">
        <v>-0.16597089999999901</v>
      </c>
      <c r="U3858">
        <v>0.35002139999999998</v>
      </c>
      <c r="V3858">
        <v>3.6170250000000001E-2</v>
      </c>
      <c r="W3858">
        <v>0.1468605</v>
      </c>
      <c r="X3858">
        <v>0.98849569999999998</v>
      </c>
      <c r="Y3858">
        <v>0.1244778</v>
      </c>
      <c r="Z3858">
        <v>3.9495299999999997E-3</v>
      </c>
      <c r="AA3858">
        <v>0.9922145</v>
      </c>
      <c r="AB3858">
        <v>29</v>
      </c>
      <c r="AC3858">
        <v>-20.052700000000002</v>
      </c>
      <c r="AD3858">
        <v>-1.1097005957470001</v>
      </c>
      <c r="AE3858">
        <v>2.3430000000000102</v>
      </c>
      <c r="AF3858">
        <v>2.5445217377453901</v>
      </c>
      <c r="AG3858">
        <v>-1.1097005957470001</v>
      </c>
      <c r="AH3858">
        <v>19.966824509059499</v>
      </c>
      <c r="AI3858">
        <v>93.155599020483706</v>
      </c>
      <c r="AJ3858">
        <v>82.737516585307304</v>
      </c>
      <c r="AK3858">
        <v>20.158871676302699</v>
      </c>
      <c r="AL3858">
        <v>81.554968675431198</v>
      </c>
      <c r="AM3858">
        <v>87.904413254766595</v>
      </c>
      <c r="AN3858">
        <v>1.0000000211819</v>
      </c>
    </row>
    <row r="3859" spans="1:40" x14ac:dyDescent="0.25">
      <c r="A3859" t="str">
        <f>"20190312172740671"</f>
        <v>20190312172740671</v>
      </c>
      <c r="B3859" t="str">
        <f>"1552382860662762"</f>
        <v>1552382860662762</v>
      </c>
      <c r="C3859" t="s">
        <v>40</v>
      </c>
      <c r="D3859">
        <v>3.460153</v>
      </c>
      <c r="E3859">
        <v>0.53565839999999998</v>
      </c>
      <c r="F3859" t="s">
        <v>41</v>
      </c>
      <c r="G3859">
        <v>-366.34210000000002</v>
      </c>
      <c r="H3859" s="1">
        <v>-2.6463859999999998E-6</v>
      </c>
      <c r="I3859">
        <v>143.73099999999999</v>
      </c>
      <c r="J3859">
        <v>-346.7457</v>
      </c>
      <c r="K3859">
        <v>1.1096889999999999</v>
      </c>
      <c r="L3859">
        <v>141.45590000000001</v>
      </c>
      <c r="M3859">
        <v>-0.99984839999999997</v>
      </c>
      <c r="N3859">
        <v>0</v>
      </c>
      <c r="O3859">
        <v>-1.013812E-2</v>
      </c>
      <c r="P3859">
        <v>-0.99104539999999997</v>
      </c>
      <c r="Q3859">
        <v>0.13125690000000001</v>
      </c>
      <c r="R3859">
        <v>2.4510589999999999E-2</v>
      </c>
      <c r="S3859">
        <v>-3.0416259999999999</v>
      </c>
      <c r="T3859">
        <v>-0.1696906</v>
      </c>
      <c r="U3859">
        <v>0.34750370000000003</v>
      </c>
      <c r="V3859">
        <v>3.4643849999999997E-2</v>
      </c>
      <c r="W3859">
        <v>0.14525089999999999</v>
      </c>
      <c r="X3859">
        <v>0.98878809999999995</v>
      </c>
      <c r="Y3859">
        <v>0.1233736</v>
      </c>
      <c r="Z3859">
        <v>3.9911390000000003E-3</v>
      </c>
      <c r="AA3859">
        <v>0.99235220000000002</v>
      </c>
      <c r="AB3859">
        <v>29</v>
      </c>
      <c r="AC3859">
        <v>-19.596399999999999</v>
      </c>
      <c r="AD3859">
        <v>-1.10969164638599</v>
      </c>
      <c r="AE3859">
        <v>2.2750999999999801</v>
      </c>
      <c r="AF3859">
        <v>2.46587158408986</v>
      </c>
      <c r="AG3859">
        <v>-1.10969164638599</v>
      </c>
      <c r="AH3859">
        <v>19.510593499584999</v>
      </c>
      <c r="AI3859">
        <v>93.229631515236306</v>
      </c>
      <c r="AJ3859">
        <v>82.796790290951904</v>
      </c>
      <c r="AK3859">
        <v>19.6970860008614</v>
      </c>
      <c r="AL3859">
        <v>81.648191174737406</v>
      </c>
      <c r="AM3859">
        <v>87.993367062788494</v>
      </c>
      <c r="AN3859">
        <v>0.99999996349761999</v>
      </c>
    </row>
    <row r="3860" spans="1:40" x14ac:dyDescent="0.25">
      <c r="A3860" t="str">
        <f>"20190312172740693"</f>
        <v>20190312172740693</v>
      </c>
      <c r="B3860" t="str">
        <f>"1552382860683254"</f>
        <v>1552382860683254</v>
      </c>
      <c r="C3860" t="s">
        <v>40</v>
      </c>
      <c r="D3860">
        <v>3.4008539999999998</v>
      </c>
      <c r="E3860">
        <v>0.49844110000000003</v>
      </c>
      <c r="F3860" t="s">
        <v>41</v>
      </c>
      <c r="G3860">
        <v>-366.10789999999997</v>
      </c>
      <c r="H3860" s="1">
        <v>-2.7233100000000001E-6</v>
      </c>
      <c r="I3860">
        <v>143.64259999999999</v>
      </c>
      <c r="J3860">
        <v>-347.03109999999998</v>
      </c>
      <c r="K3860">
        <v>1.109683</v>
      </c>
      <c r="L3860">
        <v>141.45330000000001</v>
      </c>
      <c r="M3860">
        <v>-0.9998513</v>
      </c>
      <c r="N3860">
        <v>0</v>
      </c>
      <c r="O3860">
        <v>-9.8476109999999992E-3</v>
      </c>
      <c r="P3860">
        <v>-0.99142410000000003</v>
      </c>
      <c r="Q3860">
        <v>0.12877069999999999</v>
      </c>
      <c r="R3860">
        <v>2.2277700000000001E-2</v>
      </c>
      <c r="S3860">
        <v>-3.041687</v>
      </c>
      <c r="T3860">
        <v>-0.17432619999999999</v>
      </c>
      <c r="U3860">
        <v>0.34353640000000002</v>
      </c>
      <c r="V3860">
        <v>3.2125149999999998E-2</v>
      </c>
      <c r="W3860">
        <v>0.14276939999999999</v>
      </c>
      <c r="X3860">
        <v>0.98923450000000002</v>
      </c>
      <c r="Y3860">
        <v>0.12179669999999999</v>
      </c>
      <c r="Z3860">
        <v>4.0386140000000003E-3</v>
      </c>
      <c r="AA3860">
        <v>0.99254690000000001</v>
      </c>
      <c r="AB3860">
        <v>29</v>
      </c>
      <c r="AC3860">
        <v>-19.076799999999899</v>
      </c>
      <c r="AD3860">
        <v>-1.1096857233099999</v>
      </c>
      <c r="AE3860">
        <v>2.18929999999997</v>
      </c>
      <c r="AF3860">
        <v>2.3691612847349801</v>
      </c>
      <c r="AG3860">
        <v>-1.1096857233099999</v>
      </c>
      <c r="AH3860">
        <v>18.990889540339101</v>
      </c>
      <c r="AI3860">
        <v>93.318469654359106</v>
      </c>
      <c r="AJ3860">
        <v>82.888945614682001</v>
      </c>
      <c r="AK3860">
        <v>19.170242907458601</v>
      </c>
      <c r="AL3860">
        <v>81.791868753223298</v>
      </c>
      <c r="AM3860">
        <v>88.1399871622219</v>
      </c>
      <c r="AN3860">
        <v>1.00000001141456</v>
      </c>
    </row>
    <row r="3861" spans="1:40" x14ac:dyDescent="0.25">
      <c r="A3861" t="str">
        <f>"20190312172740716"</f>
        <v>20190312172740716</v>
      </c>
      <c r="B3861" t="str">
        <f>"1552382860713510"</f>
        <v>1552382860713510</v>
      </c>
      <c r="C3861" t="s">
        <v>40</v>
      </c>
      <c r="D3861">
        <v>3.2381470000000001</v>
      </c>
      <c r="E3861">
        <v>0.475545</v>
      </c>
      <c r="F3861" t="s">
        <v>41</v>
      </c>
      <c r="G3861">
        <v>-371.49509999999998</v>
      </c>
      <c r="H3861" s="1">
        <v>-4.1521030000000003E-6</v>
      </c>
      <c r="I3861">
        <v>141.7859</v>
      </c>
      <c r="J3861">
        <v>-347.32639999999998</v>
      </c>
      <c r="K3861">
        <v>1.1096760000000001</v>
      </c>
      <c r="L3861">
        <v>141.45070000000001</v>
      </c>
      <c r="M3861">
        <v>-0.99985440000000003</v>
      </c>
      <c r="N3861">
        <v>0</v>
      </c>
      <c r="O3861">
        <v>-9.5470880000000004E-3</v>
      </c>
      <c r="P3861">
        <v>-0.99191890000000005</v>
      </c>
      <c r="Q3861">
        <v>0.1254769</v>
      </c>
      <c r="R3861">
        <v>1.8785260000000002E-2</v>
      </c>
      <c r="S3861">
        <v>-3.042999</v>
      </c>
      <c r="T3861">
        <v>-0.13803080000000001</v>
      </c>
      <c r="U3861">
        <v>4.1381840000000003E-2</v>
      </c>
      <c r="V3861">
        <v>2.8337709999999999E-2</v>
      </c>
      <c r="W3861">
        <v>0.13948289999999999</v>
      </c>
      <c r="X3861">
        <v>0.98981889999999995</v>
      </c>
      <c r="Y3861">
        <v>2.3110740000000001E-2</v>
      </c>
      <c r="Z3861">
        <v>9.5671899999999997E-4</v>
      </c>
      <c r="AA3861">
        <v>0.99973239999999997</v>
      </c>
      <c r="AB3861">
        <v>29</v>
      </c>
      <c r="AC3861">
        <v>-24.168700000000001</v>
      </c>
      <c r="AD3861">
        <v>-1.109680152103</v>
      </c>
      <c r="AE3861">
        <v>0.33519999999998601</v>
      </c>
      <c r="AF3861">
        <v>0.56475817549677099</v>
      </c>
      <c r="AG3861">
        <v>-1.109680152103</v>
      </c>
      <c r="AH3861">
        <v>24.1135740024889</v>
      </c>
      <c r="AI3861">
        <v>92.634108510289195</v>
      </c>
      <c r="AJ3861">
        <v>88.658334706747397</v>
      </c>
      <c r="AK3861">
        <v>24.1456992652992</v>
      </c>
      <c r="AL3861">
        <v>81.982074825576802</v>
      </c>
      <c r="AM3861">
        <v>88.360116371151406</v>
      </c>
      <c r="AN3861">
        <v>0.99999997999883095</v>
      </c>
    </row>
    <row r="3862" spans="1:40" x14ac:dyDescent="0.25">
      <c r="A3862" t="str">
        <f>"20190312172740740"</f>
        <v>20190312172740740</v>
      </c>
      <c r="B3862" t="str">
        <f>"1552382860733031"</f>
        <v>1552382860733031</v>
      </c>
      <c r="C3862" t="s">
        <v>40</v>
      </c>
      <c r="D3862">
        <v>3.1666110000000001</v>
      </c>
      <c r="E3862">
        <v>0.46885189999999999</v>
      </c>
      <c r="F3862" t="s">
        <v>41</v>
      </c>
      <c r="G3862">
        <v>-370.84300000000002</v>
      </c>
      <c r="H3862" s="1">
        <v>-4.0868950000000003E-6</v>
      </c>
      <c r="I3862">
        <v>140.27860000000001</v>
      </c>
      <c r="J3862">
        <v>-347.63600000000002</v>
      </c>
      <c r="K3862">
        <v>1.1096649999999999</v>
      </c>
      <c r="L3862">
        <v>141.44810000000001</v>
      </c>
      <c r="M3862">
        <v>-0.99985740000000001</v>
      </c>
      <c r="N3862">
        <v>0</v>
      </c>
      <c r="O3862">
        <v>-9.2315460000000002E-3</v>
      </c>
      <c r="P3862">
        <v>-0.99245269999999997</v>
      </c>
      <c r="Q3862">
        <v>0.1218019</v>
      </c>
      <c r="R3862">
        <v>1.422434E-2</v>
      </c>
      <c r="S3862">
        <v>-3.045471</v>
      </c>
      <c r="T3862">
        <v>-0.1437078</v>
      </c>
      <c r="U3862">
        <v>-0.1517792</v>
      </c>
      <c r="V3862">
        <v>2.346664E-2</v>
      </c>
      <c r="W3862">
        <v>0.1358164</v>
      </c>
      <c r="X3862">
        <v>0.990456</v>
      </c>
      <c r="Y3862">
        <v>-4.0518020000000002E-2</v>
      </c>
      <c r="Z3862">
        <v>-5.1973169999999997E-4</v>
      </c>
      <c r="AA3862">
        <v>0.99917860000000003</v>
      </c>
      <c r="AB3862">
        <v>29</v>
      </c>
      <c r="AC3862">
        <v>-23.207000000000001</v>
      </c>
      <c r="AD3862">
        <v>-1.1096690868950001</v>
      </c>
      <c r="AE3862">
        <v>-1.16949999999999</v>
      </c>
      <c r="AF3862">
        <v>-0.953018799049556</v>
      </c>
      <c r="AG3862">
        <v>-1.1096690868950001</v>
      </c>
      <c r="AH3862">
        <v>23.163980716463101</v>
      </c>
      <c r="AI3862">
        <v>92.740339341513305</v>
      </c>
      <c r="AJ3862">
        <v>92.355949859206504</v>
      </c>
      <c r="AK3862">
        <v>23.210118762006001</v>
      </c>
      <c r="AL3862">
        <v>82.194168488887101</v>
      </c>
      <c r="AM3862">
        <v>88.642758556019999</v>
      </c>
      <c r="AN3862">
        <v>0.99999993281892197</v>
      </c>
    </row>
    <row r="3863" spans="1:40" x14ac:dyDescent="0.25">
      <c r="A3863" t="str">
        <f>"20190312172740762"</f>
        <v>20190312172740762</v>
      </c>
      <c r="B3863" t="str">
        <f>"1552382860753526"</f>
        <v>1552382860753526</v>
      </c>
      <c r="C3863" t="s">
        <v>40</v>
      </c>
      <c r="D3863">
        <v>3.1881159999999999</v>
      </c>
      <c r="E3863">
        <v>0.46492080000000002</v>
      </c>
      <c r="F3863" t="s">
        <v>41</v>
      </c>
      <c r="G3863">
        <v>-369.21050000000002</v>
      </c>
      <c r="H3863" s="1">
        <v>-3.9399730000000001E-7</v>
      </c>
      <c r="I3863">
        <v>139.8905</v>
      </c>
      <c r="J3863">
        <v>-347.9135</v>
      </c>
      <c r="K3863">
        <v>1.1096549999999901</v>
      </c>
      <c r="L3863">
        <v>141.44579999999999</v>
      </c>
      <c r="M3863">
        <v>-0.99985990000000002</v>
      </c>
      <c r="N3863">
        <v>0</v>
      </c>
      <c r="O3863">
        <v>-8.9485469999999994E-3</v>
      </c>
      <c r="P3863">
        <v>-0.99294990000000005</v>
      </c>
      <c r="Q3863">
        <v>0.1181567</v>
      </c>
      <c r="R3863">
        <v>9.4641800000000009E-3</v>
      </c>
      <c r="S3863">
        <v>-3.0451969999999999</v>
      </c>
      <c r="T3863">
        <v>-0.1566274</v>
      </c>
      <c r="U3863">
        <v>-0.21983340000000001</v>
      </c>
      <c r="V3863">
        <v>1.8427829999999999E-2</v>
      </c>
      <c r="W3863">
        <v>0.13217880000000001</v>
      </c>
      <c r="X3863">
        <v>0.99105460000000001</v>
      </c>
      <c r="Y3863">
        <v>-6.3002669999999997E-2</v>
      </c>
      <c r="Z3863">
        <v>-1.157712E-3</v>
      </c>
      <c r="AA3863">
        <v>0.99801269999999997</v>
      </c>
      <c r="AB3863">
        <v>29</v>
      </c>
      <c r="AC3863">
        <v>-21.297000000000001</v>
      </c>
      <c r="AD3863">
        <v>-1.10965539399729</v>
      </c>
      <c r="AE3863">
        <v>-1.5552999999999799</v>
      </c>
      <c r="AF3863">
        <v>-1.3609662749403699</v>
      </c>
      <c r="AG3863">
        <v>-1.10965539399729</v>
      </c>
      <c r="AH3863">
        <v>21.252675295748102</v>
      </c>
      <c r="AI3863">
        <v>92.982743603705103</v>
      </c>
      <c r="AJ3863">
        <v>93.664070244203401</v>
      </c>
      <c r="AK3863">
        <v>21.325097221852399</v>
      </c>
      <c r="AL3863">
        <v>82.404485122918103</v>
      </c>
      <c r="AM3863">
        <v>88.934755736838497</v>
      </c>
      <c r="AN3863">
        <v>1.00000002013455</v>
      </c>
    </row>
    <row r="3864" spans="1:40" x14ac:dyDescent="0.25">
      <c r="A3864" t="str">
        <f>"20190312172740782"</f>
        <v>20190312172740782</v>
      </c>
      <c r="B3864" t="str">
        <f>"1552382860773046"</f>
        <v>1552382860773046</v>
      </c>
      <c r="C3864" t="s">
        <v>40</v>
      </c>
      <c r="D3864">
        <v>3.2901690000000001</v>
      </c>
      <c r="E3864">
        <v>0.46302189999999999</v>
      </c>
      <c r="F3864" t="s">
        <v>41</v>
      </c>
      <c r="G3864">
        <v>-367.80919999999998</v>
      </c>
      <c r="H3864" s="1">
        <v>-9.4590369999999999E-7</v>
      </c>
      <c r="I3864">
        <v>139.7056</v>
      </c>
      <c r="J3864">
        <v>-348.17439999999999</v>
      </c>
      <c r="K3864">
        <v>1.1096410000000001</v>
      </c>
      <c r="L3864">
        <v>141.44380000000001</v>
      </c>
      <c r="M3864">
        <v>-0.99986229999999998</v>
      </c>
      <c r="N3864">
        <v>0</v>
      </c>
      <c r="O3864">
        <v>-8.6827129999999999E-3</v>
      </c>
      <c r="P3864">
        <v>-0.99346210000000001</v>
      </c>
      <c r="Q3864">
        <v>0.11407970000000001</v>
      </c>
      <c r="R3864">
        <v>4.3687120000000003E-3</v>
      </c>
      <c r="S3864">
        <v>-3.0440369999999999</v>
      </c>
      <c r="T3864">
        <v>-0.1697776</v>
      </c>
      <c r="U3864">
        <v>-0.2662506</v>
      </c>
      <c r="V3864">
        <v>1.3070409999999999E-2</v>
      </c>
      <c r="W3864">
        <v>0.128111</v>
      </c>
      <c r="X3864">
        <v>0.99167369999999999</v>
      </c>
      <c r="Y3864">
        <v>-7.8372339999999999E-2</v>
      </c>
      <c r="Z3864">
        <v>-1.696744E-3</v>
      </c>
      <c r="AA3864">
        <v>0.99692270000000005</v>
      </c>
      <c r="AB3864">
        <v>29</v>
      </c>
      <c r="AC3864">
        <v>-19.634799999999899</v>
      </c>
      <c r="AD3864">
        <v>-1.1096419459036999</v>
      </c>
      <c r="AE3864">
        <v>-1.7382</v>
      </c>
      <c r="AF3864">
        <v>-1.56268193928363</v>
      </c>
      <c r="AG3864">
        <v>-1.1096419459036999</v>
      </c>
      <c r="AH3864">
        <v>19.5870820108454</v>
      </c>
      <c r="AI3864">
        <v>93.232190488968897</v>
      </c>
      <c r="AJ3864">
        <v>94.561467448664402</v>
      </c>
      <c r="AK3864">
        <v>19.6806265599207</v>
      </c>
      <c r="AL3864">
        <v>82.639552130410493</v>
      </c>
      <c r="AM3864">
        <v>89.244876646605803</v>
      </c>
      <c r="AN3864">
        <v>0.99999999560512898</v>
      </c>
    </row>
    <row r="3865" spans="1:40" x14ac:dyDescent="0.25">
      <c r="A3865" t="str">
        <f>"20190312172740804"</f>
        <v>20190312172740804</v>
      </c>
      <c r="B3865" t="str">
        <f>"1552382860793543"</f>
        <v>1552382860793543</v>
      </c>
      <c r="C3865" t="s">
        <v>40</v>
      </c>
      <c r="D3865">
        <v>3.2476440000000002</v>
      </c>
      <c r="E3865">
        <v>0.46160649999999998</v>
      </c>
      <c r="F3865" t="s">
        <v>41</v>
      </c>
      <c r="G3865">
        <v>-366.86110000000002</v>
      </c>
      <c r="H3865" s="1">
        <v>-1.329066E-6</v>
      </c>
      <c r="I3865">
        <v>139.61699999999999</v>
      </c>
      <c r="J3865">
        <v>-348.45609999999999</v>
      </c>
      <c r="K3865">
        <v>1.1096220000000001</v>
      </c>
      <c r="L3865">
        <v>141.44159999999999</v>
      </c>
      <c r="M3865">
        <v>-0.99986489999999995</v>
      </c>
      <c r="N3865">
        <v>0</v>
      </c>
      <c r="O3865">
        <v>-8.3957790000000008E-3</v>
      </c>
      <c r="P3865">
        <v>-0.99403730000000001</v>
      </c>
      <c r="Q3865">
        <v>0.1090397</v>
      </c>
      <c r="R3865">
        <v>-6.5343309999999996E-4</v>
      </c>
      <c r="S3865">
        <v>-3.041779</v>
      </c>
      <c r="T3865">
        <v>-0.18062520000000001</v>
      </c>
      <c r="U3865">
        <v>-0.297348</v>
      </c>
      <c r="V3865">
        <v>7.7650180000000003E-3</v>
      </c>
      <c r="W3865">
        <v>0.12307999999999999</v>
      </c>
      <c r="X3865">
        <v>0.99236639999999998</v>
      </c>
      <c r="Y3865">
        <v>-8.8790450000000007E-2</v>
      </c>
      <c r="Z3865">
        <v>-2.130758E-3</v>
      </c>
      <c r="AA3865">
        <v>0.99604800000000004</v>
      </c>
      <c r="AB3865">
        <v>29</v>
      </c>
      <c r="AC3865">
        <v>-18.405000000000001</v>
      </c>
      <c r="AD3865">
        <v>-1.10962332906599</v>
      </c>
      <c r="AE3865">
        <v>-1.82459999999997</v>
      </c>
      <c r="AF3865">
        <v>-1.6640064826999901</v>
      </c>
      <c r="AG3865">
        <v>-1.10962332906599</v>
      </c>
      <c r="AH3865">
        <v>18.353609364214702</v>
      </c>
      <c r="AI3865">
        <v>93.445681161436795</v>
      </c>
      <c r="AJ3865">
        <v>95.1804850626431</v>
      </c>
      <c r="AK3865">
        <v>18.462263084493799</v>
      </c>
      <c r="AL3865">
        <v>82.930108503328597</v>
      </c>
      <c r="AM3865">
        <v>89.5516840558072</v>
      </c>
      <c r="AN3865">
        <v>1.0000000268767399</v>
      </c>
    </row>
    <row r="3866" spans="1:40" x14ac:dyDescent="0.25">
      <c r="A3866" t="str">
        <f>"20190312172740826"</f>
        <v>20190312172740826</v>
      </c>
      <c r="B3866" t="str">
        <f>"1552382860813062"</f>
        <v>1552382860813062</v>
      </c>
      <c r="C3866" t="s">
        <v>40</v>
      </c>
      <c r="D3866">
        <v>3.2708439999999999</v>
      </c>
      <c r="E3866">
        <v>0.46056510000000001</v>
      </c>
      <c r="F3866" t="s">
        <v>41</v>
      </c>
      <c r="G3866">
        <v>-366.00170000000003</v>
      </c>
      <c r="H3866" s="1">
        <v>-1.7051059999999999E-6</v>
      </c>
      <c r="I3866">
        <v>139.5737</v>
      </c>
      <c r="J3866">
        <v>-348.73239999999998</v>
      </c>
      <c r="K3866">
        <v>1.109602</v>
      </c>
      <c r="L3866">
        <v>141.43960000000001</v>
      </c>
      <c r="M3866">
        <v>-0.99986730000000001</v>
      </c>
      <c r="N3866">
        <v>0</v>
      </c>
      <c r="O3866">
        <v>-8.1139719999999901E-3</v>
      </c>
      <c r="P3866">
        <v>-0.99466790000000005</v>
      </c>
      <c r="Q3866">
        <v>0.1029936</v>
      </c>
      <c r="R3866">
        <v>-5.3263599999999996E-3</v>
      </c>
      <c r="S3866">
        <v>-3.0388790000000001</v>
      </c>
      <c r="T3866">
        <v>-0.19218540000000001</v>
      </c>
      <c r="U3866">
        <v>-0.32351679999999999</v>
      </c>
      <c r="V3866">
        <v>2.8136599999999999E-3</v>
      </c>
      <c r="W3866">
        <v>0.1170438</v>
      </c>
      <c r="X3866">
        <v>0.99312279999999997</v>
      </c>
      <c r="Y3866">
        <v>-9.761164E-2</v>
      </c>
      <c r="Z3866">
        <v>-2.5636600000000002E-3</v>
      </c>
      <c r="AA3866">
        <v>0.99522129999999998</v>
      </c>
      <c r="AB3866">
        <v>28</v>
      </c>
      <c r="AC3866">
        <v>-17.269300000000001</v>
      </c>
      <c r="AD3866">
        <v>-1.1096037051059999</v>
      </c>
      <c r="AE3866">
        <v>-1.8659000000000101</v>
      </c>
      <c r="AF3866">
        <v>-1.71868833645207</v>
      </c>
      <c r="AG3866">
        <v>-1.1096037051059999</v>
      </c>
      <c r="AH3866">
        <v>17.213627347079498</v>
      </c>
      <c r="AI3866">
        <v>93.670029823839897</v>
      </c>
      <c r="AJ3866">
        <v>95.701779369402502</v>
      </c>
      <c r="AK3866">
        <v>17.334764965939598</v>
      </c>
      <c r="AL3866">
        <v>83.278477829266905</v>
      </c>
      <c r="AM3866">
        <v>89.837673234713506</v>
      </c>
      <c r="AN3866">
        <v>1.0000000318404301</v>
      </c>
    </row>
    <row r="3867" spans="1:40" x14ac:dyDescent="0.25">
      <c r="A3867" t="str">
        <f>"20190312172740850"</f>
        <v>20190312172740850</v>
      </c>
      <c r="B3867" t="str">
        <f>"1552382860843318"</f>
        <v>1552382860843318</v>
      </c>
      <c r="C3867" t="s">
        <v>40</v>
      </c>
      <c r="D3867">
        <v>3.25048</v>
      </c>
      <c r="E3867">
        <v>0.45971970000000001</v>
      </c>
      <c r="F3867" t="s">
        <v>41</v>
      </c>
      <c r="G3867">
        <v>-364.9579</v>
      </c>
      <c r="H3867" s="1">
        <v>-2.1493809999999998E-6</v>
      </c>
      <c r="I3867">
        <v>139.5934</v>
      </c>
      <c r="J3867">
        <v>-349.02429999999998</v>
      </c>
      <c r="K3867">
        <v>1.1095809999999999</v>
      </c>
      <c r="L3867">
        <v>141.4375</v>
      </c>
      <c r="M3867">
        <v>-0.99986969999999997</v>
      </c>
      <c r="N3867">
        <v>0</v>
      </c>
      <c r="O3867">
        <v>-7.8164280000000003E-3</v>
      </c>
      <c r="P3867">
        <v>-0.99530110000000005</v>
      </c>
      <c r="Q3867">
        <v>9.6285250000000003E-2</v>
      </c>
      <c r="R3867">
        <v>-1.026943E-2</v>
      </c>
      <c r="S3867">
        <v>-3.0357059999999998</v>
      </c>
      <c r="T3867">
        <v>-0.20760110000000001</v>
      </c>
      <c r="U3867">
        <v>-0.34539789999999998</v>
      </c>
      <c r="V3867">
        <v>-2.424425E-3</v>
      </c>
      <c r="W3867">
        <v>0.1103456</v>
      </c>
      <c r="X3867">
        <v>0.9938903</v>
      </c>
      <c r="Y3867">
        <v>-0.10505440000000001</v>
      </c>
      <c r="Z3867">
        <v>-3.0442669999999998E-3</v>
      </c>
      <c r="AA3867">
        <v>0.99446179999999995</v>
      </c>
      <c r="AB3867">
        <v>28</v>
      </c>
      <c r="AC3867">
        <v>-15.9336</v>
      </c>
      <c r="AD3867">
        <v>-1.109583149381</v>
      </c>
      <c r="AE3867">
        <v>-1.8440999999999901</v>
      </c>
      <c r="AF3867">
        <v>-1.7112982418778599</v>
      </c>
      <c r="AG3867">
        <v>-1.109583149381</v>
      </c>
      <c r="AH3867">
        <v>15.871577906679899</v>
      </c>
      <c r="AI3867">
        <v>93.976074955008102</v>
      </c>
      <c r="AJ3867">
        <v>96.153946097552094</v>
      </c>
      <c r="AK3867">
        <v>16.002084291924501</v>
      </c>
      <c r="AL3867">
        <v>83.664761594146498</v>
      </c>
      <c r="AM3867">
        <v>90.139762954451299</v>
      </c>
      <c r="AN3867">
        <v>0.99999997885501501</v>
      </c>
    </row>
    <row r="3868" spans="1:40" x14ac:dyDescent="0.25">
      <c r="A3868" t="str">
        <f>"20190312172740871"</f>
        <v>20190312172740871</v>
      </c>
      <c r="B3868" t="str">
        <f>"1552382860862838"</f>
        <v>1552382860862838</v>
      </c>
      <c r="C3868" t="s">
        <v>40</v>
      </c>
      <c r="D3868">
        <v>3.3019880000000001</v>
      </c>
      <c r="E3868">
        <v>0.45950629999999998</v>
      </c>
      <c r="F3868" t="s">
        <v>41</v>
      </c>
      <c r="G3868">
        <v>-363.96190000000001</v>
      </c>
      <c r="H3868" s="1">
        <v>-2.576299E-6</v>
      </c>
      <c r="I3868">
        <v>139.62989999999999</v>
      </c>
      <c r="J3868">
        <v>-349.30419999999998</v>
      </c>
      <c r="K3868">
        <v>1.1095520000000001</v>
      </c>
      <c r="L3868">
        <v>141.4357</v>
      </c>
      <c r="M3868">
        <v>-0.99987199999999998</v>
      </c>
      <c r="N3868">
        <v>0</v>
      </c>
      <c r="O3868">
        <v>-7.5306879999999998E-3</v>
      </c>
      <c r="P3868">
        <v>-0.9958494</v>
      </c>
      <c r="Q3868">
        <v>9.000416E-2</v>
      </c>
      <c r="R3868">
        <v>-1.355546E-2</v>
      </c>
      <c r="S3868">
        <v>-3.0321660000000001</v>
      </c>
      <c r="T3868">
        <v>-0.22523489999999999</v>
      </c>
      <c r="U3868">
        <v>-0.36691279999999998</v>
      </c>
      <c r="V3868">
        <v>-5.9947569999999999E-3</v>
      </c>
      <c r="W3868">
        <v>0.104072499999999</v>
      </c>
      <c r="X3868">
        <v>0.99455170000000004</v>
      </c>
      <c r="Y3868">
        <v>-0.1123656</v>
      </c>
      <c r="Z3868">
        <v>-3.5959490000000002E-3</v>
      </c>
      <c r="AA3868">
        <v>0.9936604</v>
      </c>
      <c r="AB3868">
        <v>28</v>
      </c>
      <c r="AC3868">
        <v>-14.6577</v>
      </c>
      <c r="AD3868">
        <v>-1.109554576299</v>
      </c>
      <c r="AE3868">
        <v>-1.8058000000000001</v>
      </c>
      <c r="AF3868">
        <v>-1.68583953938683</v>
      </c>
      <c r="AG3868">
        <v>-1.109554576299</v>
      </c>
      <c r="AH3868">
        <v>14.588539899573799</v>
      </c>
      <c r="AI3868">
        <v>94.320704474795505</v>
      </c>
      <c r="AJ3868">
        <v>96.591814209644895</v>
      </c>
      <c r="AK3868">
        <v>14.727479849309001</v>
      </c>
      <c r="AL3868">
        <v>84.026268360209897</v>
      </c>
      <c r="AM3868">
        <v>90.345351695344704</v>
      </c>
      <c r="AN3868">
        <v>1.0000000531703099</v>
      </c>
    </row>
    <row r="3869" spans="1:40" x14ac:dyDescent="0.25">
      <c r="A3869" t="str">
        <f>"20190312172740894"</f>
        <v>20190312172740894</v>
      </c>
      <c r="B3869" t="str">
        <f>"1552382860883334"</f>
        <v>1552382860883334</v>
      </c>
      <c r="C3869" t="s">
        <v>40</v>
      </c>
      <c r="D3869">
        <v>3.2669730000000001</v>
      </c>
      <c r="E3869">
        <v>0.45950530000000001</v>
      </c>
      <c r="F3869" t="s">
        <v>41</v>
      </c>
      <c r="G3869">
        <v>-363.20699999999999</v>
      </c>
      <c r="H3869" s="1">
        <v>-2.918942E-6</v>
      </c>
      <c r="I3869">
        <v>139.70070000000001</v>
      </c>
      <c r="J3869">
        <v>-349.59059999999999</v>
      </c>
      <c r="K3869">
        <v>1.1095269999999999</v>
      </c>
      <c r="L3869">
        <v>141.43379999999999</v>
      </c>
      <c r="M3869">
        <v>-0.99987409999999999</v>
      </c>
      <c r="N3869">
        <v>0</v>
      </c>
      <c r="O3869">
        <v>-7.2383909999999899E-3</v>
      </c>
      <c r="P3869">
        <v>-0.99641000000000002</v>
      </c>
      <c r="Q3869">
        <v>8.3068059999999999E-2</v>
      </c>
      <c r="R3869">
        <v>-1.6339380000000001E-2</v>
      </c>
      <c r="S3869">
        <v>-3.029236</v>
      </c>
      <c r="T3869">
        <v>-0.2417589</v>
      </c>
      <c r="U3869">
        <v>-0.3780212</v>
      </c>
      <c r="V3869">
        <v>-9.0694350000000007E-3</v>
      </c>
      <c r="W3869">
        <v>9.7144049999999996E-2</v>
      </c>
      <c r="X3869">
        <v>0.99522900000000003</v>
      </c>
      <c r="Y3869">
        <v>-0.1163024</v>
      </c>
      <c r="Z3869">
        <v>-4.0412429999999999E-3</v>
      </c>
      <c r="AA3869">
        <v>0.99320560000000002</v>
      </c>
      <c r="AB3869">
        <v>28</v>
      </c>
      <c r="AC3869">
        <v>-13.616400000000001</v>
      </c>
      <c r="AD3869">
        <v>-1.109529918942</v>
      </c>
      <c r="AE3869">
        <v>-1.7330999999999701</v>
      </c>
      <c r="AF3869">
        <v>-1.6238736652129799</v>
      </c>
      <c r="AG3869">
        <v>-1.109529918942</v>
      </c>
      <c r="AH3869">
        <v>13.5401192010653</v>
      </c>
      <c r="AI3869">
        <v>94.651387960248798</v>
      </c>
      <c r="AJ3869">
        <v>96.838849517297504</v>
      </c>
      <c r="AK3869">
        <v>13.6822092624201</v>
      </c>
      <c r="AL3869">
        <v>84.425264226560103</v>
      </c>
      <c r="AM3869">
        <v>90.5221169843756</v>
      </c>
      <c r="AN3869">
        <v>0.99999999177131005</v>
      </c>
    </row>
    <row r="3870" spans="1:40" x14ac:dyDescent="0.25">
      <c r="A3870" t="str">
        <f>"20190312172740918"</f>
        <v>20190312172740918</v>
      </c>
      <c r="B3870" t="str">
        <f>"1552382860913590"</f>
        <v>1552382860913590</v>
      </c>
      <c r="C3870" t="s">
        <v>40</v>
      </c>
      <c r="D3870">
        <v>3.2896519999999998</v>
      </c>
      <c r="E3870">
        <v>0.45973760000000002</v>
      </c>
      <c r="F3870" t="s">
        <v>41</v>
      </c>
      <c r="G3870">
        <v>-362.5378</v>
      </c>
      <c r="H3870" s="1">
        <v>-3.228027E-6</v>
      </c>
      <c r="I3870">
        <v>139.7833</v>
      </c>
      <c r="J3870">
        <v>-349.88979999999998</v>
      </c>
      <c r="K3870">
        <v>1.1095090000000001</v>
      </c>
      <c r="L3870">
        <v>141.43199999999999</v>
      </c>
      <c r="M3870">
        <v>-0.9998764</v>
      </c>
      <c r="N3870">
        <v>0</v>
      </c>
      <c r="O3870">
        <v>-6.9334560000000002E-3</v>
      </c>
      <c r="P3870">
        <v>-0.99688960000000004</v>
      </c>
      <c r="Q3870">
        <v>7.6525049999999997E-2</v>
      </c>
      <c r="R3870">
        <v>-1.8856339999999999E-2</v>
      </c>
      <c r="S3870">
        <v>-3.0260929999999999</v>
      </c>
      <c r="T3870">
        <v>-0.25932840000000001</v>
      </c>
      <c r="U3870">
        <v>-0.38575739999999997</v>
      </c>
      <c r="V3870">
        <v>-1.189043E-2</v>
      </c>
      <c r="W3870">
        <v>9.0607489999999999E-2</v>
      </c>
      <c r="X3870">
        <v>0.99581569999999997</v>
      </c>
      <c r="Y3870">
        <v>-0.1191675</v>
      </c>
      <c r="Z3870">
        <v>-4.4857020000000003E-3</v>
      </c>
      <c r="AA3870">
        <v>0.99286399999999997</v>
      </c>
      <c r="AB3870">
        <v>28</v>
      </c>
      <c r="AC3870">
        <v>-12.648</v>
      </c>
      <c r="AD3870">
        <v>-1.109512228027</v>
      </c>
      <c r="AE3870">
        <v>-1.64870000000001</v>
      </c>
      <c r="AF3870">
        <v>-1.54923477912814</v>
      </c>
      <c r="AG3870">
        <v>-1.109512228027</v>
      </c>
      <c r="AH3870">
        <v>12.5640605392217</v>
      </c>
      <c r="AI3870">
        <v>95.008867949576995</v>
      </c>
      <c r="AJ3870">
        <v>97.029478874688493</v>
      </c>
      <c r="AK3870">
        <v>12.7077442143847</v>
      </c>
      <c r="AL3870">
        <v>84.801443522354603</v>
      </c>
      <c r="AM3870">
        <v>90.684101567590403</v>
      </c>
      <c r="AN3870">
        <v>1.0000000039680801</v>
      </c>
    </row>
    <row r="3871" spans="1:40" x14ac:dyDescent="0.25">
      <c r="A3871" t="str">
        <f>"20190312172740939"</f>
        <v>20190312172740939</v>
      </c>
      <c r="B3871" t="str">
        <f>"1552382860933111"</f>
        <v>1552382860933111</v>
      </c>
      <c r="C3871" t="s">
        <v>40</v>
      </c>
      <c r="D3871">
        <v>3.267414</v>
      </c>
      <c r="E3871">
        <v>0.45990999999999999</v>
      </c>
      <c r="F3871" t="s">
        <v>41</v>
      </c>
      <c r="G3871">
        <v>-362.10410000000002</v>
      </c>
      <c r="H3871" s="1">
        <v>-3.4330559999999998E-6</v>
      </c>
      <c r="I3871">
        <v>139.85470000000001</v>
      </c>
      <c r="J3871">
        <v>-350.16879999999998</v>
      </c>
      <c r="K3871">
        <v>1.109486</v>
      </c>
      <c r="L3871">
        <v>141.43039999999999</v>
      </c>
      <c r="M3871">
        <v>-0.9998783</v>
      </c>
      <c r="N3871">
        <v>0</v>
      </c>
      <c r="O3871">
        <v>-6.6486690000000003E-3</v>
      </c>
      <c r="P3871">
        <v>-0.99727010000000005</v>
      </c>
      <c r="Q3871">
        <v>7.0770260000000001E-2</v>
      </c>
      <c r="R3871">
        <v>-2.1071949999999999E-2</v>
      </c>
      <c r="S3871">
        <v>-3.0230709999999998</v>
      </c>
      <c r="T3871">
        <v>-0.2746074</v>
      </c>
      <c r="U3871">
        <v>-0.39036559999999998</v>
      </c>
      <c r="V3871">
        <v>-1.4391579999999999E-2</v>
      </c>
      <c r="W3871">
        <v>8.4857639999999998E-2</v>
      </c>
      <c r="X3871">
        <v>0.99628910000000004</v>
      </c>
      <c r="Y3871">
        <v>-0.1210051</v>
      </c>
      <c r="Z3871">
        <v>-4.8618359999999996E-3</v>
      </c>
      <c r="AA3871">
        <v>0.99263999999999997</v>
      </c>
      <c r="AB3871">
        <v>28</v>
      </c>
      <c r="AC3871">
        <v>-11.9353</v>
      </c>
      <c r="AD3871">
        <v>-1.1094894330559999</v>
      </c>
      <c r="AE3871">
        <v>-1.5756999999999799</v>
      </c>
      <c r="AF3871">
        <v>-1.4837019078513201</v>
      </c>
      <c r="AG3871">
        <v>-1.1094894330559999</v>
      </c>
      <c r="AH3871">
        <v>11.844911354896499</v>
      </c>
      <c r="AI3871">
        <v>95.309914173590897</v>
      </c>
      <c r="AJ3871">
        <v>97.139723181986099</v>
      </c>
      <c r="AK3871">
        <v>11.988922518674499</v>
      </c>
      <c r="AL3871">
        <v>85.132161108272399</v>
      </c>
      <c r="AM3871">
        <v>90.827590554504994</v>
      </c>
      <c r="AN3871">
        <v>0.99999995371003703</v>
      </c>
    </row>
    <row r="3872" spans="1:40" x14ac:dyDescent="0.25">
      <c r="A3872" t="str">
        <f>"20190312172740962"</f>
        <v>20190312172740962</v>
      </c>
      <c r="B3872" t="str">
        <f>"1552382860953138"</f>
        <v>1552382860953138</v>
      </c>
      <c r="C3872" t="s">
        <v>40</v>
      </c>
      <c r="D3872">
        <v>3.3280199999999902</v>
      </c>
      <c r="E3872">
        <v>0.46006029999999998</v>
      </c>
      <c r="F3872" t="s">
        <v>41</v>
      </c>
      <c r="G3872">
        <v>-361.78769999999997</v>
      </c>
      <c r="H3872" s="1">
        <v>-3.5843550000000002E-6</v>
      </c>
      <c r="I3872">
        <v>139.91309999999999</v>
      </c>
      <c r="J3872">
        <v>-350.45010000000002</v>
      </c>
      <c r="K3872">
        <v>1.109461</v>
      </c>
      <c r="L3872">
        <v>141.4288</v>
      </c>
      <c r="M3872">
        <v>-0.9998802</v>
      </c>
      <c r="N3872">
        <v>0</v>
      </c>
      <c r="O3872">
        <v>-6.3612579999999998E-3</v>
      </c>
      <c r="P3872">
        <v>-0.99770999999999999</v>
      </c>
      <c r="Q3872">
        <v>6.3589960000000001E-2</v>
      </c>
      <c r="R3872">
        <v>-2.3051479999999999E-2</v>
      </c>
      <c r="S3872">
        <v>-3.0203250000000001</v>
      </c>
      <c r="T3872">
        <v>-0.28841299999999997</v>
      </c>
      <c r="U3872">
        <v>-0.39439390000000002</v>
      </c>
      <c r="V3872">
        <v>-1.6658840000000001E-2</v>
      </c>
      <c r="W3872">
        <v>7.7682669999999995E-2</v>
      </c>
      <c r="X3872">
        <v>0.99683889999999997</v>
      </c>
      <c r="Y3872">
        <v>-0.1226498</v>
      </c>
      <c r="Z3872">
        <v>-5.2146270000000003E-3</v>
      </c>
      <c r="AA3872">
        <v>0.99243630000000005</v>
      </c>
      <c r="AB3872">
        <v>28</v>
      </c>
      <c r="AC3872">
        <v>-11.337599999999901</v>
      </c>
      <c r="AD3872">
        <v>-1.1094645843549999</v>
      </c>
      <c r="AE3872">
        <v>-1.5157</v>
      </c>
      <c r="AF3872">
        <v>-1.4300866783569299</v>
      </c>
      <c r="AG3872">
        <v>-1.1094645843549999</v>
      </c>
      <c r="AH3872">
        <v>11.2412570056508</v>
      </c>
      <c r="AI3872">
        <v>95.591817717801007</v>
      </c>
      <c r="AJ3872">
        <v>97.250091099494199</v>
      </c>
      <c r="AK3872">
        <v>11.3860405162921</v>
      </c>
      <c r="AL3872">
        <v>85.544621905378705</v>
      </c>
      <c r="AM3872">
        <v>90.957418879507898</v>
      </c>
      <c r="AN3872">
        <v>0.99999995336084102</v>
      </c>
    </row>
    <row r="3873" spans="1:40" x14ac:dyDescent="0.25">
      <c r="A3873" t="str">
        <f>"20190312172740984"</f>
        <v>20190312172740984</v>
      </c>
      <c r="B3873" t="str">
        <f>"1552382860972657"</f>
        <v>1552382860972657</v>
      </c>
      <c r="C3873" t="s">
        <v>40</v>
      </c>
      <c r="D3873">
        <v>3.3168639999999998</v>
      </c>
      <c r="E3873">
        <v>0.46024900000000002</v>
      </c>
      <c r="F3873" t="s">
        <v>41</v>
      </c>
      <c r="G3873">
        <v>-361.40050000000002</v>
      </c>
      <c r="H3873" s="1">
        <v>-3.7688670000000002E-6</v>
      </c>
      <c r="I3873">
        <v>139.98230000000001</v>
      </c>
      <c r="J3873">
        <v>-350.71859999999998</v>
      </c>
      <c r="K3873">
        <v>1.1094349999999999</v>
      </c>
      <c r="L3873">
        <v>141.42740000000001</v>
      </c>
      <c r="M3873">
        <v>-0.99988189999999999</v>
      </c>
      <c r="N3873">
        <v>0</v>
      </c>
      <c r="O3873">
        <v>-6.0869599999999998E-3</v>
      </c>
      <c r="P3873">
        <v>-0.99815549999999997</v>
      </c>
      <c r="Q3873">
        <v>5.584683E-2</v>
      </c>
      <c r="R3873">
        <v>-2.3813020000000001E-2</v>
      </c>
      <c r="S3873">
        <v>-3.0171199999999998</v>
      </c>
      <c r="T3873">
        <v>-0.30569030000000003</v>
      </c>
      <c r="U3873">
        <v>-0.39854430000000002</v>
      </c>
      <c r="V3873">
        <v>-1.7696179999999999E-2</v>
      </c>
      <c r="W3873">
        <v>6.994475E-2</v>
      </c>
      <c r="X3873">
        <v>0.99739390000000006</v>
      </c>
      <c r="Y3873">
        <v>-0.1243243</v>
      </c>
      <c r="Z3873">
        <v>-5.64263E-3</v>
      </c>
      <c r="AA3873">
        <v>0.99222560000000004</v>
      </c>
      <c r="AB3873">
        <v>28</v>
      </c>
      <c r="AC3873">
        <v>-10.681900000000001</v>
      </c>
      <c r="AD3873">
        <v>-1.109438768867</v>
      </c>
      <c r="AE3873">
        <v>-1.4450999999999901</v>
      </c>
      <c r="AF3873">
        <v>-1.3655803879928301</v>
      </c>
      <c r="AG3873">
        <v>-1.109438768867</v>
      </c>
      <c r="AH3873">
        <v>10.578438182166099</v>
      </c>
      <c r="AI3873">
        <v>95.9382254703618</v>
      </c>
      <c r="AJ3873">
        <v>97.3556857509857</v>
      </c>
      <c r="AK3873">
        <v>10.723759534409799</v>
      </c>
      <c r="AL3873">
        <v>85.989186181235297</v>
      </c>
      <c r="AM3873">
        <v>91.016459050119707</v>
      </c>
      <c r="AN3873">
        <v>1.0000000072981801</v>
      </c>
    </row>
    <row r="3874" spans="1:40" x14ac:dyDescent="0.25">
      <c r="A3874" t="str">
        <f>"20190312172741005"</f>
        <v>20190312172741005</v>
      </c>
      <c r="B3874" t="str">
        <f>"1552382861002913"</f>
        <v>1552382861002913</v>
      </c>
      <c r="C3874" t="s">
        <v>40</v>
      </c>
      <c r="D3874">
        <v>3.2863880000000001</v>
      </c>
      <c r="E3874">
        <v>0.4606017</v>
      </c>
      <c r="F3874" t="s">
        <v>41</v>
      </c>
      <c r="G3874">
        <v>-361.01420000000002</v>
      </c>
      <c r="H3874" s="1">
        <v>-3.9567120000000001E-6</v>
      </c>
      <c r="I3874">
        <v>140.06540000000001</v>
      </c>
      <c r="J3874">
        <v>-350.99770000000001</v>
      </c>
      <c r="K3874">
        <v>1.1094139999999999</v>
      </c>
      <c r="L3874">
        <v>141.42599999999999</v>
      </c>
      <c r="M3874">
        <v>-0.99988359999999998</v>
      </c>
      <c r="N3874">
        <v>0</v>
      </c>
      <c r="O3874">
        <v>-5.8019339999999999E-3</v>
      </c>
      <c r="P3874">
        <v>-0.99855240000000001</v>
      </c>
      <c r="Q3874">
        <v>4.8034199999999999E-2</v>
      </c>
      <c r="R3874">
        <v>-2.4207309999999999E-2</v>
      </c>
      <c r="S3874">
        <v>-3.0141909999999998</v>
      </c>
      <c r="T3874">
        <v>-0.32480930000000002</v>
      </c>
      <c r="U3874">
        <v>-0.39872740000000001</v>
      </c>
      <c r="V3874">
        <v>-1.8377230000000001E-2</v>
      </c>
      <c r="W3874">
        <v>6.2135540000000003E-2</v>
      </c>
      <c r="X3874">
        <v>0.99789850000000002</v>
      </c>
      <c r="Y3874">
        <v>-0.1247099</v>
      </c>
      <c r="Z3874">
        <v>-6.0504390000000003E-3</v>
      </c>
      <c r="AA3874">
        <v>0.99217480000000002</v>
      </c>
      <c r="AB3874">
        <v>28</v>
      </c>
      <c r="AC3874">
        <v>-10.016500000000001</v>
      </c>
      <c r="AD3874">
        <v>-1.1094179567119999</v>
      </c>
      <c r="AE3874">
        <v>-1.3606</v>
      </c>
      <c r="AF3874">
        <v>-1.28695446653484</v>
      </c>
      <c r="AG3874">
        <v>-1.1094179567119999</v>
      </c>
      <c r="AH3874">
        <v>9.9049184301452602</v>
      </c>
      <c r="AI3874">
        <v>96.338042000711695</v>
      </c>
      <c r="AJ3874">
        <v>97.403015911660503</v>
      </c>
      <c r="AK3874">
        <v>10.049600445263501</v>
      </c>
      <c r="AL3874">
        <v>86.437600923818295</v>
      </c>
      <c r="AM3874">
        <v>91.055035866844605</v>
      </c>
      <c r="AN3874">
        <v>0.99999998210790697</v>
      </c>
    </row>
    <row r="3875" spans="1:40" x14ac:dyDescent="0.25">
      <c r="A3875" t="str">
        <f>"20190312172741027"</f>
        <v>20190312172741027</v>
      </c>
      <c r="B3875" t="str">
        <f>"1552382861023409"</f>
        <v>1552382861023409</v>
      </c>
      <c r="C3875" t="s">
        <v>40</v>
      </c>
      <c r="D3875">
        <v>3.3972929999999999</v>
      </c>
      <c r="E3875">
        <v>0.46071640000000003</v>
      </c>
      <c r="F3875" t="s">
        <v>41</v>
      </c>
      <c r="G3875">
        <v>-360.79079999999999</v>
      </c>
      <c r="H3875" s="1">
        <v>-4.0717679999999997E-6</v>
      </c>
      <c r="I3875">
        <v>140.1377</v>
      </c>
      <c r="J3875">
        <v>-351.26979999999998</v>
      </c>
      <c r="K3875">
        <v>1.109383</v>
      </c>
      <c r="L3875">
        <v>141.4247</v>
      </c>
      <c r="M3875">
        <v>-0.99988529999999998</v>
      </c>
      <c r="N3875">
        <v>0</v>
      </c>
      <c r="O3875">
        <v>-5.5240599999999999E-3</v>
      </c>
      <c r="P3875">
        <v>-0.99889340000000004</v>
      </c>
      <c r="Q3875">
        <v>4.0384910000000003E-2</v>
      </c>
      <c r="R3875">
        <v>-2.4120269999999999E-2</v>
      </c>
      <c r="S3875">
        <v>-3.0112000000000001</v>
      </c>
      <c r="T3875">
        <v>-0.34112819999999999</v>
      </c>
      <c r="U3875">
        <v>-0.39611819999999998</v>
      </c>
      <c r="V3875">
        <v>-1.8570159999999999E-2</v>
      </c>
      <c r="W3875">
        <v>5.448915E-2</v>
      </c>
      <c r="X3875">
        <v>0.9983417</v>
      </c>
      <c r="Y3875">
        <v>-0.12419910000000001</v>
      </c>
      <c r="Z3875">
        <v>-6.3616590000000004E-3</v>
      </c>
      <c r="AA3875">
        <v>0.99223689999999998</v>
      </c>
      <c r="AB3875">
        <v>28</v>
      </c>
      <c r="AC3875">
        <v>-9.5210000000000097</v>
      </c>
      <c r="AD3875">
        <v>-1.1093870717679899</v>
      </c>
      <c r="AE3875">
        <v>-1.2869999999999999</v>
      </c>
      <c r="AF3875">
        <v>-1.2181387622363899</v>
      </c>
      <c r="AG3875">
        <v>-1.1093870717679899</v>
      </c>
      <c r="AH3875">
        <v>9.40259736375309</v>
      </c>
      <c r="AI3875">
        <v>96.673799853919505</v>
      </c>
      <c r="AJ3875">
        <v>97.381749481095895</v>
      </c>
      <c r="AK3875">
        <v>9.5458597781407502</v>
      </c>
      <c r="AL3875">
        <v>86.876454810756897</v>
      </c>
      <c r="AM3875">
        <v>91.0656362501377</v>
      </c>
      <c r="AN3875">
        <v>1.0000000341345101</v>
      </c>
    </row>
    <row r="3876" spans="1:40" x14ac:dyDescent="0.25">
      <c r="A3876" t="str">
        <f>"20190312172741051"</f>
        <v>20190312172741051</v>
      </c>
      <c r="B3876" t="str">
        <f>"1552382861042929"</f>
        <v>1552382861042929</v>
      </c>
      <c r="C3876" t="s">
        <v>40</v>
      </c>
      <c r="D3876">
        <v>3.4402180000000002</v>
      </c>
      <c r="E3876">
        <v>0.46790939999999998</v>
      </c>
      <c r="F3876" t="s">
        <v>41</v>
      </c>
      <c r="G3876">
        <v>-360.49459999999999</v>
      </c>
      <c r="H3876" s="1">
        <v>-4.2139070000000004E-6</v>
      </c>
      <c r="I3876">
        <v>140.215</v>
      </c>
      <c r="J3876">
        <v>-351.56400000000002</v>
      </c>
      <c r="K3876">
        <v>1.1093489999999999</v>
      </c>
      <c r="L3876">
        <v>141.42339999999999</v>
      </c>
      <c r="M3876">
        <v>-0.99988679999999996</v>
      </c>
      <c r="N3876">
        <v>0</v>
      </c>
      <c r="O3876">
        <v>-5.2231789999999997E-3</v>
      </c>
      <c r="P3876">
        <v>-0.99919740000000001</v>
      </c>
      <c r="Q3876">
        <v>3.1835000000000002E-2</v>
      </c>
      <c r="R3876">
        <v>-2.4309819999999999E-2</v>
      </c>
      <c r="S3876">
        <v>-3.0083920000000002</v>
      </c>
      <c r="T3876">
        <v>-0.36179549999999999</v>
      </c>
      <c r="U3876">
        <v>-0.39450069999999998</v>
      </c>
      <c r="V3876">
        <v>-1.906393E-2</v>
      </c>
      <c r="W3876">
        <v>4.594169E-2</v>
      </c>
      <c r="X3876">
        <v>0.99876220000000004</v>
      </c>
      <c r="Y3876">
        <v>-0.12399789999999999</v>
      </c>
      <c r="Z3876">
        <v>-6.7747600000000003E-3</v>
      </c>
      <c r="AA3876">
        <v>0.99225940000000001</v>
      </c>
      <c r="AB3876">
        <v>28</v>
      </c>
      <c r="AC3876">
        <v>-8.9305999999999699</v>
      </c>
      <c r="AD3876">
        <v>-1.1093532139069999</v>
      </c>
      <c r="AE3876">
        <v>-1.2083999999999799</v>
      </c>
      <c r="AF3876">
        <v>-1.1443917661846801</v>
      </c>
      <c r="AG3876">
        <v>-1.1093532139069999</v>
      </c>
      <c r="AH3876">
        <v>8.8033925752295499</v>
      </c>
      <c r="AI3876">
        <v>97.122921235961797</v>
      </c>
      <c r="AJ3876">
        <v>97.406596798847403</v>
      </c>
      <c r="AK3876">
        <v>8.9465086990022993</v>
      </c>
      <c r="AL3876">
        <v>87.366808224479499</v>
      </c>
      <c r="AM3876">
        <v>91.093503645526397</v>
      </c>
      <c r="AN3876">
        <v>1.00000000222797</v>
      </c>
    </row>
    <row r="3877" spans="1:40" x14ac:dyDescent="0.25">
      <c r="A3877" t="str">
        <f>"20190312172741072"</f>
        <v>20190312172741072</v>
      </c>
      <c r="B3877" t="str">
        <f>"1552382861062957"</f>
        <v>1552382861062957</v>
      </c>
      <c r="C3877" t="s">
        <v>40</v>
      </c>
      <c r="D3877">
        <v>3.3808440000000002</v>
      </c>
      <c r="E3877">
        <v>0.46833750000000002</v>
      </c>
      <c r="F3877" t="s">
        <v>41</v>
      </c>
      <c r="G3877">
        <v>-364.5761</v>
      </c>
      <c r="H3877" s="1">
        <v>-2.4039189999999999E-6</v>
      </c>
      <c r="I3877">
        <v>139.9725</v>
      </c>
      <c r="J3877">
        <v>-351.83870000000002</v>
      </c>
      <c r="K3877">
        <v>1.1093059999999999</v>
      </c>
      <c r="L3877">
        <v>141.42230000000001</v>
      </c>
      <c r="M3877">
        <v>-0.99988840000000001</v>
      </c>
      <c r="N3877">
        <v>0</v>
      </c>
      <c r="O3877">
        <v>-4.942442E-3</v>
      </c>
      <c r="P3877">
        <v>-0.99944</v>
      </c>
      <c r="Q3877">
        <v>2.3209529999999999E-2</v>
      </c>
      <c r="R3877">
        <v>-2.4106550000000001E-2</v>
      </c>
      <c r="S3877">
        <v>-3.0024109999999999</v>
      </c>
      <c r="T3877">
        <v>-0.25597189999999997</v>
      </c>
      <c r="U3877">
        <v>-0.33477780000000001</v>
      </c>
      <c r="V3877">
        <v>-1.9144629999999999E-2</v>
      </c>
      <c r="W3877">
        <v>3.7317019999999999E-2</v>
      </c>
      <c r="X3877">
        <v>0.99912009999999996</v>
      </c>
      <c r="Y3877">
        <v>-0.105542</v>
      </c>
      <c r="Z3877">
        <v>-4.0577460000000001E-3</v>
      </c>
      <c r="AA3877">
        <v>0.99440660000000003</v>
      </c>
      <c r="AB3877">
        <v>28</v>
      </c>
      <c r="AC3877">
        <v>-12.7373999999999</v>
      </c>
      <c r="AD3877">
        <v>-1.109308403919</v>
      </c>
      <c r="AE3877">
        <v>-1.44980000000001</v>
      </c>
      <c r="AF3877">
        <v>-1.3765151380680201</v>
      </c>
      <c r="AG3877">
        <v>-1.109308403919</v>
      </c>
      <c r="AH3877">
        <v>12.6496926352412</v>
      </c>
      <c r="AI3877">
        <v>94.982440177774293</v>
      </c>
      <c r="AJ3877">
        <v>96.210379931346594</v>
      </c>
      <c r="AK3877">
        <v>12.772630223505701</v>
      </c>
      <c r="AL3877">
        <v>87.861395752846093</v>
      </c>
      <c r="AM3877">
        <v>91.097738181012005</v>
      </c>
      <c r="AN3877">
        <v>1.00000002553176</v>
      </c>
    </row>
    <row r="3878" spans="1:40" x14ac:dyDescent="0.25">
      <c r="A3878" t="str">
        <f>"20190312172741095"</f>
        <v>20190312172741095</v>
      </c>
      <c r="B3878" t="str">
        <f>"1552382861083453"</f>
        <v>1552382861083453</v>
      </c>
      <c r="C3878" t="s">
        <v>40</v>
      </c>
      <c r="D3878">
        <v>3.4099710000000001</v>
      </c>
      <c r="E3878">
        <v>0.46854699999999999</v>
      </c>
      <c r="F3878" t="s">
        <v>41</v>
      </c>
      <c r="G3878">
        <v>-363.97669999999999</v>
      </c>
      <c r="H3878" s="1">
        <v>-2.6914000000000002E-6</v>
      </c>
      <c r="I3878">
        <v>140.0865</v>
      </c>
      <c r="J3878">
        <v>-352.11380000000003</v>
      </c>
      <c r="K3878">
        <v>1.1092709999999999</v>
      </c>
      <c r="L3878">
        <v>141.4213</v>
      </c>
      <c r="M3878">
        <v>-0.99988969999999999</v>
      </c>
      <c r="N3878">
        <v>0</v>
      </c>
      <c r="O3878">
        <v>-4.6609909999999997E-3</v>
      </c>
      <c r="P3878">
        <v>-0.99958619999999998</v>
      </c>
      <c r="Q3878">
        <v>1.610081E-2</v>
      </c>
      <c r="R3878">
        <v>-2.3840549999999999E-2</v>
      </c>
      <c r="S3878">
        <v>-3.000092</v>
      </c>
      <c r="T3878">
        <v>-0.27418360000000003</v>
      </c>
      <c r="U3878">
        <v>-0.33015440000000001</v>
      </c>
      <c r="V3878">
        <v>-1.916352E-2</v>
      </c>
      <c r="W3878">
        <v>3.020811E-2</v>
      </c>
      <c r="X3878">
        <v>0.99935989999999997</v>
      </c>
      <c r="Y3878">
        <v>-0.1043427</v>
      </c>
      <c r="Z3878">
        <v>-4.3200510000000001E-3</v>
      </c>
      <c r="AA3878">
        <v>0.99453199999999997</v>
      </c>
      <c r="AB3878">
        <v>28</v>
      </c>
      <c r="AC3878">
        <v>-11.8628999999999</v>
      </c>
      <c r="AD3878">
        <v>-1.1092736914000001</v>
      </c>
      <c r="AE3878">
        <v>-1.3348</v>
      </c>
      <c r="AF3878">
        <v>-1.2685341068751399</v>
      </c>
      <c r="AG3878">
        <v>-1.1092736914000001</v>
      </c>
      <c r="AH3878">
        <v>11.767388960776399</v>
      </c>
      <c r="AI3878">
        <v>95.354334443986204</v>
      </c>
      <c r="AJ3878">
        <v>96.152771258365206</v>
      </c>
      <c r="AK3878">
        <v>11.887434957001499</v>
      </c>
      <c r="AL3878">
        <v>88.268939430545601</v>
      </c>
      <c r="AM3878">
        <v>91.098557452034996</v>
      </c>
      <c r="AN3878">
        <v>0.99999999006828599</v>
      </c>
    </row>
    <row r="3879" spans="1:40" x14ac:dyDescent="0.25">
      <c r="A3879" t="str">
        <f>"20190312172741117"</f>
        <v>20190312172741117</v>
      </c>
      <c r="B3879" t="str">
        <f>"1552382861112733"</f>
        <v>1552382861112733</v>
      </c>
      <c r="C3879" t="s">
        <v>40</v>
      </c>
      <c r="D3879">
        <v>3.3752369999999998</v>
      </c>
      <c r="E3879">
        <v>0.4686922</v>
      </c>
      <c r="F3879" t="s">
        <v>41</v>
      </c>
      <c r="G3879">
        <v>-363.50900000000001</v>
      </c>
      <c r="H3879" s="1">
        <v>-2.9161310000000001E-6</v>
      </c>
      <c r="I3879">
        <v>140.17699999999999</v>
      </c>
      <c r="J3879">
        <v>-352.39069999999998</v>
      </c>
      <c r="K3879">
        <v>1.109254</v>
      </c>
      <c r="L3879">
        <v>141.4203</v>
      </c>
      <c r="M3879">
        <v>-0.99989110000000003</v>
      </c>
      <c r="N3879">
        <v>0</v>
      </c>
      <c r="O3879">
        <v>-4.3776329999999997E-3</v>
      </c>
      <c r="P3879">
        <v>-0.99966429999999995</v>
      </c>
      <c r="Q3879">
        <v>9.3715150000000004E-3</v>
      </c>
      <c r="R3879">
        <v>-2.415803E-2</v>
      </c>
      <c r="S3879">
        <v>-2.998138</v>
      </c>
      <c r="T3879">
        <v>-0.29185680000000003</v>
      </c>
      <c r="U3879">
        <v>-0.32734679999999999</v>
      </c>
      <c r="V3879">
        <v>-1.9768000000000001E-2</v>
      </c>
      <c r="W3879">
        <v>2.347809E-2</v>
      </c>
      <c r="X3879">
        <v>0.99952890000000005</v>
      </c>
      <c r="Y3879">
        <v>-0.1037211</v>
      </c>
      <c r="Z3879">
        <v>-4.59779E-3</v>
      </c>
      <c r="AA3879">
        <v>0.99459580000000003</v>
      </c>
      <c r="AB3879">
        <v>28</v>
      </c>
      <c r="AC3879">
        <v>-11.1183</v>
      </c>
      <c r="AD3879">
        <v>-1.109256916131</v>
      </c>
      <c r="AE3879">
        <v>-1.2432999999999701</v>
      </c>
      <c r="AF3879">
        <v>-1.1829817140469101</v>
      </c>
      <c r="AG3879">
        <v>-1.109256916131</v>
      </c>
      <c r="AH3879">
        <v>11.015346631975801</v>
      </c>
      <c r="AI3879">
        <v>95.717701384680197</v>
      </c>
      <c r="AJ3879">
        <v>96.129727132572597</v>
      </c>
      <c r="AK3879">
        <v>11.134080925893</v>
      </c>
      <c r="AL3879">
        <v>88.654680929120204</v>
      </c>
      <c r="AM3879">
        <v>91.133009092404507</v>
      </c>
      <c r="AN3879">
        <v>1.0000000082346201</v>
      </c>
    </row>
    <row r="3880" spans="1:40" x14ac:dyDescent="0.25">
      <c r="A3880" t="str">
        <f>"20190312172741141"</f>
        <v>20190312172741141</v>
      </c>
      <c r="B3880" t="str">
        <f>"1552382861133228"</f>
        <v>1552382861133228</v>
      </c>
      <c r="C3880" t="s">
        <v>40</v>
      </c>
      <c r="D3880">
        <v>3.4253749999999998</v>
      </c>
      <c r="E3880">
        <v>0.46881010000000001</v>
      </c>
      <c r="F3880" t="s">
        <v>41</v>
      </c>
      <c r="G3880">
        <v>-363.46210000000002</v>
      </c>
      <c r="H3880" s="1">
        <v>-2.9457809999999999E-6</v>
      </c>
      <c r="I3880">
        <v>140.21279999999999</v>
      </c>
      <c r="J3880">
        <v>-352.68709999999999</v>
      </c>
      <c r="K3880">
        <v>1.1092280000000001</v>
      </c>
      <c r="L3880">
        <v>141.41929999999999</v>
      </c>
      <c r="M3880">
        <v>-0.99989229999999996</v>
      </c>
      <c r="N3880">
        <v>0</v>
      </c>
      <c r="O3880">
        <v>-4.0744880000000002E-3</v>
      </c>
      <c r="P3880">
        <v>-0.99970530000000002</v>
      </c>
      <c r="Q3880">
        <v>3.3982460000000002E-3</v>
      </c>
      <c r="R3880">
        <v>-2.4038190000000001E-2</v>
      </c>
      <c r="S3880">
        <v>-2.9959410000000002</v>
      </c>
      <c r="T3880">
        <v>-0.3001702</v>
      </c>
      <c r="U3880">
        <v>-0.32672119999999999</v>
      </c>
      <c r="V3880">
        <v>-1.995442E-2</v>
      </c>
      <c r="W3880">
        <v>1.7502670000000001E-2</v>
      </c>
      <c r="X3880">
        <v>0.99964770000000003</v>
      </c>
      <c r="Y3880">
        <v>-0.1038664</v>
      </c>
      <c r="Z3880">
        <v>-4.7690509999999998E-3</v>
      </c>
      <c r="AA3880">
        <v>0.99457989999999996</v>
      </c>
      <c r="AB3880">
        <v>28</v>
      </c>
      <c r="AC3880">
        <v>-10.775</v>
      </c>
      <c r="AD3880">
        <v>-1.1092309457809999</v>
      </c>
      <c r="AE3880">
        <v>-1.2064999999999999</v>
      </c>
      <c r="AF3880">
        <v>-1.1505409654471199</v>
      </c>
      <c r="AG3880">
        <v>-1.1092309457809999</v>
      </c>
      <c r="AH3880">
        <v>10.6681693566379</v>
      </c>
      <c r="AI3880">
        <v>95.902060633703599</v>
      </c>
      <c r="AJ3880">
        <v>96.155445011312494</v>
      </c>
      <c r="AK3880">
        <v>10.7872135060987</v>
      </c>
      <c r="AL3880">
        <v>88.997119693334298</v>
      </c>
      <c r="AM3880">
        <v>91.143555105904696</v>
      </c>
      <c r="AN3880">
        <v>1.0000000232249699</v>
      </c>
    </row>
    <row r="3881" spans="1:40" x14ac:dyDescent="0.25">
      <c r="A3881" t="str">
        <f>"20190312172741166"</f>
        <v>20190312172741166</v>
      </c>
      <c r="B3881" t="str">
        <f>"1552382861153256"</f>
        <v>1552382861153256</v>
      </c>
      <c r="C3881" t="s">
        <v>40</v>
      </c>
      <c r="D3881">
        <v>3.4131849999999999</v>
      </c>
      <c r="E3881">
        <v>0.46964830000000002</v>
      </c>
      <c r="F3881" t="s">
        <v>41</v>
      </c>
      <c r="G3881">
        <v>-363.47269999999997</v>
      </c>
      <c r="H3881" s="1">
        <v>-2.950585E-6</v>
      </c>
      <c r="I3881">
        <v>140.24799999999999</v>
      </c>
      <c r="J3881">
        <v>-353.00799999999998</v>
      </c>
      <c r="K3881">
        <v>1.1092029999999999</v>
      </c>
      <c r="L3881">
        <v>141.41839999999999</v>
      </c>
      <c r="M3881">
        <v>-0.99989380000000005</v>
      </c>
      <c r="N3881">
        <v>0</v>
      </c>
      <c r="O3881">
        <v>-3.746189E-3</v>
      </c>
      <c r="P3881">
        <v>-0.9996988</v>
      </c>
      <c r="Q3881">
        <v>-3.5893850000000001E-3</v>
      </c>
      <c r="R3881">
        <v>-2.4284409999999999E-2</v>
      </c>
      <c r="S3881">
        <v>-2.99411</v>
      </c>
      <c r="T3881">
        <v>-0.30792839999999999</v>
      </c>
      <c r="U3881">
        <v>-0.32514949999999998</v>
      </c>
      <c r="V3881">
        <v>-2.053319E-2</v>
      </c>
      <c r="W3881">
        <v>1.0511990000000001E-2</v>
      </c>
      <c r="X3881">
        <v>0.99973389999999995</v>
      </c>
      <c r="Y3881">
        <v>-0.1037151</v>
      </c>
      <c r="Z3881">
        <v>-4.9206170000000004E-3</v>
      </c>
      <c r="AA3881">
        <v>0.99459489999999995</v>
      </c>
      <c r="AB3881">
        <v>28</v>
      </c>
      <c r="AC3881">
        <v>-10.464699999999899</v>
      </c>
      <c r="AD3881">
        <v>-1.109205950585</v>
      </c>
      <c r="AE3881">
        <v>-1.1704000000000001</v>
      </c>
      <c r="AF3881">
        <v>-1.11877110963076</v>
      </c>
      <c r="AG3881">
        <v>-1.109205950585</v>
      </c>
      <c r="AH3881">
        <v>10.3541207323245</v>
      </c>
      <c r="AI3881">
        <v>96.079486998011902</v>
      </c>
      <c r="AJ3881">
        <v>96.166929938888103</v>
      </c>
      <c r="AK3881">
        <v>10.4732899690646</v>
      </c>
      <c r="AL3881">
        <v>89.397696241119803</v>
      </c>
      <c r="AM3881">
        <v>91.176612840217004</v>
      </c>
      <c r="AN3881">
        <v>0.99999999231727299</v>
      </c>
    </row>
    <row r="3882" spans="1:40" x14ac:dyDescent="0.25">
      <c r="A3882" t="str">
        <f>"20190312172741187"</f>
        <v>20190312172741187</v>
      </c>
      <c r="B3882" t="str">
        <f>"1552382861183513"</f>
        <v>1552382861183513</v>
      </c>
      <c r="C3882" t="s">
        <v>40</v>
      </c>
      <c r="D3882">
        <v>3.4277250000000001</v>
      </c>
      <c r="E3882">
        <v>0.46917490000000001</v>
      </c>
      <c r="F3882" t="s">
        <v>41</v>
      </c>
      <c r="G3882">
        <v>-366.26179999999999</v>
      </c>
      <c r="H3882" s="1">
        <v>-1.6905970000000001E-6</v>
      </c>
      <c r="I3882">
        <v>140.0094</v>
      </c>
      <c r="J3882">
        <v>-353.2724</v>
      </c>
      <c r="K3882">
        <v>1.1091869999999999</v>
      </c>
      <c r="L3882">
        <v>141.4177</v>
      </c>
      <c r="M3882">
        <v>-0.99989470000000003</v>
      </c>
      <c r="N3882">
        <v>0</v>
      </c>
      <c r="O3882">
        <v>-3.4754679999999998E-3</v>
      </c>
      <c r="P3882">
        <v>-0.99967760000000006</v>
      </c>
      <c r="Q3882">
        <v>-8.6739299999999998E-3</v>
      </c>
      <c r="R3882">
        <v>-2.386945E-2</v>
      </c>
      <c r="S3882">
        <v>-2.9922789999999999</v>
      </c>
      <c r="T3882">
        <v>-0.25042320000000001</v>
      </c>
      <c r="U3882">
        <v>-0.3180847</v>
      </c>
      <c r="V3882">
        <v>-2.0391010000000001E-2</v>
      </c>
      <c r="W3882">
        <v>5.4247749999999997E-3</v>
      </c>
      <c r="X3882">
        <v>0.99977740000000004</v>
      </c>
      <c r="Y3882">
        <v>-0.101909</v>
      </c>
      <c r="Z3882">
        <v>-3.9554769999999998E-3</v>
      </c>
      <c r="AA3882">
        <v>0.99478580000000005</v>
      </c>
      <c r="AB3882">
        <v>28</v>
      </c>
      <c r="AC3882">
        <v>-12.9893999999999</v>
      </c>
      <c r="AD3882">
        <v>-1.1091886905969901</v>
      </c>
      <c r="AE3882">
        <v>-1.4082999999999899</v>
      </c>
      <c r="AF3882">
        <v>-1.3533888284845199</v>
      </c>
      <c r="AG3882">
        <v>-1.1091886905969901</v>
      </c>
      <c r="AH3882">
        <v>12.9012366841445</v>
      </c>
      <c r="AI3882">
        <v>94.887255345068894</v>
      </c>
      <c r="AJ3882">
        <v>95.988641478368095</v>
      </c>
      <c r="AK3882">
        <v>13.0193651478377</v>
      </c>
      <c r="AL3882">
        <v>89.689181774247601</v>
      </c>
      <c r="AM3882">
        <v>91.168416944553996</v>
      </c>
      <c r="AN3882">
        <v>1.00000003551168</v>
      </c>
    </row>
    <row r="3883" spans="1:40" x14ac:dyDescent="0.25">
      <c r="A3883" t="str">
        <f>"20190312172741208"</f>
        <v>20190312172741208</v>
      </c>
      <c r="B3883" t="str">
        <f>"1552382861203034"</f>
        <v>1552382861203034</v>
      </c>
      <c r="C3883" t="s">
        <v>40</v>
      </c>
      <c r="D3883">
        <v>3.3915730000000002</v>
      </c>
      <c r="E3883">
        <v>0.46919670000000002</v>
      </c>
      <c r="F3883" t="s">
        <v>41</v>
      </c>
      <c r="G3883">
        <v>-366.9196</v>
      </c>
      <c r="H3883" s="1">
        <v>-1.3942820000000001E-6</v>
      </c>
      <c r="I3883">
        <v>139.9563</v>
      </c>
      <c r="J3883">
        <v>-353.53129999999999</v>
      </c>
      <c r="K3883">
        <v>1.1091759999999999</v>
      </c>
      <c r="L3883">
        <v>141.4171</v>
      </c>
      <c r="M3883">
        <v>-0.99989570000000005</v>
      </c>
      <c r="N3883">
        <v>0</v>
      </c>
      <c r="O3883">
        <v>-3.2102319999999999E-3</v>
      </c>
      <c r="P3883">
        <v>-0.99966029999999995</v>
      </c>
      <c r="Q3883">
        <v>-1.037574E-2</v>
      </c>
      <c r="R3883">
        <v>-2.391047E-2</v>
      </c>
      <c r="S3883">
        <v>-2.9912109999999998</v>
      </c>
      <c r="T3883">
        <v>-0.243114</v>
      </c>
      <c r="U3883">
        <v>-0.32028200000000001</v>
      </c>
      <c r="V3883">
        <v>-2.0698660000000001E-2</v>
      </c>
      <c r="W3883">
        <v>3.720101E-3</v>
      </c>
      <c r="X3883">
        <v>0.99977890000000003</v>
      </c>
      <c r="Y3883">
        <v>-0.10294780000000001</v>
      </c>
      <c r="Z3883">
        <v>-3.9051060000000002E-3</v>
      </c>
      <c r="AA3883">
        <v>0.99467910000000004</v>
      </c>
      <c r="AB3883">
        <v>28</v>
      </c>
      <c r="AC3883">
        <v>-13.388299999999999</v>
      </c>
      <c r="AD3883">
        <v>-1.109177394282</v>
      </c>
      <c r="AE3883">
        <v>-1.4608000000000001</v>
      </c>
      <c r="AF3883">
        <v>-1.4082566846891</v>
      </c>
      <c r="AG3883">
        <v>-1.109177394282</v>
      </c>
      <c r="AH3883">
        <v>13.302690983800501</v>
      </c>
      <c r="AI3883">
        <v>94.739928636253296</v>
      </c>
      <c r="AJ3883">
        <v>96.042969668267702</v>
      </c>
      <c r="AK3883">
        <v>13.4229299630314</v>
      </c>
      <c r="AL3883">
        <v>89.786853434769597</v>
      </c>
      <c r="AM3883">
        <v>91.186038694658194</v>
      </c>
      <c r="AN3883">
        <v>1.0000000612812201</v>
      </c>
    </row>
    <row r="3884" spans="1:40" x14ac:dyDescent="0.25">
      <c r="A3884" t="str">
        <f>"20190312172741230"</f>
        <v>20190312172741230</v>
      </c>
      <c r="B3884" t="str">
        <f>"1552382861223528"</f>
        <v>1552382861223528</v>
      </c>
      <c r="C3884" t="s">
        <v>40</v>
      </c>
      <c r="D3884">
        <v>3.3799339999999898</v>
      </c>
      <c r="E3884">
        <v>0.46923209999999999</v>
      </c>
      <c r="F3884" t="s">
        <v>41</v>
      </c>
      <c r="G3884">
        <v>-367.64819999999997</v>
      </c>
      <c r="H3884" s="1">
        <v>-1.0683119999999999E-6</v>
      </c>
      <c r="I3884">
        <v>139.9059</v>
      </c>
      <c r="J3884">
        <v>-353.79680000000002</v>
      </c>
      <c r="K3884">
        <v>1.1091709999999999</v>
      </c>
      <c r="L3884">
        <v>141.41650000000001</v>
      </c>
      <c r="M3884">
        <v>-0.99989660000000002</v>
      </c>
      <c r="N3884">
        <v>0</v>
      </c>
      <c r="O3884">
        <v>-2.9385539999999999E-3</v>
      </c>
      <c r="P3884">
        <v>-0.99963460000000004</v>
      </c>
      <c r="Q3884">
        <v>-1.2688949999999999E-2</v>
      </c>
      <c r="R3884">
        <v>-2.3867780000000002E-2</v>
      </c>
      <c r="S3884">
        <v>-2.9909059999999998</v>
      </c>
      <c r="T3884">
        <v>-0.23499980000000001</v>
      </c>
      <c r="U3884">
        <v>-0.3201447</v>
      </c>
      <c r="V3884">
        <v>-2.092952E-2</v>
      </c>
      <c r="W3884">
        <v>1.403634E-3</v>
      </c>
      <c r="X3884">
        <v>0.99977990000000005</v>
      </c>
      <c r="Y3884">
        <v>-0.1032033</v>
      </c>
      <c r="Z3884">
        <v>-3.8068099999999999E-3</v>
      </c>
      <c r="AA3884">
        <v>0.99465300000000001</v>
      </c>
      <c r="AB3884">
        <v>28</v>
      </c>
      <c r="AC3884">
        <v>-13.8513999999999</v>
      </c>
      <c r="AD3884">
        <v>-1.1091720683120001</v>
      </c>
      <c r="AE3884">
        <v>-1.5106000000000099</v>
      </c>
      <c r="AF3884">
        <v>-1.4606305119527401</v>
      </c>
      <c r="AG3884">
        <v>-1.1091720683120001</v>
      </c>
      <c r="AH3884">
        <v>13.7685300416567</v>
      </c>
      <c r="AI3884">
        <v>94.580125875961798</v>
      </c>
      <c r="AJ3884">
        <v>96.055557563091796</v>
      </c>
      <c r="AK3884">
        <v>13.890144840050199</v>
      </c>
      <c r="AL3884">
        <v>89.919577663919796</v>
      </c>
      <c r="AM3884">
        <v>91.199261992549793</v>
      </c>
      <c r="AN3884">
        <v>0.99999993171991997</v>
      </c>
    </row>
    <row r="3885" spans="1:40" x14ac:dyDescent="0.25">
      <c r="A3885" t="str">
        <f>"20190312172741252"</f>
        <v>20190312172741252</v>
      </c>
      <c r="B3885" t="str">
        <f>"1552382861243048"</f>
        <v>1552382861243048</v>
      </c>
      <c r="C3885" t="s">
        <v>40</v>
      </c>
      <c r="D3885">
        <v>3.4733000000000001</v>
      </c>
      <c r="E3885">
        <v>0.46935500000000002</v>
      </c>
      <c r="F3885" t="s">
        <v>41</v>
      </c>
      <c r="G3885">
        <v>-367.88959999999997</v>
      </c>
      <c r="H3885" s="1">
        <v>-9.6593769999999989E-7</v>
      </c>
      <c r="I3885">
        <v>139.91040000000001</v>
      </c>
      <c r="J3885">
        <v>-354.06689999999998</v>
      </c>
      <c r="K3885">
        <v>1.1091690000000001</v>
      </c>
      <c r="L3885">
        <v>141.416</v>
      </c>
      <c r="M3885">
        <v>-0.99989740000000005</v>
      </c>
      <c r="N3885">
        <v>0</v>
      </c>
      <c r="O3885">
        <v>-2.6621100000000001E-3</v>
      </c>
      <c r="P3885">
        <v>-0.99961409999999995</v>
      </c>
      <c r="Q3885">
        <v>-1.4504499999999899E-2</v>
      </c>
      <c r="R3885">
        <v>-2.369626E-2</v>
      </c>
      <c r="S3885">
        <v>-2.9904790000000001</v>
      </c>
      <c r="T3885">
        <v>-0.23536670000000001</v>
      </c>
      <c r="U3885">
        <v>-0.31958009999999998</v>
      </c>
      <c r="V3885">
        <v>-2.1035379999999999E-2</v>
      </c>
      <c r="W3885">
        <v>-4.1498019999999997E-4</v>
      </c>
      <c r="X3885">
        <v>0.99977859999999996</v>
      </c>
      <c r="Y3885">
        <v>-0.10330549999999999</v>
      </c>
      <c r="Z3885">
        <v>-3.8389790000000002E-3</v>
      </c>
      <c r="AA3885">
        <v>0.99464229999999998</v>
      </c>
      <c r="AB3885">
        <v>28</v>
      </c>
      <c r="AC3885">
        <v>-13.8226999999999</v>
      </c>
      <c r="AD3885">
        <v>-1.1091699659376999</v>
      </c>
      <c r="AE3885">
        <v>-1.5055999999999801</v>
      </c>
      <c r="AF3885">
        <v>-1.45950607024246</v>
      </c>
      <c r="AG3885">
        <v>-1.1091699659376999</v>
      </c>
      <c r="AH3885">
        <v>13.7392314479806</v>
      </c>
      <c r="AI3885">
        <v>94.589773271196805</v>
      </c>
      <c r="AJ3885">
        <v>96.063737828934805</v>
      </c>
      <c r="AK3885">
        <v>13.860984696752</v>
      </c>
      <c r="AL3885">
        <v>90.023776615812395</v>
      </c>
      <c r="AM3885">
        <v>91.205327554915399</v>
      </c>
      <c r="AN3885">
        <v>0.99999995421913401</v>
      </c>
    </row>
    <row r="3886" spans="1:40" x14ac:dyDescent="0.25">
      <c r="A3886" t="str">
        <f>"20190312172741273"</f>
        <v>20190312172741273</v>
      </c>
      <c r="B3886" t="str">
        <f>"1552382861263075"</f>
        <v>1552382861263075</v>
      </c>
      <c r="C3886" t="s">
        <v>40</v>
      </c>
      <c r="D3886">
        <v>3.5014249999999998</v>
      </c>
      <c r="E3886">
        <v>0.46944449999999999</v>
      </c>
      <c r="F3886" t="s">
        <v>41</v>
      </c>
      <c r="G3886">
        <v>-367.9753</v>
      </c>
      <c r="H3886" s="1">
        <v>-9.3613500000000004E-7</v>
      </c>
      <c r="I3886">
        <v>139.9366</v>
      </c>
      <c r="J3886">
        <v>-354.33929999999998</v>
      </c>
      <c r="K3886">
        <v>1.10917</v>
      </c>
      <c r="L3886">
        <v>141.41560000000001</v>
      </c>
      <c r="M3886">
        <v>-0.99989830000000002</v>
      </c>
      <c r="N3886">
        <v>0</v>
      </c>
      <c r="O3886">
        <v>-2.3831619999999999E-3</v>
      </c>
      <c r="P3886">
        <v>-0.99962910000000005</v>
      </c>
      <c r="Q3886">
        <v>-1.4595449999999999E-2</v>
      </c>
      <c r="R3886">
        <v>-2.2998790000000002E-2</v>
      </c>
      <c r="S3886">
        <v>-2.990173</v>
      </c>
      <c r="T3886">
        <v>-0.2384617</v>
      </c>
      <c r="U3886">
        <v>-0.31805420000000001</v>
      </c>
      <c r="V3886">
        <v>-2.0616800000000001E-2</v>
      </c>
      <c r="W3886">
        <v>-5.0909290000000003E-4</v>
      </c>
      <c r="X3886">
        <v>0.99978730000000005</v>
      </c>
      <c r="Y3886">
        <v>-0.10308339999999901</v>
      </c>
      <c r="Z3886">
        <v>-3.9031339999999999E-3</v>
      </c>
      <c r="AA3886">
        <v>0.99466509999999997</v>
      </c>
      <c r="AB3886">
        <v>28</v>
      </c>
      <c r="AC3886">
        <v>-13.635999999999999</v>
      </c>
      <c r="AD3886">
        <v>-1.109170936135</v>
      </c>
      <c r="AE3886">
        <v>-1.4790000000000101</v>
      </c>
      <c r="AF3886">
        <v>-1.43709790639335</v>
      </c>
      <c r="AG3886">
        <v>-1.109170936135</v>
      </c>
      <c r="AH3886">
        <v>13.550870575201699</v>
      </c>
      <c r="AI3886">
        <v>94.653384261225099</v>
      </c>
      <c r="AJ3886">
        <v>96.053708385916593</v>
      </c>
      <c r="AK3886">
        <v>13.6719275855306</v>
      </c>
      <c r="AL3886">
        <v>90.029168876439201</v>
      </c>
      <c r="AM3886">
        <v>91.181339504268294</v>
      </c>
      <c r="AN3886">
        <v>0.99999997842955501</v>
      </c>
    </row>
    <row r="3887" spans="1:40" x14ac:dyDescent="0.25">
      <c r="A3887" t="str">
        <f>"20190312172741296"</f>
        <v>20190312172741296</v>
      </c>
      <c r="B3887" t="str">
        <f>"1552382861283572"</f>
        <v>1552382861283572</v>
      </c>
      <c r="C3887" t="s">
        <v>40</v>
      </c>
      <c r="D3887">
        <v>3.5326439999999999</v>
      </c>
      <c r="E3887">
        <v>0.46933140000000001</v>
      </c>
      <c r="F3887" t="s">
        <v>41</v>
      </c>
      <c r="G3887">
        <v>-368.41379999999998</v>
      </c>
      <c r="H3887" s="1">
        <v>-7.4651459999999999E-7</v>
      </c>
      <c r="I3887">
        <v>139.9308</v>
      </c>
      <c r="J3887">
        <v>-354.61110000000002</v>
      </c>
      <c r="K3887">
        <v>1.1091690000000001</v>
      </c>
      <c r="L3887">
        <v>141.4153</v>
      </c>
      <c r="M3887">
        <v>-0.99989879999999998</v>
      </c>
      <c r="N3887">
        <v>0</v>
      </c>
      <c r="O3887">
        <v>-2.1045740000000001E-3</v>
      </c>
      <c r="P3887">
        <v>-0.9996448</v>
      </c>
      <c r="Q3887">
        <v>-1.465023E-2</v>
      </c>
      <c r="R3887">
        <v>-2.2270080000000001E-2</v>
      </c>
      <c r="S3887">
        <v>-2.9903870000000001</v>
      </c>
      <c r="T3887">
        <v>-0.23566500000000001</v>
      </c>
      <c r="U3887">
        <v>-0.31546020000000002</v>
      </c>
      <c r="V3887">
        <v>-2.016629E-2</v>
      </c>
      <c r="W3887">
        <v>-5.6705579999999996E-4</v>
      </c>
      <c r="X3887">
        <v>0.99979649999999998</v>
      </c>
      <c r="Y3887">
        <v>-0.1025081</v>
      </c>
      <c r="Z3887">
        <v>-3.856689E-3</v>
      </c>
      <c r="AA3887">
        <v>0.99472470000000002</v>
      </c>
      <c r="AB3887">
        <v>28</v>
      </c>
      <c r="AC3887">
        <v>-13.8026999999999</v>
      </c>
      <c r="AD3887">
        <v>-1.1091697465146</v>
      </c>
      <c r="AE3887">
        <v>-1.4844999999999899</v>
      </c>
      <c r="AF3887">
        <v>-1.44621282925118</v>
      </c>
      <c r="AG3887">
        <v>-1.1091697465146</v>
      </c>
      <c r="AH3887">
        <v>13.718220832474501</v>
      </c>
      <c r="AI3887">
        <v>94.597158139527806</v>
      </c>
      <c r="AJ3887">
        <v>96.018050643961899</v>
      </c>
      <c r="AK3887">
        <v>13.838763379818699</v>
      </c>
      <c r="AL3887">
        <v>90.032489905143805</v>
      </c>
      <c r="AM3887">
        <v>91.155521796986804</v>
      </c>
      <c r="AN3887">
        <v>1.0000000211084401</v>
      </c>
    </row>
    <row r="3888" spans="1:40" x14ac:dyDescent="0.25">
      <c r="A3888" t="str">
        <f>"20190312172741318"</f>
        <v>20190312172741318</v>
      </c>
      <c r="B3888" t="str">
        <f>"1552382861312851"</f>
        <v>1552382861312851</v>
      </c>
      <c r="C3888" t="s">
        <v>40</v>
      </c>
      <c r="D3888">
        <v>3.5005639999999998</v>
      </c>
      <c r="E3888">
        <v>0.46928550000000002</v>
      </c>
      <c r="F3888" t="s">
        <v>41</v>
      </c>
      <c r="G3888">
        <v>-368.87310000000002</v>
      </c>
      <c r="H3888" s="1">
        <v>-5.4589729999999998E-7</v>
      </c>
      <c r="I3888">
        <v>139.91739999999999</v>
      </c>
      <c r="J3888">
        <v>-354.88749999999999</v>
      </c>
      <c r="K3888">
        <v>1.1091740000000001</v>
      </c>
      <c r="L3888">
        <v>141.4151</v>
      </c>
      <c r="M3888">
        <v>-0.99989950000000005</v>
      </c>
      <c r="N3888">
        <v>0</v>
      </c>
      <c r="O3888">
        <v>-1.8210990000000001E-3</v>
      </c>
      <c r="P3888">
        <v>-0.99965990000000005</v>
      </c>
      <c r="Q3888">
        <v>-1.525759E-2</v>
      </c>
      <c r="R3888">
        <v>-2.1163749999999999E-2</v>
      </c>
      <c r="S3888">
        <v>-2.9906619999999999</v>
      </c>
      <c r="T3888">
        <v>-0.2325883</v>
      </c>
      <c r="U3888">
        <v>-0.3140869</v>
      </c>
      <c r="V3888">
        <v>-1.9343409999999998E-2</v>
      </c>
      <c r="W3888">
        <v>-1.1778100000000001E-3</v>
      </c>
      <c r="X3888">
        <v>0.99981220000000004</v>
      </c>
      <c r="Y3888">
        <v>-0.10233639999999999</v>
      </c>
      <c r="Z3888">
        <v>-3.8215419999999998E-3</v>
      </c>
      <c r="AA3888">
        <v>0.99474249999999997</v>
      </c>
      <c r="AB3888">
        <v>28</v>
      </c>
      <c r="AC3888">
        <v>-13.9856</v>
      </c>
      <c r="AD3888">
        <v>-1.1091745458972999</v>
      </c>
      <c r="AE3888">
        <v>-1.4977</v>
      </c>
      <c r="AF3888">
        <v>-1.4631273827482201</v>
      </c>
      <c r="AG3888">
        <v>-1.1091745458972999</v>
      </c>
      <c r="AH3888">
        <v>13.901855883098699</v>
      </c>
      <c r="AI3888">
        <v>94.536789977941993</v>
      </c>
      <c r="AJ3888">
        <v>96.008085253920001</v>
      </c>
      <c r="AK3888">
        <v>14.0225749028436</v>
      </c>
      <c r="AL3888">
        <v>90.067483558007794</v>
      </c>
      <c r="AM3888">
        <v>91.108365655154103</v>
      </c>
      <c r="AN3888">
        <v>0.99999999500783199</v>
      </c>
    </row>
    <row r="3889" spans="1:40" x14ac:dyDescent="0.25">
      <c r="A3889" t="str">
        <f>"20190312172741342"</f>
        <v>20190312172741342</v>
      </c>
      <c r="B3889" t="str">
        <f>"1552382861333347"</f>
        <v>1552382861333347</v>
      </c>
      <c r="C3889" t="s">
        <v>40</v>
      </c>
      <c r="D3889">
        <v>3.481903</v>
      </c>
      <c r="E3889">
        <v>0.46925640000000002</v>
      </c>
      <c r="F3889" t="s">
        <v>41</v>
      </c>
      <c r="G3889">
        <v>-369.29379999999998</v>
      </c>
      <c r="H3889" s="1">
        <v>-3.6509159999999902E-7</v>
      </c>
      <c r="I3889">
        <v>139.91630000000001</v>
      </c>
      <c r="J3889">
        <v>-355.17660000000001</v>
      </c>
      <c r="K3889">
        <v>1.109173</v>
      </c>
      <c r="L3889">
        <v>141.41489999999999</v>
      </c>
      <c r="M3889">
        <v>-0.99990000000000001</v>
      </c>
      <c r="N3889">
        <v>0</v>
      </c>
      <c r="O3889">
        <v>-1.5247469999999999E-3</v>
      </c>
      <c r="P3889">
        <v>-0.99968769999999996</v>
      </c>
      <c r="Q3889">
        <v>-1.500992E-2</v>
      </c>
      <c r="R3889">
        <v>-1.9989590000000002E-2</v>
      </c>
      <c r="S3889">
        <v>-2.990936</v>
      </c>
      <c r="T3889">
        <v>-0.23027990000000001</v>
      </c>
      <c r="U3889">
        <v>-0.31115720000000002</v>
      </c>
      <c r="V3889">
        <v>-1.8465240000000001E-2</v>
      </c>
      <c r="W3889">
        <v>-9.3356229999999997E-4</v>
      </c>
      <c r="X3889">
        <v>0.99982910000000003</v>
      </c>
      <c r="Y3889">
        <v>-0.1016649</v>
      </c>
      <c r="Z3889">
        <v>-3.7805529999999999E-3</v>
      </c>
      <c r="AA3889">
        <v>0.99481149999999996</v>
      </c>
      <c r="AB3889">
        <v>28</v>
      </c>
      <c r="AC3889">
        <v>-14.117199999999899</v>
      </c>
      <c r="AD3889">
        <v>-1.1091733650916</v>
      </c>
      <c r="AE3889">
        <v>-1.4985999999999799</v>
      </c>
      <c r="AF3889">
        <v>-1.4681092072258199</v>
      </c>
      <c r="AG3889">
        <v>-1.1091733650916</v>
      </c>
      <c r="AH3889">
        <v>14.0338023984883</v>
      </c>
      <c r="AI3889">
        <v>94.494600445690494</v>
      </c>
      <c r="AJ3889">
        <v>95.972124201217497</v>
      </c>
      <c r="AK3889">
        <v>14.153911825286499</v>
      </c>
      <c r="AL3889">
        <v>90.053489185711399</v>
      </c>
      <c r="AM3889">
        <v>91.058040877597904</v>
      </c>
      <c r="AN3889">
        <v>1.0000000329168099</v>
      </c>
    </row>
    <row r="3890" spans="1:40" x14ac:dyDescent="0.25">
      <c r="A3890" t="str">
        <f>"20190312172741368"</f>
        <v>20190312172741368</v>
      </c>
      <c r="B3890" t="str">
        <f>"1552382861363134"</f>
        <v>1552382861363134</v>
      </c>
      <c r="C3890" t="s">
        <v>40</v>
      </c>
      <c r="D3890">
        <v>3.5363380000000002</v>
      </c>
      <c r="E3890">
        <v>0.46917510000000001</v>
      </c>
      <c r="F3890" t="s">
        <v>41</v>
      </c>
      <c r="G3890">
        <v>-369.82080000000002</v>
      </c>
      <c r="H3890" s="1">
        <v>-1.3654689999999999E-7</v>
      </c>
      <c r="I3890">
        <v>139.90700000000001</v>
      </c>
      <c r="J3890">
        <v>-355.49900000000002</v>
      </c>
      <c r="K3890">
        <v>1.1091719999999901</v>
      </c>
      <c r="L3890">
        <v>141.41480000000001</v>
      </c>
      <c r="M3890">
        <v>-0.99990049999999997</v>
      </c>
      <c r="N3890">
        <v>0</v>
      </c>
      <c r="O3890">
        <v>-1.194182E-3</v>
      </c>
      <c r="P3890">
        <v>-0.99970599999999998</v>
      </c>
      <c r="Q3890">
        <v>-1.4701519999999999E-2</v>
      </c>
      <c r="R3890">
        <v>-1.9289839999999999E-2</v>
      </c>
      <c r="S3890">
        <v>-2.9913940000000001</v>
      </c>
      <c r="T3890">
        <v>-0.2265731</v>
      </c>
      <c r="U3890">
        <v>-0.30801390000000001</v>
      </c>
      <c r="V3890">
        <v>-1.809624E-2</v>
      </c>
      <c r="W3890">
        <v>-6.2879750000000001E-4</v>
      </c>
      <c r="X3890">
        <v>0.99983599999999995</v>
      </c>
      <c r="Y3890">
        <v>-0.1009543</v>
      </c>
      <c r="Z3890">
        <v>-3.7176430000000001E-3</v>
      </c>
      <c r="AA3890">
        <v>0.99488410000000005</v>
      </c>
      <c r="AB3890">
        <v>28</v>
      </c>
      <c r="AC3890">
        <v>-14.3217999999999</v>
      </c>
      <c r="AD3890">
        <v>-1.1091721365468901</v>
      </c>
      <c r="AE3890">
        <v>-1.5078</v>
      </c>
      <c r="AF3890">
        <v>-1.48190345723782</v>
      </c>
      <c r="AG3890">
        <v>-1.1091721365468901</v>
      </c>
      <c r="AH3890">
        <v>14.2391212912254</v>
      </c>
      <c r="AI3890">
        <v>94.4302920007746</v>
      </c>
      <c r="AJ3890">
        <v>95.941535542810399</v>
      </c>
      <c r="AK3890">
        <v>14.358930177115999</v>
      </c>
      <c r="AL3890">
        <v>90.036027447162596</v>
      </c>
      <c r="AM3890">
        <v>91.036895033808804</v>
      </c>
      <c r="AN3890">
        <v>0.99999994809221504</v>
      </c>
    </row>
    <row r="3891" spans="1:40" x14ac:dyDescent="0.25">
      <c r="A3891" t="str">
        <f>"20190312172741397"</f>
        <v>20190312172741397</v>
      </c>
      <c r="B3891" t="str">
        <f>"1552382861393390"</f>
        <v>1552382861393390</v>
      </c>
      <c r="C3891" t="s">
        <v>40</v>
      </c>
      <c r="D3891">
        <v>3.543024</v>
      </c>
      <c r="E3891">
        <v>0.46913630000000001</v>
      </c>
      <c r="F3891" t="s">
        <v>41</v>
      </c>
      <c r="G3891">
        <v>-370.47230000000002</v>
      </c>
      <c r="H3891" s="1">
        <v>-4.1398219999999999E-6</v>
      </c>
      <c r="I3891">
        <v>139.87989999999999</v>
      </c>
      <c r="J3891">
        <v>-355.85430000000002</v>
      </c>
      <c r="K3891">
        <v>1.1091740000000001</v>
      </c>
      <c r="L3891">
        <v>141.41480000000001</v>
      </c>
      <c r="M3891">
        <v>-0.99990089999999998</v>
      </c>
      <c r="N3891">
        <v>0</v>
      </c>
      <c r="O3891">
        <v>-8.3011839999999897E-4</v>
      </c>
      <c r="P3891">
        <v>-0.99971540000000003</v>
      </c>
      <c r="Q3891">
        <v>-1.5374860000000001E-2</v>
      </c>
      <c r="R3891">
        <v>-1.824288E-2</v>
      </c>
      <c r="S3891">
        <v>-2.9916990000000001</v>
      </c>
      <c r="T3891">
        <v>-0.2216175</v>
      </c>
      <c r="U3891">
        <v>-0.30667109999999997</v>
      </c>
      <c r="V3891">
        <v>-1.7413499999999998E-2</v>
      </c>
      <c r="W3891">
        <v>-1.306223E-3</v>
      </c>
      <c r="X3891">
        <v>0.9998475</v>
      </c>
      <c r="Y3891">
        <v>-0.1008758</v>
      </c>
      <c r="Z3891">
        <v>-3.660235E-3</v>
      </c>
      <c r="AA3891">
        <v>0.99489229999999995</v>
      </c>
      <c r="AB3891">
        <v>28</v>
      </c>
      <c r="AC3891">
        <v>-14.617999999999901</v>
      </c>
      <c r="AD3891">
        <v>-1.109178139822</v>
      </c>
      <c r="AE3891">
        <v>-1.5349000000000199</v>
      </c>
      <c r="AF3891">
        <v>-1.5141411436943899</v>
      </c>
      <c r="AG3891">
        <v>-1.109178139822</v>
      </c>
      <c r="AH3891">
        <v>14.536489456644</v>
      </c>
      <c r="AI3891">
        <v>94.339996731215393</v>
      </c>
      <c r="AJ3891">
        <v>95.946564733273703</v>
      </c>
      <c r="AK3891">
        <v>14.6571629339381</v>
      </c>
      <c r="AL3891">
        <v>90.074841087802596</v>
      </c>
      <c r="AM3891">
        <v>90.9977713580613</v>
      </c>
      <c r="AN3891">
        <v>0.99999997972851196</v>
      </c>
    </row>
    <row r="3892" spans="1:40" x14ac:dyDescent="0.25">
      <c r="A3892" t="str">
        <f>"20190312172741419"</f>
        <v>20190312172741419</v>
      </c>
      <c r="B3892" t="str">
        <f>"1552382861412910"</f>
        <v>1552382861412910</v>
      </c>
      <c r="C3892" t="s">
        <v>40</v>
      </c>
      <c r="D3892">
        <v>3.5637829999999999</v>
      </c>
      <c r="E3892">
        <v>0.46912429999999999</v>
      </c>
      <c r="F3892" t="s">
        <v>41</v>
      </c>
      <c r="G3892">
        <v>-370.88780000000003</v>
      </c>
      <c r="H3892" s="1">
        <v>-3.9637559999999997E-6</v>
      </c>
      <c r="I3892">
        <v>139.88810000000001</v>
      </c>
      <c r="J3892">
        <v>-356.13760000000002</v>
      </c>
      <c r="K3892">
        <v>1.109183</v>
      </c>
      <c r="L3892">
        <v>141.41489999999999</v>
      </c>
      <c r="M3892">
        <v>-0.99990109999999999</v>
      </c>
      <c r="N3892">
        <v>0</v>
      </c>
      <c r="O3892">
        <v>-5.3972699999999896E-4</v>
      </c>
      <c r="P3892">
        <v>-0.99973610000000002</v>
      </c>
      <c r="Q3892">
        <v>-1.479727E-2</v>
      </c>
      <c r="R3892">
        <v>-1.7575090000000002E-2</v>
      </c>
      <c r="S3892">
        <v>-2.9919129999999998</v>
      </c>
      <c r="T3892">
        <v>-0.2207451</v>
      </c>
      <c r="U3892">
        <v>-0.30381770000000002</v>
      </c>
      <c r="V3892">
        <v>-1.7035910000000001E-2</v>
      </c>
      <c r="W3892">
        <v>-7.3166249999999996E-4</v>
      </c>
      <c r="X3892">
        <v>0.99985460000000004</v>
      </c>
      <c r="Y3892">
        <v>-0.10022159999999999</v>
      </c>
      <c r="Z3892">
        <v>-3.6430849999999999E-3</v>
      </c>
      <c r="AA3892">
        <v>0.99495849999999997</v>
      </c>
      <c r="AB3892">
        <v>27</v>
      </c>
      <c r="AC3892">
        <v>-14.7502</v>
      </c>
      <c r="AD3892">
        <v>-1.1091869637559999</v>
      </c>
      <c r="AE3892">
        <v>-1.52679999999998</v>
      </c>
      <c r="AF3892">
        <v>-1.5103875806524301</v>
      </c>
      <c r="AG3892">
        <v>-1.1091869637559999</v>
      </c>
      <c r="AH3892">
        <v>14.668952008586199</v>
      </c>
      <c r="AI3892">
        <v>94.3015131415833</v>
      </c>
      <c r="AJ3892">
        <v>95.878739170010903</v>
      </c>
      <c r="AK3892">
        <v>14.7881614609308</v>
      </c>
      <c r="AL3892">
        <v>90.041921177464701</v>
      </c>
      <c r="AM3892">
        <v>90.976133234660395</v>
      </c>
      <c r="AN3892">
        <v>0.99999998935035095</v>
      </c>
    </row>
    <row r="3893" spans="1:40" x14ac:dyDescent="0.25">
      <c r="A3893" t="str">
        <f>"20190312172741441"</f>
        <v>20190312172741441</v>
      </c>
      <c r="B3893" t="str">
        <f>"1552382861433410"</f>
        <v>1552382861433410</v>
      </c>
      <c r="C3893" t="s">
        <v>40</v>
      </c>
      <c r="D3893">
        <v>3.5555089999999998</v>
      </c>
      <c r="E3893">
        <v>0.4690163</v>
      </c>
      <c r="F3893" t="s">
        <v>41</v>
      </c>
      <c r="G3893">
        <v>-371.39339999999999</v>
      </c>
      <c r="H3893" s="1">
        <v>-3.743646E-6</v>
      </c>
      <c r="I3893">
        <v>139.876</v>
      </c>
      <c r="J3893">
        <v>-356.39830000000001</v>
      </c>
      <c r="K3893">
        <v>1.1091930000000001</v>
      </c>
      <c r="L3893">
        <v>141.41499999999999</v>
      </c>
      <c r="M3893">
        <v>-0.99990120000000005</v>
      </c>
      <c r="N3893">
        <v>0</v>
      </c>
      <c r="O3893">
        <v>-2.7234409999999997E-4</v>
      </c>
      <c r="P3893">
        <v>-0.99977169999999904</v>
      </c>
      <c r="Q3893">
        <v>-1.342132E-2</v>
      </c>
      <c r="R3893">
        <v>-1.6634889999999999E-2</v>
      </c>
      <c r="S3893">
        <v>-2.9923099999999998</v>
      </c>
      <c r="T3893">
        <v>-0.2175598</v>
      </c>
      <c r="U3893">
        <v>-0.3018188</v>
      </c>
      <c r="V3893">
        <v>-1.6362229999999998E-2</v>
      </c>
      <c r="W3893">
        <v>6.4117109999999998E-4</v>
      </c>
      <c r="X3893">
        <v>0.99986589999999997</v>
      </c>
      <c r="Y3893">
        <v>-9.982452E-2</v>
      </c>
      <c r="Z3893">
        <v>-3.595291E-3</v>
      </c>
      <c r="AA3893">
        <v>0.99499859999999896</v>
      </c>
      <c r="AB3893">
        <v>27</v>
      </c>
      <c r="AC3893">
        <v>-14.9950999999999</v>
      </c>
      <c r="AD3893">
        <v>-1.109196743646</v>
      </c>
      <c r="AE3893">
        <v>-1.5389999999999799</v>
      </c>
      <c r="AF3893">
        <v>-1.52664949174522</v>
      </c>
      <c r="AG3893">
        <v>-1.109196743646</v>
      </c>
      <c r="AH3893">
        <v>14.9147609194513</v>
      </c>
      <c r="AI3893">
        <v>94.231176813551599</v>
      </c>
      <c r="AJ3893">
        <v>95.844344165481203</v>
      </c>
      <c r="AK3893">
        <v>15.033664535672999</v>
      </c>
      <c r="AL3893">
        <v>89.963263598619093</v>
      </c>
      <c r="AM3893">
        <v>90.9375287739134</v>
      </c>
      <c r="AN3893">
        <v>0.99999997582688005</v>
      </c>
    </row>
    <row r="3894" spans="1:40" x14ac:dyDescent="0.25">
      <c r="A3894" t="str">
        <f>"20190312172741463"</f>
        <v>20190312172741463</v>
      </c>
      <c r="B3894" t="str">
        <f>"1552382861452927"</f>
        <v>1552382861452927</v>
      </c>
      <c r="C3894" t="s">
        <v>40</v>
      </c>
      <c r="D3894">
        <v>3.5231140000000001</v>
      </c>
      <c r="E3894">
        <v>0.46692230000000001</v>
      </c>
      <c r="F3894" t="s">
        <v>41</v>
      </c>
      <c r="G3894">
        <v>-372.05880000000002</v>
      </c>
      <c r="H3894" s="1">
        <v>-3.4503030000000001E-6</v>
      </c>
      <c r="I3894">
        <v>139.84639999999999</v>
      </c>
      <c r="J3894">
        <v>-356.6771</v>
      </c>
      <c r="K3894">
        <v>1.1092059999999999</v>
      </c>
      <c r="L3894">
        <v>141.4153</v>
      </c>
      <c r="M3894">
        <v>-0.99990140000000005</v>
      </c>
      <c r="N3894">
        <v>0</v>
      </c>
      <c r="O3894" s="1">
        <v>1.3577000000000001E-5</v>
      </c>
      <c r="P3894">
        <v>-0.99979090000000004</v>
      </c>
      <c r="Q3894">
        <v>-1.27321E-2</v>
      </c>
      <c r="R3894">
        <v>-1.6012419999999999E-2</v>
      </c>
      <c r="S3894">
        <v>-2.9928590000000002</v>
      </c>
      <c r="T3894">
        <v>-0.2119772</v>
      </c>
      <c r="U3894">
        <v>-0.29975889999999999</v>
      </c>
      <c r="V3894">
        <v>-1.6025149999999998E-2</v>
      </c>
      <c r="W3894">
        <v>1.3278159999999999E-3</v>
      </c>
      <c r="X3894">
        <v>0.9998707</v>
      </c>
      <c r="Y3894">
        <v>-9.9426290000000001E-2</v>
      </c>
      <c r="Z3894">
        <v>-3.5088770000000001E-3</v>
      </c>
      <c r="AA3894">
        <v>0.99503869999999905</v>
      </c>
      <c r="AB3894">
        <v>27</v>
      </c>
      <c r="AC3894">
        <v>-15.3817</v>
      </c>
      <c r="AD3894">
        <v>-1.1092094503030001</v>
      </c>
      <c r="AE3894">
        <v>-1.56890000000001</v>
      </c>
      <c r="AF3894">
        <v>-1.5610745728148401</v>
      </c>
      <c r="AG3894">
        <v>-1.1092094503030001</v>
      </c>
      <c r="AH3894">
        <v>15.3029201126418</v>
      </c>
      <c r="AI3894">
        <v>94.124419177054193</v>
      </c>
      <c r="AJ3894">
        <v>95.824682365973601</v>
      </c>
      <c r="AK3894">
        <v>15.4222781520899</v>
      </c>
      <c r="AL3894">
        <v>89.923921724313203</v>
      </c>
      <c r="AM3894">
        <v>90.918213580554394</v>
      </c>
      <c r="AN3894">
        <v>0.99999999262317096</v>
      </c>
    </row>
    <row r="3895" spans="1:40" x14ac:dyDescent="0.25">
      <c r="A3895" t="str">
        <f>"20190312172741485"</f>
        <v>20190312172741485</v>
      </c>
      <c r="B3895" t="str">
        <f>"1552382861483182"</f>
        <v>1552382861483182</v>
      </c>
      <c r="C3895" t="s">
        <v>40</v>
      </c>
      <c r="D3895">
        <v>3.522297</v>
      </c>
      <c r="E3895">
        <v>0.47357450000000001</v>
      </c>
      <c r="F3895" t="s">
        <v>41</v>
      </c>
      <c r="G3895">
        <v>-375.37700000000001</v>
      </c>
      <c r="H3895" s="1">
        <v>-1.9945769999999999E-6</v>
      </c>
      <c r="I3895">
        <v>139.45269999999999</v>
      </c>
      <c r="J3895">
        <v>-356.9418</v>
      </c>
      <c r="K3895">
        <v>1.1092150000000001</v>
      </c>
      <c r="L3895">
        <v>141.41560000000001</v>
      </c>
      <c r="M3895">
        <v>-0.99990140000000005</v>
      </c>
      <c r="N3895">
        <v>0</v>
      </c>
      <c r="O3895">
        <v>2.853113E-4</v>
      </c>
      <c r="P3895">
        <v>-0.99980880000000005</v>
      </c>
      <c r="Q3895">
        <v>-1.2001899999999999E-2</v>
      </c>
      <c r="R3895">
        <v>-1.544044E-2</v>
      </c>
      <c r="S3895">
        <v>-2.9933169999999998</v>
      </c>
      <c r="T3895">
        <v>-0.17755290000000001</v>
      </c>
      <c r="U3895">
        <v>-0.31413269999999999</v>
      </c>
      <c r="V3895">
        <v>-1.5724760000000001E-2</v>
      </c>
      <c r="W3895">
        <v>2.0549919999999998E-3</v>
      </c>
      <c r="X3895">
        <v>0.99987420000000005</v>
      </c>
      <c r="Y3895">
        <v>-0.1044732</v>
      </c>
      <c r="Z3895">
        <v>-3.104178E-3</v>
      </c>
      <c r="AA3895">
        <v>0.99452289999999999</v>
      </c>
      <c r="AB3895">
        <v>27</v>
      </c>
      <c r="AC3895">
        <v>-18.435199999999899</v>
      </c>
      <c r="AD3895">
        <v>-1.1092169945770001</v>
      </c>
      <c r="AE3895">
        <v>-1.9629000000000101</v>
      </c>
      <c r="AF3895">
        <v>-1.96114000115308</v>
      </c>
      <c r="AG3895">
        <v>-1.1092169945770001</v>
      </c>
      <c r="AH3895">
        <v>18.368884852014201</v>
      </c>
      <c r="AI3895">
        <v>93.436165471516304</v>
      </c>
      <c r="AJ3895">
        <v>96.094055653482897</v>
      </c>
      <c r="AK3895">
        <v>18.5065491962099</v>
      </c>
      <c r="AL3895">
        <v>89.882257543114605</v>
      </c>
      <c r="AM3895">
        <v>90.901001460428105</v>
      </c>
      <c r="AN3895">
        <v>0.999999953447407</v>
      </c>
    </row>
    <row r="3896" spans="1:40" x14ac:dyDescent="0.25">
      <c r="A3896" t="str">
        <f>"20190312172741507"</f>
        <v>20190312172741507</v>
      </c>
      <c r="B3896" t="str">
        <f>"1552382861502703"</f>
        <v>1552382861502703</v>
      </c>
      <c r="C3896" t="s">
        <v>40</v>
      </c>
      <c r="D3896">
        <v>3.5611999999999999</v>
      </c>
      <c r="E3896">
        <v>0.49953639999999999</v>
      </c>
      <c r="F3896" t="s">
        <v>41</v>
      </c>
      <c r="G3896">
        <v>-376.78919999999999</v>
      </c>
      <c r="H3896" s="1">
        <v>-1.3815090000000001E-6</v>
      </c>
      <c r="I3896">
        <v>139.69810000000001</v>
      </c>
      <c r="J3896">
        <v>-357.20979999999997</v>
      </c>
      <c r="K3896">
        <v>1.109221</v>
      </c>
      <c r="L3896">
        <v>141.416</v>
      </c>
      <c r="M3896">
        <v>-0.99990120000000005</v>
      </c>
      <c r="N3896">
        <v>0</v>
      </c>
      <c r="O3896">
        <v>5.6056239999999896E-4</v>
      </c>
      <c r="P3896">
        <v>-0.99981750000000003</v>
      </c>
      <c r="Q3896">
        <v>-1.13797E-2</v>
      </c>
      <c r="R3896">
        <v>-1.53505E-2</v>
      </c>
      <c r="S3896">
        <v>-2.9945680000000001</v>
      </c>
      <c r="T3896">
        <v>-0.16735829999999999</v>
      </c>
      <c r="U3896">
        <v>-0.25912479999999999</v>
      </c>
      <c r="V3896">
        <v>-1.5909719999999999E-2</v>
      </c>
      <c r="W3896">
        <v>2.6744009999999999E-3</v>
      </c>
      <c r="X3896">
        <v>0.99986989999999998</v>
      </c>
      <c r="Y3896">
        <v>-8.6632909999999994E-2</v>
      </c>
      <c r="Z3896">
        <v>-2.4456999999999999E-3</v>
      </c>
      <c r="AA3896">
        <v>0.99623729999999999</v>
      </c>
      <c r="AB3896">
        <v>27</v>
      </c>
      <c r="AC3896">
        <v>-19.5794</v>
      </c>
      <c r="AD3896">
        <v>-1.1092223815090001</v>
      </c>
      <c r="AE3896">
        <v>-1.71789999999998</v>
      </c>
      <c r="AF3896">
        <v>-1.72338731846212</v>
      </c>
      <c r="AG3896">
        <v>-1.1092223815090001</v>
      </c>
      <c r="AH3896">
        <v>19.5162747161671</v>
      </c>
      <c r="AI3896">
        <v>93.240367431322795</v>
      </c>
      <c r="AJ3896">
        <v>95.046421850081501</v>
      </c>
      <c r="AK3896">
        <v>19.623593374761398</v>
      </c>
      <c r="AL3896">
        <v>89.846767934094004</v>
      </c>
      <c r="AM3896">
        <v>90.911601489163303</v>
      </c>
      <c r="AN3896">
        <v>1.0000000442685899</v>
      </c>
    </row>
    <row r="3897" spans="1:40" x14ac:dyDescent="0.25">
      <c r="A3897" t="str">
        <f>"20190312172741531"</f>
        <v>20190312172741531</v>
      </c>
      <c r="B3897" t="str">
        <f>"1552382861523198"</f>
        <v>1552382861523198</v>
      </c>
      <c r="C3897" t="s">
        <v>40</v>
      </c>
      <c r="D3897">
        <v>3.5297800000000001</v>
      </c>
      <c r="E3897">
        <v>0.50032500000000002</v>
      </c>
      <c r="F3897" t="s">
        <v>41</v>
      </c>
      <c r="G3897">
        <v>-378.20870000000002</v>
      </c>
      <c r="H3897" s="1">
        <v>-1.1333419999999999E-6</v>
      </c>
      <c r="I3897">
        <v>141.054</v>
      </c>
      <c r="J3897">
        <v>-357.49450000000002</v>
      </c>
      <c r="K3897">
        <v>1.109219</v>
      </c>
      <c r="L3897">
        <v>141.41650000000001</v>
      </c>
      <c r="M3897">
        <v>-0.99990109999999999</v>
      </c>
      <c r="N3897">
        <v>0</v>
      </c>
      <c r="O3897">
        <v>8.528009E-4</v>
      </c>
      <c r="P3897">
        <v>-0.99982070000000001</v>
      </c>
      <c r="Q3897">
        <v>-1.1128239999999999E-2</v>
      </c>
      <c r="R3897">
        <v>-1.5325699999999999E-2</v>
      </c>
      <c r="S3897">
        <v>-2.997986</v>
      </c>
      <c r="T3897">
        <v>-0.1583629</v>
      </c>
      <c r="U3897">
        <v>-5.1666259999999999E-2</v>
      </c>
      <c r="V3897">
        <v>-1.617671E-2</v>
      </c>
      <c r="W3897">
        <v>2.9233100000000001E-3</v>
      </c>
      <c r="X3897">
        <v>0.99986489999999995</v>
      </c>
      <c r="Y3897">
        <v>-1.8057489999999999E-2</v>
      </c>
      <c r="Z3897">
        <v>-5.2157609999999997E-4</v>
      </c>
      <c r="AA3897">
        <v>0.99983679999999997</v>
      </c>
      <c r="AB3897">
        <v>27</v>
      </c>
      <c r="AC3897">
        <v>-20.714200000000002</v>
      </c>
      <c r="AD3897">
        <v>-1.109220133342</v>
      </c>
      <c r="AE3897">
        <v>-0.36250000000001098</v>
      </c>
      <c r="AF3897">
        <v>-0.379080028881423</v>
      </c>
      <c r="AG3897">
        <v>-1.109220133342</v>
      </c>
      <c r="AH3897">
        <v>20.6546747305206</v>
      </c>
      <c r="AI3897">
        <v>93.073491669047201</v>
      </c>
      <c r="AJ3897">
        <v>91.051444664917</v>
      </c>
      <c r="AK3897">
        <v>20.687910943256501</v>
      </c>
      <c r="AL3897">
        <v>89.832506440413894</v>
      </c>
      <c r="AM3897">
        <v>90.926901576156894</v>
      </c>
      <c r="AN3897">
        <v>1.0000000249698899</v>
      </c>
    </row>
    <row r="3898" spans="1:40" x14ac:dyDescent="0.25">
      <c r="A3898" t="str">
        <f>"20190312172741555"</f>
        <v>20190312172741555</v>
      </c>
      <c r="B3898" t="str">
        <f>"1552382861542718"</f>
        <v>1552382861542718</v>
      </c>
      <c r="C3898" t="s">
        <v>40</v>
      </c>
      <c r="D3898">
        <v>3.5480130000000001</v>
      </c>
      <c r="E3898">
        <v>0.50096099999999999</v>
      </c>
      <c r="F3898" t="s">
        <v>41</v>
      </c>
      <c r="G3898">
        <v>-378.6003</v>
      </c>
      <c r="H3898" s="1">
        <v>-9.770996999999999E-7</v>
      </c>
      <c r="I3898">
        <v>141.09809999999999</v>
      </c>
      <c r="J3898">
        <v>-357.786</v>
      </c>
      <c r="K3898">
        <v>1.109219</v>
      </c>
      <c r="L3898">
        <v>141.4171</v>
      </c>
      <c r="M3898">
        <v>-0.99990080000000003</v>
      </c>
      <c r="N3898">
        <v>0</v>
      </c>
      <c r="O3898">
        <v>1.1520160000000001E-3</v>
      </c>
      <c r="P3898">
        <v>-0.99982009999999999</v>
      </c>
      <c r="Q3898">
        <v>-1.136033E-2</v>
      </c>
      <c r="R3898">
        <v>-1.5196329999999999E-2</v>
      </c>
      <c r="S3898">
        <v>-2.9980470000000001</v>
      </c>
      <c r="T3898">
        <v>-0.1575637</v>
      </c>
      <c r="U3898">
        <v>-4.5211790000000002E-2</v>
      </c>
      <c r="V3898">
        <v>-1.6346920000000001E-2</v>
      </c>
      <c r="W3898">
        <v>2.6877530000000002E-3</v>
      </c>
      <c r="X3898">
        <v>0.99986280000000005</v>
      </c>
      <c r="Y3898">
        <v>-1.6206740000000001E-2</v>
      </c>
      <c r="Z3898">
        <v>-4.8606389999999999E-4</v>
      </c>
      <c r="AA3898">
        <v>0.9998686</v>
      </c>
      <c r="AB3898">
        <v>27</v>
      </c>
      <c r="AC3898">
        <v>-20.814299999999999</v>
      </c>
      <c r="AD3898">
        <v>-1.1092199770997</v>
      </c>
      <c r="AE3898">
        <v>-0.31900000000001599</v>
      </c>
      <c r="AF3898">
        <v>-0.342009493761747</v>
      </c>
      <c r="AG3898">
        <v>-1.1092199770997</v>
      </c>
      <c r="AH3898">
        <v>20.7549892235388</v>
      </c>
      <c r="AI3898">
        <v>93.058764146263201</v>
      </c>
      <c r="AJ3898">
        <v>90.944058653171496</v>
      </c>
      <c r="AK3898">
        <v>20.787422089346101</v>
      </c>
      <c r="AL3898">
        <v>89.846002916289706</v>
      </c>
      <c r="AM3898">
        <v>90.93665459604</v>
      </c>
      <c r="AN3898">
        <v>1.0000000323167499</v>
      </c>
    </row>
    <row r="3899" spans="1:40" x14ac:dyDescent="0.25">
      <c r="A3899" t="str">
        <f>"20190312172741576"</f>
        <v>20190312172741576</v>
      </c>
      <c r="B3899" t="str">
        <f>"1552382861572974"</f>
        <v>1552382861572974</v>
      </c>
      <c r="C3899" t="s">
        <v>40</v>
      </c>
      <c r="D3899">
        <v>3.5449850000000001</v>
      </c>
      <c r="E3899">
        <v>0.50078919999999905</v>
      </c>
      <c r="F3899" t="s">
        <v>41</v>
      </c>
      <c r="G3899">
        <v>-378.74560000000002</v>
      </c>
      <c r="H3899" s="1">
        <v>-9.254475E-7</v>
      </c>
      <c r="I3899">
        <v>141.13829999999999</v>
      </c>
      <c r="J3899">
        <v>-358.04680000000002</v>
      </c>
      <c r="K3899">
        <v>1.109219</v>
      </c>
      <c r="L3899">
        <v>141.41759999999999</v>
      </c>
      <c r="M3899">
        <v>-0.99990060000000003</v>
      </c>
      <c r="N3899">
        <v>0</v>
      </c>
      <c r="O3899">
        <v>1.419759E-3</v>
      </c>
      <c r="P3899">
        <v>-0.99981900000000001</v>
      </c>
      <c r="Q3899">
        <v>-1.179973E-2</v>
      </c>
      <c r="R3899">
        <v>-1.4932920000000001E-2</v>
      </c>
      <c r="S3899">
        <v>-2.998138</v>
      </c>
      <c r="T3899">
        <v>-0.15866720000000001</v>
      </c>
      <c r="U3899">
        <v>-3.9855960000000003E-2</v>
      </c>
      <c r="V3899">
        <v>-1.6351709999999998E-2</v>
      </c>
      <c r="W3899">
        <v>2.2457269999999999E-3</v>
      </c>
      <c r="X3899">
        <v>0.99986379999999997</v>
      </c>
      <c r="Y3899">
        <v>-1.468962E-2</v>
      </c>
      <c r="Z3899">
        <v>-4.635005E-4</v>
      </c>
      <c r="AA3899">
        <v>0.999892</v>
      </c>
      <c r="AB3899">
        <v>27</v>
      </c>
      <c r="AC3899">
        <v>-20.698799999999999</v>
      </c>
      <c r="AD3899">
        <v>-1.1092199254474999</v>
      </c>
      <c r="AE3899">
        <v>-0.27930000000000599</v>
      </c>
      <c r="AF3899">
        <v>-0.307806139773939</v>
      </c>
      <c r="AG3899">
        <v>-1.1092199254474999</v>
      </c>
      <c r="AH3899">
        <v>20.639123168459101</v>
      </c>
      <c r="AI3899">
        <v>93.075978109744</v>
      </c>
      <c r="AJ3899">
        <v>90.854429968783194</v>
      </c>
      <c r="AK3899">
        <v>20.671200222181501</v>
      </c>
      <c r="AL3899">
        <v>89.871329215397395</v>
      </c>
      <c r="AM3899">
        <v>90.936928070223303</v>
      </c>
      <c r="AN3899">
        <v>1.0000000201300601</v>
      </c>
    </row>
    <row r="3900" spans="1:40" x14ac:dyDescent="0.25">
      <c r="A3900" t="str">
        <f>"20190312172741597"</f>
        <v>20190312172741597</v>
      </c>
      <c r="B3900" t="str">
        <f>"1552382861593471"</f>
        <v>1552382861593471</v>
      </c>
      <c r="C3900" t="s">
        <v>40</v>
      </c>
      <c r="D3900">
        <v>3.5414720000000002</v>
      </c>
      <c r="E3900">
        <v>0.50088259999999996</v>
      </c>
      <c r="F3900" t="s">
        <v>41</v>
      </c>
      <c r="G3900">
        <v>-379.23809999999997</v>
      </c>
      <c r="H3900" s="1">
        <v>-7.1271980000000001E-7</v>
      </c>
      <c r="I3900">
        <v>141.1328</v>
      </c>
      <c r="J3900">
        <v>-358.3</v>
      </c>
      <c r="K3900">
        <v>1.1092229999999901</v>
      </c>
      <c r="L3900">
        <v>141.41829999999999</v>
      </c>
      <c r="M3900">
        <v>-0.99990020000000002</v>
      </c>
      <c r="N3900">
        <v>0</v>
      </c>
      <c r="O3900">
        <v>1.6798119999999999E-3</v>
      </c>
      <c r="P3900">
        <v>-0.99982850000000001</v>
      </c>
      <c r="Q3900">
        <v>-1.159956E-2</v>
      </c>
      <c r="R3900">
        <v>-1.4437810000000001E-2</v>
      </c>
      <c r="S3900">
        <v>-2.9981080000000002</v>
      </c>
      <c r="T3900">
        <v>-0.15693099999999999</v>
      </c>
      <c r="U3900">
        <v>-4.0283199999999998E-2</v>
      </c>
      <c r="V3900">
        <v>-1.6116180000000001E-2</v>
      </c>
      <c r="W3900">
        <v>2.4426600000000001E-3</v>
      </c>
      <c r="X3900">
        <v>0.99986710000000001</v>
      </c>
      <c r="Y3900">
        <v>-1.509185E-2</v>
      </c>
      <c r="Z3900">
        <v>-4.825629E-4</v>
      </c>
      <c r="AA3900">
        <v>0.99988600000000005</v>
      </c>
      <c r="AB3900">
        <v>27</v>
      </c>
      <c r="AC3900">
        <v>-20.938099999999899</v>
      </c>
      <c r="AD3900">
        <v>-1.1092237127197999</v>
      </c>
      <c r="AE3900">
        <v>-0.28549999999998399</v>
      </c>
      <c r="AF3900">
        <v>-0.31977784262438003</v>
      </c>
      <c r="AG3900">
        <v>-1.1092237127197999</v>
      </c>
      <c r="AH3900">
        <v>20.8790049593464</v>
      </c>
      <c r="AI3900">
        <v>93.040696396763195</v>
      </c>
      <c r="AJ3900">
        <v>90.877459840401499</v>
      </c>
      <c r="AK3900">
        <v>20.910893888255998</v>
      </c>
      <c r="AL3900">
        <v>89.8600457461269</v>
      </c>
      <c r="AM3900">
        <v>90.923431866840403</v>
      </c>
      <c r="AN3900">
        <v>0.99999995775403805</v>
      </c>
    </row>
    <row r="3901" spans="1:40" x14ac:dyDescent="0.25">
      <c r="A3901" t="str">
        <f>"20190312172741619"</f>
        <v>20190312172741619</v>
      </c>
      <c r="B3901" t="str">
        <f>"1552382861612994"</f>
        <v>1552382861612994</v>
      </c>
      <c r="C3901" t="s">
        <v>40</v>
      </c>
      <c r="D3901">
        <v>3.5380989999999999</v>
      </c>
      <c r="E3901">
        <v>0.50085919999999995</v>
      </c>
      <c r="F3901" t="s">
        <v>41</v>
      </c>
      <c r="G3901">
        <v>-379.5505</v>
      </c>
      <c r="H3901" s="1">
        <v>-5.8298379999999996E-7</v>
      </c>
      <c r="I3901">
        <v>141.149</v>
      </c>
      <c r="J3901">
        <v>-358.57619999999997</v>
      </c>
      <c r="K3901">
        <v>1.1092310000000001</v>
      </c>
      <c r="L3901">
        <v>141.41909999999999</v>
      </c>
      <c r="M3901">
        <v>-0.9998996</v>
      </c>
      <c r="N3901">
        <v>0</v>
      </c>
      <c r="O3901">
        <v>1.963944E-3</v>
      </c>
      <c r="P3901">
        <v>-0.9998302</v>
      </c>
      <c r="Q3901">
        <v>-1.1608169999999999E-2</v>
      </c>
      <c r="R3901">
        <v>-1.431402E-2</v>
      </c>
      <c r="S3901">
        <v>-2.9981990000000001</v>
      </c>
      <c r="T3901">
        <v>-0.15649839999999901</v>
      </c>
      <c r="U3901">
        <v>-3.797913E-2</v>
      </c>
      <c r="V3901">
        <v>-1.6276369999999998E-2</v>
      </c>
      <c r="W3901">
        <v>2.4316920000000001E-3</v>
      </c>
      <c r="X3901">
        <v>0.99986459999999999</v>
      </c>
      <c r="Y3901">
        <v>-1.460769E-2</v>
      </c>
      <c r="Z3901">
        <v>-4.834172E-4</v>
      </c>
      <c r="AA3901">
        <v>0.99989320000000004</v>
      </c>
      <c r="AB3901">
        <v>27</v>
      </c>
      <c r="AC3901">
        <v>-20.974299999999999</v>
      </c>
      <c r="AD3901">
        <v>-1.10923158298379</v>
      </c>
      <c r="AE3901">
        <v>-0.27009999999998502</v>
      </c>
      <c r="AF3901">
        <v>-0.31042780958379401</v>
      </c>
      <c r="AG3901">
        <v>-1.10923158298379</v>
      </c>
      <c r="AH3901">
        <v>20.915241889549399</v>
      </c>
      <c r="AI3901">
        <v>93.035481193757207</v>
      </c>
      <c r="AJ3901">
        <v>90.850331904178702</v>
      </c>
      <c r="AK3901">
        <v>20.946935418528799</v>
      </c>
      <c r="AL3901">
        <v>89.860674177615607</v>
      </c>
      <c r="AM3901">
        <v>90.932611221163</v>
      </c>
      <c r="AN3901">
        <v>1.0000000258397499</v>
      </c>
    </row>
    <row r="3902" spans="1:40" x14ac:dyDescent="0.25">
      <c r="A3902" t="str">
        <f>"20190312172741642"</f>
        <v>20190312172741642</v>
      </c>
      <c r="B3902" t="str">
        <f>"1552382861633486"</f>
        <v>1552382861633486</v>
      </c>
      <c r="C3902" t="s">
        <v>40</v>
      </c>
      <c r="D3902">
        <v>3.4719890000000002</v>
      </c>
      <c r="E3902">
        <v>0.5007587</v>
      </c>
      <c r="F3902" t="s">
        <v>41</v>
      </c>
      <c r="G3902">
        <v>-379.96260000000001</v>
      </c>
      <c r="H3902" s="1">
        <v>-4.5609230000000002E-6</v>
      </c>
      <c r="I3902">
        <v>141.1507</v>
      </c>
      <c r="J3902">
        <v>-358.84219999999999</v>
      </c>
      <c r="K3902">
        <v>1.1092409999999999</v>
      </c>
      <c r="L3902">
        <v>141.41990000000001</v>
      </c>
      <c r="M3902">
        <v>-0.99989910000000004</v>
      </c>
      <c r="N3902">
        <v>0</v>
      </c>
      <c r="O3902">
        <v>2.2372910000000002E-3</v>
      </c>
      <c r="P3902">
        <v>-0.99984470000000003</v>
      </c>
      <c r="Q3902">
        <v>-1.0907160000000001E-2</v>
      </c>
      <c r="R3902">
        <v>-1.38603999999999E-2</v>
      </c>
      <c r="S3902">
        <v>-2.998138</v>
      </c>
      <c r="T3902">
        <v>-0.15550259999999999</v>
      </c>
      <c r="U3902">
        <v>-3.7612920000000001E-2</v>
      </c>
      <c r="V3902">
        <v>-1.6096119999999998E-2</v>
      </c>
      <c r="W3902">
        <v>3.1293029999999999E-3</v>
      </c>
      <c r="X3902">
        <v>0.99986549999999996</v>
      </c>
      <c r="Y3902">
        <v>-1.47589E-2</v>
      </c>
      <c r="Z3902">
        <v>-4.9844259999999997E-4</v>
      </c>
      <c r="AA3902">
        <v>0.99989099999999997</v>
      </c>
      <c r="AB3902">
        <v>27</v>
      </c>
      <c r="AC3902">
        <v>-21.1204</v>
      </c>
      <c r="AD3902">
        <v>-1.1092455609230001</v>
      </c>
      <c r="AE3902">
        <v>-0.26920000000001199</v>
      </c>
      <c r="AF3902">
        <v>-0.31558609790701603</v>
      </c>
      <c r="AG3902">
        <v>-1.1092455609230001</v>
      </c>
      <c r="AH3902">
        <v>21.061658569569602</v>
      </c>
      <c r="AI3902">
        <v>93.014449712584096</v>
      </c>
      <c r="AJ3902">
        <v>90.858450837628894</v>
      </c>
      <c r="AK3902">
        <v>21.093209381237902</v>
      </c>
      <c r="AL3902">
        <v>89.8207038433044</v>
      </c>
      <c r="AM3902">
        <v>90.922284134522897</v>
      </c>
      <c r="AN3902">
        <v>0.99999994785328306</v>
      </c>
    </row>
    <row r="3903" spans="1:40" x14ac:dyDescent="0.25">
      <c r="A3903" t="str">
        <f>"20190312172741664"</f>
        <v>20190312172741664</v>
      </c>
      <c r="B3903" t="str">
        <f>"1552382861653006"</f>
        <v>1552382861653006</v>
      </c>
      <c r="C3903" t="s">
        <v>40</v>
      </c>
      <c r="D3903">
        <v>3.473643</v>
      </c>
      <c r="E3903">
        <v>0.50073639999999997</v>
      </c>
      <c r="F3903" t="s">
        <v>41</v>
      </c>
      <c r="G3903">
        <v>-380.41680000000002</v>
      </c>
      <c r="H3903" s="1">
        <v>-4.4067889999999998E-6</v>
      </c>
      <c r="I3903">
        <v>141.15299999999999</v>
      </c>
      <c r="J3903">
        <v>-359.11509999999998</v>
      </c>
      <c r="K3903">
        <v>1.1092519999999999</v>
      </c>
      <c r="L3903">
        <v>141.42080000000001</v>
      </c>
      <c r="M3903">
        <v>-0.99989859999999997</v>
      </c>
      <c r="N3903">
        <v>0</v>
      </c>
      <c r="O3903">
        <v>2.5179680000000002E-3</v>
      </c>
      <c r="P3903">
        <v>-0.99985939999999995</v>
      </c>
      <c r="Q3903">
        <v>-8.8157940000000001E-3</v>
      </c>
      <c r="R3903">
        <v>-1.426556E-2</v>
      </c>
      <c r="S3903">
        <v>-2.99823</v>
      </c>
      <c r="T3903">
        <v>-0.15415299999999901</v>
      </c>
      <c r="U3903">
        <v>-3.7078859999999998E-2</v>
      </c>
      <c r="V3903">
        <v>-1.6780610000000001E-2</v>
      </c>
      <c r="W3903">
        <v>5.2183070000000002E-3</v>
      </c>
      <c r="X3903">
        <v>0.9998456</v>
      </c>
      <c r="Y3903">
        <v>-1.4860999999999999E-2</v>
      </c>
      <c r="Z3903">
        <v>-5.1115329999999997E-4</v>
      </c>
      <c r="AA3903">
        <v>0.99988940000000004</v>
      </c>
      <c r="AB3903">
        <v>27</v>
      </c>
      <c r="AC3903">
        <v>-21.3017</v>
      </c>
      <c r="AD3903">
        <v>-1.1092564067890001</v>
      </c>
      <c r="AE3903">
        <v>-0.26780000000002202</v>
      </c>
      <c r="AF3903">
        <v>-0.320572273188521</v>
      </c>
      <c r="AG3903">
        <v>-1.1092564067890001</v>
      </c>
      <c r="AH3903">
        <v>21.2433623902695</v>
      </c>
      <c r="AI3903">
        <v>92.988737136353294</v>
      </c>
      <c r="AJ3903">
        <v>90.864554485824897</v>
      </c>
      <c r="AK3903">
        <v>21.274718846618299</v>
      </c>
      <c r="AL3903">
        <v>89.701011682234906</v>
      </c>
      <c r="AM3903">
        <v>90.961516330852405</v>
      </c>
      <c r="AN3903">
        <v>1.0000000217196301</v>
      </c>
    </row>
    <row r="3904" spans="1:40" x14ac:dyDescent="0.25">
      <c r="A3904" t="str">
        <f>"20190312172741686"</f>
        <v>20190312172741686</v>
      </c>
      <c r="B3904" t="str">
        <f>"1552382861683262"</f>
        <v>1552382861683262</v>
      </c>
      <c r="C3904" t="s">
        <v>40</v>
      </c>
      <c r="D3904">
        <v>3.503768</v>
      </c>
      <c r="E3904">
        <v>0.50067410000000001</v>
      </c>
      <c r="F3904" t="s">
        <v>41</v>
      </c>
      <c r="G3904">
        <v>-381.49680000000001</v>
      </c>
      <c r="H3904" s="1">
        <v>-4.0339560000000003E-6</v>
      </c>
      <c r="I3904">
        <v>141.1337</v>
      </c>
      <c r="J3904">
        <v>-359.38240000000002</v>
      </c>
      <c r="K3904">
        <v>1.109267</v>
      </c>
      <c r="L3904">
        <v>141.42179999999999</v>
      </c>
      <c r="M3904">
        <v>-0.9998977</v>
      </c>
      <c r="N3904">
        <v>0</v>
      </c>
      <c r="O3904">
        <v>2.7929209999999999E-3</v>
      </c>
      <c r="P3904">
        <v>-0.99987950000000003</v>
      </c>
      <c r="Q3904">
        <v>-5.8613679999999996E-3</v>
      </c>
      <c r="R3904">
        <v>-1.4374619999999999E-2</v>
      </c>
      <c r="S3904">
        <v>-2.9985659999999998</v>
      </c>
      <c r="T3904">
        <v>-0.148612299999999</v>
      </c>
      <c r="U3904">
        <v>-3.8452149999999997E-2</v>
      </c>
      <c r="V3904">
        <v>-1.716312E-2</v>
      </c>
      <c r="W3904">
        <v>8.169862E-3</v>
      </c>
      <c r="X3904">
        <v>0.99981929999999997</v>
      </c>
      <c r="Y3904">
        <v>-1.559282E-2</v>
      </c>
      <c r="Z3904">
        <v>-5.2448969999999997E-4</v>
      </c>
      <c r="AA3904">
        <v>0.9998783</v>
      </c>
      <c r="AB3904">
        <v>27</v>
      </c>
      <c r="AC3904">
        <v>-22.1143999999999</v>
      </c>
      <c r="AD3904">
        <v>-1.1092710339559999</v>
      </c>
      <c r="AE3904">
        <v>-0.28809999999998498</v>
      </c>
      <c r="AF3904">
        <v>-0.34899078550776702</v>
      </c>
      <c r="AG3904">
        <v>-1.1092710339559999</v>
      </c>
      <c r="AH3904">
        <v>22.058018617015399</v>
      </c>
      <c r="AI3904">
        <v>92.878550439690102</v>
      </c>
      <c r="AJ3904">
        <v>90.906429142957805</v>
      </c>
      <c r="AK3904">
        <v>22.088650074274401</v>
      </c>
      <c r="AL3904">
        <v>89.531896169465796</v>
      </c>
      <c r="AM3904">
        <v>90.983455473442206</v>
      </c>
      <c r="AN3904">
        <v>0.99999997599286095</v>
      </c>
    </row>
    <row r="3905" spans="1:40" x14ac:dyDescent="0.25">
      <c r="A3905" t="str">
        <f>"20190312172741709"</f>
        <v>20190312172741709</v>
      </c>
      <c r="B3905" t="str">
        <f>"1552382861702782"</f>
        <v>1552382861702782</v>
      </c>
      <c r="C3905" t="s">
        <v>40</v>
      </c>
      <c r="D3905">
        <v>3.496982</v>
      </c>
      <c r="E3905">
        <v>0.50072399999999995</v>
      </c>
      <c r="F3905" t="s">
        <v>41</v>
      </c>
      <c r="G3905">
        <v>-383.00760000000002</v>
      </c>
      <c r="H3905" s="1">
        <v>-3.3798510000000002E-6</v>
      </c>
      <c r="I3905">
        <v>141.1114</v>
      </c>
      <c r="J3905">
        <v>-359.65690000000001</v>
      </c>
      <c r="K3905">
        <v>1.1092789999999999</v>
      </c>
      <c r="L3905">
        <v>141.4229</v>
      </c>
      <c r="M3905">
        <v>-0.99989709999999998</v>
      </c>
      <c r="N3905">
        <v>0</v>
      </c>
      <c r="O3905">
        <v>3.0753809999999999E-3</v>
      </c>
      <c r="P3905">
        <v>-0.99988200000000005</v>
      </c>
      <c r="Q3905">
        <v>-3.7878590000000002E-3</v>
      </c>
      <c r="R3905">
        <v>-1.490678E-2</v>
      </c>
      <c r="S3905">
        <v>-2.9989620000000001</v>
      </c>
      <c r="T3905">
        <v>-0.1408104</v>
      </c>
      <c r="U3905">
        <v>-3.939819E-2</v>
      </c>
      <c r="V3905">
        <v>-1.7976579999999999E-2</v>
      </c>
      <c r="W3905">
        <v>1.024068E-2</v>
      </c>
      <c r="X3905">
        <v>0.99978599999999995</v>
      </c>
      <c r="Y3905">
        <v>-1.6190280000000001E-2</v>
      </c>
      <c r="Z3905">
        <v>-5.2419320000000001E-4</v>
      </c>
      <c r="AA3905">
        <v>0.9998688</v>
      </c>
      <c r="AB3905">
        <v>27</v>
      </c>
      <c r="AC3905">
        <v>-23.3507</v>
      </c>
      <c r="AD3905">
        <v>-1.1092823798510001</v>
      </c>
      <c r="AE3905">
        <v>-0.311499999999995</v>
      </c>
      <c r="AF3905">
        <v>-0.38245492278491</v>
      </c>
      <c r="AG3905">
        <v>-1.1092823798510001</v>
      </c>
      <c r="AH3905">
        <v>23.297065063358598</v>
      </c>
      <c r="AI3905">
        <v>92.725694806813195</v>
      </c>
      <c r="AJ3905">
        <v>90.940508371708901</v>
      </c>
      <c r="AK3905">
        <v>23.326594687878799</v>
      </c>
      <c r="AL3905">
        <v>89.413242022581201</v>
      </c>
      <c r="AM3905">
        <v>91.030091628916495</v>
      </c>
      <c r="AN3905">
        <v>1.0000000373756699</v>
      </c>
    </row>
    <row r="3906" spans="1:40" x14ac:dyDescent="0.25">
      <c r="A3906" t="str">
        <f>"20190312172741731"</f>
        <v>20190312172741731</v>
      </c>
      <c r="B3906" t="str">
        <f>"1552382861723278"</f>
        <v>1552382861723278</v>
      </c>
      <c r="C3906" t="s">
        <v>40</v>
      </c>
      <c r="D3906">
        <v>3.4927640000000002</v>
      </c>
      <c r="E3906">
        <v>0.50070599999999998</v>
      </c>
      <c r="F3906" t="s">
        <v>41</v>
      </c>
      <c r="G3906">
        <v>-384.08629999999999</v>
      </c>
      <c r="H3906" s="1">
        <v>-2.9120600000000002E-6</v>
      </c>
      <c r="I3906">
        <v>141.0925</v>
      </c>
      <c r="J3906">
        <v>-359.9169</v>
      </c>
      <c r="K3906">
        <v>1.1092879999999901</v>
      </c>
      <c r="L3906">
        <v>141.42400000000001</v>
      </c>
      <c r="M3906">
        <v>-0.99989620000000001</v>
      </c>
      <c r="N3906">
        <v>0</v>
      </c>
      <c r="O3906">
        <v>3.3430019999999999E-3</v>
      </c>
      <c r="P3906">
        <v>-0.99987789999999999</v>
      </c>
      <c r="Q3906">
        <v>-2.556146E-3</v>
      </c>
      <c r="R3906">
        <v>-1.541556E-2</v>
      </c>
      <c r="S3906">
        <v>-2.9992369999999999</v>
      </c>
      <c r="T3906">
        <v>-0.13618839999999999</v>
      </c>
      <c r="U3906">
        <v>-4.0557860000000001E-2</v>
      </c>
      <c r="V3906">
        <v>-1.875245E-2</v>
      </c>
      <c r="W3906">
        <v>1.146989E-2</v>
      </c>
      <c r="X3906">
        <v>0.99975840000000005</v>
      </c>
      <c r="Y3906">
        <v>-1.684364E-2</v>
      </c>
      <c r="Z3906">
        <v>-5.3392939999999996E-4</v>
      </c>
      <c r="AA3906">
        <v>0.99985800000000002</v>
      </c>
      <c r="AB3906">
        <v>27</v>
      </c>
      <c r="AC3906">
        <v>-24.1694</v>
      </c>
      <c r="AD3906">
        <v>-1.1092909120600001</v>
      </c>
      <c r="AE3906">
        <v>-0.33150000000000501</v>
      </c>
      <c r="AF3906">
        <v>-0.41143790954750598</v>
      </c>
      <c r="AG3906">
        <v>-1.1092909120600001</v>
      </c>
      <c r="AH3906">
        <v>24.117363202340901</v>
      </c>
      <c r="AI3906">
        <v>92.633111084523406</v>
      </c>
      <c r="AJ3906">
        <v>90.977360958199696</v>
      </c>
      <c r="AK3906">
        <v>24.146366503360699</v>
      </c>
      <c r="AL3906">
        <v>89.342809324533306</v>
      </c>
      <c r="AM3906">
        <v>91.074569878923299</v>
      </c>
      <c r="AN3906">
        <v>1.0000000355640799</v>
      </c>
    </row>
    <row r="3907" spans="1:40" x14ac:dyDescent="0.25">
      <c r="A3907" t="str">
        <f>"20190312172741754"</f>
        <v>20190312172741754</v>
      </c>
      <c r="B3907" t="str">
        <f>"1552382861742799"</f>
        <v>1552382861742799</v>
      </c>
      <c r="C3907" t="s">
        <v>40</v>
      </c>
      <c r="D3907">
        <v>3.496229</v>
      </c>
      <c r="E3907">
        <v>0.50064589999999998</v>
      </c>
      <c r="F3907" t="s">
        <v>41</v>
      </c>
      <c r="G3907">
        <v>-384.76060000000001</v>
      </c>
      <c r="H3907" s="1">
        <v>-2.6179259999999998E-6</v>
      </c>
      <c r="I3907">
        <v>141.07419999999999</v>
      </c>
      <c r="J3907">
        <v>-360.2002</v>
      </c>
      <c r="K3907">
        <v>1.1093029999999999</v>
      </c>
      <c r="L3907">
        <v>141.42529999999999</v>
      </c>
      <c r="M3907">
        <v>-0.99989519999999998</v>
      </c>
      <c r="N3907">
        <v>0</v>
      </c>
      <c r="O3907">
        <v>3.6342890000000002E-3</v>
      </c>
      <c r="P3907">
        <v>-0.99987110000000001</v>
      </c>
      <c r="Q3907">
        <v>-1.9749849999999998E-3</v>
      </c>
      <c r="R3907">
        <v>-1.5932450000000001E-2</v>
      </c>
      <c r="S3907">
        <v>-2.9993289999999999</v>
      </c>
      <c r="T3907">
        <v>-0.13392229999999999</v>
      </c>
      <c r="U3907">
        <v>-4.2221069999999999E-2</v>
      </c>
      <c r="V3907">
        <v>-1.9560359999999999E-2</v>
      </c>
      <c r="W3907">
        <v>1.204825E-2</v>
      </c>
      <c r="X3907">
        <v>0.99973610000000002</v>
      </c>
      <c r="Y3907">
        <v>-1.76884E-2</v>
      </c>
      <c r="Z3907">
        <v>-5.5688600000000003E-4</v>
      </c>
      <c r="AA3907">
        <v>0.99984340000000005</v>
      </c>
      <c r="AB3907">
        <v>27</v>
      </c>
      <c r="AC3907">
        <v>-24.560400000000001</v>
      </c>
      <c r="AD3907">
        <v>-1.1093056179259999</v>
      </c>
      <c r="AE3907">
        <v>-0.35110000000000202</v>
      </c>
      <c r="AF3907">
        <v>-0.43946970027479698</v>
      </c>
      <c r="AG3907">
        <v>-1.1093056179259999</v>
      </c>
      <c r="AH3907">
        <v>24.5089733960172</v>
      </c>
      <c r="AI3907">
        <v>92.591091292132901</v>
      </c>
      <c r="AJ3907">
        <v>91.027258896845794</v>
      </c>
      <c r="AK3907">
        <v>24.5380005195635</v>
      </c>
      <c r="AL3907">
        <v>89.309669435356696</v>
      </c>
      <c r="AM3907">
        <v>91.120878898263697</v>
      </c>
      <c r="AN3907">
        <v>1.0000000188272999</v>
      </c>
    </row>
    <row r="3908" spans="1:40" x14ac:dyDescent="0.25">
      <c r="A3908" t="str">
        <f>"20190312172741776"</f>
        <v>20190312172741776</v>
      </c>
      <c r="B3908" t="str">
        <f>"1552382861773055"</f>
        <v>1552382861773055</v>
      </c>
      <c r="C3908" t="s">
        <v>40</v>
      </c>
      <c r="D3908">
        <v>3.5350950000000001</v>
      </c>
      <c r="E3908">
        <v>0.50062600000000002</v>
      </c>
      <c r="F3908" t="s">
        <v>41</v>
      </c>
      <c r="G3908">
        <v>-385.15120000000002</v>
      </c>
      <c r="H3908" s="1">
        <v>-2.4459839999999999E-6</v>
      </c>
      <c r="I3908">
        <v>141.05760000000001</v>
      </c>
      <c r="J3908">
        <v>-360.45740000000001</v>
      </c>
      <c r="K3908">
        <v>1.1093109999999999</v>
      </c>
      <c r="L3908">
        <v>141.4265</v>
      </c>
      <c r="M3908">
        <v>-0.99989430000000001</v>
      </c>
      <c r="N3908">
        <v>0</v>
      </c>
      <c r="O3908">
        <v>3.8988109999999999E-3</v>
      </c>
      <c r="P3908">
        <v>-0.99986520000000001</v>
      </c>
      <c r="Q3908">
        <v>-4.7142659999999998E-4</v>
      </c>
      <c r="R3908">
        <v>-1.6423190000000001E-2</v>
      </c>
      <c r="S3908">
        <v>-2.9994510000000001</v>
      </c>
      <c r="T3908">
        <v>-0.1333541</v>
      </c>
      <c r="U3908">
        <v>-4.4189449999999998E-2</v>
      </c>
      <c r="V3908">
        <v>-2.0314599999999999E-2</v>
      </c>
      <c r="W3908">
        <v>1.3549220000000001E-2</v>
      </c>
      <c r="X3908">
        <v>0.99970179999999997</v>
      </c>
      <c r="Y3908">
        <v>-1.8607350000000002E-2</v>
      </c>
      <c r="Z3908">
        <v>-5.8667229999999999E-4</v>
      </c>
      <c r="AA3908">
        <v>0.99982669999999996</v>
      </c>
      <c r="AB3908">
        <v>27</v>
      </c>
      <c r="AC3908">
        <v>-24.6938</v>
      </c>
      <c r="AD3908">
        <v>-1.1093134459839999</v>
      </c>
      <c r="AE3908">
        <v>-0.36889999999999601</v>
      </c>
      <c r="AF3908">
        <v>-0.46424643511357699</v>
      </c>
      <c r="AG3908">
        <v>-1.1093134459839999</v>
      </c>
      <c r="AH3908">
        <v>24.6424551681114</v>
      </c>
      <c r="AI3908">
        <v>92.5770501951841</v>
      </c>
      <c r="AJ3908">
        <v>91.079284308398996</v>
      </c>
      <c r="AK3908">
        <v>24.6717793802218</v>
      </c>
      <c r="AL3908">
        <v>89.223663105428599</v>
      </c>
      <c r="AM3908">
        <v>91.164127816702603</v>
      </c>
      <c r="AN3908">
        <v>0.99999997662950302</v>
      </c>
    </row>
    <row r="3909" spans="1:40" x14ac:dyDescent="0.25">
      <c r="A3909" t="str">
        <f>"20190312172741798"</f>
        <v>20190312172741798</v>
      </c>
      <c r="B3909" t="str">
        <f>"1552382861793551"</f>
        <v>1552382861793551</v>
      </c>
      <c r="C3909" t="s">
        <v>40</v>
      </c>
      <c r="D3909">
        <v>3.493204</v>
      </c>
      <c r="E3909">
        <v>0.50063170000000001</v>
      </c>
      <c r="F3909" t="s">
        <v>41</v>
      </c>
      <c r="G3909">
        <v>-385.8021</v>
      </c>
      <c r="H3909" s="1">
        <v>-2.1618350000000001E-6</v>
      </c>
      <c r="I3909">
        <v>141.0393</v>
      </c>
      <c r="J3909">
        <v>-360.72820000000002</v>
      </c>
      <c r="K3909">
        <v>1.1093189999999999</v>
      </c>
      <c r="L3909">
        <v>141.42789999999999</v>
      </c>
      <c r="M3909">
        <v>-0.99989320000000004</v>
      </c>
      <c r="N3909">
        <v>0</v>
      </c>
      <c r="O3909">
        <v>4.1775789999999998E-3</v>
      </c>
      <c r="P3909">
        <v>-0.99985710000000005</v>
      </c>
      <c r="Q3909" s="1">
        <v>-8.5320319999999998E-5</v>
      </c>
      <c r="R3909">
        <v>-1.6898349999999999E-2</v>
      </c>
      <c r="S3909">
        <v>-2.999603</v>
      </c>
      <c r="T3909">
        <v>-0.13128999999999999</v>
      </c>
      <c r="U3909">
        <v>-4.5822139999999997E-2</v>
      </c>
      <c r="V3909">
        <v>-2.1068610000000002E-2</v>
      </c>
      <c r="W3909">
        <v>1.393256E-2</v>
      </c>
      <c r="X3909">
        <v>0.99968089999999998</v>
      </c>
      <c r="Y3909">
        <v>-1.9429060000000001E-2</v>
      </c>
      <c r="Z3909">
        <v>-6.0773789999999999E-4</v>
      </c>
      <c r="AA3909">
        <v>0.99981109999999895</v>
      </c>
      <c r="AB3909">
        <v>27</v>
      </c>
      <c r="AC3909">
        <v>-25.073899999999899</v>
      </c>
      <c r="AD3909">
        <v>-1.1093211618349901</v>
      </c>
      <c r="AE3909">
        <v>-0.388599999999996</v>
      </c>
      <c r="AF3909">
        <v>-0.49239152415957599</v>
      </c>
      <c r="AG3909">
        <v>-1.1093211618349901</v>
      </c>
      <c r="AH3909">
        <v>25.023090146554001</v>
      </c>
      <c r="AI3909">
        <v>92.537878163404898</v>
      </c>
      <c r="AJ3909">
        <v>91.127291458686699</v>
      </c>
      <c r="AK3909">
        <v>25.052506528004901</v>
      </c>
      <c r="AL3909">
        <v>89.201697247345393</v>
      </c>
      <c r="AM3909">
        <v>91.207349020510307</v>
      </c>
      <c r="AN3909">
        <v>0.99999995219014604</v>
      </c>
    </row>
    <row r="3910" spans="1:40" x14ac:dyDescent="0.25">
      <c r="A3910" t="str">
        <f>"20190312172741820"</f>
        <v>20190312172741820</v>
      </c>
      <c r="B3910" t="str">
        <f>"1552382861813070"</f>
        <v>1552382861813070</v>
      </c>
      <c r="C3910" t="s">
        <v>40</v>
      </c>
      <c r="D3910">
        <v>3.4821219999999999</v>
      </c>
      <c r="E3910">
        <v>0.50067700000000004</v>
      </c>
      <c r="F3910" t="s">
        <v>41</v>
      </c>
      <c r="G3910">
        <v>-385.94639999999998</v>
      </c>
      <c r="H3910" s="1">
        <v>-2.097566E-6</v>
      </c>
      <c r="I3910">
        <v>141.03039999999999</v>
      </c>
      <c r="J3910">
        <v>-360.99209999999999</v>
      </c>
      <c r="K3910">
        <v>1.109321</v>
      </c>
      <c r="L3910">
        <v>141.42930000000001</v>
      </c>
      <c r="M3910">
        <v>-0.99989209999999995</v>
      </c>
      <c r="N3910">
        <v>0</v>
      </c>
      <c r="O3910">
        <v>4.4492510000000004E-3</v>
      </c>
      <c r="P3910">
        <v>-0.99984620000000002</v>
      </c>
      <c r="Q3910">
        <v>1.2054050000000001E-3</v>
      </c>
      <c r="R3910">
        <v>-1.750763E-2</v>
      </c>
      <c r="S3910">
        <v>-2.999603</v>
      </c>
      <c r="T3910">
        <v>-0.13194929999999999</v>
      </c>
      <c r="U3910">
        <v>-4.7271729999999998E-2</v>
      </c>
      <c r="V3910">
        <v>-2.194815E-2</v>
      </c>
      <c r="W3910">
        <v>1.5220829999999999E-2</v>
      </c>
      <c r="X3910">
        <v>0.99964330000000001</v>
      </c>
      <c r="Y3910">
        <v>-2.0182530000000001E-2</v>
      </c>
      <c r="Z3910">
        <v>-6.3929329999999997E-4</v>
      </c>
      <c r="AA3910">
        <v>0.99979609999999997</v>
      </c>
      <c r="AB3910">
        <v>27</v>
      </c>
      <c r="AC3910">
        <v>-24.9542999999999</v>
      </c>
      <c r="AD3910">
        <v>-1.109323097566</v>
      </c>
      <c r="AE3910">
        <v>-0.39890000000002601</v>
      </c>
      <c r="AF3910">
        <v>-0.50892940061771796</v>
      </c>
      <c r="AG3910">
        <v>-1.109323097566</v>
      </c>
      <c r="AH3910">
        <v>24.903077715293701</v>
      </c>
      <c r="AI3910">
        <v>92.550058244673096</v>
      </c>
      <c r="AJ3910">
        <v>91.170756828482396</v>
      </c>
      <c r="AK3910">
        <v>24.9329678651292</v>
      </c>
      <c r="AL3910">
        <v>89.127877056733993</v>
      </c>
      <c r="AM3910">
        <v>91.257783001265693</v>
      </c>
      <c r="AN3910">
        <v>1.0000000610945901</v>
      </c>
    </row>
    <row r="3911" spans="1:40" x14ac:dyDescent="0.25">
      <c r="A3911" t="str">
        <f>"20190312172741843"</f>
        <v>20190312172741843</v>
      </c>
      <c r="B3911" t="str">
        <f>"1552382861833566"</f>
        <v>1552382861833566</v>
      </c>
      <c r="C3911" t="s">
        <v>40</v>
      </c>
      <c r="D3911">
        <v>3.4832519999999998</v>
      </c>
      <c r="E3911">
        <v>0.50069019999999997</v>
      </c>
      <c r="F3911" t="s">
        <v>41</v>
      </c>
      <c r="G3911">
        <v>-386.59769999999997</v>
      </c>
      <c r="H3911" s="1">
        <v>-1.8134709999999999E-6</v>
      </c>
      <c r="I3911">
        <v>141.0127</v>
      </c>
      <c r="J3911">
        <v>-361.26549999999997</v>
      </c>
      <c r="K3911">
        <v>1.109327</v>
      </c>
      <c r="L3911">
        <v>141.43090000000001</v>
      </c>
      <c r="M3911">
        <v>-0.99989090000000003</v>
      </c>
      <c r="N3911">
        <v>0</v>
      </c>
      <c r="O3911">
        <v>4.7309969999999998E-3</v>
      </c>
      <c r="P3911">
        <v>-0.99984099999999998</v>
      </c>
      <c r="Q3911">
        <v>1.706054E-3</v>
      </c>
      <c r="R3911">
        <v>-1.775471E-2</v>
      </c>
      <c r="S3911">
        <v>-2.9997560000000001</v>
      </c>
      <c r="T3911">
        <v>-0.12995989999999999</v>
      </c>
      <c r="U3911">
        <v>-4.8797609999999998E-2</v>
      </c>
      <c r="V3911">
        <v>-2.2477069999999998E-2</v>
      </c>
      <c r="W3911">
        <v>1.5719070000000002E-2</v>
      </c>
      <c r="X3911">
        <v>0.99962379999999995</v>
      </c>
      <c r="Y3911">
        <v>-2.09716E-2</v>
      </c>
      <c r="Z3911">
        <v>-6.5891389999999999E-4</v>
      </c>
      <c r="AA3911">
        <v>0.99977990000000005</v>
      </c>
      <c r="AB3911">
        <v>27</v>
      </c>
      <c r="AC3911">
        <v>-25.3322</v>
      </c>
      <c r="AD3911">
        <v>-1.109328813471</v>
      </c>
      <c r="AE3911">
        <v>-0.41820000000001201</v>
      </c>
      <c r="AF3911">
        <v>-0.53702405969836298</v>
      </c>
      <c r="AG3911">
        <v>-1.109328813471</v>
      </c>
      <c r="AH3911">
        <v>25.2814693433189</v>
      </c>
      <c r="AI3911">
        <v>92.511911229765303</v>
      </c>
      <c r="AJ3911">
        <v>91.216882813104505</v>
      </c>
      <c r="AK3911">
        <v>25.3114933856987</v>
      </c>
      <c r="AL3911">
        <v>89.099326559656006</v>
      </c>
      <c r="AM3911">
        <v>91.288108855433904</v>
      </c>
      <c r="AN3911">
        <v>1.00000002468194</v>
      </c>
    </row>
    <row r="3912" spans="1:40" x14ac:dyDescent="0.25">
      <c r="A3912" t="str">
        <f>"20190312172741865"</f>
        <v>20190312172741865</v>
      </c>
      <c r="B3912" t="str">
        <f>"1552382861853087"</f>
        <v>1552382861853087</v>
      </c>
      <c r="C3912" t="s">
        <v>40</v>
      </c>
      <c r="D3912">
        <v>3.5079959999999999</v>
      </c>
      <c r="E3912">
        <v>0.50065470000000001</v>
      </c>
      <c r="F3912" t="s">
        <v>41</v>
      </c>
      <c r="G3912">
        <v>-386.76170000000002</v>
      </c>
      <c r="H3912" s="1">
        <v>-1.742247E-6</v>
      </c>
      <c r="I3912">
        <v>141.0094</v>
      </c>
      <c r="J3912">
        <v>-361.52679999999998</v>
      </c>
      <c r="K3912">
        <v>1.109334</v>
      </c>
      <c r="L3912">
        <v>141.4324</v>
      </c>
      <c r="M3912">
        <v>-0.99988949999999999</v>
      </c>
      <c r="N3912">
        <v>0</v>
      </c>
      <c r="O3912">
        <v>5.0002270000000003E-3</v>
      </c>
      <c r="P3912">
        <v>-0.9998167</v>
      </c>
      <c r="Q3912">
        <v>2.7806340000000001E-3</v>
      </c>
      <c r="R3912">
        <v>-1.8948980000000001E-2</v>
      </c>
      <c r="S3912">
        <v>-2.9998170000000002</v>
      </c>
      <c r="T3912">
        <v>-0.1305212</v>
      </c>
      <c r="U3912">
        <v>-4.9575809999999998E-2</v>
      </c>
      <c r="V3912">
        <v>-2.3939970000000001E-2</v>
      </c>
      <c r="W3912">
        <v>1.6790380000000001E-2</v>
      </c>
      <c r="X3912">
        <v>0.99957240000000003</v>
      </c>
      <c r="Y3912">
        <v>-2.149879E-2</v>
      </c>
      <c r="Z3912">
        <v>-6.8491369999999904E-4</v>
      </c>
      <c r="AA3912">
        <v>0.99976860000000001</v>
      </c>
      <c r="AB3912">
        <v>27</v>
      </c>
      <c r="AC3912">
        <v>-25.2349</v>
      </c>
      <c r="AD3912">
        <v>-1.109335742247</v>
      </c>
      <c r="AE3912">
        <v>-0.42300000000000099</v>
      </c>
      <c r="AF3912">
        <v>-0.548128337248036</v>
      </c>
      <c r="AG3912">
        <v>-1.109335742247</v>
      </c>
      <c r="AH3912">
        <v>25.183814743450601</v>
      </c>
      <c r="AI3912">
        <v>92.521626455607702</v>
      </c>
      <c r="AJ3912">
        <v>91.2468517164357</v>
      </c>
      <c r="AK3912">
        <v>25.2141943257277</v>
      </c>
      <c r="AL3912">
        <v>89.037936892851405</v>
      </c>
      <c r="AM3912">
        <v>91.3719837261241</v>
      </c>
      <c r="AN3912">
        <v>1.0000000109329501</v>
      </c>
    </row>
    <row r="3913" spans="1:40" x14ac:dyDescent="0.25">
      <c r="A3913" t="str">
        <f>"20190312172741887"</f>
        <v>20190312172741887</v>
      </c>
      <c r="B3913" t="str">
        <f>"1552382861883343"</f>
        <v>1552382861883343</v>
      </c>
      <c r="C3913" t="s">
        <v>40</v>
      </c>
      <c r="D3913">
        <v>3.4983550000000001</v>
      </c>
      <c r="E3913">
        <v>0.50121359999999904</v>
      </c>
      <c r="F3913" t="s">
        <v>41</v>
      </c>
      <c r="G3913">
        <v>-387.24119999999999</v>
      </c>
      <c r="H3913" s="1">
        <v>-1.5268039999999901E-6</v>
      </c>
      <c r="I3913">
        <v>140.97280000000001</v>
      </c>
      <c r="J3913">
        <v>-361.7878</v>
      </c>
      <c r="K3913">
        <v>1.109343</v>
      </c>
      <c r="L3913">
        <v>141.434</v>
      </c>
      <c r="M3913">
        <v>-0.99988829999999995</v>
      </c>
      <c r="N3913">
        <v>0</v>
      </c>
      <c r="O3913">
        <v>5.2691020000000003E-3</v>
      </c>
      <c r="P3913">
        <v>-0.99978730000000005</v>
      </c>
      <c r="Q3913">
        <v>3.5759490000000001E-3</v>
      </c>
      <c r="R3913">
        <v>-2.0320600000000001E-2</v>
      </c>
      <c r="S3913">
        <v>-2.999908</v>
      </c>
      <c r="T3913">
        <v>-0.12941810000000001</v>
      </c>
      <c r="U3913">
        <v>-5.360413E-2</v>
      </c>
      <c r="V3913">
        <v>-2.557968E-2</v>
      </c>
      <c r="W3913">
        <v>1.7583250000000002E-2</v>
      </c>
      <c r="X3913">
        <v>0.99951820000000002</v>
      </c>
      <c r="Y3913">
        <v>-2.3107880000000001E-2</v>
      </c>
      <c r="Z3913">
        <v>-7.2538649999999904E-4</v>
      </c>
      <c r="AA3913">
        <v>0.99973270000000003</v>
      </c>
      <c r="AB3913">
        <v>27</v>
      </c>
      <c r="AC3913">
        <v>-25.453399999999899</v>
      </c>
      <c r="AD3913">
        <v>-1.1093445268040001</v>
      </c>
      <c r="AE3913">
        <v>-0.46119999999999101</v>
      </c>
      <c r="AF3913">
        <v>-0.594194969369785</v>
      </c>
      <c r="AG3913">
        <v>-1.1093445268040001</v>
      </c>
      <c r="AH3913">
        <v>25.402380038787602</v>
      </c>
      <c r="AI3913">
        <v>92.499885852947102</v>
      </c>
      <c r="AJ3913">
        <v>91.339979036760298</v>
      </c>
      <c r="AK3913">
        <v>25.4335334661892</v>
      </c>
      <c r="AL3913">
        <v>88.992502127411797</v>
      </c>
      <c r="AM3913">
        <v>91.465994179898502</v>
      </c>
      <c r="AN3913">
        <v>1.0000000614203499</v>
      </c>
    </row>
    <row r="3914" spans="1:40" x14ac:dyDescent="0.25">
      <c r="A3914" t="str">
        <f>"20190312172741910"</f>
        <v>20190312172741910</v>
      </c>
      <c r="B3914" t="str">
        <f>"1552382861902862"</f>
        <v>1552382861902862</v>
      </c>
      <c r="C3914" t="s">
        <v>40</v>
      </c>
      <c r="D3914">
        <v>3.4957099999999999</v>
      </c>
      <c r="E3914">
        <v>0.50133039999999995</v>
      </c>
      <c r="F3914" t="s">
        <v>41</v>
      </c>
      <c r="G3914">
        <v>-381.11759999999998</v>
      </c>
      <c r="H3914" s="1">
        <v>-4.1562509999999996E-6</v>
      </c>
      <c r="I3914">
        <v>141.08510000000001</v>
      </c>
      <c r="J3914">
        <v>-362.0609</v>
      </c>
      <c r="K3914">
        <v>1.109353</v>
      </c>
      <c r="L3914">
        <v>141.4358</v>
      </c>
      <c r="M3914">
        <v>-0.99988670000000002</v>
      </c>
      <c r="N3914">
        <v>0</v>
      </c>
      <c r="O3914">
        <v>5.5505529999999997E-3</v>
      </c>
      <c r="P3914">
        <v>-0.99973610000000002</v>
      </c>
      <c r="Q3914">
        <v>4.2061149999999999E-3</v>
      </c>
      <c r="R3914">
        <v>-2.2587360000000001E-2</v>
      </c>
      <c r="S3914">
        <v>-3.0001530000000001</v>
      </c>
      <c r="T3914">
        <v>-0.17218079999999999</v>
      </c>
      <c r="U3914">
        <v>-5.4138180000000001E-2</v>
      </c>
      <c r="V3914">
        <v>-2.8127220000000001E-2</v>
      </c>
      <c r="W3914">
        <v>1.821066E-2</v>
      </c>
      <c r="X3914">
        <v>0.99943850000000001</v>
      </c>
      <c r="Y3914">
        <v>-2.3544260000000001E-2</v>
      </c>
      <c r="Z3914">
        <v>-9.9329629999999995E-4</v>
      </c>
      <c r="AA3914">
        <v>0.99972229999999995</v>
      </c>
      <c r="AB3914">
        <v>27</v>
      </c>
      <c r="AC3914">
        <v>-19.0566999999999</v>
      </c>
      <c r="AD3914">
        <v>-1.1093571562510001</v>
      </c>
      <c r="AE3914">
        <v>-0.35069999999998902</v>
      </c>
      <c r="AF3914">
        <v>-0.45493899529116499</v>
      </c>
      <c r="AG3914">
        <v>-1.1093571562510001</v>
      </c>
      <c r="AH3914">
        <v>18.990127444471501</v>
      </c>
      <c r="AI3914">
        <v>93.342323930480006</v>
      </c>
      <c r="AJ3914">
        <v>91.372349898762096</v>
      </c>
      <c r="AK3914">
        <v>19.027942167949501</v>
      </c>
      <c r="AL3914">
        <v>88.956548405235594</v>
      </c>
      <c r="AM3914">
        <v>91.612050893389707</v>
      </c>
      <c r="AN3914">
        <v>1.0000000419624</v>
      </c>
    </row>
    <row r="3915" spans="1:40" x14ac:dyDescent="0.25">
      <c r="A3915" t="str">
        <f>"20190312172741932"</f>
        <v>20190312172741932</v>
      </c>
      <c r="B3915" t="str">
        <f>"1552382861923359"</f>
        <v>1552382861923359</v>
      </c>
      <c r="C3915" t="s">
        <v>40</v>
      </c>
      <c r="D3915">
        <v>3.527568</v>
      </c>
      <c r="E3915">
        <v>0.50177360000000004</v>
      </c>
      <c r="F3915" t="s">
        <v>41</v>
      </c>
      <c r="G3915">
        <v>-381.57960000000003</v>
      </c>
      <c r="H3915" s="1">
        <v>-3.9743890000000003E-6</v>
      </c>
      <c r="I3915">
        <v>141.04339999999999</v>
      </c>
      <c r="J3915">
        <v>-362.3236</v>
      </c>
      <c r="K3915">
        <v>1.109361</v>
      </c>
      <c r="L3915">
        <v>141.4375</v>
      </c>
      <c r="M3915">
        <v>-0.99988509999999997</v>
      </c>
      <c r="N3915">
        <v>0</v>
      </c>
      <c r="O3915">
        <v>5.8213350000000004E-3</v>
      </c>
      <c r="P3915">
        <v>-0.99965110000000001</v>
      </c>
      <c r="Q3915">
        <v>5.7106259999999999E-3</v>
      </c>
      <c r="R3915">
        <v>-2.5788950000000001E-2</v>
      </c>
      <c r="S3915">
        <v>-3.0001829999999998</v>
      </c>
      <c r="T3915">
        <v>-0.17051830000000001</v>
      </c>
      <c r="U3915">
        <v>-6.0302729999999999E-2</v>
      </c>
      <c r="V3915">
        <v>-3.1598429999999997E-2</v>
      </c>
      <c r="W3915">
        <v>1.971243E-2</v>
      </c>
      <c r="X3915">
        <v>0.99930629999999998</v>
      </c>
      <c r="Y3915">
        <v>-2.58649E-2</v>
      </c>
      <c r="Z3915">
        <v>-1.064958E-3</v>
      </c>
      <c r="AA3915">
        <v>0.99966489999999997</v>
      </c>
      <c r="AB3915">
        <v>27</v>
      </c>
      <c r="AC3915">
        <v>-19.256</v>
      </c>
      <c r="AD3915">
        <v>-1.1093649743889999</v>
      </c>
      <c r="AE3915">
        <v>-0.394100000000008</v>
      </c>
      <c r="AF3915">
        <v>-0.50452607158918805</v>
      </c>
      <c r="AG3915">
        <v>-1.1093649743889999</v>
      </c>
      <c r="AH3915">
        <v>19.189713862456902</v>
      </c>
      <c r="AI3915">
        <v>93.307468800539993</v>
      </c>
      <c r="AJ3915">
        <v>91.506044170120902</v>
      </c>
      <c r="AK3915">
        <v>19.228373704665898</v>
      </c>
      <c r="AL3915">
        <v>88.870487866891395</v>
      </c>
      <c r="AM3915">
        <v>91.811110013459199</v>
      </c>
      <c r="AN3915">
        <v>1.0000000609473201</v>
      </c>
    </row>
    <row r="3916" spans="1:40" x14ac:dyDescent="0.25">
      <c r="A3916" t="str">
        <f>"20190312172741955"</f>
        <v>20190312172741955</v>
      </c>
      <c r="B3916" t="str">
        <f>"1552382861943854"</f>
        <v>1552382861943854</v>
      </c>
      <c r="C3916" t="s">
        <v>40</v>
      </c>
      <c r="D3916">
        <v>3.5103979999999999</v>
      </c>
      <c r="E3916">
        <v>0.50180369999999996</v>
      </c>
      <c r="F3916" t="s">
        <v>41</v>
      </c>
      <c r="G3916">
        <v>-382.66129999999998</v>
      </c>
      <c r="H3916" s="1">
        <v>-3.4951280000000001E-6</v>
      </c>
      <c r="I3916">
        <v>140.9862</v>
      </c>
      <c r="J3916">
        <v>-362.59750000000003</v>
      </c>
      <c r="K3916">
        <v>1.109372</v>
      </c>
      <c r="L3916">
        <v>141.43950000000001</v>
      </c>
      <c r="M3916">
        <v>-0.99988370000000004</v>
      </c>
      <c r="N3916">
        <v>0</v>
      </c>
      <c r="O3916">
        <v>6.1037399999999999E-3</v>
      </c>
      <c r="P3916">
        <v>-0.99952399999999997</v>
      </c>
      <c r="Q3916">
        <v>6.8189069999999999E-3</v>
      </c>
      <c r="R3916">
        <v>-3.0090519999999999E-2</v>
      </c>
      <c r="S3916">
        <v>-3.000305</v>
      </c>
      <c r="T3916">
        <v>-0.1636592</v>
      </c>
      <c r="U3916">
        <v>-6.6574099999999997E-2</v>
      </c>
      <c r="V3916">
        <v>-3.6180320000000002E-2</v>
      </c>
      <c r="W3916">
        <v>2.081798E-2</v>
      </c>
      <c r="X3916">
        <v>0.99912840000000003</v>
      </c>
      <c r="Y3916">
        <v>-2.8235050000000001E-2</v>
      </c>
      <c r="Z3916">
        <v>-1.102102E-3</v>
      </c>
      <c r="AA3916">
        <v>0.99960070000000001</v>
      </c>
      <c r="AB3916">
        <v>27</v>
      </c>
      <c r="AC3916">
        <v>-20.063799999999901</v>
      </c>
      <c r="AD3916">
        <v>-1.1093754951279999</v>
      </c>
      <c r="AE3916">
        <v>-0.45330000000001203</v>
      </c>
      <c r="AF3916">
        <v>-0.57401372780512905</v>
      </c>
      <c r="AG3916">
        <v>-1.1093754951279999</v>
      </c>
      <c r="AH3916">
        <v>19.999546690814999</v>
      </c>
      <c r="AI3916">
        <v>93.173640808247796</v>
      </c>
      <c r="AJ3916">
        <v>91.644014142920796</v>
      </c>
      <c r="AK3916">
        <v>20.0385147550159</v>
      </c>
      <c r="AL3916">
        <v>88.8071314131316</v>
      </c>
      <c r="AM3916">
        <v>92.073881845395107</v>
      </c>
      <c r="AN3916">
        <v>0.99999998176657101</v>
      </c>
    </row>
    <row r="3917" spans="1:40" x14ac:dyDescent="0.25">
      <c r="A3917" t="str">
        <f>"20190312172741983"</f>
        <v>20190312172741983</v>
      </c>
      <c r="B3917" t="str">
        <f>"1552382861973134"</f>
        <v>1552382861973134</v>
      </c>
      <c r="C3917" t="s">
        <v>40</v>
      </c>
      <c r="D3917">
        <v>3.528267</v>
      </c>
      <c r="E3917">
        <v>0.50186750000000002</v>
      </c>
      <c r="F3917" t="s">
        <v>41</v>
      </c>
      <c r="G3917">
        <v>-383.20370000000003</v>
      </c>
      <c r="H3917" s="1">
        <v>-3.2375529999999999E-6</v>
      </c>
      <c r="I3917">
        <v>140.89269999999999</v>
      </c>
      <c r="J3917">
        <v>-362.92219999999998</v>
      </c>
      <c r="K3917">
        <v>1.109386</v>
      </c>
      <c r="L3917">
        <v>141.4418</v>
      </c>
      <c r="M3917">
        <v>-0.99988140000000003</v>
      </c>
      <c r="N3917">
        <v>0</v>
      </c>
      <c r="O3917">
        <v>6.4405169999999998E-3</v>
      </c>
      <c r="P3917">
        <v>-0.9993474</v>
      </c>
      <c r="Q3917">
        <v>8.1107190000000006E-3</v>
      </c>
      <c r="R3917">
        <v>-3.5198899999999998E-2</v>
      </c>
      <c r="S3917">
        <v>-3.000092</v>
      </c>
      <c r="T3917">
        <v>-0.1615162</v>
      </c>
      <c r="U3917">
        <v>-7.9589839999999995E-2</v>
      </c>
      <c r="V3917">
        <v>-4.162362E-2</v>
      </c>
      <c r="W3917">
        <v>2.2105619999999999E-2</v>
      </c>
      <c r="X3917">
        <v>0.99888880000000002</v>
      </c>
      <c r="Y3917">
        <v>-3.290121E-2</v>
      </c>
      <c r="Z3917">
        <v>-1.2313230000000001E-3</v>
      </c>
      <c r="AA3917">
        <v>0.99945779999999995</v>
      </c>
      <c r="AB3917">
        <v>27</v>
      </c>
      <c r="AC3917">
        <v>-20.281500000000001</v>
      </c>
      <c r="AD3917">
        <v>-1.1093892375529999</v>
      </c>
      <c r="AE3917">
        <v>-0.54910000000000903</v>
      </c>
      <c r="AF3917">
        <v>-0.67769852098427796</v>
      </c>
      <c r="AG3917">
        <v>-1.1093892375529999</v>
      </c>
      <c r="AH3917">
        <v>20.2170963344822</v>
      </c>
      <c r="AI3917">
        <v>93.139128446148902</v>
      </c>
      <c r="AJ3917">
        <v>91.919896435144906</v>
      </c>
      <c r="AK3917">
        <v>20.258850015819601</v>
      </c>
      <c r="AL3917">
        <v>88.733338107355095</v>
      </c>
      <c r="AM3917">
        <v>92.386130316579894</v>
      </c>
      <c r="AN3917">
        <v>1.0000000094714601</v>
      </c>
    </row>
    <row r="3918" spans="1:40" x14ac:dyDescent="0.25">
      <c r="A3918" t="str">
        <f>"20190312172742006"</f>
        <v>20190312172742006</v>
      </c>
      <c r="B3918" t="str">
        <f>"1552382861993632"</f>
        <v>1552382861993632</v>
      </c>
      <c r="C3918" t="s">
        <v>40</v>
      </c>
      <c r="D3918">
        <v>3.518062</v>
      </c>
      <c r="E3918">
        <v>0.47618300000000002</v>
      </c>
      <c r="F3918" t="s">
        <v>41</v>
      </c>
      <c r="G3918">
        <v>-383.46480000000003</v>
      </c>
      <c r="H3918" s="1">
        <v>-3.0991110000000002E-6</v>
      </c>
      <c r="I3918">
        <v>140.79339999999999</v>
      </c>
      <c r="J3918">
        <v>-363.19630000000001</v>
      </c>
      <c r="K3918">
        <v>1.1093930000000001</v>
      </c>
      <c r="L3918">
        <v>141.44390000000001</v>
      </c>
      <c r="M3918">
        <v>-0.99987959999999998</v>
      </c>
      <c r="N3918">
        <v>0</v>
      </c>
      <c r="O3918">
        <v>6.7286780000000001E-3</v>
      </c>
      <c r="P3918">
        <v>-0.99909680000000001</v>
      </c>
      <c r="Q3918">
        <v>9.9841600000000006E-3</v>
      </c>
      <c r="R3918">
        <v>-4.1302020000000002E-2</v>
      </c>
      <c r="S3918">
        <v>-2.9999690000000001</v>
      </c>
      <c r="T3918">
        <v>-0.16201199999999999</v>
      </c>
      <c r="U3918">
        <v>-9.4680790000000001E-2</v>
      </c>
      <c r="V3918">
        <v>-4.8011749999999999E-2</v>
      </c>
      <c r="W3918">
        <v>2.3975280000000002E-2</v>
      </c>
      <c r="X3918">
        <v>0.99855899999999997</v>
      </c>
      <c r="Y3918">
        <v>-3.8204740000000001E-2</v>
      </c>
      <c r="Z3918">
        <v>-1.393675E-3</v>
      </c>
      <c r="AA3918">
        <v>0.99926890000000002</v>
      </c>
      <c r="AB3918">
        <v>27</v>
      </c>
      <c r="AC3918">
        <v>-20.2685</v>
      </c>
      <c r="AD3918">
        <v>-1.1093960991109999</v>
      </c>
      <c r="AE3918">
        <v>-0.65050000000002195</v>
      </c>
      <c r="AF3918">
        <v>-0.78453084282121299</v>
      </c>
      <c r="AG3918">
        <v>-1.1093960991109999</v>
      </c>
      <c r="AH3918">
        <v>20.203198778956899</v>
      </c>
      <c r="AI3918">
        <v>93.140701397923294</v>
      </c>
      <c r="AJ3918">
        <v>92.223793034196405</v>
      </c>
      <c r="AK3918">
        <v>20.248839207473299</v>
      </c>
      <c r="AL3918">
        <v>88.626186020143294</v>
      </c>
      <c r="AM3918">
        <v>92.752720439677603</v>
      </c>
      <c r="AN3918">
        <v>1.0000000093350701</v>
      </c>
    </row>
    <row r="3919" spans="1:40" x14ac:dyDescent="0.25">
      <c r="A3919" t="str">
        <f>"20190312172742021"</f>
        <v>20190312172742021</v>
      </c>
      <c r="B3919" t="str">
        <f>"1552382862013151"</f>
        <v>1552382862013151</v>
      </c>
      <c r="C3919" t="s">
        <v>40</v>
      </c>
      <c r="D3919">
        <v>3.3946640000000001</v>
      </c>
      <c r="E3919">
        <v>0.46129959999999998</v>
      </c>
      <c r="F3919" t="s">
        <v>41</v>
      </c>
      <c r="G3919">
        <v>-382.55149999999998</v>
      </c>
      <c r="H3919" s="1">
        <v>-3.2186669999999999E-6</v>
      </c>
      <c r="I3919">
        <v>139.38509999999999</v>
      </c>
      <c r="J3919">
        <v>-363.38819999999998</v>
      </c>
      <c r="K3919">
        <v>1.1094040000000001</v>
      </c>
      <c r="L3919">
        <v>141.44540000000001</v>
      </c>
      <c r="M3919">
        <v>-0.99987820000000005</v>
      </c>
      <c r="N3919">
        <v>0</v>
      </c>
      <c r="O3919">
        <v>6.9348959999999899E-3</v>
      </c>
      <c r="P3919">
        <v>-0.9987239</v>
      </c>
      <c r="Q3919">
        <v>1.239206E-2</v>
      </c>
      <c r="R3919">
        <v>-4.8957809999999997E-2</v>
      </c>
      <c r="S3919">
        <v>-2.9912719999999999</v>
      </c>
      <c r="T3919">
        <v>-0.17145279999999999</v>
      </c>
      <c r="U3919">
        <v>-0.31816100000000003</v>
      </c>
      <c r="V3919">
        <v>-5.5869460000000003E-2</v>
      </c>
      <c r="W3919">
        <v>2.637921E-2</v>
      </c>
      <c r="X3919">
        <v>0.99808960000000002</v>
      </c>
      <c r="Y3919">
        <v>-0.11246680000000001</v>
      </c>
      <c r="Z3919">
        <v>-3.6076150000000002E-3</v>
      </c>
      <c r="AA3919">
        <v>0.99364889999999995</v>
      </c>
      <c r="AB3919">
        <v>26</v>
      </c>
      <c r="AC3919">
        <v>-19.1632999999999</v>
      </c>
      <c r="AD3919">
        <v>-1.1094072186669901</v>
      </c>
      <c r="AE3919">
        <v>-2.06030000000001</v>
      </c>
      <c r="AF3919">
        <v>-2.1859165110124201</v>
      </c>
      <c r="AG3919">
        <v>-1.1094072186669901</v>
      </c>
      <c r="AH3919">
        <v>19.085315899606801</v>
      </c>
      <c r="AI3919">
        <v>93.305233312881199</v>
      </c>
      <c r="AJ3919">
        <v>96.533840530096995</v>
      </c>
      <c r="AK3919">
        <v>19.242097036387001</v>
      </c>
      <c r="AL3919">
        <v>88.488407337692905</v>
      </c>
      <c r="AM3919">
        <v>93.203867822345202</v>
      </c>
      <c r="AN3919">
        <v>1.00000005445453</v>
      </c>
    </row>
    <row r="3920" spans="1:40" x14ac:dyDescent="0.25">
      <c r="A3920" t="str">
        <f>"20190312172742044"</f>
        <v>20190312172742044</v>
      </c>
      <c r="B3920" t="str">
        <f>"1552382862032670"</f>
        <v>1552382862032670</v>
      </c>
      <c r="C3920" t="s">
        <v>40</v>
      </c>
      <c r="D3920">
        <v>3.3924289999999999</v>
      </c>
      <c r="E3920">
        <v>0.45496340000000002</v>
      </c>
      <c r="F3920" t="s">
        <v>41</v>
      </c>
      <c r="G3920">
        <v>-383.05090000000001</v>
      </c>
      <c r="H3920" s="1">
        <v>-3.1764810000000001E-6</v>
      </c>
      <c r="I3920">
        <v>138.4153</v>
      </c>
      <c r="J3920">
        <v>-363.6472</v>
      </c>
      <c r="K3920">
        <v>1.1094029999999999</v>
      </c>
      <c r="L3920">
        <v>141.44749999999999</v>
      </c>
      <c r="M3920">
        <v>-0.99987630000000005</v>
      </c>
      <c r="N3920">
        <v>0</v>
      </c>
      <c r="O3920">
        <v>7.2193559999999997E-3</v>
      </c>
      <c r="P3920">
        <v>-0.99831879999999995</v>
      </c>
      <c r="Q3920">
        <v>1.2935399999999901E-2</v>
      </c>
      <c r="R3920">
        <v>-5.6501210000000003E-2</v>
      </c>
      <c r="S3920">
        <v>-2.9834290000000001</v>
      </c>
      <c r="T3920">
        <v>-0.16833100000000001</v>
      </c>
      <c r="U3920">
        <v>-0.45974730000000003</v>
      </c>
      <c r="V3920">
        <v>-6.3692879999999993E-2</v>
      </c>
      <c r="W3920">
        <v>2.691785E-2</v>
      </c>
      <c r="X3920">
        <v>0.99760649999999995</v>
      </c>
      <c r="Y3920">
        <v>-0.15917579999999901</v>
      </c>
      <c r="Z3920">
        <v>-4.8653940000000003E-3</v>
      </c>
      <c r="AA3920">
        <v>0.98723830000000001</v>
      </c>
      <c r="AB3920">
        <v>26</v>
      </c>
      <c r="AC3920">
        <v>-19.403700000000001</v>
      </c>
      <c r="AD3920">
        <v>-1.1094061764809999</v>
      </c>
      <c r="AE3920">
        <v>-3.03219999999998</v>
      </c>
      <c r="AF3920">
        <v>-3.1621263503769099</v>
      </c>
      <c r="AG3920">
        <v>-1.1094061764809999</v>
      </c>
      <c r="AH3920">
        <v>19.319651546672201</v>
      </c>
      <c r="AI3920">
        <v>93.243463505729906</v>
      </c>
      <c r="AJ3920">
        <v>99.295413674803797</v>
      </c>
      <c r="AK3920">
        <v>19.608129972156799</v>
      </c>
      <c r="AL3920">
        <v>88.457534555913</v>
      </c>
      <c r="AM3920">
        <v>93.653130510028504</v>
      </c>
      <c r="AN3920">
        <v>1.00000004122678</v>
      </c>
    </row>
    <row r="3921" spans="1:40" x14ac:dyDescent="0.25">
      <c r="A3921" t="str">
        <f>"20190312172742089"</f>
        <v>20190312172742089</v>
      </c>
      <c r="B3921" t="str">
        <f>"1552382862083422"</f>
        <v>1552382862083422</v>
      </c>
      <c r="C3921" t="s">
        <v>40</v>
      </c>
      <c r="D3921">
        <v>3.4129269999999998</v>
      </c>
      <c r="E3921">
        <v>0.44977460000000002</v>
      </c>
      <c r="F3921" t="s">
        <v>41</v>
      </c>
      <c r="G3921">
        <v>-382.68110000000001</v>
      </c>
      <c r="H3921" s="1">
        <v>-3.4018280000000001E-6</v>
      </c>
      <c r="I3921">
        <v>138.0393</v>
      </c>
      <c r="J3921">
        <v>-364.17469999999997</v>
      </c>
      <c r="K3921">
        <v>1.1094040000000001</v>
      </c>
      <c r="L3921">
        <v>141.452</v>
      </c>
      <c r="M3921">
        <v>-0.99987190000000004</v>
      </c>
      <c r="N3921">
        <v>0</v>
      </c>
      <c r="O3921">
        <v>7.8201820000000002E-3</v>
      </c>
      <c r="P3921">
        <v>-0.99716709999999997</v>
      </c>
      <c r="Q3921">
        <v>1.4795890000000001E-2</v>
      </c>
      <c r="R3921">
        <v>-7.3751709999999998E-2</v>
      </c>
      <c r="S3921">
        <v>-2.9771730000000001</v>
      </c>
      <c r="T3921">
        <v>-0.1735283</v>
      </c>
      <c r="U3921">
        <v>-0.53308109999999997</v>
      </c>
      <c r="V3921">
        <v>-8.1531820000000005E-2</v>
      </c>
      <c r="W3921">
        <v>2.8765829999999999E-2</v>
      </c>
      <c r="X3921">
        <v>0.99625549999999996</v>
      </c>
      <c r="Y3921">
        <v>-0.18363119999999999</v>
      </c>
      <c r="Z3921">
        <v>-5.7569300000000004E-3</v>
      </c>
      <c r="AA3921">
        <v>0.98297829999999997</v>
      </c>
      <c r="AB3921">
        <v>26</v>
      </c>
      <c r="AC3921">
        <v>-18.506399999999999</v>
      </c>
      <c r="AD3921">
        <v>-1.109407401828</v>
      </c>
      <c r="AE3921">
        <v>-3.4127000000000001</v>
      </c>
      <c r="AF3921">
        <v>-3.5450125228159202</v>
      </c>
      <c r="AG3921">
        <v>-1.109407401828</v>
      </c>
      <c r="AH3921">
        <v>18.415141932802999</v>
      </c>
      <c r="AI3921">
        <v>93.385565124668702</v>
      </c>
      <c r="AJ3921">
        <v>100.89644525929999</v>
      </c>
      <c r="AK3921">
        <v>18.786041386503801</v>
      </c>
      <c r="AL3921">
        <v>88.351611904609101</v>
      </c>
      <c r="AM3921">
        <v>94.678560794525595</v>
      </c>
      <c r="AN3921">
        <v>0.99999996596417495</v>
      </c>
    </row>
    <row r="3922" spans="1:40" x14ac:dyDescent="0.25">
      <c r="A3922" t="str">
        <f>"20190312172742110"</f>
        <v>20190312172742110</v>
      </c>
      <c r="B3922" t="str">
        <f>"1552382862102943"</f>
        <v>1552382862102943</v>
      </c>
      <c r="C3922" t="s">
        <v>40</v>
      </c>
      <c r="D3922">
        <v>3.4222809999999999</v>
      </c>
      <c r="E3922">
        <v>0.44915729999999998</v>
      </c>
      <c r="F3922" t="s">
        <v>41</v>
      </c>
      <c r="G3922">
        <v>-383.3682</v>
      </c>
      <c r="H3922" s="1">
        <v>-3.2208889999999999E-6</v>
      </c>
      <c r="I3922">
        <v>137.39750000000001</v>
      </c>
      <c r="J3922">
        <v>-364.43509999999998</v>
      </c>
      <c r="K3922">
        <v>1.1094029999999999</v>
      </c>
      <c r="L3922">
        <v>141.45429999999999</v>
      </c>
      <c r="M3922">
        <v>-0.99986940000000002</v>
      </c>
      <c r="N3922">
        <v>0</v>
      </c>
      <c r="O3922">
        <v>8.1259460000000002E-3</v>
      </c>
      <c r="P3922">
        <v>-0.99654509999999996</v>
      </c>
      <c r="Q3922">
        <v>1.531275E-2</v>
      </c>
      <c r="R3922">
        <v>-8.1629090000000001E-2</v>
      </c>
      <c r="S3922">
        <v>-2.9647220000000001</v>
      </c>
      <c r="T3922">
        <v>-0.1713644</v>
      </c>
      <c r="U3922">
        <v>-0.62626649999999995</v>
      </c>
      <c r="V3922">
        <v>-8.9708510000000005E-2</v>
      </c>
      <c r="W3922">
        <v>2.927488E-2</v>
      </c>
      <c r="X3922">
        <v>0.99553769999999997</v>
      </c>
      <c r="Y3922">
        <v>-0.2142676</v>
      </c>
      <c r="Z3922">
        <v>-6.5842670000000004E-3</v>
      </c>
      <c r="AA3922">
        <v>0.97675279999999998</v>
      </c>
      <c r="AB3922">
        <v>26</v>
      </c>
      <c r="AC3922">
        <v>-18.9331</v>
      </c>
      <c r="AD3922">
        <v>-1.1094062208890001</v>
      </c>
      <c r="AE3922">
        <v>-4.0567999999999804</v>
      </c>
      <c r="AF3922">
        <v>-4.1967533496282998</v>
      </c>
      <c r="AG3922">
        <v>-1.1094062208890001</v>
      </c>
      <c r="AH3922">
        <v>18.837666182284899</v>
      </c>
      <c r="AI3922">
        <v>93.289952815380801</v>
      </c>
      <c r="AJ3922">
        <v>102.559542704056</v>
      </c>
      <c r="AK3922">
        <v>19.331352462664402</v>
      </c>
      <c r="AL3922">
        <v>88.322433210327702</v>
      </c>
      <c r="AM3922">
        <v>95.149051093602097</v>
      </c>
      <c r="AN3922">
        <v>0.99999997374336103</v>
      </c>
    </row>
    <row r="3923" spans="1:40" x14ac:dyDescent="0.25">
      <c r="A3923" t="str">
        <f>"20190312172742133"</f>
        <v>20190312172742133</v>
      </c>
      <c r="B3923" t="str">
        <f>"1552382862123439"</f>
        <v>1552382862123439</v>
      </c>
      <c r="C3923" t="s">
        <v>40</v>
      </c>
      <c r="D3923">
        <v>3.3805429999999999</v>
      </c>
      <c r="E3923">
        <v>0.44905270000000003</v>
      </c>
      <c r="F3923" t="s">
        <v>41</v>
      </c>
      <c r="G3923">
        <v>-383.68020000000001</v>
      </c>
      <c r="H3923" s="1">
        <v>-3.1226509999999999E-6</v>
      </c>
      <c r="I3923">
        <v>137.1968</v>
      </c>
      <c r="J3923">
        <v>-364.6986</v>
      </c>
      <c r="K3923">
        <v>1.109418</v>
      </c>
      <c r="L3923">
        <v>141.45679999999999</v>
      </c>
      <c r="M3923">
        <v>-0.99986699999999995</v>
      </c>
      <c r="N3923">
        <v>0</v>
      </c>
      <c r="O3923">
        <v>8.4387760000000003E-3</v>
      </c>
      <c r="P3923">
        <v>-0.99589399999999995</v>
      </c>
      <c r="Q3923">
        <v>1.6163050000000002E-2</v>
      </c>
      <c r="R3923">
        <v>-8.9074689999999998E-2</v>
      </c>
      <c r="S3923">
        <v>-2.9593509999999998</v>
      </c>
      <c r="T3923">
        <v>-0.17059579999999999</v>
      </c>
      <c r="U3923">
        <v>-0.65467830000000005</v>
      </c>
      <c r="V3923">
        <v>-9.7458610000000001E-2</v>
      </c>
      <c r="W3923">
        <v>3.0117080000000001E-2</v>
      </c>
      <c r="X3923">
        <v>0.9947838</v>
      </c>
      <c r="Y3923">
        <v>-0.22386600000000001</v>
      </c>
      <c r="Z3923">
        <v>-6.8507799999999999E-3</v>
      </c>
      <c r="AA3923">
        <v>0.97459580000000001</v>
      </c>
      <c r="AB3923">
        <v>26</v>
      </c>
      <c r="AC3923">
        <v>-18.9816</v>
      </c>
      <c r="AD3923">
        <v>-1.109421122651</v>
      </c>
      <c r="AE3923">
        <v>-4.25999999999999</v>
      </c>
      <c r="AF3923">
        <v>-4.40571680183767</v>
      </c>
      <c r="AG3923">
        <v>-1.109421122651</v>
      </c>
      <c r="AH3923">
        <v>18.8835569878146</v>
      </c>
      <c r="AI3923">
        <v>93.274556363967207</v>
      </c>
      <c r="AJ3923">
        <v>103.132737510003</v>
      </c>
      <c r="AK3923">
        <v>19.422406655134701</v>
      </c>
      <c r="AL3923">
        <v>88.274157480814196</v>
      </c>
      <c r="AM3923">
        <v>95.595390824286</v>
      </c>
      <c r="AN3923">
        <v>1.0000000139566401</v>
      </c>
    </row>
    <row r="3924" spans="1:40" x14ac:dyDescent="0.25">
      <c r="A3924" t="str">
        <f>"20190312172742156"</f>
        <v>20190312172742156</v>
      </c>
      <c r="B3924" t="str">
        <f>"1552382862142959"</f>
        <v>1552382862142959</v>
      </c>
      <c r="C3924" t="s">
        <v>40</v>
      </c>
      <c r="D3924">
        <v>3.4046620000000001</v>
      </c>
      <c r="E3924">
        <v>0.44918669999999999</v>
      </c>
      <c r="F3924" t="s">
        <v>41</v>
      </c>
      <c r="G3924">
        <v>-384.09350000000001</v>
      </c>
      <c r="H3924" s="1">
        <v>-2.9786939999999998E-6</v>
      </c>
      <c r="I3924">
        <v>137.0087</v>
      </c>
      <c r="J3924">
        <v>-364.96910000000003</v>
      </c>
      <c r="K3924">
        <v>1.109437</v>
      </c>
      <c r="L3924">
        <v>141.45949999999999</v>
      </c>
      <c r="M3924">
        <v>-0.99986419999999998</v>
      </c>
      <c r="N3924">
        <v>0</v>
      </c>
      <c r="O3924">
        <v>8.7618980000000006E-3</v>
      </c>
      <c r="P3924">
        <v>-0.99522040000000001</v>
      </c>
      <c r="Q3924">
        <v>2.023614E-2</v>
      </c>
      <c r="R3924">
        <v>-9.5536839999999998E-2</v>
      </c>
      <c r="S3924">
        <v>-2.9544980000000001</v>
      </c>
      <c r="T3924">
        <v>-0.16900279999999901</v>
      </c>
      <c r="U3924">
        <v>-0.677597</v>
      </c>
      <c r="V3924">
        <v>-0.1042339</v>
      </c>
      <c r="W3924">
        <v>3.4180009999999997E-2</v>
      </c>
      <c r="X3924">
        <v>0.99396530000000005</v>
      </c>
      <c r="Y3924">
        <v>-0.2316994</v>
      </c>
      <c r="Z3924">
        <v>-7.0313049999999998E-3</v>
      </c>
      <c r="AA3924">
        <v>0.97276200000000002</v>
      </c>
      <c r="AB3924">
        <v>26</v>
      </c>
      <c r="AC3924">
        <v>-19.124399999999898</v>
      </c>
      <c r="AD3924">
        <v>-1.1094399786939999</v>
      </c>
      <c r="AE3924">
        <v>-4.4507999999999797</v>
      </c>
      <c r="AF3924">
        <v>-4.6035149848491796</v>
      </c>
      <c r="AG3924">
        <v>-1.1094399786939999</v>
      </c>
      <c r="AH3924">
        <v>19.023931508176702</v>
      </c>
      <c r="AI3924">
        <v>93.244177358254504</v>
      </c>
      <c r="AJ3924">
        <v>103.603248048398</v>
      </c>
      <c r="AK3924">
        <v>19.6044172907499</v>
      </c>
      <c r="AL3924">
        <v>88.041248160788598</v>
      </c>
      <c r="AM3924">
        <v>95.986540830574199</v>
      </c>
      <c r="AN3924">
        <v>0.99999999829844999</v>
      </c>
    </row>
    <row r="3925" spans="1:40" x14ac:dyDescent="0.25">
      <c r="A3925" t="str">
        <f>"20190312172742180"</f>
        <v>20190312172742180</v>
      </c>
      <c r="B3925" t="str">
        <f>"1552382862173215"</f>
        <v>1552382862173215</v>
      </c>
      <c r="C3925" t="s">
        <v>40</v>
      </c>
      <c r="D3925">
        <v>3.4059499999999998</v>
      </c>
      <c r="E3925">
        <v>0.44977519999999999</v>
      </c>
      <c r="F3925" t="s">
        <v>41</v>
      </c>
      <c r="G3925">
        <v>-385.8141</v>
      </c>
      <c r="H3925" s="1">
        <v>-2.3234430000000002E-6</v>
      </c>
      <c r="I3925">
        <v>136.54150000000001</v>
      </c>
      <c r="J3925">
        <v>-365.23570000000001</v>
      </c>
      <c r="K3925">
        <v>1.1094489999999999</v>
      </c>
      <c r="L3925">
        <v>141.4622</v>
      </c>
      <c r="M3925">
        <v>-0.99986140000000001</v>
      </c>
      <c r="N3925">
        <v>0</v>
      </c>
      <c r="O3925">
        <v>9.0804170000000003E-3</v>
      </c>
      <c r="P3925">
        <v>-0.99466840000000001</v>
      </c>
      <c r="Q3925">
        <v>2.365066E-2</v>
      </c>
      <c r="R3925">
        <v>-0.10037699999999999</v>
      </c>
      <c r="S3925">
        <v>-2.9507750000000001</v>
      </c>
      <c r="T3925">
        <v>-0.1570503</v>
      </c>
      <c r="U3925">
        <v>-0.69616699999999998</v>
      </c>
      <c r="V3925">
        <v>-0.1093843</v>
      </c>
      <c r="W3925">
        <v>3.7585300000000002E-2</v>
      </c>
      <c r="X3925">
        <v>0.99328870000000002</v>
      </c>
      <c r="Y3925">
        <v>-0.23812030000000001</v>
      </c>
      <c r="Z3925">
        <v>-6.7233240000000001E-3</v>
      </c>
      <c r="AA3925">
        <v>0.97121239999999998</v>
      </c>
      <c r="AB3925">
        <v>26</v>
      </c>
      <c r="AC3925">
        <v>-20.578399999999899</v>
      </c>
      <c r="AD3925">
        <v>-1.1094513234429999</v>
      </c>
      <c r="AE3925">
        <v>-4.9206999999999796</v>
      </c>
      <c r="AF3925">
        <v>-5.0933717924971997</v>
      </c>
      <c r="AG3925">
        <v>-1.1094513234429999</v>
      </c>
      <c r="AH3925">
        <v>20.4765658740397</v>
      </c>
      <c r="AI3925">
        <v>93.009801628059904</v>
      </c>
      <c r="AJ3925">
        <v>103.96835844844701</v>
      </c>
      <c r="AK3925">
        <v>21.1296727009574</v>
      </c>
      <c r="AL3925">
        <v>87.846013618341402</v>
      </c>
      <c r="AM3925">
        <v>96.284282524410898</v>
      </c>
      <c r="AN3925">
        <v>1.0000000107051299</v>
      </c>
    </row>
    <row r="3926" spans="1:40" x14ac:dyDescent="0.25">
      <c r="A3926" t="str">
        <f>"20190312172742201"</f>
        <v>20190312172742201</v>
      </c>
      <c r="B3926" t="str">
        <f>"1552382862192735"</f>
        <v>1552382862192735</v>
      </c>
      <c r="C3926" t="s">
        <v>40</v>
      </c>
      <c r="D3926">
        <v>3.427635</v>
      </c>
      <c r="E3926">
        <v>0.4503065</v>
      </c>
      <c r="F3926" t="s">
        <v>41</v>
      </c>
      <c r="G3926">
        <v>-387.00920000000002</v>
      </c>
      <c r="H3926" s="1">
        <v>-1.8997589999999999E-6</v>
      </c>
      <c r="I3926">
        <v>136.249</v>
      </c>
      <c r="J3926">
        <v>-365.49509999999998</v>
      </c>
      <c r="K3926">
        <v>1.1094550000000001</v>
      </c>
      <c r="L3926">
        <v>141.4648</v>
      </c>
      <c r="M3926">
        <v>-0.99985860000000004</v>
      </c>
      <c r="N3926">
        <v>0</v>
      </c>
      <c r="O3926">
        <v>9.3891619999999995E-3</v>
      </c>
      <c r="P3926">
        <v>-0.99427659999999995</v>
      </c>
      <c r="Q3926">
        <v>2.4752389999999999E-2</v>
      </c>
      <c r="R3926">
        <v>-0.10393139999999899</v>
      </c>
      <c r="S3926">
        <v>-2.9483950000000001</v>
      </c>
      <c r="T3926">
        <v>-0.15023339999999999</v>
      </c>
      <c r="U3926">
        <v>-0.70591740000000003</v>
      </c>
      <c r="V3926">
        <v>-0.1132412</v>
      </c>
      <c r="W3926">
        <v>3.8679789999999999E-2</v>
      </c>
      <c r="X3926">
        <v>0.99281430000000004</v>
      </c>
      <c r="Y3926">
        <v>-0.24165710000000001</v>
      </c>
      <c r="Z3926">
        <v>-6.5387989999999997E-3</v>
      </c>
      <c r="AA3926">
        <v>0.97033970000000003</v>
      </c>
      <c r="AB3926">
        <v>26</v>
      </c>
      <c r="AC3926">
        <v>-21.514099999999999</v>
      </c>
      <c r="AD3926">
        <v>-1.10945689975899</v>
      </c>
      <c r="AE3926">
        <v>-5.2157999999999998</v>
      </c>
      <c r="AF3926">
        <v>-5.4040157201758996</v>
      </c>
      <c r="AG3926">
        <v>-1.10945689975899</v>
      </c>
      <c r="AH3926">
        <v>21.410397878904</v>
      </c>
      <c r="AI3926">
        <v>92.876288107838107</v>
      </c>
      <c r="AJ3926">
        <v>104.165669992845</v>
      </c>
      <c r="AK3926">
        <v>22.109713201425901</v>
      </c>
      <c r="AL3926">
        <v>87.783258214017195</v>
      </c>
      <c r="AM3926">
        <v>96.507081316161504</v>
      </c>
      <c r="AN3926">
        <v>0.99999996490818599</v>
      </c>
    </row>
    <row r="3927" spans="1:40" x14ac:dyDescent="0.25">
      <c r="A3927" t="str">
        <f>"20190312172742223"</f>
        <v>20190312172742223</v>
      </c>
      <c r="B3927" t="str">
        <f>"1552382862213231"</f>
        <v>1552382862213231</v>
      </c>
      <c r="C3927" t="s">
        <v>40</v>
      </c>
      <c r="D3927">
        <v>3.4473630000000002</v>
      </c>
      <c r="E3927">
        <v>0.45093309999999998</v>
      </c>
      <c r="F3927" t="s">
        <v>41</v>
      </c>
      <c r="G3927">
        <v>-387.238</v>
      </c>
      <c r="H3927" s="1">
        <v>-1.832883E-6</v>
      </c>
      <c r="I3927">
        <v>136.20769999999999</v>
      </c>
      <c r="J3927">
        <v>-365.75380000000001</v>
      </c>
      <c r="K3927">
        <v>1.1094539999999999</v>
      </c>
      <c r="L3927">
        <v>141.4676</v>
      </c>
      <c r="M3927">
        <v>-0.99985559999999996</v>
      </c>
      <c r="N3927">
        <v>0</v>
      </c>
      <c r="O3927">
        <v>9.6958809999999999E-3</v>
      </c>
      <c r="P3927">
        <v>-0.99421890000000002</v>
      </c>
      <c r="Q3927">
        <v>2.507334E-2</v>
      </c>
      <c r="R3927">
        <v>-0.1044037</v>
      </c>
      <c r="S3927">
        <v>-2.9465330000000001</v>
      </c>
      <c r="T3927">
        <v>-0.1503507</v>
      </c>
      <c r="U3927">
        <v>-0.71241759999999998</v>
      </c>
      <c r="V3927">
        <v>-0.1140171</v>
      </c>
      <c r="W3927">
        <v>3.8997120000000003E-2</v>
      </c>
      <c r="X3927">
        <v>0.99271310000000001</v>
      </c>
      <c r="Y3927">
        <v>-0.2441121</v>
      </c>
      <c r="Z3927">
        <v>-6.6233859999999898E-3</v>
      </c>
      <c r="AA3927">
        <v>0.96972440000000004</v>
      </c>
      <c r="AB3927">
        <v>26</v>
      </c>
      <c r="AC3927">
        <v>-21.484200000000001</v>
      </c>
      <c r="AD3927">
        <v>-1.109455832883</v>
      </c>
      <c r="AE3927">
        <v>-5.2599000000000098</v>
      </c>
      <c r="AF3927">
        <v>-5.4542586487544202</v>
      </c>
      <c r="AG3927">
        <v>-1.109455832883</v>
      </c>
      <c r="AH3927">
        <v>21.378398799709299</v>
      </c>
      <c r="AI3927">
        <v>92.878713597189602</v>
      </c>
      <c r="AJ3927">
        <v>104.312514523879</v>
      </c>
      <c r="AK3927">
        <v>22.091078853058399</v>
      </c>
      <c r="AL3927">
        <v>87.765062863904106</v>
      </c>
      <c r="AM3927">
        <v>96.551941952463807</v>
      </c>
      <c r="AN3927">
        <v>0.99999998668615697</v>
      </c>
    </row>
    <row r="3928" spans="1:40" x14ac:dyDescent="0.25">
      <c r="A3928" t="str">
        <f>"20190312172742245"</f>
        <v>20190312172742245</v>
      </c>
      <c r="B3928" t="str">
        <f>"1552382862233727"</f>
        <v>1552382862233727</v>
      </c>
      <c r="C3928" t="s">
        <v>40</v>
      </c>
      <c r="D3928">
        <v>3.4350179999999999</v>
      </c>
      <c r="E3928">
        <v>0.45149709999999899</v>
      </c>
      <c r="F3928" t="s">
        <v>41</v>
      </c>
      <c r="G3928">
        <v>-387.09789999999998</v>
      </c>
      <c r="H3928" s="1">
        <v>-1.84762E-6</v>
      </c>
      <c r="I3928">
        <v>136.33160000000001</v>
      </c>
      <c r="J3928">
        <v>-366.00510000000003</v>
      </c>
      <c r="K3928">
        <v>1.1094440000000001</v>
      </c>
      <c r="L3928">
        <v>141.47040000000001</v>
      </c>
      <c r="M3928">
        <v>-0.99985279999999999</v>
      </c>
      <c r="N3928">
        <v>0</v>
      </c>
      <c r="O3928">
        <v>9.9924650000000007E-3</v>
      </c>
      <c r="P3928">
        <v>-0.99432339999999997</v>
      </c>
      <c r="Q3928">
        <v>2.4644630000000001E-2</v>
      </c>
      <c r="R3928">
        <v>-0.1035088</v>
      </c>
      <c r="S3928">
        <v>-2.946777</v>
      </c>
      <c r="T3928">
        <v>-0.1531729</v>
      </c>
      <c r="U3928">
        <v>-0.70907589999999998</v>
      </c>
      <c r="V3928">
        <v>-0.1134183</v>
      </c>
      <c r="W3928">
        <v>3.8566389999999999E-2</v>
      </c>
      <c r="X3928">
        <v>0.99279850000000003</v>
      </c>
      <c r="Y3928">
        <v>-0.24333080000000001</v>
      </c>
      <c r="Z3928">
        <v>-6.7430859999999997E-3</v>
      </c>
      <c r="AA3928">
        <v>0.96991989999999995</v>
      </c>
      <c r="AB3928">
        <v>26</v>
      </c>
      <c r="AC3928">
        <v>-21.092799999999901</v>
      </c>
      <c r="AD3928">
        <v>-1.10944584762</v>
      </c>
      <c r="AE3928">
        <v>-5.1387999999999998</v>
      </c>
      <c r="AF3928">
        <v>-5.3353991693338001</v>
      </c>
      <c r="AG3928">
        <v>-1.10944584762</v>
      </c>
      <c r="AH3928">
        <v>20.9855870268457</v>
      </c>
      <c r="AI3928">
        <v>92.933100312814005</v>
      </c>
      <c r="AJ3928">
        <v>104.264718568874</v>
      </c>
      <c r="AK3928">
        <v>21.681610116553699</v>
      </c>
      <c r="AL3928">
        <v>87.789760417205997</v>
      </c>
      <c r="AM3928">
        <v>96.517273203492195</v>
      </c>
      <c r="AN3928">
        <v>0.999999969407385</v>
      </c>
    </row>
    <row r="3929" spans="1:40" x14ac:dyDescent="0.25">
      <c r="A3929" t="str">
        <f>"20190312172742266"</f>
        <v>20190312172742266</v>
      </c>
      <c r="B3929" t="str">
        <f>"1552382862263007"</f>
        <v>1552382862263007</v>
      </c>
      <c r="C3929" t="s">
        <v>40</v>
      </c>
      <c r="D3929">
        <v>3.4348640000000001</v>
      </c>
      <c r="E3929">
        <v>0.4521017</v>
      </c>
      <c r="F3929" t="s">
        <v>41</v>
      </c>
      <c r="G3929">
        <v>-386.53460000000001</v>
      </c>
      <c r="H3929" s="1">
        <v>-2.0071490000000001E-6</v>
      </c>
      <c r="I3929">
        <v>136.5821</v>
      </c>
      <c r="J3929">
        <v>-366.25959999999998</v>
      </c>
      <c r="K3929">
        <v>1.109437</v>
      </c>
      <c r="L3929">
        <v>141.47329999999999</v>
      </c>
      <c r="M3929">
        <v>-0.99984969999999995</v>
      </c>
      <c r="N3929">
        <v>0</v>
      </c>
      <c r="O3929">
        <v>1.029251E-2</v>
      </c>
      <c r="P3929">
        <v>-0.99467139999999998</v>
      </c>
      <c r="Q3929">
        <v>2.323296E-2</v>
      </c>
      <c r="R3929">
        <v>-0.1004463</v>
      </c>
      <c r="S3929">
        <v>-2.9479980000000001</v>
      </c>
      <c r="T3929">
        <v>-0.15931509999999999</v>
      </c>
      <c r="U3929">
        <v>-0.70193479999999997</v>
      </c>
      <c r="V3929">
        <v>-0.110658199999999</v>
      </c>
      <c r="W3929">
        <v>3.7155010000000002E-2</v>
      </c>
      <c r="X3929">
        <v>0.99316380000000004</v>
      </c>
      <c r="Y3929">
        <v>-0.24128369999999999</v>
      </c>
      <c r="Z3929">
        <v>-6.9737139999999998E-3</v>
      </c>
      <c r="AA3929">
        <v>0.97042949999999994</v>
      </c>
      <c r="AB3929">
        <v>26</v>
      </c>
      <c r="AC3929">
        <v>-20.274999999999999</v>
      </c>
      <c r="AD3929">
        <v>-1.1094390071489999</v>
      </c>
      <c r="AE3929">
        <v>-4.8911999999999898</v>
      </c>
      <c r="AF3929">
        <v>-5.0852528157771903</v>
      </c>
      <c r="AG3929">
        <v>-1.1094390071489999</v>
      </c>
      <c r="AH3929">
        <v>20.166515947324498</v>
      </c>
      <c r="AI3929">
        <v>93.053496271999705</v>
      </c>
      <c r="AJ3929">
        <v>104.15283446308899</v>
      </c>
      <c r="AK3929">
        <v>20.827362208514199</v>
      </c>
      <c r="AL3929">
        <v>87.870684699250504</v>
      </c>
      <c r="AM3929">
        <v>96.357667050675303</v>
      </c>
      <c r="AN3929">
        <v>1.00000003281288</v>
      </c>
    </row>
    <row r="3930" spans="1:40" x14ac:dyDescent="0.25">
      <c r="A3930" t="str">
        <f>"20190312172742290"</f>
        <v>20190312172742290</v>
      </c>
      <c r="B3930" t="str">
        <f>"1552382862283506"</f>
        <v>1552382862283506</v>
      </c>
      <c r="C3930" t="s">
        <v>40</v>
      </c>
      <c r="D3930">
        <v>3.4613770000000001</v>
      </c>
      <c r="E3930">
        <v>0.46204400000000001</v>
      </c>
      <c r="F3930" t="s">
        <v>41</v>
      </c>
      <c r="G3930">
        <v>-385.74220000000003</v>
      </c>
      <c r="H3930" s="1">
        <v>-2.285242E-6</v>
      </c>
      <c r="I3930">
        <v>136.93090000000001</v>
      </c>
      <c r="J3930">
        <v>-366.52460000000002</v>
      </c>
      <c r="K3930">
        <v>1.1094360000000001</v>
      </c>
      <c r="L3930">
        <v>141.47640000000001</v>
      </c>
      <c r="M3930">
        <v>-0.99984649999999997</v>
      </c>
      <c r="N3930">
        <v>0</v>
      </c>
      <c r="O3930">
        <v>1.0604769999999999E-2</v>
      </c>
      <c r="P3930">
        <v>-0.99511749999999999</v>
      </c>
      <c r="Q3930">
        <v>2.2048519999999999E-2</v>
      </c>
      <c r="R3930">
        <v>-9.6202599999999999E-2</v>
      </c>
      <c r="S3930">
        <v>-2.9505309999999998</v>
      </c>
      <c r="T3930">
        <v>-0.1680188</v>
      </c>
      <c r="U3930">
        <v>-0.68791199999999997</v>
      </c>
      <c r="V3930">
        <v>-0.1067313</v>
      </c>
      <c r="W3930">
        <v>3.597181E-2</v>
      </c>
      <c r="X3930">
        <v>0.99363699999999999</v>
      </c>
      <c r="Y3930">
        <v>-0.23699429999999999</v>
      </c>
      <c r="Z3930">
        <v>-7.2490519999999998E-3</v>
      </c>
      <c r="AA3930">
        <v>0.97148400000000001</v>
      </c>
      <c r="AB3930">
        <v>26</v>
      </c>
      <c r="AC3930">
        <v>-19.217600000000001</v>
      </c>
      <c r="AD3930">
        <v>-1.1094382852419999</v>
      </c>
      <c r="AE3930">
        <v>-4.5454999999999997</v>
      </c>
      <c r="AF3930">
        <v>-4.7341204993407997</v>
      </c>
      <c r="AG3930">
        <v>-1.1094382852419999</v>
      </c>
      <c r="AH3930">
        <v>19.108001521571801</v>
      </c>
      <c r="AI3930">
        <v>93.225635462856701</v>
      </c>
      <c r="AJ3930">
        <v>103.915166725368</v>
      </c>
      <c r="AK3930">
        <v>19.7169590038481</v>
      </c>
      <c r="AL3930">
        <v>87.938522390559996</v>
      </c>
      <c r="AM3930">
        <v>96.1309063457375</v>
      </c>
      <c r="AN3930">
        <v>1.0000000146416801</v>
      </c>
    </row>
    <row r="3931" spans="1:40" x14ac:dyDescent="0.25">
      <c r="A3931" t="str">
        <f>"20190312172742311"</f>
        <v>20190312172742311</v>
      </c>
      <c r="B3931" t="str">
        <f>"1552382862303023"</f>
        <v>1552382862303023</v>
      </c>
      <c r="C3931" t="s">
        <v>40</v>
      </c>
      <c r="D3931">
        <v>3.3876409999999999</v>
      </c>
      <c r="E3931">
        <v>0.46197260000000001</v>
      </c>
      <c r="F3931" t="s">
        <v>41</v>
      </c>
      <c r="G3931">
        <v>-380.93770000000001</v>
      </c>
      <c r="H3931" s="1">
        <v>-4.0555749999999997E-6</v>
      </c>
      <c r="I3931">
        <v>138.57</v>
      </c>
      <c r="J3931">
        <v>-366.77910000000003</v>
      </c>
      <c r="K3931">
        <v>1.109442</v>
      </c>
      <c r="L3931">
        <v>141.4794</v>
      </c>
      <c r="M3931">
        <v>-0.9998435</v>
      </c>
      <c r="N3931">
        <v>0</v>
      </c>
      <c r="O3931">
        <v>1.090439E-2</v>
      </c>
      <c r="P3931">
        <v>-0.99558990000000003</v>
      </c>
      <c r="Q3931">
        <v>2.264615E-2</v>
      </c>
      <c r="R3931">
        <v>-9.1040419999999997E-2</v>
      </c>
      <c r="S3931">
        <v>-2.9620060000000001</v>
      </c>
      <c r="T3931">
        <v>-0.22800000000000001</v>
      </c>
      <c r="U3931">
        <v>-0.59725950000000005</v>
      </c>
      <c r="V3931">
        <v>-0.1018718</v>
      </c>
      <c r="W3931">
        <v>3.6570329999999998E-2</v>
      </c>
      <c r="X3931">
        <v>0.99412509999999998</v>
      </c>
      <c r="Y3931">
        <v>-0.2077186</v>
      </c>
      <c r="Z3931">
        <v>-8.7336669999999901E-3</v>
      </c>
      <c r="AA3931">
        <v>0.97814970000000001</v>
      </c>
      <c r="AB3931">
        <v>26</v>
      </c>
      <c r="AC3931">
        <v>-14.1585999999999</v>
      </c>
      <c r="AD3931">
        <v>-1.1094460555750001</v>
      </c>
      <c r="AE3931">
        <v>-2.9094000000000002</v>
      </c>
      <c r="AF3931">
        <v>-3.04568982658988</v>
      </c>
      <c r="AG3931">
        <v>-1.1094460555750001</v>
      </c>
      <c r="AH3931">
        <v>14.0432965971288</v>
      </c>
      <c r="AI3931">
        <v>94.4148725917658</v>
      </c>
      <c r="AJ3931">
        <v>102.236717926788</v>
      </c>
      <c r="AK3931">
        <v>14.412538859789899</v>
      </c>
      <c r="AL3931">
        <v>87.904207075588303</v>
      </c>
      <c r="AM3931">
        <v>95.850894773521205</v>
      </c>
      <c r="AN3931">
        <v>0.99999998356077902</v>
      </c>
    </row>
    <row r="3932" spans="1:40" x14ac:dyDescent="0.25">
      <c r="A3932" t="str">
        <f>"20190312172742334"</f>
        <v>20190312172742334</v>
      </c>
      <c r="B3932" t="str">
        <f>"1552382862323519"</f>
        <v>1552382862323519</v>
      </c>
      <c r="C3932" t="s">
        <v>40</v>
      </c>
      <c r="D3932">
        <v>3.38266</v>
      </c>
      <c r="E3932">
        <v>0.46193129999999999</v>
      </c>
      <c r="F3932" t="s">
        <v>41</v>
      </c>
      <c r="G3932">
        <v>-381.4325</v>
      </c>
      <c r="H3932" s="1">
        <v>-3.8372670000000002E-6</v>
      </c>
      <c r="I3932">
        <v>138.60409999999999</v>
      </c>
      <c r="J3932">
        <v>-367.04489999999998</v>
      </c>
      <c r="K3932">
        <v>1.1094459999999999</v>
      </c>
      <c r="L3932">
        <v>141.48269999999999</v>
      </c>
      <c r="M3932">
        <v>-0.99983999999999995</v>
      </c>
      <c r="N3932">
        <v>0</v>
      </c>
      <c r="O3932">
        <v>1.121784E-2</v>
      </c>
      <c r="P3932">
        <v>-0.99595829999999996</v>
      </c>
      <c r="Q3932">
        <v>2.2634540000000002E-2</v>
      </c>
      <c r="R3932">
        <v>-8.6921429999999994E-2</v>
      </c>
      <c r="S3932">
        <v>-2.9652099999999999</v>
      </c>
      <c r="T3932">
        <v>-0.22450539999999999</v>
      </c>
      <c r="U3932">
        <v>-0.58181759999999905</v>
      </c>
      <c r="V3932">
        <v>-9.8068849999999999E-2</v>
      </c>
      <c r="W3932">
        <v>3.6559370000000001E-2</v>
      </c>
      <c r="X3932">
        <v>0.99450780000000005</v>
      </c>
      <c r="Y3932">
        <v>-0.2029495</v>
      </c>
      <c r="Z3932">
        <v>-8.4402880000000007E-3</v>
      </c>
      <c r="AA3932">
        <v>0.97915289999999999</v>
      </c>
      <c r="AB3932">
        <v>26</v>
      </c>
      <c r="AC3932">
        <v>-14.387600000000001</v>
      </c>
      <c r="AD3932">
        <v>-1.1094498372670001</v>
      </c>
      <c r="AE3932">
        <v>-2.8786</v>
      </c>
      <c r="AF3932">
        <v>-3.0225513976812701</v>
      </c>
      <c r="AG3932">
        <v>-1.1094498372670001</v>
      </c>
      <c r="AH3932">
        <v>14.2727975214257</v>
      </c>
      <c r="AI3932">
        <v>94.348704230075299</v>
      </c>
      <c r="AJ3932">
        <v>101.956878652401</v>
      </c>
      <c r="AK3932">
        <v>14.6314539598993</v>
      </c>
      <c r="AL3932">
        <v>87.904835335993596</v>
      </c>
      <c r="AM3932">
        <v>95.631754594367706</v>
      </c>
      <c r="AN3932">
        <v>0.99999992556797701</v>
      </c>
    </row>
    <row r="3933" spans="1:40" x14ac:dyDescent="0.25">
      <c r="A3933" t="str">
        <f>"20190312172742356"</f>
        <v>20190312172742356</v>
      </c>
      <c r="B3933" t="str">
        <f>"1552382862352799"</f>
        <v>1552382862352799</v>
      </c>
      <c r="C3933" t="s">
        <v>40</v>
      </c>
      <c r="D3933">
        <v>3.4239419999999998</v>
      </c>
      <c r="E3933">
        <v>0.46177770000000001</v>
      </c>
      <c r="F3933" t="s">
        <v>41</v>
      </c>
      <c r="G3933">
        <v>-381.87729999999999</v>
      </c>
      <c r="H3933" s="1">
        <v>-3.6401830000000001E-6</v>
      </c>
      <c r="I3933">
        <v>138.63929999999999</v>
      </c>
      <c r="J3933">
        <v>-367.29399999999998</v>
      </c>
      <c r="K3933">
        <v>1.109459</v>
      </c>
      <c r="L3933">
        <v>141.48580000000001</v>
      </c>
      <c r="M3933">
        <v>-0.99983670000000002</v>
      </c>
      <c r="N3933">
        <v>0</v>
      </c>
      <c r="O3933">
        <v>1.151168E-2</v>
      </c>
      <c r="P3933">
        <v>-0.99614259999999999</v>
      </c>
      <c r="Q3933">
        <v>2.4718710000000001E-2</v>
      </c>
      <c r="R3933">
        <v>-8.4195710000000007E-2</v>
      </c>
      <c r="S3933">
        <v>-2.9675600000000002</v>
      </c>
      <c r="T3933">
        <v>-0.2219709</v>
      </c>
      <c r="U3933">
        <v>-0.56886289999999995</v>
      </c>
      <c r="V3933">
        <v>-9.5636860000000004E-2</v>
      </c>
      <c r="W3933">
        <v>3.8641200000000001E-2</v>
      </c>
      <c r="X3933">
        <v>0.99466600000000005</v>
      </c>
      <c r="Y3933">
        <v>-0.1989929</v>
      </c>
      <c r="Z3933">
        <v>-8.2175330000000008E-3</v>
      </c>
      <c r="AA3933">
        <v>0.97996649999999996</v>
      </c>
      <c r="AB3933">
        <v>26</v>
      </c>
      <c r="AC3933">
        <v>-14.5832999999999</v>
      </c>
      <c r="AD3933">
        <v>-1.1094626401829999</v>
      </c>
      <c r="AE3933">
        <v>-2.8465000000000198</v>
      </c>
      <c r="AF3933">
        <v>-2.9974937340621199</v>
      </c>
      <c r="AG3933">
        <v>-1.1094626401829999</v>
      </c>
      <c r="AH3933">
        <v>14.468892636286</v>
      </c>
      <c r="AI3933">
        <v>94.293986228765505</v>
      </c>
      <c r="AJ3933">
        <v>101.704291077493</v>
      </c>
      <c r="AK3933">
        <v>14.8177167659553</v>
      </c>
      <c r="AL3933">
        <v>87.785470993377402</v>
      </c>
      <c r="AM3933">
        <v>95.492090460331198</v>
      </c>
      <c r="AN3933">
        <v>1.00000000144204</v>
      </c>
    </row>
    <row r="3934" spans="1:40" x14ac:dyDescent="0.25">
      <c r="A3934" t="str">
        <f>"20190312172742380"</f>
        <v>20190312172742380</v>
      </c>
      <c r="B3934" t="str">
        <f>"1552382862373295"</f>
        <v>1552382862373295</v>
      </c>
      <c r="C3934" t="s">
        <v>40</v>
      </c>
      <c r="D3934">
        <v>3.3767079999999998</v>
      </c>
      <c r="E3934">
        <v>0.46157290000000001</v>
      </c>
      <c r="F3934" t="s">
        <v>41</v>
      </c>
      <c r="G3934">
        <v>-382.54860000000002</v>
      </c>
      <c r="H3934" s="1">
        <v>-3.3591409999999998E-6</v>
      </c>
      <c r="I3934">
        <v>138.60040000000001</v>
      </c>
      <c r="J3934">
        <v>-367.5668</v>
      </c>
      <c r="K3934">
        <v>1.109478</v>
      </c>
      <c r="L3934">
        <v>141.48929999999999</v>
      </c>
      <c r="M3934">
        <v>-0.99983290000000002</v>
      </c>
      <c r="N3934">
        <v>0</v>
      </c>
      <c r="O3934">
        <v>1.183348E-2</v>
      </c>
      <c r="P3934">
        <v>-0.99628620000000001</v>
      </c>
      <c r="Q3934">
        <v>2.6127899999999999E-2</v>
      </c>
      <c r="R3934">
        <v>-8.2046469999999996E-2</v>
      </c>
      <c r="S3934">
        <v>-2.9695130000000001</v>
      </c>
      <c r="T3934">
        <v>-0.215973</v>
      </c>
      <c r="U3934">
        <v>-0.56167599999999995</v>
      </c>
      <c r="V3934">
        <v>-9.3808799999999998E-2</v>
      </c>
      <c r="W3934">
        <v>4.0048680000000003E-2</v>
      </c>
      <c r="X3934">
        <v>0.99478440000000001</v>
      </c>
      <c r="Y3934">
        <v>-0.1969349</v>
      </c>
      <c r="Z3934">
        <v>-7.9417900000000007E-3</v>
      </c>
      <c r="AA3934">
        <v>0.98038440000000004</v>
      </c>
      <c r="AB3934">
        <v>26</v>
      </c>
      <c r="AC3934">
        <v>-14.9818</v>
      </c>
      <c r="AD3934">
        <v>-1.109481359141</v>
      </c>
      <c r="AE3934">
        <v>-2.8888999999999698</v>
      </c>
      <c r="AF3934">
        <v>-3.0498752702182998</v>
      </c>
      <c r="AG3934">
        <v>-1.109481359141</v>
      </c>
      <c r="AH3934">
        <v>14.867946293144</v>
      </c>
      <c r="AI3934">
        <v>94.180898413609697</v>
      </c>
      <c r="AJ3934">
        <v>101.592323824251</v>
      </c>
      <c r="AK3934">
        <v>15.218032560945099</v>
      </c>
      <c r="AL3934">
        <v>87.704765817525697</v>
      </c>
      <c r="AM3934">
        <v>95.3870975954801</v>
      </c>
      <c r="AN3934">
        <v>0.99999999510527104</v>
      </c>
    </row>
    <row r="3935" spans="1:40" x14ac:dyDescent="0.25">
      <c r="A3935" t="str">
        <f>"20190312172742425"</f>
        <v>20190312172742425</v>
      </c>
      <c r="B3935" t="str">
        <f>"1552382862413311"</f>
        <v>1552382862413311</v>
      </c>
      <c r="C3935" t="s">
        <v>40</v>
      </c>
      <c r="D3935">
        <v>3.4334289999999998</v>
      </c>
      <c r="E3935">
        <v>0.45716319999999999</v>
      </c>
      <c r="F3935" t="s">
        <v>41</v>
      </c>
      <c r="G3935">
        <v>-383.24040000000002</v>
      </c>
      <c r="H3935" s="1">
        <v>-3.070744E-6</v>
      </c>
      <c r="I3935">
        <v>138.5531</v>
      </c>
      <c r="J3935">
        <v>-368.08159999999998</v>
      </c>
      <c r="K3935">
        <v>1.1095029999999999</v>
      </c>
      <c r="L3935">
        <v>141.49619999999999</v>
      </c>
      <c r="M3935">
        <v>-0.99982570000000004</v>
      </c>
      <c r="N3935">
        <v>0</v>
      </c>
      <c r="O3935">
        <v>1.2440720000000001E-2</v>
      </c>
      <c r="P3935">
        <v>-0.99650349999999999</v>
      </c>
      <c r="Q3935">
        <v>2.87759E-2</v>
      </c>
      <c r="R3935">
        <v>-7.844342E-2</v>
      </c>
      <c r="S3935">
        <v>-2.9708860000000001</v>
      </c>
      <c r="T3935">
        <v>-0.2103004</v>
      </c>
      <c r="U3935">
        <v>-0.55653379999999997</v>
      </c>
      <c r="V3935">
        <v>-9.0811900000000001E-2</v>
      </c>
      <c r="W3935">
        <v>4.269191E-2</v>
      </c>
      <c r="X3935">
        <v>0.99495259999999996</v>
      </c>
      <c r="Y3935">
        <v>-0.1958375</v>
      </c>
      <c r="Z3935">
        <v>-7.7355569999999997E-3</v>
      </c>
      <c r="AA3935">
        <v>0.98060579999999997</v>
      </c>
      <c r="AB3935">
        <v>26</v>
      </c>
      <c r="AC3935">
        <v>-15.158799999999999</v>
      </c>
      <c r="AD3935">
        <v>-1.1095060707439901</v>
      </c>
      <c r="AE3935">
        <v>-2.9430999999999798</v>
      </c>
      <c r="AF3935">
        <v>-3.1153936342618702</v>
      </c>
      <c r="AG3935">
        <v>-1.1095060707439901</v>
      </c>
      <c r="AH3935">
        <v>15.043347529512699</v>
      </c>
      <c r="AI3935">
        <v>94.130813480330701</v>
      </c>
      <c r="AJ3935">
        <v>101.700241497844</v>
      </c>
      <c r="AK3935">
        <v>15.402564270637299</v>
      </c>
      <c r="AL3935">
        <v>87.553190188291396</v>
      </c>
      <c r="AM3935">
        <v>95.215084439164798</v>
      </c>
      <c r="AN3935">
        <v>1.0000000383039001</v>
      </c>
    </row>
    <row r="3936" spans="1:40" x14ac:dyDescent="0.25">
      <c r="A3936" t="str">
        <f>"20190312172742446"</f>
        <v>20190312172742446</v>
      </c>
      <c r="B3936" t="str">
        <f>"1552382862443567"</f>
        <v>1552382862443567</v>
      </c>
      <c r="C3936" t="s">
        <v>40</v>
      </c>
      <c r="D3936">
        <v>3.37113</v>
      </c>
      <c r="E3936">
        <v>0.4568082</v>
      </c>
      <c r="F3936" t="s">
        <v>41</v>
      </c>
      <c r="G3936">
        <v>-383.1807</v>
      </c>
      <c r="H3936" s="1">
        <v>-3.097438E-6</v>
      </c>
      <c r="I3936">
        <v>138.547</v>
      </c>
      <c r="J3936">
        <v>-368.33499999999998</v>
      </c>
      <c r="K3936">
        <v>1.109507</v>
      </c>
      <c r="L3936">
        <v>141.49969999999999</v>
      </c>
      <c r="M3936">
        <v>-0.99982179999999998</v>
      </c>
      <c r="N3936">
        <v>0</v>
      </c>
      <c r="O3936">
        <v>1.2740049999999999E-2</v>
      </c>
      <c r="P3936">
        <v>-0.99664870000000005</v>
      </c>
      <c r="Q3936">
        <v>2.950881E-2</v>
      </c>
      <c r="R3936">
        <v>-7.6294429999999996E-2</v>
      </c>
      <c r="S3936">
        <v>-2.9711910000000001</v>
      </c>
      <c r="T3936">
        <v>-0.2183291</v>
      </c>
      <c r="U3936">
        <v>-0.58032229999999996</v>
      </c>
      <c r="V3936">
        <v>-8.8962940000000004E-2</v>
      </c>
      <c r="W3936">
        <v>4.3422700000000002E-2</v>
      </c>
      <c r="X3936">
        <v>0.99508799999999997</v>
      </c>
      <c r="Y3936">
        <v>-0.20362130000000001</v>
      </c>
      <c r="Z3936">
        <v>-8.3280719999999902E-3</v>
      </c>
      <c r="AA3936">
        <v>0.9790143</v>
      </c>
      <c r="AB3936">
        <v>26</v>
      </c>
      <c r="AC3936">
        <v>-14.845700000000001</v>
      </c>
      <c r="AD3936">
        <v>-1.1095100974379899</v>
      </c>
      <c r="AE3936">
        <v>-2.9526999999999899</v>
      </c>
      <c r="AF3936">
        <v>-3.12482412843275</v>
      </c>
      <c r="AG3936">
        <v>-1.1095100974379899</v>
      </c>
      <c r="AH3936">
        <v>14.727742390424201</v>
      </c>
      <c r="AI3936">
        <v>94.214748221601198</v>
      </c>
      <c r="AJ3936">
        <v>101.97895267734</v>
      </c>
      <c r="AK3936">
        <v>15.0964212450716</v>
      </c>
      <c r="AL3936">
        <v>87.511280122491797</v>
      </c>
      <c r="AM3936">
        <v>95.108779890135594</v>
      </c>
      <c r="AN3936">
        <v>1.00000003165636</v>
      </c>
    </row>
    <row r="3937" spans="1:40" x14ac:dyDescent="0.25">
      <c r="A3937" t="str">
        <f>"20190312172742468"</f>
        <v>20190312172742468</v>
      </c>
      <c r="B3937" t="str">
        <f>"1552382862463087"</f>
        <v>1552382862463087</v>
      </c>
      <c r="C3937" t="s">
        <v>40</v>
      </c>
      <c r="D3937">
        <v>3.3617089999999998</v>
      </c>
      <c r="E3937">
        <v>0.45635920000000002</v>
      </c>
      <c r="F3937" t="s">
        <v>41</v>
      </c>
      <c r="G3937">
        <v>-384.44970000000001</v>
      </c>
      <c r="H3937" s="1">
        <v>-2.5834070000000001E-6</v>
      </c>
      <c r="I3937">
        <v>138.37559999999999</v>
      </c>
      <c r="J3937">
        <v>-368.58539999999999</v>
      </c>
      <c r="K3937">
        <v>1.1095079999999999</v>
      </c>
      <c r="L3937">
        <v>141.5033</v>
      </c>
      <c r="M3937">
        <v>-0.99981810000000004</v>
      </c>
      <c r="N3937">
        <v>0</v>
      </c>
      <c r="O3937">
        <v>1.303586E-2</v>
      </c>
      <c r="P3937">
        <v>-0.99685480000000004</v>
      </c>
      <c r="Q3937">
        <v>2.922102E-2</v>
      </c>
      <c r="R3937">
        <v>-7.3667120000000003E-2</v>
      </c>
      <c r="S3937">
        <v>-2.9720460000000002</v>
      </c>
      <c r="T3937">
        <v>-0.20462820000000001</v>
      </c>
      <c r="U3937">
        <v>-0.57615660000000002</v>
      </c>
      <c r="V3937">
        <v>-8.6633080000000001E-2</v>
      </c>
      <c r="W3937">
        <v>4.3133999999999999E-2</v>
      </c>
      <c r="X3937">
        <v>0.99530609999999997</v>
      </c>
      <c r="Y3937">
        <v>-0.2026057</v>
      </c>
      <c r="Z3937">
        <v>-7.7911019999999899E-3</v>
      </c>
      <c r="AA3937">
        <v>0.97922940000000003</v>
      </c>
      <c r="AB3937">
        <v>26</v>
      </c>
      <c r="AC3937">
        <v>-15.8643</v>
      </c>
      <c r="AD3937">
        <v>-1.109510583407</v>
      </c>
      <c r="AE3937">
        <v>-3.1276999999999999</v>
      </c>
      <c r="AF3937">
        <v>-3.3186340463021802</v>
      </c>
      <c r="AG3937">
        <v>-1.109510583407</v>
      </c>
      <c r="AH3937">
        <v>15.748029770286401</v>
      </c>
      <c r="AI3937">
        <v>93.943719716675801</v>
      </c>
      <c r="AJ3937">
        <v>101.900012752916</v>
      </c>
      <c r="AK3937">
        <v>16.132104243210001</v>
      </c>
      <c r="AL3937">
        <v>87.527836928752293</v>
      </c>
      <c r="AM3937">
        <v>94.974581281506701</v>
      </c>
      <c r="AN3937">
        <v>1.00000003260174</v>
      </c>
    </row>
    <row r="3938" spans="1:40" x14ac:dyDescent="0.25">
      <c r="A3938" t="str">
        <f>"20190312172742490"</f>
        <v>20190312172742490</v>
      </c>
      <c r="B3938" t="str">
        <f>"1552382862483583"</f>
        <v>1552382862483583</v>
      </c>
      <c r="C3938" t="s">
        <v>40</v>
      </c>
      <c r="D3938">
        <v>3.3608500000000001</v>
      </c>
      <c r="E3938">
        <v>0.45403979999999999</v>
      </c>
      <c r="F3938" t="s">
        <v>41</v>
      </c>
      <c r="G3938">
        <v>-384.99630000000002</v>
      </c>
      <c r="H3938" s="1">
        <v>-2.3533029999999999E-6</v>
      </c>
      <c r="I3938">
        <v>138.351</v>
      </c>
      <c r="J3938">
        <v>-368.84620000000001</v>
      </c>
      <c r="K3938">
        <v>1.109507</v>
      </c>
      <c r="L3938">
        <v>141.50700000000001</v>
      </c>
      <c r="M3938">
        <v>-0.99981410000000004</v>
      </c>
      <c r="N3938">
        <v>0</v>
      </c>
      <c r="O3938">
        <v>1.334479E-2</v>
      </c>
      <c r="P3938">
        <v>-0.99708410000000003</v>
      </c>
      <c r="Q3938">
        <v>2.945327E-2</v>
      </c>
      <c r="R3938">
        <v>-7.0397559999999998E-2</v>
      </c>
      <c r="S3938">
        <v>-2.9731450000000001</v>
      </c>
      <c r="T3938">
        <v>-0.2010094</v>
      </c>
      <c r="U3938">
        <v>-0.57107540000000001</v>
      </c>
      <c r="V3938">
        <v>-8.367463E-2</v>
      </c>
      <c r="W3938">
        <v>4.3365050000000002E-2</v>
      </c>
      <c r="X3938">
        <v>0.99554909999999996</v>
      </c>
      <c r="Y3938">
        <v>-0.2012467</v>
      </c>
      <c r="Z3938">
        <v>-7.6272900000000001E-3</v>
      </c>
      <c r="AA3938">
        <v>0.97951089999999996</v>
      </c>
      <c r="AB3938">
        <v>26</v>
      </c>
      <c r="AC3938">
        <v>-16.150099999999998</v>
      </c>
      <c r="AD3938">
        <v>-1.109509353303</v>
      </c>
      <c r="AE3938">
        <v>-3.1560000000000001</v>
      </c>
      <c r="AF3938">
        <v>-3.3560028779861999</v>
      </c>
      <c r="AG3938">
        <v>-1.109509353303</v>
      </c>
      <c r="AH3938">
        <v>16.033651370215502</v>
      </c>
      <c r="AI3938">
        <v>93.874784103880501</v>
      </c>
      <c r="AJ3938">
        <v>101.821907234251</v>
      </c>
      <c r="AK3938">
        <v>16.418640095444299</v>
      </c>
      <c r="AL3938">
        <v>87.514586237005005</v>
      </c>
      <c r="AM3938">
        <v>94.804345370405898</v>
      </c>
      <c r="AN3938">
        <v>0.99999999088897396</v>
      </c>
    </row>
    <row r="3939" spans="1:40" x14ac:dyDescent="0.25">
      <c r="A3939" t="str">
        <f>"20190312172742513"</f>
        <v>20190312172742513</v>
      </c>
      <c r="B3939" t="str">
        <f>"1552382862503107"</f>
        <v>1552382862503107</v>
      </c>
      <c r="C3939" t="s">
        <v>40</v>
      </c>
      <c r="D3939">
        <v>3.3649710000000002</v>
      </c>
      <c r="E3939">
        <v>0.45415670000000002</v>
      </c>
      <c r="F3939" t="s">
        <v>41</v>
      </c>
      <c r="G3939">
        <v>-387.23349999999999</v>
      </c>
      <c r="H3939" s="1">
        <v>-1.469137E-6</v>
      </c>
      <c r="I3939">
        <v>137.9248</v>
      </c>
      <c r="J3939">
        <v>-369.10430000000002</v>
      </c>
      <c r="K3939">
        <v>1.1095109999999999</v>
      </c>
      <c r="L3939">
        <v>141.51089999999999</v>
      </c>
      <c r="M3939">
        <v>-0.99981010000000003</v>
      </c>
      <c r="N3939">
        <v>0</v>
      </c>
      <c r="O3939">
        <v>1.3651399999999999E-2</v>
      </c>
      <c r="P3939">
        <v>-0.99732540000000003</v>
      </c>
      <c r="Q3939">
        <v>3.0104970000000002E-2</v>
      </c>
      <c r="R3939">
        <v>-6.6604860000000002E-2</v>
      </c>
      <c r="S3939">
        <v>-2.9732059999999998</v>
      </c>
      <c r="T3939">
        <v>-0.17940619999999999</v>
      </c>
      <c r="U3939">
        <v>-0.57922359999999995</v>
      </c>
      <c r="V3939">
        <v>-8.0190280000000003E-2</v>
      </c>
      <c r="W3939">
        <v>4.4015789999999999E-2</v>
      </c>
      <c r="X3939">
        <v>0.99580729999999995</v>
      </c>
      <c r="Y3939">
        <v>-0.2042206</v>
      </c>
      <c r="Z3939">
        <v>-6.9143410000000001E-3</v>
      </c>
      <c r="AA3939">
        <v>0.97890049999999995</v>
      </c>
      <c r="AB3939">
        <v>26</v>
      </c>
      <c r="AC3939">
        <v>-18.129199999999901</v>
      </c>
      <c r="AD3939">
        <v>-1.109512469137</v>
      </c>
      <c r="AE3939">
        <v>-3.5860999999999801</v>
      </c>
      <c r="AF3939">
        <v>-3.81951145477474</v>
      </c>
      <c r="AG3939">
        <v>-1.109512469137</v>
      </c>
      <c r="AH3939">
        <v>18.013621234231199</v>
      </c>
      <c r="AI3939">
        <v>93.448097151195498</v>
      </c>
      <c r="AJ3939">
        <v>101.971384994011</v>
      </c>
      <c r="AK3939">
        <v>18.447499441460099</v>
      </c>
      <c r="AL3939">
        <v>87.4772660294432</v>
      </c>
      <c r="AM3939">
        <v>94.603974624968302</v>
      </c>
      <c r="AN3939">
        <v>1.00000002475454</v>
      </c>
    </row>
    <row r="3940" spans="1:40" x14ac:dyDescent="0.25">
      <c r="A3940" t="str">
        <f>"20190312172742535"</f>
        <v>20190312172742535</v>
      </c>
      <c r="B3940" t="str">
        <f>"1552382862523599"</f>
        <v>1552382862523599</v>
      </c>
      <c r="C3940" t="s">
        <v>40</v>
      </c>
      <c r="D3940">
        <v>3.4311590000000001</v>
      </c>
      <c r="E3940">
        <v>0.45405329999999999</v>
      </c>
      <c r="F3940" t="s">
        <v>41</v>
      </c>
      <c r="G3940">
        <v>-386.97449999999998</v>
      </c>
      <c r="H3940" s="1">
        <v>-1.5480310000000001E-6</v>
      </c>
      <c r="I3940">
        <v>138.10640000000001</v>
      </c>
      <c r="J3940">
        <v>-369.35649999999998</v>
      </c>
      <c r="K3940">
        <v>1.1095200000000001</v>
      </c>
      <c r="L3940">
        <v>141.5146</v>
      </c>
      <c r="M3940">
        <v>-0.99980579999999997</v>
      </c>
      <c r="N3940">
        <v>0</v>
      </c>
      <c r="O3940">
        <v>1.395296E-2</v>
      </c>
      <c r="P3940">
        <v>-0.99753020000000003</v>
      </c>
      <c r="Q3940">
        <v>3.1284230000000003E-2</v>
      </c>
      <c r="R3940">
        <v>-6.2887540000000006E-2</v>
      </c>
      <c r="S3940">
        <v>-2.9757389999999999</v>
      </c>
      <c r="T3940">
        <v>-0.1847559</v>
      </c>
      <c r="U3940">
        <v>-0.56689449999999997</v>
      </c>
      <c r="V3940">
        <v>-7.6776430000000007E-2</v>
      </c>
      <c r="W3940">
        <v>4.5193839999999999E-2</v>
      </c>
      <c r="X3940">
        <v>0.99602349999999995</v>
      </c>
      <c r="Y3940">
        <v>-0.20043079999999999</v>
      </c>
      <c r="Z3940">
        <v>-7.0190110000000003E-3</v>
      </c>
      <c r="AA3940">
        <v>0.97968270000000002</v>
      </c>
      <c r="AB3940">
        <v>26</v>
      </c>
      <c r="AC3940">
        <v>-17.617999999999899</v>
      </c>
      <c r="AD3940">
        <v>-1.1095215480309999</v>
      </c>
      <c r="AE3940">
        <v>-3.4081999999999901</v>
      </c>
      <c r="AF3940">
        <v>-3.63980031694578</v>
      </c>
      <c r="AG3940">
        <v>-1.1095215480309999</v>
      </c>
      <c r="AH3940">
        <v>17.501816358661099</v>
      </c>
      <c r="AI3940">
        <v>93.551601678090506</v>
      </c>
      <c r="AJ3940">
        <v>101.748171441792</v>
      </c>
      <c r="AK3940">
        <v>17.910688436380099</v>
      </c>
      <c r="AL3940">
        <v>87.409701314687794</v>
      </c>
      <c r="AM3940">
        <v>94.407811433548503</v>
      </c>
      <c r="AN3940">
        <v>0.99999995796486896</v>
      </c>
    </row>
    <row r="3941" spans="1:40" x14ac:dyDescent="0.25">
      <c r="A3941" t="str">
        <f>"20190312172742557"</f>
        <v>20190312172742557</v>
      </c>
      <c r="B3941" t="str">
        <f>"1552382862552879"</f>
        <v>1552382862552879</v>
      </c>
      <c r="C3941" t="s">
        <v>40</v>
      </c>
      <c r="D3941">
        <v>3.4243999999999999</v>
      </c>
      <c r="E3941">
        <v>0.4884368</v>
      </c>
      <c r="F3941" t="s">
        <v>41</v>
      </c>
      <c r="G3941">
        <v>-387.53910000000002</v>
      </c>
      <c r="H3941" s="1">
        <v>-1.3042959999999901E-6</v>
      </c>
      <c r="I3941">
        <v>138.11519999999999</v>
      </c>
      <c r="J3941">
        <v>-369.6087</v>
      </c>
      <c r="K3941">
        <v>1.109531</v>
      </c>
      <c r="L3941">
        <v>141.51849999999999</v>
      </c>
      <c r="M3941">
        <v>-0.99980159999999996</v>
      </c>
      <c r="N3941">
        <v>0</v>
      </c>
      <c r="O3941">
        <v>1.4258099999999999E-2</v>
      </c>
      <c r="P3941">
        <v>-0.9976237</v>
      </c>
      <c r="Q3941">
        <v>3.4152889999999998E-2</v>
      </c>
      <c r="R3941">
        <v>-5.9840230000000001E-2</v>
      </c>
      <c r="S3941">
        <v>-2.978027</v>
      </c>
      <c r="T3941">
        <v>-0.18172379999999999</v>
      </c>
      <c r="U3941">
        <v>-0.55676269999999894</v>
      </c>
      <c r="V3941">
        <v>-7.403295E-2</v>
      </c>
      <c r="W3941">
        <v>4.8060319999999997E-2</v>
      </c>
      <c r="X3941">
        <v>0.99609700000000001</v>
      </c>
      <c r="Y3941">
        <v>-0.19739000000000001</v>
      </c>
      <c r="Z3941">
        <v>-6.8275339999999997E-3</v>
      </c>
      <c r="AA3941">
        <v>0.98030130000000004</v>
      </c>
      <c r="AB3941">
        <v>26</v>
      </c>
      <c r="AC3941">
        <v>-17.930399999999999</v>
      </c>
      <c r="AD3941">
        <v>-1.1095323042959999</v>
      </c>
      <c r="AE3941">
        <v>-3.4033000000000002</v>
      </c>
      <c r="AF3941">
        <v>-3.64515972864745</v>
      </c>
      <c r="AG3941">
        <v>-1.1095323042959999</v>
      </c>
      <c r="AH3941">
        <v>17.8142068221686</v>
      </c>
      <c r="AI3941">
        <v>93.491815123833504</v>
      </c>
      <c r="AJ3941">
        <v>101.564281993135</v>
      </c>
      <c r="AK3941">
        <v>18.217140721985601</v>
      </c>
      <c r="AL3941">
        <v>87.245285206053595</v>
      </c>
      <c r="AM3941">
        <v>94.250580982112595</v>
      </c>
      <c r="AN3941">
        <v>0.99999995272660103</v>
      </c>
    </row>
    <row r="3942" spans="1:40" x14ac:dyDescent="0.25">
      <c r="A3942" t="str">
        <f>"20190312172742581"</f>
        <v>20190312172742581</v>
      </c>
      <c r="B3942" t="str">
        <f>"1552382862573375"</f>
        <v>1552382862573375</v>
      </c>
      <c r="C3942" t="s">
        <v>40</v>
      </c>
      <c r="D3942">
        <v>3.4650089999999998</v>
      </c>
      <c r="E3942">
        <v>0.50037690000000001</v>
      </c>
      <c r="F3942" t="s">
        <v>41</v>
      </c>
      <c r="G3942">
        <v>-390.71370000000002</v>
      </c>
      <c r="H3942" s="1">
        <v>-3.9711029999999998E-6</v>
      </c>
      <c r="I3942">
        <v>139.58799999999999</v>
      </c>
      <c r="J3942">
        <v>-369.88260000000002</v>
      </c>
      <c r="K3942">
        <v>1.1095440000000001</v>
      </c>
      <c r="L3942">
        <v>141.52279999999999</v>
      </c>
      <c r="M3942">
        <v>-0.99979669999999998</v>
      </c>
      <c r="N3942">
        <v>0</v>
      </c>
      <c r="O3942">
        <v>1.4598949999999999E-2</v>
      </c>
      <c r="P3942">
        <v>-0.99767729999999999</v>
      </c>
      <c r="Q3942">
        <v>3.738578E-2</v>
      </c>
      <c r="R3942">
        <v>-5.6943460000000001E-2</v>
      </c>
      <c r="S3942">
        <v>-2.9960939999999998</v>
      </c>
      <c r="T3942">
        <v>-0.15751119999999999</v>
      </c>
      <c r="U3942">
        <v>-0.27404790000000001</v>
      </c>
      <c r="V3942">
        <v>-7.1474399999999993E-2</v>
      </c>
      <c r="W3942">
        <v>5.1290240000000001E-2</v>
      </c>
      <c r="X3942">
        <v>0.99612279999999997</v>
      </c>
      <c r="Y3942">
        <v>-0.10545359999999999</v>
      </c>
      <c r="Z3942">
        <v>-3.5298500000000002E-3</v>
      </c>
      <c r="AA3942">
        <v>0.99441800000000002</v>
      </c>
      <c r="AB3942">
        <v>26</v>
      </c>
      <c r="AC3942">
        <v>-20.8310999999999</v>
      </c>
      <c r="AD3942">
        <v>-1.1095479711030001</v>
      </c>
      <c r="AE3942">
        <v>-1.9347999999999901</v>
      </c>
      <c r="AF3942">
        <v>-2.2324559422900601</v>
      </c>
      <c r="AG3942">
        <v>-1.1095479711030001</v>
      </c>
      <c r="AH3942">
        <v>20.742287119307701</v>
      </c>
      <c r="AI3942">
        <v>93.044403042914794</v>
      </c>
      <c r="AJ3942">
        <v>96.142997146146698</v>
      </c>
      <c r="AK3942">
        <v>20.891563636411799</v>
      </c>
      <c r="AL3942">
        <v>87.059995585763502</v>
      </c>
      <c r="AM3942">
        <v>94.104087535739694</v>
      </c>
      <c r="AN3942">
        <v>0.99999995562722699</v>
      </c>
    </row>
    <row r="3943" spans="1:40" x14ac:dyDescent="0.25">
      <c r="A3943" t="str">
        <f>"20190312172742603"</f>
        <v>20190312172742603</v>
      </c>
      <c r="B3943" t="str">
        <f>"1552382862592895"</f>
        <v>1552382862592895</v>
      </c>
      <c r="C3943" t="s">
        <v>40</v>
      </c>
      <c r="D3943">
        <v>3.4211909999999999</v>
      </c>
      <c r="E3943">
        <v>0.5063687</v>
      </c>
      <c r="F3943" t="s">
        <v>41</v>
      </c>
      <c r="G3943">
        <v>-393.6739</v>
      </c>
      <c r="H3943" s="1">
        <v>-2.8442229999999998E-6</v>
      </c>
      <c r="I3943">
        <v>140.17250000000001</v>
      </c>
      <c r="J3943">
        <v>-370.13170000000002</v>
      </c>
      <c r="K3943">
        <v>1.10955</v>
      </c>
      <c r="L3943">
        <v>141.52680000000001</v>
      </c>
      <c r="M3943">
        <v>-0.99979189999999996</v>
      </c>
      <c r="N3943">
        <v>0</v>
      </c>
      <c r="O3943">
        <v>1.4923219999999999E-2</v>
      </c>
      <c r="P3943">
        <v>-0.99772099999999997</v>
      </c>
      <c r="Q3943">
        <v>3.9771529999999999E-2</v>
      </c>
      <c r="R3943">
        <v>-5.4508750000000002E-2</v>
      </c>
      <c r="S3943">
        <v>-3.0025330000000001</v>
      </c>
      <c r="T3943">
        <v>-0.1400284</v>
      </c>
      <c r="U3943">
        <v>-0.17041020000000001</v>
      </c>
      <c r="V3943">
        <v>-6.9361329999999999E-2</v>
      </c>
      <c r="W3943">
        <v>5.3673989999999998E-2</v>
      </c>
      <c r="X3943">
        <v>0.99614659999999999</v>
      </c>
      <c r="Y3943">
        <v>-7.1465039999999994E-2</v>
      </c>
      <c r="Z3943">
        <v>-2.3593619999999998E-3</v>
      </c>
      <c r="AA3943">
        <v>0.99744029999999995</v>
      </c>
      <c r="AB3943">
        <v>26</v>
      </c>
      <c r="AC3943">
        <v>-23.542199999999902</v>
      </c>
      <c r="AD3943">
        <v>-1.109552844223</v>
      </c>
      <c r="AE3943">
        <v>-1.3542999999999901</v>
      </c>
      <c r="AF3943">
        <v>-1.70174101394188</v>
      </c>
      <c r="AG3943">
        <v>-1.109552844223</v>
      </c>
      <c r="AH3943">
        <v>23.467409839386502</v>
      </c>
      <c r="AI3943">
        <v>92.699883282373605</v>
      </c>
      <c r="AJ3943">
        <v>94.147548114008799</v>
      </c>
      <c r="AK3943">
        <v>23.5551768102554</v>
      </c>
      <c r="AL3943">
        <v>86.923228292864493</v>
      </c>
      <c r="AM3943">
        <v>93.983055852204402</v>
      </c>
      <c r="AN3943">
        <v>0.99999996999672403</v>
      </c>
    </row>
    <row r="3944" spans="1:40" x14ac:dyDescent="0.25">
      <c r="A3944" t="str">
        <f>"20190312172742625"</f>
        <v>20190312172742625</v>
      </c>
      <c r="B3944" t="str">
        <f>"1552382862613391"</f>
        <v>1552382862613391</v>
      </c>
      <c r="C3944" t="s">
        <v>40</v>
      </c>
      <c r="D3944">
        <v>3.4923479999999998</v>
      </c>
      <c r="E3944">
        <v>0.50973459999999904</v>
      </c>
      <c r="F3944" t="s">
        <v>41</v>
      </c>
      <c r="G3944">
        <v>-395.709</v>
      </c>
      <c r="H3944" s="1">
        <v>-2.070474E-6</v>
      </c>
      <c r="I3944">
        <v>140.54580000000001</v>
      </c>
      <c r="J3944">
        <v>-370.37729999999999</v>
      </c>
      <c r="K3944">
        <v>1.109551</v>
      </c>
      <c r="L3944">
        <v>141.5309</v>
      </c>
      <c r="M3944">
        <v>-0.99978690000000003</v>
      </c>
      <c r="N3944">
        <v>0</v>
      </c>
      <c r="O3944">
        <v>1.526156E-2</v>
      </c>
      <c r="P3944">
        <v>-0.99773319999999999</v>
      </c>
      <c r="Q3944">
        <v>4.2411219999999999E-2</v>
      </c>
      <c r="R3944">
        <v>-5.2251569999999997E-2</v>
      </c>
      <c r="S3944">
        <v>-3.0057070000000001</v>
      </c>
      <c r="T3944">
        <v>-0.1303887</v>
      </c>
      <c r="U3944">
        <v>-0.1152802</v>
      </c>
      <c r="V3944">
        <v>-6.743905E-2</v>
      </c>
      <c r="W3944">
        <v>5.6312630000000002E-2</v>
      </c>
      <c r="X3944">
        <v>0.99613300000000005</v>
      </c>
      <c r="Y3944">
        <v>-5.3508350000000003E-2</v>
      </c>
      <c r="Z3944">
        <v>-1.8212269999999999E-3</v>
      </c>
      <c r="AA3944">
        <v>0.9985657</v>
      </c>
      <c r="AB3944">
        <v>26</v>
      </c>
      <c r="AC3944">
        <v>-25.331700000000001</v>
      </c>
      <c r="AD3944">
        <v>-1.109553070474</v>
      </c>
      <c r="AE3944">
        <v>-0.98509999999998799</v>
      </c>
      <c r="AF3944">
        <v>-1.3690013693640599</v>
      </c>
      <c r="AG3944">
        <v>-1.109553070474</v>
      </c>
      <c r="AH3944">
        <v>25.2653146255116</v>
      </c>
      <c r="AI3944">
        <v>92.510910543013196</v>
      </c>
      <c r="AJ3944">
        <v>93.101539468596002</v>
      </c>
      <c r="AK3944">
        <v>25.326693346972998</v>
      </c>
      <c r="AL3944">
        <v>86.771816424514896</v>
      </c>
      <c r="AM3944">
        <v>93.873062870821499</v>
      </c>
      <c r="AN3944">
        <v>1.0000000457256999</v>
      </c>
    </row>
    <row r="3945" spans="1:40" x14ac:dyDescent="0.25">
      <c r="A3945" t="str">
        <f>"20190312172742647"</f>
        <v>20190312172742647</v>
      </c>
      <c r="B3945" t="str">
        <f>"1552382862643647"</f>
        <v>1552382862643647</v>
      </c>
      <c r="C3945" t="s">
        <v>40</v>
      </c>
      <c r="D3945">
        <v>3.4846249999999999</v>
      </c>
      <c r="E3945">
        <v>0.51290630000000004</v>
      </c>
      <c r="F3945" t="s">
        <v>41</v>
      </c>
      <c r="G3945">
        <v>-397.24130000000002</v>
      </c>
      <c r="H3945" s="1">
        <v>-1.48066E-6</v>
      </c>
      <c r="I3945">
        <v>140.79949999999999</v>
      </c>
      <c r="J3945">
        <v>-370.63420000000002</v>
      </c>
      <c r="K3945">
        <v>1.1095349999999999</v>
      </c>
      <c r="L3945">
        <v>141.53530000000001</v>
      </c>
      <c r="M3945">
        <v>-0.99978109999999998</v>
      </c>
      <c r="N3945">
        <v>0</v>
      </c>
      <c r="O3945">
        <v>1.5640689999999999E-2</v>
      </c>
      <c r="P3945">
        <v>-0.99777039999999995</v>
      </c>
      <c r="Q3945">
        <v>4.489431E-2</v>
      </c>
      <c r="R3945">
        <v>-4.9383339999999998E-2</v>
      </c>
      <c r="S3945">
        <v>-3.0078429999999998</v>
      </c>
      <c r="T3945">
        <v>-0.12423190000000001</v>
      </c>
      <c r="U3945">
        <v>-8.1878660000000006E-2</v>
      </c>
      <c r="V3945">
        <v>-6.4945779999999995E-2</v>
      </c>
      <c r="W3945">
        <v>5.8795210000000001E-2</v>
      </c>
      <c r="X3945">
        <v>0.99615520000000002</v>
      </c>
      <c r="Y3945">
        <v>-4.2794939999999997E-2</v>
      </c>
      <c r="Z3945">
        <v>-1.5289170000000001E-3</v>
      </c>
      <c r="AA3945">
        <v>0.99908269999999999</v>
      </c>
      <c r="AB3945">
        <v>26</v>
      </c>
      <c r="AC3945">
        <v>-26.607099999999999</v>
      </c>
      <c r="AD3945">
        <v>-1.1095364806600001</v>
      </c>
      <c r="AE3945">
        <v>-0.735800000000011</v>
      </c>
      <c r="AF3945">
        <v>-1.14990546536118</v>
      </c>
      <c r="AG3945">
        <v>-1.1095364806600001</v>
      </c>
      <c r="AH3945">
        <v>26.5462078205484</v>
      </c>
      <c r="AI3945">
        <v>92.391125822112301</v>
      </c>
      <c r="AJ3945">
        <v>92.480338007572797</v>
      </c>
      <c r="AK3945">
        <v>26.5942569633544</v>
      </c>
      <c r="AL3945">
        <v>86.629338735378596</v>
      </c>
      <c r="AM3945">
        <v>93.730202076879095</v>
      </c>
      <c r="AN3945">
        <v>1.00000000677289</v>
      </c>
    </row>
    <row r="3946" spans="1:40" x14ac:dyDescent="0.25">
      <c r="A3946" t="str">
        <f>"20190312172742670"</f>
        <v>20190312172742670</v>
      </c>
      <c r="B3946" t="str">
        <f>"1552382862663167"</f>
        <v>1552382862663167</v>
      </c>
      <c r="C3946" t="s">
        <v>40</v>
      </c>
      <c r="D3946">
        <v>3.4588260000000002</v>
      </c>
      <c r="E3946">
        <v>0.51427040000000002</v>
      </c>
      <c r="F3946" t="s">
        <v>41</v>
      </c>
      <c r="G3946">
        <v>-399.07819999999998</v>
      </c>
      <c r="H3946" s="1">
        <v>-7.6702149999999998E-7</v>
      </c>
      <c r="I3946">
        <v>141.07919999999999</v>
      </c>
      <c r="J3946">
        <v>-370.89249999999998</v>
      </c>
      <c r="K3946">
        <v>1.109529</v>
      </c>
      <c r="L3946">
        <v>141.53980000000001</v>
      </c>
      <c r="M3946">
        <v>-0.99977450000000001</v>
      </c>
      <c r="N3946">
        <v>0</v>
      </c>
      <c r="O3946">
        <v>1.6055650000000001E-2</v>
      </c>
      <c r="P3946">
        <v>-0.99783140000000003</v>
      </c>
      <c r="Q3946">
        <v>4.5752370000000001E-2</v>
      </c>
      <c r="R3946">
        <v>-4.732157E-2</v>
      </c>
      <c r="S3946">
        <v>-3.0096129999999999</v>
      </c>
      <c r="T3946">
        <v>-0.1173979</v>
      </c>
      <c r="U3946">
        <v>-4.8248289999999999E-2</v>
      </c>
      <c r="V3946">
        <v>-6.3294680000000006E-2</v>
      </c>
      <c r="W3946">
        <v>5.9653919999999999E-2</v>
      </c>
      <c r="X3946">
        <v>0.99621040000000005</v>
      </c>
      <c r="Y3946">
        <v>-3.2045829999999997E-2</v>
      </c>
      <c r="Z3946">
        <v>-1.2508129999999999E-3</v>
      </c>
      <c r="AA3946">
        <v>0.99948559999999997</v>
      </c>
      <c r="AB3946">
        <v>25</v>
      </c>
      <c r="AC3946">
        <v>-28.185700000000001</v>
      </c>
      <c r="AD3946">
        <v>-1.1095297670215001</v>
      </c>
      <c r="AE3946">
        <v>-0.46060000000002699</v>
      </c>
      <c r="AF3946">
        <v>-0.91171165175021396</v>
      </c>
      <c r="AG3946">
        <v>-1.1095297670215001</v>
      </c>
      <c r="AH3946">
        <v>28.1310898424918</v>
      </c>
      <c r="AI3946">
        <v>92.257471393897006</v>
      </c>
      <c r="AJ3946">
        <v>91.856271908865494</v>
      </c>
      <c r="AK3946">
        <v>28.167720713011001</v>
      </c>
      <c r="AL3946">
        <v>86.580051682790796</v>
      </c>
      <c r="AM3946">
        <v>93.635426841371498</v>
      </c>
      <c r="AN3946">
        <v>0.999999983877914</v>
      </c>
    </row>
    <row r="3947" spans="1:40" x14ac:dyDescent="0.25">
      <c r="A3947" t="str">
        <f>"20190312172742691"</f>
        <v>20190312172742691</v>
      </c>
      <c r="B3947" t="str">
        <f>"1552382862683663"</f>
        <v>1552382862683663</v>
      </c>
      <c r="C3947" t="s">
        <v>40</v>
      </c>
      <c r="D3947">
        <v>3.4239549999999999</v>
      </c>
      <c r="E3947">
        <v>0.51514859999999996</v>
      </c>
      <c r="F3947" t="s">
        <v>50</v>
      </c>
      <c r="G3947">
        <v>-400.12130000000002</v>
      </c>
      <c r="H3947" s="1">
        <v>-6.0854920000000002E-6</v>
      </c>
      <c r="I3947">
        <v>141.23589999999999</v>
      </c>
      <c r="J3947">
        <v>-371.13679999999999</v>
      </c>
      <c r="K3947">
        <v>1.1095159999999999</v>
      </c>
      <c r="L3947">
        <v>141.54419999999999</v>
      </c>
      <c r="M3947">
        <v>-0.99976770000000004</v>
      </c>
      <c r="N3947">
        <v>0</v>
      </c>
      <c r="O3947">
        <v>1.648086E-2</v>
      </c>
      <c r="P3947">
        <v>-0.99780159999999996</v>
      </c>
      <c r="Q3947">
        <v>4.8092030000000001E-2</v>
      </c>
      <c r="R3947">
        <v>-4.559846E-2</v>
      </c>
      <c r="S3947">
        <v>-3.010284</v>
      </c>
      <c r="T3947">
        <v>-0.114271</v>
      </c>
      <c r="U3947">
        <v>-3.1295780000000002E-2</v>
      </c>
      <c r="V3947">
        <v>-6.1990829999999997E-2</v>
      </c>
      <c r="W3947">
        <v>6.1992749999999999E-2</v>
      </c>
      <c r="X3947">
        <v>0.99614959999999997</v>
      </c>
      <c r="Y3947">
        <v>-2.6844670000000001E-2</v>
      </c>
      <c r="Z3947">
        <v>-1.1347449999999999E-3</v>
      </c>
      <c r="AA3947">
        <v>0.99963900000000006</v>
      </c>
      <c r="AB3947">
        <v>25</v>
      </c>
      <c r="AC3947">
        <v>-28.984500000000001</v>
      </c>
      <c r="AD3947">
        <v>-1.109522085492</v>
      </c>
      <c r="AE3947">
        <v>-0.30830000000000202</v>
      </c>
      <c r="AF3947">
        <v>-0.78484375425303998</v>
      </c>
      <c r="AG3947">
        <v>-1.109522085492</v>
      </c>
      <c r="AH3947">
        <v>28.933088867898501</v>
      </c>
      <c r="AI3947">
        <v>92.195287806589704</v>
      </c>
      <c r="AJ3947">
        <v>91.553833748159306</v>
      </c>
      <c r="AK3947">
        <v>28.9649900813809</v>
      </c>
      <c r="AL3947">
        <v>86.445798036174693</v>
      </c>
      <c r="AM3947">
        <v>93.5609496822983</v>
      </c>
      <c r="AN3947">
        <v>0.99999999481840496</v>
      </c>
    </row>
    <row r="3948" spans="1:40" x14ac:dyDescent="0.25">
      <c r="A3948" t="str">
        <f>"20190312172742714"</f>
        <v>20190312172742714</v>
      </c>
      <c r="B3948" t="str">
        <f>"1552382862703183"</f>
        <v>1552382862703183</v>
      </c>
      <c r="C3948" t="s">
        <v>40</v>
      </c>
      <c r="D3948">
        <v>3.4387219999999998</v>
      </c>
      <c r="E3948">
        <v>0.51585689999999995</v>
      </c>
      <c r="F3948" t="s">
        <v>50</v>
      </c>
      <c r="G3948">
        <v>-402.03680000000003</v>
      </c>
      <c r="H3948" s="1">
        <v>-6.9809829999999999E-6</v>
      </c>
      <c r="I3948">
        <v>141.34799999999899</v>
      </c>
      <c r="J3948">
        <v>-371.39690000000002</v>
      </c>
      <c r="K3948">
        <v>1.109502</v>
      </c>
      <c r="L3948">
        <v>141.54900000000001</v>
      </c>
      <c r="M3948">
        <v>-0.99975959999999997</v>
      </c>
      <c r="N3948">
        <v>0</v>
      </c>
      <c r="O3948">
        <v>1.6964480000000001E-2</v>
      </c>
      <c r="P3948">
        <v>-0.99775009999999997</v>
      </c>
      <c r="Q3948">
        <v>5.014391E-2</v>
      </c>
      <c r="R3948">
        <v>-4.4501329999999999E-2</v>
      </c>
      <c r="S3948">
        <v>-3.0109249999999999</v>
      </c>
      <c r="T3948">
        <v>-0.1081128</v>
      </c>
      <c r="U3948">
        <v>-1.9119259999999999E-2</v>
      </c>
      <c r="V3948">
        <v>-6.1370099999999997E-2</v>
      </c>
      <c r="W3948">
        <v>6.4044309999999993E-2</v>
      </c>
      <c r="X3948">
        <v>0.9960582</v>
      </c>
      <c r="Y3948">
        <v>-2.3288759999999999E-2</v>
      </c>
      <c r="Z3948">
        <v>-1.0269579999999999E-3</v>
      </c>
      <c r="AA3948">
        <v>0.99972830000000001</v>
      </c>
      <c r="AB3948">
        <v>25</v>
      </c>
      <c r="AC3948">
        <v>-30.639900000000001</v>
      </c>
      <c r="AD3948">
        <v>-1.1095089809830001</v>
      </c>
      <c r="AE3948">
        <v>-0.201000000000021</v>
      </c>
      <c r="AF3948">
        <v>-0.71986730492380702</v>
      </c>
      <c r="AG3948">
        <v>-1.1095089809830001</v>
      </c>
      <c r="AH3948">
        <v>30.591967533290799</v>
      </c>
      <c r="AI3948">
        <v>92.076517684772398</v>
      </c>
      <c r="AJ3948">
        <v>91.347992674022905</v>
      </c>
      <c r="AK3948">
        <v>30.620543703100701</v>
      </c>
      <c r="AL3948">
        <v>86.328018017219094</v>
      </c>
      <c r="AM3948">
        <v>93.525706043234607</v>
      </c>
      <c r="AN3948">
        <v>0.99999995030231104</v>
      </c>
    </row>
    <row r="3949" spans="1:40" x14ac:dyDescent="0.25">
      <c r="A3949" t="str">
        <f>"20190312172742736"</f>
        <v>20190312172742736</v>
      </c>
      <c r="B3949" t="str">
        <f>"1552382862733440"</f>
        <v>1552382862733440</v>
      </c>
      <c r="C3949" t="s">
        <v>40</v>
      </c>
      <c r="D3949">
        <v>3.4142199999999998</v>
      </c>
      <c r="E3949">
        <v>0.51650989999999997</v>
      </c>
      <c r="F3949" t="s">
        <v>50</v>
      </c>
      <c r="G3949">
        <v>-404.1558</v>
      </c>
      <c r="H3949" s="1">
        <v>-7.9577800000000006E-6</v>
      </c>
      <c r="I3949">
        <v>141.4383</v>
      </c>
      <c r="J3949">
        <v>-371.64499999999998</v>
      </c>
      <c r="K3949">
        <v>1.1094869999999999</v>
      </c>
      <c r="L3949">
        <v>141.5538</v>
      </c>
      <c r="M3949">
        <v>-0.9997511</v>
      </c>
      <c r="N3949">
        <v>0</v>
      </c>
      <c r="O3949">
        <v>1.7454310000000001E-2</v>
      </c>
      <c r="P3949">
        <v>-0.99774689999999999</v>
      </c>
      <c r="Q3949">
        <v>5.070214E-2</v>
      </c>
      <c r="R3949">
        <v>-4.3935849999999999E-2</v>
      </c>
      <c r="S3949">
        <v>-3.011444</v>
      </c>
      <c r="T3949">
        <v>-0.1019946</v>
      </c>
      <c r="U3949">
        <v>-1.017761E-2</v>
      </c>
      <c r="V3949">
        <v>-6.1289059999999999E-2</v>
      </c>
      <c r="W3949">
        <v>6.4602019999999996E-2</v>
      </c>
      <c r="X3949">
        <v>0.9960272</v>
      </c>
      <c r="Y3949">
        <v>-2.0813069999999999E-2</v>
      </c>
      <c r="Z3949">
        <v>-9.4338500000000004E-4</v>
      </c>
      <c r="AA3949">
        <v>0.99978290000000003</v>
      </c>
      <c r="AB3949">
        <v>25</v>
      </c>
      <c r="AC3949">
        <v>-32.510800000000003</v>
      </c>
      <c r="AD3949">
        <v>-1.10949495778</v>
      </c>
      <c r="AE3949">
        <v>-0.11549999999999699</v>
      </c>
      <c r="AF3949">
        <v>-0.68219626474697403</v>
      </c>
      <c r="AG3949">
        <v>-1.10949495778</v>
      </c>
      <c r="AH3949">
        <v>32.466019178195403</v>
      </c>
      <c r="AI3949">
        <v>91.956834798144001</v>
      </c>
      <c r="AJ3949">
        <v>91.203757546749003</v>
      </c>
      <c r="AK3949">
        <v>32.492134003231101</v>
      </c>
      <c r="AL3949">
        <v>86.295997372105205</v>
      </c>
      <c r="AM3949">
        <v>93.521171336802894</v>
      </c>
      <c r="AN3949">
        <v>0.99999997650180095</v>
      </c>
    </row>
    <row r="3950" spans="1:40" x14ac:dyDescent="0.25">
      <c r="A3950" t="str">
        <f>"20190312172742758"</f>
        <v>20190312172742758</v>
      </c>
      <c r="B3950" t="str">
        <f>"1552382862752963"</f>
        <v>1552382862752963</v>
      </c>
      <c r="C3950" t="s">
        <v>40</v>
      </c>
      <c r="D3950">
        <v>3.4766710000000001</v>
      </c>
      <c r="E3950">
        <v>0.51694510000000005</v>
      </c>
      <c r="F3950" t="s">
        <v>50</v>
      </c>
      <c r="G3950">
        <v>-403.94650000000001</v>
      </c>
      <c r="H3950" s="1">
        <v>-7.8976909999999993E-6</v>
      </c>
      <c r="I3950">
        <v>141.518</v>
      </c>
      <c r="J3950">
        <v>-371.8974</v>
      </c>
      <c r="K3950">
        <v>1.1094710000000001</v>
      </c>
      <c r="L3950">
        <v>141.55879999999999</v>
      </c>
      <c r="M3950">
        <v>-0.99974189999999996</v>
      </c>
      <c r="N3950">
        <v>0</v>
      </c>
      <c r="O3950">
        <v>1.797957E-2</v>
      </c>
      <c r="P3950">
        <v>-0.99765999999999999</v>
      </c>
      <c r="Q3950">
        <v>5.2379299999999997E-2</v>
      </c>
      <c r="R3950">
        <v>-4.3946560000000003E-2</v>
      </c>
      <c r="S3950">
        <v>-3.0119020000000001</v>
      </c>
      <c r="T3950">
        <v>-0.103453</v>
      </c>
      <c r="U3950">
        <v>-3.3416750000000001E-3</v>
      </c>
      <c r="V3950">
        <v>-6.1817499999999997E-2</v>
      </c>
      <c r="W3950">
        <v>6.6277829999999996E-2</v>
      </c>
      <c r="X3950">
        <v>0.99588449999999995</v>
      </c>
      <c r="Y3950">
        <v>-1.9068749999999999E-2</v>
      </c>
      <c r="Z3950">
        <v>-9.4480819999999996E-4</v>
      </c>
      <c r="AA3950">
        <v>0.99981770000000003</v>
      </c>
      <c r="AB3950">
        <v>25</v>
      </c>
      <c r="AC3950">
        <v>-32.049100000000003</v>
      </c>
      <c r="AD3950">
        <v>-1.1094788976909999</v>
      </c>
      <c r="AE3950">
        <v>-4.0799999999990101E-2</v>
      </c>
      <c r="AF3950">
        <v>-0.61633938893872098</v>
      </c>
      <c r="AG3950">
        <v>-1.1094788976909999</v>
      </c>
      <c r="AH3950">
        <v>32.0048298359103</v>
      </c>
      <c r="AI3950">
        <v>91.985051720942593</v>
      </c>
      <c r="AJ3950">
        <v>91.103248522960797</v>
      </c>
      <c r="AK3950">
        <v>32.0299851778353</v>
      </c>
      <c r="AL3950">
        <v>86.199774528304104</v>
      </c>
      <c r="AM3950">
        <v>93.551961416035297</v>
      </c>
      <c r="AN3950">
        <v>1.0000000456980001</v>
      </c>
    </row>
    <row r="3951" spans="1:40" x14ac:dyDescent="0.25">
      <c r="A3951" t="str">
        <f>"20190312172742782"</f>
        <v>20190312172742782</v>
      </c>
      <c r="B3951" t="str">
        <f>"1552382862773455"</f>
        <v>1552382862773455</v>
      </c>
      <c r="C3951" t="s">
        <v>40</v>
      </c>
      <c r="D3951">
        <v>3.4488089999999998</v>
      </c>
      <c r="E3951">
        <v>0.51733209999999996</v>
      </c>
      <c r="F3951" t="s">
        <v>50</v>
      </c>
      <c r="G3951">
        <v>-404.28379999999999</v>
      </c>
      <c r="H3951" s="1">
        <v>-8.0620610000000003E-6</v>
      </c>
      <c r="I3951">
        <v>141.5539</v>
      </c>
      <c r="J3951">
        <v>-372.15710000000001</v>
      </c>
      <c r="K3951">
        <v>1.1094550000000001</v>
      </c>
      <c r="L3951">
        <v>141.5641</v>
      </c>
      <c r="M3951">
        <v>-0.9997317</v>
      </c>
      <c r="N3951">
        <v>0</v>
      </c>
      <c r="O3951">
        <v>1.8542220000000002E-2</v>
      </c>
      <c r="P3951">
        <v>-0.99762430000000002</v>
      </c>
      <c r="Q3951">
        <v>5.3462280000000001E-2</v>
      </c>
      <c r="R3951">
        <v>-4.3453220000000001E-2</v>
      </c>
      <c r="S3951">
        <v>-3.012451</v>
      </c>
      <c r="T3951">
        <v>-0.1031992</v>
      </c>
      <c r="U3951">
        <v>-4.577637E-4</v>
      </c>
      <c r="V3951">
        <v>-6.1881869999999999E-2</v>
      </c>
      <c r="W3951">
        <v>6.7359260000000004E-2</v>
      </c>
      <c r="X3951">
        <v>0.99580789999999997</v>
      </c>
      <c r="Y3951">
        <v>-1.8674110000000001E-2</v>
      </c>
      <c r="Z3951">
        <v>-9.5483030000000004E-4</v>
      </c>
      <c r="AA3951">
        <v>0.99982519999999997</v>
      </c>
      <c r="AB3951">
        <v>25</v>
      </c>
      <c r="AC3951">
        <v>-32.1266999999999</v>
      </c>
      <c r="AD3951">
        <v>-1.10946306206099</v>
      </c>
      <c r="AE3951">
        <v>-1.0199999999997499E-2</v>
      </c>
      <c r="AF3951">
        <v>-0.605234193566764</v>
      </c>
      <c r="AG3951">
        <v>-1.10946306206099</v>
      </c>
      <c r="AH3951">
        <v>32.082724773091897</v>
      </c>
      <c r="AI3951">
        <v>91.9802225472977</v>
      </c>
      <c r="AJ3951">
        <v>91.080745241048405</v>
      </c>
      <c r="AK3951">
        <v>32.107607285207401</v>
      </c>
      <c r="AL3951">
        <v>86.137674209802796</v>
      </c>
      <c r="AM3951">
        <v>93.555923364972799</v>
      </c>
      <c r="AN3951">
        <v>1.00000000472242</v>
      </c>
    </row>
    <row r="3952" spans="1:40" x14ac:dyDescent="0.25">
      <c r="A3952" t="str">
        <f>"20190312172742804"</f>
        <v>20190312172742804</v>
      </c>
      <c r="B3952" t="str">
        <f>"1552382862792975"</f>
        <v>1552382862792975</v>
      </c>
      <c r="C3952" t="s">
        <v>40</v>
      </c>
      <c r="D3952">
        <v>3.4243000000000001</v>
      </c>
      <c r="E3952">
        <v>0.51761539999999995</v>
      </c>
      <c r="F3952" t="s">
        <v>50</v>
      </c>
      <c r="G3952">
        <v>-404.1028</v>
      </c>
      <c r="H3952" s="1">
        <v>-8.0020859999999992E-6</v>
      </c>
      <c r="I3952">
        <v>141.60319999999999</v>
      </c>
      <c r="J3952">
        <v>-372.4135</v>
      </c>
      <c r="K3952">
        <v>1.1094469999999901</v>
      </c>
      <c r="L3952">
        <v>141.56950000000001</v>
      </c>
      <c r="M3952">
        <v>-0.99972090000000002</v>
      </c>
      <c r="N3952">
        <v>0</v>
      </c>
      <c r="O3952">
        <v>1.9112980000000002E-2</v>
      </c>
      <c r="P3952">
        <v>-0.99762910000000005</v>
      </c>
      <c r="Q3952">
        <v>5.3460000000000001E-2</v>
      </c>
      <c r="R3952">
        <v>-4.3338920000000003E-2</v>
      </c>
      <c r="S3952">
        <v>-3.0128780000000002</v>
      </c>
      <c r="T3952">
        <v>-0.1046361</v>
      </c>
      <c r="U3952">
        <v>3.692627E-3</v>
      </c>
      <c r="V3952">
        <v>-6.2334399999999998E-2</v>
      </c>
      <c r="W3952">
        <v>6.7356879999999994E-2</v>
      </c>
      <c r="X3952">
        <v>0.99577979999999999</v>
      </c>
      <c r="Y3952">
        <v>-1.7867129999999998E-2</v>
      </c>
      <c r="Z3952">
        <v>-9.7378329999999998E-4</v>
      </c>
      <c r="AA3952">
        <v>0.9998399</v>
      </c>
      <c r="AB3952">
        <v>25</v>
      </c>
      <c r="AC3952">
        <v>-31.689299999999999</v>
      </c>
      <c r="AD3952">
        <v>-1.1094550020859999</v>
      </c>
      <c r="AE3952">
        <v>3.36999999999818E-2</v>
      </c>
      <c r="AF3952">
        <v>-0.57134120674895095</v>
      </c>
      <c r="AG3952">
        <v>-1.1094550020859999</v>
      </c>
      <c r="AH3952">
        <v>31.645365812730301</v>
      </c>
      <c r="AI3952">
        <v>92.007583654395802</v>
      </c>
      <c r="AJ3952">
        <v>91.034334184333602</v>
      </c>
      <c r="AK3952">
        <v>31.6699620870898</v>
      </c>
      <c r="AL3952">
        <v>86.137810743656004</v>
      </c>
      <c r="AM3952">
        <v>93.5819604964869</v>
      </c>
      <c r="AN3952">
        <v>0.99999996839736605</v>
      </c>
    </row>
    <row r="3953" spans="1:40" x14ac:dyDescent="0.25">
      <c r="A3953" t="str">
        <f>"20190312172742826"</f>
        <v>20190312172742826</v>
      </c>
      <c r="B3953" t="str">
        <f>"1552382862813471"</f>
        <v>1552382862813471</v>
      </c>
      <c r="C3953" t="s">
        <v>40</v>
      </c>
      <c r="D3953">
        <v>3.4299599999999999</v>
      </c>
      <c r="E3953">
        <v>0.51785890000000001</v>
      </c>
      <c r="F3953" t="s">
        <v>50</v>
      </c>
      <c r="G3953">
        <v>-403.21249999999998</v>
      </c>
      <c r="H3953" s="1">
        <v>-7.6181719999999901E-6</v>
      </c>
      <c r="I3953">
        <v>141.62989999999999</v>
      </c>
      <c r="J3953">
        <v>-372.65519999999998</v>
      </c>
      <c r="K3953">
        <v>1.1094379999999999</v>
      </c>
      <c r="L3953">
        <v>141.57470000000001</v>
      </c>
      <c r="M3953">
        <v>-0.9997104</v>
      </c>
      <c r="N3953">
        <v>0</v>
      </c>
      <c r="O3953">
        <v>1.9659650000000001E-2</v>
      </c>
      <c r="P3953">
        <v>-0.99761140000000004</v>
      </c>
      <c r="Q3953">
        <v>5.4004320000000001E-2</v>
      </c>
      <c r="R3953">
        <v>-4.3070459999999998E-2</v>
      </c>
      <c r="S3953">
        <v>-3.0132140000000001</v>
      </c>
      <c r="T3953">
        <v>-0.1085433</v>
      </c>
      <c r="U3953">
        <v>5.905151E-3</v>
      </c>
      <c r="V3953">
        <v>-6.2609369999999998E-2</v>
      </c>
      <c r="W3953">
        <v>6.7898739999999999E-2</v>
      </c>
      <c r="X3953">
        <v>0.99572579999999999</v>
      </c>
      <c r="Y3953">
        <v>-1.767792E-2</v>
      </c>
      <c r="Z3953">
        <v>-1.026286E-3</v>
      </c>
      <c r="AA3953">
        <v>0.99984320000000004</v>
      </c>
      <c r="AB3953">
        <v>25</v>
      </c>
      <c r="AC3953">
        <v>-30.557300000000001</v>
      </c>
      <c r="AD3953">
        <v>-1.1094456181719901</v>
      </c>
      <c r="AE3953">
        <v>5.5199999999984997E-2</v>
      </c>
      <c r="AF3953">
        <v>-0.54489607701067999</v>
      </c>
      <c r="AG3953">
        <v>-1.1094456181719901</v>
      </c>
      <c r="AH3953">
        <v>30.5122571843571</v>
      </c>
      <c r="AI3953">
        <v>92.082062928689496</v>
      </c>
      <c r="AJ3953">
        <v>91.023094654566407</v>
      </c>
      <c r="AK3953">
        <v>30.537282456020399</v>
      </c>
      <c r="AL3953">
        <v>86.106693414261898</v>
      </c>
      <c r="AM3953">
        <v>93.597914457560293</v>
      </c>
      <c r="AN3953">
        <v>1.00000002044551</v>
      </c>
    </row>
    <row r="3954" spans="1:40" x14ac:dyDescent="0.25">
      <c r="A3954" t="str">
        <f>"20190312172742848"</f>
        <v>20190312172742848</v>
      </c>
      <c r="B3954" t="str">
        <f>"1552382862842751"</f>
        <v>1552382862842751</v>
      </c>
      <c r="C3954" t="s">
        <v>40</v>
      </c>
      <c r="D3954">
        <v>3.4329610000000002</v>
      </c>
      <c r="E3954">
        <v>0.51810369999999994</v>
      </c>
      <c r="F3954" t="s">
        <v>50</v>
      </c>
      <c r="G3954">
        <v>-403.17570000000001</v>
      </c>
      <c r="H3954" s="1">
        <v>-7.6139199999999998E-6</v>
      </c>
      <c r="I3954">
        <v>141.6591</v>
      </c>
      <c r="J3954">
        <v>-372.904</v>
      </c>
      <c r="K3954">
        <v>1.1094379999999999</v>
      </c>
      <c r="L3954">
        <v>141.58029999999999</v>
      </c>
      <c r="M3954">
        <v>-0.99969909999999995</v>
      </c>
      <c r="N3954">
        <v>0</v>
      </c>
      <c r="O3954">
        <v>2.0226939999999999E-2</v>
      </c>
      <c r="P3954">
        <v>-0.99759500000000001</v>
      </c>
      <c r="Q3954">
        <v>5.506846E-2</v>
      </c>
      <c r="R3954">
        <v>-4.2095189999999998E-2</v>
      </c>
      <c r="S3954">
        <v>-3.013458</v>
      </c>
      <c r="T3954">
        <v>-0.1095415</v>
      </c>
      <c r="U3954">
        <v>8.3312990000000003E-3</v>
      </c>
      <c r="V3954">
        <v>-6.2197929999999998E-2</v>
      </c>
      <c r="W3954">
        <v>6.8960080000000007E-2</v>
      </c>
      <c r="X3954">
        <v>0.99567859999999997</v>
      </c>
      <c r="Y3954">
        <v>-1.743981E-2</v>
      </c>
      <c r="Z3954">
        <v>-1.0519189999999999E-3</v>
      </c>
      <c r="AA3954">
        <v>0.99984740000000005</v>
      </c>
      <c r="AB3954">
        <v>25</v>
      </c>
      <c r="AC3954">
        <v>-30.271699999999999</v>
      </c>
      <c r="AD3954">
        <v>-1.10944561392</v>
      </c>
      <c r="AE3954">
        <v>7.8800000000000994E-2</v>
      </c>
      <c r="AF3954">
        <v>-0.53286321812009296</v>
      </c>
      <c r="AG3954">
        <v>-1.10944561392</v>
      </c>
      <c r="AH3954">
        <v>30.226499945660301</v>
      </c>
      <c r="AI3954">
        <v>92.101737431183807</v>
      </c>
      <c r="AJ3954">
        <v>91.009963154587695</v>
      </c>
      <c r="AK3954">
        <v>30.251547261991</v>
      </c>
      <c r="AL3954">
        <v>86.045740052594596</v>
      </c>
      <c r="AM3954">
        <v>93.574501117041805</v>
      </c>
      <c r="AN3954">
        <v>0.999999974813925</v>
      </c>
    </row>
    <row r="3955" spans="1:40" x14ac:dyDescent="0.25">
      <c r="A3955" t="str">
        <f>"20190312172742870"</f>
        <v>20190312172742870</v>
      </c>
      <c r="B3955" t="str">
        <f>"1552382862862847"</f>
        <v>1552382862862847</v>
      </c>
      <c r="C3955" t="s">
        <v>40</v>
      </c>
      <c r="D3955">
        <v>3.399499</v>
      </c>
      <c r="E3955">
        <v>0.51829079999999905</v>
      </c>
      <c r="F3955" t="s">
        <v>50</v>
      </c>
      <c r="G3955">
        <v>-403.12979999999999</v>
      </c>
      <c r="H3955" s="1">
        <v>-7.6151519999999999E-6</v>
      </c>
      <c r="I3955">
        <v>141.71170000000001</v>
      </c>
      <c r="J3955">
        <v>-373.1592</v>
      </c>
      <c r="K3955">
        <v>1.1094469999999901</v>
      </c>
      <c r="L3955">
        <v>141.58609999999999</v>
      </c>
      <c r="M3955">
        <v>-0.99968710000000005</v>
      </c>
      <c r="N3955">
        <v>0</v>
      </c>
      <c r="O3955">
        <v>2.0809859999999999E-2</v>
      </c>
      <c r="P3955">
        <v>-0.99757200000000001</v>
      </c>
      <c r="Q3955">
        <v>5.5960740000000002E-2</v>
      </c>
      <c r="R3955">
        <v>-4.145455E-2</v>
      </c>
      <c r="S3955">
        <v>-3.013916</v>
      </c>
      <c r="T3955">
        <v>-0.1106268</v>
      </c>
      <c r="U3955">
        <v>1.31072999999999E-2</v>
      </c>
      <c r="V3955">
        <v>-6.2137110000000002E-2</v>
      </c>
      <c r="W3955">
        <v>6.9849140000000004E-2</v>
      </c>
      <c r="X3955">
        <v>0.99562039999999996</v>
      </c>
      <c r="Y3955">
        <v>-1.6438640000000001E-2</v>
      </c>
      <c r="Z3955">
        <v>-1.0651860000000001E-3</v>
      </c>
      <c r="AA3955">
        <v>0.99986430000000004</v>
      </c>
      <c r="AB3955">
        <v>25</v>
      </c>
      <c r="AC3955">
        <v>-29.970599999999902</v>
      </c>
      <c r="AD3955">
        <v>-1.1094546151519999</v>
      </c>
      <c r="AE3955">
        <v>0.125600000000019</v>
      </c>
      <c r="AF3955">
        <v>-0.49748956179620901</v>
      </c>
      <c r="AG3955">
        <v>-1.1094546151519999</v>
      </c>
      <c r="AH3955">
        <v>29.925714956562601</v>
      </c>
      <c r="AI3955">
        <v>92.122896574817403</v>
      </c>
      <c r="AJ3955">
        <v>90.952405879151399</v>
      </c>
      <c r="AK3955">
        <v>29.950405691219199</v>
      </c>
      <c r="AL3955">
        <v>85.994677439180293</v>
      </c>
      <c r="AM3955">
        <v>93.571223061462504</v>
      </c>
      <c r="AN3955">
        <v>0.99999995184702395</v>
      </c>
    </row>
    <row r="3956" spans="1:40" x14ac:dyDescent="0.25">
      <c r="A3956" t="str">
        <f>"20190312172742893"</f>
        <v>20190312172742893</v>
      </c>
      <c r="B3956" t="str">
        <f>"1552382862883343"</f>
        <v>1552382862883343</v>
      </c>
      <c r="C3956" t="s">
        <v>40</v>
      </c>
      <c r="D3956">
        <v>3.3904480000000001</v>
      </c>
      <c r="E3956">
        <v>0.51841910000000002</v>
      </c>
      <c r="F3956" t="s">
        <v>50</v>
      </c>
      <c r="G3956">
        <v>-403.5034</v>
      </c>
      <c r="H3956" s="1">
        <v>-7.797789E-6</v>
      </c>
      <c r="I3956">
        <v>141.75290000000001</v>
      </c>
      <c r="J3956">
        <v>-373.40550000000002</v>
      </c>
      <c r="K3956">
        <v>1.1094569999999999</v>
      </c>
      <c r="L3956">
        <v>141.59190000000001</v>
      </c>
      <c r="M3956">
        <v>-0.99967530000000004</v>
      </c>
      <c r="N3956">
        <v>0</v>
      </c>
      <c r="O3956">
        <v>2.137093E-2</v>
      </c>
      <c r="P3956">
        <v>-0.9975193</v>
      </c>
      <c r="Q3956">
        <v>5.7278280000000001E-2</v>
      </c>
      <c r="R3956">
        <v>-4.092697E-2</v>
      </c>
      <c r="S3956">
        <v>-3.01416</v>
      </c>
      <c r="T3956">
        <v>-0.11020480000000001</v>
      </c>
      <c r="U3956">
        <v>1.6571039999999999E-2</v>
      </c>
      <c r="V3956">
        <v>-6.2166930000000002E-2</v>
      </c>
      <c r="W3956">
        <v>7.1162420000000004E-2</v>
      </c>
      <c r="X3956">
        <v>0.99552560000000001</v>
      </c>
      <c r="Y3956">
        <v>-1.585141E-2</v>
      </c>
      <c r="Z3956">
        <v>-1.0708079999999999E-3</v>
      </c>
      <c r="AA3956">
        <v>0.99987380000000003</v>
      </c>
      <c r="AB3956">
        <v>25</v>
      </c>
      <c r="AC3956">
        <v>-30.0978999999999</v>
      </c>
      <c r="AD3956">
        <v>-1.109464797789</v>
      </c>
      <c r="AE3956">
        <v>0.161000000000001</v>
      </c>
      <c r="AF3956">
        <v>-0.48166436946105301</v>
      </c>
      <c r="AG3956">
        <v>-1.109464797789</v>
      </c>
      <c r="AH3956">
        <v>30.053630213868399</v>
      </c>
      <c r="AI3956">
        <v>92.113909219779799</v>
      </c>
      <c r="AJ3956">
        <v>90.9181910073073</v>
      </c>
      <c r="AK3956">
        <v>30.077958736162401</v>
      </c>
      <c r="AL3956">
        <v>85.919244577002502</v>
      </c>
      <c r="AM3956">
        <v>93.573271830721495</v>
      </c>
      <c r="AN3956">
        <v>1.0000000187306199</v>
      </c>
    </row>
    <row r="3957" spans="1:40" x14ac:dyDescent="0.25">
      <c r="A3957" t="str">
        <f>"20190312172742914"</f>
        <v>20190312172742914</v>
      </c>
      <c r="B3957" t="str">
        <f>"1552382862902863"</f>
        <v>1552382862902863</v>
      </c>
      <c r="C3957" t="s">
        <v>40</v>
      </c>
      <c r="D3957">
        <v>3.4188200000000002</v>
      </c>
      <c r="E3957">
        <v>0.51852279999999995</v>
      </c>
      <c r="F3957" t="s">
        <v>50</v>
      </c>
      <c r="G3957">
        <v>-404.26519999999999</v>
      </c>
      <c r="H3957" s="1">
        <v>-8.1499869999999993E-6</v>
      </c>
      <c r="I3957">
        <v>141.78790000000001</v>
      </c>
      <c r="J3957">
        <v>-373.65170000000001</v>
      </c>
      <c r="K3957">
        <v>1.109464</v>
      </c>
      <c r="L3957">
        <v>141.59780000000001</v>
      </c>
      <c r="M3957">
        <v>-0.99966339999999998</v>
      </c>
      <c r="N3957">
        <v>0</v>
      </c>
      <c r="O3957">
        <v>2.1929790000000001E-2</v>
      </c>
      <c r="P3957">
        <v>-0.9974461</v>
      </c>
      <c r="Q3957">
        <v>5.8732960000000001E-2</v>
      </c>
      <c r="R3957">
        <v>-4.064251E-2</v>
      </c>
      <c r="S3957">
        <v>-3.014465</v>
      </c>
      <c r="T3957">
        <v>-0.10837570000000001</v>
      </c>
      <c r="U3957">
        <v>1.9149780000000002E-2</v>
      </c>
      <c r="V3957">
        <v>-6.2437149999999997E-2</v>
      </c>
      <c r="W3957">
        <v>7.2612540000000003E-2</v>
      </c>
      <c r="X3957">
        <v>0.99540390000000001</v>
      </c>
      <c r="Y3957">
        <v>-1.5556260000000001E-2</v>
      </c>
      <c r="Z3957">
        <v>-1.067714E-3</v>
      </c>
      <c r="AA3957">
        <v>0.99987839999999995</v>
      </c>
      <c r="AB3957">
        <v>25</v>
      </c>
      <c r="AC3957">
        <v>-30.613499999999899</v>
      </c>
      <c r="AD3957">
        <v>-1.1094721499869999</v>
      </c>
      <c r="AE3957">
        <v>0.19010000000000099</v>
      </c>
      <c r="AF3957">
        <v>-0.48072649144413399</v>
      </c>
      <c r="AG3957">
        <v>-1.1094721499869999</v>
      </c>
      <c r="AH3957">
        <v>30.570155494287999</v>
      </c>
      <c r="AI3957">
        <v>92.078247068258605</v>
      </c>
      <c r="AJ3957">
        <v>90.900922110551903</v>
      </c>
      <c r="AK3957">
        <v>30.594058791800101</v>
      </c>
      <c r="AL3957">
        <v>85.835943013088894</v>
      </c>
      <c r="AM3957">
        <v>93.5892008322691</v>
      </c>
      <c r="AN3957">
        <v>0.99999995140029097</v>
      </c>
    </row>
    <row r="3958" spans="1:40" x14ac:dyDescent="0.25">
      <c r="A3958" t="str">
        <f>"20190312172742937"</f>
        <v>20190312172742937</v>
      </c>
      <c r="B3958" t="str">
        <f>"1552382862923359"</f>
        <v>1552382862923359</v>
      </c>
      <c r="C3958" t="s">
        <v>40</v>
      </c>
      <c r="D3958">
        <v>3.4229820000000002</v>
      </c>
      <c r="E3958">
        <v>0.51860050000000002</v>
      </c>
      <c r="F3958" t="s">
        <v>50</v>
      </c>
      <c r="G3958">
        <v>-405.17079999999999</v>
      </c>
      <c r="H3958" s="1">
        <v>-8.6003940000000001E-6</v>
      </c>
      <c r="I3958">
        <v>141.81379999999999</v>
      </c>
      <c r="J3958">
        <v>-373.90710000000001</v>
      </c>
      <c r="K3958">
        <v>1.10947</v>
      </c>
      <c r="L3958">
        <v>141.60409999999999</v>
      </c>
      <c r="M3958">
        <v>-0.99965059999999994</v>
      </c>
      <c r="N3958">
        <v>0</v>
      </c>
      <c r="O3958">
        <v>2.2505870000000001E-2</v>
      </c>
      <c r="P3958">
        <v>-0.99737160000000002</v>
      </c>
      <c r="Q3958">
        <v>5.9832570000000002E-2</v>
      </c>
      <c r="R3958">
        <v>-4.0866510000000002E-2</v>
      </c>
      <c r="S3958">
        <v>-3.0147710000000001</v>
      </c>
      <c r="T3958">
        <v>-0.1061198</v>
      </c>
      <c r="U3958">
        <v>2.0660399999999999E-2</v>
      </c>
      <c r="V3958">
        <v>-6.3232739999999996E-2</v>
      </c>
      <c r="W3958">
        <v>7.3708220000000005E-2</v>
      </c>
      <c r="X3958">
        <v>0.99527319999999997</v>
      </c>
      <c r="Y3958">
        <v>-1.5632719999999999E-2</v>
      </c>
      <c r="Z3958">
        <v>-1.0670079999999999E-3</v>
      </c>
      <c r="AA3958">
        <v>0.99987720000000002</v>
      </c>
      <c r="AB3958">
        <v>25</v>
      </c>
      <c r="AC3958">
        <v>-31.263699999999901</v>
      </c>
      <c r="AD3958">
        <v>-1.109478600394</v>
      </c>
      <c r="AE3958">
        <v>0.209699999999998</v>
      </c>
      <c r="AF3958">
        <v>-0.49341613651164801</v>
      </c>
      <c r="AG3958">
        <v>-1.109478600394</v>
      </c>
      <c r="AH3958">
        <v>31.2211820634441</v>
      </c>
      <c r="AI3958">
        <v>92.034957421069805</v>
      </c>
      <c r="AJ3958">
        <v>90.905420839170205</v>
      </c>
      <c r="AK3958">
        <v>31.2447853519147</v>
      </c>
      <c r="AL3958">
        <v>85.772996738366302</v>
      </c>
      <c r="AM3958">
        <v>93.635289545089094</v>
      </c>
      <c r="AN3958">
        <v>1.0000000118708501</v>
      </c>
    </row>
    <row r="3959" spans="1:40" x14ac:dyDescent="0.25">
      <c r="A3959" t="str">
        <f>"20190312172742961"</f>
        <v>20190312172742961</v>
      </c>
      <c r="B3959" t="str">
        <f>"1552382862953618"</f>
        <v>1552382862953618</v>
      </c>
      <c r="C3959" t="s">
        <v>40</v>
      </c>
      <c r="D3959">
        <v>3.4680599999999999</v>
      </c>
      <c r="E3959">
        <v>0.51869079999999901</v>
      </c>
      <c r="F3959" t="s">
        <v>50</v>
      </c>
      <c r="G3959">
        <v>-405.8433</v>
      </c>
      <c r="H3959" s="1">
        <v>-9.0217319999999996E-6</v>
      </c>
      <c r="I3959">
        <v>141.8203</v>
      </c>
      <c r="J3959">
        <v>-374.16289999999998</v>
      </c>
      <c r="K3959">
        <v>1.1094729999999999</v>
      </c>
      <c r="L3959">
        <v>141.6105</v>
      </c>
      <c r="M3959">
        <v>-0.99963749999999996</v>
      </c>
      <c r="N3959">
        <v>0</v>
      </c>
      <c r="O3959">
        <v>2.3079929999999999E-2</v>
      </c>
      <c r="P3959">
        <v>-0.99733720000000003</v>
      </c>
      <c r="Q3959">
        <v>5.9907439999999999E-2</v>
      </c>
      <c r="R3959">
        <v>-4.1588680000000003E-2</v>
      </c>
      <c r="S3959">
        <v>-3.015015</v>
      </c>
      <c r="T3959">
        <v>-0.104743</v>
      </c>
      <c r="U3959">
        <v>2.0416259999999999E-2</v>
      </c>
      <c r="V3959">
        <v>-6.4526539999999993E-2</v>
      </c>
      <c r="W3959">
        <v>7.3779549999999999E-2</v>
      </c>
      <c r="X3959">
        <v>0.99518479999999998</v>
      </c>
      <c r="Y3959">
        <v>-1.6288299999999999E-2</v>
      </c>
      <c r="Z3959">
        <v>-1.0844069999999999E-3</v>
      </c>
      <c r="AA3959">
        <v>0.9998667</v>
      </c>
      <c r="AB3959">
        <v>25</v>
      </c>
      <c r="AC3959">
        <v>-31.680399999999999</v>
      </c>
      <c r="AD3959">
        <v>-1.1094820217319901</v>
      </c>
      <c r="AE3959">
        <v>0.20980000000000101</v>
      </c>
      <c r="AF3959">
        <v>-0.52086877706724799</v>
      </c>
      <c r="AG3959">
        <v>-1.1094820217319901</v>
      </c>
      <c r="AH3959">
        <v>31.6380005184547</v>
      </c>
      <c r="AI3959">
        <v>92.008154582493901</v>
      </c>
      <c r="AJ3959">
        <v>90.943197618527606</v>
      </c>
      <c r="AK3959">
        <v>31.661732919175599</v>
      </c>
      <c r="AL3959">
        <v>85.768898372980701</v>
      </c>
      <c r="AM3959">
        <v>93.7097938918875</v>
      </c>
      <c r="AN3959">
        <v>0.99999994125680502</v>
      </c>
    </row>
    <row r="3960" spans="1:40" x14ac:dyDescent="0.25">
      <c r="A3960" t="str">
        <f>"20190312172742982"</f>
        <v>20190312172742982</v>
      </c>
      <c r="B3960" t="str">
        <f>"1552382862973727"</f>
        <v>1552382862973727</v>
      </c>
      <c r="C3960" t="s">
        <v>40</v>
      </c>
      <c r="D3960">
        <v>3.421208</v>
      </c>
      <c r="E3960">
        <v>0.51870090000000002</v>
      </c>
      <c r="F3960" t="s">
        <v>50</v>
      </c>
      <c r="G3960">
        <v>-405.24509999999998</v>
      </c>
      <c r="H3960" s="1">
        <v>-8.6428400000000008E-6</v>
      </c>
      <c r="I3960">
        <v>141.80459999999999</v>
      </c>
      <c r="J3960">
        <v>-374.40129999999999</v>
      </c>
      <c r="K3960">
        <v>1.1094850000000001</v>
      </c>
      <c r="L3960">
        <v>141.61660000000001</v>
      </c>
      <c r="M3960">
        <v>-0.99962510000000004</v>
      </c>
      <c r="N3960">
        <v>0</v>
      </c>
      <c r="O3960">
        <v>2.3613700000000001E-2</v>
      </c>
      <c r="P3960">
        <v>-0.99730019999999997</v>
      </c>
      <c r="Q3960">
        <v>6.0023930000000003E-2</v>
      </c>
      <c r="R3960">
        <v>-4.2305099999999998E-2</v>
      </c>
      <c r="S3960">
        <v>-3.0152890000000001</v>
      </c>
      <c r="T3960">
        <v>-0.107631</v>
      </c>
      <c r="U3960">
        <v>1.8829350000000002E-2</v>
      </c>
      <c r="V3960">
        <v>-6.5773990000000004E-2</v>
      </c>
      <c r="W3960">
        <v>7.3893189999999997E-2</v>
      </c>
      <c r="X3960">
        <v>0.99509479999999995</v>
      </c>
      <c r="Y3960">
        <v>-1.734666E-2</v>
      </c>
      <c r="Z3960">
        <v>-1.1521159999999999E-3</v>
      </c>
      <c r="AA3960">
        <v>0.99984879999999998</v>
      </c>
      <c r="AB3960">
        <v>25</v>
      </c>
      <c r="AC3960">
        <v>-30.843799999999899</v>
      </c>
      <c r="AD3960">
        <v>-1.10949364284</v>
      </c>
      <c r="AE3960">
        <v>0.18799999999998801</v>
      </c>
      <c r="AF3960">
        <v>-0.53976023100951698</v>
      </c>
      <c r="AG3960">
        <v>-1.10949364284</v>
      </c>
      <c r="AH3960">
        <v>30.799786023013102</v>
      </c>
      <c r="AI3960">
        <v>92.062744235041293</v>
      </c>
      <c r="AJ3960">
        <v>91.003994565503007</v>
      </c>
      <c r="AK3960">
        <v>30.824489230381001</v>
      </c>
      <c r="AL3960">
        <v>85.762369882719895</v>
      </c>
      <c r="AM3960">
        <v>93.781647845422398</v>
      </c>
      <c r="AN3960">
        <v>1.0000000411379599</v>
      </c>
    </row>
    <row r="3961" spans="1:40" x14ac:dyDescent="0.25">
      <c r="A3961" t="str">
        <f>"20190312172743005"</f>
        <v>20190312172743005</v>
      </c>
      <c r="B3961" t="str">
        <f>"1552382862993247"</f>
        <v>1552382862993247</v>
      </c>
      <c r="C3961" t="s">
        <v>40</v>
      </c>
      <c r="D3961">
        <v>3.4541599999999999</v>
      </c>
      <c r="E3961">
        <v>0.51877470000000003</v>
      </c>
      <c r="F3961" t="s">
        <v>50</v>
      </c>
      <c r="G3961">
        <v>-405.02359999999999</v>
      </c>
      <c r="H3961" s="1">
        <v>-8.4971140000000003E-6</v>
      </c>
      <c r="I3961">
        <v>141.78550000000001</v>
      </c>
      <c r="J3961">
        <v>-374.66149999999999</v>
      </c>
      <c r="K3961">
        <v>1.109486</v>
      </c>
      <c r="L3961">
        <v>141.6234</v>
      </c>
      <c r="M3961">
        <v>-0.99961109999999997</v>
      </c>
      <c r="N3961">
        <v>0</v>
      </c>
      <c r="O3961">
        <v>2.419611E-2</v>
      </c>
      <c r="P3961">
        <v>-0.99725680000000005</v>
      </c>
      <c r="Q3961">
        <v>5.9897150000000003E-2</v>
      </c>
      <c r="R3961">
        <v>-4.3491700000000001E-2</v>
      </c>
      <c r="S3961">
        <v>-3.0154420000000002</v>
      </c>
      <c r="T3961">
        <v>-0.109254</v>
      </c>
      <c r="U3961">
        <v>1.663208E-2</v>
      </c>
      <c r="V3961">
        <v>-6.7540130000000004E-2</v>
      </c>
      <c r="W3961">
        <v>7.3763860000000001E-2</v>
      </c>
      <c r="X3961">
        <v>0.99498609999999998</v>
      </c>
      <c r="Y3961">
        <v>-1.8656010000000001E-2</v>
      </c>
      <c r="Z3961">
        <v>-1.214227E-3</v>
      </c>
      <c r="AA3961">
        <v>0.99982519999999997</v>
      </c>
      <c r="AB3961">
        <v>25</v>
      </c>
      <c r="AC3961">
        <v>-30.362100000000002</v>
      </c>
      <c r="AD3961">
        <v>-1.1094944971139999</v>
      </c>
      <c r="AE3961">
        <v>0.16210000000000899</v>
      </c>
      <c r="AF3961">
        <v>-0.57189913786149205</v>
      </c>
      <c r="AG3961">
        <v>-1.1094944971139999</v>
      </c>
      <c r="AH3961">
        <v>30.316650383520901</v>
      </c>
      <c r="AI3961">
        <v>92.095538301319806</v>
      </c>
      <c r="AJ3961">
        <v>91.0807104504091</v>
      </c>
      <c r="AK3961">
        <v>30.342335723204499</v>
      </c>
      <c r="AL3961">
        <v>85.769800293529002</v>
      </c>
      <c r="AM3961">
        <v>93.883307643951696</v>
      </c>
      <c r="AN3961">
        <v>1.00000005769786</v>
      </c>
    </row>
    <row r="3962" spans="1:40" x14ac:dyDescent="0.25">
      <c r="A3962" t="str">
        <f>"20190312172743028"</f>
        <v>20190312172743028</v>
      </c>
      <c r="B3962" t="str">
        <f>"1552382863023503"</f>
        <v>1552382863023503</v>
      </c>
      <c r="C3962" t="s">
        <v>40</v>
      </c>
      <c r="D3962">
        <v>3.424998</v>
      </c>
      <c r="E3962">
        <v>0.51094689999999998</v>
      </c>
      <c r="F3962" t="s">
        <v>50</v>
      </c>
      <c r="G3962">
        <v>-404.63240000000002</v>
      </c>
      <c r="H3962" s="1">
        <v>-8.3003400000000002E-6</v>
      </c>
      <c r="I3962">
        <v>141.75749999999999</v>
      </c>
      <c r="J3962">
        <v>-374.91199999999998</v>
      </c>
      <c r="K3962">
        <v>1.109486</v>
      </c>
      <c r="L3962">
        <v>141.6301</v>
      </c>
      <c r="M3962">
        <v>-0.99959750000000003</v>
      </c>
      <c r="N3962">
        <v>0</v>
      </c>
      <c r="O3962">
        <v>2.475635E-2</v>
      </c>
      <c r="P3962">
        <v>-0.99721280000000001</v>
      </c>
      <c r="Q3962">
        <v>5.9985469999999999E-2</v>
      </c>
      <c r="R3962">
        <v>-4.4369939999999997E-2</v>
      </c>
      <c r="S3962">
        <v>-3.0155029999999998</v>
      </c>
      <c r="T3962">
        <v>-0.11163099999999999</v>
      </c>
      <c r="U3962">
        <v>1.3488770000000001E-2</v>
      </c>
      <c r="V3962">
        <v>-6.8975289999999995E-2</v>
      </c>
      <c r="W3962">
        <v>7.384897E-2</v>
      </c>
      <c r="X3962">
        <v>0.99488129999999997</v>
      </c>
      <c r="Y3962">
        <v>-2.025592E-2</v>
      </c>
      <c r="Z3962">
        <v>-1.29094E-3</v>
      </c>
      <c r="AA3962">
        <v>0.99979399999999996</v>
      </c>
      <c r="AB3962">
        <v>25</v>
      </c>
      <c r="AC3962">
        <v>-29.720400000000001</v>
      </c>
      <c r="AD3962">
        <v>-1.10949430034</v>
      </c>
      <c r="AE3962">
        <v>0.12739999999999399</v>
      </c>
      <c r="AF3962">
        <v>-0.60763152291386002</v>
      </c>
      <c r="AG3962">
        <v>-1.10949430034</v>
      </c>
      <c r="AH3962">
        <v>29.673091724829799</v>
      </c>
      <c r="AI3962">
        <v>92.140876868183994</v>
      </c>
      <c r="AJ3962">
        <v>91.173111889843597</v>
      </c>
      <c r="AK3962">
        <v>29.700043201657</v>
      </c>
      <c r="AL3962">
        <v>85.764910400484894</v>
      </c>
      <c r="AM3962">
        <v>93.965979889204903</v>
      </c>
      <c r="AN3962">
        <v>1.00000003104516</v>
      </c>
    </row>
    <row r="3963" spans="1:40" x14ac:dyDescent="0.25">
      <c r="A3963" t="str">
        <f>"20190312172743049"</f>
        <v>20190312172743049</v>
      </c>
      <c r="B3963" t="str">
        <f>"1552382863043023"</f>
        <v>1552382863043023</v>
      </c>
      <c r="C3963" t="s">
        <v>40</v>
      </c>
      <c r="D3963">
        <v>3.445039</v>
      </c>
      <c r="E3963">
        <v>0.51022520000000005</v>
      </c>
      <c r="F3963" t="s">
        <v>41</v>
      </c>
      <c r="G3963">
        <v>-390.8716</v>
      </c>
      <c r="H3963" s="1">
        <v>-4.28691999999999E-6</v>
      </c>
      <c r="I3963">
        <v>141.34979999999999</v>
      </c>
      <c r="J3963">
        <v>-375.14800000000002</v>
      </c>
      <c r="K3963">
        <v>1.10949599999999</v>
      </c>
      <c r="L3963">
        <v>141.63659999999999</v>
      </c>
      <c r="M3963">
        <v>-0.99958429999999998</v>
      </c>
      <c r="N3963">
        <v>0</v>
      </c>
      <c r="O3963">
        <v>2.528482E-2</v>
      </c>
      <c r="P3963">
        <v>-0.99717829999999996</v>
      </c>
      <c r="Q3963">
        <v>6.0045609999999999E-2</v>
      </c>
      <c r="R3963">
        <v>-4.5060700000000002E-2</v>
      </c>
      <c r="S3963">
        <v>-3.0186459999999999</v>
      </c>
      <c r="T3963">
        <v>-0.2098527</v>
      </c>
      <c r="U3963">
        <v>-5.3009029999999999E-2</v>
      </c>
      <c r="V3963">
        <v>-7.0191299999999998E-2</v>
      </c>
      <c r="W3963">
        <v>7.3906520000000003E-2</v>
      </c>
      <c r="X3963">
        <v>0.99479189999999995</v>
      </c>
      <c r="Y3963">
        <v>-4.2671590000000002E-2</v>
      </c>
      <c r="Z3963">
        <v>-3.23698E-3</v>
      </c>
      <c r="AA3963">
        <v>0.99908390000000002</v>
      </c>
      <c r="AB3963">
        <v>25</v>
      </c>
      <c r="AC3963">
        <v>-15.7235999999999</v>
      </c>
      <c r="AD3963">
        <v>-1.1095002869199999</v>
      </c>
      <c r="AE3963">
        <v>-0.286799999999999</v>
      </c>
      <c r="AF3963">
        <v>-0.68092556888364997</v>
      </c>
      <c r="AG3963">
        <v>-1.1095002869199999</v>
      </c>
      <c r="AH3963">
        <v>15.6335047294286</v>
      </c>
      <c r="AI3963">
        <v>94.055608048897895</v>
      </c>
      <c r="AJ3963">
        <v>92.493971692833696</v>
      </c>
      <c r="AK3963">
        <v>15.6876104184831</v>
      </c>
      <c r="AL3963">
        <v>85.761603684188401</v>
      </c>
      <c r="AM3963">
        <v>94.036031159401503</v>
      </c>
      <c r="AN3963">
        <v>0.99999995829990396</v>
      </c>
    </row>
    <row r="3964" spans="1:40" x14ac:dyDescent="0.25">
      <c r="A3964" t="str">
        <f>"20190312172743072"</f>
        <v>20190312172743072</v>
      </c>
      <c r="B3964" t="str">
        <f>"1552382863063520"</f>
        <v>1552382863063520</v>
      </c>
      <c r="C3964" t="s">
        <v>40</v>
      </c>
      <c r="D3964">
        <v>3.4657979999999999</v>
      </c>
      <c r="E3964">
        <v>0.50994280000000003</v>
      </c>
      <c r="F3964" t="s">
        <v>41</v>
      </c>
      <c r="G3964">
        <v>-391.33499999999998</v>
      </c>
      <c r="H3964" s="1">
        <v>-4.122136E-6</v>
      </c>
      <c r="I3964">
        <v>141.3098</v>
      </c>
      <c r="J3964">
        <v>-375.39980000000003</v>
      </c>
      <c r="K3964">
        <v>1.1095029999999999</v>
      </c>
      <c r="L3964">
        <v>141.64359999999999</v>
      </c>
      <c r="M3964">
        <v>-0.99956999999999996</v>
      </c>
      <c r="N3964">
        <v>0</v>
      </c>
      <c r="O3964">
        <v>2.5848409999999999E-2</v>
      </c>
      <c r="P3964">
        <v>-0.99713589999999996</v>
      </c>
      <c r="Q3964">
        <v>6.0259149999999997E-2</v>
      </c>
      <c r="R3964">
        <v>-4.5707770000000002E-2</v>
      </c>
      <c r="S3964">
        <v>-3.0181879999999999</v>
      </c>
      <c r="T3964">
        <v>-0.20687539999999999</v>
      </c>
      <c r="U3964">
        <v>-6.0913090000000003E-2</v>
      </c>
      <c r="V3964">
        <v>-7.1398779999999995E-2</v>
      </c>
      <c r="W3964">
        <v>7.4117169999999996E-2</v>
      </c>
      <c r="X3964">
        <v>0.99469039999999997</v>
      </c>
      <c r="Y3964">
        <v>-4.5848609999999998E-2</v>
      </c>
      <c r="Z3964">
        <v>-3.338906E-3</v>
      </c>
      <c r="AA3964">
        <v>0.99894280000000002</v>
      </c>
      <c r="AB3964">
        <v>25</v>
      </c>
      <c r="AC3964">
        <v>-15.935199999999901</v>
      </c>
      <c r="AD3964">
        <v>-1.109507122136</v>
      </c>
      <c r="AE3964">
        <v>-0.33379999999999599</v>
      </c>
      <c r="AF3964">
        <v>-0.74203186334212701</v>
      </c>
      <c r="AG3964">
        <v>-1.109507122136</v>
      </c>
      <c r="AH3964">
        <v>15.8444683830951</v>
      </c>
      <c r="AI3964">
        <v>94.001220771579497</v>
      </c>
      <c r="AJ3964">
        <v>92.681330260265995</v>
      </c>
      <c r="AK3964">
        <v>15.900591048234199</v>
      </c>
      <c r="AL3964">
        <v>85.749501594539396</v>
      </c>
      <c r="AM3964">
        <v>94.105643889099795</v>
      </c>
      <c r="AN3964">
        <v>1.00000006626322</v>
      </c>
    </row>
    <row r="3965" spans="1:40" x14ac:dyDescent="0.25">
      <c r="A3965" t="str">
        <f>"20190312172743093"</f>
        <v>20190312172743093</v>
      </c>
      <c r="B3965" t="str">
        <f>"1552382863083040"</f>
        <v>1552382863083040</v>
      </c>
      <c r="C3965" t="s">
        <v>40</v>
      </c>
      <c r="D3965">
        <v>3.4721679999999999</v>
      </c>
      <c r="E3965">
        <v>0.50984750000000001</v>
      </c>
      <c r="F3965" t="s">
        <v>41</v>
      </c>
      <c r="G3965">
        <v>-391.60520000000002</v>
      </c>
      <c r="H3965" s="1">
        <v>-4.0274130000000003E-6</v>
      </c>
      <c r="I3965">
        <v>141.29409999999999</v>
      </c>
      <c r="J3965">
        <v>-375.64620000000002</v>
      </c>
      <c r="K3965">
        <v>1.1095120000000001</v>
      </c>
      <c r="L3965">
        <v>141.6507</v>
      </c>
      <c r="M3965">
        <v>-0.99955550000000004</v>
      </c>
      <c r="N3965">
        <v>0</v>
      </c>
      <c r="O3965">
        <v>2.640056E-2</v>
      </c>
      <c r="P3965">
        <v>-0.99708200000000002</v>
      </c>
      <c r="Q3965">
        <v>6.0834480000000003E-2</v>
      </c>
      <c r="R3965">
        <v>-4.6119180000000003E-2</v>
      </c>
      <c r="S3965">
        <v>-3.0181269999999998</v>
      </c>
      <c r="T3965">
        <v>-0.2066383</v>
      </c>
      <c r="U3965">
        <v>-6.5078739999999996E-2</v>
      </c>
      <c r="V3965">
        <v>-7.2358469999999994E-2</v>
      </c>
      <c r="W3965">
        <v>7.4689210000000006E-2</v>
      </c>
      <c r="X3965">
        <v>0.99457819999999997</v>
      </c>
      <c r="Y3965">
        <v>-4.777348E-2</v>
      </c>
      <c r="Z3965">
        <v>-3.4386780000000001E-3</v>
      </c>
      <c r="AA3965">
        <v>0.99885230000000003</v>
      </c>
      <c r="AB3965">
        <v>25</v>
      </c>
      <c r="AC3965">
        <v>-15.959</v>
      </c>
      <c r="AD3965">
        <v>-1.109516027413</v>
      </c>
      <c r="AE3965">
        <v>-0.35660000000001402</v>
      </c>
      <c r="AF3965">
        <v>-0.77410292366937905</v>
      </c>
      <c r="AG3965">
        <v>-1.109516027413</v>
      </c>
      <c r="AH3965">
        <v>15.867365398821301</v>
      </c>
      <c r="AI3965">
        <v>93.995126478684398</v>
      </c>
      <c r="AJ3965">
        <v>92.793008923024999</v>
      </c>
      <c r="AK3965">
        <v>15.92493472047</v>
      </c>
      <c r="AL3965">
        <v>85.716634783587395</v>
      </c>
      <c r="AM3965">
        <v>94.161104142016299</v>
      </c>
      <c r="AN3965">
        <v>1.0000000110931999</v>
      </c>
    </row>
    <row r="3966" spans="1:40" x14ac:dyDescent="0.25">
      <c r="A3966" t="str">
        <f>"20190312172743116"</f>
        <v>20190312172743116</v>
      </c>
      <c r="B3966" t="str">
        <f>"1552382863103536"</f>
        <v>1552382863103536</v>
      </c>
      <c r="C3966" t="s">
        <v>40</v>
      </c>
      <c r="D3966">
        <v>3.5057489999999998</v>
      </c>
      <c r="E3966">
        <v>0.50952310000000001</v>
      </c>
      <c r="F3966" t="s">
        <v>41</v>
      </c>
      <c r="G3966">
        <v>-391.8716</v>
      </c>
      <c r="H3966" s="1">
        <v>-3.9150380000000004E-6</v>
      </c>
      <c r="I3966">
        <v>141.2912</v>
      </c>
      <c r="J3966">
        <v>-375.88889999999998</v>
      </c>
      <c r="K3966">
        <v>1.109529</v>
      </c>
      <c r="L3966">
        <v>141.65770000000001</v>
      </c>
      <c r="M3966">
        <v>-0.99954100000000001</v>
      </c>
      <c r="N3966">
        <v>0</v>
      </c>
      <c r="O3966">
        <v>2.6944429999999998E-2</v>
      </c>
      <c r="P3966">
        <v>-0.99702069999999998</v>
      </c>
      <c r="Q3966">
        <v>6.1612729999999997E-2</v>
      </c>
      <c r="R3966">
        <v>-4.6410899999999998E-2</v>
      </c>
      <c r="S3966">
        <v>-3.0182799999999999</v>
      </c>
      <c r="T3966">
        <v>-0.20639489999999999</v>
      </c>
      <c r="U3966">
        <v>-6.6848749999999998E-2</v>
      </c>
      <c r="V3966">
        <v>-7.3189820000000003E-2</v>
      </c>
      <c r="W3966">
        <v>7.5463799999999998E-2</v>
      </c>
      <c r="X3966">
        <v>0.99445890000000003</v>
      </c>
      <c r="Y3966">
        <v>-4.8897860000000001E-2</v>
      </c>
      <c r="Z3966">
        <v>-3.5099810000000001E-3</v>
      </c>
      <c r="AA3966">
        <v>0.99879759999999995</v>
      </c>
      <c r="AB3966">
        <v>25</v>
      </c>
      <c r="AC3966">
        <v>-15.982699999999999</v>
      </c>
      <c r="AD3966">
        <v>-1.109532915038</v>
      </c>
      <c r="AE3966">
        <v>-0.36650000000000199</v>
      </c>
      <c r="AF3966">
        <v>-0.793232173129373</v>
      </c>
      <c r="AG3966">
        <v>-1.109532915038</v>
      </c>
      <c r="AH3966">
        <v>15.890479954820099</v>
      </c>
      <c r="AI3966">
        <v>93.989172627180096</v>
      </c>
      <c r="AJ3966">
        <v>92.857758933568704</v>
      </c>
      <c r="AK3966">
        <v>15.9489069771122</v>
      </c>
      <c r="AL3966">
        <v>85.672128473947893</v>
      </c>
      <c r="AM3966">
        <v>94.209244685415001</v>
      </c>
      <c r="AN3966">
        <v>1.00000001932564</v>
      </c>
    </row>
    <row r="3967" spans="1:40" x14ac:dyDescent="0.25">
      <c r="A3967" t="str">
        <f>"20190312172743139"</f>
        <v>20190312172743139</v>
      </c>
      <c r="B3967" t="str">
        <f>"1552382863132819"</f>
        <v>1552382863132819</v>
      </c>
      <c r="C3967" t="s">
        <v>40</v>
      </c>
      <c r="D3967">
        <v>3.4811339999999902</v>
      </c>
      <c r="E3967">
        <v>0.50942259999999995</v>
      </c>
      <c r="F3967" t="s">
        <v>41</v>
      </c>
      <c r="G3967">
        <v>-392.1302</v>
      </c>
      <c r="H3967" s="1">
        <v>-3.8008370000000001E-6</v>
      </c>
      <c r="I3967">
        <v>141.27889999999999</v>
      </c>
      <c r="J3967">
        <v>-376.14479999999998</v>
      </c>
      <c r="K3967">
        <v>1.1095489999999999</v>
      </c>
      <c r="L3967">
        <v>141.6652</v>
      </c>
      <c r="M3967">
        <v>-0.99952540000000001</v>
      </c>
      <c r="N3967">
        <v>0</v>
      </c>
      <c r="O3967">
        <v>2.7518339999999999E-2</v>
      </c>
      <c r="P3967">
        <v>-0.99693569999999998</v>
      </c>
      <c r="Q3967">
        <v>6.3108940000000002E-2</v>
      </c>
      <c r="R3967">
        <v>-4.6221610000000003E-2</v>
      </c>
      <c r="S3967">
        <v>-3.0184329999999999</v>
      </c>
      <c r="T3967">
        <v>-0.20620620000000001</v>
      </c>
      <c r="U3967">
        <v>-7.0388790000000007E-2</v>
      </c>
      <c r="V3967">
        <v>-7.3568339999999996E-2</v>
      </c>
      <c r="W3967">
        <v>7.6955759999999998E-2</v>
      </c>
      <c r="X3967">
        <v>0.99431659999999999</v>
      </c>
      <c r="Y3967">
        <v>-5.0635890000000003E-2</v>
      </c>
      <c r="Z3967">
        <v>-3.6050079999999998E-3</v>
      </c>
      <c r="AA3967">
        <v>0.99871069999999995</v>
      </c>
      <c r="AB3967">
        <v>25</v>
      </c>
      <c r="AC3967">
        <v>-15.9854</v>
      </c>
      <c r="AD3967">
        <v>-1.1095528008369999</v>
      </c>
      <c r="AE3967">
        <v>-0.38630000000000497</v>
      </c>
      <c r="AF3967">
        <v>-0.82212898225346498</v>
      </c>
      <c r="AG3967">
        <v>-1.1095528008369999</v>
      </c>
      <c r="AH3967">
        <v>15.892193044855199</v>
      </c>
      <c r="AI3967">
        <v>93.988449872599702</v>
      </c>
      <c r="AJ3967">
        <v>92.961364007209994</v>
      </c>
      <c r="AK3967">
        <v>15.952078336575701</v>
      </c>
      <c r="AL3967">
        <v>85.586396023931499</v>
      </c>
      <c r="AM3967">
        <v>94.231538333936996</v>
      </c>
      <c r="AN3967">
        <v>0.99999999534154604</v>
      </c>
    </row>
    <row r="3968" spans="1:40" x14ac:dyDescent="0.25">
      <c r="A3968" t="str">
        <f>"20190312172743162"</f>
        <v>20190312172743162</v>
      </c>
      <c r="B3968" t="str">
        <f>"1552382863153312"</f>
        <v>1552382863153312</v>
      </c>
      <c r="C3968" t="s">
        <v>40</v>
      </c>
      <c r="D3968">
        <v>3.4782920000000002</v>
      </c>
      <c r="E3968">
        <v>0.5095478</v>
      </c>
      <c r="F3968" t="s">
        <v>41</v>
      </c>
      <c r="G3968">
        <v>-392.53969999999998</v>
      </c>
      <c r="H3968" s="1">
        <v>-3.6257470000000001E-6</v>
      </c>
      <c r="I3968">
        <v>141.28110000000001</v>
      </c>
      <c r="J3968">
        <v>-376.39150000000001</v>
      </c>
      <c r="K3968">
        <v>1.109559</v>
      </c>
      <c r="L3968">
        <v>141.67269999999999</v>
      </c>
      <c r="M3968">
        <v>-0.99951000000000001</v>
      </c>
      <c r="N3968">
        <v>0</v>
      </c>
      <c r="O3968">
        <v>2.8072219999999998E-2</v>
      </c>
      <c r="P3968">
        <v>-0.99687919999999997</v>
      </c>
      <c r="Q3968">
        <v>6.4141299999999998E-2</v>
      </c>
      <c r="R3968">
        <v>-4.6022569999999999E-2</v>
      </c>
      <c r="S3968">
        <v>-3.0188899999999999</v>
      </c>
      <c r="T3968">
        <v>-0.2043085</v>
      </c>
      <c r="U3968">
        <v>-7.0709229999999998E-2</v>
      </c>
      <c r="V3968">
        <v>-7.391847E-2</v>
      </c>
      <c r="W3968">
        <v>7.7984999999999999E-2</v>
      </c>
      <c r="X3968">
        <v>0.99421040000000005</v>
      </c>
      <c r="Y3968">
        <v>-5.129235E-2</v>
      </c>
      <c r="Z3968">
        <v>-3.6309839999999999E-3</v>
      </c>
      <c r="AA3968">
        <v>0.99867709999999998</v>
      </c>
      <c r="AB3968">
        <v>25</v>
      </c>
      <c r="AC3968">
        <v>-16.1481999999999</v>
      </c>
      <c r="AD3968">
        <v>-1.1095626257469999</v>
      </c>
      <c r="AE3968">
        <v>-0.39159999999998202</v>
      </c>
      <c r="AF3968">
        <v>-0.84083746572092299</v>
      </c>
      <c r="AG3968">
        <v>-1.1095626257469999</v>
      </c>
      <c r="AH3968">
        <v>16.055085356779301</v>
      </c>
      <c r="AI3968">
        <v>93.948016341905401</v>
      </c>
      <c r="AJ3968">
        <v>92.997957514839399</v>
      </c>
      <c r="AK3968">
        <v>16.115331292830501</v>
      </c>
      <c r="AL3968">
        <v>85.527246991435703</v>
      </c>
      <c r="AM3968">
        <v>94.252056087625704</v>
      </c>
      <c r="AN3968">
        <v>0.99999995995014901</v>
      </c>
    </row>
    <row r="3969" spans="1:40" x14ac:dyDescent="0.25">
      <c r="A3969" t="str">
        <f>"20190312172743184"</f>
        <v>20190312172743184</v>
      </c>
      <c r="B3969" t="str">
        <f>"1552382863172832"</f>
        <v>1552382863172832</v>
      </c>
      <c r="C3969" t="s">
        <v>40</v>
      </c>
      <c r="D3969">
        <v>3.5027550000000001</v>
      </c>
      <c r="E3969">
        <v>0.50953700000000002</v>
      </c>
      <c r="F3969" t="s">
        <v>41</v>
      </c>
      <c r="G3969">
        <v>-392.84989999999999</v>
      </c>
      <c r="H3969" s="1">
        <v>-3.4967669999999999E-6</v>
      </c>
      <c r="I3969">
        <v>141.29650000000001</v>
      </c>
      <c r="J3969">
        <v>-376.63940000000002</v>
      </c>
      <c r="K3969">
        <v>1.109569</v>
      </c>
      <c r="L3969">
        <v>141.68029999999999</v>
      </c>
      <c r="M3969">
        <v>-0.99949440000000001</v>
      </c>
      <c r="N3969">
        <v>0</v>
      </c>
      <c r="O3969">
        <v>2.8628190000000001E-2</v>
      </c>
      <c r="P3969">
        <v>-0.99679640000000003</v>
      </c>
      <c r="Q3969">
        <v>6.5013769999999999E-2</v>
      </c>
      <c r="R3969">
        <v>-4.658644E-2</v>
      </c>
      <c r="S3969">
        <v>-3.0193180000000002</v>
      </c>
      <c r="T3969">
        <v>-0.2035517</v>
      </c>
      <c r="U3969">
        <v>-6.9000240000000004E-2</v>
      </c>
      <c r="V3969">
        <v>-7.5032580000000001E-2</v>
      </c>
      <c r="W3969">
        <v>7.8853499999999896E-2</v>
      </c>
      <c r="X3969">
        <v>0.99405849999999996</v>
      </c>
      <c r="Y3969">
        <v>-5.1279739999999997E-2</v>
      </c>
      <c r="Z3969">
        <v>-3.654081E-3</v>
      </c>
      <c r="AA3969">
        <v>0.9986777</v>
      </c>
      <c r="AB3969">
        <v>25</v>
      </c>
      <c r="AC3969">
        <v>-16.2104999999999</v>
      </c>
      <c r="AD3969">
        <v>-1.109572496767</v>
      </c>
      <c r="AE3969">
        <v>-0.38379999999997899</v>
      </c>
      <c r="AF3969">
        <v>-0.84381321582924596</v>
      </c>
      <c r="AG3969">
        <v>-1.109572496767</v>
      </c>
      <c r="AH3969">
        <v>16.117396714129999</v>
      </c>
      <c r="AI3969">
        <v>93.932839463605802</v>
      </c>
      <c r="AJ3969">
        <v>92.996937841071002</v>
      </c>
      <c r="AK3969">
        <v>16.177566217124198</v>
      </c>
      <c r="AL3969">
        <v>85.477332214619196</v>
      </c>
      <c r="AM3969">
        <v>94.316560346125996</v>
      </c>
      <c r="AN3969">
        <v>1.00000003197297</v>
      </c>
    </row>
    <row r="3970" spans="1:40" x14ac:dyDescent="0.25">
      <c r="A3970" t="str">
        <f>"20190312172743207"</f>
        <v>20190312172743207</v>
      </c>
      <c r="B3970" t="str">
        <f>"1552382863193328"</f>
        <v>1552382863193328</v>
      </c>
      <c r="C3970" t="s">
        <v>40</v>
      </c>
      <c r="D3970">
        <v>3.4742649999999999</v>
      </c>
      <c r="E3970">
        <v>0.50960779999999894</v>
      </c>
      <c r="F3970" t="s">
        <v>41</v>
      </c>
      <c r="G3970">
        <v>-393.25229999999999</v>
      </c>
      <c r="H3970" s="1">
        <v>-3.3232670000000002E-6</v>
      </c>
      <c r="I3970">
        <v>141.29320000000001</v>
      </c>
      <c r="J3970">
        <v>-376.89600000000002</v>
      </c>
      <c r="K3970">
        <v>1.109583</v>
      </c>
      <c r="L3970">
        <v>141.6883</v>
      </c>
      <c r="M3970">
        <v>-0.99947759999999997</v>
      </c>
      <c r="N3970">
        <v>0</v>
      </c>
      <c r="O3970">
        <v>2.9204299999999999E-2</v>
      </c>
      <c r="P3970">
        <v>-0.99671069999999995</v>
      </c>
      <c r="Q3970">
        <v>6.5878060000000002E-2</v>
      </c>
      <c r="R3970">
        <v>-4.720042E-2</v>
      </c>
      <c r="S3970">
        <v>-3.019501</v>
      </c>
      <c r="T3970">
        <v>-0.2016724</v>
      </c>
      <c r="U3970">
        <v>-7.0343020000000006E-2</v>
      </c>
      <c r="V3970">
        <v>-7.6217049999999995E-2</v>
      </c>
      <c r="W3970">
        <v>7.9714350000000003E-2</v>
      </c>
      <c r="X3970">
        <v>0.99389970000000005</v>
      </c>
      <c r="Y3970">
        <v>-5.2297660000000003E-2</v>
      </c>
      <c r="Z3970">
        <v>-3.692566E-3</v>
      </c>
      <c r="AA3970">
        <v>0.99862470000000003</v>
      </c>
      <c r="AB3970">
        <v>25</v>
      </c>
      <c r="AC3970">
        <v>-16.356300000000001</v>
      </c>
      <c r="AD3970">
        <v>-1.109586323267</v>
      </c>
      <c r="AE3970">
        <v>-0.39509999999998502</v>
      </c>
      <c r="AF3970">
        <v>-0.86865623674079495</v>
      </c>
      <c r="AG3970">
        <v>-1.109586323267</v>
      </c>
      <c r="AH3970">
        <v>16.262982839504701</v>
      </c>
      <c r="AI3970">
        <v>93.897573151340296</v>
      </c>
      <c r="AJ3970">
        <v>93.057439502648407</v>
      </c>
      <c r="AK3970">
        <v>16.323919759188801</v>
      </c>
      <c r="AL3970">
        <v>85.427853309363698</v>
      </c>
      <c r="AM3970">
        <v>94.385136035204098</v>
      </c>
      <c r="AN3970">
        <v>1.0000000149833499</v>
      </c>
    </row>
    <row r="3971" spans="1:40" x14ac:dyDescent="0.25">
      <c r="A3971" t="str">
        <f>"20190312172743240"</f>
        <v>20190312172743240</v>
      </c>
      <c r="B3971" t="str">
        <f>"1552382863233343"</f>
        <v>1552382863233343</v>
      </c>
      <c r="C3971" t="s">
        <v>40</v>
      </c>
      <c r="D3971">
        <v>3.5071340000000002</v>
      </c>
      <c r="E3971">
        <v>0.50987709999999997</v>
      </c>
      <c r="F3971" t="s">
        <v>41</v>
      </c>
      <c r="G3971">
        <v>-393.59719999999999</v>
      </c>
      <c r="H3971" s="1">
        <v>-3.1762659999999999E-6</v>
      </c>
      <c r="I3971">
        <v>141.29669999999999</v>
      </c>
      <c r="J3971">
        <v>-377.25189999999998</v>
      </c>
      <c r="K3971">
        <v>1.10959599999999</v>
      </c>
      <c r="L3971">
        <v>141.69970000000001</v>
      </c>
      <c r="M3971">
        <v>-0.99945410000000001</v>
      </c>
      <c r="N3971">
        <v>0</v>
      </c>
      <c r="O3971">
        <v>3.000338E-2</v>
      </c>
      <c r="P3971">
        <v>-0.99658809999999998</v>
      </c>
      <c r="Q3971">
        <v>6.7099790000000006E-2</v>
      </c>
      <c r="R3971">
        <v>-4.8064330000000002E-2</v>
      </c>
      <c r="S3971">
        <v>-3.0198360000000002</v>
      </c>
      <c r="T3971">
        <v>-0.20063149999999999</v>
      </c>
      <c r="U3971">
        <v>-7.0785520000000005E-2</v>
      </c>
      <c r="V3971">
        <v>-7.7870869999999995E-2</v>
      </c>
      <c r="W3971">
        <v>8.0930630000000003E-2</v>
      </c>
      <c r="X3971">
        <v>0.99367309999999998</v>
      </c>
      <c r="Y3971">
        <v>-5.3237769999999997E-2</v>
      </c>
      <c r="Z3971">
        <v>-3.7573469999999999E-3</v>
      </c>
      <c r="AA3971">
        <v>0.99857479999999998</v>
      </c>
      <c r="AB3971">
        <v>25</v>
      </c>
      <c r="AC3971">
        <v>-16.345300000000002</v>
      </c>
      <c r="AD3971">
        <v>-1.10959917626599</v>
      </c>
      <c r="AE3971">
        <v>-0.40300000000002001</v>
      </c>
      <c r="AF3971">
        <v>-0.88918450189453002</v>
      </c>
      <c r="AG3971">
        <v>-1.10959917626599</v>
      </c>
      <c r="AH3971">
        <v>16.251002391444899</v>
      </c>
      <c r="AI3971">
        <v>93.900209640134193</v>
      </c>
      <c r="AJ3971">
        <v>93.131854131990195</v>
      </c>
      <c r="AK3971">
        <v>16.3130910049913</v>
      </c>
      <c r="AL3971">
        <v>85.357939324865399</v>
      </c>
      <c r="AM3971">
        <v>94.480922509615098</v>
      </c>
      <c r="AN3971">
        <v>0.99999993446517899</v>
      </c>
    </row>
    <row r="3972" spans="1:40" x14ac:dyDescent="0.25">
      <c r="A3972" t="str">
        <f>"20190312172743262"</f>
        <v>20190312172743262</v>
      </c>
      <c r="B3972" t="str">
        <f>"1552382863252864"</f>
        <v>1552382863252864</v>
      </c>
      <c r="C3972" t="s">
        <v>40</v>
      </c>
      <c r="D3972">
        <v>3.5206520000000001</v>
      </c>
      <c r="E3972">
        <v>0.51002349999999996</v>
      </c>
      <c r="F3972" t="s">
        <v>41</v>
      </c>
      <c r="G3972">
        <v>-393.9076</v>
      </c>
      <c r="H3972" s="1">
        <v>-3.0466869999999998E-6</v>
      </c>
      <c r="I3972">
        <v>141.31030000000001</v>
      </c>
      <c r="J3972">
        <v>-377.49329999999998</v>
      </c>
      <c r="K3972">
        <v>1.109605</v>
      </c>
      <c r="L3972">
        <v>141.70750000000001</v>
      </c>
      <c r="M3972">
        <v>-0.99943769999999998</v>
      </c>
      <c r="N3972">
        <v>0</v>
      </c>
      <c r="O3972">
        <v>3.0545050000000001E-2</v>
      </c>
      <c r="P3972">
        <v>-0.99655199999999999</v>
      </c>
      <c r="Q3972">
        <v>6.7206730000000006E-2</v>
      </c>
      <c r="R3972">
        <v>-4.8658220000000002E-2</v>
      </c>
      <c r="S3972">
        <v>-3.020416</v>
      </c>
      <c r="T3972">
        <v>-0.20122000000000001</v>
      </c>
      <c r="U3972">
        <v>-7.0602419999999999E-2</v>
      </c>
      <c r="V3972">
        <v>-7.900306E-2</v>
      </c>
      <c r="W3972">
        <v>8.1034709999999996E-2</v>
      </c>
      <c r="X3972">
        <v>0.99357530000000005</v>
      </c>
      <c r="Y3972">
        <v>-5.3710720000000003E-2</v>
      </c>
      <c r="Z3972">
        <v>-3.8193989999999998E-3</v>
      </c>
      <c r="AA3972">
        <v>0.99854920000000003</v>
      </c>
      <c r="AB3972">
        <v>25</v>
      </c>
      <c r="AC3972">
        <v>-16.414300000000001</v>
      </c>
      <c r="AD3972">
        <v>-1.109608046687</v>
      </c>
      <c r="AE3972">
        <v>-0.397199999999998</v>
      </c>
      <c r="AF3972">
        <v>-0.89435360148320897</v>
      </c>
      <c r="AG3972">
        <v>-1.109608046687</v>
      </c>
      <c r="AH3972">
        <v>16.319970932232099</v>
      </c>
      <c r="AI3972">
        <v>93.883790698963296</v>
      </c>
      <c r="AJ3972">
        <v>93.136738563406197</v>
      </c>
      <c r="AK3972">
        <v>16.382080136864801</v>
      </c>
      <c r="AL3972">
        <v>85.351956597784607</v>
      </c>
      <c r="AM3972">
        <v>94.546246572431002</v>
      </c>
      <c r="AN3972">
        <v>0.999999992242118</v>
      </c>
    </row>
    <row r="3973" spans="1:40" x14ac:dyDescent="0.25">
      <c r="A3973" t="str">
        <f>"20190312172743284"</f>
        <v>20190312172743284</v>
      </c>
      <c r="B3973" t="str">
        <f>"1552382863273360"</f>
        <v>1552382863273360</v>
      </c>
      <c r="C3973" t="s">
        <v>40</v>
      </c>
      <c r="D3973">
        <v>3.5043289999999998</v>
      </c>
      <c r="E3973">
        <v>0.51011779999999995</v>
      </c>
      <c r="F3973" t="s">
        <v>41</v>
      </c>
      <c r="G3973">
        <v>-393.9984</v>
      </c>
      <c r="H3973" s="1">
        <v>-3.0105569999999999E-6</v>
      </c>
      <c r="I3973">
        <v>141.32079999999999</v>
      </c>
      <c r="J3973">
        <v>-377.73540000000003</v>
      </c>
      <c r="K3973">
        <v>1.1096250000000001</v>
      </c>
      <c r="L3973">
        <v>141.71559999999999</v>
      </c>
      <c r="M3973">
        <v>-0.99942089999999995</v>
      </c>
      <c r="N3973">
        <v>0</v>
      </c>
      <c r="O3973">
        <v>3.1088919999999999E-2</v>
      </c>
      <c r="P3973">
        <v>-0.99653820000000004</v>
      </c>
      <c r="Q3973">
        <v>6.6998210000000002E-2</v>
      </c>
      <c r="R3973">
        <v>-4.9224829999999997E-2</v>
      </c>
      <c r="S3973">
        <v>-3.0205989999999998</v>
      </c>
      <c r="T3973">
        <v>-0.20306959999999999</v>
      </c>
      <c r="U3973">
        <v>-7.0754999999999998E-2</v>
      </c>
      <c r="V3973">
        <v>-8.0110180000000003E-2</v>
      </c>
      <c r="W3973">
        <v>8.0823210000000006E-2</v>
      </c>
      <c r="X3973">
        <v>0.9935039</v>
      </c>
      <c r="Y3973">
        <v>-5.4297119999999997E-2</v>
      </c>
      <c r="Z3973">
        <v>-3.910391E-3</v>
      </c>
      <c r="AA3973">
        <v>0.99851719999999999</v>
      </c>
      <c r="AB3973">
        <v>25</v>
      </c>
      <c r="AC3973">
        <v>-16.262999999999899</v>
      </c>
      <c r="AD3973">
        <v>-1.109628010557</v>
      </c>
      <c r="AE3973">
        <v>-0.39480000000000298</v>
      </c>
      <c r="AF3973">
        <v>-0.89608745570609905</v>
      </c>
      <c r="AG3973">
        <v>-1.109628010557</v>
      </c>
      <c r="AH3973">
        <v>16.167640354372601</v>
      </c>
      <c r="AI3973">
        <v>93.920206392885504</v>
      </c>
      <c r="AJ3973">
        <v>93.172358629269496</v>
      </c>
      <c r="AK3973">
        <v>16.230429497657301</v>
      </c>
      <c r="AL3973">
        <v>85.364114644144905</v>
      </c>
      <c r="AM3973">
        <v>94.610013183483005</v>
      </c>
      <c r="AN3973">
        <v>1.0000000157647699</v>
      </c>
    </row>
    <row r="3974" spans="1:40" x14ac:dyDescent="0.25">
      <c r="A3974" t="str">
        <f>"20190312172743306"</f>
        <v>20190312172743306</v>
      </c>
      <c r="B3974" t="str">
        <f>"1552382863293856"</f>
        <v>1552382863293856</v>
      </c>
      <c r="C3974" t="s">
        <v>40</v>
      </c>
      <c r="D3974">
        <v>3.5351780000000002</v>
      </c>
      <c r="E3974">
        <v>0.51013279999999905</v>
      </c>
      <c r="F3974" t="s">
        <v>41</v>
      </c>
      <c r="G3974">
        <v>-393.97640000000001</v>
      </c>
      <c r="H3974" s="1">
        <v>-3.0233520000000001E-6</v>
      </c>
      <c r="I3974">
        <v>141.33349999999999</v>
      </c>
      <c r="J3974">
        <v>-377.97930000000002</v>
      </c>
      <c r="K3974">
        <v>1.1096469999999901</v>
      </c>
      <c r="L3974">
        <v>141.72380000000001</v>
      </c>
      <c r="M3974">
        <v>-0.99940370000000001</v>
      </c>
      <c r="N3974">
        <v>0</v>
      </c>
      <c r="O3974">
        <v>3.1636780000000003E-2</v>
      </c>
      <c r="P3974">
        <v>-0.99642459999999999</v>
      </c>
      <c r="Q3974">
        <v>6.830899E-2</v>
      </c>
      <c r="R3974">
        <v>-4.9720809999999997E-2</v>
      </c>
      <c r="S3974">
        <v>-3.020813</v>
      </c>
      <c r="T3974">
        <v>-0.20639060000000001</v>
      </c>
      <c r="U3974">
        <v>-7.1044919999999998E-2</v>
      </c>
      <c r="V3974">
        <v>-8.1146499999999996E-2</v>
      </c>
      <c r="W3974">
        <v>8.2129670000000002E-2</v>
      </c>
      <c r="X3974">
        <v>0.99331259999999999</v>
      </c>
      <c r="Y3974">
        <v>-5.4929550000000001E-2</v>
      </c>
      <c r="Z3974">
        <v>-4.0328680000000002E-3</v>
      </c>
      <c r="AA3974">
        <v>0.99848210000000004</v>
      </c>
      <c r="AB3974">
        <v>24</v>
      </c>
      <c r="AC3974">
        <v>-15.9970999999999</v>
      </c>
      <c r="AD3974">
        <v>-1.1096500233519999</v>
      </c>
      <c r="AE3974">
        <v>-0.39030000000002402</v>
      </c>
      <c r="AF3974">
        <v>-0.89196054977119199</v>
      </c>
      <c r="AG3974">
        <v>-1.1096500233519999</v>
      </c>
      <c r="AH3974">
        <v>15.9002815273157</v>
      </c>
      <c r="AI3974">
        <v>93.985843168757199</v>
      </c>
      <c r="AJ3974">
        <v>93.210765042825997</v>
      </c>
      <c r="AK3974">
        <v>15.963892678309101</v>
      </c>
      <c r="AL3974">
        <v>85.289010121454993</v>
      </c>
      <c r="AM3974">
        <v>94.670282419902193</v>
      </c>
      <c r="AN3974">
        <v>0.99999997923765904</v>
      </c>
    </row>
    <row r="3975" spans="1:40" x14ac:dyDescent="0.25">
      <c r="A3975" t="str">
        <f>"20190312172743328"</f>
        <v>20190312172743328</v>
      </c>
      <c r="B3975" t="str">
        <f>"1552382863323135"</f>
        <v>1552382863323135</v>
      </c>
      <c r="C3975" t="s">
        <v>40</v>
      </c>
      <c r="D3975">
        <v>3.5037699999999998</v>
      </c>
      <c r="E3975">
        <v>0.51016629999999996</v>
      </c>
      <c r="F3975" t="s">
        <v>41</v>
      </c>
      <c r="G3975">
        <v>-394.38240000000002</v>
      </c>
      <c r="H3975" s="1">
        <v>-2.8488039999999998E-6</v>
      </c>
      <c r="I3975">
        <v>141.3321</v>
      </c>
      <c r="J3975">
        <v>-378.21640000000002</v>
      </c>
      <c r="K3975">
        <v>1.1096629999999901</v>
      </c>
      <c r="L3975">
        <v>141.7319</v>
      </c>
      <c r="M3975">
        <v>-0.99938680000000002</v>
      </c>
      <c r="N3975">
        <v>0</v>
      </c>
      <c r="O3975">
        <v>3.2169499999999997E-2</v>
      </c>
      <c r="P3975">
        <v>-0.99621800000000005</v>
      </c>
      <c r="Q3975">
        <v>7.0917079999999993E-2</v>
      </c>
      <c r="R3975">
        <v>-5.0207590000000003E-2</v>
      </c>
      <c r="S3975">
        <v>-3.0211790000000001</v>
      </c>
      <c r="T3975">
        <v>-0.20437959999999999</v>
      </c>
      <c r="U3975">
        <v>-7.2128300000000006E-2</v>
      </c>
      <c r="V3975">
        <v>-8.2154400000000002E-2</v>
      </c>
      <c r="W3975">
        <v>8.4732199999999994E-2</v>
      </c>
      <c r="X3975">
        <v>0.99301110000000004</v>
      </c>
      <c r="Y3975">
        <v>-5.5817459999999999E-2</v>
      </c>
      <c r="Z3975">
        <v>-4.0591469999999999E-3</v>
      </c>
      <c r="AA3975">
        <v>0.99843280000000001</v>
      </c>
      <c r="AB3975">
        <v>24</v>
      </c>
      <c r="AC3975">
        <v>-16.165999999999901</v>
      </c>
      <c r="AD3975">
        <v>-1.1096658488040001</v>
      </c>
      <c r="AE3975">
        <v>-0.39979999999999899</v>
      </c>
      <c r="AF3975">
        <v>-0.91538448515847604</v>
      </c>
      <c r="AG3975">
        <v>-1.1096658488040001</v>
      </c>
      <c r="AH3975">
        <v>16.069101932572199</v>
      </c>
      <c r="AI3975">
        <v>93.943964838770796</v>
      </c>
      <c r="AJ3975">
        <v>93.260359288417504</v>
      </c>
      <c r="AK3975">
        <v>16.133360591366799</v>
      </c>
      <c r="AL3975">
        <v>85.139374339268002</v>
      </c>
      <c r="AM3975">
        <v>94.729458451959104</v>
      </c>
      <c r="AN3975">
        <v>0.99999996793970403</v>
      </c>
    </row>
    <row r="3976" spans="1:40" x14ac:dyDescent="0.25">
      <c r="A3976" t="str">
        <f>"20190312172743351"</f>
        <v>20190312172743351</v>
      </c>
      <c r="B3976" t="str">
        <f>"1552382863343631"</f>
        <v>1552382863343631</v>
      </c>
      <c r="C3976" t="s">
        <v>40</v>
      </c>
      <c r="D3976">
        <v>3.5420050000000001</v>
      </c>
      <c r="E3976">
        <v>0.51020449999999995</v>
      </c>
      <c r="F3976" t="s">
        <v>41</v>
      </c>
      <c r="G3976">
        <v>-395.0308</v>
      </c>
      <c r="H3976" s="1">
        <v>-2.5684529999999998E-6</v>
      </c>
      <c r="I3976">
        <v>141.3237</v>
      </c>
      <c r="J3976">
        <v>-378.46449999999999</v>
      </c>
      <c r="K3976">
        <v>1.1096809999999999</v>
      </c>
      <c r="L3976">
        <v>141.7405</v>
      </c>
      <c r="M3976">
        <v>-0.99936879999999995</v>
      </c>
      <c r="N3976">
        <v>0</v>
      </c>
      <c r="O3976">
        <v>3.2727319999999997E-2</v>
      </c>
      <c r="P3976">
        <v>-0.99605259999999995</v>
      </c>
      <c r="Q3976">
        <v>7.2863129999999998E-2</v>
      </c>
      <c r="R3976">
        <v>-5.0698529999999999E-2</v>
      </c>
      <c r="S3976">
        <v>-3.021881</v>
      </c>
      <c r="T3976">
        <v>-0.1994303</v>
      </c>
      <c r="U3976">
        <v>-7.3333739999999994E-2</v>
      </c>
      <c r="V3976">
        <v>-8.3193030000000001E-2</v>
      </c>
      <c r="W3976">
        <v>8.6672920000000001E-2</v>
      </c>
      <c r="X3976">
        <v>0.99275709999999995</v>
      </c>
      <c r="Y3976">
        <v>-5.677364E-2</v>
      </c>
      <c r="Z3976">
        <v>-4.0284120000000003E-3</v>
      </c>
      <c r="AA3976">
        <v>0.99837889999999996</v>
      </c>
      <c r="AB3976">
        <v>24</v>
      </c>
      <c r="AC3976">
        <v>-16.566299999999998</v>
      </c>
      <c r="AD3976">
        <v>-1.109683568453</v>
      </c>
      <c r="AE3976">
        <v>-0.41679999999999401</v>
      </c>
      <c r="AF3976">
        <v>-0.95451892019265205</v>
      </c>
      <c r="AG3976">
        <v>-1.109683568453</v>
      </c>
      <c r="AH3976">
        <v>16.4699296553568</v>
      </c>
      <c r="AI3976">
        <v>93.8481165676545</v>
      </c>
      <c r="AJ3976">
        <v>93.316881056305903</v>
      </c>
      <c r="AK3976">
        <v>16.5348446271352</v>
      </c>
      <c r="AL3976">
        <v>85.027768626668802</v>
      </c>
      <c r="AM3976">
        <v>94.790193435051094</v>
      </c>
      <c r="AN3976">
        <v>0.99999996745115804</v>
      </c>
    </row>
    <row r="3977" spans="1:40" x14ac:dyDescent="0.25">
      <c r="A3977" t="str">
        <f>"20190312172743373"</f>
        <v>20190312172743373</v>
      </c>
      <c r="B3977" t="str">
        <f>"1552382863363152"</f>
        <v>1552382863363152</v>
      </c>
      <c r="C3977" t="s">
        <v>40</v>
      </c>
      <c r="D3977">
        <v>3.5449250000000001</v>
      </c>
      <c r="E3977">
        <v>0.51025900000000002</v>
      </c>
      <c r="F3977" t="s">
        <v>41</v>
      </c>
      <c r="G3977">
        <v>-395.62869999999998</v>
      </c>
      <c r="H3977" s="1">
        <v>-2.3097800000000002E-6</v>
      </c>
      <c r="I3977">
        <v>141.31569999999999</v>
      </c>
      <c r="J3977">
        <v>-378.70920000000001</v>
      </c>
      <c r="K3977">
        <v>1.1096980000000001</v>
      </c>
      <c r="L3977">
        <v>141.7492</v>
      </c>
      <c r="M3977">
        <v>-0.99935050000000003</v>
      </c>
      <c r="N3977">
        <v>0</v>
      </c>
      <c r="O3977">
        <v>3.3277019999999997E-2</v>
      </c>
      <c r="P3977">
        <v>-0.99595449999999996</v>
      </c>
      <c r="Q3977">
        <v>7.3382870000000003E-2</v>
      </c>
      <c r="R3977">
        <v>-5.1860099999999999E-2</v>
      </c>
      <c r="S3977">
        <v>-3.0224000000000002</v>
      </c>
      <c r="T3977">
        <v>-0.19540179999999999</v>
      </c>
      <c r="U3977">
        <v>-7.4798580000000003E-2</v>
      </c>
      <c r="V3977">
        <v>-8.4897039999999993E-2</v>
      </c>
      <c r="W3977">
        <v>8.718882E-2</v>
      </c>
      <c r="X3977">
        <v>0.99256770000000005</v>
      </c>
      <c r="Y3977">
        <v>-5.7806749999999997E-2</v>
      </c>
      <c r="Z3977">
        <v>-4.0153609999999899E-3</v>
      </c>
      <c r="AA3977">
        <v>0.99831970000000003</v>
      </c>
      <c r="AB3977">
        <v>24</v>
      </c>
      <c r="AC3977">
        <v>-16.9194999999999</v>
      </c>
      <c r="AD3977">
        <v>-1.10970030977999</v>
      </c>
      <c r="AE3977">
        <v>-0.43350000000000899</v>
      </c>
      <c r="AF3977">
        <v>-0.99207945405362397</v>
      </c>
      <c r="AG3977">
        <v>-1.10970030977999</v>
      </c>
      <c r="AH3977">
        <v>16.823379624406702</v>
      </c>
      <c r="AI3977">
        <v>93.767339590583902</v>
      </c>
      <c r="AJ3977">
        <v>93.374839946582796</v>
      </c>
      <c r="AK3977">
        <v>16.889101764380001</v>
      </c>
      <c r="AL3977">
        <v>84.998097663285293</v>
      </c>
      <c r="AM3977">
        <v>94.888766640794501</v>
      </c>
      <c r="AN3977">
        <v>1.00000001840852</v>
      </c>
    </row>
    <row r="3978" spans="1:40" x14ac:dyDescent="0.25">
      <c r="A3978" t="str">
        <f>"20190312172743396"</f>
        <v>20190312172743396</v>
      </c>
      <c r="B3978" t="str">
        <f>"1552382863383648"</f>
        <v>1552382863383648</v>
      </c>
      <c r="C3978" t="s">
        <v>40</v>
      </c>
      <c r="D3978">
        <v>3.5747399999999998</v>
      </c>
      <c r="E3978">
        <v>0.50991399999999998</v>
      </c>
      <c r="F3978" t="s">
        <v>41</v>
      </c>
      <c r="G3978">
        <v>-395.86579999999998</v>
      </c>
      <c r="H3978" s="1">
        <v>-2.2061969999999999E-6</v>
      </c>
      <c r="I3978">
        <v>141.30869999999999</v>
      </c>
      <c r="J3978">
        <v>-378.95389999999998</v>
      </c>
      <c r="K3978">
        <v>1.1097159999999999</v>
      </c>
      <c r="L3978">
        <v>141.75799999999899</v>
      </c>
      <c r="M3978">
        <v>-0.99933229999999995</v>
      </c>
      <c r="N3978">
        <v>0</v>
      </c>
      <c r="O3978">
        <v>3.3822049999999999E-2</v>
      </c>
      <c r="P3978">
        <v>-0.99577340000000003</v>
      </c>
      <c r="Q3978">
        <v>7.4765670000000006E-2</v>
      </c>
      <c r="R3978">
        <v>-5.3343559999999998E-2</v>
      </c>
      <c r="S3978">
        <v>-3.022583</v>
      </c>
      <c r="T3978">
        <v>-0.1955028</v>
      </c>
      <c r="U3978">
        <v>-7.7590939999999997E-2</v>
      </c>
      <c r="V3978">
        <v>-8.6914790000000006E-2</v>
      </c>
      <c r="W3978">
        <v>8.8566290000000006E-2</v>
      </c>
      <c r="X3978">
        <v>0.99227109999999996</v>
      </c>
      <c r="Y3978">
        <v>-5.9266999999999903E-2</v>
      </c>
      <c r="Z3978">
        <v>-4.0995249999999997E-3</v>
      </c>
      <c r="AA3978">
        <v>0.9982337</v>
      </c>
      <c r="AB3978">
        <v>24</v>
      </c>
      <c r="AC3978">
        <v>-16.911899999999999</v>
      </c>
      <c r="AD3978">
        <v>-1.1097182061969999</v>
      </c>
      <c r="AE3978">
        <v>-0.44929999999999298</v>
      </c>
      <c r="AF3978">
        <v>-1.01671809683194</v>
      </c>
      <c r="AG3978">
        <v>-1.1097182061969999</v>
      </c>
      <c r="AH3978">
        <v>16.814677292719999</v>
      </c>
      <c r="AI3978">
        <v>93.7690098182225</v>
      </c>
      <c r="AJ3978">
        <v>93.460239855866305</v>
      </c>
      <c r="AK3978">
        <v>16.881900445266901</v>
      </c>
      <c r="AL3978">
        <v>84.918868095559802</v>
      </c>
      <c r="AM3978">
        <v>95.005863098906602</v>
      </c>
      <c r="AN3978">
        <v>1.00000005217015</v>
      </c>
    </row>
    <row r="3979" spans="1:40" x14ac:dyDescent="0.25">
      <c r="A3979" t="str">
        <f>"20190312172743418"</f>
        <v>20190312172743418</v>
      </c>
      <c r="B3979" t="str">
        <f>"1552382863412927"</f>
        <v>1552382863412927</v>
      </c>
      <c r="C3979" t="s">
        <v>40</v>
      </c>
      <c r="D3979">
        <v>3.5462609999999999</v>
      </c>
      <c r="E3979">
        <v>0.50861880000000004</v>
      </c>
      <c r="F3979" t="s">
        <v>41</v>
      </c>
      <c r="G3979">
        <v>-396.31240000000003</v>
      </c>
      <c r="H3979" s="1">
        <v>-2.0053990000000001E-6</v>
      </c>
      <c r="I3979">
        <v>141.274</v>
      </c>
      <c r="J3979">
        <v>-379.19569999999999</v>
      </c>
      <c r="K3979">
        <v>1.1097360000000001</v>
      </c>
      <c r="L3979">
        <v>141.76679999999999</v>
      </c>
      <c r="M3979">
        <v>-0.99931409999999998</v>
      </c>
      <c r="N3979">
        <v>0</v>
      </c>
      <c r="O3979">
        <v>3.4355669999999998E-2</v>
      </c>
      <c r="P3979">
        <v>-0.99558259999999998</v>
      </c>
      <c r="Q3979">
        <v>7.6344809999999999E-2</v>
      </c>
      <c r="R3979">
        <v>-5.465163E-2</v>
      </c>
      <c r="S3979">
        <v>-3.0227050000000002</v>
      </c>
      <c r="T3979">
        <v>-0.19323969999999999</v>
      </c>
      <c r="U3979">
        <v>-8.4259029999999999E-2</v>
      </c>
      <c r="V3979">
        <v>-8.8745470000000007E-2</v>
      </c>
      <c r="W3979">
        <v>9.0138769999999993E-2</v>
      </c>
      <c r="X3979">
        <v>0.99196740000000005</v>
      </c>
      <c r="Y3979">
        <v>-6.1997129999999998E-2</v>
      </c>
      <c r="Z3979">
        <v>-4.1731349999999997E-3</v>
      </c>
      <c r="AA3979">
        <v>0.99806760000000005</v>
      </c>
      <c r="AB3979">
        <v>24</v>
      </c>
      <c r="AC3979">
        <v>-17.116700000000002</v>
      </c>
      <c r="AD3979">
        <v>-1.109738005399</v>
      </c>
      <c r="AE3979">
        <v>-0.49279999999998803</v>
      </c>
      <c r="AF3979">
        <v>-1.0761013593587001</v>
      </c>
      <c r="AG3979">
        <v>-1.109738005399</v>
      </c>
      <c r="AH3979">
        <v>17.018186451872602</v>
      </c>
      <c r="AI3979">
        <v>93.723499679978403</v>
      </c>
      <c r="AJ3979">
        <v>93.618134575060097</v>
      </c>
      <c r="AK3979">
        <v>17.088246916724302</v>
      </c>
      <c r="AL3979">
        <v>84.828409730047696</v>
      </c>
      <c r="AM3979">
        <v>95.112304967401599</v>
      </c>
      <c r="AN3979">
        <v>1.00000003948269</v>
      </c>
    </row>
    <row r="3980" spans="1:40" x14ac:dyDescent="0.25">
      <c r="A3980" t="str">
        <f>"20190312172743441"</f>
        <v>20190312172743441</v>
      </c>
      <c r="B3980" t="str">
        <f>"1552382863433424"</f>
        <v>1552382863433424</v>
      </c>
      <c r="C3980" t="s">
        <v>40</v>
      </c>
      <c r="D3980">
        <v>3.5167679999999999</v>
      </c>
      <c r="E3980">
        <v>0.50783459999999903</v>
      </c>
      <c r="F3980" t="s">
        <v>41</v>
      </c>
      <c r="G3980">
        <v>-396.86169999999998</v>
      </c>
      <c r="H3980" s="1">
        <v>-1.74757E-6</v>
      </c>
      <c r="I3980">
        <v>141.19069999999999</v>
      </c>
      <c r="J3980">
        <v>-379.44420000000002</v>
      </c>
      <c r="K3980">
        <v>1.109756</v>
      </c>
      <c r="L3980">
        <v>141.77600000000001</v>
      </c>
      <c r="M3980">
        <v>-0.9992955</v>
      </c>
      <c r="N3980">
        <v>0</v>
      </c>
      <c r="O3980">
        <v>3.4897369999999997E-2</v>
      </c>
      <c r="P3980">
        <v>-0.99541109999999999</v>
      </c>
      <c r="Q3980">
        <v>7.7459150000000004E-2</v>
      </c>
      <c r="R3980">
        <v>-5.6188799999999997E-2</v>
      </c>
      <c r="S3980">
        <v>-3.0224299999999999</v>
      </c>
      <c r="T3980">
        <v>-0.18986230000000001</v>
      </c>
      <c r="U3980">
        <v>-9.8541260000000006E-2</v>
      </c>
      <c r="V3980">
        <v>-9.0814450000000005E-2</v>
      </c>
      <c r="W3980">
        <v>9.1247599999999998E-2</v>
      </c>
      <c r="X3980">
        <v>0.99167870000000002</v>
      </c>
      <c r="Y3980">
        <v>-6.7247139999999997E-2</v>
      </c>
      <c r="Z3980">
        <v>-4.2991390000000004E-3</v>
      </c>
      <c r="AA3980">
        <v>0.99772709999999998</v>
      </c>
      <c r="AB3980">
        <v>24</v>
      </c>
      <c r="AC3980">
        <v>-17.417499999999901</v>
      </c>
      <c r="AD3980">
        <v>-1.10975774757</v>
      </c>
      <c r="AE3980">
        <v>-0.58530000000001703</v>
      </c>
      <c r="AF3980">
        <v>-1.1880089084755401</v>
      </c>
      <c r="AG3980">
        <v>-1.10975774757</v>
      </c>
      <c r="AH3980">
        <v>17.316243649969099</v>
      </c>
      <c r="AI3980">
        <v>93.658362135666707</v>
      </c>
      <c r="AJ3980">
        <v>93.924719639667003</v>
      </c>
      <c r="AK3980">
        <v>17.3923897601797</v>
      </c>
      <c r="AL3980">
        <v>84.764615425608</v>
      </c>
      <c r="AM3980">
        <v>95.232352074723707</v>
      </c>
      <c r="AN3980">
        <v>1.0000000164341201</v>
      </c>
    </row>
    <row r="3981" spans="1:40" x14ac:dyDescent="0.25">
      <c r="A3981" t="str">
        <f>"20190312172743462"</f>
        <v>20190312172743462</v>
      </c>
      <c r="B3981" t="str">
        <f>"1552382863452944"</f>
        <v>1552382863452944</v>
      </c>
      <c r="C3981" t="s">
        <v>40</v>
      </c>
      <c r="D3981">
        <v>3.5433759999999999</v>
      </c>
      <c r="E3981">
        <v>0.50712849999999998</v>
      </c>
      <c r="F3981" t="s">
        <v>41</v>
      </c>
      <c r="G3981">
        <v>-397.34589999999997</v>
      </c>
      <c r="H3981" s="1">
        <v>-1.5226930000000001E-6</v>
      </c>
      <c r="I3981">
        <v>141.12620000000001</v>
      </c>
      <c r="J3981">
        <v>-379.67500000000001</v>
      </c>
      <c r="K3981">
        <v>1.1097709999999901</v>
      </c>
      <c r="L3981">
        <v>141.78460000000001</v>
      </c>
      <c r="M3981">
        <v>-0.99927809999999995</v>
      </c>
      <c r="N3981">
        <v>0</v>
      </c>
      <c r="O3981">
        <v>3.5393710000000002E-2</v>
      </c>
      <c r="P3981">
        <v>-0.99528989999999995</v>
      </c>
      <c r="Q3981">
        <v>7.7825530000000004E-2</v>
      </c>
      <c r="R3981">
        <v>-5.7804019999999998E-2</v>
      </c>
      <c r="S3981">
        <v>-3.0222169999999999</v>
      </c>
      <c r="T3981">
        <v>-0.1873522</v>
      </c>
      <c r="U3981">
        <v>-0.10968020000000001</v>
      </c>
      <c r="V3981">
        <v>-9.291874E-2</v>
      </c>
      <c r="W3981">
        <v>9.1608960000000003E-2</v>
      </c>
      <c r="X3981">
        <v>0.99145039999999995</v>
      </c>
      <c r="Y3981">
        <v>-7.1413679999999993E-2</v>
      </c>
      <c r="Z3981">
        <v>-4.4021850000000003E-3</v>
      </c>
      <c r="AA3981">
        <v>0.99743709999999997</v>
      </c>
      <c r="AB3981">
        <v>24</v>
      </c>
      <c r="AC3981">
        <v>-17.6708999999999</v>
      </c>
      <c r="AD3981">
        <v>-1.10977252269299</v>
      </c>
      <c r="AE3981">
        <v>-0.65839999999999999</v>
      </c>
      <c r="AF3981">
        <v>-1.2784503332958099</v>
      </c>
      <c r="AG3981">
        <v>-1.10977252269299</v>
      </c>
      <c r="AH3981">
        <v>17.5673290073453</v>
      </c>
      <c r="AI3981">
        <v>93.605206729098796</v>
      </c>
      <c r="AJ3981">
        <v>94.162323421853401</v>
      </c>
      <c r="AK3981">
        <v>17.6487132323902</v>
      </c>
      <c r="AL3981">
        <v>84.743823826808196</v>
      </c>
      <c r="AM3981">
        <v>95.354121628007604</v>
      </c>
      <c r="AN3981">
        <v>0.99999999472781398</v>
      </c>
    </row>
    <row r="3982" spans="1:40" x14ac:dyDescent="0.25">
      <c r="A3982" t="str">
        <f>"20190312172743485"</f>
        <v>20190312172743485</v>
      </c>
      <c r="B3982" t="str">
        <f>"1552382863473440"</f>
        <v>1552382863473440</v>
      </c>
      <c r="C3982" t="s">
        <v>40</v>
      </c>
      <c r="D3982">
        <v>3.545004</v>
      </c>
      <c r="E3982">
        <v>0.50648930000000003</v>
      </c>
      <c r="F3982" t="s">
        <v>41</v>
      </c>
      <c r="G3982">
        <v>-397.57819999999998</v>
      </c>
      <c r="H3982" s="1">
        <v>-1.409162E-6</v>
      </c>
      <c r="I3982">
        <v>141.07399999999899</v>
      </c>
      <c r="J3982">
        <v>-379.91980000000001</v>
      </c>
      <c r="K3982">
        <v>1.1097779999999999</v>
      </c>
      <c r="L3982">
        <v>141.79390000000001</v>
      </c>
      <c r="M3982">
        <v>-0.99925949999999997</v>
      </c>
      <c r="N3982">
        <v>0</v>
      </c>
      <c r="O3982">
        <v>3.5912270000000003E-2</v>
      </c>
      <c r="P3982">
        <v>-0.99510770000000004</v>
      </c>
      <c r="Q3982">
        <v>7.8693849999999996E-2</v>
      </c>
      <c r="R3982">
        <v>-5.9734139999999998E-2</v>
      </c>
      <c r="S3982">
        <v>-3.021881</v>
      </c>
      <c r="T3982">
        <v>-0.1873187</v>
      </c>
      <c r="U3982">
        <v>-0.11991880000000001</v>
      </c>
      <c r="V3982">
        <v>-9.5356869999999996E-2</v>
      </c>
      <c r="W3982">
        <v>9.2471220000000007E-2</v>
      </c>
      <c r="X3982">
        <v>0.99113879999999999</v>
      </c>
      <c r="Y3982">
        <v>-7.530096E-2</v>
      </c>
      <c r="Z3982">
        <v>-4.5540570000000002E-3</v>
      </c>
      <c r="AA3982">
        <v>0.99715050000000005</v>
      </c>
      <c r="AB3982">
        <v>24</v>
      </c>
      <c r="AC3982">
        <v>-17.658399999999901</v>
      </c>
      <c r="AD3982">
        <v>-1.1097794091619999</v>
      </c>
      <c r="AE3982">
        <v>-0.71990000000002397</v>
      </c>
      <c r="AF3982">
        <v>-1.34833250806014</v>
      </c>
      <c r="AG3982">
        <v>-1.1097794091619999</v>
      </c>
      <c r="AH3982">
        <v>17.5519405934727</v>
      </c>
      <c r="AI3982">
        <v>93.607298838430793</v>
      </c>
      <c r="AJ3982">
        <v>94.392809615723806</v>
      </c>
      <c r="AK3982">
        <v>17.6386005535044</v>
      </c>
      <c r="AL3982">
        <v>84.694209342709598</v>
      </c>
      <c r="AM3982">
        <v>95.495478424426295</v>
      </c>
      <c r="AN3982">
        <v>0.99999999002496198</v>
      </c>
    </row>
    <row r="3983" spans="1:40" x14ac:dyDescent="0.25">
      <c r="A3983" t="str">
        <f>"20190312172743506"</f>
        <v>20190312172743506</v>
      </c>
      <c r="B3983" t="str">
        <f>"1552382863503696"</f>
        <v>1552382863503696</v>
      </c>
      <c r="C3983" t="s">
        <v>40</v>
      </c>
      <c r="D3983">
        <v>3.627256</v>
      </c>
      <c r="E3983">
        <v>0.50565150000000003</v>
      </c>
      <c r="F3983" t="s">
        <v>41</v>
      </c>
      <c r="G3983">
        <v>-397.94970000000001</v>
      </c>
      <c r="H3983" s="1">
        <v>-1.234102E-6</v>
      </c>
      <c r="I3983">
        <v>141.01499999999999</v>
      </c>
      <c r="J3983">
        <v>-380.1508</v>
      </c>
      <c r="K3983">
        <v>1.1097870000000001</v>
      </c>
      <c r="L3983">
        <v>141.80269999999999</v>
      </c>
      <c r="M3983">
        <v>-0.99924219999999997</v>
      </c>
      <c r="N3983">
        <v>0</v>
      </c>
      <c r="O3983">
        <v>3.6393300000000003E-2</v>
      </c>
      <c r="P3983">
        <v>-0.9949673</v>
      </c>
      <c r="Q3983">
        <v>7.910971E-2</v>
      </c>
      <c r="R3983">
        <v>-6.1498839999999999E-2</v>
      </c>
      <c r="S3983">
        <v>-3.0216370000000001</v>
      </c>
      <c r="T3983">
        <v>-0.18598870000000001</v>
      </c>
      <c r="U3983">
        <v>-0.1305084</v>
      </c>
      <c r="V3983">
        <v>-9.7593990000000005E-2</v>
      </c>
      <c r="W3983">
        <v>9.2881900000000003E-2</v>
      </c>
      <c r="X3983">
        <v>0.99088259999999995</v>
      </c>
      <c r="Y3983">
        <v>-7.9266790000000004E-2</v>
      </c>
      <c r="Z3983">
        <v>-4.6733019999999998E-3</v>
      </c>
      <c r="AA3983">
        <v>0.99684249999999996</v>
      </c>
      <c r="AB3983">
        <v>24</v>
      </c>
      <c r="AC3983">
        <v>-17.7989</v>
      </c>
      <c r="AD3983">
        <v>-1.109788234102</v>
      </c>
      <c r="AE3983">
        <v>-0.78770000000000095</v>
      </c>
      <c r="AF3983">
        <v>-1.4294540764980399</v>
      </c>
      <c r="AG3983">
        <v>-1.109788234102</v>
      </c>
      <c r="AH3983">
        <v>17.6897986552855</v>
      </c>
      <c r="AI3983">
        <v>93.578173894872904</v>
      </c>
      <c r="AJ3983">
        <v>94.619844312477795</v>
      </c>
      <c r="AK3983">
        <v>17.782124320392899</v>
      </c>
      <c r="AL3983">
        <v>84.670577355678603</v>
      </c>
      <c r="AM3983">
        <v>95.625032766359396</v>
      </c>
      <c r="AN3983">
        <v>0.99999998060724404</v>
      </c>
    </row>
    <row r="3984" spans="1:40" x14ac:dyDescent="0.25">
      <c r="A3984" t="str">
        <f>"20190312172743530"</f>
        <v>20190312172743530</v>
      </c>
      <c r="B3984" t="str">
        <f>"1552382863523216"</f>
        <v>1552382863523216</v>
      </c>
      <c r="C3984" t="s">
        <v>40</v>
      </c>
      <c r="D3984">
        <v>3.5417730000000001</v>
      </c>
      <c r="E3984">
        <v>0.5051601</v>
      </c>
      <c r="F3984" t="s">
        <v>41</v>
      </c>
      <c r="G3984">
        <v>-398.11189999999999</v>
      </c>
      <c r="H3984" s="1">
        <v>-1.1491909999999999E-6</v>
      </c>
      <c r="I3984">
        <v>140.95750000000001</v>
      </c>
      <c r="J3984">
        <v>-380.39659999999998</v>
      </c>
      <c r="K3984">
        <v>1.1097950000000001</v>
      </c>
      <c r="L3984">
        <v>141.81229999999999</v>
      </c>
      <c r="M3984">
        <v>-0.9992238</v>
      </c>
      <c r="N3984">
        <v>0</v>
      </c>
      <c r="O3984">
        <v>3.6898E-2</v>
      </c>
      <c r="P3984">
        <v>-0.99491070000000004</v>
      </c>
      <c r="Q3984">
        <v>7.8930589999999995E-2</v>
      </c>
      <c r="R3984">
        <v>-6.2635380000000004E-2</v>
      </c>
      <c r="S3984">
        <v>-3.0212400000000001</v>
      </c>
      <c r="T3984">
        <v>-0.1866778</v>
      </c>
      <c r="U3984">
        <v>-0.14216609999999999</v>
      </c>
      <c r="V3984">
        <v>-9.9229910000000004E-2</v>
      </c>
      <c r="W3984">
        <v>9.2698160000000002E-2</v>
      </c>
      <c r="X3984">
        <v>0.99073730000000004</v>
      </c>
      <c r="Y3984">
        <v>-8.3602880000000004E-2</v>
      </c>
      <c r="Z3984">
        <v>-4.8557289999999996E-3</v>
      </c>
      <c r="AA3984">
        <v>0.99648729999999996</v>
      </c>
      <c r="AB3984">
        <v>24</v>
      </c>
      <c r="AC3984">
        <v>-17.715299999999999</v>
      </c>
      <c r="AD3984">
        <v>-1.109796149191</v>
      </c>
      <c r="AE3984">
        <v>-0.85479999999998302</v>
      </c>
      <c r="AF3984">
        <v>-1.50205795505965</v>
      </c>
      <c r="AG3984">
        <v>-1.109796149191</v>
      </c>
      <c r="AH3984">
        <v>17.602768423516402</v>
      </c>
      <c r="AI3984">
        <v>93.594505779876002</v>
      </c>
      <c r="AJ3984">
        <v>94.877278727823494</v>
      </c>
      <c r="AK3984">
        <v>17.701561562897901</v>
      </c>
      <c r="AL3984">
        <v>84.681150392275299</v>
      </c>
      <c r="AM3984">
        <v>95.719535687585903</v>
      </c>
      <c r="AN3984">
        <v>0.99999996075864095</v>
      </c>
    </row>
    <row r="3985" spans="1:40" x14ac:dyDescent="0.25">
      <c r="A3985" t="str">
        <f>"20190312172743552"</f>
        <v>20190312172743552</v>
      </c>
      <c r="B3985" t="str">
        <f>"1552382863543712"</f>
        <v>1552382863543712</v>
      </c>
      <c r="C3985" t="s">
        <v>40</v>
      </c>
      <c r="D3985">
        <v>3.5228920000000001</v>
      </c>
      <c r="E3985">
        <v>0.50470859999999995</v>
      </c>
      <c r="F3985" t="s">
        <v>41</v>
      </c>
      <c r="G3985">
        <v>-398.15159999999997</v>
      </c>
      <c r="H3985" s="1">
        <v>-1.1256089999999999E-6</v>
      </c>
      <c r="I3985">
        <v>140.93289999999999</v>
      </c>
      <c r="J3985">
        <v>-380.63529999999997</v>
      </c>
      <c r="K3985">
        <v>1.109802</v>
      </c>
      <c r="L3985">
        <v>141.82169999999999</v>
      </c>
      <c r="M3985">
        <v>-0.99920569999999997</v>
      </c>
      <c r="N3985">
        <v>0</v>
      </c>
      <c r="O3985">
        <v>3.7383649999999997E-2</v>
      </c>
      <c r="P3985">
        <v>-0.99481819999999999</v>
      </c>
      <c r="Q3985">
        <v>7.9382240000000007E-2</v>
      </c>
      <c r="R3985">
        <v>-6.3525269999999995E-2</v>
      </c>
      <c r="S3985">
        <v>-3.0209350000000001</v>
      </c>
      <c r="T3985">
        <v>-0.18882750000000001</v>
      </c>
      <c r="U3985">
        <v>-0.14961240000000001</v>
      </c>
      <c r="V3985">
        <v>-0.10059849999999999</v>
      </c>
      <c r="W3985">
        <v>9.3145420000000007E-2</v>
      </c>
      <c r="X3985">
        <v>0.99055740000000003</v>
      </c>
      <c r="Y3985">
        <v>-8.6530099999999999E-2</v>
      </c>
      <c r="Z3985">
        <v>-5.0334159999999998E-3</v>
      </c>
      <c r="AA3985">
        <v>0.99623649999999997</v>
      </c>
      <c r="AB3985">
        <v>24</v>
      </c>
      <c r="AC3985">
        <v>-17.516300000000001</v>
      </c>
      <c r="AD3985">
        <v>-1.109803125609</v>
      </c>
      <c r="AE3985">
        <v>-0.88880000000000303</v>
      </c>
      <c r="AF3985">
        <v>-1.5369104483710601</v>
      </c>
      <c r="AG3985">
        <v>-1.109803125609</v>
      </c>
      <c r="AH3985">
        <v>17.401150176638701</v>
      </c>
      <c r="AI3985">
        <v>93.635130432515396</v>
      </c>
      <c r="AJ3985">
        <v>95.047400341414004</v>
      </c>
      <c r="AK3985">
        <v>17.5041076371764</v>
      </c>
      <c r="AL3985">
        <v>84.655413377232705</v>
      </c>
      <c r="AM3985">
        <v>95.798932176986895</v>
      </c>
      <c r="AN3985">
        <v>1.0000000450819899</v>
      </c>
    </row>
    <row r="3986" spans="1:40" x14ac:dyDescent="0.25">
      <c r="A3986" t="str">
        <f>"20190312172743573"</f>
        <v>20190312172743573</v>
      </c>
      <c r="B3986" t="str">
        <f>"1552382863563232"</f>
        <v>1552382863563232</v>
      </c>
      <c r="C3986" t="s">
        <v>40</v>
      </c>
      <c r="D3986">
        <v>3.5429840000000001</v>
      </c>
      <c r="E3986">
        <v>0.50428130000000004</v>
      </c>
      <c r="F3986" t="s">
        <v>41</v>
      </c>
      <c r="G3986">
        <v>-398.37240000000003</v>
      </c>
      <c r="H3986" s="1">
        <v>-1.023223E-6</v>
      </c>
      <c r="I3986">
        <v>140.904</v>
      </c>
      <c r="J3986">
        <v>-380.87740000000002</v>
      </c>
      <c r="K3986">
        <v>1.1098159999999999</v>
      </c>
      <c r="L3986">
        <v>141.8313</v>
      </c>
      <c r="M3986">
        <v>-0.9991873</v>
      </c>
      <c r="N3986">
        <v>0</v>
      </c>
      <c r="O3986">
        <v>3.7873959999999998E-2</v>
      </c>
      <c r="P3986">
        <v>-0.99479099999999998</v>
      </c>
      <c r="Q3986">
        <v>7.9439780000000002E-2</v>
      </c>
      <c r="R3986">
        <v>-6.3877820000000002E-2</v>
      </c>
      <c r="S3986">
        <v>-3.0206909999999998</v>
      </c>
      <c r="T3986">
        <v>-0.18900420000000001</v>
      </c>
      <c r="U3986">
        <v>-0.156265299999999</v>
      </c>
      <c r="V3986">
        <v>-0.10143729999999999</v>
      </c>
      <c r="W3986">
        <v>9.3198580000000003E-2</v>
      </c>
      <c r="X3986">
        <v>0.99046679999999998</v>
      </c>
      <c r="Y3986">
        <v>-8.9204530000000004E-2</v>
      </c>
      <c r="Z3986">
        <v>-5.1524309999999999E-3</v>
      </c>
      <c r="AA3986">
        <v>0.996</v>
      </c>
      <c r="AB3986">
        <v>24</v>
      </c>
      <c r="AC3986">
        <v>-17.495000000000001</v>
      </c>
      <c r="AD3986">
        <v>-1.109817023223</v>
      </c>
      <c r="AE3986">
        <v>-0.92730000000000201</v>
      </c>
      <c r="AF3986">
        <v>-1.58295035069617</v>
      </c>
      <c r="AG3986">
        <v>-1.109817023223</v>
      </c>
      <c r="AH3986">
        <v>17.377587284060901</v>
      </c>
      <c r="AI3986">
        <v>93.639197154463105</v>
      </c>
      <c r="AJ3986">
        <v>95.204793879700702</v>
      </c>
      <c r="AK3986">
        <v>17.484792405200601</v>
      </c>
      <c r="AL3986">
        <v>84.6523539392673</v>
      </c>
      <c r="AM3986">
        <v>95.847481738705298</v>
      </c>
      <c r="AN3986">
        <v>0.99999999152377295</v>
      </c>
    </row>
    <row r="3987" spans="1:40" x14ac:dyDescent="0.25">
      <c r="A3987" t="str">
        <f>"20190312172743596"</f>
        <v>20190312172743596</v>
      </c>
      <c r="B3987" t="str">
        <f>"1552382863593490"</f>
        <v>1552382863593490</v>
      </c>
      <c r="C3987" t="s">
        <v>40</v>
      </c>
      <c r="D3987">
        <v>3.5382600000000002</v>
      </c>
      <c r="E3987">
        <v>0.50373069999999998</v>
      </c>
      <c r="F3987" t="s">
        <v>41</v>
      </c>
      <c r="G3987">
        <v>-398.49380000000002</v>
      </c>
      <c r="H3987" s="1">
        <v>-9.6844930000000002E-7</v>
      </c>
      <c r="I3987">
        <v>140.89400000000001</v>
      </c>
      <c r="J3987">
        <v>-381.11419999999998</v>
      </c>
      <c r="K3987">
        <v>1.1098250000000001</v>
      </c>
      <c r="L3987">
        <v>141.8409</v>
      </c>
      <c r="M3987">
        <v>-0.99916899999999997</v>
      </c>
      <c r="N3987">
        <v>0</v>
      </c>
      <c r="O3987">
        <v>3.8352919999999999E-2</v>
      </c>
      <c r="P3987">
        <v>-0.99477850000000001</v>
      </c>
      <c r="Q3987">
        <v>8.0031320000000003E-2</v>
      </c>
      <c r="R3987">
        <v>-6.3332029999999997E-2</v>
      </c>
      <c r="S3987">
        <v>-3.0205989999999998</v>
      </c>
      <c r="T3987">
        <v>-0.1902953</v>
      </c>
      <c r="U3987">
        <v>-0.1607056</v>
      </c>
      <c r="V3987">
        <v>-0.101366</v>
      </c>
      <c r="W3987">
        <v>9.3786789999999995E-2</v>
      </c>
      <c r="X3987">
        <v>0.99041860000000004</v>
      </c>
      <c r="Y3987">
        <v>-9.1135270000000004E-2</v>
      </c>
      <c r="Z3987">
        <v>-5.2783700000000001E-3</v>
      </c>
      <c r="AA3987">
        <v>0.9958245</v>
      </c>
      <c r="AB3987">
        <v>24</v>
      </c>
      <c r="AC3987">
        <v>-17.3796</v>
      </c>
      <c r="AD3987">
        <v>-1.1098259684492999</v>
      </c>
      <c r="AE3987">
        <v>-0.94689999999999896</v>
      </c>
      <c r="AF3987">
        <v>-1.6062942279925201</v>
      </c>
      <c r="AG3987">
        <v>-1.1098259684492999</v>
      </c>
      <c r="AH3987">
        <v>17.260314302742799</v>
      </c>
      <c r="AI3987">
        <v>93.663227922344305</v>
      </c>
      <c r="AJ3987">
        <v>95.316795394831203</v>
      </c>
      <c r="AK3987">
        <v>17.370387003650599</v>
      </c>
      <c r="AL3987">
        <v>84.618503852771497</v>
      </c>
      <c r="AM3987">
        <v>95.843682419827999</v>
      </c>
      <c r="AN3987">
        <v>1.00000001558023</v>
      </c>
    </row>
    <row r="3988" spans="1:40" x14ac:dyDescent="0.25">
      <c r="A3988" t="str">
        <f>"20190312172743619"</f>
        <v>20190312172743619</v>
      </c>
      <c r="B3988" t="str">
        <f>"1552382863613007"</f>
        <v>1552382863613007</v>
      </c>
      <c r="C3988" t="s">
        <v>40</v>
      </c>
      <c r="D3988">
        <v>3.520365</v>
      </c>
      <c r="E3988">
        <v>0.50341020000000003</v>
      </c>
      <c r="F3988" t="s">
        <v>41</v>
      </c>
      <c r="G3988">
        <v>-398.7079</v>
      </c>
      <c r="H3988" s="1">
        <v>-8.7508069999999902E-7</v>
      </c>
      <c r="I3988">
        <v>140.88820000000001</v>
      </c>
      <c r="J3988">
        <v>-381.36110000000002</v>
      </c>
      <c r="K3988">
        <v>1.109836</v>
      </c>
      <c r="L3988">
        <v>141.8509</v>
      </c>
      <c r="M3988">
        <v>-0.99914970000000003</v>
      </c>
      <c r="N3988">
        <v>0</v>
      </c>
      <c r="O3988">
        <v>3.8852449999999997E-2</v>
      </c>
      <c r="P3988">
        <v>-0.9946933</v>
      </c>
      <c r="Q3988">
        <v>8.1870319999999996E-2</v>
      </c>
      <c r="R3988">
        <v>-6.2311329999999998E-2</v>
      </c>
      <c r="S3988">
        <v>-3.0206599999999999</v>
      </c>
      <c r="T3988">
        <v>-0.1905462</v>
      </c>
      <c r="U3988">
        <v>-0.16354369999999999</v>
      </c>
      <c r="V3988">
        <v>-0.10083780000000001</v>
      </c>
      <c r="W3988">
        <v>9.5621479999999995E-2</v>
      </c>
      <c r="X3988">
        <v>0.99029710000000004</v>
      </c>
      <c r="Y3988">
        <v>-9.2560459999999997E-2</v>
      </c>
      <c r="Z3988">
        <v>-5.3614190000000001E-3</v>
      </c>
      <c r="AA3988">
        <v>0.99569260000000004</v>
      </c>
      <c r="AB3988">
        <v>24</v>
      </c>
      <c r="AC3988">
        <v>-17.346799999999899</v>
      </c>
      <c r="AD3988">
        <v>-1.1098368750806999</v>
      </c>
      <c r="AE3988">
        <v>-0.96269999999998401</v>
      </c>
      <c r="AF3988">
        <v>-1.62935377440684</v>
      </c>
      <c r="AG3988">
        <v>-1.1098368750806999</v>
      </c>
      <c r="AH3988">
        <v>17.225997497411601</v>
      </c>
      <c r="AI3988">
        <v>93.670022848254604</v>
      </c>
      <c r="AJ3988">
        <v>95.403354638528498</v>
      </c>
      <c r="AK3988">
        <v>17.3384405697944</v>
      </c>
      <c r="AL3988">
        <v>84.512909368897496</v>
      </c>
      <c r="AM3988">
        <v>95.814149508123606</v>
      </c>
      <c r="AN3988">
        <v>1.0000000378073099</v>
      </c>
    </row>
    <row r="3989" spans="1:40" x14ac:dyDescent="0.25">
      <c r="A3989" t="str">
        <f>"20190312172743642"</f>
        <v>20190312172743642</v>
      </c>
      <c r="B3989" t="str">
        <f>"1552382863633504"</f>
        <v>1552382863633504</v>
      </c>
      <c r="C3989" t="s">
        <v>40</v>
      </c>
      <c r="D3989">
        <v>3.5293580000000002</v>
      </c>
      <c r="E3989">
        <v>0.50308529999999996</v>
      </c>
      <c r="F3989" t="s">
        <v>41</v>
      </c>
      <c r="G3989">
        <v>-399.35449999999997</v>
      </c>
      <c r="H3989" s="1">
        <v>-5.9521279999999999E-7</v>
      </c>
      <c r="I3989">
        <v>140.87880000000001</v>
      </c>
      <c r="J3989">
        <v>-381.59989999999999</v>
      </c>
      <c r="K3989">
        <v>1.1098490000000001</v>
      </c>
      <c r="L3989">
        <v>141.86080000000001</v>
      </c>
      <c r="M3989">
        <v>-0.99913090000000004</v>
      </c>
      <c r="N3989">
        <v>0</v>
      </c>
      <c r="O3989">
        <v>3.9336250000000003E-2</v>
      </c>
      <c r="P3989">
        <v>-0.99460720000000002</v>
      </c>
      <c r="Q3989">
        <v>8.3845299999999998E-2</v>
      </c>
      <c r="R3989">
        <v>-6.1046929999999999E-2</v>
      </c>
      <c r="S3989">
        <v>-3.021118</v>
      </c>
      <c r="T3989">
        <v>-0.18634410000000001</v>
      </c>
      <c r="U3989">
        <v>-0.16320799999999999</v>
      </c>
      <c r="V3989">
        <v>-0.10004979999999999</v>
      </c>
      <c r="W3989">
        <v>9.7591559999999994E-2</v>
      </c>
      <c r="X3989">
        <v>0.99018479999999998</v>
      </c>
      <c r="Y3989">
        <v>-9.2933920000000003E-2</v>
      </c>
      <c r="Z3989">
        <v>-5.2839250000000001E-3</v>
      </c>
      <c r="AA3989">
        <v>0.9956583</v>
      </c>
      <c r="AB3989">
        <v>24</v>
      </c>
      <c r="AC3989">
        <v>-17.7545999999999</v>
      </c>
      <c r="AD3989">
        <v>-1.1098495952128</v>
      </c>
      <c r="AE3989">
        <v>-0.98199999999999898</v>
      </c>
      <c r="AF3989">
        <v>-1.6731874425187701</v>
      </c>
      <c r="AG3989">
        <v>-1.1098495952128</v>
      </c>
      <c r="AH3989">
        <v>17.633529932262199</v>
      </c>
      <c r="AI3989">
        <v>93.585368320343605</v>
      </c>
      <c r="AJ3989">
        <v>95.420378809748996</v>
      </c>
      <c r="AK3989">
        <v>17.747470248285602</v>
      </c>
      <c r="AL3989">
        <v>84.399501462160799</v>
      </c>
      <c r="AM3989">
        <v>95.769672187862895</v>
      </c>
      <c r="AN3989">
        <v>1.0000000066071499</v>
      </c>
    </row>
    <row r="3990" spans="1:40" x14ac:dyDescent="0.25">
      <c r="A3990" t="str">
        <f>"20190312172743663"</f>
        <v>20190312172743663</v>
      </c>
      <c r="B3990" t="str">
        <f>"1552382863653024"</f>
        <v>1552382863653024</v>
      </c>
      <c r="C3990" t="s">
        <v>40</v>
      </c>
      <c r="D3990">
        <v>3.5181230000000001</v>
      </c>
      <c r="E3990">
        <v>0.50282059999999995</v>
      </c>
      <c r="F3990" t="s">
        <v>50</v>
      </c>
      <c r="G3990">
        <v>-400.06659999999999</v>
      </c>
      <c r="H3990" s="1">
        <v>-5.911797E-6</v>
      </c>
      <c r="I3990">
        <v>140.8724</v>
      </c>
      <c r="J3990">
        <v>-381.8331</v>
      </c>
      <c r="K3990">
        <v>1.1098619999999999</v>
      </c>
      <c r="L3990">
        <v>141.87049999999999</v>
      </c>
      <c r="M3990">
        <v>-0.99911220000000001</v>
      </c>
      <c r="N3990">
        <v>0</v>
      </c>
      <c r="O3990">
        <v>3.9807460000000003E-2</v>
      </c>
      <c r="P3990">
        <v>-0.99446769999999995</v>
      </c>
      <c r="Q3990">
        <v>8.6004629999999999E-2</v>
      </c>
      <c r="R3990">
        <v>-6.0307739999999999E-2</v>
      </c>
      <c r="S3990">
        <v>-3.0216370000000001</v>
      </c>
      <c r="T3990">
        <v>-0.1816016</v>
      </c>
      <c r="U3990">
        <v>-0.16172790000000001</v>
      </c>
      <c r="V3990">
        <v>-9.9771479999999996E-2</v>
      </c>
      <c r="W3990">
        <v>9.9746329999999994E-2</v>
      </c>
      <c r="X3990">
        <v>0.98999820000000005</v>
      </c>
      <c r="Y3990">
        <v>-9.2919829999999995E-2</v>
      </c>
      <c r="Z3990">
        <v>-5.1767260000000004E-3</v>
      </c>
      <c r="AA3990">
        <v>0.99566010000000005</v>
      </c>
      <c r="AB3990">
        <v>24</v>
      </c>
      <c r="AC3990">
        <v>-18.2334999999999</v>
      </c>
      <c r="AD3990">
        <v>-1.1098679117970001</v>
      </c>
      <c r="AE3990">
        <v>-0.99809999999999299</v>
      </c>
      <c r="AF3990">
        <v>-1.7168648848182699</v>
      </c>
      <c r="AG3990">
        <v>-1.1098679117970001</v>
      </c>
      <c r="AH3990">
        <v>18.11240103946</v>
      </c>
      <c r="AI3990">
        <v>93.490902164094905</v>
      </c>
      <c r="AJ3990">
        <v>95.414857639711101</v>
      </c>
      <c r="AK3990">
        <v>18.227410765893001</v>
      </c>
      <c r="AL3990">
        <v>84.275437105893701</v>
      </c>
      <c r="AM3990">
        <v>95.754807079904694</v>
      </c>
      <c r="AN3990">
        <v>1.00000005728654</v>
      </c>
    </row>
    <row r="3991" spans="1:40" x14ac:dyDescent="0.25">
      <c r="A3991" t="str">
        <f>"20190312172743685"</f>
        <v>20190312172743685</v>
      </c>
      <c r="B3991" t="str">
        <f>"1552382863673520"</f>
        <v>1552382863673520</v>
      </c>
      <c r="C3991" t="s">
        <v>40</v>
      </c>
      <c r="D3991">
        <v>3.4817459999999998</v>
      </c>
      <c r="E3991">
        <v>0.50257949999999996</v>
      </c>
      <c r="F3991" t="s">
        <v>50</v>
      </c>
      <c r="G3991">
        <v>-400.85140000000001</v>
      </c>
      <c r="H3991" s="1">
        <v>-6.2529209999999998E-6</v>
      </c>
      <c r="I3991">
        <v>140.85560000000001</v>
      </c>
      <c r="J3991">
        <v>-382.06639999999999</v>
      </c>
      <c r="K3991">
        <v>1.109872</v>
      </c>
      <c r="L3991">
        <v>141.88030000000001</v>
      </c>
      <c r="M3991">
        <v>-0.99909369999999997</v>
      </c>
      <c r="N3991">
        <v>0</v>
      </c>
      <c r="O3991">
        <v>4.0273320000000001E-2</v>
      </c>
      <c r="P3991">
        <v>-0.99435850000000003</v>
      </c>
      <c r="Q3991">
        <v>8.771031E-2</v>
      </c>
      <c r="R3991">
        <v>-5.9651320000000001E-2</v>
      </c>
      <c r="S3991">
        <v>-3.022125</v>
      </c>
      <c r="T3991">
        <v>-0.17636499999999999</v>
      </c>
      <c r="U3991">
        <v>-0.1612701</v>
      </c>
      <c r="V3991">
        <v>-9.9572519999999998E-2</v>
      </c>
      <c r="W3991">
        <v>0.1014462</v>
      </c>
      <c r="X3991">
        <v>0.98984550000000004</v>
      </c>
      <c r="Y3991">
        <v>-9.3237410000000007E-2</v>
      </c>
      <c r="Z3991">
        <v>-5.0633129999999998E-3</v>
      </c>
      <c r="AA3991">
        <v>0.99563100000000004</v>
      </c>
      <c r="AB3991">
        <v>24</v>
      </c>
      <c r="AC3991">
        <v>-18.785</v>
      </c>
      <c r="AD3991">
        <v>-1.1098782529210001</v>
      </c>
      <c r="AE3991">
        <v>-1.02469999999999</v>
      </c>
      <c r="AF3991">
        <v>-1.7742992440102201</v>
      </c>
      <c r="AG3991">
        <v>-1.1098782529210001</v>
      </c>
      <c r="AH3991">
        <v>18.663527009144101</v>
      </c>
      <c r="AI3991">
        <v>93.388004095461795</v>
      </c>
      <c r="AJ3991">
        <v>95.430658704145401</v>
      </c>
      <c r="AK3991">
        <v>18.780500737857199</v>
      </c>
      <c r="AL3991">
        <v>84.177545200193904</v>
      </c>
      <c r="AM3991">
        <v>95.744287979336406</v>
      </c>
      <c r="AN3991">
        <v>1.0000000660519099</v>
      </c>
    </row>
    <row r="3992" spans="1:40" x14ac:dyDescent="0.25">
      <c r="A3992" t="str">
        <f>"20190312172743708"</f>
        <v>20190312172743708</v>
      </c>
      <c r="B3992" t="str">
        <f>"1552382863702800"</f>
        <v>1552382863702800</v>
      </c>
      <c r="C3992" t="s">
        <v>40</v>
      </c>
      <c r="D3992">
        <v>3.4568059999999998</v>
      </c>
      <c r="E3992">
        <v>0.50220750000000003</v>
      </c>
      <c r="F3992" t="s">
        <v>50</v>
      </c>
      <c r="G3992">
        <v>-401.51060000000001</v>
      </c>
      <c r="H3992" s="1">
        <v>-6.540435E-6</v>
      </c>
      <c r="I3992">
        <v>140.84389999999999</v>
      </c>
      <c r="J3992">
        <v>-382.30610000000001</v>
      </c>
      <c r="K3992">
        <v>1.109885</v>
      </c>
      <c r="L3992">
        <v>141.89060000000001</v>
      </c>
      <c r="M3992">
        <v>-0.99907469999999998</v>
      </c>
      <c r="N3992">
        <v>0</v>
      </c>
      <c r="O3992">
        <v>4.0739879999999999E-2</v>
      </c>
      <c r="P3992">
        <v>-0.9941719</v>
      </c>
      <c r="Q3992">
        <v>9.0227100000000005E-2</v>
      </c>
      <c r="R3992">
        <v>-5.9004359999999999E-2</v>
      </c>
      <c r="S3992">
        <v>-3.0225520000000001</v>
      </c>
      <c r="T3992">
        <v>-0.17252779999999901</v>
      </c>
      <c r="U3992">
        <v>-0.1611176</v>
      </c>
      <c r="V3992">
        <v>-9.9381910000000004E-2</v>
      </c>
      <c r="W3992">
        <v>0.1039553</v>
      </c>
      <c r="X3992">
        <v>0.98960420000000004</v>
      </c>
      <c r="Y3992">
        <v>-9.3653130000000001E-2</v>
      </c>
      <c r="Z3992">
        <v>-4.991077E-3</v>
      </c>
      <c r="AA3992">
        <v>0.99559240000000004</v>
      </c>
      <c r="AB3992">
        <v>24</v>
      </c>
      <c r="AC3992">
        <v>-19.204499999999999</v>
      </c>
      <c r="AD3992">
        <v>-1.109891540435</v>
      </c>
      <c r="AE3992">
        <v>-1.04670000000001</v>
      </c>
      <c r="AF3992">
        <v>-1.8222258868975401</v>
      </c>
      <c r="AG3992">
        <v>-1.109891540435</v>
      </c>
      <c r="AH3992">
        <v>19.082359078236198</v>
      </c>
      <c r="AI3992">
        <v>93.3137164576885</v>
      </c>
      <c r="AJ3992">
        <v>95.454788026510499</v>
      </c>
      <c r="AK3992">
        <v>19.201270645588899</v>
      </c>
      <c r="AL3992">
        <v>84.033019552608593</v>
      </c>
      <c r="AM3992">
        <v>95.734753790307295</v>
      </c>
      <c r="AN3992">
        <v>0.99999997054548795</v>
      </c>
    </row>
    <row r="3993" spans="1:40" x14ac:dyDescent="0.25">
      <c r="A3993" t="str">
        <f>"20190312172743730"</f>
        <v>20190312172743730</v>
      </c>
      <c r="B3993" t="str">
        <f>"1552382863723296"</f>
        <v>1552382863723296</v>
      </c>
      <c r="C3993" t="s">
        <v>40</v>
      </c>
      <c r="D3993">
        <v>3.4388550000000002</v>
      </c>
      <c r="E3993">
        <v>0.50194349999999999</v>
      </c>
      <c r="F3993" t="s">
        <v>50</v>
      </c>
      <c r="G3993">
        <v>-402.41129999999998</v>
      </c>
      <c r="H3993" s="1">
        <v>-6.9271189999999996E-6</v>
      </c>
      <c r="I3993">
        <v>140.81290000000001</v>
      </c>
      <c r="J3993">
        <v>-382.54050000000001</v>
      </c>
      <c r="K3993">
        <v>1.10991</v>
      </c>
      <c r="L3993">
        <v>141.9006</v>
      </c>
      <c r="M3993">
        <v>-0.99905710000000003</v>
      </c>
      <c r="N3993">
        <v>0</v>
      </c>
      <c r="O3993">
        <v>4.1172840000000002E-2</v>
      </c>
      <c r="P3993">
        <v>-0.99406090000000003</v>
      </c>
      <c r="Q3993">
        <v>9.1773729999999998E-2</v>
      </c>
      <c r="R3993">
        <v>-5.848648E-2</v>
      </c>
      <c r="S3993">
        <v>-3.0231319999999999</v>
      </c>
      <c r="T3993">
        <v>-0.16688919999999999</v>
      </c>
      <c r="U3993">
        <v>-0.16204830000000001</v>
      </c>
      <c r="V3993">
        <v>-9.929164E-2</v>
      </c>
      <c r="W3993">
        <v>0.10549360000000001</v>
      </c>
      <c r="X3993">
        <v>0.98945050000000001</v>
      </c>
      <c r="Y3993">
        <v>-9.4392370000000003E-2</v>
      </c>
      <c r="Z3993">
        <v>-4.8714889999999997E-3</v>
      </c>
      <c r="AA3993">
        <v>0.99552320000000005</v>
      </c>
      <c r="AB3993">
        <v>24</v>
      </c>
      <c r="AC3993">
        <v>-19.8707999999999</v>
      </c>
      <c r="AD3993">
        <v>-1.1099169271189999</v>
      </c>
      <c r="AE3993">
        <v>-1.0876999999999799</v>
      </c>
      <c r="AF3993">
        <v>-1.89908499617175</v>
      </c>
      <c r="AG3993">
        <v>-1.1099169271189999</v>
      </c>
      <c r="AH3993">
        <v>19.7477309483738</v>
      </c>
      <c r="AI3993">
        <v>93.202170275400405</v>
      </c>
      <c r="AJ3993">
        <v>95.493085553809493</v>
      </c>
      <c r="AK3993">
        <v>19.869859511761799</v>
      </c>
      <c r="AL3993">
        <v>83.9443943605024</v>
      </c>
      <c r="AM3993">
        <v>95.730463607292606</v>
      </c>
      <c r="AN3993">
        <v>1.00000001068254</v>
      </c>
    </row>
    <row r="3994" spans="1:40" x14ac:dyDescent="0.25">
      <c r="A3994" t="str">
        <f>"20190312172743753"</f>
        <v>20190312172743753</v>
      </c>
      <c r="B3994" t="str">
        <f>"1552382863742816"</f>
        <v>1552382863742816</v>
      </c>
      <c r="C3994" t="s">
        <v>40</v>
      </c>
      <c r="D3994">
        <v>3.4749720000000002</v>
      </c>
      <c r="E3994">
        <v>0.50166449999999996</v>
      </c>
      <c r="F3994" t="s">
        <v>50</v>
      </c>
      <c r="G3994">
        <v>-403.07190000000003</v>
      </c>
      <c r="H3994" s="1">
        <v>-7.2122579999999997E-6</v>
      </c>
      <c r="I3994">
        <v>140.79390000000001</v>
      </c>
      <c r="J3994">
        <v>-382.78429999999997</v>
      </c>
      <c r="K3994">
        <v>1.109939</v>
      </c>
      <c r="L3994">
        <v>141.91120000000001</v>
      </c>
      <c r="M3994">
        <v>-0.99903980000000003</v>
      </c>
      <c r="N3994">
        <v>0</v>
      </c>
      <c r="O3994">
        <v>4.1589050000000002E-2</v>
      </c>
      <c r="P3994">
        <v>-0.99393640000000005</v>
      </c>
      <c r="Q3994">
        <v>9.3367249999999999E-2</v>
      </c>
      <c r="R3994">
        <v>-5.8078089999999999E-2</v>
      </c>
      <c r="S3994">
        <v>-3.0233759999999998</v>
      </c>
      <c r="T3994">
        <v>-0.1634418</v>
      </c>
      <c r="U3994">
        <v>-0.16297909999999999</v>
      </c>
      <c r="V3994">
        <v>-9.9296460000000003E-2</v>
      </c>
      <c r="W3994">
        <v>0.1070768</v>
      </c>
      <c r="X3994">
        <v>0.98927989999999999</v>
      </c>
      <c r="Y3994">
        <v>-9.5115179999999994E-2</v>
      </c>
      <c r="Z3994">
        <v>-4.8125629999999997E-3</v>
      </c>
      <c r="AA3994">
        <v>0.99545470000000003</v>
      </c>
      <c r="AB3994">
        <v>24</v>
      </c>
      <c r="AC3994">
        <v>-20.287600000000001</v>
      </c>
      <c r="AD3994">
        <v>-1.1099462122579999</v>
      </c>
      <c r="AE3994">
        <v>-1.1173</v>
      </c>
      <c r="AF3994">
        <v>-1.9543231527563301</v>
      </c>
      <c r="AG3994">
        <v>-1.1099462122579999</v>
      </c>
      <c r="AH3994">
        <v>20.163400471332899</v>
      </c>
      <c r="AI3994">
        <v>93.1361464718957</v>
      </c>
      <c r="AJ3994">
        <v>95.536059786157495</v>
      </c>
      <c r="AK3994">
        <v>20.2882744004229</v>
      </c>
      <c r="AL3994">
        <v>83.853166708175195</v>
      </c>
      <c r="AM3994">
        <v>95.731721613508199</v>
      </c>
      <c r="AN3994">
        <v>0.99999997430539</v>
      </c>
    </row>
    <row r="3995" spans="1:40" x14ac:dyDescent="0.25">
      <c r="A3995" t="str">
        <f>"20190312172743775"</f>
        <v>20190312172743775</v>
      </c>
      <c r="B3995" t="str">
        <f>"1552382863763312"</f>
        <v>1552382863763312</v>
      </c>
      <c r="C3995" t="s">
        <v>40</v>
      </c>
      <c r="D3995">
        <v>3.5193970000000001</v>
      </c>
      <c r="E3995">
        <v>0.50141190000000002</v>
      </c>
      <c r="F3995" t="s">
        <v>50</v>
      </c>
      <c r="G3995">
        <v>-403.81259999999997</v>
      </c>
      <c r="H3995" s="1">
        <v>-7.5289399999999901E-6</v>
      </c>
      <c r="I3995">
        <v>140.76519999999999</v>
      </c>
      <c r="J3995">
        <v>-383.0147</v>
      </c>
      <c r="K3995">
        <v>1.1099669999999999</v>
      </c>
      <c r="L3995">
        <v>141.9212</v>
      </c>
      <c r="M3995">
        <v>-0.99902489999999999</v>
      </c>
      <c r="N3995">
        <v>0</v>
      </c>
      <c r="O3995">
        <v>4.1949069999999998E-2</v>
      </c>
      <c r="P3995">
        <v>-0.99383429999999995</v>
      </c>
      <c r="Q3995">
        <v>9.4184459999999998E-2</v>
      </c>
      <c r="R3995">
        <v>-5.8507829999999997E-2</v>
      </c>
      <c r="S3995">
        <v>-3.0236209999999999</v>
      </c>
      <c r="T3995">
        <v>-0.15959719999999999</v>
      </c>
      <c r="U3995">
        <v>-0.1647797</v>
      </c>
      <c r="V3995">
        <v>-0.1000849</v>
      </c>
      <c r="W3995">
        <v>0.107883199999999</v>
      </c>
      <c r="X3995">
        <v>0.98911289999999996</v>
      </c>
      <c r="Y3995">
        <v>-9.6068070000000005E-2</v>
      </c>
      <c r="Z3995">
        <v>-4.7431590000000003E-3</v>
      </c>
      <c r="AA3995">
        <v>0.99536349999999996</v>
      </c>
      <c r="AB3995">
        <v>24</v>
      </c>
      <c r="AC3995">
        <v>-20.797899999999899</v>
      </c>
      <c r="AD3995">
        <v>-1.10997452893999</v>
      </c>
      <c r="AE3995">
        <v>-1.1559999999999999</v>
      </c>
      <c r="AF3995">
        <v>-2.0217765810500201</v>
      </c>
      <c r="AG3995">
        <v>-1.10997452893999</v>
      </c>
      <c r="AH3995">
        <v>20.672391459559201</v>
      </c>
      <c r="AI3995">
        <v>93.058897259950896</v>
      </c>
      <c r="AJ3995">
        <v>95.585809293489206</v>
      </c>
      <c r="AK3995">
        <v>20.800658466881199</v>
      </c>
      <c r="AL3995">
        <v>83.8066946589406</v>
      </c>
      <c r="AM3995">
        <v>95.777895138578302</v>
      </c>
      <c r="AN3995">
        <v>1.00000005049832</v>
      </c>
    </row>
    <row r="3996" spans="1:40" x14ac:dyDescent="0.25">
      <c r="A3996" t="str">
        <f>"20190312172743797"</f>
        <v>20190312172743797</v>
      </c>
      <c r="B3996" t="str">
        <f>"1552382863782832"</f>
        <v>1552382863782832</v>
      </c>
      <c r="C3996" t="s">
        <v>40</v>
      </c>
      <c r="D3996">
        <v>3.5070670000000002</v>
      </c>
      <c r="E3996">
        <v>0.50111510000000004</v>
      </c>
      <c r="F3996" t="s">
        <v>50</v>
      </c>
      <c r="G3996">
        <v>-404.2251</v>
      </c>
      <c r="H3996" s="1">
        <v>-7.7006679999999998E-6</v>
      </c>
      <c r="I3996">
        <v>140.738</v>
      </c>
      <c r="J3996">
        <v>-383.2527</v>
      </c>
      <c r="K3996">
        <v>1.109999</v>
      </c>
      <c r="L3996">
        <v>141.9316</v>
      </c>
      <c r="M3996">
        <v>-0.99901110000000004</v>
      </c>
      <c r="N3996">
        <v>0</v>
      </c>
      <c r="O3996">
        <v>4.2272740000000003E-2</v>
      </c>
      <c r="P3996">
        <v>-0.99380820000000003</v>
      </c>
      <c r="Q3996">
        <v>9.3772579999999994E-2</v>
      </c>
      <c r="R3996">
        <v>-5.9599819999999998E-2</v>
      </c>
      <c r="S3996">
        <v>-3.023682</v>
      </c>
      <c r="T3996">
        <v>-0.15823419999999999</v>
      </c>
      <c r="U3996">
        <v>-0.1686859</v>
      </c>
      <c r="V3996">
        <v>-0.10150389999999999</v>
      </c>
      <c r="W3996">
        <v>0.1074599</v>
      </c>
      <c r="X3996">
        <v>0.98901430000000001</v>
      </c>
      <c r="Y3996">
        <v>-9.7671960000000002E-2</v>
      </c>
      <c r="Z3996">
        <v>-4.7612820000000004E-3</v>
      </c>
      <c r="AA3996">
        <v>0.99520730000000002</v>
      </c>
      <c r="AB3996">
        <v>24</v>
      </c>
      <c r="AC3996">
        <v>-20.9724</v>
      </c>
      <c r="AD3996">
        <v>-1.1100067006679999</v>
      </c>
      <c r="AE3996">
        <v>-1.1936</v>
      </c>
      <c r="AF3996">
        <v>-2.0733884554817901</v>
      </c>
      <c r="AG3996">
        <v>-1.1100067006679999</v>
      </c>
      <c r="AH3996">
        <v>20.8449839534197</v>
      </c>
      <c r="AI3996">
        <v>93.033212632042407</v>
      </c>
      <c r="AJ3996">
        <v>95.680356445253395</v>
      </c>
      <c r="AK3996">
        <v>20.977235532385599</v>
      </c>
      <c r="AL3996">
        <v>83.831089337357994</v>
      </c>
      <c r="AM3996">
        <v>95.859828004990007</v>
      </c>
      <c r="AN3996">
        <v>0.99999997871385404</v>
      </c>
    </row>
    <row r="3997" spans="1:40" x14ac:dyDescent="0.25">
      <c r="A3997" t="str">
        <f>"20190312172743820"</f>
        <v>20190312172743820</v>
      </c>
      <c r="B3997" t="str">
        <f>"1552382863813088"</f>
        <v>1552382863813088</v>
      </c>
      <c r="C3997" t="s">
        <v>40</v>
      </c>
      <c r="D3997">
        <v>3.437913</v>
      </c>
      <c r="E3997">
        <v>0.50068880000000004</v>
      </c>
      <c r="F3997" t="s">
        <v>50</v>
      </c>
      <c r="G3997">
        <v>-404.15879999999999</v>
      </c>
      <c r="H3997" s="1">
        <v>-7.6655979999999994E-6</v>
      </c>
      <c r="I3997">
        <v>140.7242</v>
      </c>
      <c r="J3997">
        <v>-383.49799999999999</v>
      </c>
      <c r="K3997">
        <v>1.1100399999999999</v>
      </c>
      <c r="L3997">
        <v>141.94239999999999</v>
      </c>
      <c r="M3997">
        <v>-0.99900009999999995</v>
      </c>
      <c r="N3997">
        <v>0</v>
      </c>
      <c r="O3997">
        <v>4.253622E-2</v>
      </c>
      <c r="P3997">
        <v>-0.99372859999999996</v>
      </c>
      <c r="Q3997">
        <v>9.3620259999999997E-2</v>
      </c>
      <c r="R3997">
        <v>-6.1145560000000002E-2</v>
      </c>
      <c r="S3997">
        <v>-3.0233759999999998</v>
      </c>
      <c r="T3997">
        <v>-0.16052559999999999</v>
      </c>
      <c r="U3997">
        <v>-0.17462159999999999</v>
      </c>
      <c r="V3997">
        <v>-0.10331799999999999</v>
      </c>
      <c r="W3997">
        <v>0.1072925</v>
      </c>
      <c r="X3997">
        <v>0.98884459999999996</v>
      </c>
      <c r="Y3997">
        <v>-9.9878289999999995E-2</v>
      </c>
      <c r="Z3997">
        <v>-4.9028229999999997E-3</v>
      </c>
      <c r="AA3997">
        <v>0.99498759999999997</v>
      </c>
      <c r="AB3997">
        <v>24</v>
      </c>
      <c r="AC3997">
        <v>-20.660799999999899</v>
      </c>
      <c r="AD3997">
        <v>-1.1100476655979901</v>
      </c>
      <c r="AE3997">
        <v>-1.21819999999999</v>
      </c>
      <c r="AF3997">
        <v>-2.09000070346397</v>
      </c>
      <c r="AG3997">
        <v>-1.1100476655979901</v>
      </c>
      <c r="AH3997">
        <v>20.531213953550299</v>
      </c>
      <c r="AI3997">
        <v>93.078879691990494</v>
      </c>
      <c r="AJ3997">
        <v>95.812473787166894</v>
      </c>
      <c r="AK3997">
        <v>20.667149178511199</v>
      </c>
      <c r="AL3997">
        <v>83.840736349404295</v>
      </c>
      <c r="AM3997">
        <v>95.964823985219994</v>
      </c>
      <c r="AN3997">
        <v>0.999999966314704</v>
      </c>
    </row>
    <row r="3998" spans="1:40" x14ac:dyDescent="0.25">
      <c r="A3998" t="str">
        <f>"20190312172743843"</f>
        <v>20190312172743843</v>
      </c>
      <c r="B3998" t="str">
        <f>"1552382863833584"</f>
        <v>1552382863833584</v>
      </c>
      <c r="C3998" t="s">
        <v>40</v>
      </c>
      <c r="D3998">
        <v>3.3823690000000002</v>
      </c>
      <c r="E3998">
        <v>0.50042310000000001</v>
      </c>
      <c r="F3998" t="s">
        <v>50</v>
      </c>
      <c r="G3998">
        <v>-404.14839999999998</v>
      </c>
      <c r="H3998" s="1">
        <v>-7.6475529999999992E-6</v>
      </c>
      <c r="I3998">
        <v>140.69139999999999</v>
      </c>
      <c r="J3998">
        <v>-383.73230000000001</v>
      </c>
      <c r="K3998">
        <v>1.110087</v>
      </c>
      <c r="L3998">
        <v>141.95259999999999</v>
      </c>
      <c r="M3998">
        <v>-0.99899280000000001</v>
      </c>
      <c r="N3998">
        <v>0</v>
      </c>
      <c r="O3998">
        <v>4.270637E-2</v>
      </c>
      <c r="P3998">
        <v>-0.99354319999999896</v>
      </c>
      <c r="Q3998">
        <v>9.4929799999999995E-2</v>
      </c>
      <c r="R3998">
        <v>-6.2131239999999997E-2</v>
      </c>
      <c r="S3998">
        <v>-3.02298</v>
      </c>
      <c r="T3998">
        <v>-0.16249820000000001</v>
      </c>
      <c r="U3998">
        <v>-0.1831207</v>
      </c>
      <c r="V3998">
        <v>-0.10447629999999999</v>
      </c>
      <c r="W3998">
        <v>0.10858379999999999</v>
      </c>
      <c r="X3998">
        <v>0.98858199999999996</v>
      </c>
      <c r="Y3998">
        <v>-0.10283299999999999</v>
      </c>
      <c r="Z3998">
        <v>-5.0516770000000001E-3</v>
      </c>
      <c r="AA3998">
        <v>0.99468579999999995</v>
      </c>
      <c r="AB3998">
        <v>24</v>
      </c>
      <c r="AC3998">
        <v>-20.416099999999901</v>
      </c>
      <c r="AD3998">
        <v>-1.110094647553</v>
      </c>
      <c r="AE3998">
        <v>-1.2612000000000001</v>
      </c>
      <c r="AF3998">
        <v>-2.1257684218784898</v>
      </c>
      <c r="AG3998">
        <v>-1.110094647553</v>
      </c>
      <c r="AH3998">
        <v>20.283863013465499</v>
      </c>
      <c r="AI3998">
        <v>93.115528018863699</v>
      </c>
      <c r="AJ3998">
        <v>95.982813218768996</v>
      </c>
      <c r="AK3998">
        <v>20.425138928756802</v>
      </c>
      <c r="AL3998">
        <v>83.766316059706597</v>
      </c>
      <c r="AM3998">
        <v>96.032795819034604</v>
      </c>
      <c r="AN3998">
        <v>1.00000005480406</v>
      </c>
    </row>
    <row r="3999" spans="1:40" x14ac:dyDescent="0.25">
      <c r="A3999" t="str">
        <f>"20190312172743864"</f>
        <v>20190312172743864</v>
      </c>
      <c r="B3999" t="str">
        <f>"1552382863853104"</f>
        <v>1552382863853104</v>
      </c>
      <c r="C3999" t="s">
        <v>40</v>
      </c>
      <c r="D3999">
        <v>3.3275540000000001</v>
      </c>
      <c r="E3999">
        <v>0.50015279999999995</v>
      </c>
      <c r="F3999" t="s">
        <v>50</v>
      </c>
      <c r="G3999">
        <v>-404.75580000000002</v>
      </c>
      <c r="H3999" s="1">
        <v>-7.8939840000000006E-6</v>
      </c>
      <c r="I3999">
        <v>140.63570000000001</v>
      </c>
      <c r="J3999">
        <v>-383.96109999999999</v>
      </c>
      <c r="K3999">
        <v>1.110147</v>
      </c>
      <c r="L3999">
        <v>141.96250000000001</v>
      </c>
      <c r="M3999">
        <v>-0.99898900000000002</v>
      </c>
      <c r="N3999">
        <v>0</v>
      </c>
      <c r="O3999">
        <v>4.2796819999999999E-2</v>
      </c>
      <c r="P3999">
        <v>-0.99335600000000002</v>
      </c>
      <c r="Q3999">
        <v>9.6278730000000007E-2</v>
      </c>
      <c r="R3999">
        <v>-6.3042539999999994E-2</v>
      </c>
      <c r="S3999">
        <v>-3.022888</v>
      </c>
      <c r="T3999">
        <v>-0.15961639999999999</v>
      </c>
      <c r="U3999">
        <v>-0.1893463</v>
      </c>
      <c r="V3999">
        <v>-0.1054837</v>
      </c>
      <c r="W3999">
        <v>0.10991190000000001</v>
      </c>
      <c r="X3999">
        <v>0.98832819999999999</v>
      </c>
      <c r="Y3999">
        <v>-0.1049698</v>
      </c>
      <c r="Z3999">
        <v>-5.0231590000000001E-3</v>
      </c>
      <c r="AA3999">
        <v>0.99446270000000003</v>
      </c>
      <c r="AB3999">
        <v>24</v>
      </c>
      <c r="AC3999">
        <v>-20.794699999999999</v>
      </c>
      <c r="AD3999">
        <v>-1.110154893984</v>
      </c>
      <c r="AE3999">
        <v>-1.32679999999999</v>
      </c>
      <c r="AF3999">
        <v>-2.20934413193164</v>
      </c>
      <c r="AG3999">
        <v>-1.110154893984</v>
      </c>
      <c r="AH3999">
        <v>20.660210854683399</v>
      </c>
      <c r="AI3999">
        <v>93.058367033495799</v>
      </c>
      <c r="AJ3999">
        <v>96.103851103565006</v>
      </c>
      <c r="AK3999">
        <v>20.807641815975099</v>
      </c>
      <c r="AL3999">
        <v>83.689763197104497</v>
      </c>
      <c r="AM3999">
        <v>96.0920834379627</v>
      </c>
      <c r="AN3999">
        <v>1.00000003382126</v>
      </c>
    </row>
    <row r="4000" spans="1:40" x14ac:dyDescent="0.25">
      <c r="A4000" t="str">
        <f>"20190312172743886"</f>
        <v>20190312172743886</v>
      </c>
      <c r="B4000" t="str">
        <f>"1552382863873601"</f>
        <v>1552382863873601</v>
      </c>
      <c r="C4000" t="s">
        <v>40</v>
      </c>
      <c r="D4000">
        <v>3.2964509999999998</v>
      </c>
      <c r="E4000">
        <v>0.49989549999999999</v>
      </c>
      <c r="F4000" t="s">
        <v>50</v>
      </c>
      <c r="G4000">
        <v>-405.39879999999999</v>
      </c>
      <c r="H4000" s="1">
        <v>-8.2341459999999903E-6</v>
      </c>
      <c r="I4000">
        <v>140.57740000000001</v>
      </c>
      <c r="J4000">
        <v>-384.19209999999998</v>
      </c>
      <c r="K4000">
        <v>1.110209</v>
      </c>
      <c r="L4000">
        <v>141.9725</v>
      </c>
      <c r="M4000">
        <v>-0.9989886</v>
      </c>
      <c r="N4000">
        <v>0</v>
      </c>
      <c r="O4000">
        <v>4.280788E-2</v>
      </c>
      <c r="P4000">
        <v>-0.99319120000000005</v>
      </c>
      <c r="Q4000">
        <v>9.7077129999999998E-2</v>
      </c>
      <c r="R4000">
        <v>-6.440179E-2</v>
      </c>
      <c r="S4000">
        <v>-3.0228269999999999</v>
      </c>
      <c r="T4000">
        <v>-0.1565375</v>
      </c>
      <c r="U4000">
        <v>-0.1953125</v>
      </c>
      <c r="V4000">
        <v>-0.1068612</v>
      </c>
      <c r="W4000">
        <v>0.1106896</v>
      </c>
      <c r="X4000">
        <v>0.98809340000000001</v>
      </c>
      <c r="Y4000">
        <v>-0.10694190000000001</v>
      </c>
      <c r="Z4000">
        <v>-4.9777609999999998E-3</v>
      </c>
      <c r="AA4000">
        <v>0.99425280000000005</v>
      </c>
      <c r="AB4000">
        <v>24</v>
      </c>
      <c r="AC4000">
        <v>-21.206700000000001</v>
      </c>
      <c r="AD4000">
        <v>-1.1102172341459999</v>
      </c>
      <c r="AE4000">
        <v>-1.39509999999998</v>
      </c>
      <c r="AF4000">
        <v>-2.2954565224235899</v>
      </c>
      <c r="AG4000">
        <v>-1.1102172341459999</v>
      </c>
      <c r="AH4000">
        <v>21.070030801682002</v>
      </c>
      <c r="AI4000">
        <v>92.998517417584907</v>
      </c>
      <c r="AJ4000">
        <v>96.217518951612107</v>
      </c>
      <c r="AK4000">
        <v>21.2237579362647</v>
      </c>
      <c r="AL4000">
        <v>83.644930723288098</v>
      </c>
      <c r="AM4000">
        <v>96.172484467987701</v>
      </c>
      <c r="AN4000">
        <v>1.0000000353685701</v>
      </c>
    </row>
    <row r="4001" spans="1:40" x14ac:dyDescent="0.25">
      <c r="A4001" t="str">
        <f>"20190312172743910"</f>
        <v>20190312172743910</v>
      </c>
      <c r="B4001" t="str">
        <f>"1552382863902884"</f>
        <v>1552382863902884</v>
      </c>
      <c r="C4001" t="s">
        <v>40</v>
      </c>
      <c r="D4001">
        <v>3.2266309999999998</v>
      </c>
      <c r="E4001">
        <v>0.49952380000000002</v>
      </c>
      <c r="F4001" t="s">
        <v>50</v>
      </c>
      <c r="G4001">
        <v>-405.82479999999998</v>
      </c>
      <c r="H4001" s="1">
        <v>-8.4785940000000007E-6</v>
      </c>
      <c r="I4001">
        <v>140.52690000000001</v>
      </c>
      <c r="J4001">
        <v>-384.43579999999997</v>
      </c>
      <c r="K4001">
        <v>1.1102890000000001</v>
      </c>
      <c r="L4001">
        <v>141.9829</v>
      </c>
      <c r="M4001">
        <v>-0.99899280000000001</v>
      </c>
      <c r="N4001">
        <v>0</v>
      </c>
      <c r="O4001">
        <v>4.2708290000000003E-2</v>
      </c>
      <c r="P4001">
        <v>-0.9930272</v>
      </c>
      <c r="Q4001">
        <v>9.7932850000000002E-2</v>
      </c>
      <c r="R4001">
        <v>-6.5622659999999999E-2</v>
      </c>
      <c r="S4001">
        <v>-3.022675</v>
      </c>
      <c r="T4001">
        <v>-0.1551275</v>
      </c>
      <c r="U4001">
        <v>-0.2019958</v>
      </c>
      <c r="V4001">
        <v>-0.1079941</v>
      </c>
      <c r="W4001">
        <v>0.1115218</v>
      </c>
      <c r="X4001">
        <v>0.98787659999999999</v>
      </c>
      <c r="Y4001">
        <v>-0.1090356</v>
      </c>
      <c r="Z4001">
        <v>-4.9814300000000002E-3</v>
      </c>
      <c r="AA4001">
        <v>0.9940253</v>
      </c>
      <c r="AB4001">
        <v>24</v>
      </c>
      <c r="AC4001">
        <v>-21.388999999999999</v>
      </c>
      <c r="AD4001">
        <v>-1.1102974785940001</v>
      </c>
      <c r="AE4001">
        <v>-1.45599999999998</v>
      </c>
      <c r="AF4001">
        <v>-2.3619103022413102</v>
      </c>
      <c r="AG4001">
        <v>-1.1102974785940001</v>
      </c>
      <c r="AH4001">
        <v>21.250294112995899</v>
      </c>
      <c r="AI4001">
        <v>92.972630893202293</v>
      </c>
      <c r="AJ4001">
        <v>96.342233230191795</v>
      </c>
      <c r="AK4001">
        <v>21.409959847128</v>
      </c>
      <c r="AL4001">
        <v>83.596951939559005</v>
      </c>
      <c r="AM4001">
        <v>96.238767649734697</v>
      </c>
      <c r="AN4001">
        <v>1.0000000071688</v>
      </c>
    </row>
    <row r="4002" spans="1:40" x14ac:dyDescent="0.25">
      <c r="A4002" t="str">
        <f>"20190312172743931"</f>
        <v>20190312172743931</v>
      </c>
      <c r="B4002" t="str">
        <f>"1552382863923376"</f>
        <v>1552382863923376</v>
      </c>
      <c r="C4002" t="s">
        <v>40</v>
      </c>
      <c r="D4002">
        <v>3.2877239999999999</v>
      </c>
      <c r="E4002">
        <v>0.49928810000000001</v>
      </c>
      <c r="F4002" t="s">
        <v>50</v>
      </c>
      <c r="G4002">
        <v>-406.27289999999999</v>
      </c>
      <c r="H4002" s="1">
        <v>-8.7361799999999998E-6</v>
      </c>
      <c r="I4002">
        <v>140.47499999999999</v>
      </c>
      <c r="J4002">
        <v>-384.6628</v>
      </c>
      <c r="K4002">
        <v>1.110374</v>
      </c>
      <c r="L4002">
        <v>141.9924</v>
      </c>
      <c r="M4002">
        <v>-0.99900169999999999</v>
      </c>
      <c r="N4002">
        <v>0</v>
      </c>
      <c r="O4002">
        <v>4.2500110000000001E-2</v>
      </c>
      <c r="P4002">
        <v>-0.99287829999999999</v>
      </c>
      <c r="Q4002">
        <v>9.8869269999999995E-2</v>
      </c>
      <c r="R4002">
        <v>-6.6464560000000006E-2</v>
      </c>
      <c r="S4002">
        <v>-3.0224299999999999</v>
      </c>
      <c r="T4002">
        <v>-0.15367420000000001</v>
      </c>
      <c r="U4002">
        <v>-0.2087097</v>
      </c>
      <c r="V4002">
        <v>-0.1086423</v>
      </c>
      <c r="W4002">
        <v>0.1124349</v>
      </c>
      <c r="X4002">
        <v>0.98770199999999997</v>
      </c>
      <c r="Y4002">
        <v>-0.11103300000000001</v>
      </c>
      <c r="Z4002">
        <v>-4.9749920000000001E-3</v>
      </c>
      <c r="AA4002">
        <v>0.99380429999999997</v>
      </c>
      <c r="AB4002">
        <v>24</v>
      </c>
      <c r="AC4002">
        <v>-21.6100999999999</v>
      </c>
      <c r="AD4002">
        <v>-1.1103827361799901</v>
      </c>
      <c r="AE4002">
        <v>-1.5174000000000001</v>
      </c>
      <c r="AF4002">
        <v>-2.4281679784428598</v>
      </c>
      <c r="AG4002">
        <v>-1.1103827361799901</v>
      </c>
      <c r="AH4002">
        <v>21.469669516450001</v>
      </c>
      <c r="AI4002">
        <v>92.941901653836496</v>
      </c>
      <c r="AJ4002">
        <v>96.452596198695701</v>
      </c>
      <c r="AK4002">
        <v>21.6350562443901</v>
      </c>
      <c r="AL4002">
        <v>83.544303983957306</v>
      </c>
      <c r="AM4002">
        <v>96.277016496412799</v>
      </c>
      <c r="AN4002">
        <v>0.99999999844564902</v>
      </c>
    </row>
    <row r="4003" spans="1:40" x14ac:dyDescent="0.25">
      <c r="A4003" t="str">
        <f>"20190312172743955"</f>
        <v>20190312172743955</v>
      </c>
      <c r="B4003" t="str">
        <f>"1552382863942897"</f>
        <v>1552382863942897</v>
      </c>
      <c r="C4003" t="s">
        <v>40</v>
      </c>
      <c r="D4003">
        <v>3.2071329999999998</v>
      </c>
      <c r="E4003">
        <v>0.49908010000000003</v>
      </c>
      <c r="F4003" t="s">
        <v>50</v>
      </c>
      <c r="G4003">
        <v>-406.78519999999997</v>
      </c>
      <c r="H4003" s="1">
        <v>-9.0365659999999995E-6</v>
      </c>
      <c r="I4003">
        <v>140.4297</v>
      </c>
      <c r="J4003">
        <v>-384.91340000000002</v>
      </c>
      <c r="K4003">
        <v>1.110455</v>
      </c>
      <c r="L4003">
        <v>142.00280000000001</v>
      </c>
      <c r="M4003">
        <v>-0.99901609999999996</v>
      </c>
      <c r="N4003">
        <v>0</v>
      </c>
      <c r="O4003">
        <v>4.2161110000000002E-2</v>
      </c>
      <c r="P4003">
        <v>-0.99274280000000004</v>
      </c>
      <c r="Q4003">
        <v>9.9774749999999995E-2</v>
      </c>
      <c r="R4003">
        <v>-6.7133330000000005E-2</v>
      </c>
      <c r="S4003">
        <v>-3.0224000000000002</v>
      </c>
      <c r="T4003">
        <v>-0.151701799999999</v>
      </c>
      <c r="U4003">
        <v>-0.213501</v>
      </c>
      <c r="V4003">
        <v>-0.1089907</v>
      </c>
      <c r="W4003">
        <v>0.1133161</v>
      </c>
      <c r="X4003">
        <v>0.98756290000000002</v>
      </c>
      <c r="Y4003">
        <v>-0.11226800000000001</v>
      </c>
      <c r="Z4003">
        <v>-4.9249669999999997E-3</v>
      </c>
      <c r="AA4003">
        <v>0.99366580000000004</v>
      </c>
      <c r="AB4003">
        <v>23</v>
      </c>
      <c r="AC4003">
        <v>-21.871799999999901</v>
      </c>
      <c r="AD4003">
        <v>-1.1104640365659999</v>
      </c>
      <c r="AE4003">
        <v>-1.5731000000000099</v>
      </c>
      <c r="AF4003">
        <v>-2.4875483548619601</v>
      </c>
      <c r="AG4003">
        <v>-1.1104640365659999</v>
      </c>
      <c r="AH4003">
        <v>21.7302916674915</v>
      </c>
      <c r="AI4003">
        <v>92.906442737888298</v>
      </c>
      <c r="AJ4003">
        <v>96.530437262527698</v>
      </c>
      <c r="AK4003">
        <v>21.900379064037502</v>
      </c>
      <c r="AL4003">
        <v>83.493490183597601</v>
      </c>
      <c r="AM4003">
        <v>96.297864341815597</v>
      </c>
      <c r="AN4003">
        <v>0.99999999633105496</v>
      </c>
    </row>
    <row r="4004" spans="1:40" x14ac:dyDescent="0.25">
      <c r="A4004" t="str">
        <f>"20190312172743976"</f>
        <v>20190312172743976</v>
      </c>
      <c r="B4004" t="str">
        <f>"1552382863963393"</f>
        <v>1552382863963393</v>
      </c>
      <c r="C4004" t="s">
        <v>40</v>
      </c>
      <c r="D4004">
        <v>3.1893570000000002</v>
      </c>
      <c r="E4004">
        <v>0.49887110000000001</v>
      </c>
      <c r="F4004" t="s">
        <v>50</v>
      </c>
      <c r="G4004">
        <v>-407.27780000000001</v>
      </c>
      <c r="H4004" s="1">
        <v>-9.3293170000000004E-6</v>
      </c>
      <c r="I4004">
        <v>140.39590000000001</v>
      </c>
      <c r="J4004">
        <v>-385.13049999999998</v>
      </c>
      <c r="K4004">
        <v>1.1105309999999999</v>
      </c>
      <c r="L4004">
        <v>142.01159999999999</v>
      </c>
      <c r="M4004">
        <v>-0.99903260000000005</v>
      </c>
      <c r="N4004">
        <v>0</v>
      </c>
      <c r="O4004">
        <v>4.1772730000000001E-2</v>
      </c>
      <c r="P4004">
        <v>-0.99277499999999996</v>
      </c>
      <c r="Q4004">
        <v>9.9143980000000007E-2</v>
      </c>
      <c r="R4004">
        <v>-6.7589860000000002E-2</v>
      </c>
      <c r="S4004">
        <v>-3.0223080000000002</v>
      </c>
      <c r="T4004">
        <v>-0.15006729999999999</v>
      </c>
      <c r="U4004">
        <v>-0.2171478</v>
      </c>
      <c r="V4004">
        <v>-0.1090812</v>
      </c>
      <c r="W4004">
        <v>0.11266610000000001</v>
      </c>
      <c r="X4004">
        <v>0.98762729999999999</v>
      </c>
      <c r="Y4004">
        <v>-0.113080399999999</v>
      </c>
      <c r="Z4004">
        <v>-4.8727989999999997E-3</v>
      </c>
      <c r="AA4004">
        <v>0.99357390000000001</v>
      </c>
      <c r="AB4004">
        <v>23</v>
      </c>
      <c r="AC4004">
        <v>-22.147300000000001</v>
      </c>
      <c r="AD4004">
        <v>-1.110540329317</v>
      </c>
      <c r="AE4004">
        <v>-1.6156999999999699</v>
      </c>
      <c r="AF4004">
        <v>-2.5331943902987399</v>
      </c>
      <c r="AG4004">
        <v>-1.110540329317</v>
      </c>
      <c r="AH4004">
        <v>22.005429629429099</v>
      </c>
      <c r="AI4004">
        <v>92.870152188695698</v>
      </c>
      <c r="AJ4004">
        <v>96.566800465902702</v>
      </c>
      <c r="AK4004">
        <v>22.178577655427699</v>
      </c>
      <c r="AL4004">
        <v>83.530972637945396</v>
      </c>
      <c r="AM4004">
        <v>96.302643983092693</v>
      </c>
      <c r="AN4004">
        <v>1.0000000209939699</v>
      </c>
    </row>
    <row r="4005" spans="1:40" x14ac:dyDescent="0.25">
      <c r="A4005" t="str">
        <f>"20190312172744022"</f>
        <v>20190312172744022</v>
      </c>
      <c r="B4005" t="str">
        <f>"1552382864013168"</f>
        <v>1552382864013168</v>
      </c>
      <c r="C4005" t="s">
        <v>40</v>
      </c>
      <c r="D4005">
        <v>3.3958379999999999</v>
      </c>
      <c r="E4005">
        <v>0.5260804</v>
      </c>
      <c r="F4005" t="s">
        <v>50</v>
      </c>
      <c r="G4005">
        <v>-407.08370000000002</v>
      </c>
      <c r="H4005" s="1">
        <v>-9.2167829999999997E-6</v>
      </c>
      <c r="I4005">
        <v>140.4161</v>
      </c>
      <c r="J4005">
        <v>-385.6053</v>
      </c>
      <c r="K4005">
        <v>1.110663</v>
      </c>
      <c r="L4005">
        <v>142.03</v>
      </c>
      <c r="M4005">
        <v>-0.99908260000000004</v>
      </c>
      <c r="N4005">
        <v>0</v>
      </c>
      <c r="O4005">
        <v>4.0555800000000003E-2</v>
      </c>
      <c r="P4005">
        <v>-0.9930987</v>
      </c>
      <c r="Q4005">
        <v>9.6869590000000005E-2</v>
      </c>
      <c r="R4005">
        <v>-6.611649E-2</v>
      </c>
      <c r="S4005">
        <v>-3.022186</v>
      </c>
      <c r="T4005">
        <v>-0.15288209999999999</v>
      </c>
      <c r="U4005">
        <v>-0.219635</v>
      </c>
      <c r="V4005">
        <v>-0.1064595</v>
      </c>
      <c r="W4005">
        <v>0.1103551</v>
      </c>
      <c r="X4005">
        <v>0.98817410000000006</v>
      </c>
      <c r="Y4005">
        <v>-0.1126813</v>
      </c>
      <c r="Z4005">
        <v>-4.8926170000000001E-3</v>
      </c>
      <c r="AA4005">
        <v>0.99361909999999998</v>
      </c>
      <c r="AB4005">
        <v>23</v>
      </c>
      <c r="AC4005">
        <v>-21.478400000000001</v>
      </c>
      <c r="AD4005">
        <v>-1.1106722167830001</v>
      </c>
      <c r="AE4005">
        <v>-1.6138999999999999</v>
      </c>
      <c r="AF4005">
        <v>-2.4771412704882501</v>
      </c>
      <c r="AG4005">
        <v>-1.1106722167830001</v>
      </c>
      <c r="AH4005">
        <v>21.338526918407702</v>
      </c>
      <c r="AI4005">
        <v>92.959720889160195</v>
      </c>
      <c r="AJ4005">
        <v>96.621697982741793</v>
      </c>
      <c r="AK4005">
        <v>21.510521906608801</v>
      </c>
      <c r="AL4005">
        <v>83.664213835987994</v>
      </c>
      <c r="AM4005">
        <v>96.148961349990302</v>
      </c>
      <c r="AN4005">
        <v>0.99999996257353396</v>
      </c>
    </row>
    <row r="4006" spans="1:40" x14ac:dyDescent="0.25">
      <c r="A4006" t="str">
        <f>"20190312172744044"</f>
        <v>20190312172744044</v>
      </c>
      <c r="B4006" t="str">
        <f>"1552382864033664"</f>
        <v>1552382864033664</v>
      </c>
      <c r="C4006" t="s">
        <v>40</v>
      </c>
      <c r="D4006">
        <v>3.1958000000000002</v>
      </c>
      <c r="E4006">
        <v>0.57530780000000004</v>
      </c>
      <c r="F4006" t="s">
        <v>44</v>
      </c>
      <c r="G4006">
        <v>-386.38729999999998</v>
      </c>
      <c r="H4006">
        <v>1.007684</v>
      </c>
      <c r="I4006">
        <v>142.0299</v>
      </c>
      <c r="J4006">
        <v>-385.83659999999998</v>
      </c>
      <c r="K4006">
        <v>1.1107209999999901</v>
      </c>
      <c r="L4006">
        <v>142.0386</v>
      </c>
      <c r="M4006">
        <v>-0.99911369999999999</v>
      </c>
      <c r="N4006">
        <v>0</v>
      </c>
      <c r="O4006">
        <v>3.9787410000000002E-2</v>
      </c>
      <c r="P4006">
        <v>-0.99339829999999996</v>
      </c>
      <c r="Q4006">
        <v>9.5187259999999996E-2</v>
      </c>
      <c r="R4006">
        <v>-6.4027719999999996E-2</v>
      </c>
      <c r="S4006">
        <v>-3.0600890000000001</v>
      </c>
      <c r="T4006">
        <v>-0.40311619999999998</v>
      </c>
      <c r="U4006">
        <v>-1.586914E-3</v>
      </c>
      <c r="V4006">
        <v>-0.103641899999999</v>
      </c>
      <c r="W4006">
        <v>0.1086611</v>
      </c>
      <c r="X4006">
        <v>0.98866129999999997</v>
      </c>
      <c r="Y4006">
        <v>-3.9623360000000003E-2</v>
      </c>
      <c r="Z4006">
        <v>-7.8168930000000001E-3</v>
      </c>
      <c r="AA4006">
        <v>0.99918410000000002</v>
      </c>
      <c r="AB4006">
        <v>23</v>
      </c>
      <c r="AC4006">
        <v>-0.55070000000000596</v>
      </c>
      <c r="AD4006">
        <v>-0.103036999999999</v>
      </c>
      <c r="AE4006">
        <v>-8.7000000000045895E-3</v>
      </c>
      <c r="AF4006">
        <v>-2.9571162243665499E-2</v>
      </c>
      <c r="AG4006">
        <v>-0.103036999999999</v>
      </c>
      <c r="AH4006">
        <v>0.531322256734999</v>
      </c>
      <c r="AI4006">
        <v>100.958347289313</v>
      </c>
      <c r="AJ4006">
        <v>93.1855556751987</v>
      </c>
      <c r="AK4006">
        <v>0.54202805970485801</v>
      </c>
      <c r="AL4006">
        <v>83.761860529574307</v>
      </c>
      <c r="AM4006">
        <v>95.984489432744596</v>
      </c>
      <c r="AN4006">
        <v>1.0000000221032499</v>
      </c>
    </row>
    <row r="4007" spans="1:40" x14ac:dyDescent="0.25">
      <c r="A4007" t="str">
        <f>"20190312172744065"</f>
        <v>20190312172744065</v>
      </c>
      <c r="B4007" t="str">
        <f>"1552382864053184"</f>
        <v>1552382864053184</v>
      </c>
      <c r="C4007" t="s">
        <v>40</v>
      </c>
      <c r="D4007">
        <v>3.2565080000000002</v>
      </c>
      <c r="E4007">
        <v>0.58672429999999998</v>
      </c>
      <c r="F4007" t="s">
        <v>44</v>
      </c>
      <c r="G4007">
        <v>-386.57319999999999</v>
      </c>
      <c r="H4007">
        <v>0.9745085</v>
      </c>
      <c r="I4007">
        <v>142.13229999999999</v>
      </c>
      <c r="J4007">
        <v>-386.0609</v>
      </c>
      <c r="K4007">
        <v>1.1107739999999999</v>
      </c>
      <c r="L4007">
        <v>142.04660000000001</v>
      </c>
      <c r="M4007">
        <v>-0.99914760000000002</v>
      </c>
      <c r="N4007">
        <v>0</v>
      </c>
      <c r="O4007">
        <v>3.8922999999999999E-2</v>
      </c>
      <c r="P4007">
        <v>-0.99380520000000006</v>
      </c>
      <c r="Q4007">
        <v>9.2255149999999994E-2</v>
      </c>
      <c r="R4007">
        <v>-6.1971430000000001E-2</v>
      </c>
      <c r="S4007">
        <v>-3.10025</v>
      </c>
      <c r="T4007">
        <v>-0.57329049999999904</v>
      </c>
      <c r="U4007">
        <v>0.39382929999999999</v>
      </c>
      <c r="V4007">
        <v>-0.10076400000000001</v>
      </c>
      <c r="W4007">
        <v>0.1057198</v>
      </c>
      <c r="X4007">
        <v>0.98927750000000003</v>
      </c>
      <c r="Y4007">
        <v>8.6513590000000001E-2</v>
      </c>
      <c r="Z4007">
        <v>7.9658069999999999E-4</v>
      </c>
      <c r="AA4007">
        <v>0.99625030000000003</v>
      </c>
      <c r="AB4007">
        <v>23</v>
      </c>
      <c r="AC4007">
        <v>-0.51229999999998199</v>
      </c>
      <c r="AD4007">
        <v>-0.13626550000000001</v>
      </c>
      <c r="AE4007">
        <v>8.5699999999974297E-2</v>
      </c>
      <c r="AF4007">
        <v>6.1462821387984E-2</v>
      </c>
      <c r="AG4007">
        <v>-0.13626550000000001</v>
      </c>
      <c r="AH4007">
        <v>0.48206999074611701</v>
      </c>
      <c r="AI4007">
        <v>105.66337009846799</v>
      </c>
      <c r="AJ4007">
        <v>82.734120485175893</v>
      </c>
      <c r="AK4007">
        <v>0.50471520769755096</v>
      </c>
      <c r="AL4007">
        <v>83.931361205232193</v>
      </c>
      <c r="AM4007">
        <v>95.815870413877207</v>
      </c>
      <c r="AN4007">
        <v>1.00000001590714</v>
      </c>
    </row>
    <row r="4008" spans="1:40" x14ac:dyDescent="0.25">
      <c r="A4008" t="str">
        <f>"20190312172744087"</f>
        <v>20190312172744087</v>
      </c>
      <c r="B4008" t="str">
        <f>"1552382864083440"</f>
        <v>1552382864083440</v>
      </c>
      <c r="C4008" t="s">
        <v>40</v>
      </c>
      <c r="D4008">
        <v>3.2727439999999999</v>
      </c>
      <c r="E4008">
        <v>0.59319630000000001</v>
      </c>
      <c r="F4008" t="s">
        <v>44</v>
      </c>
      <c r="G4008">
        <v>-386.77800000000002</v>
      </c>
      <c r="H4008">
        <v>0.97020209999999996</v>
      </c>
      <c r="I4008">
        <v>142.16030000000001</v>
      </c>
      <c r="J4008">
        <v>-386.28960000000001</v>
      </c>
      <c r="K4008">
        <v>1.1108439999999999</v>
      </c>
      <c r="L4008">
        <v>142.05449999999999</v>
      </c>
      <c r="M4008">
        <v>-0.99918709999999999</v>
      </c>
      <c r="N4008">
        <v>0</v>
      </c>
      <c r="O4008">
        <v>3.7900160000000002E-2</v>
      </c>
      <c r="P4008">
        <v>-0.99423519999999999</v>
      </c>
      <c r="Q4008">
        <v>8.9184890000000003E-2</v>
      </c>
      <c r="R4008">
        <v>-5.952271E-2</v>
      </c>
      <c r="S4008">
        <v>-3.1058650000000001</v>
      </c>
      <c r="T4008">
        <v>-0.60898609999999997</v>
      </c>
      <c r="U4008">
        <v>0.49128719999999998</v>
      </c>
      <c r="V4008">
        <v>-9.7336249999999999E-2</v>
      </c>
      <c r="W4008">
        <v>0.1026415</v>
      </c>
      <c r="X4008">
        <v>0.98994459999999995</v>
      </c>
      <c r="Y4008">
        <v>0.11721570000000001</v>
      </c>
      <c r="Z4008">
        <v>4.0038549999999997E-3</v>
      </c>
      <c r="AA4008">
        <v>0.99309840000000005</v>
      </c>
      <c r="AB4008">
        <v>23</v>
      </c>
      <c r="AC4008">
        <v>-0.48840000000001199</v>
      </c>
      <c r="AD4008">
        <v>-0.14064189999999899</v>
      </c>
      <c r="AE4008">
        <v>0.10580000000001601</v>
      </c>
      <c r="AF4008">
        <v>8.0811013716352201E-2</v>
      </c>
      <c r="AG4008">
        <v>-0.14064189999999899</v>
      </c>
      <c r="AH4008">
        <v>0.45594532860485898</v>
      </c>
      <c r="AI4008">
        <v>106.89503146168499</v>
      </c>
      <c r="AJ4008">
        <v>79.949362897123194</v>
      </c>
      <c r="AK4008">
        <v>0.483938742662816</v>
      </c>
      <c r="AL4008">
        <v>84.108699592321699</v>
      </c>
      <c r="AM4008">
        <v>95.615554208938207</v>
      </c>
      <c r="AN4008">
        <v>0.99999996707773497</v>
      </c>
    </row>
    <row r="4009" spans="1:40" x14ac:dyDescent="0.25">
      <c r="A4009" t="str">
        <f>"20190312172744110"</f>
        <v>20190312172744110</v>
      </c>
      <c r="B4009" t="str">
        <f>"1552382864102964"</f>
        <v>1552382864102964</v>
      </c>
      <c r="C4009" t="s">
        <v>40</v>
      </c>
      <c r="D4009">
        <v>3.238299</v>
      </c>
      <c r="E4009">
        <v>0.59503319999999904</v>
      </c>
      <c r="F4009" t="s">
        <v>44</v>
      </c>
      <c r="G4009">
        <v>-386.98430000000002</v>
      </c>
      <c r="H4009">
        <v>0.96852280000000002</v>
      </c>
      <c r="I4009">
        <v>142.17779999999999</v>
      </c>
      <c r="J4009">
        <v>-386.52850000000001</v>
      </c>
      <c r="K4009">
        <v>1.1109519999999999</v>
      </c>
      <c r="L4009">
        <v>142.06219999999999</v>
      </c>
      <c r="M4009">
        <v>-0.99923340000000005</v>
      </c>
      <c r="N4009">
        <v>0</v>
      </c>
      <c r="O4009">
        <v>3.6658360000000001E-2</v>
      </c>
      <c r="P4009">
        <v>-0.99451639999999997</v>
      </c>
      <c r="Q4009">
        <v>8.7191790000000005E-2</v>
      </c>
      <c r="R4009">
        <v>-5.7751320000000002E-2</v>
      </c>
      <c r="S4009">
        <v>-3.1074220000000001</v>
      </c>
      <c r="T4009">
        <v>-0.63677980000000001</v>
      </c>
      <c r="U4009">
        <v>0.55033869999999996</v>
      </c>
      <c r="V4009">
        <v>-9.4365770000000002E-2</v>
      </c>
      <c r="W4009">
        <v>0.1006364</v>
      </c>
      <c r="X4009">
        <v>0.99043800000000004</v>
      </c>
      <c r="Y4009">
        <v>0.13617089999999901</v>
      </c>
      <c r="Z4009">
        <v>6.3325760000000004E-3</v>
      </c>
      <c r="AA4009">
        <v>0.99066509999999997</v>
      </c>
      <c r="AB4009">
        <v>23</v>
      </c>
      <c r="AC4009">
        <v>-0.45580000000000997</v>
      </c>
      <c r="AD4009">
        <v>-0.14242919999999901</v>
      </c>
      <c r="AE4009">
        <v>0.11559999999999999</v>
      </c>
      <c r="AF4009">
        <v>9.0508270125953805E-2</v>
      </c>
      <c r="AG4009">
        <v>-0.14242919999999901</v>
      </c>
      <c r="AH4009">
        <v>0.421098572454354</v>
      </c>
      <c r="AI4009">
        <v>108.298045579104</v>
      </c>
      <c r="AJ4009">
        <v>77.869751287259703</v>
      </c>
      <c r="AK4009">
        <v>0.453653867719573</v>
      </c>
      <c r="AL4009">
        <v>84.224181658784502</v>
      </c>
      <c r="AM4009">
        <v>95.442530096454504</v>
      </c>
      <c r="AN4009">
        <v>1.00000000769832</v>
      </c>
    </row>
    <row r="4010" spans="1:40" x14ac:dyDescent="0.25">
      <c r="A4010" t="str">
        <f>"20190312172744132"</f>
        <v>20190312172744132</v>
      </c>
      <c r="B4010" t="str">
        <f>"1552382864123456"</f>
        <v>1552382864123456</v>
      </c>
      <c r="C4010" t="s">
        <v>40</v>
      </c>
      <c r="D4010">
        <v>3.2710889999999999</v>
      </c>
      <c r="E4010">
        <v>0.59638599999999997</v>
      </c>
      <c r="F4010" t="s">
        <v>44</v>
      </c>
      <c r="G4010">
        <v>-387.38119999999998</v>
      </c>
      <c r="H4010">
        <v>0.93346110000000004</v>
      </c>
      <c r="I4010">
        <v>142.21879999999999</v>
      </c>
      <c r="J4010">
        <v>-386.75549999999998</v>
      </c>
      <c r="K4010">
        <v>1.111056</v>
      </c>
      <c r="L4010">
        <v>142.06909999999999</v>
      </c>
      <c r="M4010">
        <v>-0.99928130000000004</v>
      </c>
      <c r="N4010">
        <v>0</v>
      </c>
      <c r="O4010">
        <v>3.532822E-2</v>
      </c>
      <c r="P4010">
        <v>-0.99469819999999998</v>
      </c>
      <c r="Q4010">
        <v>8.6853470000000002E-2</v>
      </c>
      <c r="R4010">
        <v>-5.5066039999999997E-2</v>
      </c>
      <c r="S4010">
        <v>-3.106293</v>
      </c>
      <c r="T4010">
        <v>-0.64673259999999999</v>
      </c>
      <c r="U4010">
        <v>0.56953430000000005</v>
      </c>
      <c r="V4010">
        <v>-9.0392109999999998E-2</v>
      </c>
      <c r="W4010">
        <v>0.10028960000000001</v>
      </c>
      <c r="X4010">
        <v>0.99084369999999999</v>
      </c>
      <c r="Y4010">
        <v>0.14324139999999999</v>
      </c>
      <c r="Z4010">
        <v>7.4222609999999899E-3</v>
      </c>
      <c r="AA4010">
        <v>0.98965999999999998</v>
      </c>
      <c r="AB4010">
        <v>23</v>
      </c>
      <c r="AC4010">
        <v>-0.62569999999999404</v>
      </c>
      <c r="AD4010">
        <v>-0.1775949</v>
      </c>
      <c r="AE4010">
        <v>0.149699999999995</v>
      </c>
      <c r="AF4010">
        <v>0.11847202257401</v>
      </c>
      <c r="AG4010">
        <v>-0.1775949</v>
      </c>
      <c r="AH4010">
        <v>0.58594919969655701</v>
      </c>
      <c r="AI4010">
        <v>106.545514917753</v>
      </c>
      <c r="AJ4010">
        <v>78.569565080438693</v>
      </c>
      <c r="AK4010">
        <v>0.62362812096939801</v>
      </c>
      <c r="AL4010">
        <v>84.244152757602805</v>
      </c>
      <c r="AM4010">
        <v>95.212517551210397</v>
      </c>
      <c r="AN4010">
        <v>0.99999998762405096</v>
      </c>
    </row>
    <row r="4011" spans="1:40" x14ac:dyDescent="0.25">
      <c r="A4011" t="str">
        <f>"20190312172744155"</f>
        <v>20190312172744155</v>
      </c>
      <c r="B4011" t="str">
        <f>"1552382864142977"</f>
        <v>1552382864142977</v>
      </c>
      <c r="C4011" t="s">
        <v>40</v>
      </c>
      <c r="D4011">
        <v>3.2679260000000001</v>
      </c>
      <c r="E4011">
        <v>0.59703430000000002</v>
      </c>
      <c r="F4011" t="s">
        <v>44</v>
      </c>
      <c r="G4011">
        <v>-387.58890000000002</v>
      </c>
      <c r="H4011">
        <v>0.93573989999999996</v>
      </c>
      <c r="I4011">
        <v>142.22669999999999</v>
      </c>
      <c r="J4011">
        <v>-386.99299999999999</v>
      </c>
      <c r="K4011">
        <v>1.111157</v>
      </c>
      <c r="L4011">
        <v>142.07579999999999</v>
      </c>
      <c r="M4011">
        <v>-0.99933399999999994</v>
      </c>
      <c r="N4011">
        <v>0</v>
      </c>
      <c r="O4011">
        <v>3.3802270000000002E-2</v>
      </c>
      <c r="P4011">
        <v>-0.99470080000000005</v>
      </c>
      <c r="Q4011">
        <v>8.761853E-2</v>
      </c>
      <c r="R4011">
        <v>-5.3791390000000001E-2</v>
      </c>
      <c r="S4011">
        <v>-3.1055299999999999</v>
      </c>
      <c r="T4011">
        <v>-0.65337809999999996</v>
      </c>
      <c r="U4011">
        <v>0.58659359999999905</v>
      </c>
      <c r="V4011">
        <v>-8.7627709999999998E-2</v>
      </c>
      <c r="W4011">
        <v>0.1010429</v>
      </c>
      <c r="X4011">
        <v>0.99101550000000005</v>
      </c>
      <c r="Y4011">
        <v>0.14983089999999999</v>
      </c>
      <c r="Z4011">
        <v>8.489389E-3</v>
      </c>
      <c r="AA4011">
        <v>0.98867519999999998</v>
      </c>
      <c r="AB4011">
        <v>23</v>
      </c>
      <c r="AC4011">
        <v>-0.59589999999997101</v>
      </c>
      <c r="AD4011">
        <v>-0.17541709999999999</v>
      </c>
      <c r="AE4011">
        <v>0.150900000000007</v>
      </c>
      <c r="AF4011">
        <v>0.120829482305486</v>
      </c>
      <c r="AG4011">
        <v>-0.17541709999999999</v>
      </c>
      <c r="AH4011">
        <v>0.55542993186524103</v>
      </c>
      <c r="AI4011">
        <v>107.15045136656499</v>
      </c>
      <c r="AJ4011">
        <v>77.726967746411205</v>
      </c>
      <c r="AK4011">
        <v>0.59487253422766795</v>
      </c>
      <c r="AL4011">
        <v>84.200771564230905</v>
      </c>
      <c r="AM4011">
        <v>95.053073598857907</v>
      </c>
      <c r="AN4011">
        <v>1.00000000222025</v>
      </c>
    </row>
    <row r="4012" spans="1:40" x14ac:dyDescent="0.25">
      <c r="A4012" t="str">
        <f>"20190312172744179"</f>
        <v>20190312172744179</v>
      </c>
      <c r="B4012" t="str">
        <f>"1552382864173233"</f>
        <v>1552382864173233</v>
      </c>
      <c r="C4012" t="s">
        <v>40</v>
      </c>
      <c r="D4012">
        <v>3.5854509999999999</v>
      </c>
      <c r="E4012">
        <v>0.5969679</v>
      </c>
      <c r="F4012" t="s">
        <v>44</v>
      </c>
      <c r="G4012">
        <v>-387.79809999999998</v>
      </c>
      <c r="H4012">
        <v>0.94197989999999998</v>
      </c>
      <c r="I4012">
        <v>142.22999999999999</v>
      </c>
      <c r="J4012">
        <v>-387.21929999999998</v>
      </c>
      <c r="K4012">
        <v>1.1112470000000001</v>
      </c>
      <c r="L4012">
        <v>142.08160000000001</v>
      </c>
      <c r="M4012">
        <v>-0.99938649999999996</v>
      </c>
      <c r="N4012">
        <v>0</v>
      </c>
      <c r="O4012">
        <v>3.2215960000000002E-2</v>
      </c>
      <c r="P4012">
        <v>-0.99470389999999997</v>
      </c>
      <c r="Q4012">
        <v>8.865431E-2</v>
      </c>
      <c r="R4012">
        <v>-5.20124E-2</v>
      </c>
      <c r="S4012">
        <v>-3.1056210000000002</v>
      </c>
      <c r="T4012">
        <v>-0.65258609999999995</v>
      </c>
      <c r="U4012">
        <v>0.59480290000000002</v>
      </c>
      <c r="V4012">
        <v>-8.4296739999999995E-2</v>
      </c>
      <c r="W4012">
        <v>0.10207280000000001</v>
      </c>
      <c r="X4012">
        <v>0.99119889999999999</v>
      </c>
      <c r="Y4012">
        <v>0.15380559999999999</v>
      </c>
      <c r="Z4012">
        <v>9.2128680000000008E-3</v>
      </c>
      <c r="AA4012">
        <v>0.98805810000000005</v>
      </c>
      <c r="AB4012">
        <v>23</v>
      </c>
      <c r="AC4012">
        <v>-0.57880000000000098</v>
      </c>
      <c r="AD4012">
        <v>-0.169267099999999</v>
      </c>
      <c r="AE4012">
        <v>0.14839999999998099</v>
      </c>
      <c r="AF4012">
        <v>0.12004143012811599</v>
      </c>
      <c r="AG4012">
        <v>-0.169267099999999</v>
      </c>
      <c r="AH4012">
        <v>0.53995048557881198</v>
      </c>
      <c r="AI4012">
        <v>107.014897172172</v>
      </c>
      <c r="AJ4012">
        <v>77.465890369007596</v>
      </c>
      <c r="AK4012">
        <v>0.57845295657158502</v>
      </c>
      <c r="AL4012">
        <v>84.141456107241197</v>
      </c>
      <c r="AM4012">
        <v>94.861035898441401</v>
      </c>
      <c r="AN4012">
        <v>1.0000000281178301</v>
      </c>
    </row>
    <row r="4013" spans="1:40" x14ac:dyDescent="0.25">
      <c r="A4013" t="str">
        <f>"20190312172744200"</f>
        <v>20190312172744200</v>
      </c>
      <c r="B4013" t="str">
        <f>"1552382864192752"</f>
        <v>1552382864192752</v>
      </c>
      <c r="C4013" t="s">
        <v>40</v>
      </c>
      <c r="D4013">
        <v>3.332614</v>
      </c>
      <c r="E4013">
        <v>0.59724029999999995</v>
      </c>
      <c r="F4013" t="s">
        <v>44</v>
      </c>
      <c r="G4013">
        <v>-388.0061</v>
      </c>
      <c r="H4013">
        <v>0.946214</v>
      </c>
      <c r="I4013">
        <v>142.23330000000001</v>
      </c>
      <c r="J4013">
        <v>-387.4513</v>
      </c>
      <c r="K4013">
        <v>1.111327</v>
      </c>
      <c r="L4013">
        <v>142.0872</v>
      </c>
      <c r="M4013">
        <v>-0.99944200000000005</v>
      </c>
      <c r="N4013">
        <v>0</v>
      </c>
      <c r="O4013">
        <v>3.0442110000000001E-2</v>
      </c>
      <c r="P4013">
        <v>-0.99481929999999996</v>
      </c>
      <c r="Q4013">
        <v>8.8434849999999995E-2</v>
      </c>
      <c r="R4013">
        <v>-5.0138620000000002E-2</v>
      </c>
      <c r="S4013">
        <v>-3.1053160000000002</v>
      </c>
      <c r="T4013">
        <v>-0.65146340000000003</v>
      </c>
      <c r="U4013">
        <v>0.59782409999999997</v>
      </c>
      <c r="V4013">
        <v>-8.0684679999999995E-2</v>
      </c>
      <c r="W4013">
        <v>0.1018522</v>
      </c>
      <c r="X4013">
        <v>0.99152209999999996</v>
      </c>
      <c r="Y4013">
        <v>0.1564198</v>
      </c>
      <c r="Z4013">
        <v>9.8305419999999994E-3</v>
      </c>
      <c r="AA4013">
        <v>0.98764180000000001</v>
      </c>
      <c r="AB4013">
        <v>23</v>
      </c>
      <c r="AC4013">
        <v>-0.55479999999999996</v>
      </c>
      <c r="AD4013">
        <v>-0.16511300000000001</v>
      </c>
      <c r="AE4013">
        <v>0.14610000000001799</v>
      </c>
      <c r="AF4013">
        <v>0.119263203956902</v>
      </c>
      <c r="AG4013">
        <v>-0.16511300000000001</v>
      </c>
      <c r="AH4013">
        <v>0.51623290213134598</v>
      </c>
      <c r="AI4013">
        <v>107.30879714811699</v>
      </c>
      <c r="AJ4013">
        <v>76.991418003898005</v>
      </c>
      <c r="AK4013">
        <v>0.55496164176456197</v>
      </c>
      <c r="AL4013">
        <v>84.154161501308195</v>
      </c>
      <c r="AM4013">
        <v>94.6521686210409</v>
      </c>
      <c r="AN4013">
        <v>0.99999998150997504</v>
      </c>
    </row>
    <row r="4014" spans="1:40" x14ac:dyDescent="0.25">
      <c r="A4014" t="str">
        <f>"20190312172744223"</f>
        <v>20190312172744223</v>
      </c>
      <c r="B4014" t="str">
        <f>"1552382864213248"</f>
        <v>1552382864213248</v>
      </c>
      <c r="C4014" t="s">
        <v>40</v>
      </c>
      <c r="D4014">
        <v>3.2399800000000001</v>
      </c>
      <c r="E4014">
        <v>0.59843780000000002</v>
      </c>
      <c r="F4014" t="s">
        <v>44</v>
      </c>
      <c r="G4014">
        <v>-388.21379999999999</v>
      </c>
      <c r="H4014">
        <v>0.95027159999999999</v>
      </c>
      <c r="I4014">
        <v>142.2354</v>
      </c>
      <c r="J4014">
        <v>-387.69150000000002</v>
      </c>
      <c r="K4014">
        <v>1.11141</v>
      </c>
      <c r="L4014">
        <v>142.09229999999999</v>
      </c>
      <c r="M4014">
        <v>-0.99950110000000003</v>
      </c>
      <c r="N4014">
        <v>0</v>
      </c>
      <c r="O4014">
        <v>2.8441589999999999E-2</v>
      </c>
      <c r="P4014">
        <v>-0.99511110000000003</v>
      </c>
      <c r="Q4014">
        <v>8.6593390000000006E-2</v>
      </c>
      <c r="R4014">
        <v>-4.749743E-2</v>
      </c>
      <c r="S4014">
        <v>-3.1043699999999999</v>
      </c>
      <c r="T4014">
        <v>-0.65563549999999904</v>
      </c>
      <c r="U4014">
        <v>0.60360719999999901</v>
      </c>
      <c r="V4014">
        <v>-7.6082650000000002E-2</v>
      </c>
      <c r="W4014">
        <v>0.1000149</v>
      </c>
      <c r="X4014">
        <v>0.99207279999999998</v>
      </c>
      <c r="Y4014">
        <v>0.16006979999999901</v>
      </c>
      <c r="Z4014">
        <v>1.068472E-2</v>
      </c>
      <c r="AA4014">
        <v>0.98704789999999998</v>
      </c>
      <c r="AB4014">
        <v>23</v>
      </c>
      <c r="AC4014">
        <v>-0.52229999999997201</v>
      </c>
      <c r="AD4014">
        <v>-0.16113839999999999</v>
      </c>
      <c r="AE4014">
        <v>0.143100000000004</v>
      </c>
      <c r="AF4014">
        <v>0.11775961098087701</v>
      </c>
      <c r="AG4014">
        <v>-0.16113839999999999</v>
      </c>
      <c r="AH4014">
        <v>0.48336363423453799</v>
      </c>
      <c r="AI4014">
        <v>107.946895897999</v>
      </c>
      <c r="AJ4014">
        <v>76.308027211254398</v>
      </c>
      <c r="AK4014">
        <v>0.52294675908102495</v>
      </c>
      <c r="AL4014">
        <v>84.259971486373601</v>
      </c>
      <c r="AM4014">
        <v>94.3854630507671</v>
      </c>
      <c r="AN4014">
        <v>0.99999999517643601</v>
      </c>
    </row>
    <row r="4015" spans="1:40" x14ac:dyDescent="0.25">
      <c r="A4015" t="str">
        <f>"20190312172744245"</f>
        <v>20190312172744245</v>
      </c>
      <c r="B4015" t="str">
        <f>"1552382864232769"</f>
        <v>1552382864232769</v>
      </c>
      <c r="C4015" t="s">
        <v>40</v>
      </c>
      <c r="D4015">
        <v>3.2911549999999998</v>
      </c>
      <c r="E4015">
        <v>0.59944180000000002</v>
      </c>
      <c r="F4015" t="s">
        <v>44</v>
      </c>
      <c r="G4015">
        <v>-388.42140000000001</v>
      </c>
      <c r="H4015">
        <v>0.9546133</v>
      </c>
      <c r="I4015">
        <v>142.23859999999999</v>
      </c>
      <c r="J4015">
        <v>-387.9128</v>
      </c>
      <c r="K4015">
        <v>1.1114930000000001</v>
      </c>
      <c r="L4015">
        <v>142.09639999999999</v>
      </c>
      <c r="M4015">
        <v>-0.99955570000000005</v>
      </c>
      <c r="N4015">
        <v>0</v>
      </c>
      <c r="O4015">
        <v>2.644937E-2</v>
      </c>
      <c r="P4015">
        <v>-0.99535600000000002</v>
      </c>
      <c r="Q4015">
        <v>8.4528839999999994E-2</v>
      </c>
      <c r="R4015">
        <v>-4.6058540000000002E-2</v>
      </c>
      <c r="S4015">
        <v>-3.1023559999999999</v>
      </c>
      <c r="T4015">
        <v>-0.6666453</v>
      </c>
      <c r="U4015">
        <v>0.62078859999999902</v>
      </c>
      <c r="V4015">
        <v>-7.2686929999999997E-2</v>
      </c>
      <c r="W4015">
        <v>9.7951769999999994E-2</v>
      </c>
      <c r="X4015">
        <v>0.99253309999999995</v>
      </c>
      <c r="Y4015">
        <v>0.16712149999999901</v>
      </c>
      <c r="Z4015">
        <v>1.202217E-2</v>
      </c>
      <c r="AA4015">
        <v>0.98586300000000004</v>
      </c>
      <c r="AB4015">
        <v>23</v>
      </c>
      <c r="AC4015">
        <v>-0.50860000000000105</v>
      </c>
      <c r="AD4015">
        <v>-0.15687970000000001</v>
      </c>
      <c r="AE4015">
        <v>0.14220000000000199</v>
      </c>
      <c r="AF4015">
        <v>0.11826082467725101</v>
      </c>
      <c r="AG4015">
        <v>-0.15687970000000001</v>
      </c>
      <c r="AH4015">
        <v>0.470650640065917</v>
      </c>
      <c r="AI4015">
        <v>107.914775113201</v>
      </c>
      <c r="AJ4015">
        <v>75.895241521127801</v>
      </c>
      <c r="AK4015">
        <v>0.51000871357251498</v>
      </c>
      <c r="AL4015">
        <v>84.378763254503895</v>
      </c>
      <c r="AM4015">
        <v>94.1885080841747</v>
      </c>
      <c r="AN4015">
        <v>0.99999994681728199</v>
      </c>
    </row>
    <row r="4016" spans="1:40" x14ac:dyDescent="0.25">
      <c r="A4016" t="str">
        <f>"20190312172744266"</f>
        <v>20190312172744266</v>
      </c>
      <c r="B4016" t="str">
        <f>"1552382864263025"</f>
        <v>1552382864263025</v>
      </c>
      <c r="C4016" t="s">
        <v>40</v>
      </c>
      <c r="D4016">
        <v>3.1890559999999999</v>
      </c>
      <c r="E4016">
        <v>0.60064150000000005</v>
      </c>
      <c r="F4016" t="s">
        <v>44</v>
      </c>
      <c r="G4016">
        <v>-388.62689999999998</v>
      </c>
      <c r="H4016">
        <v>0.95545959999999996</v>
      </c>
      <c r="I4016">
        <v>142.24209999999999</v>
      </c>
      <c r="J4016">
        <v>-388.13029999999998</v>
      </c>
      <c r="K4016">
        <v>1.1115900000000001</v>
      </c>
      <c r="L4016">
        <v>142.09989999999999</v>
      </c>
      <c r="M4016">
        <v>-0.99960899999999997</v>
      </c>
      <c r="N4016">
        <v>0</v>
      </c>
      <c r="O4016">
        <v>2.4349249999999999E-2</v>
      </c>
      <c r="P4016">
        <v>-0.99554399999999998</v>
      </c>
      <c r="Q4016">
        <v>8.3086950000000007E-2</v>
      </c>
      <c r="R4016">
        <v>-4.4599760000000002E-2</v>
      </c>
      <c r="S4016">
        <v>-3.1008</v>
      </c>
      <c r="T4016">
        <v>-0.67752659999999998</v>
      </c>
      <c r="U4016">
        <v>0.63262940000000001</v>
      </c>
      <c r="V4016">
        <v>-6.9163719999999998E-2</v>
      </c>
      <c r="W4016">
        <v>9.6512360000000005E-2</v>
      </c>
      <c r="X4016">
        <v>0.99292579999999997</v>
      </c>
      <c r="Y4016">
        <v>0.17262810000000001</v>
      </c>
      <c r="Z4016">
        <v>1.3252720000000001E-2</v>
      </c>
      <c r="AA4016">
        <v>0.98489789999999999</v>
      </c>
      <c r="AB4016">
        <v>23</v>
      </c>
      <c r="AC4016">
        <v>-0.49659999999999999</v>
      </c>
      <c r="AD4016">
        <v>-0.156130399999999</v>
      </c>
      <c r="AE4016">
        <v>0.14220000000000199</v>
      </c>
      <c r="AF4016">
        <v>0.119177306781468</v>
      </c>
      <c r="AG4016">
        <v>-0.156130399999999</v>
      </c>
      <c r="AH4016">
        <v>0.458068305958305</v>
      </c>
      <c r="AI4016">
        <v>108.25584903140199</v>
      </c>
      <c r="AJ4016">
        <v>75.416464346723302</v>
      </c>
      <c r="AK4016">
        <v>0.49840395782874303</v>
      </c>
      <c r="AL4016">
        <v>84.461628037314298</v>
      </c>
      <c r="AM4016">
        <v>93.984586421622794</v>
      </c>
      <c r="AN4016">
        <v>0.99999995005132203</v>
      </c>
    </row>
    <row r="4017" spans="1:40" x14ac:dyDescent="0.25">
      <c r="A4017" t="str">
        <f>"20190312172744289"</f>
        <v>20190312172744289</v>
      </c>
      <c r="B4017" t="str">
        <f>"1552382864283520"</f>
        <v>1552382864283520</v>
      </c>
      <c r="C4017" t="s">
        <v>40</v>
      </c>
      <c r="D4017">
        <v>3.2026309999999998</v>
      </c>
      <c r="E4017">
        <v>0.6013309</v>
      </c>
      <c r="F4017" t="s">
        <v>44</v>
      </c>
      <c r="G4017">
        <v>-388.83199999999999</v>
      </c>
      <c r="H4017">
        <v>0.95593399999999995</v>
      </c>
      <c r="I4017">
        <v>142.2465</v>
      </c>
      <c r="J4017">
        <v>-388.36099999999999</v>
      </c>
      <c r="K4017">
        <v>1.111686</v>
      </c>
      <c r="L4017">
        <v>142.10290000000001</v>
      </c>
      <c r="M4017">
        <v>-0.9996642</v>
      </c>
      <c r="N4017">
        <v>0</v>
      </c>
      <c r="O4017">
        <v>2.196381E-2</v>
      </c>
      <c r="P4017">
        <v>-0.99558760000000002</v>
      </c>
      <c r="Q4017">
        <v>8.3199129999999996E-2</v>
      </c>
      <c r="R4017">
        <v>-4.3394490000000001E-2</v>
      </c>
      <c r="S4017">
        <v>-3.0997919999999999</v>
      </c>
      <c r="T4017">
        <v>-0.68784089999999998</v>
      </c>
      <c r="U4017">
        <v>0.6465149</v>
      </c>
      <c r="V4017">
        <v>-6.5612989999999996E-2</v>
      </c>
      <c r="W4017">
        <v>9.6625320000000001E-2</v>
      </c>
      <c r="X4017">
        <v>0.99315580000000003</v>
      </c>
      <c r="Y4017">
        <v>0.17896400000000001</v>
      </c>
      <c r="Z4017">
        <v>1.465259E-2</v>
      </c>
      <c r="AA4017">
        <v>0.98374649999999997</v>
      </c>
      <c r="AB4017">
        <v>23</v>
      </c>
      <c r="AC4017">
        <v>-0.47100000000000303</v>
      </c>
      <c r="AD4017">
        <v>-0.155751999999999</v>
      </c>
      <c r="AE4017">
        <v>0.14359999999999201</v>
      </c>
      <c r="AF4017">
        <v>0.121102892273886</v>
      </c>
      <c r="AG4017">
        <v>-0.155751999999999</v>
      </c>
      <c r="AH4017">
        <v>0.43092587393496201</v>
      </c>
      <c r="AI4017">
        <v>109.185669121427</v>
      </c>
      <c r="AJ4017">
        <v>74.303069314953703</v>
      </c>
      <c r="AK4017">
        <v>0.47394272317202202</v>
      </c>
      <c r="AL4017">
        <v>84.455125681512399</v>
      </c>
      <c r="AM4017">
        <v>93.779761777413796</v>
      </c>
      <c r="AN4017">
        <v>0.99999997999774104</v>
      </c>
    </row>
    <row r="4018" spans="1:40" x14ac:dyDescent="0.25">
      <c r="A4018" t="str">
        <f>"20190312172744326"</f>
        <v>20190312172744326</v>
      </c>
      <c r="B4018" t="str">
        <f>"1552382864303041"</f>
        <v>1552382864303041</v>
      </c>
      <c r="C4018" t="s">
        <v>40</v>
      </c>
      <c r="D4018">
        <v>3.202083</v>
      </c>
      <c r="E4018">
        <v>0.60188660000000005</v>
      </c>
      <c r="F4018" t="s">
        <v>44</v>
      </c>
      <c r="G4018">
        <v>-389.22519999999997</v>
      </c>
      <c r="H4018">
        <v>0.91878269999999995</v>
      </c>
      <c r="I4018">
        <v>142.28579999999999</v>
      </c>
      <c r="J4018">
        <v>-388.5917</v>
      </c>
      <c r="K4018">
        <v>1.1117790000000001</v>
      </c>
      <c r="L4018">
        <v>142.10509999999999</v>
      </c>
      <c r="M4018">
        <v>-0.99971710000000003</v>
      </c>
      <c r="N4018">
        <v>0</v>
      </c>
      <c r="O4018">
        <v>1.940797E-2</v>
      </c>
      <c r="P4018">
        <v>-0.99570519999999996</v>
      </c>
      <c r="Q4018">
        <v>8.2298990000000002E-2</v>
      </c>
      <c r="R4018">
        <v>-4.240294E-2</v>
      </c>
      <c r="S4018">
        <v>-3.09964</v>
      </c>
      <c r="T4018">
        <v>-0.692279599999999</v>
      </c>
      <c r="U4018">
        <v>0.65449519999999906</v>
      </c>
      <c r="V4018">
        <v>-6.2100759999999998E-2</v>
      </c>
      <c r="W4018">
        <v>9.5730159999999995E-2</v>
      </c>
      <c r="X4018">
        <v>0.99346829999999997</v>
      </c>
      <c r="Y4018">
        <v>0.18369389999999999</v>
      </c>
      <c r="Z4018">
        <v>1.5815550000000001E-2</v>
      </c>
      <c r="AA4018">
        <v>0.98285630000000002</v>
      </c>
      <c r="AB4018">
        <v>23</v>
      </c>
      <c r="AC4018">
        <v>-0.63349999999996898</v>
      </c>
      <c r="AD4018">
        <v>-0.19299630000000001</v>
      </c>
      <c r="AE4018">
        <v>0.180700000000001</v>
      </c>
      <c r="AF4018">
        <v>0.15506112236031799</v>
      </c>
      <c r="AG4018">
        <v>-0.19299630000000001</v>
      </c>
      <c r="AH4018">
        <v>0.58654546000823704</v>
      </c>
      <c r="AI4018">
        <v>107.646419169777</v>
      </c>
      <c r="AJ4018">
        <v>75.191862167817504</v>
      </c>
      <c r="AK4018">
        <v>0.63665304533757305</v>
      </c>
      <c r="AL4018">
        <v>84.5066536436956</v>
      </c>
      <c r="AM4018">
        <v>93.576850904686395</v>
      </c>
      <c r="AN4018">
        <v>1.00000001551554</v>
      </c>
    </row>
    <row r="4019" spans="1:40" x14ac:dyDescent="0.25">
      <c r="A4019" t="str">
        <f>"20190312172744343"</f>
        <v>20190312172744343</v>
      </c>
      <c r="B4019" t="str">
        <f>"1552382864333296"</f>
        <v>1552382864333296</v>
      </c>
      <c r="C4019" t="s">
        <v>40</v>
      </c>
      <c r="D4019">
        <v>3.2616070000000001</v>
      </c>
      <c r="E4019">
        <v>0.60248449999999998</v>
      </c>
      <c r="F4019" t="s">
        <v>44</v>
      </c>
      <c r="G4019">
        <v>-389.43079999999998</v>
      </c>
      <c r="H4019">
        <v>0.92221949999999997</v>
      </c>
      <c r="I4019">
        <v>142.2841</v>
      </c>
      <c r="J4019">
        <v>-388.91300000000001</v>
      </c>
      <c r="K4019">
        <v>1.1118749999999999</v>
      </c>
      <c r="L4019">
        <v>142.10679999999999</v>
      </c>
      <c r="M4019">
        <v>-0.99978319999999998</v>
      </c>
      <c r="N4019">
        <v>0</v>
      </c>
      <c r="O4019">
        <v>1.5630740000000001E-2</v>
      </c>
      <c r="P4019">
        <v>-0.99578940000000005</v>
      </c>
      <c r="Q4019">
        <v>8.0760449999999998E-2</v>
      </c>
      <c r="R4019">
        <v>-4.337527E-2</v>
      </c>
      <c r="S4019">
        <v>-3.0989070000000001</v>
      </c>
      <c r="T4019">
        <v>-0.70041529999999996</v>
      </c>
      <c r="U4019">
        <v>0.66033940000000002</v>
      </c>
      <c r="V4019">
        <v>-5.9333709999999998E-2</v>
      </c>
      <c r="W4019">
        <v>9.4195059999999997E-2</v>
      </c>
      <c r="X4019">
        <v>0.99378409999999995</v>
      </c>
      <c r="Y4019">
        <v>0.18891450000000001</v>
      </c>
      <c r="Z4019">
        <v>1.7407329999999999E-2</v>
      </c>
      <c r="AA4019">
        <v>0.98183920000000002</v>
      </c>
      <c r="AB4019">
        <v>23</v>
      </c>
      <c r="AC4019">
        <v>-0.51779999999996495</v>
      </c>
      <c r="AD4019">
        <v>-0.1896555</v>
      </c>
      <c r="AE4019">
        <v>0.17730000000000201</v>
      </c>
      <c r="AF4019">
        <v>0.151046784490312</v>
      </c>
      <c r="AG4019">
        <v>-0.1896555</v>
      </c>
      <c r="AH4019">
        <v>0.46470778043095201</v>
      </c>
      <c r="AI4019">
        <v>111.21271589601901</v>
      </c>
      <c r="AJ4019">
        <v>71.993969878583201</v>
      </c>
      <c r="AK4019">
        <v>0.52415423395998095</v>
      </c>
      <c r="AL4019">
        <v>84.595007701624297</v>
      </c>
      <c r="AM4019">
        <v>93.416778692185602</v>
      </c>
      <c r="AN4019">
        <v>1.0000000179417801</v>
      </c>
    </row>
    <row r="4020" spans="1:40" x14ac:dyDescent="0.25">
      <c r="A4020" t="str">
        <f>"20190312172744359"</f>
        <v>20190312172744359</v>
      </c>
      <c r="B4020" t="str">
        <f>"1552382864353793"</f>
        <v>1552382864353793</v>
      </c>
      <c r="C4020" t="s">
        <v>40</v>
      </c>
      <c r="D4020">
        <v>3.2210709999999998</v>
      </c>
      <c r="E4020">
        <v>0.60254989999999997</v>
      </c>
      <c r="F4020" t="s">
        <v>44</v>
      </c>
      <c r="G4020">
        <v>-389.64359999999999</v>
      </c>
      <c r="H4020">
        <v>0.94412450000000003</v>
      </c>
      <c r="I4020">
        <v>142.2629</v>
      </c>
      <c r="J4020">
        <v>-389.0795</v>
      </c>
      <c r="K4020">
        <v>1.1119139999999901</v>
      </c>
      <c r="L4020">
        <v>142.10720000000001</v>
      </c>
      <c r="M4020">
        <v>-0.99981310000000001</v>
      </c>
      <c r="N4020">
        <v>0</v>
      </c>
      <c r="O4020">
        <v>1.3576349999999999E-2</v>
      </c>
      <c r="P4020">
        <v>-0.99593109999999996</v>
      </c>
      <c r="Q4020">
        <v>7.8859670000000007E-2</v>
      </c>
      <c r="R4020">
        <v>-4.362009E-2</v>
      </c>
      <c r="S4020">
        <v>-3.0992130000000002</v>
      </c>
      <c r="T4020">
        <v>-0.71221389999999996</v>
      </c>
      <c r="U4020">
        <v>0.66011049999999905</v>
      </c>
      <c r="V4020">
        <v>-5.7537940000000003E-2</v>
      </c>
      <c r="W4020">
        <v>9.2300770000000004E-2</v>
      </c>
      <c r="X4020">
        <v>0.99406740000000005</v>
      </c>
      <c r="Y4020">
        <v>0.19060769999999999</v>
      </c>
      <c r="Z4020">
        <v>1.8342589999999999E-2</v>
      </c>
      <c r="AA4020">
        <v>0.98149489999999995</v>
      </c>
      <c r="AB4020">
        <v>23</v>
      </c>
      <c r="AC4020">
        <v>-0.56409999999999605</v>
      </c>
      <c r="AD4020">
        <v>-0.16778949999999901</v>
      </c>
      <c r="AE4020">
        <v>0.15569999999999501</v>
      </c>
      <c r="AF4020">
        <v>0.13678153519241801</v>
      </c>
      <c r="AG4020">
        <v>-0.16778949999999901</v>
      </c>
      <c r="AH4020">
        <v>0.52315302546102904</v>
      </c>
      <c r="AI4020">
        <v>107.238952283148</v>
      </c>
      <c r="AJ4020">
        <v>75.347667310454796</v>
      </c>
      <c r="AK4020">
        <v>0.56617275873082495</v>
      </c>
      <c r="AL4020">
        <v>84.704017520309506</v>
      </c>
      <c r="AM4020">
        <v>93.312659624765999</v>
      </c>
      <c r="AN4020">
        <v>1.0000000212123901</v>
      </c>
    </row>
    <row r="4021" spans="1:40" x14ac:dyDescent="0.25">
      <c r="A4021" t="str">
        <f>"20190312172744379"</f>
        <v>20190312172744379</v>
      </c>
      <c r="B4021" t="str">
        <f>"1552382864373313"</f>
        <v>1552382864373313</v>
      </c>
      <c r="C4021" t="s">
        <v>40</v>
      </c>
      <c r="D4021">
        <v>3.3343530000000001</v>
      </c>
      <c r="E4021">
        <v>0.60270089999999998</v>
      </c>
      <c r="F4021" t="s">
        <v>44</v>
      </c>
      <c r="G4021">
        <v>-389.84289999999999</v>
      </c>
      <c r="H4021">
        <v>0.93421969999999999</v>
      </c>
      <c r="I4021">
        <v>142.2697</v>
      </c>
      <c r="J4021">
        <v>-389.274</v>
      </c>
      <c r="K4021">
        <v>1.111961</v>
      </c>
      <c r="L4021">
        <v>142.107</v>
      </c>
      <c r="M4021">
        <v>-0.9998437</v>
      </c>
      <c r="N4021">
        <v>0</v>
      </c>
      <c r="O4021">
        <v>1.109394E-2</v>
      </c>
      <c r="P4021">
        <v>-0.99590160000000005</v>
      </c>
      <c r="Q4021">
        <v>7.8013760000000001E-2</v>
      </c>
      <c r="R4021">
        <v>-4.575829E-2</v>
      </c>
      <c r="S4021">
        <v>-3.098236</v>
      </c>
      <c r="T4021">
        <v>-0.72126840000000003</v>
      </c>
      <c r="U4021">
        <v>0.65882869999999905</v>
      </c>
      <c r="V4021">
        <v>-5.7212039999999999E-2</v>
      </c>
      <c r="W4021">
        <v>9.1452740000000005E-2</v>
      </c>
      <c r="X4021">
        <v>0.99416459999999995</v>
      </c>
      <c r="Y4021">
        <v>0.19248999999999999</v>
      </c>
      <c r="Z4021">
        <v>1.9354070000000001E-2</v>
      </c>
      <c r="AA4021">
        <v>0.98110810000000004</v>
      </c>
      <c r="AB4021">
        <v>23</v>
      </c>
      <c r="AC4021">
        <v>-0.56889999999998497</v>
      </c>
      <c r="AD4021">
        <v>-0.17774129999999999</v>
      </c>
      <c r="AE4021">
        <v>0.16270000000000001</v>
      </c>
      <c r="AF4021">
        <v>0.143435537949753</v>
      </c>
      <c r="AG4021">
        <v>-0.17774129999999999</v>
      </c>
      <c r="AH4021">
        <v>0.52343906900291604</v>
      </c>
      <c r="AI4021">
        <v>108.133173913476</v>
      </c>
      <c r="AJ4021">
        <v>74.675682457190803</v>
      </c>
      <c r="AK4021">
        <v>0.57109910018425403</v>
      </c>
      <c r="AL4021">
        <v>84.752812524983796</v>
      </c>
      <c r="AM4021">
        <v>93.293616518415803</v>
      </c>
      <c r="AN4021">
        <v>1.00000003653381</v>
      </c>
    </row>
    <row r="4022" spans="1:40" x14ac:dyDescent="0.25">
      <c r="A4022" t="str">
        <f>"20190312172744400"</f>
        <v>20190312172744400</v>
      </c>
      <c r="B4022" t="str">
        <f>"1552382864392833"</f>
        <v>1552382864392833</v>
      </c>
      <c r="C4022" t="s">
        <v>40</v>
      </c>
      <c r="D4022">
        <v>3.3264800000000001</v>
      </c>
      <c r="E4022">
        <v>0.60273219999999905</v>
      </c>
      <c r="F4022" t="s">
        <v>44</v>
      </c>
      <c r="G4022">
        <v>-390.04469999999998</v>
      </c>
      <c r="H4022">
        <v>0.93088579999999999</v>
      </c>
      <c r="I4022">
        <v>142.26920000000001</v>
      </c>
      <c r="J4022">
        <v>-389.4941</v>
      </c>
      <c r="K4022">
        <v>1.112023</v>
      </c>
      <c r="L4022">
        <v>142.1062</v>
      </c>
      <c r="M4022">
        <v>-0.99987179999999998</v>
      </c>
      <c r="N4022">
        <v>0</v>
      </c>
      <c r="O4022">
        <v>8.1818629999999993E-3</v>
      </c>
      <c r="P4022">
        <v>-0.99572930000000004</v>
      </c>
      <c r="Q4022">
        <v>7.816613E-2</v>
      </c>
      <c r="R4022">
        <v>-4.9122449999999998E-2</v>
      </c>
      <c r="S4022">
        <v>-3.0993040000000001</v>
      </c>
      <c r="T4022">
        <v>-0.72845669999999996</v>
      </c>
      <c r="U4022">
        <v>0.6511536</v>
      </c>
      <c r="V4022">
        <v>-5.7690060000000001E-2</v>
      </c>
      <c r="W4022">
        <v>9.1597090000000006E-2</v>
      </c>
      <c r="X4022">
        <v>0.9941236</v>
      </c>
      <c r="Y4022">
        <v>0.192775</v>
      </c>
      <c r="Z4022">
        <v>2.024099E-2</v>
      </c>
      <c r="AA4022">
        <v>0.98103419999999997</v>
      </c>
      <c r="AB4022">
        <v>23</v>
      </c>
      <c r="AC4022">
        <v>-0.550599999999974</v>
      </c>
      <c r="AD4022">
        <v>-0.1811372</v>
      </c>
      <c r="AE4022">
        <v>0.16300000000001</v>
      </c>
      <c r="AF4022">
        <v>0.14414555688042699</v>
      </c>
      <c r="AG4022">
        <v>-0.1811372</v>
      </c>
      <c r="AH4022">
        <v>0.50196576401967197</v>
      </c>
      <c r="AI4022">
        <v>109.12851109649</v>
      </c>
      <c r="AJ4022">
        <v>73.9779389971265</v>
      </c>
      <c r="AK4022">
        <v>0.55277324016278295</v>
      </c>
      <c r="AL4022">
        <v>84.744506568732902</v>
      </c>
      <c r="AM4022">
        <v>93.321210775664795</v>
      </c>
      <c r="AN4022">
        <v>0.99999995099811401</v>
      </c>
    </row>
    <row r="4023" spans="1:40" x14ac:dyDescent="0.25">
      <c r="A4023" t="str">
        <f>"20190312172744437"</f>
        <v>20190312172744437</v>
      </c>
      <c r="B4023" t="str">
        <f>"1552382864433825"</f>
        <v>1552382864433825</v>
      </c>
      <c r="C4023" t="s">
        <v>40</v>
      </c>
      <c r="D4023">
        <v>3.3474699999999902</v>
      </c>
      <c r="E4023">
        <v>0.6026802</v>
      </c>
      <c r="F4023" t="s">
        <v>44</v>
      </c>
      <c r="G4023">
        <v>-390.24880000000002</v>
      </c>
      <c r="H4023">
        <v>0.93393110000000001</v>
      </c>
      <c r="I4023">
        <v>142.26179999999999</v>
      </c>
      <c r="J4023">
        <v>-389.84449999999998</v>
      </c>
      <c r="K4023">
        <v>1.112131</v>
      </c>
      <c r="L4023">
        <v>142.10329999999999</v>
      </c>
      <c r="M4023">
        <v>-0.99989969999999995</v>
      </c>
      <c r="N4023">
        <v>0</v>
      </c>
      <c r="O4023">
        <v>3.3455669999999998E-3</v>
      </c>
      <c r="P4023">
        <v>-0.99526959999999998</v>
      </c>
      <c r="Q4023">
        <v>7.9292409999999994E-2</v>
      </c>
      <c r="R4023">
        <v>-5.6139090000000003E-2</v>
      </c>
      <c r="S4023">
        <v>-3.1019290000000002</v>
      </c>
      <c r="T4023">
        <v>-0.73228609999999905</v>
      </c>
      <c r="U4023">
        <v>0.63864140000000003</v>
      </c>
      <c r="V4023">
        <v>-5.9916949999999997E-2</v>
      </c>
      <c r="W4023">
        <v>9.2700060000000001E-2</v>
      </c>
      <c r="X4023">
        <v>0.99388969999999999</v>
      </c>
      <c r="Y4023">
        <v>0.1933647</v>
      </c>
      <c r="Z4023">
        <v>2.1518909999999999E-2</v>
      </c>
      <c r="AA4023">
        <v>0.98089090000000001</v>
      </c>
      <c r="AB4023">
        <v>23</v>
      </c>
      <c r="AC4023">
        <v>-0.40430000000003402</v>
      </c>
      <c r="AD4023">
        <v>-0.178199899999999</v>
      </c>
      <c r="AE4023">
        <v>0.158500000000003</v>
      </c>
      <c r="AF4023">
        <v>0.134498160057685</v>
      </c>
      <c r="AG4023">
        <v>-0.178199899999999</v>
      </c>
      <c r="AH4023">
        <v>0.34648352660107601</v>
      </c>
      <c r="AI4023">
        <v>115.615567619998</v>
      </c>
      <c r="AJ4023">
        <v>68.784757078256206</v>
      </c>
      <c r="AK4023">
        <v>0.412184174398813</v>
      </c>
      <c r="AL4023">
        <v>84.681041476316494</v>
      </c>
      <c r="AM4023">
        <v>93.449918581097194</v>
      </c>
      <c r="AN4023">
        <v>1.00000003889369</v>
      </c>
    </row>
    <row r="4024" spans="1:40" x14ac:dyDescent="0.25">
      <c r="A4024" t="str">
        <f>"20190312172744478"</f>
        <v>20190312172744478</v>
      </c>
      <c r="B4024" t="str">
        <f>"1552382864473840"</f>
        <v>1552382864473840</v>
      </c>
      <c r="C4024" t="s">
        <v>40</v>
      </c>
      <c r="D4024">
        <v>3.3469950000000002</v>
      </c>
      <c r="E4024">
        <v>0.60269839999999997</v>
      </c>
      <c r="F4024" t="s">
        <v>44</v>
      </c>
      <c r="G4024">
        <v>-390.64859999999999</v>
      </c>
      <c r="H4024">
        <v>0.9218092</v>
      </c>
      <c r="I4024">
        <v>142.262</v>
      </c>
      <c r="J4024">
        <v>-390.28570000000002</v>
      </c>
      <c r="K4024">
        <v>1.1122449999999999</v>
      </c>
      <c r="L4024">
        <v>142.0968</v>
      </c>
      <c r="M4024">
        <v>-0.99990049999999997</v>
      </c>
      <c r="N4024">
        <v>0</v>
      </c>
      <c r="O4024">
        <v>-3.0571259999999999E-3</v>
      </c>
      <c r="P4024">
        <v>-0.99450269999999996</v>
      </c>
      <c r="Q4024">
        <v>8.1826019999999999E-2</v>
      </c>
      <c r="R4024">
        <v>-6.5339770000000005E-2</v>
      </c>
      <c r="S4024">
        <v>-3.1074220000000001</v>
      </c>
      <c r="T4024">
        <v>-0.73586209999999996</v>
      </c>
      <c r="U4024">
        <v>0.61215209999999998</v>
      </c>
      <c r="V4024">
        <v>-6.2783720000000001E-2</v>
      </c>
      <c r="W4024">
        <v>9.5204259999999999E-2</v>
      </c>
      <c r="X4024">
        <v>0.99347589999999997</v>
      </c>
      <c r="Y4024">
        <v>0.19110820000000001</v>
      </c>
      <c r="Z4024">
        <v>2.2822909999999998E-2</v>
      </c>
      <c r="AA4024">
        <v>0.98130360000000005</v>
      </c>
      <c r="AB4024">
        <v>23</v>
      </c>
      <c r="AC4024">
        <v>-0.36289999999996703</v>
      </c>
      <c r="AD4024">
        <v>-0.19043579999999999</v>
      </c>
      <c r="AE4024">
        <v>0.16519999999999799</v>
      </c>
      <c r="AF4024">
        <v>0.13541903728381799</v>
      </c>
      <c r="AG4024">
        <v>-0.19043579999999999</v>
      </c>
      <c r="AH4024">
        <v>0.29508331122042403</v>
      </c>
      <c r="AI4024">
        <v>120.393613346986</v>
      </c>
      <c r="AJ4024">
        <v>65.348758785693903</v>
      </c>
      <c r="AK4024">
        <v>0.37640174035374202</v>
      </c>
      <c r="AL4024">
        <v>84.536923694213499</v>
      </c>
      <c r="AM4024">
        <v>93.616056321135801</v>
      </c>
      <c r="AN4024">
        <v>1.00000000524999</v>
      </c>
    </row>
    <row r="4025" spans="1:40" x14ac:dyDescent="0.25">
      <c r="A4025" t="str">
        <f>"20190312172744501"</f>
        <v>20190312172744501</v>
      </c>
      <c r="B4025" t="str">
        <f>"1552382864493360"</f>
        <v>1552382864493360</v>
      </c>
      <c r="C4025" t="s">
        <v>40</v>
      </c>
      <c r="D4025">
        <v>3.322165</v>
      </c>
      <c r="E4025">
        <v>0.60269469999999903</v>
      </c>
      <c r="F4025" t="s">
        <v>44</v>
      </c>
      <c r="G4025">
        <v>-391.05560000000003</v>
      </c>
      <c r="H4025">
        <v>0.93060229999999999</v>
      </c>
      <c r="I4025">
        <v>142.2397</v>
      </c>
      <c r="J4025">
        <v>-390.50510000000003</v>
      </c>
      <c r="K4025">
        <v>1.1122840000000001</v>
      </c>
      <c r="L4025">
        <v>142.09229999999999</v>
      </c>
      <c r="M4025">
        <v>-0.99988480000000002</v>
      </c>
      <c r="N4025">
        <v>0</v>
      </c>
      <c r="O4025">
        <v>-6.3627349999999996E-3</v>
      </c>
      <c r="P4025">
        <v>-0.99412880000000003</v>
      </c>
      <c r="Q4025">
        <v>8.1852820000000007E-2</v>
      </c>
      <c r="R4025">
        <v>-7.0768730000000002E-2</v>
      </c>
      <c r="S4025">
        <v>-3.1149900000000001</v>
      </c>
      <c r="T4025">
        <v>-0.73520779999999997</v>
      </c>
      <c r="U4025">
        <v>0.57725519999999997</v>
      </c>
      <c r="V4025">
        <v>-6.4935160000000006E-2</v>
      </c>
      <c r="W4025">
        <v>9.5214229999999997E-2</v>
      </c>
      <c r="X4025">
        <v>0.99333660000000001</v>
      </c>
      <c r="Y4025">
        <v>0.183421</v>
      </c>
      <c r="Z4025">
        <v>2.2648950000000001E-2</v>
      </c>
      <c r="AA4025">
        <v>0.98277349999999997</v>
      </c>
      <c r="AB4025">
        <v>23</v>
      </c>
      <c r="AC4025">
        <v>-0.55049999999999899</v>
      </c>
      <c r="AD4025">
        <v>-0.181681699999999</v>
      </c>
      <c r="AE4025">
        <v>0.147400000000004</v>
      </c>
      <c r="AF4025">
        <v>0.13697842999422499</v>
      </c>
      <c r="AG4025">
        <v>-0.181681699999999</v>
      </c>
      <c r="AH4025">
        <v>0.49885090991026299</v>
      </c>
      <c r="AI4025">
        <v>109.351324040433</v>
      </c>
      <c r="AJ4025">
        <v>74.645701905834301</v>
      </c>
      <c r="AK4025">
        <v>0.54829149247172404</v>
      </c>
      <c r="AL4025">
        <v>84.536349615559004</v>
      </c>
      <c r="AM4025">
        <v>93.740146586857193</v>
      </c>
      <c r="AN4025">
        <v>0.99999996274913805</v>
      </c>
    </row>
    <row r="4026" spans="1:40" x14ac:dyDescent="0.25">
      <c r="A4026" t="str">
        <f>"20190312172744523"</f>
        <v>20190312172744523</v>
      </c>
      <c r="B4026" t="str">
        <f>"1552382864512881"</f>
        <v>1552382864512881</v>
      </c>
      <c r="C4026" t="s">
        <v>40</v>
      </c>
      <c r="D4026">
        <v>3.3311500000000001</v>
      </c>
      <c r="E4026">
        <v>0.60263149999999999</v>
      </c>
      <c r="F4026" t="s">
        <v>44</v>
      </c>
      <c r="G4026">
        <v>-391.25819999999999</v>
      </c>
      <c r="H4026">
        <v>0.93405130000000003</v>
      </c>
      <c r="I4026">
        <v>142.22710000000001</v>
      </c>
      <c r="J4026">
        <v>-390.73410000000001</v>
      </c>
      <c r="K4026">
        <v>1.1123209999999999</v>
      </c>
      <c r="L4026">
        <v>142.08680000000001</v>
      </c>
      <c r="M4026">
        <v>-0.99985599999999997</v>
      </c>
      <c r="N4026">
        <v>0</v>
      </c>
      <c r="O4026">
        <v>-9.901254E-3</v>
      </c>
      <c r="P4026">
        <v>-0.99373719999999999</v>
      </c>
      <c r="Q4026">
        <v>8.1553429999999996E-2</v>
      </c>
      <c r="R4026">
        <v>-7.6389100000000001E-2</v>
      </c>
      <c r="S4026">
        <v>-3.118134</v>
      </c>
      <c r="T4026">
        <v>-0.73818660000000003</v>
      </c>
      <c r="U4026">
        <v>0.55709839999999999</v>
      </c>
      <c r="V4026">
        <v>-6.7046240000000007E-2</v>
      </c>
      <c r="W4026">
        <v>9.4899040000000004E-2</v>
      </c>
      <c r="X4026">
        <v>0.99322650000000001</v>
      </c>
      <c r="Y4026">
        <v>0.18051339999999999</v>
      </c>
      <c r="Z4026">
        <v>2.3212360000000001E-2</v>
      </c>
      <c r="AA4026">
        <v>0.98329860000000002</v>
      </c>
      <c r="AB4026">
        <v>23</v>
      </c>
      <c r="AC4026">
        <v>-0.52409999999997503</v>
      </c>
      <c r="AD4026">
        <v>-0.178269699999999</v>
      </c>
      <c r="AE4026">
        <v>0.14029999999999601</v>
      </c>
      <c r="AF4026">
        <v>0.13130678019213499</v>
      </c>
      <c r="AG4026">
        <v>-0.178269699999999</v>
      </c>
      <c r="AH4026">
        <v>0.47175376661771601</v>
      </c>
      <c r="AI4026">
        <v>110.003957873415</v>
      </c>
      <c r="AJ4026">
        <v>74.446119016230696</v>
      </c>
      <c r="AK4026">
        <v>0.52112682984137204</v>
      </c>
      <c r="AL4026">
        <v>84.554490766682804</v>
      </c>
      <c r="AM4026">
        <v>93.861805597235701</v>
      </c>
      <c r="AN4026">
        <v>0.99999995319665302</v>
      </c>
    </row>
    <row r="4027" spans="1:40" x14ac:dyDescent="0.25">
      <c r="A4027" t="str">
        <f>"20190312172744545"</f>
        <v>20190312172744545</v>
      </c>
      <c r="B4027" t="str">
        <f>"1552382864533378"</f>
        <v>1552382864533378</v>
      </c>
      <c r="C4027" t="s">
        <v>40</v>
      </c>
      <c r="D4027">
        <v>3.3102520000000002</v>
      </c>
      <c r="E4027">
        <v>0.6026321</v>
      </c>
      <c r="F4027" t="s">
        <v>44</v>
      </c>
      <c r="G4027">
        <v>-391.46140000000003</v>
      </c>
      <c r="H4027">
        <v>0.9397489</v>
      </c>
      <c r="I4027">
        <v>142.21209999999999</v>
      </c>
      <c r="J4027">
        <v>-390.95409999999998</v>
      </c>
      <c r="K4027">
        <v>1.1123620000000001</v>
      </c>
      <c r="L4027">
        <v>142.08070000000001</v>
      </c>
      <c r="M4027">
        <v>-0.99981540000000002</v>
      </c>
      <c r="N4027">
        <v>0</v>
      </c>
      <c r="O4027">
        <v>-1.339183E-2</v>
      </c>
      <c r="P4027">
        <v>-0.99319409999999997</v>
      </c>
      <c r="Q4027">
        <v>8.1764740000000002E-2</v>
      </c>
      <c r="R4027">
        <v>-8.294704E-2</v>
      </c>
      <c r="S4027">
        <v>-3.1210019999999998</v>
      </c>
      <c r="T4027">
        <v>-0.74085710000000005</v>
      </c>
      <c r="U4027">
        <v>0.53712459999999995</v>
      </c>
      <c r="V4027">
        <v>-7.0149160000000002E-2</v>
      </c>
      <c r="W4027">
        <v>9.5086050000000005E-2</v>
      </c>
      <c r="X4027">
        <v>0.9929943</v>
      </c>
      <c r="Y4027">
        <v>0.17762999999999901</v>
      </c>
      <c r="Z4027">
        <v>2.376261E-2</v>
      </c>
      <c r="AA4027">
        <v>0.98381039999999997</v>
      </c>
      <c r="AB4027">
        <v>23</v>
      </c>
      <c r="AC4027">
        <v>-0.50730000000004305</v>
      </c>
      <c r="AD4027">
        <v>-0.17261309999999999</v>
      </c>
      <c r="AE4027">
        <v>0.131399999999985</v>
      </c>
      <c r="AF4027">
        <v>0.12465759692301</v>
      </c>
      <c r="AG4027">
        <v>-0.17261309999999999</v>
      </c>
      <c r="AH4027">
        <v>0.45601817858133598</v>
      </c>
      <c r="AI4027">
        <v>110.05844856546101</v>
      </c>
      <c r="AJ4027">
        <v>74.711089243785494</v>
      </c>
      <c r="AK4027">
        <v>0.50327664157883301</v>
      </c>
      <c r="AL4027">
        <v>84.543727305208506</v>
      </c>
      <c r="AM4027">
        <v>94.040893907069602</v>
      </c>
      <c r="AN4027">
        <v>0.99999997069289803</v>
      </c>
    </row>
    <row r="4028" spans="1:40" x14ac:dyDescent="0.25">
      <c r="A4028" t="str">
        <f>"20190312172744568"</f>
        <v>20190312172744568</v>
      </c>
      <c r="B4028" t="str">
        <f>"1552382864563633"</f>
        <v>1552382864563633</v>
      </c>
      <c r="C4028" t="s">
        <v>40</v>
      </c>
      <c r="D4028">
        <v>3.3230940000000002</v>
      </c>
      <c r="E4028">
        <v>0.602653199999999</v>
      </c>
      <c r="F4028" t="s">
        <v>44</v>
      </c>
      <c r="G4028">
        <v>-391.66370000000001</v>
      </c>
      <c r="H4028">
        <v>0.94406599999999996</v>
      </c>
      <c r="I4028">
        <v>142.19810000000001</v>
      </c>
      <c r="J4028">
        <v>-391.18009999999998</v>
      </c>
      <c r="K4028">
        <v>1.112414</v>
      </c>
      <c r="L4028">
        <v>142.0735</v>
      </c>
      <c r="M4028">
        <v>-0.99975950000000002</v>
      </c>
      <c r="N4028">
        <v>0</v>
      </c>
      <c r="O4028">
        <v>-1.7063410000000001E-2</v>
      </c>
      <c r="P4028">
        <v>-0.99253760000000002</v>
      </c>
      <c r="Q4028">
        <v>8.238587E-2</v>
      </c>
      <c r="R4028">
        <v>-8.9898939999999997E-2</v>
      </c>
      <c r="S4028">
        <v>-3.1246339999999999</v>
      </c>
      <c r="T4028">
        <v>-0.74195730000000004</v>
      </c>
      <c r="U4028">
        <v>0.51466369999999995</v>
      </c>
      <c r="V4028">
        <v>-7.3474189999999995E-2</v>
      </c>
      <c r="W4028">
        <v>9.5680340000000003E-2</v>
      </c>
      <c r="X4028">
        <v>0.99269680000000005</v>
      </c>
      <c r="Y4028">
        <v>0.17415429999999901</v>
      </c>
      <c r="Z4028">
        <v>2.42344E-2</v>
      </c>
      <c r="AA4028">
        <v>0.98442010000000002</v>
      </c>
      <c r="AB4028">
        <v>23</v>
      </c>
      <c r="AC4028">
        <v>-0.48360000000002401</v>
      </c>
      <c r="AD4028">
        <v>-0.168348</v>
      </c>
      <c r="AE4028">
        <v>0.124600000000015</v>
      </c>
      <c r="AF4028">
        <v>0.119279615844274</v>
      </c>
      <c r="AG4028">
        <v>-0.168348</v>
      </c>
      <c r="AH4028">
        <v>0.43227923515116401</v>
      </c>
      <c r="AI4028">
        <v>110.57679756629901</v>
      </c>
      <c r="AJ4028">
        <v>74.574122497550803</v>
      </c>
      <c r="AK4028">
        <v>0.47899270662801602</v>
      </c>
      <c r="AL4028">
        <v>84.509521529824099</v>
      </c>
      <c r="AM4028">
        <v>94.233013425286202</v>
      </c>
      <c r="AN4028">
        <v>1.0000000603944501</v>
      </c>
    </row>
    <row r="4029" spans="1:40" x14ac:dyDescent="0.25">
      <c r="A4029" t="str">
        <f>"20190312172744590"</f>
        <v>20190312172744590</v>
      </c>
      <c r="B4029" t="str">
        <f>"1552382864582909"</f>
        <v>1552382864582909</v>
      </c>
      <c r="C4029" t="s">
        <v>40</v>
      </c>
      <c r="D4029">
        <v>3.4061379999999999</v>
      </c>
      <c r="E4029">
        <v>0.60282619999999998</v>
      </c>
      <c r="F4029" t="s">
        <v>44</v>
      </c>
      <c r="G4029">
        <v>-391.86610000000002</v>
      </c>
      <c r="H4029">
        <v>0.94978169999999995</v>
      </c>
      <c r="I4029">
        <v>142.18119999999999</v>
      </c>
      <c r="J4029">
        <v>-391.4015</v>
      </c>
      <c r="K4029">
        <v>1.112463</v>
      </c>
      <c r="L4029">
        <v>142.06540000000001</v>
      </c>
      <c r="M4029">
        <v>-0.99968990000000002</v>
      </c>
      <c r="N4029">
        <v>0</v>
      </c>
      <c r="O4029">
        <v>-2.074225E-2</v>
      </c>
      <c r="P4029">
        <v>-0.99172539999999998</v>
      </c>
      <c r="Q4029">
        <v>8.3899409999999994E-2</v>
      </c>
      <c r="R4029">
        <v>-9.7169320000000003E-2</v>
      </c>
      <c r="S4029">
        <v>-3.1286010000000002</v>
      </c>
      <c r="T4029">
        <v>-0.74226979999999998</v>
      </c>
      <c r="U4029">
        <v>0.49014279999999999</v>
      </c>
      <c r="V4029">
        <v>-7.7121120000000001E-2</v>
      </c>
      <c r="W4029">
        <v>9.7162079999999998E-2</v>
      </c>
      <c r="X4029">
        <v>0.99227609999999999</v>
      </c>
      <c r="Y4029">
        <v>0.17006250000000001</v>
      </c>
      <c r="Z4029">
        <v>2.4609579999999999E-2</v>
      </c>
      <c r="AA4029">
        <v>0.98512599999999995</v>
      </c>
      <c r="AB4029">
        <v>23</v>
      </c>
      <c r="AC4029">
        <v>-0.464600000000018</v>
      </c>
      <c r="AD4029">
        <v>-0.1626813</v>
      </c>
      <c r="AE4029">
        <v>0.115799999999978</v>
      </c>
      <c r="AF4029">
        <v>0.11243391265998</v>
      </c>
      <c r="AG4029">
        <v>-0.1626813</v>
      </c>
      <c r="AH4029">
        <v>0.41427549397569702</v>
      </c>
      <c r="AI4029">
        <v>110.755673207529</v>
      </c>
      <c r="AJ4029">
        <v>74.815746233635394</v>
      </c>
      <c r="AK4029">
        <v>0.45905421792477802</v>
      </c>
      <c r="AL4029">
        <v>84.424226307200897</v>
      </c>
      <c r="AM4029">
        <v>94.444175905736799</v>
      </c>
      <c r="AN4029">
        <v>0.99999999778559501</v>
      </c>
    </row>
    <row r="4030" spans="1:40" x14ac:dyDescent="0.25">
      <c r="A4030" t="str">
        <f>"20190312172744612"</f>
        <v>20190312172744612</v>
      </c>
      <c r="B4030" t="str">
        <f>"1552382864603405"</f>
        <v>1552382864603405</v>
      </c>
      <c r="C4030" t="s">
        <v>40</v>
      </c>
      <c r="D4030">
        <v>3.438517</v>
      </c>
      <c r="E4030">
        <v>0.60294780000000003</v>
      </c>
      <c r="F4030" t="s">
        <v>44</v>
      </c>
      <c r="G4030">
        <v>-392.25099999999998</v>
      </c>
      <c r="H4030">
        <v>0.91189969999999998</v>
      </c>
      <c r="I4030">
        <v>142.1919</v>
      </c>
      <c r="J4030">
        <v>-391.62509999999997</v>
      </c>
      <c r="K4030">
        <v>1.1125100000000001</v>
      </c>
      <c r="L4030">
        <v>142.0564</v>
      </c>
      <c r="M4030">
        <v>-0.99960400000000005</v>
      </c>
      <c r="N4030">
        <v>0</v>
      </c>
      <c r="O4030">
        <v>-2.4530489999999999E-2</v>
      </c>
      <c r="P4030">
        <v>-0.99085330000000005</v>
      </c>
      <c r="Q4030">
        <v>8.5498179999999993E-2</v>
      </c>
      <c r="R4030">
        <v>-0.1044036</v>
      </c>
      <c r="S4030">
        <v>-3.1333009999999999</v>
      </c>
      <c r="T4030">
        <v>-0.739819</v>
      </c>
      <c r="U4030">
        <v>0.4662018</v>
      </c>
      <c r="V4030">
        <v>-8.0627920000000006E-2</v>
      </c>
      <c r="W4030">
        <v>9.8729979999999995E-2</v>
      </c>
      <c r="X4030">
        <v>0.99184249999999996</v>
      </c>
      <c r="Y4030">
        <v>0.16625210000000001</v>
      </c>
      <c r="Z4030">
        <v>2.4945390000000001E-2</v>
      </c>
      <c r="AA4030">
        <v>0.98576770000000002</v>
      </c>
      <c r="AB4030">
        <v>23</v>
      </c>
      <c r="AC4030">
        <v>-0.62590000000000101</v>
      </c>
      <c r="AD4030">
        <v>-0.20061029999999999</v>
      </c>
      <c r="AE4030">
        <v>0.135500000000007</v>
      </c>
      <c r="AF4030">
        <v>0.13733730308463099</v>
      </c>
      <c r="AG4030">
        <v>-0.20061029999999999</v>
      </c>
      <c r="AH4030">
        <v>0.56676988688451801</v>
      </c>
      <c r="AI4030">
        <v>108.983139302702</v>
      </c>
      <c r="AJ4030">
        <v>76.378873263067803</v>
      </c>
      <c r="AK4030">
        <v>0.61671235755718301</v>
      </c>
      <c r="AL4030">
        <v>84.333958267075801</v>
      </c>
      <c r="AM4030">
        <v>94.647415084781997</v>
      </c>
      <c r="AN4030">
        <v>1.00000000762028</v>
      </c>
    </row>
    <row r="4031" spans="1:40" x14ac:dyDescent="0.25">
      <c r="A4031" t="str">
        <f>"20190312172744635"</f>
        <v>20190312172744635</v>
      </c>
      <c r="B4031" t="str">
        <f>"1552382864622925"</f>
        <v>1552382864622925</v>
      </c>
      <c r="C4031" t="s">
        <v>40</v>
      </c>
      <c r="D4031">
        <v>3.3851659999999999</v>
      </c>
      <c r="E4031">
        <v>0.60311669999999995</v>
      </c>
      <c r="F4031" t="s">
        <v>44</v>
      </c>
      <c r="G4031">
        <v>-392.4529</v>
      </c>
      <c r="H4031">
        <v>0.91839859999999895</v>
      </c>
      <c r="I4031">
        <v>142.17349999999999</v>
      </c>
      <c r="J4031">
        <v>-391.85520000000002</v>
      </c>
      <c r="K4031">
        <v>1.1125499999999999</v>
      </c>
      <c r="L4031">
        <v>142.0461</v>
      </c>
      <c r="M4031">
        <v>-0.99949880000000002</v>
      </c>
      <c r="N4031">
        <v>0</v>
      </c>
      <c r="O4031">
        <v>-2.8490330000000001E-2</v>
      </c>
      <c r="P4031">
        <v>-0.98981169999999996</v>
      </c>
      <c r="Q4031">
        <v>8.7472159999999993E-2</v>
      </c>
      <c r="R4031">
        <v>-0.1123444</v>
      </c>
      <c r="S4031">
        <v>-3.137848</v>
      </c>
      <c r="T4031">
        <v>-0.73641610000000002</v>
      </c>
      <c r="U4031">
        <v>0.44242860000000001</v>
      </c>
      <c r="V4031">
        <v>-8.4678519999999993E-2</v>
      </c>
      <c r="W4031">
        <v>0.1006701</v>
      </c>
      <c r="X4031">
        <v>0.99130980000000002</v>
      </c>
      <c r="Y4031">
        <v>0.1626746</v>
      </c>
      <c r="Z4031">
        <v>2.531272E-2</v>
      </c>
      <c r="AA4031">
        <v>0.98635499999999998</v>
      </c>
      <c r="AB4031">
        <v>22</v>
      </c>
      <c r="AC4031">
        <v>-0.59769999999997403</v>
      </c>
      <c r="AD4031">
        <v>-0.1941514</v>
      </c>
      <c r="AE4031">
        <v>0.12739999999999399</v>
      </c>
      <c r="AF4031">
        <v>0.13114242205617399</v>
      </c>
      <c r="AG4031">
        <v>-0.1941514</v>
      </c>
      <c r="AH4031">
        <v>0.539387211196664</v>
      </c>
      <c r="AI4031">
        <v>109.277734658829</v>
      </c>
      <c r="AJ4031">
        <v>76.334697637080794</v>
      </c>
      <c r="AK4031">
        <v>0.58807453999236703</v>
      </c>
      <c r="AL4031">
        <v>84.222241007553805</v>
      </c>
      <c r="AM4031">
        <v>94.882401701261202</v>
      </c>
      <c r="AN4031">
        <v>1.0000000201797199</v>
      </c>
    </row>
    <row r="4032" spans="1:40" x14ac:dyDescent="0.25">
      <c r="A4032" t="str">
        <f>"20190312172744659"</f>
        <v>20190312172744659</v>
      </c>
      <c r="B4032" t="str">
        <f>"1552382864653183"</f>
        <v>1552382864653183</v>
      </c>
      <c r="C4032" t="s">
        <v>40</v>
      </c>
      <c r="D4032">
        <v>3.3641359999999998</v>
      </c>
      <c r="E4032">
        <v>0.60348359999999901</v>
      </c>
      <c r="F4032" t="s">
        <v>44</v>
      </c>
      <c r="G4032">
        <v>-392.65519999999998</v>
      </c>
      <c r="H4032">
        <v>0.92664120000000005</v>
      </c>
      <c r="I4032">
        <v>142.15280000000001</v>
      </c>
      <c r="J4032">
        <v>-392.07799999999997</v>
      </c>
      <c r="K4032">
        <v>1.1125719999999999</v>
      </c>
      <c r="L4032">
        <v>142.0352</v>
      </c>
      <c r="M4032">
        <v>-0.99938039999999995</v>
      </c>
      <c r="N4032">
        <v>0</v>
      </c>
      <c r="O4032">
        <v>-3.2379430000000001E-2</v>
      </c>
      <c r="P4032">
        <v>-0.98813260000000003</v>
      </c>
      <c r="Q4032">
        <v>9.0994220000000001E-2</v>
      </c>
      <c r="R4032">
        <v>-0.1237506</v>
      </c>
      <c r="S4032">
        <v>-3.1428530000000001</v>
      </c>
      <c r="T4032">
        <v>-0.7309293</v>
      </c>
      <c r="U4032">
        <v>0.41790769999999999</v>
      </c>
      <c r="V4032">
        <v>-9.229387E-2</v>
      </c>
      <c r="W4032">
        <v>0.10413119999999999</v>
      </c>
      <c r="X4032">
        <v>0.99027189999999998</v>
      </c>
      <c r="Y4032">
        <v>0.15882089999999999</v>
      </c>
      <c r="Z4032">
        <v>2.5552020000000002E-2</v>
      </c>
      <c r="AA4032">
        <v>0.98697670000000004</v>
      </c>
      <c r="AB4032">
        <v>22</v>
      </c>
      <c r="AC4032">
        <v>-0.57719999999994798</v>
      </c>
      <c r="AD4032">
        <v>-0.18593079999999901</v>
      </c>
      <c r="AE4032">
        <v>0.11760000000001</v>
      </c>
      <c r="AF4032">
        <v>0.123886782034096</v>
      </c>
      <c r="AG4032">
        <v>-0.18593079999999901</v>
      </c>
      <c r="AH4032">
        <v>0.521165820437831</v>
      </c>
      <c r="AI4032">
        <v>109.14126339876501</v>
      </c>
      <c r="AJ4032">
        <v>76.628345096200206</v>
      </c>
      <c r="AK4032">
        <v>0.56703792601909897</v>
      </c>
      <c r="AL4032">
        <v>84.022886109134106</v>
      </c>
      <c r="AM4032">
        <v>95.324615663341604</v>
      </c>
      <c r="AN4032">
        <v>0.99999995059131197</v>
      </c>
    </row>
    <row r="4033" spans="1:40" x14ac:dyDescent="0.25">
      <c r="A4033" t="str">
        <f>"20190312172744679"</f>
        <v>20190312172744679</v>
      </c>
      <c r="B4033" t="str">
        <f>"1552382864673678"</f>
        <v>1552382864673678</v>
      </c>
      <c r="C4033" t="s">
        <v>40</v>
      </c>
      <c r="D4033">
        <v>3.578106</v>
      </c>
      <c r="E4033">
        <v>0.60360740000000002</v>
      </c>
      <c r="F4033" t="s">
        <v>44</v>
      </c>
      <c r="G4033">
        <v>-392.85669999999999</v>
      </c>
      <c r="H4033">
        <v>0.93434629999999996</v>
      </c>
      <c r="I4033">
        <v>142.1301</v>
      </c>
      <c r="J4033">
        <v>-392.29590000000002</v>
      </c>
      <c r="K4033">
        <v>1.11259</v>
      </c>
      <c r="L4033">
        <v>142.02369999999999</v>
      </c>
      <c r="M4033">
        <v>-0.99924840000000004</v>
      </c>
      <c r="N4033">
        <v>0</v>
      </c>
      <c r="O4033">
        <v>-3.6224949999999999E-2</v>
      </c>
      <c r="P4033">
        <v>-0.9863788</v>
      </c>
      <c r="Q4033">
        <v>9.3268420000000005E-2</v>
      </c>
      <c r="R4033">
        <v>-0.1354911</v>
      </c>
      <c r="S4033">
        <v>-3.1504210000000001</v>
      </c>
      <c r="T4033">
        <v>-0.7214663</v>
      </c>
      <c r="U4033">
        <v>0.38291930000000002</v>
      </c>
      <c r="V4033">
        <v>-0.1002893</v>
      </c>
      <c r="W4033">
        <v>0.1063438</v>
      </c>
      <c r="X4033">
        <v>0.98925879999999999</v>
      </c>
      <c r="Y4033">
        <v>0.15174089999999901</v>
      </c>
      <c r="Z4033">
        <v>2.5256939999999999E-2</v>
      </c>
      <c r="AA4033">
        <v>0.98809749999999996</v>
      </c>
      <c r="AB4033">
        <v>22</v>
      </c>
      <c r="AC4033">
        <v>-0.56079999999997199</v>
      </c>
      <c r="AD4033">
        <v>-0.1782437</v>
      </c>
      <c r="AE4033">
        <v>0.106400000000007</v>
      </c>
      <c r="AF4033">
        <v>0.11539477277242401</v>
      </c>
      <c r="AG4033">
        <v>-0.1782437</v>
      </c>
      <c r="AH4033">
        <v>0.50712669628150098</v>
      </c>
      <c r="AI4033">
        <v>108.917466112185</v>
      </c>
      <c r="AJ4033">
        <v>77.180833410770703</v>
      </c>
      <c r="AK4033">
        <v>0.54978564573320698</v>
      </c>
      <c r="AL4033">
        <v>83.895405609715596</v>
      </c>
      <c r="AM4033">
        <v>95.788766981613307</v>
      </c>
      <c r="AN4033">
        <v>0.99999996043518402</v>
      </c>
    </row>
    <row r="4034" spans="1:40" x14ac:dyDescent="0.25">
      <c r="A4034" t="str">
        <f>"20190312172744813"</f>
        <v>20190312172744813</v>
      </c>
      <c r="B4034" t="str">
        <f>"1552382864803486"</f>
        <v>1552382864803486</v>
      </c>
      <c r="C4034" t="s">
        <v>40</v>
      </c>
      <c r="D4034">
        <v>3.2101190000000002</v>
      </c>
      <c r="E4034">
        <v>0.42855670000000001</v>
      </c>
      <c r="F4034" t="s">
        <v>50</v>
      </c>
      <c r="G4034">
        <v>-402.20460000000003</v>
      </c>
      <c r="H4034" s="1">
        <v>-5.65747399999999E-6</v>
      </c>
      <c r="I4034">
        <v>138.14670000000001</v>
      </c>
      <c r="J4034">
        <v>-393.61200000000002</v>
      </c>
      <c r="K4034">
        <v>1.112633</v>
      </c>
      <c r="L4034">
        <v>141.93539999999999</v>
      </c>
      <c r="M4034">
        <v>-0.99811640000000001</v>
      </c>
      <c r="N4034">
        <v>0</v>
      </c>
      <c r="O4034">
        <v>-5.9778789999999998E-2</v>
      </c>
      <c r="P4034">
        <v>-0.96998609999999996</v>
      </c>
      <c r="Q4034">
        <v>0.10679</v>
      </c>
      <c r="R4034">
        <v>-0.21845629999999999</v>
      </c>
      <c r="S4034">
        <v>-2.8607179999999999</v>
      </c>
      <c r="T4034">
        <v>-0.3611704</v>
      </c>
      <c r="U4034">
        <v>-1.235352</v>
      </c>
      <c r="V4034">
        <v>-0.16076949999999901</v>
      </c>
      <c r="W4034">
        <v>0.1193862</v>
      </c>
      <c r="X4034">
        <v>0.97974490000000003</v>
      </c>
      <c r="Y4034">
        <v>-0.33899489999999999</v>
      </c>
      <c r="Z4034">
        <v>-1.323883E-2</v>
      </c>
      <c r="AA4034">
        <v>0.94069499999999995</v>
      </c>
      <c r="AB4034">
        <v>22</v>
      </c>
      <c r="AC4034">
        <v>-8.5926000000000595</v>
      </c>
      <c r="AD4034">
        <v>-1.1126386574739999</v>
      </c>
      <c r="AE4034">
        <v>-3.7886999999999702</v>
      </c>
      <c r="AF4034">
        <v>-3.22297515598415</v>
      </c>
      <c r="AG4034">
        <v>-1.1126386574739999</v>
      </c>
      <c r="AH4034">
        <v>8.6818604279107507</v>
      </c>
      <c r="AI4034">
        <v>96.850968085219904</v>
      </c>
      <c r="AJ4034">
        <v>110.366483611014</v>
      </c>
      <c r="AK4034">
        <v>9.3273916036542204</v>
      </c>
      <c r="AL4034">
        <v>83.143320110127704</v>
      </c>
      <c r="AM4034">
        <v>99.318800313237304</v>
      </c>
      <c r="AN4034">
        <v>0.99999998297834902</v>
      </c>
    </row>
    <row r="4035" spans="1:40" x14ac:dyDescent="0.25">
      <c r="A4035" t="str">
        <f>"20190312172744836"</f>
        <v>20190312172744836</v>
      </c>
      <c r="B4035" t="str">
        <f>"1552382864823981"</f>
        <v>1552382864823981</v>
      </c>
      <c r="C4035" t="s">
        <v>40</v>
      </c>
      <c r="D4035">
        <v>3.1696569999999999</v>
      </c>
      <c r="E4035">
        <v>0.42969439999999998</v>
      </c>
      <c r="F4035" t="s">
        <v>50</v>
      </c>
      <c r="G4035">
        <v>-404.25009999999997</v>
      </c>
      <c r="H4035" s="1">
        <v>-6.127761E-6</v>
      </c>
      <c r="I4035">
        <v>137.21109999999999</v>
      </c>
      <c r="J4035">
        <v>-393.83190000000002</v>
      </c>
      <c r="K4035">
        <v>1.112636</v>
      </c>
      <c r="L4035">
        <v>141.91749999999999</v>
      </c>
      <c r="M4035">
        <v>-0.99787250000000005</v>
      </c>
      <c r="N4035">
        <v>0</v>
      </c>
      <c r="O4035">
        <v>-6.3722570000000006E-2</v>
      </c>
      <c r="P4035">
        <v>-0.96645060000000005</v>
      </c>
      <c r="Q4035">
        <v>0.1095093</v>
      </c>
      <c r="R4035">
        <v>-0.2323383</v>
      </c>
      <c r="S4035">
        <v>-2.84137</v>
      </c>
      <c r="T4035">
        <v>-0.2971781</v>
      </c>
      <c r="U4035">
        <v>-1.2618100000000001</v>
      </c>
      <c r="V4035">
        <v>-0.17098079999999999</v>
      </c>
      <c r="W4035">
        <v>0.1220223</v>
      </c>
      <c r="X4035">
        <v>0.97768909999999998</v>
      </c>
      <c r="Y4035">
        <v>-0.34551979999999999</v>
      </c>
      <c r="Z4035">
        <v>-1.0889380000000001E-2</v>
      </c>
      <c r="AA4035">
        <v>0.93834830000000002</v>
      </c>
      <c r="AB4035">
        <v>22</v>
      </c>
      <c r="AC4035">
        <v>-10.418199999999899</v>
      </c>
      <c r="AD4035">
        <v>-1.1126421277609999</v>
      </c>
      <c r="AE4035">
        <v>-4.7064000000000004</v>
      </c>
      <c r="AF4035">
        <v>-3.9950518699842901</v>
      </c>
      <c r="AG4035">
        <v>-1.1126421277609999</v>
      </c>
      <c r="AH4035">
        <v>10.5965772429001</v>
      </c>
      <c r="AI4035">
        <v>95.611273287831494</v>
      </c>
      <c r="AJ4035">
        <v>110.657116361229</v>
      </c>
      <c r="AK4035">
        <v>11.3791854371515</v>
      </c>
      <c r="AL4035">
        <v>82.991169813210007</v>
      </c>
      <c r="AM4035">
        <v>99.919718059612606</v>
      </c>
      <c r="AN4035">
        <v>0.99999992596236698</v>
      </c>
    </row>
    <row r="4036" spans="1:40" x14ac:dyDescent="0.25">
      <c r="A4036" t="str">
        <f>"20190312172744861"</f>
        <v>20190312172744861</v>
      </c>
      <c r="B4036" t="str">
        <f>"1552382864853261"</f>
        <v>1552382864853261</v>
      </c>
      <c r="C4036" t="s">
        <v>40</v>
      </c>
      <c r="D4036">
        <v>3.2272319999999999</v>
      </c>
      <c r="E4036">
        <v>0.4319617</v>
      </c>
      <c r="F4036" t="s">
        <v>50</v>
      </c>
      <c r="G4036">
        <v>-405.49869999999999</v>
      </c>
      <c r="H4036" s="1">
        <v>-6.5177840000000001E-6</v>
      </c>
      <c r="I4036">
        <v>136.584</v>
      </c>
      <c r="J4036">
        <v>-394.07249999999999</v>
      </c>
      <c r="K4036">
        <v>1.112638</v>
      </c>
      <c r="L4036">
        <v>141.89699999999999</v>
      </c>
      <c r="M4036">
        <v>-0.99758780000000002</v>
      </c>
      <c r="N4036">
        <v>0</v>
      </c>
      <c r="O4036">
        <v>-6.8032029999999993E-2</v>
      </c>
      <c r="P4036">
        <v>-0.96252380000000004</v>
      </c>
      <c r="Q4036">
        <v>0.1123533</v>
      </c>
      <c r="R4036">
        <v>-0.2468292</v>
      </c>
      <c r="S4036">
        <v>-2.8242799999999999</v>
      </c>
      <c r="T4036">
        <v>-0.269347</v>
      </c>
      <c r="U4036">
        <v>-1.2911220000000001</v>
      </c>
      <c r="V4036">
        <v>-0.18148600000000001</v>
      </c>
      <c r="W4036">
        <v>0.1247791</v>
      </c>
      <c r="X4036">
        <v>0.97544500000000001</v>
      </c>
      <c r="Y4036">
        <v>-0.3518656</v>
      </c>
      <c r="Z4036">
        <v>-9.8088510000000004E-3</v>
      </c>
      <c r="AA4036">
        <v>0.93599920000000003</v>
      </c>
      <c r="AB4036">
        <v>22</v>
      </c>
      <c r="AC4036">
        <v>-11.4261999999999</v>
      </c>
      <c r="AD4036">
        <v>-1.1126445177840001</v>
      </c>
      <c r="AE4036">
        <v>-5.3130000000000104</v>
      </c>
      <c r="AF4036">
        <v>-4.4882737368351</v>
      </c>
      <c r="AG4036">
        <v>-1.1126445177840001</v>
      </c>
      <c r="AH4036">
        <v>11.6702234898358</v>
      </c>
      <c r="AI4036">
        <v>95.085145428280896</v>
      </c>
      <c r="AJ4036">
        <v>111.036340177043</v>
      </c>
      <c r="AK4036">
        <v>12.5529556385113</v>
      </c>
      <c r="AL4036">
        <v>82.832000515353002</v>
      </c>
      <c r="AM4036">
        <v>100.539629990108</v>
      </c>
      <c r="AN4036">
        <v>0.99999997000890395</v>
      </c>
    </row>
    <row r="4037" spans="1:40" x14ac:dyDescent="0.25">
      <c r="A4037" t="str">
        <f>"20190312172744902"</f>
        <v>20190312172744902</v>
      </c>
      <c r="B4037" t="str">
        <f>"1552382864893784"</f>
        <v>1552382864893784</v>
      </c>
      <c r="C4037" t="s">
        <v>40</v>
      </c>
      <c r="D4037">
        <v>3.3569580000000001</v>
      </c>
      <c r="E4037">
        <v>0.43605240000000001</v>
      </c>
      <c r="F4037" t="s">
        <v>50</v>
      </c>
      <c r="G4037">
        <v>-406.45479999999998</v>
      </c>
      <c r="H4037" s="1">
        <v>-6.9471360000000001E-6</v>
      </c>
      <c r="I4037">
        <v>136.10679999999999</v>
      </c>
      <c r="J4037">
        <v>-394.47370000000001</v>
      </c>
      <c r="K4037">
        <v>1.1126400000000001</v>
      </c>
      <c r="L4037">
        <v>141.8605</v>
      </c>
      <c r="M4037">
        <v>-0.99707259999999998</v>
      </c>
      <c r="N4037">
        <v>0</v>
      </c>
      <c r="O4037">
        <v>-7.5207479999999993E-2</v>
      </c>
      <c r="P4037">
        <v>-0.95528409999999997</v>
      </c>
      <c r="Q4037">
        <v>0.118491</v>
      </c>
      <c r="R4037">
        <v>-0.2709107</v>
      </c>
      <c r="S4037">
        <v>-2.8093569999999999</v>
      </c>
      <c r="T4037">
        <v>-0.252442</v>
      </c>
      <c r="U4037">
        <v>-1.3137209999999999</v>
      </c>
      <c r="V4037">
        <v>-0.19903650000000001</v>
      </c>
      <c r="W4037">
        <v>0.13076499999999999</v>
      </c>
      <c r="X4037">
        <v>0.9712286</v>
      </c>
      <c r="Y4037">
        <v>-0.35335159999999999</v>
      </c>
      <c r="Z4037">
        <v>-8.6827509999999903E-3</v>
      </c>
      <c r="AA4037">
        <v>0.93545029999999996</v>
      </c>
      <c r="AB4037">
        <v>22</v>
      </c>
      <c r="AC4037">
        <v>-11.9810999999999</v>
      </c>
      <c r="AD4037">
        <v>-1.1126469471359901</v>
      </c>
      <c r="AE4037">
        <v>-5.7537000000000003</v>
      </c>
      <c r="AF4037">
        <v>-4.8025911468881004</v>
      </c>
      <c r="AG4037">
        <v>-1.1126469471359901</v>
      </c>
      <c r="AH4037">
        <v>12.2937691185532</v>
      </c>
      <c r="AI4037">
        <v>94.818681919484703</v>
      </c>
      <c r="AJ4037">
        <v>111.338224322969</v>
      </c>
      <c r="AK4037">
        <v>13.245362361726199</v>
      </c>
      <c r="AL4037">
        <v>82.486199062355695</v>
      </c>
      <c r="AM4037">
        <v>101.58142572188</v>
      </c>
      <c r="AN4037">
        <v>1.0000000035076</v>
      </c>
    </row>
    <row r="4038" spans="1:40" x14ac:dyDescent="0.25">
      <c r="A4038" t="str">
        <f>"20190312172744925"</f>
        <v>20190312172744925</v>
      </c>
      <c r="B4038" t="str">
        <f>"1552382864913305"</f>
        <v>1552382864913305</v>
      </c>
      <c r="C4038" t="s">
        <v>40</v>
      </c>
      <c r="D4038">
        <v>3.4168539999999998</v>
      </c>
      <c r="E4038">
        <v>0.43833650000000002</v>
      </c>
      <c r="F4038" t="s">
        <v>50</v>
      </c>
      <c r="G4038">
        <v>-407.63580000000002</v>
      </c>
      <c r="H4038" s="1">
        <v>-7.4233039999999998E-6</v>
      </c>
      <c r="I4038">
        <v>135.47899999999899</v>
      </c>
      <c r="J4038">
        <v>-394.69889999999998</v>
      </c>
      <c r="K4038">
        <v>1.1126309999999999</v>
      </c>
      <c r="L4038">
        <v>141.83869999999999</v>
      </c>
      <c r="M4038">
        <v>-0.9967608</v>
      </c>
      <c r="N4038">
        <v>0</v>
      </c>
      <c r="O4038">
        <v>-7.9233100000000001E-2</v>
      </c>
      <c r="P4038">
        <v>-0.95189250000000003</v>
      </c>
      <c r="Q4038">
        <v>0.1208964</v>
      </c>
      <c r="R4038">
        <v>-0.28157589999999999</v>
      </c>
      <c r="S4038">
        <v>-2.7864990000000001</v>
      </c>
      <c r="T4038">
        <v>-0.23555400000000001</v>
      </c>
      <c r="U4038">
        <v>-1.3509979999999999</v>
      </c>
      <c r="V4038">
        <v>-0.2060167</v>
      </c>
      <c r="W4038">
        <v>0.1331099</v>
      </c>
      <c r="X4038">
        <v>0.96945289999999995</v>
      </c>
      <c r="Y4038">
        <v>-0.36277939999999997</v>
      </c>
      <c r="Z4038">
        <v>-8.2008210000000005E-3</v>
      </c>
      <c r="AA4038">
        <v>0.93183899999999997</v>
      </c>
      <c r="AB4038">
        <v>22</v>
      </c>
      <c r="AC4038">
        <v>-12.9369</v>
      </c>
      <c r="AD4038">
        <v>-1.1126384233040001</v>
      </c>
      <c r="AE4038">
        <v>-6.3597000000000001</v>
      </c>
      <c r="AF4038">
        <v>-5.2831013588198701</v>
      </c>
      <c r="AG4038">
        <v>-1.1126384233040001</v>
      </c>
      <c r="AH4038">
        <v>13.320811808621199</v>
      </c>
      <c r="AI4038">
        <v>94.439697880786397</v>
      </c>
      <c r="AJ4038">
        <v>111.633527425685</v>
      </c>
      <c r="AK4038">
        <v>14.373348651907101</v>
      </c>
      <c r="AL4038">
        <v>82.350661462259893</v>
      </c>
      <c r="AM4038">
        <v>101.997349355921</v>
      </c>
      <c r="AN4038">
        <v>1.00000002573765</v>
      </c>
    </row>
    <row r="4039" spans="1:40" x14ac:dyDescent="0.25">
      <c r="A4039" t="str">
        <f>"20190312172744947"</f>
        <v>20190312172744947</v>
      </c>
      <c r="B4039" t="str">
        <f>"1552382864943561"</f>
        <v>1552382864943561</v>
      </c>
      <c r="C4039" t="s">
        <v>40</v>
      </c>
      <c r="D4039">
        <v>3.411273</v>
      </c>
      <c r="E4039">
        <v>0.45990130000000001</v>
      </c>
      <c r="F4039" t="s">
        <v>50</v>
      </c>
      <c r="G4039">
        <v>-408.21280000000002</v>
      </c>
      <c r="H4039" s="1">
        <v>-7.6612819999999997E-6</v>
      </c>
      <c r="I4039">
        <v>135.20160000000001</v>
      </c>
      <c r="J4039">
        <v>-394.91399999999999</v>
      </c>
      <c r="K4039">
        <v>1.1126240000000001</v>
      </c>
      <c r="L4039">
        <v>141.81710000000001</v>
      </c>
      <c r="M4039">
        <v>-0.99644770000000005</v>
      </c>
      <c r="N4039">
        <v>0</v>
      </c>
      <c r="O4039">
        <v>-8.3079360000000005E-2</v>
      </c>
      <c r="P4039">
        <v>-0.94875010000000004</v>
      </c>
      <c r="Q4039">
        <v>0.122262</v>
      </c>
      <c r="R4039">
        <v>-0.2914196</v>
      </c>
      <c r="S4039">
        <v>-2.7771910000000002</v>
      </c>
      <c r="T4039">
        <v>-0.22865360000000001</v>
      </c>
      <c r="U4039">
        <v>-1.3639680000000001</v>
      </c>
      <c r="V4039">
        <v>-0.2123427</v>
      </c>
      <c r="W4039">
        <v>0.13442019999999999</v>
      </c>
      <c r="X4039">
        <v>0.96790589999999999</v>
      </c>
      <c r="Y4039">
        <v>-0.3639734</v>
      </c>
      <c r="Z4039">
        <v>-7.7285929999999997E-3</v>
      </c>
      <c r="AA4039">
        <v>0.93137729999999996</v>
      </c>
      <c r="AB4039">
        <v>22</v>
      </c>
      <c r="AC4039">
        <v>-13.2988</v>
      </c>
      <c r="AD4039">
        <v>-1.112631661282</v>
      </c>
      <c r="AE4039">
        <v>-6.6154999999999902</v>
      </c>
      <c r="AF4039">
        <v>-5.4570444562926701</v>
      </c>
      <c r="AG4039">
        <v>-1.112631661282</v>
      </c>
      <c r="AH4039">
        <v>13.725464407981301</v>
      </c>
      <c r="AI4039">
        <v>94.307838231257307</v>
      </c>
      <c r="AJ4039">
        <v>111.682046864847</v>
      </c>
      <c r="AK4039">
        <v>14.8123481131927</v>
      </c>
      <c r="AL4039">
        <v>82.274905959335399</v>
      </c>
      <c r="AM4039">
        <v>102.373728574579</v>
      </c>
      <c r="AN4039">
        <v>1.00000002183306</v>
      </c>
    </row>
    <row r="4040" spans="1:40" x14ac:dyDescent="0.25">
      <c r="A4040" t="str">
        <f>"20190312172744970"</f>
        <v>20190312172744970</v>
      </c>
      <c r="B4040" t="str">
        <f>"1552382864963084"</f>
        <v>1552382864963084</v>
      </c>
      <c r="C4040" t="s">
        <v>40</v>
      </c>
      <c r="D4040">
        <v>3.351531</v>
      </c>
      <c r="E4040">
        <v>0.46087689999999998</v>
      </c>
      <c r="F4040" t="s">
        <v>50</v>
      </c>
      <c r="G4040">
        <v>-408.18430000000001</v>
      </c>
      <c r="H4040" s="1">
        <v>-8.0035269999999994E-6</v>
      </c>
      <c r="I4040">
        <v>136.02520000000001</v>
      </c>
      <c r="J4040">
        <v>-395.13310000000001</v>
      </c>
      <c r="K4040">
        <v>1.112614</v>
      </c>
      <c r="L4040">
        <v>141.79419999999999</v>
      </c>
      <c r="M4040">
        <v>-0.99611349999999999</v>
      </c>
      <c r="N4040">
        <v>0</v>
      </c>
      <c r="O4040">
        <v>-8.6996080000000003E-2</v>
      </c>
      <c r="P4040">
        <v>-0.94573819999999997</v>
      </c>
      <c r="Q4040">
        <v>0.1224272</v>
      </c>
      <c r="R4040">
        <v>-0.30098330000000001</v>
      </c>
      <c r="S4040">
        <v>-2.8150629999999999</v>
      </c>
      <c r="T4040">
        <v>-0.2360256</v>
      </c>
      <c r="U4040">
        <v>-1.228653</v>
      </c>
      <c r="V4040">
        <v>-0.21831610000000001</v>
      </c>
      <c r="W4040">
        <v>0.13453560000000001</v>
      </c>
      <c r="X4040">
        <v>0.96655999999999997</v>
      </c>
      <c r="Y4040">
        <v>-0.31808360000000002</v>
      </c>
      <c r="Z4040">
        <v>-5.8058179999999999E-3</v>
      </c>
      <c r="AA4040">
        <v>0.94804489999999997</v>
      </c>
      <c r="AB4040">
        <v>22</v>
      </c>
      <c r="AC4040">
        <v>-13.0511999999999</v>
      </c>
      <c r="AD4040">
        <v>-1.112622003527</v>
      </c>
      <c r="AE4040">
        <v>-5.7689999999999699</v>
      </c>
      <c r="AF4040">
        <v>-4.5837447071906698</v>
      </c>
      <c r="AG4040">
        <v>-1.112622003527</v>
      </c>
      <c r="AH4040">
        <v>13.422034445116299</v>
      </c>
      <c r="AI4040">
        <v>94.485481828743701</v>
      </c>
      <c r="AJ4040">
        <v>108.855494581247</v>
      </c>
      <c r="AK4040">
        <v>14.226723161336899</v>
      </c>
      <c r="AL4040">
        <v>82.268233172534906</v>
      </c>
      <c r="AM4040">
        <v>102.727774520682</v>
      </c>
      <c r="AN4040">
        <v>0.99999999039328402</v>
      </c>
    </row>
    <row r="4041" spans="1:40" x14ac:dyDescent="0.25">
      <c r="A4041" t="str">
        <f>"20190312172744992"</f>
        <v>20190312172744992</v>
      </c>
      <c r="B4041" t="str">
        <f>"1552382864983108"</f>
        <v>1552382864983108</v>
      </c>
      <c r="C4041" t="s">
        <v>40</v>
      </c>
      <c r="D4041">
        <v>3.4362599999999999</v>
      </c>
      <c r="E4041">
        <v>0.4616884</v>
      </c>
      <c r="F4041" t="s">
        <v>50</v>
      </c>
      <c r="G4041">
        <v>-408.10590000000002</v>
      </c>
      <c r="H4041" s="1">
        <v>-7.9515319999999992E-6</v>
      </c>
      <c r="I4041">
        <v>136.018</v>
      </c>
      <c r="J4041">
        <v>-395.35680000000002</v>
      </c>
      <c r="K4041">
        <v>1.112608</v>
      </c>
      <c r="L4041">
        <v>141.76990000000001</v>
      </c>
      <c r="M4041">
        <v>-0.99575590000000003</v>
      </c>
      <c r="N4041">
        <v>0</v>
      </c>
      <c r="O4041">
        <v>-9.0996599999999997E-2</v>
      </c>
      <c r="P4041">
        <v>-0.94277520000000004</v>
      </c>
      <c r="Q4041">
        <v>0.1219731</v>
      </c>
      <c r="R4041">
        <v>-0.310318599999999</v>
      </c>
      <c r="S4041">
        <v>-2.8056950000000001</v>
      </c>
      <c r="T4041">
        <v>-0.2406336</v>
      </c>
      <c r="U4041">
        <v>-1.249252</v>
      </c>
      <c r="V4041">
        <v>-0.22398560000000001</v>
      </c>
      <c r="W4041">
        <v>0.13403370000000001</v>
      </c>
      <c r="X4041">
        <v>0.96533170000000001</v>
      </c>
      <c r="Y4041">
        <v>-0.32123380000000001</v>
      </c>
      <c r="Z4041">
        <v>-5.7347669999999896E-3</v>
      </c>
      <c r="AA4041">
        <v>0.94698260000000001</v>
      </c>
      <c r="AB4041">
        <v>22</v>
      </c>
      <c r="AC4041">
        <v>-12.7491</v>
      </c>
      <c r="AD4041">
        <v>-1.112615951532</v>
      </c>
      <c r="AE4041">
        <v>-5.7519</v>
      </c>
      <c r="AF4041">
        <v>-4.5390737251712796</v>
      </c>
      <c r="AG4041">
        <v>-1.112615951532</v>
      </c>
      <c r="AH4041">
        <v>13.1365212130342</v>
      </c>
      <c r="AI4041">
        <v>94.576899566953202</v>
      </c>
      <c r="AJ4041">
        <v>109.06161172905</v>
      </c>
      <c r="AK4041">
        <v>13.9430733383512</v>
      </c>
      <c r="AL4041">
        <v>82.297252342552397</v>
      </c>
      <c r="AM4041">
        <v>103.06316444994</v>
      </c>
      <c r="AN4041">
        <v>0.999999936383968</v>
      </c>
    </row>
    <row r="4042" spans="1:40" x14ac:dyDescent="0.25">
      <c r="A4042" t="str">
        <f>"20190312172745014"</f>
        <v>20190312172745014</v>
      </c>
      <c r="B4042" t="str">
        <f>"1552382865003605"</f>
        <v>1552382865003605</v>
      </c>
      <c r="C4042" t="s">
        <v>40</v>
      </c>
      <c r="D4042">
        <v>3.4698859999999998</v>
      </c>
      <c r="E4042">
        <v>0.46274939999999998</v>
      </c>
      <c r="F4042" t="s">
        <v>50</v>
      </c>
      <c r="G4042">
        <v>-408.42090000000002</v>
      </c>
      <c r="H4042" s="1">
        <v>-8.0670529999999907E-6</v>
      </c>
      <c r="I4042">
        <v>135.83359999999999</v>
      </c>
      <c r="J4042">
        <v>-395.56810000000002</v>
      </c>
      <c r="K4042">
        <v>1.1126020000000001</v>
      </c>
      <c r="L4042">
        <v>141.74600000000001</v>
      </c>
      <c r="M4042">
        <v>-0.99540309999999999</v>
      </c>
      <c r="N4042">
        <v>0</v>
      </c>
      <c r="O4042">
        <v>-9.4778639999999997E-2</v>
      </c>
      <c r="P4042">
        <v>-0.93970739999999997</v>
      </c>
      <c r="Q4042">
        <v>0.1227539</v>
      </c>
      <c r="R4042">
        <v>-0.31918879999999999</v>
      </c>
      <c r="S4042">
        <v>-2.7948300000000001</v>
      </c>
      <c r="T4042">
        <v>-0.23802390000000001</v>
      </c>
      <c r="U4042">
        <v>-1.2699579999999999</v>
      </c>
      <c r="V4042">
        <v>-0.22943340000000001</v>
      </c>
      <c r="W4042">
        <v>0.1347671</v>
      </c>
      <c r="X4042">
        <v>0.96394930000000001</v>
      </c>
      <c r="Y4042">
        <v>-0.324847</v>
      </c>
      <c r="Z4042">
        <v>-5.5291810000000002E-3</v>
      </c>
      <c r="AA4042">
        <v>0.94575039999999999</v>
      </c>
      <c r="AB4042">
        <v>22</v>
      </c>
      <c r="AC4042">
        <v>-12.8528</v>
      </c>
      <c r="AD4042">
        <v>-1.1126100670529999</v>
      </c>
      <c r="AE4042">
        <v>-5.9124000000000096</v>
      </c>
      <c r="AF4042">
        <v>-4.6388028211657</v>
      </c>
      <c r="AG4042">
        <v>-1.1126100670529999</v>
      </c>
      <c r="AH4042">
        <v>13.2732598995893</v>
      </c>
      <c r="AI4042">
        <v>94.524395495155403</v>
      </c>
      <c r="AJ4042">
        <v>109.263745559295</v>
      </c>
      <c r="AK4042">
        <v>14.104461036743301</v>
      </c>
      <c r="AL4042">
        <v>82.2548477952745</v>
      </c>
      <c r="AM4042">
        <v>103.388091169557</v>
      </c>
      <c r="AN4042">
        <v>1.00000005462422</v>
      </c>
    </row>
    <row r="4043" spans="1:40" x14ac:dyDescent="0.25">
      <c r="A4043" t="str">
        <f>"20190312172745049"</f>
        <v>20190312172745049</v>
      </c>
      <c r="B4043" t="str">
        <f>"1552382865043620"</f>
        <v>1552382865043620</v>
      </c>
      <c r="C4043" t="s">
        <v>40</v>
      </c>
      <c r="D4043">
        <v>3.4566729999999999</v>
      </c>
      <c r="E4043">
        <v>0.4718774</v>
      </c>
      <c r="F4043" t="s">
        <v>50</v>
      </c>
      <c r="G4043">
        <v>-408.72140000000002</v>
      </c>
      <c r="H4043" s="1">
        <v>-8.1787979999999999E-6</v>
      </c>
      <c r="I4043">
        <v>135.66120000000001</v>
      </c>
      <c r="J4043">
        <v>-395.89510000000001</v>
      </c>
      <c r="K4043">
        <v>1.112592</v>
      </c>
      <c r="L4043">
        <v>141.70769999999999</v>
      </c>
      <c r="M4043">
        <v>-0.9948283</v>
      </c>
      <c r="N4043">
        <v>0</v>
      </c>
      <c r="O4043">
        <v>-0.1006336</v>
      </c>
      <c r="P4043">
        <v>-0.93471729999999997</v>
      </c>
      <c r="Q4043">
        <v>0.12444520000000001</v>
      </c>
      <c r="R4043">
        <v>-0.33289190000000002</v>
      </c>
      <c r="S4043">
        <v>-2.7855829999999999</v>
      </c>
      <c r="T4043">
        <v>-0.23562659999999999</v>
      </c>
      <c r="U4043">
        <v>-1.288635</v>
      </c>
      <c r="V4043">
        <v>-0.23788889999999999</v>
      </c>
      <c r="W4043">
        <v>0.1363818</v>
      </c>
      <c r="X4043">
        <v>0.96166980000000002</v>
      </c>
      <c r="Y4043">
        <v>-0.32572879999999999</v>
      </c>
      <c r="Z4043">
        <v>-5.0550289999999999E-3</v>
      </c>
      <c r="AA4043">
        <v>0.94544969999999995</v>
      </c>
      <c r="AB4043">
        <v>22</v>
      </c>
      <c r="AC4043">
        <v>-12.8263</v>
      </c>
      <c r="AD4043">
        <v>-1.112600178798</v>
      </c>
      <c r="AE4043">
        <v>-6.0464999999999796</v>
      </c>
      <c r="AF4043">
        <v>-4.6960101570899901</v>
      </c>
      <c r="AG4043">
        <v>-1.112600178798</v>
      </c>
      <c r="AH4043">
        <v>13.287909556569801</v>
      </c>
      <c r="AI4043">
        <v>94.513872825896001</v>
      </c>
      <c r="AJ4043">
        <v>109.46364931954901</v>
      </c>
      <c r="AK4043">
        <v>14.1371471993798</v>
      </c>
      <c r="AL4043">
        <v>82.161469440295505</v>
      </c>
      <c r="AM4043">
        <v>103.89436805428301</v>
      </c>
      <c r="AN4043">
        <v>0.99999996417324399</v>
      </c>
    </row>
    <row r="4044" spans="1:40" x14ac:dyDescent="0.25">
      <c r="A4044" t="str">
        <f>"20190312172745072"</f>
        <v>20190312172745072</v>
      </c>
      <c r="B4044" t="str">
        <f>"1552382865063140"</f>
        <v>1552382865063140</v>
      </c>
      <c r="C4044" t="s">
        <v>40</v>
      </c>
      <c r="D4044">
        <v>3.4764279999999999</v>
      </c>
      <c r="E4044">
        <v>0.47304400000000002</v>
      </c>
      <c r="F4044" t="s">
        <v>50</v>
      </c>
      <c r="G4044">
        <v>-408.91890000000001</v>
      </c>
      <c r="H4044" s="1">
        <v>-8.3721280000000006E-6</v>
      </c>
      <c r="I4044">
        <v>135.82220000000001</v>
      </c>
      <c r="J4044">
        <v>-396.12110000000001</v>
      </c>
      <c r="K4044">
        <v>1.1125830000000001</v>
      </c>
      <c r="L4044">
        <v>141.68</v>
      </c>
      <c r="M4044">
        <v>-0.99441029999999997</v>
      </c>
      <c r="N4044">
        <v>0</v>
      </c>
      <c r="O4044">
        <v>-0.1046835</v>
      </c>
      <c r="P4044">
        <v>-0.93109799999999998</v>
      </c>
      <c r="Q4044">
        <v>0.12530830000000001</v>
      </c>
      <c r="R4044">
        <v>-0.34257120000000002</v>
      </c>
      <c r="S4044">
        <v>-2.7919619999999998</v>
      </c>
      <c r="T4044">
        <v>-0.2385129</v>
      </c>
      <c r="U4044">
        <v>-1.2616879999999999</v>
      </c>
      <c r="V4044">
        <v>-0.24397160000000001</v>
      </c>
      <c r="W4044">
        <v>0.13718910000000001</v>
      </c>
      <c r="X4044">
        <v>0.96002969999999999</v>
      </c>
      <c r="Y4044">
        <v>-0.3135116</v>
      </c>
      <c r="Z4044">
        <v>-4.2935899999999999E-3</v>
      </c>
      <c r="AA4044">
        <v>0.94957460000000005</v>
      </c>
      <c r="AB4044">
        <v>22</v>
      </c>
      <c r="AC4044">
        <v>-12.797799999999899</v>
      </c>
      <c r="AD4044">
        <v>-1.1125913721279901</v>
      </c>
      <c r="AE4044">
        <v>-5.8577999999999903</v>
      </c>
      <c r="AF4044">
        <v>-4.4579069543315599</v>
      </c>
      <c r="AG4044">
        <v>-1.1125913721279901</v>
      </c>
      <c r="AH4044">
        <v>13.2578982304248</v>
      </c>
      <c r="AI4044">
        <v>94.547898139022493</v>
      </c>
      <c r="AJ4044">
        <v>108.584980307289</v>
      </c>
      <c r="AK4044">
        <v>14.031488141430801</v>
      </c>
      <c r="AL4044">
        <v>82.114776011893198</v>
      </c>
      <c r="AM4044">
        <v>104.25869628678601</v>
      </c>
      <c r="AN4044">
        <v>1.0000000078237199</v>
      </c>
    </row>
    <row r="4045" spans="1:40" x14ac:dyDescent="0.25">
      <c r="A4045" t="str">
        <f>"20190312172745103"</f>
        <v>20190312172745103</v>
      </c>
      <c r="B4045" t="str">
        <f>"1552382865092927"</f>
        <v>1552382865092927</v>
      </c>
      <c r="C4045" t="s">
        <v>40</v>
      </c>
      <c r="D4045">
        <v>3.4446539999999999</v>
      </c>
      <c r="E4045">
        <v>0.47428320000000002</v>
      </c>
      <c r="F4045" t="s">
        <v>50</v>
      </c>
      <c r="G4045">
        <v>-409.36320000000001</v>
      </c>
      <c r="H4045" s="1">
        <v>-8.5412390000000005E-6</v>
      </c>
      <c r="I4045">
        <v>135.57640000000001</v>
      </c>
      <c r="J4045">
        <v>-396.42630000000003</v>
      </c>
      <c r="K4045">
        <v>1.112579</v>
      </c>
      <c r="L4045">
        <v>141.64109999999999</v>
      </c>
      <c r="M4045">
        <v>-0.99381830000000004</v>
      </c>
      <c r="N4045">
        <v>0</v>
      </c>
      <c r="O4045">
        <v>-0.1101632</v>
      </c>
      <c r="P4045">
        <v>-0.92590519999999998</v>
      </c>
      <c r="Q4045">
        <v>0.12576499999999999</v>
      </c>
      <c r="R4045">
        <v>-0.35620669999999999</v>
      </c>
      <c r="S4045">
        <v>-2.7817080000000001</v>
      </c>
      <c r="T4045">
        <v>-0.23371649999999999</v>
      </c>
      <c r="U4045">
        <v>-1.2821499999999999</v>
      </c>
      <c r="V4045">
        <v>-0.25279119999999999</v>
      </c>
      <c r="W4045">
        <v>0.13756460000000001</v>
      </c>
      <c r="X4045">
        <v>0.95769130000000002</v>
      </c>
      <c r="Y4045">
        <v>-0.3154015</v>
      </c>
      <c r="Z4045">
        <v>-3.8611240000000001E-3</v>
      </c>
      <c r="AA4045">
        <v>0.94895050000000003</v>
      </c>
      <c r="AB4045">
        <v>22</v>
      </c>
      <c r="AC4045">
        <v>-12.9368999999999</v>
      </c>
      <c r="AD4045">
        <v>-1.1125875412390001</v>
      </c>
      <c r="AE4045">
        <v>-6.0646999999999798</v>
      </c>
      <c r="AF4045">
        <v>-4.5747356360941804</v>
      </c>
      <c r="AG4045">
        <v>-1.1125875412390001</v>
      </c>
      <c r="AH4045">
        <v>13.444790677909699</v>
      </c>
      <c r="AI4045">
        <v>94.479482776253207</v>
      </c>
      <c r="AJ4045">
        <v>108.79142805361001</v>
      </c>
      <c r="AK4045">
        <v>14.2452958393245</v>
      </c>
      <c r="AL4045">
        <v>82.093055592738096</v>
      </c>
      <c r="AM4045">
        <v>104.786479404928</v>
      </c>
      <c r="AN4045">
        <v>1.0000000180331401</v>
      </c>
    </row>
    <row r="4046" spans="1:40" x14ac:dyDescent="0.25">
      <c r="A4046" t="str">
        <f>"20190312172745126"</f>
        <v>20190312172745126</v>
      </c>
      <c r="B4046" t="str">
        <f>"1552382865113423"</f>
        <v>1552382865113423</v>
      </c>
      <c r="C4046" t="s">
        <v>40</v>
      </c>
      <c r="D4046">
        <v>3.3020160000000001</v>
      </c>
      <c r="E4046">
        <v>0.47133530000000001</v>
      </c>
      <c r="F4046" t="s">
        <v>50</v>
      </c>
      <c r="G4046">
        <v>-409.76100000000002</v>
      </c>
      <c r="H4046" s="1">
        <v>-8.6685649999999996E-6</v>
      </c>
      <c r="I4046">
        <v>135.30109999999999</v>
      </c>
      <c r="J4046">
        <v>-396.63580000000002</v>
      </c>
      <c r="K4046">
        <v>1.1125830000000001</v>
      </c>
      <c r="L4046">
        <v>141.61340000000001</v>
      </c>
      <c r="M4046">
        <v>-0.99339259999999996</v>
      </c>
      <c r="N4046">
        <v>0</v>
      </c>
      <c r="O4046">
        <v>-0.11393739999999999</v>
      </c>
      <c r="P4046">
        <v>-0.92256839999999996</v>
      </c>
      <c r="Q4046">
        <v>0.126443</v>
      </c>
      <c r="R4046">
        <v>-0.36452689999999999</v>
      </c>
      <c r="S4046">
        <v>-2.7655639999999999</v>
      </c>
      <c r="T4046">
        <v>-0.23074710000000001</v>
      </c>
      <c r="U4046">
        <v>-1.3148799999999901</v>
      </c>
      <c r="V4046">
        <v>-0.257795</v>
      </c>
      <c r="W4046">
        <v>0.13819319999999999</v>
      </c>
      <c r="X4046">
        <v>0.9562659</v>
      </c>
      <c r="Y4046">
        <v>-0.32309480000000002</v>
      </c>
      <c r="Z4046">
        <v>-3.8355329999999999E-3</v>
      </c>
      <c r="AA4046">
        <v>0.9463589</v>
      </c>
      <c r="AB4046">
        <v>22</v>
      </c>
      <c r="AC4046">
        <v>-13.1251999999999</v>
      </c>
      <c r="AD4046">
        <v>-1.1125916685649999</v>
      </c>
      <c r="AE4046">
        <v>-6.31230000000002</v>
      </c>
      <c r="AF4046">
        <v>-4.7478856745498703</v>
      </c>
      <c r="AG4046">
        <v>-1.1125916685649999</v>
      </c>
      <c r="AH4046">
        <v>13.6791582967019</v>
      </c>
      <c r="AI4046">
        <v>94.393860522666003</v>
      </c>
      <c r="AJ4046">
        <v>109.141326483893</v>
      </c>
      <c r="AK4046">
        <v>14.5223844566168</v>
      </c>
      <c r="AL4046">
        <v>82.056692393865404</v>
      </c>
      <c r="AM4046">
        <v>105.087413882692</v>
      </c>
      <c r="AN4046">
        <v>1.0000000470270201</v>
      </c>
    </row>
    <row r="4047" spans="1:40" x14ac:dyDescent="0.25">
      <c r="A4047" t="str">
        <f>"20190312172745149"</f>
        <v>20190312172745149</v>
      </c>
      <c r="B4047" t="str">
        <f>"1552382865143679"</f>
        <v>1552382865143679</v>
      </c>
      <c r="C4047" t="s">
        <v>40</v>
      </c>
      <c r="D4047">
        <v>3.3636469999999998</v>
      </c>
      <c r="E4047">
        <v>0.4674336</v>
      </c>
      <c r="F4047" t="s">
        <v>50</v>
      </c>
      <c r="G4047">
        <v>-410.45530000000002</v>
      </c>
      <c r="H4047" s="1">
        <v>-8.5075100000000001E-6</v>
      </c>
      <c r="I4047">
        <v>134.75239999999999</v>
      </c>
      <c r="J4047">
        <v>-396.85329999999999</v>
      </c>
      <c r="K4047">
        <v>1.1125929999999999</v>
      </c>
      <c r="L4047">
        <v>141.5838</v>
      </c>
      <c r="M4047">
        <v>-0.99293229999999999</v>
      </c>
      <c r="N4047">
        <v>0</v>
      </c>
      <c r="O4047">
        <v>-0.11788129999999999</v>
      </c>
      <c r="P4047">
        <v>-0.91911719999999997</v>
      </c>
      <c r="Q4047">
        <v>0.12831229999999999</v>
      </c>
      <c r="R4047">
        <v>-0.37250470000000002</v>
      </c>
      <c r="S4047">
        <v>-2.743805</v>
      </c>
      <c r="T4047">
        <v>-0.2209014</v>
      </c>
      <c r="U4047">
        <v>-1.362228</v>
      </c>
      <c r="V4047">
        <v>-0.26233030000000002</v>
      </c>
      <c r="W4047">
        <v>0.140010299999999</v>
      </c>
      <c r="X4047">
        <v>0.95476700000000003</v>
      </c>
      <c r="Y4047">
        <v>-0.3354317</v>
      </c>
      <c r="Z4047">
        <v>-3.862014E-3</v>
      </c>
      <c r="AA4047">
        <v>0.94205660000000002</v>
      </c>
      <c r="AB4047">
        <v>22</v>
      </c>
      <c r="AC4047">
        <v>-13.602</v>
      </c>
      <c r="AD4047">
        <v>-1.11260150751</v>
      </c>
      <c r="AE4047">
        <v>-6.8314000000000004</v>
      </c>
      <c r="AF4047">
        <v>-5.1526562728288399</v>
      </c>
      <c r="AG4047">
        <v>-1.11260150751</v>
      </c>
      <c r="AH4047">
        <v>14.2364497226912</v>
      </c>
      <c r="AI4047">
        <v>94.202909572246199</v>
      </c>
      <c r="AJ4047">
        <v>109.896916377076</v>
      </c>
      <c r="AK4047">
        <v>15.181049024594699</v>
      </c>
      <c r="AL4047">
        <v>81.951558119448407</v>
      </c>
      <c r="AM4047">
        <v>105.36338364911499</v>
      </c>
      <c r="AN4047">
        <v>1.00000004734658</v>
      </c>
    </row>
    <row r="4048" spans="1:40" x14ac:dyDescent="0.25">
      <c r="A4048" t="str">
        <f>"20190312172745171"</f>
        <v>20190312172745171</v>
      </c>
      <c r="B4048" t="str">
        <f>"1552382865163199"</f>
        <v>1552382865163199</v>
      </c>
      <c r="C4048" t="s">
        <v>40</v>
      </c>
      <c r="D4048">
        <v>3.283487</v>
      </c>
      <c r="E4048">
        <v>0.46555340000000001</v>
      </c>
      <c r="F4048" t="s">
        <v>50</v>
      </c>
      <c r="G4048">
        <v>-411.28449999999998</v>
      </c>
      <c r="H4048" s="1">
        <v>-8.1375770000000002E-6</v>
      </c>
      <c r="I4048">
        <v>134.0727</v>
      </c>
      <c r="J4048">
        <v>-397.07060000000001</v>
      </c>
      <c r="K4048">
        <v>1.1126119999999999</v>
      </c>
      <c r="L4048">
        <v>141.5532</v>
      </c>
      <c r="M4048">
        <v>-0.9924518</v>
      </c>
      <c r="N4048">
        <v>0</v>
      </c>
      <c r="O4048">
        <v>-0.1218605</v>
      </c>
      <c r="P4048">
        <v>-0.91556559999999998</v>
      </c>
      <c r="Q4048">
        <v>0.13090930000000001</v>
      </c>
      <c r="R4048">
        <v>-0.38026569999999998</v>
      </c>
      <c r="S4048">
        <v>-2.7196039999999999</v>
      </c>
      <c r="T4048">
        <v>-0.209673</v>
      </c>
      <c r="U4048">
        <v>-1.4154819999999999</v>
      </c>
      <c r="V4048">
        <v>-0.26665</v>
      </c>
      <c r="W4048">
        <v>0.14254939999999999</v>
      </c>
      <c r="X4048">
        <v>0.95319330000000002</v>
      </c>
      <c r="Y4048">
        <v>-0.3496109</v>
      </c>
      <c r="Z4048">
        <v>-3.9132180000000004E-3</v>
      </c>
      <c r="AA4048">
        <v>0.93688680000000002</v>
      </c>
      <c r="AB4048">
        <v>22</v>
      </c>
      <c r="AC4048">
        <v>-14.213899999999899</v>
      </c>
      <c r="AD4048">
        <v>-1.112620137577</v>
      </c>
      <c r="AE4048">
        <v>-7.4805000000000001</v>
      </c>
      <c r="AF4048">
        <v>-5.6652783242458202</v>
      </c>
      <c r="AG4048">
        <v>-1.112620137577</v>
      </c>
      <c r="AH4048">
        <v>14.9478866144505</v>
      </c>
      <c r="AI4048">
        <v>93.981482176739405</v>
      </c>
      <c r="AJ4048">
        <v>110.756806370901</v>
      </c>
      <c r="AK4048">
        <v>16.0241260697793</v>
      </c>
      <c r="AL4048">
        <v>81.804604076478896</v>
      </c>
      <c r="AM4048">
        <v>105.62863824346999</v>
      </c>
      <c r="AN4048">
        <v>1.0000000105526199</v>
      </c>
    </row>
    <row r="4049" spans="1:40" x14ac:dyDescent="0.25">
      <c r="A4049" t="str">
        <f>"20190312172745216"</f>
        <v>20190312172745216</v>
      </c>
      <c r="B4049" t="str">
        <f>"1552382865203722"</f>
        <v>1552382865203722</v>
      </c>
      <c r="C4049" t="s">
        <v>40</v>
      </c>
      <c r="D4049">
        <v>3.2337359999999999</v>
      </c>
      <c r="E4049">
        <v>0.46321590000000001</v>
      </c>
      <c r="F4049" t="s">
        <v>50</v>
      </c>
      <c r="G4049">
        <v>-412.30840000000001</v>
      </c>
      <c r="H4049" s="1">
        <v>-7.7364149999999902E-6</v>
      </c>
      <c r="I4049">
        <v>133.36070000000001</v>
      </c>
      <c r="J4049">
        <v>-397.4889</v>
      </c>
      <c r="K4049">
        <v>1.1126499999999999</v>
      </c>
      <c r="L4049">
        <v>141.49170000000001</v>
      </c>
      <c r="M4049">
        <v>-0.9914676</v>
      </c>
      <c r="N4049">
        <v>0</v>
      </c>
      <c r="O4049">
        <v>-0.12962580000000001</v>
      </c>
      <c r="P4049">
        <v>-0.90920420000000002</v>
      </c>
      <c r="Q4049">
        <v>0.1345346</v>
      </c>
      <c r="R4049">
        <v>-0.39401560000000002</v>
      </c>
      <c r="S4049">
        <v>-2.7016300000000002</v>
      </c>
      <c r="T4049">
        <v>-0.19726399999999999</v>
      </c>
      <c r="U4049">
        <v>-1.452499</v>
      </c>
      <c r="V4049">
        <v>-0.2736575</v>
      </c>
      <c r="W4049">
        <v>0.1460736</v>
      </c>
      <c r="X4049">
        <v>0.95067029999999997</v>
      </c>
      <c r="Y4049">
        <v>-0.35490120000000003</v>
      </c>
      <c r="Z4049">
        <v>-3.3560199999999999E-3</v>
      </c>
      <c r="AA4049">
        <v>0.9348978</v>
      </c>
      <c r="AB4049">
        <v>22</v>
      </c>
      <c r="AC4049">
        <v>-14.8195</v>
      </c>
      <c r="AD4049">
        <v>-1.1126577364150001</v>
      </c>
      <c r="AE4049">
        <v>-8.1310000000000002</v>
      </c>
      <c r="AF4049">
        <v>-6.1147206321735998</v>
      </c>
      <c r="AG4049">
        <v>-1.1126577364150001</v>
      </c>
      <c r="AH4049">
        <v>15.6805904838992</v>
      </c>
      <c r="AI4049">
        <v>93.782264449218502</v>
      </c>
      <c r="AJ4049">
        <v>111.303532880001</v>
      </c>
      <c r="AK4049">
        <v>16.8673866847145</v>
      </c>
      <c r="AL4049">
        <v>81.600545834397806</v>
      </c>
      <c r="AM4049">
        <v>106.058856717936</v>
      </c>
      <c r="AN4049">
        <v>0.99999997161264897</v>
      </c>
    </row>
    <row r="4050" spans="1:40" x14ac:dyDescent="0.25">
      <c r="A4050" t="str">
        <f>"20190312172745238"</f>
        <v>20190312172745238</v>
      </c>
      <c r="B4050" t="str">
        <f>"1552382865233002"</f>
        <v>1552382865233002</v>
      </c>
      <c r="C4050" t="s">
        <v>40</v>
      </c>
      <c r="D4050">
        <v>3.259144</v>
      </c>
      <c r="E4050">
        <v>0.46232760000000001</v>
      </c>
      <c r="F4050" t="s">
        <v>50</v>
      </c>
      <c r="G4050">
        <v>-414.07659999999998</v>
      </c>
      <c r="H4050" s="1">
        <v>-7.0820720000000004E-6</v>
      </c>
      <c r="I4050">
        <v>132.10810000000001</v>
      </c>
      <c r="J4050">
        <v>-397.70330000000001</v>
      </c>
      <c r="K4050">
        <v>1.1126659999999999</v>
      </c>
      <c r="L4050">
        <v>141.4589</v>
      </c>
      <c r="M4050">
        <v>-0.99093059999999999</v>
      </c>
      <c r="N4050">
        <v>0</v>
      </c>
      <c r="O4050">
        <v>-0.1336696</v>
      </c>
      <c r="P4050">
        <v>-0.90571179999999996</v>
      </c>
      <c r="Q4050">
        <v>0.13620850000000001</v>
      </c>
      <c r="R4050">
        <v>-0.40141480000000002</v>
      </c>
      <c r="S4050">
        <v>-2.6712340000000001</v>
      </c>
      <c r="T4050">
        <v>-0.179179</v>
      </c>
      <c r="U4050">
        <v>-1.5111079999999999</v>
      </c>
      <c r="V4050">
        <v>-0.27758509999999997</v>
      </c>
      <c r="W4050">
        <v>0.1476915</v>
      </c>
      <c r="X4050">
        <v>0.94928069999999998</v>
      </c>
      <c r="Y4050">
        <v>-0.371201</v>
      </c>
      <c r="Z4050">
        <v>-3.3290799999999999E-3</v>
      </c>
      <c r="AA4050">
        <v>0.92854650000000005</v>
      </c>
      <c r="AB4050">
        <v>22</v>
      </c>
      <c r="AC4050">
        <v>-16.373299999999901</v>
      </c>
      <c r="AD4050">
        <v>-1.1126730820720001</v>
      </c>
      <c r="AE4050">
        <v>-9.3507999999999907</v>
      </c>
      <c r="AF4050">
        <v>-7.0534877703045398</v>
      </c>
      <c r="AG4050">
        <v>-1.1126730820720001</v>
      </c>
      <c r="AH4050">
        <v>17.415726082789799</v>
      </c>
      <c r="AI4050">
        <v>93.3889064508583</v>
      </c>
      <c r="AJ4050">
        <v>112.048282964093</v>
      </c>
      <c r="AK4050">
        <v>18.822785290816299</v>
      </c>
      <c r="AL4050">
        <v>81.506831269137507</v>
      </c>
      <c r="AM4050">
        <v>106.299777431254</v>
      </c>
      <c r="AN4050">
        <v>1.00000005715337</v>
      </c>
    </row>
    <row r="4051" spans="1:40" x14ac:dyDescent="0.25">
      <c r="A4051" t="str">
        <f>"20190312172745262"</f>
        <v>20190312172745262</v>
      </c>
      <c r="B4051" t="str">
        <f>"1552382865253499"</f>
        <v>1552382865253499</v>
      </c>
      <c r="C4051" t="s">
        <v>40</v>
      </c>
      <c r="D4051">
        <v>3.283382</v>
      </c>
      <c r="E4051">
        <v>0.46202349999999998</v>
      </c>
      <c r="F4051" t="s">
        <v>50</v>
      </c>
      <c r="G4051">
        <v>-414.88200000000001</v>
      </c>
      <c r="H4051" s="1">
        <v>-6.786549E-6</v>
      </c>
      <c r="I4051">
        <v>131.4973</v>
      </c>
      <c r="J4051">
        <v>-397.92649999999998</v>
      </c>
      <c r="K4051">
        <v>1.1126940000000001</v>
      </c>
      <c r="L4051">
        <v>141.4237</v>
      </c>
      <c r="M4051">
        <v>-0.99034639999999996</v>
      </c>
      <c r="N4051">
        <v>0</v>
      </c>
      <c r="O4051">
        <v>-0.13792989999999999</v>
      </c>
      <c r="P4051">
        <v>-0.90232829999999997</v>
      </c>
      <c r="Q4051">
        <v>0.13691600000000001</v>
      </c>
      <c r="R4051">
        <v>-0.4087267</v>
      </c>
      <c r="S4051">
        <v>-2.6556700000000002</v>
      </c>
      <c r="T4051">
        <v>-0.172009</v>
      </c>
      <c r="U4051">
        <v>-1.539963</v>
      </c>
      <c r="V4051">
        <v>-0.2812115</v>
      </c>
      <c r="W4051">
        <v>0.1483479</v>
      </c>
      <c r="X4051">
        <v>0.94811020000000001</v>
      </c>
      <c r="Y4051">
        <v>-0.37714259999999999</v>
      </c>
      <c r="Z4051">
        <v>-3.1346880000000001E-3</v>
      </c>
      <c r="AA4051">
        <v>0.92614989999999997</v>
      </c>
      <c r="AB4051">
        <v>22</v>
      </c>
      <c r="AC4051">
        <v>-16.955499999999901</v>
      </c>
      <c r="AD4051">
        <v>-1.112700786549</v>
      </c>
      <c r="AE4051">
        <v>-9.9263999999999992</v>
      </c>
      <c r="AF4051">
        <v>-7.4686589955024498</v>
      </c>
      <c r="AG4051">
        <v>-1.112700786549</v>
      </c>
      <c r="AH4051">
        <v>18.104617815043198</v>
      </c>
      <c r="AI4051">
        <v>93.251762620184905</v>
      </c>
      <c r="AJ4051">
        <v>112.417510938596</v>
      </c>
      <c r="AK4051">
        <v>19.616221768227099</v>
      </c>
      <c r="AL4051">
        <v>81.468802752333005</v>
      </c>
      <c r="AM4051">
        <v>106.52046854085</v>
      </c>
      <c r="AN4051">
        <v>0.999999979255349</v>
      </c>
    </row>
    <row r="4052" spans="1:40" x14ac:dyDescent="0.25">
      <c r="A4052" t="str">
        <f>"20190312172745283"</f>
        <v>20190312172745283</v>
      </c>
      <c r="B4052" t="str">
        <f>"1552382865273527"</f>
        <v>1552382865273527</v>
      </c>
      <c r="C4052" t="s">
        <v>40</v>
      </c>
      <c r="D4052">
        <v>3.3321770000000002</v>
      </c>
      <c r="E4052">
        <v>0.46212370000000003</v>
      </c>
      <c r="F4052" t="s">
        <v>50</v>
      </c>
      <c r="G4052">
        <v>-415.38560000000001</v>
      </c>
      <c r="H4052" s="1">
        <v>-6.5916709999999998E-6</v>
      </c>
      <c r="I4052">
        <v>131.09059999999999</v>
      </c>
      <c r="J4052">
        <v>-398.13240000000002</v>
      </c>
      <c r="K4052">
        <v>1.112722</v>
      </c>
      <c r="L4052">
        <v>141.3903</v>
      </c>
      <c r="M4052">
        <v>-0.98978350000000004</v>
      </c>
      <c r="N4052">
        <v>0</v>
      </c>
      <c r="O4052">
        <v>-0.14191419999999999</v>
      </c>
      <c r="P4052">
        <v>-0.89911909999999895</v>
      </c>
      <c r="Q4052">
        <v>0.13730309999999901</v>
      </c>
      <c r="R4052">
        <v>-0.41561179999999998</v>
      </c>
      <c r="S4052">
        <v>-2.6419980000000001</v>
      </c>
      <c r="T4052">
        <v>-0.168378799999999</v>
      </c>
      <c r="U4052">
        <v>-1.563644</v>
      </c>
      <c r="V4052">
        <v>-0.28466760000000002</v>
      </c>
      <c r="W4052">
        <v>0.1486846</v>
      </c>
      <c r="X4052">
        <v>0.94702549999999996</v>
      </c>
      <c r="Y4052">
        <v>-0.38167469999999998</v>
      </c>
      <c r="Z4052">
        <v>-2.9820559999999999E-3</v>
      </c>
      <c r="AA4052">
        <v>0.92429190000000006</v>
      </c>
      <c r="AB4052">
        <v>22</v>
      </c>
      <c r="AC4052">
        <v>-17.2531999999999</v>
      </c>
      <c r="AD4052">
        <v>-1.1127285916709999</v>
      </c>
      <c r="AE4052">
        <v>-10.2997</v>
      </c>
      <c r="AF4052">
        <v>-7.7230474901319397</v>
      </c>
      <c r="AG4052">
        <v>-1.1127285916709999</v>
      </c>
      <c r="AH4052">
        <v>18.483676108165302</v>
      </c>
      <c r="AI4052">
        <v>93.179330662652802</v>
      </c>
      <c r="AJ4052">
        <v>112.67667007658</v>
      </c>
      <c r="AK4052">
        <v>20.063148056202898</v>
      </c>
      <c r="AL4052">
        <v>81.449295316244402</v>
      </c>
      <c r="AM4052">
        <v>106.730319367154</v>
      </c>
      <c r="AN4052">
        <v>1.0000000252085799</v>
      </c>
    </row>
    <row r="4053" spans="1:40" x14ac:dyDescent="0.25">
      <c r="A4053" t="str">
        <f>"20190312172745305"</f>
        <v>20190312172745305</v>
      </c>
      <c r="B4053" t="str">
        <f>"1552382865293046"</f>
        <v>1552382865293046</v>
      </c>
      <c r="C4053" t="s">
        <v>40</v>
      </c>
      <c r="D4053">
        <v>3.3507750000000001</v>
      </c>
      <c r="E4053">
        <v>0.46236949999999999</v>
      </c>
      <c r="F4053" t="s">
        <v>50</v>
      </c>
      <c r="G4053">
        <v>-415.72949999999997</v>
      </c>
      <c r="H4053" s="1">
        <v>-6.4484729999999996E-6</v>
      </c>
      <c r="I4053">
        <v>130.78809999999999</v>
      </c>
      <c r="J4053">
        <v>-398.33229999999998</v>
      </c>
      <c r="K4053">
        <v>1.1127450000000001</v>
      </c>
      <c r="L4053">
        <v>141.357</v>
      </c>
      <c r="M4053">
        <v>-0.98921329999999996</v>
      </c>
      <c r="N4053">
        <v>0</v>
      </c>
      <c r="O4053">
        <v>-0.1458352</v>
      </c>
      <c r="P4053">
        <v>-0.895976199999999</v>
      </c>
      <c r="Q4053">
        <v>0.1377796</v>
      </c>
      <c r="R4053">
        <v>-0.42218899999999998</v>
      </c>
      <c r="S4053">
        <v>-2.6296390000000001</v>
      </c>
      <c r="T4053">
        <v>-0.16628119999999999</v>
      </c>
      <c r="U4053">
        <v>-1.5843510000000001</v>
      </c>
      <c r="V4053">
        <v>-0.28788200000000003</v>
      </c>
      <c r="W4053">
        <v>0.14910989999999999</v>
      </c>
      <c r="X4053">
        <v>0.94598640000000001</v>
      </c>
      <c r="Y4053">
        <v>-0.38527800000000001</v>
      </c>
      <c r="Z4053">
        <v>-2.835195E-3</v>
      </c>
      <c r="AA4053">
        <v>0.92279619999999996</v>
      </c>
      <c r="AB4053">
        <v>22</v>
      </c>
      <c r="AC4053">
        <v>-17.397199999999899</v>
      </c>
      <c r="AD4053">
        <v>-1.1127514484729999</v>
      </c>
      <c r="AE4053">
        <v>-10.568899999999999</v>
      </c>
      <c r="AF4053">
        <v>-7.8949293323699203</v>
      </c>
      <c r="AG4053">
        <v>-1.1127514484729999</v>
      </c>
      <c r="AH4053">
        <v>18.696762566689799</v>
      </c>
      <c r="AI4053">
        <v>93.138274315052996</v>
      </c>
      <c r="AJ4053">
        <v>112.8924780406</v>
      </c>
      <c r="AK4053">
        <v>20.325773181465198</v>
      </c>
      <c r="AL4053">
        <v>81.424652838241002</v>
      </c>
      <c r="AM4053">
        <v>106.926021673268</v>
      </c>
      <c r="AN4053">
        <v>1.00000003859348</v>
      </c>
    </row>
    <row r="4054" spans="1:40" x14ac:dyDescent="0.25">
      <c r="A4054" t="str">
        <f>"20190312172745327"</f>
        <v>20190312172745327</v>
      </c>
      <c r="B4054" t="str">
        <f>"1552382865323302"</f>
        <v>1552382865323302</v>
      </c>
      <c r="C4054" t="s">
        <v>40</v>
      </c>
      <c r="D4054">
        <v>3.2588569999999999</v>
      </c>
      <c r="E4054">
        <v>0.46277960000000001</v>
      </c>
      <c r="F4054" t="s">
        <v>50</v>
      </c>
      <c r="G4054">
        <v>-416.10079999999999</v>
      </c>
      <c r="H4054" s="1">
        <v>-6.3016189999999901E-6</v>
      </c>
      <c r="I4054">
        <v>130.4804</v>
      </c>
      <c r="J4054">
        <v>-398.54050000000001</v>
      </c>
      <c r="K4054">
        <v>1.112762</v>
      </c>
      <c r="L4054">
        <v>141.32140000000001</v>
      </c>
      <c r="M4054">
        <v>-0.98859509999999995</v>
      </c>
      <c r="N4054">
        <v>0</v>
      </c>
      <c r="O4054">
        <v>-0.14996799999999999</v>
      </c>
      <c r="P4054">
        <v>-0.89252619999999905</v>
      </c>
      <c r="Q4054">
        <v>0.13877010000000001</v>
      </c>
      <c r="R4054">
        <v>-0.42911539999999998</v>
      </c>
      <c r="S4054">
        <v>-2.6182859999999999</v>
      </c>
      <c r="T4054">
        <v>-0.16397</v>
      </c>
      <c r="U4054">
        <v>-1.602722</v>
      </c>
      <c r="V4054">
        <v>-0.2913</v>
      </c>
      <c r="W4054">
        <v>0.15004389999999901</v>
      </c>
      <c r="X4054">
        <v>0.94479159999999995</v>
      </c>
      <c r="Y4054">
        <v>-0.38792280000000001</v>
      </c>
      <c r="Z4054">
        <v>-2.6474889999999998E-3</v>
      </c>
      <c r="AA4054">
        <v>0.92168810000000001</v>
      </c>
      <c r="AB4054">
        <v>21</v>
      </c>
      <c r="AC4054">
        <v>-17.560299999999899</v>
      </c>
      <c r="AD4054">
        <v>-1.112768301619</v>
      </c>
      <c r="AE4054">
        <v>-10.840999999999999</v>
      </c>
      <c r="AF4054">
        <v>-8.0612043069921206</v>
      </c>
      <c r="AG4054">
        <v>-1.112768301619</v>
      </c>
      <c r="AH4054">
        <v>18.932581819316699</v>
      </c>
      <c r="AI4054">
        <v>93.095394285823502</v>
      </c>
      <c r="AJ4054">
        <v>113.06356440341401</v>
      </c>
      <c r="AK4054">
        <v>20.6073754398098</v>
      </c>
      <c r="AL4054">
        <v>81.370529492070801</v>
      </c>
      <c r="AM4054">
        <v>107.13567954683499</v>
      </c>
      <c r="AN4054">
        <v>1.0000000146788799</v>
      </c>
    </row>
    <row r="4055" spans="1:40" x14ac:dyDescent="0.25">
      <c r="A4055" t="str">
        <f>"20190312172745350"</f>
        <v>20190312172745350</v>
      </c>
      <c r="B4055" t="str">
        <f>"1552382865342821"</f>
        <v>1552382865342821</v>
      </c>
      <c r="C4055" t="s">
        <v>40</v>
      </c>
      <c r="D4055">
        <v>3.3048380000000002</v>
      </c>
      <c r="E4055">
        <v>0.46314840000000002</v>
      </c>
      <c r="F4055" t="s">
        <v>50</v>
      </c>
      <c r="G4055">
        <v>-416.70069999999998</v>
      </c>
      <c r="H4055" s="1">
        <v>-6.0823689999999998E-6</v>
      </c>
      <c r="I4055">
        <v>130.02760000000001</v>
      </c>
      <c r="J4055">
        <v>-398.74880000000002</v>
      </c>
      <c r="K4055">
        <v>1.112768</v>
      </c>
      <c r="L4055">
        <v>141.28479999999999</v>
      </c>
      <c r="M4055">
        <v>-0.98794979999999999</v>
      </c>
      <c r="N4055">
        <v>0</v>
      </c>
      <c r="O4055">
        <v>-0.15416289999999999</v>
      </c>
      <c r="P4055">
        <v>-0.88871420000000001</v>
      </c>
      <c r="Q4055">
        <v>0.13957530000000001</v>
      </c>
      <c r="R4055">
        <v>-0.4366988</v>
      </c>
      <c r="S4055">
        <v>-2.6066590000000001</v>
      </c>
      <c r="T4055">
        <v>-0.15972329999999901</v>
      </c>
      <c r="U4055">
        <v>-1.621078</v>
      </c>
      <c r="V4055">
        <v>-0.295375</v>
      </c>
      <c r="W4055">
        <v>0.150784</v>
      </c>
      <c r="X4055">
        <v>0.94340749999999995</v>
      </c>
      <c r="Y4055">
        <v>-0.39055139999999999</v>
      </c>
      <c r="Z4055">
        <v>-2.4306100000000001E-3</v>
      </c>
      <c r="AA4055">
        <v>0.92057789999999995</v>
      </c>
      <c r="AB4055">
        <v>21</v>
      </c>
      <c r="AC4055">
        <v>-17.951899999999899</v>
      </c>
      <c r="AD4055">
        <v>-1.112774082369</v>
      </c>
      <c r="AE4055">
        <v>-11.2571999999999</v>
      </c>
      <c r="AF4055">
        <v>-8.3318430045171006</v>
      </c>
      <c r="AG4055">
        <v>-1.112774082369</v>
      </c>
      <c r="AH4055">
        <v>19.419303093404199</v>
      </c>
      <c r="AI4055">
        <v>93.014420702730504</v>
      </c>
      <c r="AJ4055">
        <v>113.22172938024001</v>
      </c>
      <c r="AK4055">
        <v>21.160510547805998</v>
      </c>
      <c r="AL4055">
        <v>81.327636406866205</v>
      </c>
      <c r="AM4055">
        <v>107.385012575044</v>
      </c>
      <c r="AN4055">
        <v>0.99999995816862397</v>
      </c>
    </row>
    <row r="4056" spans="1:40" x14ac:dyDescent="0.25">
      <c r="A4056" t="str">
        <f>"20190312172745372"</f>
        <v>20190312172745372</v>
      </c>
      <c r="B4056" t="str">
        <f>"1552382865363317"</f>
        <v>1552382865363317</v>
      </c>
      <c r="C4056" t="s">
        <v>40</v>
      </c>
      <c r="D4056">
        <v>3.3324790000000002</v>
      </c>
      <c r="E4056">
        <v>0.46348410000000001</v>
      </c>
      <c r="F4056" t="s">
        <v>50</v>
      </c>
      <c r="G4056">
        <v>-417.20650000000001</v>
      </c>
      <c r="H4056" s="1">
        <v>-5.8800719999999999E-6</v>
      </c>
      <c r="I4056">
        <v>129.60570000000001</v>
      </c>
      <c r="J4056">
        <v>-398.95479999999998</v>
      </c>
      <c r="K4056">
        <v>1.112765</v>
      </c>
      <c r="L4056">
        <v>141.24760000000001</v>
      </c>
      <c r="M4056">
        <v>-0.9872843</v>
      </c>
      <c r="N4056">
        <v>0</v>
      </c>
      <c r="O4056">
        <v>-0.15836789999999901</v>
      </c>
      <c r="P4056">
        <v>-0.88473709999999905</v>
      </c>
      <c r="Q4056">
        <v>0.13984059999999901</v>
      </c>
      <c r="R4056">
        <v>-0.4446176</v>
      </c>
      <c r="S4056">
        <v>-2.59375</v>
      </c>
      <c r="T4056">
        <v>-0.15637179999999901</v>
      </c>
      <c r="U4056">
        <v>-1.641205</v>
      </c>
      <c r="V4056">
        <v>-0.2998074</v>
      </c>
      <c r="W4056">
        <v>0.15098249999999999</v>
      </c>
      <c r="X4056">
        <v>0.94197649999999999</v>
      </c>
      <c r="Y4056">
        <v>-0.393814</v>
      </c>
      <c r="Z4056">
        <v>-2.251716E-3</v>
      </c>
      <c r="AA4056">
        <v>0.91918739999999999</v>
      </c>
      <c r="AB4056">
        <v>21</v>
      </c>
      <c r="AC4056">
        <v>-18.2517</v>
      </c>
      <c r="AD4056">
        <v>-1.112770880072</v>
      </c>
      <c r="AE4056">
        <v>-11.6418999999999</v>
      </c>
      <c r="AF4056">
        <v>-8.5815226533091593</v>
      </c>
      <c r="AG4056">
        <v>-1.112770880072</v>
      </c>
      <c r="AH4056">
        <v>19.812852391059302</v>
      </c>
      <c r="AI4056">
        <v>92.950272074630206</v>
      </c>
      <c r="AJ4056">
        <v>113.41883964877999</v>
      </c>
      <c r="AK4056">
        <v>21.620127426791498</v>
      </c>
      <c r="AL4056">
        <v>81.316131492456606</v>
      </c>
      <c r="AM4056">
        <v>107.65496277498001</v>
      </c>
      <c r="AN4056">
        <v>0.99999995947662901</v>
      </c>
    </row>
    <row r="4057" spans="1:40" x14ac:dyDescent="0.25">
      <c r="A4057" t="str">
        <f>"20190312172745394"</f>
        <v>20190312172745394</v>
      </c>
      <c r="B4057" t="str">
        <f>"1552382865383814"</f>
        <v>1552382865383814</v>
      </c>
      <c r="C4057" t="s">
        <v>40</v>
      </c>
      <c r="D4057">
        <v>3.304106</v>
      </c>
      <c r="E4057">
        <v>0.46390439999999999</v>
      </c>
      <c r="F4057" t="s">
        <v>50</v>
      </c>
      <c r="G4057">
        <v>-417.46159999999998</v>
      </c>
      <c r="H4057" s="1">
        <v>-5.7211249999999901E-6</v>
      </c>
      <c r="I4057">
        <v>129.3228</v>
      </c>
      <c r="J4057">
        <v>-399.1653</v>
      </c>
      <c r="K4057">
        <v>1.1127640000000001</v>
      </c>
      <c r="L4057">
        <v>141.20859999999999</v>
      </c>
      <c r="M4057">
        <v>-0.98657729999999999</v>
      </c>
      <c r="N4057">
        <v>0</v>
      </c>
      <c r="O4057">
        <v>-0.1627142</v>
      </c>
      <c r="P4057">
        <v>-0.88066259999999996</v>
      </c>
      <c r="Q4057">
        <v>0.139182</v>
      </c>
      <c r="R4057">
        <v>-0.4528375</v>
      </c>
      <c r="S4057">
        <v>-2.5799259999999999</v>
      </c>
      <c r="T4057">
        <v>-0.15512490000000001</v>
      </c>
      <c r="U4057">
        <v>-1.66236899999999</v>
      </c>
      <c r="V4057">
        <v>-0.30442560000000002</v>
      </c>
      <c r="W4057">
        <v>0.15026030000000001</v>
      </c>
      <c r="X4057">
        <v>0.9406099</v>
      </c>
      <c r="Y4057">
        <v>-0.39733879999999999</v>
      </c>
      <c r="Z4057">
        <v>-2.106779E-3</v>
      </c>
      <c r="AA4057">
        <v>0.91766959999999997</v>
      </c>
      <c r="AB4057">
        <v>21</v>
      </c>
      <c r="AC4057">
        <v>-18.296299999999899</v>
      </c>
      <c r="AD4057">
        <v>-1.1127697211249901</v>
      </c>
      <c r="AE4057">
        <v>-11.8857999999999</v>
      </c>
      <c r="AF4057">
        <v>-8.7273191862454702</v>
      </c>
      <c r="AG4057">
        <v>-1.1127697211249901</v>
      </c>
      <c r="AH4057">
        <v>19.934739823231101</v>
      </c>
      <c r="AI4057">
        <v>92.927267074817195</v>
      </c>
      <c r="AJ4057">
        <v>113.64353831949801</v>
      </c>
      <c r="AK4057">
        <v>21.789864810291402</v>
      </c>
      <c r="AL4057">
        <v>81.357988761146402</v>
      </c>
      <c r="AM4057">
        <v>107.934020006075</v>
      </c>
      <c r="AN4057">
        <v>1.0000000438347201</v>
      </c>
    </row>
    <row r="4058" spans="1:40" x14ac:dyDescent="0.25">
      <c r="A4058" t="str">
        <f>"20190312172745416"</f>
        <v>20190312172745416</v>
      </c>
      <c r="B4058" t="str">
        <f>"1552382865413094"</f>
        <v>1552382865413094</v>
      </c>
      <c r="C4058" t="s">
        <v>40</v>
      </c>
      <c r="D4058">
        <v>3.1835469999999999</v>
      </c>
      <c r="E4058">
        <v>0.43332579999999998</v>
      </c>
      <c r="F4058" t="s">
        <v>50</v>
      </c>
      <c r="G4058">
        <v>-417.32279999999997</v>
      </c>
      <c r="H4058" s="1">
        <v>-5.7151310000000004E-6</v>
      </c>
      <c r="I4058">
        <v>129.29519999999999</v>
      </c>
      <c r="J4058">
        <v>-399.36779999999999</v>
      </c>
      <c r="K4058">
        <v>1.1127689999999999</v>
      </c>
      <c r="L4058">
        <v>141.17009999999999</v>
      </c>
      <c r="M4058">
        <v>-0.98587040000000004</v>
      </c>
      <c r="N4058">
        <v>0</v>
      </c>
      <c r="O4058">
        <v>-0.16694419999999999</v>
      </c>
      <c r="P4058">
        <v>-0.87674649999999998</v>
      </c>
      <c r="Q4058">
        <v>0.13890449999999999</v>
      </c>
      <c r="R4058">
        <v>-0.46045789999999998</v>
      </c>
      <c r="S4058">
        <v>-2.5657350000000001</v>
      </c>
      <c r="T4058">
        <v>-0.1572392</v>
      </c>
      <c r="U4058">
        <v>-1.683411</v>
      </c>
      <c r="V4058">
        <v>-0.308552299999999</v>
      </c>
      <c r="W4058">
        <v>0.14992559999999999</v>
      </c>
      <c r="X4058">
        <v>0.93931779999999998</v>
      </c>
      <c r="Y4058">
        <v>-0.40098010000000001</v>
      </c>
      <c r="Z4058">
        <v>-2.016229E-3</v>
      </c>
      <c r="AA4058">
        <v>0.91608449999999997</v>
      </c>
      <c r="AB4058">
        <v>21</v>
      </c>
      <c r="AC4058">
        <v>-17.954999999999899</v>
      </c>
      <c r="AD4058">
        <v>-1.1127747151309999</v>
      </c>
      <c r="AE4058">
        <v>-11.874899999999901</v>
      </c>
      <c r="AF4058">
        <v>-8.6872395821603092</v>
      </c>
      <c r="AG4058">
        <v>-1.1127747151309999</v>
      </c>
      <c r="AH4058">
        <v>19.6331479805622</v>
      </c>
      <c r="AI4058">
        <v>92.967048087947504</v>
      </c>
      <c r="AJ4058">
        <v>113.86834456465201</v>
      </c>
      <c r="AK4058">
        <v>21.498067325951499</v>
      </c>
      <c r="AL4058">
        <v>81.377385598160998</v>
      </c>
      <c r="AM4058">
        <v>108.184603226764</v>
      </c>
      <c r="AN4058">
        <v>1.00000006838374</v>
      </c>
    </row>
    <row r="4059" spans="1:40" x14ac:dyDescent="0.25">
      <c r="A4059" t="str">
        <f>"20190312172745440"</f>
        <v>20190312172745440</v>
      </c>
      <c r="B4059" t="str">
        <f>"1552382865433590"</f>
        <v>1552382865433590</v>
      </c>
      <c r="C4059" t="s">
        <v>40</v>
      </c>
      <c r="D4059">
        <v>3.2307860000000002</v>
      </c>
      <c r="E4059">
        <v>0.42096250000000002</v>
      </c>
      <c r="F4059" t="s">
        <v>44</v>
      </c>
      <c r="G4059">
        <v>-400.11509999999998</v>
      </c>
      <c r="H4059">
        <v>1.0497920000000001</v>
      </c>
      <c r="I4059">
        <v>140.5806</v>
      </c>
      <c r="J4059">
        <v>-399.5831</v>
      </c>
      <c r="K4059">
        <v>1.112789</v>
      </c>
      <c r="L4059">
        <v>141.12819999999999</v>
      </c>
      <c r="M4059">
        <v>-0.98508879999999999</v>
      </c>
      <c r="N4059">
        <v>0</v>
      </c>
      <c r="O4059">
        <v>-0.171495799999999</v>
      </c>
      <c r="P4059">
        <v>-0.87289380000000005</v>
      </c>
      <c r="Q4059">
        <v>0.1395419</v>
      </c>
      <c r="R4059">
        <v>-0.46753030000000001</v>
      </c>
      <c r="S4059">
        <v>-2.4421689999999998</v>
      </c>
      <c r="T4059">
        <v>-0.2058188</v>
      </c>
      <c r="U4059">
        <v>-1.9273530000000001</v>
      </c>
      <c r="V4059">
        <v>-0.31184079999999997</v>
      </c>
      <c r="W4059">
        <v>0.15051249999999999</v>
      </c>
      <c r="X4059">
        <v>0.9381372</v>
      </c>
      <c r="Y4059">
        <v>-0.47505029999999998</v>
      </c>
      <c r="Z4059">
        <v>-5.1179420000000003E-3</v>
      </c>
      <c r="AA4059">
        <v>0.87994380000000005</v>
      </c>
      <c r="AB4059">
        <v>21</v>
      </c>
      <c r="AC4059">
        <v>-0.53199999999998204</v>
      </c>
      <c r="AD4059">
        <v>-6.29969999999999E-2</v>
      </c>
      <c r="AE4059">
        <v>-0.54759999999998799</v>
      </c>
      <c r="AF4059">
        <v>-0.44521005169629801</v>
      </c>
      <c r="AG4059">
        <v>-6.29969999999999E-2</v>
      </c>
      <c r="AH4059">
        <v>0.61385735934447605</v>
      </c>
      <c r="AI4059">
        <v>94.748976784419</v>
      </c>
      <c r="AJ4059">
        <v>125.9521114178</v>
      </c>
      <c r="AK4059">
        <v>0.760921460968078</v>
      </c>
      <c r="AL4059">
        <v>81.343372608052306</v>
      </c>
      <c r="AM4059">
        <v>108.38702659842799</v>
      </c>
      <c r="AN4059">
        <v>1.0000000516123599</v>
      </c>
    </row>
    <row r="4060" spans="1:40" x14ac:dyDescent="0.25">
      <c r="A4060" t="str">
        <f>"20190312172745485"</f>
        <v>20190312172745485</v>
      </c>
      <c r="B4060" t="str">
        <f>"1552382865473606"</f>
        <v>1552382865473606</v>
      </c>
      <c r="C4060" t="s">
        <v>40</v>
      </c>
      <c r="D4060">
        <v>3.1086070000000001</v>
      </c>
      <c r="E4060">
        <v>0.41187990000000002</v>
      </c>
      <c r="F4060" t="s">
        <v>44</v>
      </c>
      <c r="G4060">
        <v>-400.29059999999998</v>
      </c>
      <c r="H4060">
        <v>1.055749</v>
      </c>
      <c r="I4060">
        <v>140.52379999999999</v>
      </c>
      <c r="J4060">
        <v>-399.9982</v>
      </c>
      <c r="K4060">
        <v>1.1128769999999999</v>
      </c>
      <c r="L4060">
        <v>141.04419999999999</v>
      </c>
      <c r="M4060">
        <v>-0.98348990000000003</v>
      </c>
      <c r="N4060">
        <v>0</v>
      </c>
      <c r="O4060">
        <v>-0.18043919999999999</v>
      </c>
      <c r="P4060">
        <v>-0.86516879999999996</v>
      </c>
      <c r="Q4060">
        <v>0.14648649999999999</v>
      </c>
      <c r="R4060">
        <v>-0.47960940000000002</v>
      </c>
      <c r="S4060">
        <v>-2.3791500000000001</v>
      </c>
      <c r="T4060">
        <v>-0.19180359999999999</v>
      </c>
      <c r="U4060">
        <v>-2.0320130000000001</v>
      </c>
      <c r="V4060">
        <v>-0.3166235</v>
      </c>
      <c r="W4060">
        <v>0.15735360000000001</v>
      </c>
      <c r="X4060">
        <v>0.93540869999999998</v>
      </c>
      <c r="Y4060">
        <v>-0.50098849999999995</v>
      </c>
      <c r="Z4060">
        <v>-5.1266200000000001E-3</v>
      </c>
      <c r="AA4060">
        <v>0.86543879999999995</v>
      </c>
      <c r="AB4060">
        <v>21</v>
      </c>
      <c r="AC4060">
        <v>-0.292399999999986</v>
      </c>
      <c r="AD4060">
        <v>-5.7127999999999998E-2</v>
      </c>
      <c r="AE4060">
        <v>-0.52039999999999498</v>
      </c>
      <c r="AF4060">
        <v>-0.45492436242311102</v>
      </c>
      <c r="AG4060">
        <v>-5.7127999999999998E-2</v>
      </c>
      <c r="AH4060">
        <v>0.37804645566175898</v>
      </c>
      <c r="AI4060">
        <v>95.516582080694604</v>
      </c>
      <c r="AJ4060">
        <v>140.27309748073199</v>
      </c>
      <c r="AK4060">
        <v>0.59425491714288103</v>
      </c>
      <c r="AL4060">
        <v>80.946677210065502</v>
      </c>
      <c r="AM4060">
        <v>108.70028154368499</v>
      </c>
      <c r="AN4060">
        <v>1.0000000161104401</v>
      </c>
    </row>
    <row r="4061" spans="1:40" x14ac:dyDescent="0.25">
      <c r="A4061" t="str">
        <f>"20190312172745506"</f>
        <v>20190312172745506</v>
      </c>
      <c r="B4061" t="str">
        <f>"1552382865502885"</f>
        <v>1552382865502885</v>
      </c>
      <c r="C4061" t="s">
        <v>40</v>
      </c>
      <c r="D4061">
        <v>3.3606799999999999</v>
      </c>
      <c r="E4061">
        <v>0.41233439999999999</v>
      </c>
      <c r="F4061" t="s">
        <v>44</v>
      </c>
      <c r="G4061">
        <v>-400.66050000000001</v>
      </c>
      <c r="H4061">
        <v>1.069847</v>
      </c>
      <c r="I4061">
        <v>140.43549999999999</v>
      </c>
      <c r="J4061">
        <v>-400.19940000000003</v>
      </c>
      <c r="K4061">
        <v>1.1129089999999999</v>
      </c>
      <c r="L4061">
        <v>141.00200000000001</v>
      </c>
      <c r="M4061">
        <v>-0.98266940000000003</v>
      </c>
      <c r="N4061">
        <v>0</v>
      </c>
      <c r="O4061">
        <v>-0.18485579999999999</v>
      </c>
      <c r="P4061">
        <v>-0.86160530000000002</v>
      </c>
      <c r="Q4061">
        <v>0.1490455</v>
      </c>
      <c r="R4061">
        <v>-0.4852033</v>
      </c>
      <c r="S4061">
        <v>-2.3138429999999999</v>
      </c>
      <c r="T4061">
        <v>-0.15035490000000001</v>
      </c>
      <c r="U4061">
        <v>-2.1270899999999999</v>
      </c>
      <c r="V4061">
        <v>-0.31859209999999999</v>
      </c>
      <c r="W4061">
        <v>0.15986349999999999</v>
      </c>
      <c r="X4061">
        <v>0.93431410000000004</v>
      </c>
      <c r="Y4061">
        <v>-0.52862509999999996</v>
      </c>
      <c r="Z4061">
        <v>-4.5959269999999997E-3</v>
      </c>
      <c r="AA4061">
        <v>0.84884300000000001</v>
      </c>
      <c r="AB4061">
        <v>21</v>
      </c>
      <c r="AC4061">
        <v>-0.46109999999998702</v>
      </c>
      <c r="AD4061">
        <v>-4.3061999999999899E-2</v>
      </c>
      <c r="AE4061">
        <v>-0.56650000000001899</v>
      </c>
      <c r="AF4061">
        <v>-0.469856790231378</v>
      </c>
      <c r="AG4061">
        <v>-4.3061999999999899E-2</v>
      </c>
      <c r="AH4061">
        <v>0.55595020492440905</v>
      </c>
      <c r="AI4061">
        <v>93.385603611152703</v>
      </c>
      <c r="AJ4061">
        <v>130.20255161919999</v>
      </c>
      <c r="AK4061">
        <v>0.72917787235079101</v>
      </c>
      <c r="AL4061">
        <v>80.801027109470596</v>
      </c>
      <c r="AM4061">
        <v>108.828881403821</v>
      </c>
      <c r="AN4061">
        <v>1.00000005113673</v>
      </c>
    </row>
    <row r="4062" spans="1:40" x14ac:dyDescent="0.25">
      <c r="A4062" t="str">
        <f>"20190312172745528"</f>
        <v>20190312172745528</v>
      </c>
      <c r="B4062" t="str">
        <f>"1552382865523382"</f>
        <v>1552382865523382</v>
      </c>
      <c r="C4062" t="s">
        <v>40</v>
      </c>
      <c r="D4062">
        <v>3.3077019999999902</v>
      </c>
      <c r="E4062">
        <v>0.41300930000000002</v>
      </c>
      <c r="F4062" t="s">
        <v>44</v>
      </c>
      <c r="G4062">
        <v>-400.83920000000001</v>
      </c>
      <c r="H4062">
        <v>1.0690090000000001</v>
      </c>
      <c r="I4062">
        <v>140.4075</v>
      </c>
      <c r="J4062">
        <v>-400.39909999999998</v>
      </c>
      <c r="K4062">
        <v>1.112935</v>
      </c>
      <c r="L4062">
        <v>140.95910000000001</v>
      </c>
      <c r="M4062">
        <v>-0.98182159999999996</v>
      </c>
      <c r="N4062">
        <v>0</v>
      </c>
      <c r="O4062">
        <v>-0.18930649999999999</v>
      </c>
      <c r="P4062">
        <v>-0.85825119999999899</v>
      </c>
      <c r="Q4062">
        <v>0.15100189999999999</v>
      </c>
      <c r="R4062">
        <v>-0.49051329999999999</v>
      </c>
      <c r="S4062">
        <v>-2.3037109999999998</v>
      </c>
      <c r="T4062">
        <v>-0.15805859999999999</v>
      </c>
      <c r="U4062">
        <v>-2.1407470000000002</v>
      </c>
      <c r="V4062">
        <v>-0.32022089999999998</v>
      </c>
      <c r="W4062">
        <v>0.16177329999999901</v>
      </c>
      <c r="X4062">
        <v>0.93342800000000004</v>
      </c>
      <c r="Y4062">
        <v>-0.52930869999999997</v>
      </c>
      <c r="Z4062">
        <v>-4.6140779999999998E-3</v>
      </c>
      <c r="AA4062">
        <v>0.84841669999999902</v>
      </c>
      <c r="AB4062">
        <v>21</v>
      </c>
      <c r="AC4062">
        <v>-0.44010000000002902</v>
      </c>
      <c r="AD4062">
        <v>-4.3925999999999903E-2</v>
      </c>
      <c r="AE4062">
        <v>-0.55160000000000697</v>
      </c>
      <c r="AF4062">
        <v>-0.45653339867646497</v>
      </c>
      <c r="AG4062">
        <v>-4.3925999999999903E-2</v>
      </c>
      <c r="AH4062">
        <v>0.53450084492309402</v>
      </c>
      <c r="AI4062">
        <v>93.575743921633602</v>
      </c>
      <c r="AJ4062">
        <v>130.50164562166299</v>
      </c>
      <c r="AK4062">
        <v>0.70430347919528602</v>
      </c>
      <c r="AL4062">
        <v>80.690159425892304</v>
      </c>
      <c r="AM4062">
        <v>108.93499410330701</v>
      </c>
      <c r="AN4062">
        <v>0.99999992828684703</v>
      </c>
    </row>
    <row r="4063" spans="1:40" x14ac:dyDescent="0.25">
      <c r="A4063" t="str">
        <f>"20190312172745550"</f>
        <v>20190312172745550</v>
      </c>
      <c r="B4063" t="str">
        <f>"1552382865542902"</f>
        <v>1552382865542902</v>
      </c>
      <c r="C4063" t="s">
        <v>40</v>
      </c>
      <c r="D4063">
        <v>3.3975300000000002</v>
      </c>
      <c r="E4063">
        <v>0.41353119999999999</v>
      </c>
      <c r="F4063" t="s">
        <v>44</v>
      </c>
      <c r="G4063">
        <v>-401.16449999999998</v>
      </c>
      <c r="H4063">
        <v>1.0589379999999999</v>
      </c>
      <c r="I4063">
        <v>140.24199999999999</v>
      </c>
      <c r="J4063">
        <v>-400.60230000000001</v>
      </c>
      <c r="K4063">
        <v>1.112976</v>
      </c>
      <c r="L4063">
        <v>140.9143</v>
      </c>
      <c r="M4063">
        <v>-0.98092029999999997</v>
      </c>
      <c r="N4063">
        <v>0</v>
      </c>
      <c r="O4063">
        <v>-0.19392200000000001</v>
      </c>
      <c r="P4063">
        <v>-0.85510229999999998</v>
      </c>
      <c r="Q4063">
        <v>0.15223490000000001</v>
      </c>
      <c r="R4063">
        <v>-0.49560530000000003</v>
      </c>
      <c r="S4063">
        <v>-2.2947389999999999</v>
      </c>
      <c r="T4063">
        <v>-0.1618956</v>
      </c>
      <c r="U4063">
        <v>-2.1508029999999998</v>
      </c>
      <c r="V4063">
        <v>-0.32144780000000001</v>
      </c>
      <c r="W4063">
        <v>0.16296040000000001</v>
      </c>
      <c r="X4063">
        <v>0.93279959999999995</v>
      </c>
      <c r="Y4063">
        <v>-0.52893959999999995</v>
      </c>
      <c r="Z4063">
        <v>-4.4628719999999997E-3</v>
      </c>
      <c r="AA4063">
        <v>0.84864769999999901</v>
      </c>
      <c r="AB4063">
        <v>21</v>
      </c>
      <c r="AC4063">
        <v>-0.56219999999996095</v>
      </c>
      <c r="AD4063">
        <v>-5.4038000000000003E-2</v>
      </c>
      <c r="AE4063">
        <v>-0.67229999999997803</v>
      </c>
      <c r="AF4063">
        <v>-0.548416915947738</v>
      </c>
      <c r="AG4063">
        <v>-5.4038000000000003E-2</v>
      </c>
      <c r="AH4063">
        <v>0.67932903927074695</v>
      </c>
      <c r="AI4063">
        <v>93.541765386420593</v>
      </c>
      <c r="AJ4063">
        <v>128.91366109436399</v>
      </c>
      <c r="AK4063">
        <v>0.87473948278224201</v>
      </c>
      <c r="AL4063">
        <v>80.621229002439193</v>
      </c>
      <c r="AM4063">
        <v>109.014228915828</v>
      </c>
      <c r="AN4063">
        <v>0.99999993692657796</v>
      </c>
    </row>
    <row r="4064" spans="1:40" x14ac:dyDescent="0.25">
      <c r="A4064" t="str">
        <f>"20190312172745573"</f>
        <v>20190312172745573</v>
      </c>
      <c r="B4064" t="str">
        <f>"1552382865563398"</f>
        <v>1552382865563398</v>
      </c>
      <c r="C4064" t="s">
        <v>40</v>
      </c>
      <c r="D4064">
        <v>3.3592179999999998</v>
      </c>
      <c r="E4064">
        <v>0.4143211</v>
      </c>
      <c r="F4064" t="s">
        <v>44</v>
      </c>
      <c r="G4064">
        <v>-401.34809999999999</v>
      </c>
      <c r="H4064">
        <v>1.0590679999999999</v>
      </c>
      <c r="I4064">
        <v>140.2081</v>
      </c>
      <c r="J4064">
        <v>-400.8075</v>
      </c>
      <c r="K4064">
        <v>1.113016</v>
      </c>
      <c r="L4064">
        <v>140.86789999999999</v>
      </c>
      <c r="M4064">
        <v>-0.97997140000000005</v>
      </c>
      <c r="N4064">
        <v>0</v>
      </c>
      <c r="O4064">
        <v>-0.1986619</v>
      </c>
      <c r="P4064">
        <v>-0.85244609999999998</v>
      </c>
      <c r="Q4064">
        <v>0.15189939999999999</v>
      </c>
      <c r="R4064">
        <v>-0.50026280000000001</v>
      </c>
      <c r="S4064">
        <v>-2.2845149999999999</v>
      </c>
      <c r="T4064">
        <v>-0.16510429999999901</v>
      </c>
      <c r="U4064">
        <v>-2.162277</v>
      </c>
      <c r="V4064">
        <v>-0.32202989999999998</v>
      </c>
      <c r="W4064">
        <v>0.16259009999999999</v>
      </c>
      <c r="X4064">
        <v>0.93266349999999998</v>
      </c>
      <c r="Y4064">
        <v>-0.52897139999999998</v>
      </c>
      <c r="Z4064">
        <v>-4.2887200000000002E-3</v>
      </c>
      <c r="AA4064">
        <v>0.84862879999999996</v>
      </c>
      <c r="AB4064">
        <v>21</v>
      </c>
      <c r="AC4064">
        <v>-0.54059999999998298</v>
      </c>
      <c r="AD4064">
        <v>-5.3947999999999802E-2</v>
      </c>
      <c r="AE4064">
        <v>-0.65979999999998995</v>
      </c>
      <c r="AF4064">
        <v>-0.53709120215610096</v>
      </c>
      <c r="AG4064">
        <v>-5.3947999999999802E-2</v>
      </c>
      <c r="AH4064">
        <v>0.65827912548103396</v>
      </c>
      <c r="AI4064">
        <v>93.633350876958403</v>
      </c>
      <c r="AJ4064">
        <v>129.21107157889799</v>
      </c>
      <c r="AK4064">
        <v>0.85129827509608003</v>
      </c>
      <c r="AL4064">
        <v>80.642733020274505</v>
      </c>
      <c r="AM4064">
        <v>109.04876112895801</v>
      </c>
      <c r="AN4064">
        <v>1.0000000006721299</v>
      </c>
    </row>
    <row r="4065" spans="1:40" x14ac:dyDescent="0.25">
      <c r="A4065" t="str">
        <f>"20190312172745594"</f>
        <v>20190312172745594</v>
      </c>
      <c r="B4065" t="str">
        <f>"1552382865582918"</f>
        <v>1552382865582918</v>
      </c>
      <c r="C4065" t="s">
        <v>40</v>
      </c>
      <c r="D4065">
        <v>3.3285670000000001</v>
      </c>
      <c r="E4065">
        <v>0.4149562</v>
      </c>
      <c r="F4065" t="s">
        <v>44</v>
      </c>
      <c r="G4065">
        <v>-401.53269999999998</v>
      </c>
      <c r="H4065">
        <v>1.0580959999999999</v>
      </c>
      <c r="I4065">
        <v>140.17670000000001</v>
      </c>
      <c r="J4065">
        <v>-401.00830000000002</v>
      </c>
      <c r="K4065">
        <v>1.113048</v>
      </c>
      <c r="L4065">
        <v>140.82149999999999</v>
      </c>
      <c r="M4065">
        <v>-0.97900410000000004</v>
      </c>
      <c r="N4065">
        <v>0</v>
      </c>
      <c r="O4065">
        <v>-0.20337430000000001</v>
      </c>
      <c r="P4065">
        <v>-0.85045729999999997</v>
      </c>
      <c r="Q4065">
        <v>0.15049299999999999</v>
      </c>
      <c r="R4065">
        <v>-0.50405800000000001</v>
      </c>
      <c r="S4065">
        <v>-2.2765499999999999</v>
      </c>
      <c r="T4065">
        <v>-0.1723837</v>
      </c>
      <c r="U4065">
        <v>-2.1699679999999999</v>
      </c>
      <c r="V4065">
        <v>-0.32165470000000002</v>
      </c>
      <c r="W4065">
        <v>0.16116440000000001</v>
      </c>
      <c r="X4065">
        <v>0.93304039999999999</v>
      </c>
      <c r="Y4065">
        <v>-0.52784209999999998</v>
      </c>
      <c r="Z4065">
        <v>-4.1663409999999996E-3</v>
      </c>
      <c r="AA4065">
        <v>0.84933230000000004</v>
      </c>
      <c r="AB4065">
        <v>21</v>
      </c>
      <c r="AC4065">
        <v>-0.52439999999995701</v>
      </c>
      <c r="AD4065">
        <v>-5.4952000000000098E-2</v>
      </c>
      <c r="AE4065">
        <v>-0.64479999999997495</v>
      </c>
      <c r="AF4065">
        <v>-0.52237855191881399</v>
      </c>
      <c r="AG4065">
        <v>-5.4952000000000098E-2</v>
      </c>
      <c r="AH4065">
        <v>0.64178109754684798</v>
      </c>
      <c r="AI4065">
        <v>93.799260096544202</v>
      </c>
      <c r="AJ4065">
        <v>129.143910633975</v>
      </c>
      <c r="AK4065">
        <v>0.82932626328679204</v>
      </c>
      <c r="AL4065">
        <v>80.725511844496793</v>
      </c>
      <c r="AM4065">
        <v>109.021030470486</v>
      </c>
      <c r="AN4065">
        <v>1.0000000489458001</v>
      </c>
    </row>
    <row r="4066" spans="1:40" x14ac:dyDescent="0.25">
      <c r="A4066" t="str">
        <f>"20190312172745617"</f>
        <v>20190312172745617</v>
      </c>
      <c r="B4066" t="str">
        <f>"1552382865613174"</f>
        <v>1552382865613174</v>
      </c>
      <c r="C4066" t="s">
        <v>40</v>
      </c>
      <c r="D4066">
        <v>3.1976390000000001</v>
      </c>
      <c r="E4066">
        <v>0.41550169999999997</v>
      </c>
      <c r="F4066" t="s">
        <v>44</v>
      </c>
      <c r="G4066">
        <v>-401.71620000000001</v>
      </c>
      <c r="H4066">
        <v>1.05623</v>
      </c>
      <c r="I4066">
        <v>140.14279999999999</v>
      </c>
      <c r="J4066">
        <v>-401.20800000000003</v>
      </c>
      <c r="K4066">
        <v>1.1130719999999901</v>
      </c>
      <c r="L4066">
        <v>140.77420000000001</v>
      </c>
      <c r="M4066">
        <v>-0.97800120000000001</v>
      </c>
      <c r="N4066">
        <v>0</v>
      </c>
      <c r="O4066">
        <v>-0.20814350000000001</v>
      </c>
      <c r="P4066">
        <v>-0.84892199999999995</v>
      </c>
      <c r="Q4066">
        <v>0.14928520000000001</v>
      </c>
      <c r="R4066">
        <v>-0.50699659999999902</v>
      </c>
      <c r="S4066">
        <v>-2.2698969999999998</v>
      </c>
      <c r="T4066">
        <v>-0.18219299999999999</v>
      </c>
      <c r="U4066">
        <v>-2.1762700000000001</v>
      </c>
      <c r="V4066">
        <v>-0.32029380000000002</v>
      </c>
      <c r="W4066">
        <v>0.1599477</v>
      </c>
      <c r="X4066">
        <v>0.93371760000000004</v>
      </c>
      <c r="Y4066">
        <v>-0.52612950000000003</v>
      </c>
      <c r="Z4066">
        <v>-4.0493029999999998E-3</v>
      </c>
      <c r="AA4066">
        <v>0.85039480000000001</v>
      </c>
      <c r="AB4066">
        <v>21</v>
      </c>
      <c r="AC4066">
        <v>-0.50819999999998799</v>
      </c>
      <c r="AD4066">
        <v>-5.6841999999999802E-2</v>
      </c>
      <c r="AE4066">
        <v>-0.63140000000001295</v>
      </c>
      <c r="AF4066">
        <v>-0.50927525331969703</v>
      </c>
      <c r="AG4066">
        <v>-5.6841999999999802E-2</v>
      </c>
      <c r="AH4066">
        <v>0.62542565765365998</v>
      </c>
      <c r="AI4066">
        <v>94.031295794055396</v>
      </c>
      <c r="AJ4066">
        <v>129.15543825098499</v>
      </c>
      <c r="AK4066">
        <v>0.808547803076203</v>
      </c>
      <c r="AL4066">
        <v>80.796139172411202</v>
      </c>
      <c r="AM4066">
        <v>108.93354194612699</v>
      </c>
      <c r="AN4066">
        <v>0.99999997080174396</v>
      </c>
    </row>
    <row r="4067" spans="1:40" x14ac:dyDescent="0.25">
      <c r="A4067" t="str">
        <f>"20190312172745640"</f>
        <v>20190312172745640</v>
      </c>
      <c r="B4067" t="str">
        <f>"1552382865633670"</f>
        <v>1552382865633670</v>
      </c>
      <c r="C4067" t="s">
        <v>40</v>
      </c>
      <c r="D4067">
        <v>3.157308</v>
      </c>
      <c r="E4067">
        <v>0.41575240000000002</v>
      </c>
      <c r="F4067" t="s">
        <v>44</v>
      </c>
      <c r="G4067">
        <v>-401.89949999999999</v>
      </c>
      <c r="H4067">
        <v>1.054308</v>
      </c>
      <c r="I4067">
        <v>140.10849999999999</v>
      </c>
      <c r="J4067">
        <v>-401.41879999999998</v>
      </c>
      <c r="K4067">
        <v>1.113108</v>
      </c>
      <c r="L4067">
        <v>140.72309999999999</v>
      </c>
      <c r="M4067">
        <v>-0.97689519999999996</v>
      </c>
      <c r="N4067">
        <v>0</v>
      </c>
      <c r="O4067">
        <v>-0.21327370000000001</v>
      </c>
      <c r="P4067">
        <v>-0.84737629999999997</v>
      </c>
      <c r="Q4067">
        <v>0.1489077</v>
      </c>
      <c r="R4067">
        <v>-0.50968610000000003</v>
      </c>
      <c r="S4067">
        <v>-2.2651370000000002</v>
      </c>
      <c r="T4067">
        <v>-0.19249060000000001</v>
      </c>
      <c r="U4067">
        <v>-2.1811219999999998</v>
      </c>
      <c r="V4067">
        <v>-0.31834980000000002</v>
      </c>
      <c r="W4067">
        <v>0.1595627</v>
      </c>
      <c r="X4067">
        <v>0.9344481</v>
      </c>
      <c r="Y4067">
        <v>-0.52345759999999997</v>
      </c>
      <c r="Z4067">
        <v>-3.8435000000000001E-3</v>
      </c>
      <c r="AA4067">
        <v>0.85204299999999999</v>
      </c>
      <c r="AB4067">
        <v>21</v>
      </c>
      <c r="AC4067">
        <v>-0.48070000000001201</v>
      </c>
      <c r="AD4067">
        <v>-5.8799999999999901E-2</v>
      </c>
      <c r="AE4067">
        <v>-0.61459999999999504</v>
      </c>
      <c r="AF4067">
        <v>-0.49511466895837902</v>
      </c>
      <c r="AG4067">
        <v>-5.8799999999999901E-2</v>
      </c>
      <c r="AH4067">
        <v>0.59733633461990199</v>
      </c>
      <c r="AI4067">
        <v>94.334016863810703</v>
      </c>
      <c r="AJ4067">
        <v>129.65434520945399</v>
      </c>
      <c r="AK4067">
        <v>0.77807883410031498</v>
      </c>
      <c r="AL4067">
        <v>80.818485786547598</v>
      </c>
      <c r="AM4067">
        <v>108.813060953487</v>
      </c>
      <c r="AN4067">
        <v>1.00000005099246</v>
      </c>
    </row>
    <row r="4068" spans="1:40" x14ac:dyDescent="0.25">
      <c r="A4068" t="str">
        <f>"20190312172745665"</f>
        <v>20190312172745665</v>
      </c>
      <c r="B4068" t="str">
        <f>"1552382865653190"</f>
        <v>1552382865653190</v>
      </c>
      <c r="C4068" t="s">
        <v>40</v>
      </c>
      <c r="D4068">
        <v>3.1586479999999999</v>
      </c>
      <c r="E4068">
        <v>0.4160315</v>
      </c>
      <c r="F4068" t="s">
        <v>44</v>
      </c>
      <c r="G4068">
        <v>-402.08479999999997</v>
      </c>
      <c r="H4068">
        <v>1.054746</v>
      </c>
      <c r="I4068">
        <v>140.0788</v>
      </c>
      <c r="J4068">
        <v>-401.64269999999999</v>
      </c>
      <c r="K4068">
        <v>1.113156</v>
      </c>
      <c r="L4068">
        <v>140.66739999999999</v>
      </c>
      <c r="M4068">
        <v>-0.97566399999999998</v>
      </c>
      <c r="N4068">
        <v>0</v>
      </c>
      <c r="O4068">
        <v>-0.21883720000000001</v>
      </c>
      <c r="P4068">
        <v>-0.84507790000000005</v>
      </c>
      <c r="Q4068">
        <v>0.1491112</v>
      </c>
      <c r="R4068">
        <v>-0.51342840000000001</v>
      </c>
      <c r="S4068">
        <v>-2.260132</v>
      </c>
      <c r="T4068">
        <v>-0.1980326</v>
      </c>
      <c r="U4068">
        <v>-2.186264</v>
      </c>
      <c r="V4068">
        <v>-0.31718439999999998</v>
      </c>
      <c r="W4068">
        <v>0.15974249999999901</v>
      </c>
      <c r="X4068">
        <v>0.93481360000000002</v>
      </c>
      <c r="Y4068">
        <v>-0.5205284</v>
      </c>
      <c r="Z4068">
        <v>-3.4681909999999998E-3</v>
      </c>
      <c r="AA4068">
        <v>0.85383729999999902</v>
      </c>
      <c r="AB4068">
        <v>21</v>
      </c>
      <c r="AC4068">
        <v>-0.44209999999998201</v>
      </c>
      <c r="AD4068">
        <v>-5.8409999999999997E-2</v>
      </c>
      <c r="AE4068">
        <v>-0.58859999999998502</v>
      </c>
      <c r="AF4068">
        <v>-0.47458537383538502</v>
      </c>
      <c r="AG4068">
        <v>-5.8409999999999997E-2</v>
      </c>
      <c r="AH4068">
        <v>0.556696990356227</v>
      </c>
      <c r="AI4068">
        <v>94.5651452562239</v>
      </c>
      <c r="AJ4068">
        <v>130.447662833885</v>
      </c>
      <c r="AK4068">
        <v>0.73386275571809301</v>
      </c>
      <c r="AL4068">
        <v>80.808050033311602</v>
      </c>
      <c r="AM4068">
        <v>108.742192382308</v>
      </c>
      <c r="AN4068">
        <v>1.00000003832728</v>
      </c>
    </row>
    <row r="4069" spans="1:40" x14ac:dyDescent="0.25">
      <c r="A4069" t="str">
        <f>"20190312172745690"</f>
        <v>20190312172745690</v>
      </c>
      <c r="B4069" t="str">
        <f>"1552382865683446"</f>
        <v>1552382865683446</v>
      </c>
      <c r="C4069" t="s">
        <v>40</v>
      </c>
      <c r="D4069">
        <v>3.1864699999999999</v>
      </c>
      <c r="E4069">
        <v>0.416383</v>
      </c>
      <c r="F4069" t="s">
        <v>44</v>
      </c>
      <c r="G4069">
        <v>-402.27249999999998</v>
      </c>
      <c r="H4069">
        <v>1.056594</v>
      </c>
      <c r="I4069">
        <v>140.05410000000001</v>
      </c>
      <c r="J4069">
        <v>-401.85250000000002</v>
      </c>
      <c r="K4069">
        <v>1.1132169999999999</v>
      </c>
      <c r="L4069">
        <v>140.6139</v>
      </c>
      <c r="M4069">
        <v>-0.97445320000000002</v>
      </c>
      <c r="N4069">
        <v>0</v>
      </c>
      <c r="O4069">
        <v>-0.22416749999999999</v>
      </c>
      <c r="P4069">
        <v>-0.84258250000000001</v>
      </c>
      <c r="Q4069">
        <v>0.15010709999999999</v>
      </c>
      <c r="R4069">
        <v>-0.51722639999999998</v>
      </c>
      <c r="S4069">
        <v>-2.2523499999999999</v>
      </c>
      <c r="T4069">
        <v>-0.2022959</v>
      </c>
      <c r="U4069">
        <v>-2.1945190000000001</v>
      </c>
      <c r="V4069">
        <v>-0.31634830000000003</v>
      </c>
      <c r="W4069">
        <v>0.16070690000000001</v>
      </c>
      <c r="X4069">
        <v>0.93493159999999997</v>
      </c>
      <c r="Y4069">
        <v>-0.51892970000000005</v>
      </c>
      <c r="Z4069">
        <v>-3.114833E-3</v>
      </c>
      <c r="AA4069">
        <v>0.85481130000000005</v>
      </c>
      <c r="AB4069">
        <v>21</v>
      </c>
      <c r="AC4069">
        <v>-0.41999999999995902</v>
      </c>
      <c r="AD4069">
        <v>-5.6622999999999798E-2</v>
      </c>
      <c r="AE4069">
        <v>-0.55979999999999497</v>
      </c>
      <c r="AF4069">
        <v>-0.44845573759684298</v>
      </c>
      <c r="AG4069">
        <v>-5.6622999999999798E-2</v>
      </c>
      <c r="AH4069">
        <v>0.53133189483919796</v>
      </c>
      <c r="AI4069">
        <v>94.6557868576689</v>
      </c>
      <c r="AJ4069">
        <v>130.16509746140699</v>
      </c>
      <c r="AK4069">
        <v>0.69759034912041396</v>
      </c>
      <c r="AL4069">
        <v>80.752070644639403</v>
      </c>
      <c r="AM4069">
        <v>108.694029226411</v>
      </c>
      <c r="AN4069">
        <v>1.0000000256495201</v>
      </c>
    </row>
    <row r="4070" spans="1:40" x14ac:dyDescent="0.25">
      <c r="A4070" t="str">
        <f>"20190312172745709"</f>
        <v>20190312172745709</v>
      </c>
      <c r="B4070" t="str">
        <f>"1552382865702966"</f>
        <v>1552382865702966</v>
      </c>
      <c r="C4070" t="s">
        <v>40</v>
      </c>
      <c r="D4070">
        <v>3.1899790000000001</v>
      </c>
      <c r="E4070">
        <v>0.41656769999999999</v>
      </c>
      <c r="F4070" t="s">
        <v>44</v>
      </c>
      <c r="G4070">
        <v>-402.59280000000001</v>
      </c>
      <c r="H4070">
        <v>1.0456240000000001</v>
      </c>
      <c r="I4070">
        <v>139.8877</v>
      </c>
      <c r="J4070">
        <v>-402.04559999999998</v>
      </c>
      <c r="K4070">
        <v>1.1132869999999999</v>
      </c>
      <c r="L4070">
        <v>140.5633</v>
      </c>
      <c r="M4070">
        <v>-0.97328389999999998</v>
      </c>
      <c r="N4070">
        <v>0</v>
      </c>
      <c r="O4070">
        <v>-0.22919049999999999</v>
      </c>
      <c r="P4070">
        <v>-0.84016950000000001</v>
      </c>
      <c r="Q4070">
        <v>0.15058089999999999</v>
      </c>
      <c r="R4070">
        <v>-0.52100009999999997</v>
      </c>
      <c r="S4070">
        <v>-2.24472</v>
      </c>
      <c r="T4070">
        <v>-0.20496610000000001</v>
      </c>
      <c r="U4070">
        <v>-2.2028050000000001</v>
      </c>
      <c r="V4070">
        <v>-0.3157645</v>
      </c>
      <c r="W4070">
        <v>0.1611455</v>
      </c>
      <c r="X4070">
        <v>0.93505340000000003</v>
      </c>
      <c r="Y4070">
        <v>-0.51757839999999999</v>
      </c>
      <c r="Z4070">
        <v>-2.753152E-3</v>
      </c>
      <c r="AA4070">
        <v>0.85563140000000004</v>
      </c>
      <c r="AB4070">
        <v>21</v>
      </c>
      <c r="AC4070">
        <v>-0.54720000000003199</v>
      </c>
      <c r="AD4070">
        <v>-6.7663000000000195E-2</v>
      </c>
      <c r="AE4070">
        <v>-0.67560000000000198</v>
      </c>
      <c r="AF4070">
        <v>-0.52898409596709195</v>
      </c>
      <c r="AG4070">
        <v>-6.7663000000000195E-2</v>
      </c>
      <c r="AH4070">
        <v>0.68334836543816402</v>
      </c>
      <c r="AI4070">
        <v>94.477027159410497</v>
      </c>
      <c r="AJ4070">
        <v>127.743670307995</v>
      </c>
      <c r="AK4070">
        <v>0.866814538354159</v>
      </c>
      <c r="AL4070">
        <v>80.726608396296399</v>
      </c>
      <c r="AM4070">
        <v>108.659658658151</v>
      </c>
      <c r="AN4070">
        <v>0.99999997624102899</v>
      </c>
    </row>
    <row r="4071" spans="1:40" x14ac:dyDescent="0.25">
      <c r="A4071" t="str">
        <f>"20190312172745729"</f>
        <v>20190312172745729</v>
      </c>
      <c r="B4071" t="str">
        <f>"1552382865723462"</f>
        <v>1552382865723462</v>
      </c>
      <c r="C4071" t="s">
        <v>40</v>
      </c>
      <c r="D4071">
        <v>3.1955439999999999</v>
      </c>
      <c r="E4071">
        <v>0.41666520000000001</v>
      </c>
      <c r="F4071" t="s">
        <v>44</v>
      </c>
      <c r="G4071">
        <v>-402.77159999999998</v>
      </c>
      <c r="H4071">
        <v>1.0462849999999999</v>
      </c>
      <c r="I4071">
        <v>139.8451</v>
      </c>
      <c r="J4071">
        <v>-402.2158</v>
      </c>
      <c r="K4071">
        <v>1.1133379999999999</v>
      </c>
      <c r="L4071">
        <v>140.51779999999999</v>
      </c>
      <c r="M4071">
        <v>-0.97221239999999998</v>
      </c>
      <c r="N4071">
        <v>0</v>
      </c>
      <c r="O4071">
        <v>-0.23369309999999999</v>
      </c>
      <c r="P4071">
        <v>-0.83771870000000004</v>
      </c>
      <c r="Q4071">
        <v>0.15127760000000001</v>
      </c>
      <c r="R4071">
        <v>-0.52473130000000001</v>
      </c>
      <c r="S4071">
        <v>-2.2359010000000001</v>
      </c>
      <c r="T4071">
        <v>-0.20635590000000001</v>
      </c>
      <c r="U4071">
        <v>-2.2122799999999998</v>
      </c>
      <c r="V4071">
        <v>-0.3156486</v>
      </c>
      <c r="W4071">
        <v>0.1618086</v>
      </c>
      <c r="X4071">
        <v>0.93497810000000003</v>
      </c>
      <c r="Y4071">
        <v>-0.51714090000000001</v>
      </c>
      <c r="Z4071">
        <v>-2.4391550000000001E-3</v>
      </c>
      <c r="AA4071">
        <v>0.85589680000000001</v>
      </c>
      <c r="AB4071">
        <v>21</v>
      </c>
      <c r="AC4071">
        <v>-0.55579999999997598</v>
      </c>
      <c r="AD4071">
        <v>-6.7052999999999793E-2</v>
      </c>
      <c r="AE4071">
        <v>-0.67269999999999097</v>
      </c>
      <c r="AF4071">
        <v>-0.52109368148049895</v>
      </c>
      <c r="AG4071">
        <v>-6.7052999999999793E-2</v>
      </c>
      <c r="AH4071">
        <v>0.693532348306376</v>
      </c>
      <c r="AI4071">
        <v>94.419951174305098</v>
      </c>
      <c r="AJ4071">
        <v>126.919799569167</v>
      </c>
      <c r="AK4071">
        <v>0.87007002467344896</v>
      </c>
      <c r="AL4071">
        <v>80.688111068758801</v>
      </c>
      <c r="AM4071">
        <v>108.65468191791</v>
      </c>
      <c r="AN4071">
        <v>1.0000000545977601</v>
      </c>
    </row>
    <row r="4072" spans="1:40" x14ac:dyDescent="0.25">
      <c r="A4072" t="str">
        <f>"20190312172745751"</f>
        <v>20190312172745751</v>
      </c>
      <c r="B4072" t="str">
        <f>"1552382865742982"</f>
        <v>1552382865742982</v>
      </c>
      <c r="C4072" t="s">
        <v>40</v>
      </c>
      <c r="D4072">
        <v>3.168393</v>
      </c>
      <c r="E4072">
        <v>0.41668100000000002</v>
      </c>
      <c r="F4072" t="s">
        <v>44</v>
      </c>
      <c r="G4072">
        <v>-402.94459999999998</v>
      </c>
      <c r="H4072">
        <v>1.0458050000000001</v>
      </c>
      <c r="I4072">
        <v>139.79079999999999</v>
      </c>
      <c r="J4072">
        <v>-402.41379999999998</v>
      </c>
      <c r="K4072">
        <v>1.1133959999999901</v>
      </c>
      <c r="L4072">
        <v>140.46360000000001</v>
      </c>
      <c r="M4072">
        <v>-0.9709141</v>
      </c>
      <c r="N4072">
        <v>0</v>
      </c>
      <c r="O4072">
        <v>-0.2390294</v>
      </c>
      <c r="P4072">
        <v>-0.83515219999999901</v>
      </c>
      <c r="Q4072">
        <v>0.151229799999999</v>
      </c>
      <c r="R4072">
        <v>-0.52881990000000001</v>
      </c>
      <c r="S4072">
        <v>-2.2264710000000001</v>
      </c>
      <c r="T4072">
        <v>-0.2063159</v>
      </c>
      <c r="U4072">
        <v>-2.222229</v>
      </c>
      <c r="V4072">
        <v>-0.31510100000000002</v>
      </c>
      <c r="W4072">
        <v>0.16173280000000001</v>
      </c>
      <c r="X4072">
        <v>0.9351758</v>
      </c>
      <c r="Y4072">
        <v>-0.51618220000000004</v>
      </c>
      <c r="Z4072">
        <v>-2.0266529999999998E-3</v>
      </c>
      <c r="AA4072">
        <v>0.85647640000000003</v>
      </c>
      <c r="AB4072">
        <v>21</v>
      </c>
      <c r="AC4072">
        <v>-0.53079999999999905</v>
      </c>
      <c r="AD4072">
        <v>-6.7590999999999901E-2</v>
      </c>
      <c r="AE4072">
        <v>-0.67280000000002305</v>
      </c>
      <c r="AF4072">
        <v>-0.52315004534244702</v>
      </c>
      <c r="AG4072">
        <v>-6.7590999999999901E-2</v>
      </c>
      <c r="AH4072">
        <v>0.67206397058855005</v>
      </c>
      <c r="AI4072">
        <v>94.537604240347093</v>
      </c>
      <c r="AJ4072">
        <v>127.89801031239099</v>
      </c>
      <c r="AK4072">
        <v>0.85435618671959801</v>
      </c>
      <c r="AL4072">
        <v>80.6925111482972</v>
      </c>
      <c r="AM4072">
        <v>108.620886944014</v>
      </c>
      <c r="AN4072">
        <v>0.99999995785123896</v>
      </c>
    </row>
    <row r="4073" spans="1:40" x14ac:dyDescent="0.25">
      <c r="A4073" t="str">
        <f>"20190312172745774"</f>
        <v>20190312172745774</v>
      </c>
      <c r="B4073" t="str">
        <f>"1552382865763478"</f>
        <v>1552382865763478</v>
      </c>
      <c r="C4073" t="s">
        <v>40</v>
      </c>
      <c r="D4073">
        <v>3.1964809999999999</v>
      </c>
      <c r="E4073">
        <v>0.41667379999999998</v>
      </c>
      <c r="F4073" t="s">
        <v>44</v>
      </c>
      <c r="G4073">
        <v>-403.12329999999997</v>
      </c>
      <c r="H4073">
        <v>1.0467690000000001</v>
      </c>
      <c r="I4073">
        <v>139.7483</v>
      </c>
      <c r="J4073">
        <v>-402.61070000000001</v>
      </c>
      <c r="K4073">
        <v>1.113443</v>
      </c>
      <c r="L4073">
        <v>140.4084</v>
      </c>
      <c r="M4073">
        <v>-0.96956419999999999</v>
      </c>
      <c r="N4073">
        <v>0</v>
      </c>
      <c r="O4073">
        <v>-0.2444472</v>
      </c>
      <c r="P4073">
        <v>-0.83224100000000001</v>
      </c>
      <c r="Q4073">
        <v>0.15157370000000001</v>
      </c>
      <c r="R4073">
        <v>-0.53329199999999999</v>
      </c>
      <c r="S4073">
        <v>-2.2156370000000001</v>
      </c>
      <c r="T4073">
        <v>-0.20804249999999999</v>
      </c>
      <c r="U4073">
        <v>-2.2334589999999999</v>
      </c>
      <c r="V4073">
        <v>-0.31493209999999999</v>
      </c>
      <c r="W4073">
        <v>0.1620462</v>
      </c>
      <c r="X4073">
        <v>0.93517850000000002</v>
      </c>
      <c r="Y4073">
        <v>-0.51565050000000001</v>
      </c>
      <c r="Z4073">
        <v>-1.639195E-3</v>
      </c>
      <c r="AA4073">
        <v>0.85679749999999999</v>
      </c>
      <c r="AB4073">
        <v>21</v>
      </c>
      <c r="AC4073">
        <v>-0.51259999999996297</v>
      </c>
      <c r="AD4073">
        <v>-6.66739999999999E-2</v>
      </c>
      <c r="AE4073">
        <v>-0.66009999999999902</v>
      </c>
      <c r="AF4073">
        <v>-0.51149946216604403</v>
      </c>
      <c r="AG4073">
        <v>-6.66739999999999E-2</v>
      </c>
      <c r="AH4073">
        <v>0.65425712639136901</v>
      </c>
      <c r="AI4073">
        <v>94.590114732992305</v>
      </c>
      <c r="AJ4073">
        <v>128.01836347923401</v>
      </c>
      <c r="AK4073">
        <v>0.83314435094168604</v>
      </c>
      <c r="AL4073">
        <v>80.674315133844502</v>
      </c>
      <c r="AM4073">
        <v>108.611543383056</v>
      </c>
      <c r="AN4073">
        <v>1.00000001270355</v>
      </c>
    </row>
    <row r="4074" spans="1:40" x14ac:dyDescent="0.25">
      <c r="A4074" t="str">
        <f>"20190312172745796"</f>
        <v>20190312172745796</v>
      </c>
      <c r="B4074" t="str">
        <f>"1552382865793734"</f>
        <v>1552382865793734</v>
      </c>
      <c r="C4074" t="s">
        <v>40</v>
      </c>
      <c r="D4074">
        <v>3.1686139999999998</v>
      </c>
      <c r="E4074">
        <v>0.41671399999999997</v>
      </c>
      <c r="F4074" t="s">
        <v>44</v>
      </c>
      <c r="G4074">
        <v>-403.3014</v>
      </c>
      <c r="H4074">
        <v>1.0480989999999999</v>
      </c>
      <c r="I4074">
        <v>139.70490000000001</v>
      </c>
      <c r="J4074">
        <v>-402.80770000000001</v>
      </c>
      <c r="K4074">
        <v>1.1134919999999999</v>
      </c>
      <c r="L4074">
        <v>140.3519</v>
      </c>
      <c r="M4074">
        <v>-0.96815399999999996</v>
      </c>
      <c r="N4074">
        <v>0</v>
      </c>
      <c r="O4074">
        <v>-0.249974</v>
      </c>
      <c r="P4074">
        <v>-0.82910159999999999</v>
      </c>
      <c r="Q4074">
        <v>0.15170989999999901</v>
      </c>
      <c r="R4074">
        <v>-0.53812159999999998</v>
      </c>
      <c r="S4074">
        <v>-2.2037960000000001</v>
      </c>
      <c r="T4074">
        <v>-0.2085137</v>
      </c>
      <c r="U4074">
        <v>-2.2455750000000001</v>
      </c>
      <c r="V4074">
        <v>-0.31506190000000001</v>
      </c>
      <c r="W4074">
        <v>0.1621483</v>
      </c>
      <c r="X4074">
        <v>0.93511710000000003</v>
      </c>
      <c r="Y4074">
        <v>-0.51538569999999995</v>
      </c>
      <c r="Z4074">
        <v>-1.2401879999999999E-3</v>
      </c>
      <c r="AA4074">
        <v>0.85695739999999998</v>
      </c>
      <c r="AB4074">
        <v>21</v>
      </c>
      <c r="AC4074">
        <v>-0.49369999999998898</v>
      </c>
      <c r="AD4074">
        <v>-6.5393000000000007E-2</v>
      </c>
      <c r="AE4074">
        <v>-0.64699999999999103</v>
      </c>
      <c r="AF4074">
        <v>-0.49980464332811803</v>
      </c>
      <c r="AG4074">
        <v>-6.5393000000000007E-2</v>
      </c>
      <c r="AH4074">
        <v>0.63566786688996801</v>
      </c>
      <c r="AI4074">
        <v>94.623398868456206</v>
      </c>
      <c r="AJ4074">
        <v>128.176800364493</v>
      </c>
      <c r="AK4074">
        <v>0.81126725740522199</v>
      </c>
      <c r="AL4074">
        <v>80.668387007506198</v>
      </c>
      <c r="AM4074">
        <v>108.619823788687</v>
      </c>
      <c r="AN4074">
        <v>1.0000000313684501</v>
      </c>
    </row>
    <row r="4075" spans="1:40" x14ac:dyDescent="0.25">
      <c r="A4075" t="str">
        <f>"20190312172745830"</f>
        <v>20190312172745830</v>
      </c>
      <c r="B4075" t="str">
        <f>"1552382865823014"</f>
        <v>1552382865823014</v>
      </c>
      <c r="C4075" t="s">
        <v>40</v>
      </c>
      <c r="D4075">
        <v>3.1577359999999999</v>
      </c>
      <c r="E4075">
        <v>0.41667359999999998</v>
      </c>
      <c r="F4075" t="s">
        <v>44</v>
      </c>
      <c r="G4075">
        <v>-403.47890000000001</v>
      </c>
      <c r="H4075">
        <v>1.0486819999999999</v>
      </c>
      <c r="I4075">
        <v>139.66040000000001</v>
      </c>
      <c r="J4075">
        <v>-403.10169999999999</v>
      </c>
      <c r="K4075">
        <v>1.11358</v>
      </c>
      <c r="L4075">
        <v>140.26509999999999</v>
      </c>
      <c r="M4075">
        <v>-0.96593050000000003</v>
      </c>
      <c r="N4075">
        <v>0</v>
      </c>
      <c r="O4075">
        <v>-0.25843149999999998</v>
      </c>
      <c r="P4075">
        <v>-0.82440590000000002</v>
      </c>
      <c r="Q4075">
        <v>0.1517356</v>
      </c>
      <c r="R4075">
        <v>-0.54528089999999996</v>
      </c>
      <c r="S4075">
        <v>-2.1918030000000002</v>
      </c>
      <c r="T4075">
        <v>-0.21161070000000001</v>
      </c>
      <c r="U4075">
        <v>-2.2576749999999999</v>
      </c>
      <c r="V4075">
        <v>-0.31501610000000002</v>
      </c>
      <c r="W4075">
        <v>0.1621205</v>
      </c>
      <c r="X4075">
        <v>0.93513729999999995</v>
      </c>
      <c r="Y4075">
        <v>-0.51253649999999995</v>
      </c>
      <c r="Z4075">
        <v>-5.3271649999999998E-4</v>
      </c>
      <c r="AA4075">
        <v>0.85866529999999996</v>
      </c>
      <c r="AB4075">
        <v>21</v>
      </c>
      <c r="AC4075">
        <v>-0.37720000000001602</v>
      </c>
      <c r="AD4075">
        <v>-6.4898000000000095E-2</v>
      </c>
      <c r="AE4075">
        <v>-0.60469999999997903</v>
      </c>
      <c r="AF4075">
        <v>-0.48266225806887803</v>
      </c>
      <c r="AG4075">
        <v>-6.4898000000000095E-2</v>
      </c>
      <c r="AH4075">
        <v>0.51639054632372405</v>
      </c>
      <c r="AI4075">
        <v>95.245866475080405</v>
      </c>
      <c r="AJ4075">
        <v>133.066413634805</v>
      </c>
      <c r="AK4075">
        <v>0.70981251193583705</v>
      </c>
      <c r="AL4075">
        <v>80.670000749634795</v>
      </c>
      <c r="AM4075">
        <v>108.61692916704099</v>
      </c>
      <c r="AN4075">
        <v>0.999999984815374</v>
      </c>
    </row>
    <row r="4076" spans="1:40" x14ac:dyDescent="0.25">
      <c r="A4076" t="str">
        <f>"20190312172745853"</f>
        <v>20190312172745853</v>
      </c>
      <c r="B4076" t="str">
        <f>"1552382865843510"</f>
        <v>1552382865843510</v>
      </c>
      <c r="C4076" t="s">
        <v>40</v>
      </c>
      <c r="D4076">
        <v>3.1733310000000001</v>
      </c>
      <c r="E4076">
        <v>0.41669390000000001</v>
      </c>
      <c r="F4076" t="s">
        <v>44</v>
      </c>
      <c r="G4076">
        <v>-403.80919999999998</v>
      </c>
      <c r="H4076">
        <v>1.04396</v>
      </c>
      <c r="I4076">
        <v>139.52359999999999</v>
      </c>
      <c r="J4076">
        <v>-403.3048</v>
      </c>
      <c r="K4076">
        <v>1.1136429999999999</v>
      </c>
      <c r="L4076">
        <v>140.20320000000001</v>
      </c>
      <c r="M4076">
        <v>-0.96430329999999997</v>
      </c>
      <c r="N4076">
        <v>0</v>
      </c>
      <c r="O4076">
        <v>-0.26443800000000001</v>
      </c>
      <c r="P4076">
        <v>-0.82093719999999903</v>
      </c>
      <c r="Q4076">
        <v>0.1511932</v>
      </c>
      <c r="R4076">
        <v>-0.55063839999999997</v>
      </c>
      <c r="S4076">
        <v>-2.1723629999999998</v>
      </c>
      <c r="T4076">
        <v>-0.21377289999999999</v>
      </c>
      <c r="U4076">
        <v>-2.2768549999999999</v>
      </c>
      <c r="V4076">
        <v>-0.3152818</v>
      </c>
      <c r="W4076">
        <v>0.16153380000000001</v>
      </c>
      <c r="X4076">
        <v>0.93514929999999996</v>
      </c>
      <c r="Y4076">
        <v>-0.51463910000000002</v>
      </c>
      <c r="Z4076">
        <v>-1.8631290000000001E-4</v>
      </c>
      <c r="AA4076">
        <v>0.85740689999999997</v>
      </c>
      <c r="AB4076">
        <v>21</v>
      </c>
      <c r="AC4076">
        <v>-0.50439999999997498</v>
      </c>
      <c r="AD4076">
        <v>-6.9682999999999898E-2</v>
      </c>
      <c r="AE4076">
        <v>-0.67960000000002097</v>
      </c>
      <c r="AF4076">
        <v>-0.51849310071070098</v>
      </c>
      <c r="AG4076">
        <v>-6.9682999999999898E-2</v>
      </c>
      <c r="AH4076">
        <v>0.66168485778689101</v>
      </c>
      <c r="AI4076">
        <v>94.738619522473499</v>
      </c>
      <c r="AJ4076">
        <v>128.08208019401999</v>
      </c>
      <c r="AK4076">
        <v>0.84351506625433503</v>
      </c>
      <c r="AL4076">
        <v>80.704065303895007</v>
      </c>
      <c r="AM4076">
        <v>108.631325647073</v>
      </c>
      <c r="AN4076">
        <v>0.99999999762208402</v>
      </c>
    </row>
    <row r="4077" spans="1:40" x14ac:dyDescent="0.25">
      <c r="A4077" t="str">
        <f>"20190312172745897"</f>
        <v>20190312172745897</v>
      </c>
      <c r="B4077" t="str">
        <f>"1552382865893287"</f>
        <v>1552382865893287</v>
      </c>
      <c r="C4077" t="s">
        <v>40</v>
      </c>
      <c r="D4077">
        <v>3.1572490000000002</v>
      </c>
      <c r="E4077">
        <v>0.41665790000000003</v>
      </c>
      <c r="F4077" t="s">
        <v>44</v>
      </c>
      <c r="G4077">
        <v>-403.98680000000002</v>
      </c>
      <c r="H4077">
        <v>1.0449900000000001</v>
      </c>
      <c r="I4077">
        <v>139.47980000000001</v>
      </c>
      <c r="J4077">
        <v>-403.68610000000001</v>
      </c>
      <c r="K4077">
        <v>1.1137539999999999</v>
      </c>
      <c r="L4077">
        <v>140.0829</v>
      </c>
      <c r="M4077">
        <v>-0.96105030000000002</v>
      </c>
      <c r="N4077">
        <v>0</v>
      </c>
      <c r="O4077">
        <v>-0.27602559999999998</v>
      </c>
      <c r="P4077">
        <v>-0.81391150000000001</v>
      </c>
      <c r="Q4077">
        <v>0.15078069999999999</v>
      </c>
      <c r="R4077">
        <v>-0.56108199999999997</v>
      </c>
      <c r="S4077">
        <v>-2.158112</v>
      </c>
      <c r="T4077">
        <v>-0.2172635</v>
      </c>
      <c r="U4077">
        <v>-2.290359</v>
      </c>
      <c r="V4077">
        <v>-0.31599500000000003</v>
      </c>
      <c r="W4077">
        <v>0.1610415</v>
      </c>
      <c r="X4077">
        <v>0.93499339999999997</v>
      </c>
      <c r="Y4077">
        <v>-0.50968019999999903</v>
      </c>
      <c r="Z4077">
        <v>8.7787960000000002E-4</v>
      </c>
      <c r="AA4077">
        <v>0.8603634</v>
      </c>
      <c r="AB4077">
        <v>21</v>
      </c>
      <c r="AC4077">
        <v>-0.30070000000000602</v>
      </c>
      <c r="AD4077">
        <v>-6.87640000000002E-2</v>
      </c>
      <c r="AE4077">
        <v>-0.60309999999998298</v>
      </c>
      <c r="AF4077">
        <v>-0.49153850065691501</v>
      </c>
      <c r="AG4077">
        <v>-6.87640000000002E-2</v>
      </c>
      <c r="AH4077">
        <v>0.45080893755624302</v>
      </c>
      <c r="AI4077">
        <v>95.886412277267695</v>
      </c>
      <c r="AJ4077">
        <v>137.474862726347</v>
      </c>
      <c r="AK4077">
        <v>0.67049778784470004</v>
      </c>
      <c r="AL4077">
        <v>80.732645594674196</v>
      </c>
      <c r="AM4077">
        <v>108.67345105445401</v>
      </c>
      <c r="AN4077">
        <v>0.999999931395402</v>
      </c>
    </row>
    <row r="4078" spans="1:40" x14ac:dyDescent="0.25">
      <c r="A4078" t="str">
        <f>"20190312172745919"</f>
        <v>20190312172745919</v>
      </c>
      <c r="B4078" t="str">
        <f>"1552382865913782"</f>
        <v>1552382865913782</v>
      </c>
      <c r="C4078" t="s">
        <v>40</v>
      </c>
      <c r="D4078">
        <v>3.1370429999999998</v>
      </c>
      <c r="E4078">
        <v>0.41663879999999998</v>
      </c>
      <c r="F4078" t="s">
        <v>44</v>
      </c>
      <c r="G4078">
        <v>-404.33409999999998</v>
      </c>
      <c r="H4078">
        <v>1.046646</v>
      </c>
      <c r="I4078">
        <v>139.3775</v>
      </c>
      <c r="J4078">
        <v>-403.88200000000001</v>
      </c>
      <c r="K4078">
        <v>1.113809</v>
      </c>
      <c r="L4078">
        <v>140.0189</v>
      </c>
      <c r="M4078">
        <v>-0.95926959999999994</v>
      </c>
      <c r="N4078">
        <v>0</v>
      </c>
      <c r="O4078">
        <v>-0.282151599999999</v>
      </c>
      <c r="P4078">
        <v>-0.8099828</v>
      </c>
      <c r="Q4078">
        <v>0.15131789999999901</v>
      </c>
      <c r="R4078">
        <v>-0.56659589999999904</v>
      </c>
      <c r="S4078">
        <v>-2.1289060000000002</v>
      </c>
      <c r="T4078">
        <v>-0.2204556</v>
      </c>
      <c r="U4078">
        <v>-2.317825</v>
      </c>
      <c r="V4078">
        <v>-0.31643259999999901</v>
      </c>
      <c r="W4078">
        <v>0.1615394</v>
      </c>
      <c r="X4078">
        <v>0.93475960000000002</v>
      </c>
      <c r="Y4078">
        <v>-0.51512550000000001</v>
      </c>
      <c r="Z4078">
        <v>1.1245090000000001E-3</v>
      </c>
      <c r="AA4078">
        <v>0.85711409999999999</v>
      </c>
      <c r="AB4078">
        <v>21</v>
      </c>
      <c r="AC4078">
        <v>-0.45210000000002898</v>
      </c>
      <c r="AD4078">
        <v>-6.7163E-2</v>
      </c>
      <c r="AE4078">
        <v>-0.64140000000000397</v>
      </c>
      <c r="AF4078">
        <v>-0.484214641581804</v>
      </c>
      <c r="AG4078">
        <v>-6.7163E-2</v>
      </c>
      <c r="AH4078">
        <v>0.61024665951137502</v>
      </c>
      <c r="AI4078">
        <v>94.927585252003894</v>
      </c>
      <c r="AJ4078">
        <v>128.431073605195</v>
      </c>
      <c r="AK4078">
        <v>0.781905156100142</v>
      </c>
      <c r="AL4078">
        <v>80.703740565096894</v>
      </c>
      <c r="AM4078">
        <v>108.701865999511</v>
      </c>
      <c r="AN4078">
        <v>1.0000000389436301</v>
      </c>
    </row>
    <row r="4079" spans="1:40" x14ac:dyDescent="0.25">
      <c r="A4079" t="str">
        <f>"20190312172745942"</f>
        <v>20190312172745942</v>
      </c>
      <c r="B4079" t="str">
        <f>"1552382865933302"</f>
        <v>1552382865933302</v>
      </c>
      <c r="C4079" t="s">
        <v>40</v>
      </c>
      <c r="D4079">
        <v>3.1604299999999999</v>
      </c>
      <c r="E4079">
        <v>0.4166242</v>
      </c>
      <c r="F4079" t="s">
        <v>44</v>
      </c>
      <c r="G4079">
        <v>-404.50819999999999</v>
      </c>
      <c r="H4079">
        <v>1.0490469999999901</v>
      </c>
      <c r="I4079">
        <v>139.3272</v>
      </c>
      <c r="J4079">
        <v>-404.0711</v>
      </c>
      <c r="K4079">
        <v>1.1138600000000001</v>
      </c>
      <c r="L4079">
        <v>139.9556</v>
      </c>
      <c r="M4079">
        <v>-0.95747700000000002</v>
      </c>
      <c r="N4079">
        <v>0</v>
      </c>
      <c r="O4079">
        <v>-0.28817589999999998</v>
      </c>
      <c r="P4079">
        <v>-0.80636600000000003</v>
      </c>
      <c r="Q4079">
        <v>0.15178059999999999</v>
      </c>
      <c r="R4079">
        <v>-0.57160919999999904</v>
      </c>
      <c r="S4079">
        <v>-2.1123660000000002</v>
      </c>
      <c r="T4079">
        <v>-0.2184451</v>
      </c>
      <c r="U4079">
        <v>-2.333313</v>
      </c>
      <c r="V4079">
        <v>-0.3164032</v>
      </c>
      <c r="W4079">
        <v>0.161972799999999</v>
      </c>
      <c r="X4079">
        <v>0.93469449999999998</v>
      </c>
      <c r="Y4079">
        <v>-0.51592950000000004</v>
      </c>
      <c r="Z4079">
        <v>1.5327629999999999E-3</v>
      </c>
      <c r="AA4079">
        <v>0.85662969999999905</v>
      </c>
      <c r="AB4079">
        <v>21</v>
      </c>
      <c r="AC4079">
        <v>-0.437099999999986</v>
      </c>
      <c r="AD4079">
        <v>-6.4813000000000204E-2</v>
      </c>
      <c r="AE4079">
        <v>-0.62839999999999896</v>
      </c>
      <c r="AF4079">
        <v>-0.47237609750090498</v>
      </c>
      <c r="AG4079">
        <v>-6.4813000000000204E-2</v>
      </c>
      <c r="AH4079">
        <v>0.59539216804143502</v>
      </c>
      <c r="AI4079">
        <v>94.874275034233406</v>
      </c>
      <c r="AJ4079">
        <v>128.428008851529</v>
      </c>
      <c r="AK4079">
        <v>0.76277895633287196</v>
      </c>
      <c r="AL4079">
        <v>80.678576738277499</v>
      </c>
      <c r="AM4079">
        <v>108.701461085623</v>
      </c>
      <c r="AN4079">
        <v>0.99999999062016398</v>
      </c>
    </row>
    <row r="4080" spans="1:40" x14ac:dyDescent="0.25">
      <c r="A4080" t="str">
        <f>"20190312172745963"</f>
        <v>20190312172745963</v>
      </c>
      <c r="B4080" t="str">
        <f>"1552382865953799"</f>
        <v>1552382865953799</v>
      </c>
      <c r="C4080" t="s">
        <v>40</v>
      </c>
      <c r="D4080">
        <v>3.1797650000000002</v>
      </c>
      <c r="E4080">
        <v>0.41661389999999998</v>
      </c>
      <c r="F4080" t="s">
        <v>44</v>
      </c>
      <c r="G4080">
        <v>-404.68049999999999</v>
      </c>
      <c r="H4080">
        <v>1.0506629999999999</v>
      </c>
      <c r="I4080">
        <v>139.27379999999999</v>
      </c>
      <c r="J4080">
        <v>-404.26479999999998</v>
      </c>
      <c r="K4080">
        <v>1.113912</v>
      </c>
      <c r="L4080">
        <v>139.88939999999999</v>
      </c>
      <c r="M4080">
        <v>-0.95556149999999995</v>
      </c>
      <c r="N4080">
        <v>0</v>
      </c>
      <c r="O4080">
        <v>-0.29446460000000002</v>
      </c>
      <c r="P4080">
        <v>-0.80280030000000002</v>
      </c>
      <c r="Q4080">
        <v>0.15212479999999901</v>
      </c>
      <c r="R4080">
        <v>-0.57651519999999901</v>
      </c>
      <c r="S4080">
        <v>-2.0974729999999999</v>
      </c>
      <c r="T4080">
        <v>-0.21751190000000001</v>
      </c>
      <c r="U4080">
        <v>-2.3472140000000001</v>
      </c>
      <c r="V4080">
        <v>-0.31599969999999999</v>
      </c>
      <c r="W4080">
        <v>0.1622885</v>
      </c>
      <c r="X4080">
        <v>0.93477619999999895</v>
      </c>
      <c r="Y4080">
        <v>-0.51585950000000003</v>
      </c>
      <c r="Z4080">
        <v>1.9997729999999998E-3</v>
      </c>
      <c r="AA4080">
        <v>0.85667090000000001</v>
      </c>
      <c r="AB4080">
        <v>21</v>
      </c>
      <c r="AC4080">
        <v>-0.415700000000015</v>
      </c>
      <c r="AD4080">
        <v>-6.3249000000000097E-2</v>
      </c>
      <c r="AE4080">
        <v>-0.61560000000000004</v>
      </c>
      <c r="AF4080">
        <v>-0.46252623967385598</v>
      </c>
      <c r="AG4080">
        <v>-6.3249000000000097E-2</v>
      </c>
      <c r="AH4080">
        <v>0.57439066304269903</v>
      </c>
      <c r="AI4080">
        <v>94.901998825393306</v>
      </c>
      <c r="AJ4080">
        <v>128.842644026106</v>
      </c>
      <c r="AK4080">
        <v>0.74017267727096603</v>
      </c>
      <c r="AL4080">
        <v>80.660245603460893</v>
      </c>
      <c r="AM4080">
        <v>108.677747578403</v>
      </c>
      <c r="AN4080">
        <v>0.99999995585938795</v>
      </c>
    </row>
    <row r="4081" spans="1:40" x14ac:dyDescent="0.25">
      <c r="A4081" t="str">
        <f>"20190312172745986"</f>
        <v>20190312172745986</v>
      </c>
      <c r="B4081" t="str">
        <f>"1552382865983078"</f>
        <v>1552382865983078</v>
      </c>
      <c r="C4081" t="s">
        <v>40</v>
      </c>
      <c r="D4081">
        <v>3.152863</v>
      </c>
      <c r="E4081">
        <v>0.41661559999999997</v>
      </c>
      <c r="F4081" t="s">
        <v>44</v>
      </c>
      <c r="G4081">
        <v>-404.8537</v>
      </c>
      <c r="H4081">
        <v>1.0524830000000001</v>
      </c>
      <c r="I4081">
        <v>139.22190000000001</v>
      </c>
      <c r="J4081">
        <v>-404.45760000000001</v>
      </c>
      <c r="K4081">
        <v>1.1139730000000001</v>
      </c>
      <c r="L4081">
        <v>139.8219</v>
      </c>
      <c r="M4081">
        <v>-0.95357150000000002</v>
      </c>
      <c r="N4081">
        <v>0</v>
      </c>
      <c r="O4081">
        <v>-0.30084620000000001</v>
      </c>
      <c r="P4081">
        <v>-0.79932209999999904</v>
      </c>
      <c r="Q4081">
        <v>0.15216740000000001</v>
      </c>
      <c r="R4081">
        <v>-0.58131690000000003</v>
      </c>
      <c r="S4081">
        <v>-2.0827330000000002</v>
      </c>
      <c r="T4081">
        <v>-0.21724930000000001</v>
      </c>
      <c r="U4081">
        <v>-2.3607480000000001</v>
      </c>
      <c r="V4081">
        <v>-0.3153784</v>
      </c>
      <c r="W4081">
        <v>0.16230310000000001</v>
      </c>
      <c r="X4081">
        <v>0.93498360000000003</v>
      </c>
      <c r="Y4081">
        <v>-0.51559339999999998</v>
      </c>
      <c r="Z4081">
        <v>2.486177E-3</v>
      </c>
      <c r="AA4081">
        <v>0.85682979999999997</v>
      </c>
      <c r="AB4081">
        <v>21</v>
      </c>
      <c r="AC4081">
        <v>-0.39609999999998902</v>
      </c>
      <c r="AD4081">
        <v>-6.1489999999999802E-2</v>
      </c>
      <c r="AE4081">
        <v>-0.59999999999999398</v>
      </c>
      <c r="AF4081">
        <v>-0.44973170150067199</v>
      </c>
      <c r="AG4081">
        <v>-6.1489999999999802E-2</v>
      </c>
      <c r="AH4081">
        <v>0.55421722955688102</v>
      </c>
      <c r="AI4081">
        <v>94.924022988101498</v>
      </c>
      <c r="AJ4081">
        <v>129.05835852939401</v>
      </c>
      <c r="AK4081">
        <v>0.71637724766521904</v>
      </c>
      <c r="AL4081">
        <v>80.659399033080604</v>
      </c>
      <c r="AM4081">
        <v>108.639714683706</v>
      </c>
      <c r="AN4081">
        <v>1.0000000818625601</v>
      </c>
    </row>
    <row r="4082" spans="1:40" x14ac:dyDescent="0.25">
      <c r="A4082" t="str">
        <f>"20190312172746010"</f>
        <v>20190312172746010</v>
      </c>
      <c r="B4082" t="str">
        <f>"1552382866003574"</f>
        <v>1552382866003574</v>
      </c>
      <c r="C4082" t="s">
        <v>40</v>
      </c>
      <c r="D4082">
        <v>3.1743399999999999</v>
      </c>
      <c r="E4082">
        <v>0.41663689999999998</v>
      </c>
      <c r="F4082" t="s">
        <v>44</v>
      </c>
      <c r="G4082">
        <v>-405.0265</v>
      </c>
      <c r="H4082">
        <v>1.0539780000000001</v>
      </c>
      <c r="I4082">
        <v>139.1695</v>
      </c>
      <c r="J4082">
        <v>-404.65289999999999</v>
      </c>
      <c r="K4082">
        <v>1.1140380000000001</v>
      </c>
      <c r="L4082">
        <v>139.7518</v>
      </c>
      <c r="M4082">
        <v>-0.95146520000000001</v>
      </c>
      <c r="N4082">
        <v>0</v>
      </c>
      <c r="O4082">
        <v>-0.3074424</v>
      </c>
      <c r="P4082">
        <v>-0.79580580000000001</v>
      </c>
      <c r="Q4082">
        <v>0.15255750000000001</v>
      </c>
      <c r="R4082">
        <v>-0.58602010000000004</v>
      </c>
      <c r="S4082">
        <v>-2.0687259999999998</v>
      </c>
      <c r="T4082">
        <v>-0.2181497</v>
      </c>
      <c r="U4082">
        <v>-2.3732150000000001</v>
      </c>
      <c r="V4082">
        <v>-0.31446610000000003</v>
      </c>
      <c r="W4082">
        <v>0.1626668</v>
      </c>
      <c r="X4082">
        <v>0.93522760000000005</v>
      </c>
      <c r="Y4082">
        <v>-0.514775599999999</v>
      </c>
      <c r="Z4082">
        <v>3.0272229999999999E-3</v>
      </c>
      <c r="AA4082">
        <v>0.85731970000000002</v>
      </c>
      <c r="AB4082">
        <v>21</v>
      </c>
      <c r="AC4082">
        <v>-0.37360000000000998</v>
      </c>
      <c r="AD4082">
        <v>-6.0059999999999697E-2</v>
      </c>
      <c r="AE4082">
        <v>-0.58230000000000304</v>
      </c>
      <c r="AF4082">
        <v>-0.43593483200197802</v>
      </c>
      <c r="AG4082">
        <v>-6.0059999999999697E-2</v>
      </c>
      <c r="AH4082">
        <v>0.53054444397942802</v>
      </c>
      <c r="AI4082">
        <v>94.998683573649799</v>
      </c>
      <c r="AJ4082">
        <v>129.409072706903</v>
      </c>
      <c r="AK4082">
        <v>0.68929223729129097</v>
      </c>
      <c r="AL4082">
        <v>80.638279511135906</v>
      </c>
      <c r="AM4082">
        <v>108.58498831480701</v>
      </c>
      <c r="AN4082">
        <v>1.0000000398366</v>
      </c>
    </row>
    <row r="4083" spans="1:40" x14ac:dyDescent="0.25">
      <c r="A4083" t="str">
        <f>"20190312172746031"</f>
        <v>20190312172746031</v>
      </c>
      <c r="B4083" t="str">
        <f>"1552382866023094"</f>
        <v>1552382866023094</v>
      </c>
      <c r="C4083" t="s">
        <v>40</v>
      </c>
      <c r="D4083">
        <v>3.137032</v>
      </c>
      <c r="E4083">
        <v>0.41667769999999998</v>
      </c>
      <c r="F4083" t="s">
        <v>44</v>
      </c>
      <c r="G4083">
        <v>-405.32080000000002</v>
      </c>
      <c r="H4083">
        <v>1.043231</v>
      </c>
      <c r="I4083">
        <v>138.97659999999999</v>
      </c>
      <c r="J4083">
        <v>-404.84039999999999</v>
      </c>
      <c r="K4083">
        <v>1.1140909999999999</v>
      </c>
      <c r="L4083">
        <v>139.68279999999999</v>
      </c>
      <c r="M4083">
        <v>-0.94935820000000004</v>
      </c>
      <c r="N4083">
        <v>0</v>
      </c>
      <c r="O4083">
        <v>-0.31388759999999999</v>
      </c>
      <c r="P4083">
        <v>-0.79224150000000004</v>
      </c>
      <c r="Q4083">
        <v>0.1525687</v>
      </c>
      <c r="R4083">
        <v>-0.59082659999999998</v>
      </c>
      <c r="S4083">
        <v>-2.0549010000000001</v>
      </c>
      <c r="T4083">
        <v>-0.21786030000000001</v>
      </c>
      <c r="U4083">
        <v>-2.3854679999999999</v>
      </c>
      <c r="V4083">
        <v>-0.31380720000000001</v>
      </c>
      <c r="W4083">
        <v>0.1626532</v>
      </c>
      <c r="X4083">
        <v>0.93545120000000004</v>
      </c>
      <c r="Y4083">
        <v>-0.51400859999999904</v>
      </c>
      <c r="Z4083">
        <v>3.540451E-3</v>
      </c>
      <c r="AA4083">
        <v>0.85777769999999998</v>
      </c>
      <c r="AB4083">
        <v>20</v>
      </c>
      <c r="AC4083">
        <v>-0.48040000000003102</v>
      </c>
      <c r="AD4083">
        <v>-7.0859999999999895E-2</v>
      </c>
      <c r="AE4083">
        <v>-0.70619999999999505</v>
      </c>
      <c r="AF4083">
        <v>-0.516142869835027</v>
      </c>
      <c r="AG4083">
        <v>-7.0859999999999895E-2</v>
      </c>
      <c r="AH4083">
        <v>0.673171297877869</v>
      </c>
      <c r="AI4083">
        <v>94.775097215743898</v>
      </c>
      <c r="AJ4083">
        <v>127.478585008537</v>
      </c>
      <c r="AK4083">
        <v>0.85122511591711902</v>
      </c>
      <c r="AL4083">
        <v>80.639068732551294</v>
      </c>
      <c r="AM4083">
        <v>108.54458365472399</v>
      </c>
      <c r="AN4083">
        <v>0.99999998491175901</v>
      </c>
    </row>
    <row r="4084" spans="1:40" x14ac:dyDescent="0.25">
      <c r="A4084" t="str">
        <f>"20190312172746055"</f>
        <v>20190312172746055</v>
      </c>
      <c r="B4084" t="str">
        <f>"1552382866043590"</f>
        <v>1552382866043590</v>
      </c>
      <c r="C4084" t="s">
        <v>40</v>
      </c>
      <c r="D4084">
        <v>3.1495099999999998</v>
      </c>
      <c r="E4084">
        <v>0.41672009999999998</v>
      </c>
      <c r="F4084" t="s">
        <v>44</v>
      </c>
      <c r="G4084">
        <v>-405.49029999999999</v>
      </c>
      <c r="H4084">
        <v>1.0443880000000001</v>
      </c>
      <c r="I4084">
        <v>138.9196</v>
      </c>
      <c r="J4084">
        <v>-405.0378</v>
      </c>
      <c r="K4084">
        <v>1.1141380000000001</v>
      </c>
      <c r="L4084">
        <v>139.60849999999999</v>
      </c>
      <c r="M4084">
        <v>-0.94705050000000002</v>
      </c>
      <c r="N4084">
        <v>0</v>
      </c>
      <c r="O4084">
        <v>-0.32078259999999997</v>
      </c>
      <c r="P4084">
        <v>-0.78826379999999996</v>
      </c>
      <c r="Q4084">
        <v>0.15278410000000001</v>
      </c>
      <c r="R4084">
        <v>-0.59606840000000005</v>
      </c>
      <c r="S4084">
        <v>-2.0410159999999999</v>
      </c>
      <c r="T4084">
        <v>-0.21887709999999999</v>
      </c>
      <c r="U4084">
        <v>-2.3973689999999999</v>
      </c>
      <c r="V4084">
        <v>-0.31324239999999998</v>
      </c>
      <c r="W4084">
        <v>0.16284979999999999</v>
      </c>
      <c r="X4084">
        <v>0.9356063</v>
      </c>
      <c r="Y4084">
        <v>-0.51276709999999903</v>
      </c>
      <c r="Z4084">
        <v>4.1312390000000001E-3</v>
      </c>
      <c r="AA4084">
        <v>0.8585178</v>
      </c>
      <c r="AB4084">
        <v>20</v>
      </c>
      <c r="AC4084">
        <v>-0.45249999999998602</v>
      </c>
      <c r="AD4084">
        <v>-6.9749999999999895E-2</v>
      </c>
      <c r="AE4084">
        <v>-0.68889999999998897</v>
      </c>
      <c r="AF4084">
        <v>-0.50371083811366102</v>
      </c>
      <c r="AG4084">
        <v>-6.9749999999999895E-2</v>
      </c>
      <c r="AH4084">
        <v>0.64497151893006399</v>
      </c>
      <c r="AI4084">
        <v>94.871628790376903</v>
      </c>
      <c r="AJ4084">
        <v>127.98917881785</v>
      </c>
      <c r="AK4084">
        <v>0.82132693317833005</v>
      </c>
      <c r="AL4084">
        <v>80.627652342408496</v>
      </c>
      <c r="AM4084">
        <v>108.510623631138</v>
      </c>
      <c r="AN4084">
        <v>1.00000000355874</v>
      </c>
    </row>
    <row r="4085" spans="1:40" x14ac:dyDescent="0.25">
      <c r="A4085" t="str">
        <f>"20190312172746081"</f>
        <v>20190312172746081</v>
      </c>
      <c r="B4085" t="str">
        <f>"1552382866073847"</f>
        <v>1552382866073847</v>
      </c>
      <c r="C4085" t="s">
        <v>40</v>
      </c>
      <c r="D4085">
        <v>3.1546609999999999</v>
      </c>
      <c r="E4085">
        <v>0.41680479999999998</v>
      </c>
      <c r="F4085" t="s">
        <v>44</v>
      </c>
      <c r="G4085">
        <v>-405.66180000000003</v>
      </c>
      <c r="H4085">
        <v>1.0467109999999999</v>
      </c>
      <c r="I4085">
        <v>138.8657</v>
      </c>
      <c r="J4085">
        <v>-405.2568</v>
      </c>
      <c r="K4085">
        <v>1.114185</v>
      </c>
      <c r="L4085">
        <v>139.5241</v>
      </c>
      <c r="M4085">
        <v>-0.94438580000000005</v>
      </c>
      <c r="N4085">
        <v>0</v>
      </c>
      <c r="O4085">
        <v>-0.32854450000000002</v>
      </c>
      <c r="P4085">
        <v>-0.78370490000000004</v>
      </c>
      <c r="Q4085">
        <v>0.15291179999999999</v>
      </c>
      <c r="R4085">
        <v>-0.60201729999999998</v>
      </c>
      <c r="S4085">
        <v>-2.0252690000000002</v>
      </c>
      <c r="T4085">
        <v>-0.21886620000000001</v>
      </c>
      <c r="U4085">
        <v>-2.410812</v>
      </c>
      <c r="V4085">
        <v>-0.31266840000000001</v>
      </c>
      <c r="W4085">
        <v>0.1629651</v>
      </c>
      <c r="X4085">
        <v>0.9357782</v>
      </c>
      <c r="Y4085">
        <v>-0.51138589999999995</v>
      </c>
      <c r="Z4085">
        <v>4.7775860000000003E-3</v>
      </c>
      <c r="AA4085">
        <v>0.85933789999999999</v>
      </c>
      <c r="AB4085">
        <v>20</v>
      </c>
      <c r="AC4085">
        <v>-0.405000000000029</v>
      </c>
      <c r="AD4085">
        <v>-6.7473999999999798E-2</v>
      </c>
      <c r="AE4085">
        <v>-0.65839999999999999</v>
      </c>
      <c r="AF4085">
        <v>-0.48507449303351602</v>
      </c>
      <c r="AG4085">
        <v>-6.7473999999999798E-2</v>
      </c>
      <c r="AH4085">
        <v>0.59431964104777402</v>
      </c>
      <c r="AI4085">
        <v>95.026490396520401</v>
      </c>
      <c r="AJ4085">
        <v>129.22079109920301</v>
      </c>
      <c r="AK4085">
        <v>0.77010768091408999</v>
      </c>
      <c r="AL4085">
        <v>80.620956621648205</v>
      </c>
      <c r="AM4085">
        <v>108.475845475683</v>
      </c>
      <c r="AN4085">
        <v>0.99999999588590405</v>
      </c>
    </row>
    <row r="4086" spans="1:40" x14ac:dyDescent="0.25">
      <c r="A4086" t="str">
        <f>"20190312172746108"</f>
        <v>20190312172746108</v>
      </c>
      <c r="B4086" t="str">
        <f>"1552382866103125"</f>
        <v>1552382866103125</v>
      </c>
      <c r="C4086" t="s">
        <v>40</v>
      </c>
      <c r="D4086">
        <v>3.1173989999999998</v>
      </c>
      <c r="E4086">
        <v>0.4168615</v>
      </c>
      <c r="F4086" t="s">
        <v>44</v>
      </c>
      <c r="G4086">
        <v>-405.83890000000002</v>
      </c>
      <c r="H4086">
        <v>1.0505519999999999</v>
      </c>
      <c r="I4086">
        <v>138.82079999999999</v>
      </c>
      <c r="J4086">
        <v>-405.48759999999999</v>
      </c>
      <c r="K4086">
        <v>1.1142299999999901</v>
      </c>
      <c r="L4086">
        <v>139.43279999999999</v>
      </c>
      <c r="M4086">
        <v>-0.94145060000000003</v>
      </c>
      <c r="N4086">
        <v>0</v>
      </c>
      <c r="O4086">
        <v>-0.33686250000000001</v>
      </c>
      <c r="P4086">
        <v>-0.77868159999999997</v>
      </c>
      <c r="Q4086">
        <v>0.15362519999999999</v>
      </c>
      <c r="R4086">
        <v>-0.608321</v>
      </c>
      <c r="S4086">
        <v>-2.007568</v>
      </c>
      <c r="T4086">
        <v>-0.21947900000000001</v>
      </c>
      <c r="U4086">
        <v>-2.425522</v>
      </c>
      <c r="V4086">
        <v>-0.31203140000000001</v>
      </c>
      <c r="W4086">
        <v>0.16366649999999999</v>
      </c>
      <c r="X4086">
        <v>0.93586840000000004</v>
      </c>
      <c r="Y4086">
        <v>-0.51010469999999997</v>
      </c>
      <c r="Z4086">
        <v>5.4788500000000004E-3</v>
      </c>
      <c r="AA4086">
        <v>0.8600949</v>
      </c>
      <c r="AB4086">
        <v>20</v>
      </c>
      <c r="AC4086">
        <v>-0.35130000000003703</v>
      </c>
      <c r="AD4086">
        <v>-6.3677999999999596E-2</v>
      </c>
      <c r="AE4086">
        <v>-0.61199999999999399</v>
      </c>
      <c r="AF4086">
        <v>-0.45417411251482698</v>
      </c>
      <c r="AG4086">
        <v>-6.3677999999999596E-2</v>
      </c>
      <c r="AH4086">
        <v>0.53260659325375403</v>
      </c>
      <c r="AI4086">
        <v>95.198104841127801</v>
      </c>
      <c r="AJ4086">
        <v>130.45550253338001</v>
      </c>
      <c r="AK4086">
        <v>0.702850478651044</v>
      </c>
      <c r="AL4086">
        <v>80.580222401269495</v>
      </c>
      <c r="AM4086">
        <v>108.439095904345</v>
      </c>
      <c r="AN4086">
        <v>0.99999998996338502</v>
      </c>
    </row>
    <row r="4087" spans="1:40" x14ac:dyDescent="0.25">
      <c r="A4087" t="str">
        <f>"20190312172746133"</f>
        <v>20190312172746133</v>
      </c>
      <c r="B4087" t="str">
        <f>"1552382866123622"</f>
        <v>1552382866123622</v>
      </c>
      <c r="C4087" t="s">
        <v>40</v>
      </c>
      <c r="D4087">
        <v>3.099993</v>
      </c>
      <c r="E4087">
        <v>0.41691070000000002</v>
      </c>
      <c r="F4087" t="s">
        <v>44</v>
      </c>
      <c r="G4087">
        <v>-406.13499999999999</v>
      </c>
      <c r="H4087">
        <v>1.043401</v>
      </c>
      <c r="I4087">
        <v>138.63759999999999</v>
      </c>
      <c r="J4087">
        <v>-405.68819999999999</v>
      </c>
      <c r="K4087">
        <v>1.1142749999999999</v>
      </c>
      <c r="L4087">
        <v>139.3511</v>
      </c>
      <c r="M4087">
        <v>-0.93878079999999997</v>
      </c>
      <c r="N4087">
        <v>0</v>
      </c>
      <c r="O4087">
        <v>-0.34423209999999999</v>
      </c>
      <c r="P4087">
        <v>-0.77388539999999995</v>
      </c>
      <c r="Q4087">
        <v>0.15412200000000001</v>
      </c>
      <c r="R4087">
        <v>-0.61428649999999996</v>
      </c>
      <c r="S4087">
        <v>-1.9879150000000001</v>
      </c>
      <c r="T4087">
        <v>-0.21749599999999999</v>
      </c>
      <c r="U4087">
        <v>-2.44191</v>
      </c>
      <c r="V4087">
        <v>-0.31194080000000002</v>
      </c>
      <c r="W4087">
        <v>0.1641416</v>
      </c>
      <c r="X4087">
        <v>0.93581539999999996</v>
      </c>
      <c r="Y4087">
        <v>-0.51037429999999995</v>
      </c>
      <c r="Z4087">
        <v>5.9771590000000001E-3</v>
      </c>
      <c r="AA4087">
        <v>0.85993159999999902</v>
      </c>
      <c r="AB4087">
        <v>20</v>
      </c>
      <c r="AC4087">
        <v>-0.44679999999999598</v>
      </c>
      <c r="AD4087">
        <v>-7.0873999999999798E-2</v>
      </c>
      <c r="AE4087">
        <v>-0.71350000000001002</v>
      </c>
      <c r="AF4087">
        <v>-0.51243550783784597</v>
      </c>
      <c r="AG4087">
        <v>-7.0873999999999798E-2</v>
      </c>
      <c r="AH4087">
        <v>0.66044068536311296</v>
      </c>
      <c r="AI4087">
        <v>94.846234216953405</v>
      </c>
      <c r="AJ4087">
        <v>127.80786382068899</v>
      </c>
      <c r="AK4087">
        <v>0.83892501002886399</v>
      </c>
      <c r="AL4087">
        <v>80.552628047099603</v>
      </c>
      <c r="AM4087">
        <v>108.435077396406</v>
      </c>
      <c r="AN4087">
        <v>0.99999999521617999</v>
      </c>
    </row>
    <row r="4088" spans="1:40" x14ac:dyDescent="0.25">
      <c r="A4088" t="str">
        <f>"20190312172746153"</f>
        <v>20190312172746153</v>
      </c>
      <c r="B4088" t="str">
        <f>"1552382866143142"</f>
        <v>1552382866143142</v>
      </c>
      <c r="C4088" t="s">
        <v>40</v>
      </c>
      <c r="D4088">
        <v>3.1442109999999999</v>
      </c>
      <c r="E4088">
        <v>0.41696529999999998</v>
      </c>
      <c r="F4088" t="s">
        <v>44</v>
      </c>
      <c r="G4088">
        <v>-406.30509999999998</v>
      </c>
      <c r="H4088">
        <v>1.0463150000000001</v>
      </c>
      <c r="I4088">
        <v>138.58179999999999</v>
      </c>
      <c r="J4088">
        <v>-405.8605</v>
      </c>
      <c r="K4088">
        <v>1.114309</v>
      </c>
      <c r="L4088">
        <v>139.27950000000001</v>
      </c>
      <c r="M4088">
        <v>-0.9364093</v>
      </c>
      <c r="N4088">
        <v>0</v>
      </c>
      <c r="O4088">
        <v>-0.3506322</v>
      </c>
      <c r="P4088">
        <v>-0.76974980000000004</v>
      </c>
      <c r="Q4088">
        <v>0.1544674</v>
      </c>
      <c r="R4088">
        <v>-0.61937519999999902</v>
      </c>
      <c r="S4088">
        <v>-1.9692989999999999</v>
      </c>
      <c r="T4088">
        <v>-0.2169664</v>
      </c>
      <c r="U4088">
        <v>-2.4571839999999998</v>
      </c>
      <c r="V4088">
        <v>-0.31176479999999901</v>
      </c>
      <c r="W4088">
        <v>0.16446849999999999</v>
      </c>
      <c r="X4088">
        <v>0.9358166</v>
      </c>
      <c r="Y4088">
        <v>-0.51109340000000003</v>
      </c>
      <c r="Z4088">
        <v>6.4185279999999997E-3</v>
      </c>
      <c r="AA4088">
        <v>0.85950119999999897</v>
      </c>
      <c r="AB4088">
        <v>20</v>
      </c>
      <c r="AC4088">
        <v>-0.44459999999997901</v>
      </c>
      <c r="AD4088">
        <v>-6.7994000000000096E-2</v>
      </c>
      <c r="AE4088">
        <v>-0.69770000000002597</v>
      </c>
      <c r="AF4088">
        <v>-0.49415234301176603</v>
      </c>
      <c r="AG4088">
        <v>-6.7994000000000096E-2</v>
      </c>
      <c r="AH4088">
        <v>0.65659301687295302</v>
      </c>
      <c r="AI4088">
        <v>94.729948391088897</v>
      </c>
      <c r="AJ4088">
        <v>126.965143327977</v>
      </c>
      <c r="AK4088">
        <v>0.82457510994835703</v>
      </c>
      <c r="AL4088">
        <v>80.5336395061845</v>
      </c>
      <c r="AM4088">
        <v>108.425356710926</v>
      </c>
      <c r="AN4088">
        <v>0.99999994342342302</v>
      </c>
    </row>
    <row r="4089" spans="1:40" x14ac:dyDescent="0.25">
      <c r="A4089" t="str">
        <f>"20190312172746179"</f>
        <v>20190312172746179</v>
      </c>
      <c r="B4089" t="str">
        <f>"1552382866173399"</f>
        <v>1552382866173399</v>
      </c>
      <c r="C4089" t="s">
        <v>40</v>
      </c>
      <c r="D4089">
        <v>3.1450130000000001</v>
      </c>
      <c r="E4089">
        <v>0.41705360000000002</v>
      </c>
      <c r="F4089" t="s">
        <v>44</v>
      </c>
      <c r="G4089">
        <v>-406.46690000000001</v>
      </c>
      <c r="H4089">
        <v>1.0471010000000001</v>
      </c>
      <c r="I4089">
        <v>138.5128</v>
      </c>
      <c r="J4089">
        <v>-406.06049999999999</v>
      </c>
      <c r="K4089">
        <v>1.114357</v>
      </c>
      <c r="L4089">
        <v>139.1944</v>
      </c>
      <c r="M4089">
        <v>-0.93355410000000005</v>
      </c>
      <c r="N4089">
        <v>0</v>
      </c>
      <c r="O4089">
        <v>-0.3581646</v>
      </c>
      <c r="P4089">
        <v>-0.76503169999999898</v>
      </c>
      <c r="Q4089">
        <v>0.15504949999999901</v>
      </c>
      <c r="R4089">
        <v>-0.62504919999999997</v>
      </c>
      <c r="S4089">
        <v>-1.9535830000000001</v>
      </c>
      <c r="T4089">
        <v>-0.21651239999999999</v>
      </c>
      <c r="U4089">
        <v>-2.469757</v>
      </c>
      <c r="V4089">
        <v>-0.3112103</v>
      </c>
      <c r="W4089">
        <v>0.16503099999999901</v>
      </c>
      <c r="X4089">
        <v>0.93590220000000002</v>
      </c>
      <c r="Y4089">
        <v>-0.50968219999999997</v>
      </c>
      <c r="Z4089">
        <v>7.0327609999999898E-3</v>
      </c>
      <c r="AA4089">
        <v>0.86033400000000004</v>
      </c>
      <c r="AB4089">
        <v>20</v>
      </c>
      <c r="AC4089">
        <v>-0.40640000000001902</v>
      </c>
      <c r="AD4089">
        <v>-6.7255999999999899E-2</v>
      </c>
      <c r="AE4089">
        <v>-0.68160000000000298</v>
      </c>
      <c r="AF4089">
        <v>-0.48729996513051899</v>
      </c>
      <c r="AG4089">
        <v>-6.7255999999999899E-2</v>
      </c>
      <c r="AH4089">
        <v>0.61913493902809802</v>
      </c>
      <c r="AI4089">
        <v>94.878991202670704</v>
      </c>
      <c r="AJ4089">
        <v>128.20507527046101</v>
      </c>
      <c r="AK4089">
        <v>0.79076715806710896</v>
      </c>
      <c r="AL4089">
        <v>80.500964721065699</v>
      </c>
      <c r="AM4089">
        <v>108.39322412002799</v>
      </c>
      <c r="AN4089">
        <v>1.0000000048759601</v>
      </c>
    </row>
    <row r="4090" spans="1:40" x14ac:dyDescent="0.25">
      <c r="A4090" t="str">
        <f>"20190312172746221"</f>
        <v>20190312172746221</v>
      </c>
      <c r="B4090" t="str">
        <f>"1552382866213414"</f>
        <v>1552382866213414</v>
      </c>
      <c r="C4090" t="s">
        <v>40</v>
      </c>
      <c r="D4090">
        <v>3.1386219999999998</v>
      </c>
      <c r="E4090">
        <v>0.42152659999999997</v>
      </c>
      <c r="F4090" t="s">
        <v>44</v>
      </c>
      <c r="G4090">
        <v>-406.63639999999998</v>
      </c>
      <c r="H4090">
        <v>1.0502359999999999</v>
      </c>
      <c r="I4090">
        <v>138.4556</v>
      </c>
      <c r="J4090">
        <v>-406.40280000000001</v>
      </c>
      <c r="K4090">
        <v>1.1144579999999999</v>
      </c>
      <c r="L4090">
        <v>139.04399999999899</v>
      </c>
      <c r="M4090">
        <v>-0.92837440000000004</v>
      </c>
      <c r="N4090">
        <v>0</v>
      </c>
      <c r="O4090">
        <v>-0.37138290000000002</v>
      </c>
      <c r="P4090">
        <v>-0.75720659999999995</v>
      </c>
      <c r="Q4090">
        <v>0.15524879999999999</v>
      </c>
      <c r="R4090">
        <v>-0.6344573</v>
      </c>
      <c r="S4090">
        <v>-1.935303</v>
      </c>
      <c r="T4090">
        <v>-0.21550050000000001</v>
      </c>
      <c r="U4090">
        <v>-2.4843139999999999</v>
      </c>
      <c r="V4090">
        <v>-0.30954419999999999</v>
      </c>
      <c r="W4090">
        <v>0.16519510000000001</v>
      </c>
      <c r="X4090">
        <v>0.93642559999999997</v>
      </c>
      <c r="Y4090">
        <v>-0.50388189999999999</v>
      </c>
      <c r="Z4090">
        <v>8.2292649999999995E-3</v>
      </c>
      <c r="AA4090">
        <v>0.86373339999999998</v>
      </c>
      <c r="AB4090">
        <v>20</v>
      </c>
      <c r="AC4090">
        <v>-0.233599999999967</v>
      </c>
      <c r="AD4090">
        <v>-6.4222000000000001E-2</v>
      </c>
      <c r="AE4090">
        <v>-0.58839999999997805</v>
      </c>
      <c r="AF4090">
        <v>-0.454864411668848</v>
      </c>
      <c r="AG4090">
        <v>-6.4222000000000001E-2</v>
      </c>
      <c r="AH4090">
        <v>0.43099717645115998</v>
      </c>
      <c r="AI4090">
        <v>95.851730256461394</v>
      </c>
      <c r="AJ4090">
        <v>136.54331232421799</v>
      </c>
      <c r="AK4090">
        <v>0.62990845715526</v>
      </c>
      <c r="AL4090">
        <v>80.491431290410205</v>
      </c>
      <c r="AM4090">
        <v>108.29178412045999</v>
      </c>
      <c r="AN4090">
        <v>0.99999996857650397</v>
      </c>
    </row>
    <row r="4091" spans="1:40" x14ac:dyDescent="0.25">
      <c r="A4091" t="str">
        <f>"20190312172746243"</f>
        <v>20190312172746243</v>
      </c>
      <c r="B4091" t="str">
        <f>"1552382866233911"</f>
        <v>1552382866233911</v>
      </c>
      <c r="C4091" t="s">
        <v>40</v>
      </c>
      <c r="D4091">
        <v>3.1577480000000002</v>
      </c>
      <c r="E4091">
        <v>0.42135329999999899</v>
      </c>
      <c r="F4091" t="s">
        <v>44</v>
      </c>
      <c r="G4091">
        <v>-406.96300000000002</v>
      </c>
      <c r="H4091">
        <v>1.042821</v>
      </c>
      <c r="I4091">
        <v>138.32259999999999</v>
      </c>
      <c r="J4091">
        <v>-406.58499999999998</v>
      </c>
      <c r="K4091">
        <v>1.114522</v>
      </c>
      <c r="L4091">
        <v>138.9614</v>
      </c>
      <c r="M4091">
        <v>-0.92545719999999998</v>
      </c>
      <c r="N4091">
        <v>0</v>
      </c>
      <c r="O4091">
        <v>-0.37859359999999997</v>
      </c>
      <c r="P4091">
        <v>-0.75269969999999997</v>
      </c>
      <c r="Q4091">
        <v>0.155116899999999</v>
      </c>
      <c r="R4091">
        <v>-0.63983020000000002</v>
      </c>
      <c r="S4091">
        <v>-1.929718</v>
      </c>
      <c r="T4091">
        <v>-0.24677379999999999</v>
      </c>
      <c r="U4091">
        <v>-2.4858090000000002</v>
      </c>
      <c r="V4091">
        <v>-0.30893470000000001</v>
      </c>
      <c r="W4091">
        <v>0.16503989999999999</v>
      </c>
      <c r="X4091">
        <v>0.93665419999999999</v>
      </c>
      <c r="Y4091">
        <v>-0.49855090000000002</v>
      </c>
      <c r="Z4091">
        <v>1.029212E-2</v>
      </c>
      <c r="AA4091">
        <v>0.8667994</v>
      </c>
      <c r="AB4091">
        <v>20</v>
      </c>
      <c r="AC4091">
        <v>-0.37800000000004202</v>
      </c>
      <c r="AD4091">
        <v>-7.1701000000000001E-2</v>
      </c>
      <c r="AE4091">
        <v>-0.63880000000000303</v>
      </c>
      <c r="AF4091">
        <v>-0.443974735865312</v>
      </c>
      <c r="AG4091">
        <v>-7.1701000000000001E-2</v>
      </c>
      <c r="AH4091">
        <v>0.58625587727016404</v>
      </c>
      <c r="AI4091">
        <v>95.568717113371605</v>
      </c>
      <c r="AJ4091">
        <v>127.13684317473</v>
      </c>
      <c r="AK4091">
        <v>0.73888466834918398</v>
      </c>
      <c r="AL4091">
        <v>80.500447210462497</v>
      </c>
      <c r="AM4091">
        <v>108.253997920366</v>
      </c>
      <c r="AN4091">
        <v>0.99999995391686802</v>
      </c>
    </row>
    <row r="4092" spans="1:40" x14ac:dyDescent="0.25">
      <c r="A4092" t="str">
        <f>"20190312172746267"</f>
        <v>20190312172746267</v>
      </c>
      <c r="B4092" t="str">
        <f>"1552382866263191"</f>
        <v>1552382866263191</v>
      </c>
      <c r="C4092" t="s">
        <v>40</v>
      </c>
      <c r="D4092">
        <v>3.1442730000000001</v>
      </c>
      <c r="E4092">
        <v>0.421537</v>
      </c>
      <c r="F4092" t="s">
        <v>44</v>
      </c>
      <c r="G4092">
        <v>-407.12540000000001</v>
      </c>
      <c r="H4092">
        <v>1.0445549999999999</v>
      </c>
      <c r="I4092">
        <v>138.25450000000001</v>
      </c>
      <c r="J4092">
        <v>-406.77249999999998</v>
      </c>
      <c r="K4092">
        <v>1.1145929999999999</v>
      </c>
      <c r="L4092">
        <v>138.87440000000001</v>
      </c>
      <c r="M4092">
        <v>-0.9223306</v>
      </c>
      <c r="N4092">
        <v>0</v>
      </c>
      <c r="O4092">
        <v>-0.38614769999999998</v>
      </c>
      <c r="P4092">
        <v>-0.74782590000000004</v>
      </c>
      <c r="Q4092">
        <v>0.15489900000000001</v>
      </c>
      <c r="R4092">
        <v>-0.64557200000000003</v>
      </c>
      <c r="S4092">
        <v>-1.9114990000000001</v>
      </c>
      <c r="T4092">
        <v>-0.2474604</v>
      </c>
      <c r="U4092">
        <v>-2.500092</v>
      </c>
      <c r="V4092">
        <v>-0.30845</v>
      </c>
      <c r="W4092">
        <v>0.164794</v>
      </c>
      <c r="X4092">
        <v>0.9368573</v>
      </c>
      <c r="Y4092">
        <v>-0.49785849999999998</v>
      </c>
      <c r="Z4092">
        <v>1.100948E-2</v>
      </c>
      <c r="AA4092">
        <v>0.86718839999999997</v>
      </c>
      <c r="AB4092">
        <v>20</v>
      </c>
      <c r="AC4092">
        <v>-0.35290000000003302</v>
      </c>
      <c r="AD4092">
        <v>-7.0038000000000003E-2</v>
      </c>
      <c r="AE4092">
        <v>-0.61990000000000101</v>
      </c>
      <c r="AF4092">
        <v>-0.43136528807357399</v>
      </c>
      <c r="AG4092">
        <v>-7.0038000000000003E-2</v>
      </c>
      <c r="AH4092">
        <v>0.55952465133821205</v>
      </c>
      <c r="AI4092">
        <v>95.661439328616794</v>
      </c>
      <c r="AJ4092">
        <v>127.630410926202</v>
      </c>
      <c r="AK4092">
        <v>0.70996420237498203</v>
      </c>
      <c r="AL4092">
        <v>80.514732590861698</v>
      </c>
      <c r="AM4092">
        <v>108.22356308941799</v>
      </c>
      <c r="AN4092">
        <v>1.0000000327496401</v>
      </c>
    </row>
    <row r="4093" spans="1:40" x14ac:dyDescent="0.25">
      <c r="A4093" t="str">
        <f>"20190312172746292"</f>
        <v>20190312172746292</v>
      </c>
      <c r="B4093" t="str">
        <f>"1552382866283687"</f>
        <v>1552382866283687</v>
      </c>
      <c r="C4093" t="s">
        <v>40</v>
      </c>
      <c r="D4093">
        <v>3.1581440000000001</v>
      </c>
      <c r="E4093">
        <v>0.42159140000000001</v>
      </c>
      <c r="F4093" t="s">
        <v>44</v>
      </c>
      <c r="G4093">
        <v>-407.28919999999999</v>
      </c>
      <c r="H4093">
        <v>1.0465260000000001</v>
      </c>
      <c r="I4093">
        <v>138.1884</v>
      </c>
      <c r="J4093">
        <v>-406.97120000000001</v>
      </c>
      <c r="K4093">
        <v>1.114673</v>
      </c>
      <c r="L4093">
        <v>138.77979999999999</v>
      </c>
      <c r="M4093">
        <v>-0.91885450000000002</v>
      </c>
      <c r="N4093">
        <v>0</v>
      </c>
      <c r="O4093">
        <v>-0.39434710000000001</v>
      </c>
      <c r="P4093">
        <v>-0.74251449999999997</v>
      </c>
      <c r="Q4093">
        <v>0.15506679999999901</v>
      </c>
      <c r="R4093">
        <v>-0.65163389999999999</v>
      </c>
      <c r="S4093">
        <v>-1.8930359999999999</v>
      </c>
      <c r="T4093">
        <v>-0.24936179999999999</v>
      </c>
      <c r="U4093">
        <v>-2.5139770000000001</v>
      </c>
      <c r="V4093">
        <v>-0.30777189999999999</v>
      </c>
      <c r="W4093">
        <v>0.16492799999999999</v>
      </c>
      <c r="X4093">
        <v>0.93705669999999996</v>
      </c>
      <c r="Y4093">
        <v>-0.49651889999999999</v>
      </c>
      <c r="Z4093">
        <v>1.1876019999999999E-2</v>
      </c>
      <c r="AA4093">
        <v>0.86794470000000001</v>
      </c>
      <c r="AB4093">
        <v>20</v>
      </c>
      <c r="AC4093">
        <v>-0.31799999999998302</v>
      </c>
      <c r="AD4093">
        <v>-6.8146999999999902E-2</v>
      </c>
      <c r="AE4093">
        <v>-0.59139999999999204</v>
      </c>
      <c r="AF4093">
        <v>-0.41378732336926299</v>
      </c>
      <c r="AG4093">
        <v>-6.8146999999999902E-2</v>
      </c>
      <c r="AH4093">
        <v>0.52010723631549904</v>
      </c>
      <c r="AI4093">
        <v>95.854302279674201</v>
      </c>
      <c r="AJ4093">
        <v>128.50508339995</v>
      </c>
      <c r="AK4093">
        <v>0.66811338847372803</v>
      </c>
      <c r="AL4093">
        <v>80.506948354312698</v>
      </c>
      <c r="AM4093">
        <v>108.182524695589</v>
      </c>
      <c r="AN4093">
        <v>1.0000000233142401</v>
      </c>
    </row>
    <row r="4094" spans="1:40" x14ac:dyDescent="0.25">
      <c r="A4094" t="str">
        <f>"20190312172746314"</f>
        <v>20190312172746314</v>
      </c>
      <c r="B4094" t="str">
        <f>"1552382866303206"</f>
        <v>1552382866303206</v>
      </c>
      <c r="C4094" t="s">
        <v>40</v>
      </c>
      <c r="D4094">
        <v>3.1695169999999999</v>
      </c>
      <c r="E4094">
        <v>0.42166120000000001</v>
      </c>
      <c r="F4094" t="s">
        <v>44</v>
      </c>
      <c r="G4094">
        <v>-407.56279999999998</v>
      </c>
      <c r="H4094">
        <v>1.0358430000000001</v>
      </c>
      <c r="I4094">
        <v>137.98079999999999</v>
      </c>
      <c r="J4094">
        <v>-407.15159999999997</v>
      </c>
      <c r="K4094">
        <v>1.1147450000000001</v>
      </c>
      <c r="L4094">
        <v>138.6917</v>
      </c>
      <c r="M4094">
        <v>-0.91555520000000001</v>
      </c>
      <c r="N4094">
        <v>0</v>
      </c>
      <c r="O4094">
        <v>-0.4019471</v>
      </c>
      <c r="P4094">
        <v>-0.73702999999999996</v>
      </c>
      <c r="Q4094">
        <v>0.155278</v>
      </c>
      <c r="R4094">
        <v>-0.65778059999999905</v>
      </c>
      <c r="S4094">
        <v>-1.8724369999999999</v>
      </c>
      <c r="T4094">
        <v>-0.24950269999999999</v>
      </c>
      <c r="U4094">
        <v>-2.5295869999999998</v>
      </c>
      <c r="V4094">
        <v>-0.30784260000000002</v>
      </c>
      <c r="W4094">
        <v>0.16509869999999999</v>
      </c>
      <c r="X4094">
        <v>0.93700340000000004</v>
      </c>
      <c r="Y4094">
        <v>-0.49647380000000002</v>
      </c>
      <c r="Z4094">
        <v>1.2554829999999999E-2</v>
      </c>
      <c r="AA4094">
        <v>0.86796090000000004</v>
      </c>
      <c r="AB4094">
        <v>20</v>
      </c>
      <c r="AC4094">
        <v>-0.411200000000007</v>
      </c>
      <c r="AD4094">
        <v>-7.8902E-2</v>
      </c>
      <c r="AE4094">
        <v>-0.71090000000000897</v>
      </c>
      <c r="AF4094">
        <v>-0.48119385463276798</v>
      </c>
      <c r="AG4094">
        <v>-7.8902E-2</v>
      </c>
      <c r="AH4094">
        <v>0.65622859320965499</v>
      </c>
      <c r="AI4094">
        <v>95.5381660638038</v>
      </c>
      <c r="AJ4094">
        <v>126.251541199817</v>
      </c>
      <c r="AK4094">
        <v>0.81756285256013495</v>
      </c>
      <c r="AL4094">
        <v>80.497031891525097</v>
      </c>
      <c r="AM4094">
        <v>108.187392990253</v>
      </c>
      <c r="AN4094">
        <v>1.000000009364</v>
      </c>
    </row>
    <row r="4095" spans="1:40" x14ac:dyDescent="0.25">
      <c r="A4095" t="str">
        <f>"20190312172746334"</f>
        <v>20190312172746334</v>
      </c>
      <c r="B4095" t="str">
        <f>"1552382866323703"</f>
        <v>1552382866323703</v>
      </c>
      <c r="C4095" t="s">
        <v>40</v>
      </c>
      <c r="D4095">
        <v>3.1715949999999999</v>
      </c>
      <c r="E4095">
        <v>0.42174699999999998</v>
      </c>
      <c r="F4095" t="s">
        <v>44</v>
      </c>
      <c r="G4095">
        <v>-407.72160000000002</v>
      </c>
      <c r="H4095">
        <v>1.0378849999999999</v>
      </c>
      <c r="I4095">
        <v>137.9084</v>
      </c>
      <c r="J4095">
        <v>-407.31009999999998</v>
      </c>
      <c r="K4095">
        <v>1.1148070000000001</v>
      </c>
      <c r="L4095">
        <v>138.61279999999999</v>
      </c>
      <c r="M4095">
        <v>-0.91255019999999998</v>
      </c>
      <c r="N4095">
        <v>0</v>
      </c>
      <c r="O4095">
        <v>-0.40872330000000001</v>
      </c>
      <c r="P4095">
        <v>-0.73197040000000002</v>
      </c>
      <c r="Q4095">
        <v>0.1551747</v>
      </c>
      <c r="R4095">
        <v>-0.66343079999999999</v>
      </c>
      <c r="S4095">
        <v>-1.851593</v>
      </c>
      <c r="T4095">
        <v>-0.24970790000000001</v>
      </c>
      <c r="U4095">
        <v>-2.545105</v>
      </c>
      <c r="V4095">
        <v>-0.30811630000000001</v>
      </c>
      <c r="W4095">
        <v>0.16496379999999999</v>
      </c>
      <c r="X4095">
        <v>0.93693720000000003</v>
      </c>
      <c r="Y4095">
        <v>-0.49721929999999998</v>
      </c>
      <c r="Z4095">
        <v>1.313101E-2</v>
      </c>
      <c r="AA4095">
        <v>0.86752549999999995</v>
      </c>
      <c r="AB4095">
        <v>20</v>
      </c>
      <c r="AC4095">
        <v>-0.411500000000046</v>
      </c>
      <c r="AD4095">
        <v>-7.6921999999999893E-2</v>
      </c>
      <c r="AE4095">
        <v>-0.70439999999999203</v>
      </c>
      <c r="AF4095">
        <v>-0.47047463239280501</v>
      </c>
      <c r="AG4095">
        <v>-7.6921999999999893E-2</v>
      </c>
      <c r="AH4095">
        <v>0.65763760073379096</v>
      </c>
      <c r="AI4095">
        <v>95.434187465655</v>
      </c>
      <c r="AJ4095">
        <v>125.579970437143</v>
      </c>
      <c r="AK4095">
        <v>0.81225032330436298</v>
      </c>
      <c r="AL4095">
        <v>80.504868582327305</v>
      </c>
      <c r="AM4095">
        <v>108.203698672882</v>
      </c>
      <c r="AN4095">
        <v>1.00000001318998</v>
      </c>
    </row>
    <row r="4096" spans="1:40" x14ac:dyDescent="0.25">
      <c r="A4096" t="str">
        <f>"20190312172746355"</f>
        <v>20190312172746355</v>
      </c>
      <c r="B4096" t="str">
        <f>"1552382866343224"</f>
        <v>1552382866343224</v>
      </c>
      <c r="C4096" t="s">
        <v>40</v>
      </c>
      <c r="D4096">
        <v>3.137232</v>
      </c>
      <c r="E4096">
        <v>0.42189850000000001</v>
      </c>
      <c r="F4096" t="s">
        <v>44</v>
      </c>
      <c r="G4096">
        <v>-407.8732</v>
      </c>
      <c r="H4096">
        <v>1.037749</v>
      </c>
      <c r="I4096">
        <v>137.8263</v>
      </c>
      <c r="J4096">
        <v>-407.47390000000001</v>
      </c>
      <c r="K4096">
        <v>1.1148559999999901</v>
      </c>
      <c r="L4096">
        <v>138.52940000000001</v>
      </c>
      <c r="M4096">
        <v>-0.90933419999999998</v>
      </c>
      <c r="N4096">
        <v>0</v>
      </c>
      <c r="O4096">
        <v>-0.41582859999999999</v>
      </c>
      <c r="P4096">
        <v>-0.72617310000000002</v>
      </c>
      <c r="Q4096">
        <v>0.15548480000000001</v>
      </c>
      <c r="R4096">
        <v>-0.66969969999999901</v>
      </c>
      <c r="S4096">
        <v>-1.8318179999999999</v>
      </c>
      <c r="T4096">
        <v>-0.25069459999999999</v>
      </c>
      <c r="U4096">
        <v>-2.5595400000000001</v>
      </c>
      <c r="V4096">
        <v>-0.30891550000000001</v>
      </c>
      <c r="W4096">
        <v>0.16523750000000001</v>
      </c>
      <c r="X4096">
        <v>0.93662579999999995</v>
      </c>
      <c r="Y4096">
        <v>-0.49721609999999999</v>
      </c>
      <c r="Z4096">
        <v>1.38152E-2</v>
      </c>
      <c r="AA4096">
        <v>0.86751679999999998</v>
      </c>
      <c r="AB4096">
        <v>20</v>
      </c>
      <c r="AC4096">
        <v>-0.399299999999982</v>
      </c>
      <c r="AD4096">
        <v>-7.7106999999999801E-2</v>
      </c>
      <c r="AE4096">
        <v>-0.70310000000000605</v>
      </c>
      <c r="AF4096">
        <v>-0.46909347416682701</v>
      </c>
      <c r="AG4096">
        <v>-7.7106999999999801E-2</v>
      </c>
      <c r="AH4096">
        <v>0.64962349995801505</v>
      </c>
      <c r="AI4096">
        <v>95.496594052026495</v>
      </c>
      <c r="AJ4096">
        <v>125.833070421009</v>
      </c>
      <c r="AK4096">
        <v>0.80498749596040597</v>
      </c>
      <c r="AL4096">
        <v>80.488968912631293</v>
      </c>
      <c r="AM4096">
        <v>108.25345543125999</v>
      </c>
      <c r="AN4096">
        <v>1.00000005338606</v>
      </c>
    </row>
    <row r="4097" spans="1:40" x14ac:dyDescent="0.25">
      <c r="A4097" t="str">
        <f>"20190312172746377"</f>
        <v>20190312172746377</v>
      </c>
      <c r="B4097" t="str">
        <f>"1552382866373479"</f>
        <v>1552382866373479</v>
      </c>
      <c r="C4097" t="s">
        <v>40</v>
      </c>
      <c r="D4097">
        <v>3.2058589999999998</v>
      </c>
      <c r="E4097">
        <v>0.42525269999999998</v>
      </c>
      <c r="F4097" t="s">
        <v>44</v>
      </c>
      <c r="G4097">
        <v>-408.02550000000002</v>
      </c>
      <c r="H4097">
        <v>1.038581</v>
      </c>
      <c r="I4097">
        <v>137.74529999999999</v>
      </c>
      <c r="J4097">
        <v>-407.64319999999998</v>
      </c>
      <c r="K4097">
        <v>1.1149009999999999</v>
      </c>
      <c r="L4097">
        <v>138.44139999999999</v>
      </c>
      <c r="M4097">
        <v>-0.90589299999999995</v>
      </c>
      <c r="N4097">
        <v>0</v>
      </c>
      <c r="O4097">
        <v>-0.4232726</v>
      </c>
      <c r="P4097">
        <v>-0.72040079999999995</v>
      </c>
      <c r="Q4097">
        <v>0.1552356</v>
      </c>
      <c r="R4097">
        <v>-0.6759619</v>
      </c>
      <c r="S4097">
        <v>-1.81073</v>
      </c>
      <c r="T4097">
        <v>-0.25041069999999999</v>
      </c>
      <c r="U4097">
        <v>-2.5743100000000001</v>
      </c>
      <c r="V4097">
        <v>-0.30933480000000002</v>
      </c>
      <c r="W4097">
        <v>0.16496369999999999</v>
      </c>
      <c r="X4097">
        <v>0.93653560000000002</v>
      </c>
      <c r="Y4097">
        <v>-0.49721559999999998</v>
      </c>
      <c r="Z4097">
        <v>1.446416E-2</v>
      </c>
      <c r="AA4097">
        <v>0.86750640000000001</v>
      </c>
      <c r="AB4097">
        <v>20</v>
      </c>
      <c r="AC4097">
        <v>-0.38230000000004299</v>
      </c>
      <c r="AD4097">
        <v>-7.6319999999999902E-2</v>
      </c>
      <c r="AE4097">
        <v>-0.69610000000000105</v>
      </c>
      <c r="AF4097">
        <v>-0.46453140228304701</v>
      </c>
      <c r="AG4097">
        <v>-7.6319999999999902E-2</v>
      </c>
      <c r="AH4097">
        <v>0.63516061405680702</v>
      </c>
      <c r="AI4097">
        <v>95.539656434756594</v>
      </c>
      <c r="AJ4097">
        <v>126.180264182464</v>
      </c>
      <c r="AK4097">
        <v>0.79059671878656002</v>
      </c>
      <c r="AL4097">
        <v>80.504874125545697</v>
      </c>
      <c r="AM4097">
        <v>108.27822882048601</v>
      </c>
      <c r="AN4097">
        <v>0.99999998543804403</v>
      </c>
    </row>
    <row r="4098" spans="1:40" x14ac:dyDescent="0.25">
      <c r="A4098" t="str">
        <f>"20190312172746399"</f>
        <v>20190312172746399</v>
      </c>
      <c r="B4098" t="str">
        <f>"1552382866392999"</f>
        <v>1552382866392999</v>
      </c>
      <c r="C4098" t="s">
        <v>40</v>
      </c>
      <c r="D4098">
        <v>3.233644</v>
      </c>
      <c r="E4098">
        <v>0.42532599999999998</v>
      </c>
      <c r="F4098" t="s">
        <v>44</v>
      </c>
      <c r="G4098">
        <v>-408.18400000000003</v>
      </c>
      <c r="H4098">
        <v>1.0373600000000001</v>
      </c>
      <c r="I4098">
        <v>137.67250000000001</v>
      </c>
      <c r="J4098">
        <v>-407.8177</v>
      </c>
      <c r="K4098">
        <v>1.1149290000000001</v>
      </c>
      <c r="L4098">
        <v>138.34880000000001</v>
      </c>
      <c r="M4098">
        <v>-0.90222329999999995</v>
      </c>
      <c r="N4098">
        <v>0</v>
      </c>
      <c r="O4098">
        <v>-0.43103849999999999</v>
      </c>
      <c r="P4098">
        <v>-0.7140647</v>
      </c>
      <c r="Q4098">
        <v>0.15494450000000001</v>
      </c>
      <c r="R4098">
        <v>-0.6827183</v>
      </c>
      <c r="S4098">
        <v>-1.8074950000000001</v>
      </c>
      <c r="T4098">
        <v>-0.25920749999999998</v>
      </c>
      <c r="U4098">
        <v>-2.571304</v>
      </c>
      <c r="V4098">
        <v>-0.31009680000000001</v>
      </c>
      <c r="W4098">
        <v>0.16464670000000001</v>
      </c>
      <c r="X4098">
        <v>0.93633940000000004</v>
      </c>
      <c r="Y4098">
        <v>-0.49002079999999998</v>
      </c>
      <c r="Z4098">
        <v>1.6038920000000002E-2</v>
      </c>
      <c r="AA4098">
        <v>0.87156329999999904</v>
      </c>
      <c r="AB4098">
        <v>20</v>
      </c>
      <c r="AC4098">
        <v>-0.366300000000023</v>
      </c>
      <c r="AD4098">
        <v>-7.7568999999999999E-2</v>
      </c>
      <c r="AE4098">
        <v>-0.67629999999999701</v>
      </c>
      <c r="AF4098">
        <v>-0.447774725062691</v>
      </c>
      <c r="AG4098">
        <v>-7.7568999999999999E-2</v>
      </c>
      <c r="AH4098">
        <v>0.615794137080237</v>
      </c>
      <c r="AI4098">
        <v>95.817167852363895</v>
      </c>
      <c r="AJ4098">
        <v>126.02277508176201</v>
      </c>
      <c r="AK4098">
        <v>0.76532448897729799</v>
      </c>
      <c r="AL4098">
        <v>80.523288984167394</v>
      </c>
      <c r="AM4098">
        <v>108.323833414937</v>
      </c>
      <c r="AN4098">
        <v>1.00000001659174</v>
      </c>
    </row>
    <row r="4099" spans="1:40" x14ac:dyDescent="0.25">
      <c r="A4099" t="str">
        <f>"20190312172746422"</f>
        <v>20190312172746422</v>
      </c>
      <c r="B4099" t="str">
        <f>"1552382866413495"</f>
        <v>1552382866413495</v>
      </c>
      <c r="C4099" t="s">
        <v>40</v>
      </c>
      <c r="D4099">
        <v>3.2517269999999998</v>
      </c>
      <c r="E4099">
        <v>0.42796070000000003</v>
      </c>
      <c r="F4099" t="s">
        <v>44</v>
      </c>
      <c r="G4099">
        <v>-408.3383</v>
      </c>
      <c r="H4099">
        <v>1.0387959999999901</v>
      </c>
      <c r="I4099">
        <v>137.5941</v>
      </c>
      <c r="J4099">
        <v>-407.99</v>
      </c>
      <c r="K4099">
        <v>1.1149560000000001</v>
      </c>
      <c r="L4099">
        <v>138.25530000000001</v>
      </c>
      <c r="M4099">
        <v>-0.89847269999999901</v>
      </c>
      <c r="N4099">
        <v>0</v>
      </c>
      <c r="O4099">
        <v>-0.438803</v>
      </c>
      <c r="P4099">
        <v>-0.7074935</v>
      </c>
      <c r="Q4099">
        <v>0.15558150000000001</v>
      </c>
      <c r="R4099">
        <v>-0.6893821</v>
      </c>
      <c r="S4099">
        <v>-1.7843020000000001</v>
      </c>
      <c r="T4099">
        <v>-0.26093529999999998</v>
      </c>
      <c r="U4099">
        <v>-2.5871729999999999</v>
      </c>
      <c r="V4099">
        <v>-0.3108804</v>
      </c>
      <c r="W4099">
        <v>0.16525999999999999</v>
      </c>
      <c r="X4099">
        <v>0.93597140000000001</v>
      </c>
      <c r="Y4099">
        <v>-0.49031279999999999</v>
      </c>
      <c r="Z4099">
        <v>1.6857830000000001E-2</v>
      </c>
      <c r="AA4099">
        <v>0.87138349999999898</v>
      </c>
      <c r="AB4099">
        <v>20</v>
      </c>
      <c r="AC4099">
        <v>-0.348299999999994</v>
      </c>
      <c r="AD4099">
        <v>-7.61600000000002E-2</v>
      </c>
      <c r="AE4099">
        <v>-0.661200000000007</v>
      </c>
      <c r="AF4099">
        <v>-0.43674307217186598</v>
      </c>
      <c r="AG4099">
        <v>-7.61600000000002E-2</v>
      </c>
      <c r="AH4099">
        <v>0.59693498611677998</v>
      </c>
      <c r="AI4099">
        <v>95.878925067410194</v>
      </c>
      <c r="AJ4099">
        <v>126.19079263969699</v>
      </c>
      <c r="AK4099">
        <v>0.74355647690028204</v>
      </c>
      <c r="AL4099">
        <v>80.487661045783696</v>
      </c>
      <c r="AM4099">
        <v>108.37376931067701</v>
      </c>
      <c r="AN4099">
        <v>0.99999997616105896</v>
      </c>
    </row>
    <row r="4100" spans="1:40" x14ac:dyDescent="0.25">
      <c r="A4100" t="str">
        <f>"20190312172746445"</f>
        <v>20190312172746445</v>
      </c>
      <c r="B4100" t="str">
        <f>"1552382866443750"</f>
        <v>1552382866443750</v>
      </c>
      <c r="C4100" t="s">
        <v>40</v>
      </c>
      <c r="D4100">
        <v>3.3215379999999999</v>
      </c>
      <c r="E4100">
        <v>0.42865180000000003</v>
      </c>
      <c r="F4100" t="s">
        <v>44</v>
      </c>
      <c r="G4100">
        <v>-408.49509999999998</v>
      </c>
      <c r="H4100">
        <v>1.0383549999999999</v>
      </c>
      <c r="I4100">
        <v>137.5188</v>
      </c>
      <c r="J4100">
        <v>-408.16590000000002</v>
      </c>
      <c r="K4100">
        <v>1.1149849999999999</v>
      </c>
      <c r="L4100">
        <v>138.15780000000001</v>
      </c>
      <c r="M4100">
        <v>-0.8945208</v>
      </c>
      <c r="N4100">
        <v>0</v>
      </c>
      <c r="O4100">
        <v>-0.44680320000000001</v>
      </c>
      <c r="P4100">
        <v>-0.70103159999999998</v>
      </c>
      <c r="Q4100">
        <v>0.15565489999999901</v>
      </c>
      <c r="R4100">
        <v>-0.69593549999999904</v>
      </c>
      <c r="S4100">
        <v>-1.775909</v>
      </c>
      <c r="T4100">
        <v>-0.26933800000000002</v>
      </c>
      <c r="U4100">
        <v>-2.589966</v>
      </c>
      <c r="V4100">
        <v>-0.3112567</v>
      </c>
      <c r="W4100">
        <v>0.1653193</v>
      </c>
      <c r="X4100">
        <v>0.93583590000000005</v>
      </c>
      <c r="Y4100">
        <v>-0.48490660000000002</v>
      </c>
      <c r="Z4100">
        <v>1.8438119999999999E-2</v>
      </c>
      <c r="AA4100">
        <v>0.87437160000000003</v>
      </c>
      <c r="AB4100">
        <v>20</v>
      </c>
      <c r="AC4100">
        <v>-0.32919999999995703</v>
      </c>
      <c r="AD4100">
        <v>-7.6630000000000198E-2</v>
      </c>
      <c r="AE4100">
        <v>-0.63900000000001</v>
      </c>
      <c r="AF4100">
        <v>-0.41978273915034298</v>
      </c>
      <c r="AG4100">
        <v>-7.6630000000000198E-2</v>
      </c>
      <c r="AH4100">
        <v>0.57352331753799402</v>
      </c>
      <c r="AI4100">
        <v>96.153728624621905</v>
      </c>
      <c r="AJ4100">
        <v>126.20176452292699</v>
      </c>
      <c r="AK4100">
        <v>0.71485572023195898</v>
      </c>
      <c r="AL4100">
        <v>80.484216421590503</v>
      </c>
      <c r="AM4100">
        <v>108.39699738163699</v>
      </c>
      <c r="AN4100">
        <v>1.0000000179880899</v>
      </c>
    </row>
    <row r="4101" spans="1:40" x14ac:dyDescent="0.25">
      <c r="A4101" t="str">
        <f>"20190312172746469"</f>
        <v>20190312172746469</v>
      </c>
      <c r="B4101" t="str">
        <f>"1552382866463271"</f>
        <v>1552382866463271</v>
      </c>
      <c r="C4101" t="s">
        <v>40</v>
      </c>
      <c r="D4101">
        <v>3.2138089999999999</v>
      </c>
      <c r="E4101">
        <v>0.42929800000000001</v>
      </c>
      <c r="F4101" t="s">
        <v>44</v>
      </c>
      <c r="G4101">
        <v>-408.65030000000002</v>
      </c>
      <c r="H4101">
        <v>1.04074</v>
      </c>
      <c r="I4101">
        <v>137.43969999999999</v>
      </c>
      <c r="J4101">
        <v>-408.3399</v>
      </c>
      <c r="K4101">
        <v>1.1150059999999999</v>
      </c>
      <c r="L4101">
        <v>138.0592</v>
      </c>
      <c r="M4101">
        <v>-0.89048950000000004</v>
      </c>
      <c r="N4101">
        <v>0</v>
      </c>
      <c r="O4101">
        <v>-0.45478439999999998</v>
      </c>
      <c r="P4101">
        <v>-0.6945964</v>
      </c>
      <c r="Q4101">
        <v>0.15644659999999999</v>
      </c>
      <c r="R4101">
        <v>-0.7021828</v>
      </c>
      <c r="S4101">
        <v>-1.755585</v>
      </c>
      <c r="T4101">
        <v>-0.26908270000000001</v>
      </c>
      <c r="U4101">
        <v>-2.6024479999999999</v>
      </c>
      <c r="V4101">
        <v>-0.3113629</v>
      </c>
      <c r="W4101">
        <v>0.16610129999999901</v>
      </c>
      <c r="X4101">
        <v>0.93566210000000005</v>
      </c>
      <c r="Y4101">
        <v>-0.48374669999999997</v>
      </c>
      <c r="Z4101">
        <v>1.9252620000000002E-2</v>
      </c>
      <c r="AA4101">
        <v>0.87499629999999995</v>
      </c>
      <c r="AB4101">
        <v>20</v>
      </c>
      <c r="AC4101">
        <v>-0.310400000000015</v>
      </c>
      <c r="AD4101">
        <v>-7.4265999999999902E-2</v>
      </c>
      <c r="AE4101">
        <v>-0.61950000000001604</v>
      </c>
      <c r="AF4101">
        <v>-0.40587172016866202</v>
      </c>
      <c r="AG4101">
        <v>-7.4265999999999902E-2</v>
      </c>
      <c r="AH4101">
        <v>0.55186310236925196</v>
      </c>
      <c r="AI4101">
        <v>96.187306826350493</v>
      </c>
      <c r="AJ4101">
        <v>126.332892272745</v>
      </c>
      <c r="AK4101">
        <v>0.68905745460395695</v>
      </c>
      <c r="AL4101">
        <v>80.438783109542499</v>
      </c>
      <c r="AM4101">
        <v>108.40603956162499</v>
      </c>
      <c r="AN4101">
        <v>1.0000000313672499</v>
      </c>
    </row>
    <row r="4102" spans="1:40" x14ac:dyDescent="0.25">
      <c r="A4102" t="str">
        <f>"20190312172746495"</f>
        <v>20190312172746495</v>
      </c>
      <c r="B4102" t="str">
        <f>"1552382866483767"</f>
        <v>1552382866483767</v>
      </c>
      <c r="C4102" t="s">
        <v>40</v>
      </c>
      <c r="D4102">
        <v>3.2111339999999999</v>
      </c>
      <c r="E4102">
        <v>0.42991489999999999</v>
      </c>
      <c r="F4102" t="s">
        <v>44</v>
      </c>
      <c r="G4102">
        <v>-408.90109999999999</v>
      </c>
      <c r="H4102">
        <v>1.02887</v>
      </c>
      <c r="I4102">
        <v>137.21360000000001</v>
      </c>
      <c r="J4102">
        <v>-408.54360000000003</v>
      </c>
      <c r="K4102">
        <v>1.11502099999999</v>
      </c>
      <c r="L4102">
        <v>137.94069999999999</v>
      </c>
      <c r="M4102">
        <v>-0.8856079</v>
      </c>
      <c r="N4102">
        <v>0</v>
      </c>
      <c r="O4102">
        <v>-0.46421869999999998</v>
      </c>
      <c r="P4102">
        <v>-0.68749709999999997</v>
      </c>
      <c r="Q4102">
        <v>0.1559412</v>
      </c>
      <c r="R4102">
        <v>-0.7092463</v>
      </c>
      <c r="S4102">
        <v>-1.7356259999999999</v>
      </c>
      <c r="T4102">
        <v>-0.26639380000000001</v>
      </c>
      <c r="U4102">
        <v>-2.6148380000000002</v>
      </c>
      <c r="V4102">
        <v>-0.31093389999999999</v>
      </c>
      <c r="W4102">
        <v>0.16560139999999901</v>
      </c>
      <c r="X4102">
        <v>0.93589330000000004</v>
      </c>
      <c r="Y4102">
        <v>-0.48102889999999998</v>
      </c>
      <c r="Z4102">
        <v>2.0095370000000001E-2</v>
      </c>
      <c r="AA4102">
        <v>0.87647439999999999</v>
      </c>
      <c r="AB4102">
        <v>20</v>
      </c>
      <c r="AC4102">
        <v>-0.35749999999995902</v>
      </c>
      <c r="AD4102">
        <v>-8.6150999999999603E-2</v>
      </c>
      <c r="AE4102">
        <v>-0.72709999999997799</v>
      </c>
      <c r="AF4102">
        <v>-0.47267114455419601</v>
      </c>
      <c r="AG4102">
        <v>-8.6150999999999603E-2</v>
      </c>
      <c r="AH4102">
        <v>0.646889983670771</v>
      </c>
      <c r="AI4102">
        <v>96.137463116272301</v>
      </c>
      <c r="AJ4102">
        <v>126.15494325933599</v>
      </c>
      <c r="AK4102">
        <v>0.80579566682177195</v>
      </c>
      <c r="AL4102">
        <v>80.4678271275518</v>
      </c>
      <c r="AM4102">
        <v>108.378149364805</v>
      </c>
      <c r="AN4102">
        <v>0.99999999141802998</v>
      </c>
    </row>
    <row r="4103" spans="1:40" x14ac:dyDescent="0.25">
      <c r="A4103" t="str">
        <f>"20190312172746534"</f>
        <v>20190312172746534</v>
      </c>
      <c r="B4103" t="str">
        <f>"1552382866522806"</f>
        <v>1552382866522806</v>
      </c>
      <c r="C4103" t="s">
        <v>40</v>
      </c>
      <c r="D4103">
        <v>3.248478</v>
      </c>
      <c r="E4103">
        <v>0.45669579999999999</v>
      </c>
      <c r="F4103" t="s">
        <v>44</v>
      </c>
      <c r="G4103">
        <v>-409.06270000000001</v>
      </c>
      <c r="H4103">
        <v>1.033849</v>
      </c>
      <c r="I4103">
        <v>137.14410000000001</v>
      </c>
      <c r="J4103">
        <v>-408.82819999999998</v>
      </c>
      <c r="K4103">
        <v>1.1150169999999999</v>
      </c>
      <c r="L4103">
        <v>137.7704</v>
      </c>
      <c r="M4103">
        <v>-0.87852050000000004</v>
      </c>
      <c r="N4103">
        <v>0</v>
      </c>
      <c r="O4103">
        <v>-0.47749550000000002</v>
      </c>
      <c r="P4103">
        <v>-0.67734899999999998</v>
      </c>
      <c r="Q4103">
        <v>0.15557179999999901</v>
      </c>
      <c r="R4103">
        <v>-0.71902469999999996</v>
      </c>
      <c r="S4103">
        <v>-1.7126159999999999</v>
      </c>
      <c r="T4103">
        <v>-0.26780779999999998</v>
      </c>
      <c r="U4103">
        <v>-2.6286160000000001</v>
      </c>
      <c r="V4103">
        <v>-0.31021179999999998</v>
      </c>
      <c r="W4103">
        <v>0.1652525</v>
      </c>
      <c r="X4103">
        <v>0.93619459999999999</v>
      </c>
      <c r="Y4103">
        <v>-0.47535889999999997</v>
      </c>
      <c r="Z4103">
        <v>2.1751070000000001E-2</v>
      </c>
      <c r="AA4103">
        <v>0.87952299999999894</v>
      </c>
      <c r="AB4103">
        <v>20</v>
      </c>
      <c r="AC4103">
        <v>-0.23450000000002499</v>
      </c>
      <c r="AD4103">
        <v>-8.1167999999999907E-2</v>
      </c>
      <c r="AE4103">
        <v>-0.62629999999998598</v>
      </c>
      <c r="AF4103">
        <v>-0.43192585135503098</v>
      </c>
      <c r="AG4103">
        <v>-8.1167999999999907E-2</v>
      </c>
      <c r="AH4103">
        <v>0.497786145156697</v>
      </c>
      <c r="AI4103">
        <v>97.021106729583806</v>
      </c>
      <c r="AJ4103">
        <v>130.94796700446901</v>
      </c>
      <c r="AK4103">
        <v>0.66403255311974896</v>
      </c>
      <c r="AL4103">
        <v>80.488097361407696</v>
      </c>
      <c r="AM4103">
        <v>108.332820180656</v>
      </c>
      <c r="AN4103">
        <v>1.0000000393423201</v>
      </c>
    </row>
    <row r="4104" spans="1:40" x14ac:dyDescent="0.25">
      <c r="A4104" t="str">
        <f>"20190312172746555"</f>
        <v>20190312172746555</v>
      </c>
      <c r="B4104" t="str">
        <f>"1552382866553062"</f>
        <v>1552382866553062</v>
      </c>
      <c r="C4104" t="s">
        <v>40</v>
      </c>
      <c r="D4104">
        <v>3.2836599999999998</v>
      </c>
      <c r="E4104">
        <v>0.4617695</v>
      </c>
      <c r="F4104" t="s">
        <v>50</v>
      </c>
      <c r="G4104">
        <v>-418.99689999999998</v>
      </c>
      <c r="H4104" s="1">
        <v>-2.843088E-6</v>
      </c>
      <c r="I4104">
        <v>123.87869999999999</v>
      </c>
      <c r="J4104">
        <v>-408.9907</v>
      </c>
      <c r="K4104">
        <v>1.1150089999999999</v>
      </c>
      <c r="L4104">
        <v>137.6703</v>
      </c>
      <c r="M4104">
        <v>-0.87432569999999998</v>
      </c>
      <c r="N4104">
        <v>0</v>
      </c>
      <c r="O4104">
        <v>-0.4851335</v>
      </c>
      <c r="P4104">
        <v>-0.67159269999999904</v>
      </c>
      <c r="Q4104">
        <v>0.1553195</v>
      </c>
      <c r="R4104">
        <v>-0.72445809999999999</v>
      </c>
      <c r="S4104">
        <v>-1.826416</v>
      </c>
      <c r="T4104">
        <v>-0.20027030000000001</v>
      </c>
      <c r="U4104">
        <v>-2.4951020000000002</v>
      </c>
      <c r="V4104">
        <v>-0.30955919999999998</v>
      </c>
      <c r="W4104">
        <v>0.16502059999999999</v>
      </c>
      <c r="X4104">
        <v>0.93645140000000004</v>
      </c>
      <c r="Y4104">
        <v>-0.41905350000000002</v>
      </c>
      <c r="Z4104">
        <v>1.896105E-2</v>
      </c>
      <c r="AA4104">
        <v>0.90776349999999995</v>
      </c>
      <c r="AB4104">
        <v>20</v>
      </c>
      <c r="AC4104">
        <v>-10.0061999999999</v>
      </c>
      <c r="AD4104">
        <v>-1.1150118430879901</v>
      </c>
      <c r="AE4104">
        <v>-13.791600000000001</v>
      </c>
      <c r="AF4104">
        <v>-7.1740079088116602</v>
      </c>
      <c r="AG4104">
        <v>-1.1150118430879901</v>
      </c>
      <c r="AH4104">
        <v>15.3751506474593</v>
      </c>
      <c r="AI4104">
        <v>93.759985318436307</v>
      </c>
      <c r="AJ4104">
        <v>115.013642365245</v>
      </c>
      <c r="AK4104">
        <v>17.0030849647347</v>
      </c>
      <c r="AL4104">
        <v>80.501568456638793</v>
      </c>
      <c r="AM4104">
        <v>108.292141071852</v>
      </c>
      <c r="AN4104">
        <v>0.99999996064547902</v>
      </c>
    </row>
    <row r="4105" spans="1:40" x14ac:dyDescent="0.25">
      <c r="A4105" t="str">
        <f>"20190312172746578"</f>
        <v>20190312172746578</v>
      </c>
      <c r="B4105" t="str">
        <f>"1552382866573559"</f>
        <v>1552382866573559</v>
      </c>
      <c r="C4105" t="s">
        <v>40</v>
      </c>
      <c r="D4105">
        <v>3.2595200000000002</v>
      </c>
      <c r="E4105">
        <v>0.46337159999999999</v>
      </c>
      <c r="F4105" t="s">
        <v>50</v>
      </c>
      <c r="G4105">
        <v>-419.41140000000001</v>
      </c>
      <c r="H4105" s="1">
        <v>-2.598078E-6</v>
      </c>
      <c r="I4105">
        <v>123.58410000000001</v>
      </c>
      <c r="J4105">
        <v>-409.15069999999997</v>
      </c>
      <c r="K4105">
        <v>1.114997</v>
      </c>
      <c r="L4105">
        <v>137.56989999999999</v>
      </c>
      <c r="M4105">
        <v>-0.87009799999999904</v>
      </c>
      <c r="N4105">
        <v>0</v>
      </c>
      <c r="O4105">
        <v>-0.49267549999999999</v>
      </c>
      <c r="P4105">
        <v>-0.66620080000000004</v>
      </c>
      <c r="Q4105">
        <v>0.15524070000000001</v>
      </c>
      <c r="R4105">
        <v>-0.72943630000000004</v>
      </c>
      <c r="S4105">
        <v>-1.835693</v>
      </c>
      <c r="T4105">
        <v>-0.19641819999999999</v>
      </c>
      <c r="U4105">
        <v>-2.4813999999999998</v>
      </c>
      <c r="V4105">
        <v>-0.30841449999999998</v>
      </c>
      <c r="W4105">
        <v>0.164970799999999</v>
      </c>
      <c r="X4105">
        <v>0.9368379</v>
      </c>
      <c r="Y4105">
        <v>-0.40661029999999998</v>
      </c>
      <c r="Z4105">
        <v>1.9564129999999999E-2</v>
      </c>
      <c r="AA4105">
        <v>0.91339219999999999</v>
      </c>
      <c r="AB4105">
        <v>20</v>
      </c>
      <c r="AC4105">
        <v>-10.2607</v>
      </c>
      <c r="AD4105">
        <v>-1.1149995980779901</v>
      </c>
      <c r="AE4105">
        <v>-13.9857999999999</v>
      </c>
      <c r="AF4105">
        <v>-7.08525818177867</v>
      </c>
      <c r="AG4105">
        <v>-1.1149995980779901</v>
      </c>
      <c r="AH4105">
        <v>15.7547631076754</v>
      </c>
      <c r="AI4105">
        <v>93.693058015165803</v>
      </c>
      <c r="AJ4105">
        <v>114.214481701398</v>
      </c>
      <c r="AK4105">
        <v>17.310594102605101</v>
      </c>
      <c r="AL4105">
        <v>80.504462386884597</v>
      </c>
      <c r="AM4105">
        <v>108.22195670405399</v>
      </c>
      <c r="AN4105">
        <v>1.0000000597696399</v>
      </c>
    </row>
    <row r="4106" spans="1:40" x14ac:dyDescent="0.25">
      <c r="A4106" t="str">
        <f>"20190312172746612"</f>
        <v>20190312172746612</v>
      </c>
      <c r="B4106" t="str">
        <f>"1552382866603463"</f>
        <v>1552382866603463</v>
      </c>
      <c r="C4106" t="s">
        <v>40</v>
      </c>
      <c r="D4106">
        <v>3.2419250000000002</v>
      </c>
      <c r="E4106">
        <v>0.46520539999999999</v>
      </c>
      <c r="F4106" t="s">
        <v>50</v>
      </c>
      <c r="G4106">
        <v>-419.97609999999997</v>
      </c>
      <c r="H4106" s="1">
        <v>-2.0543430000000001E-6</v>
      </c>
      <c r="I4106">
        <v>122.84059999999999</v>
      </c>
      <c r="J4106">
        <v>-409.39389999999997</v>
      </c>
      <c r="K4106">
        <v>1.1149899999999999</v>
      </c>
      <c r="L4106">
        <v>137.4135</v>
      </c>
      <c r="M4106">
        <v>-0.86347359999999895</v>
      </c>
      <c r="N4106">
        <v>0</v>
      </c>
      <c r="O4106">
        <v>-0.50419529999999901</v>
      </c>
      <c r="P4106">
        <v>-0.65744279999999999</v>
      </c>
      <c r="Q4106">
        <v>0.15515019999999999</v>
      </c>
      <c r="R4106">
        <v>-0.73735830000000002</v>
      </c>
      <c r="S4106">
        <v>-1.826263</v>
      </c>
      <c r="T4106">
        <v>-0.1881031</v>
      </c>
      <c r="U4106">
        <v>-2.4848629999999998</v>
      </c>
      <c r="V4106">
        <v>-0.30715890000000001</v>
      </c>
      <c r="W4106">
        <v>0.1649111</v>
      </c>
      <c r="X4106">
        <v>0.93726080000000001</v>
      </c>
      <c r="Y4106">
        <v>-0.39732519999999999</v>
      </c>
      <c r="Z4106">
        <v>1.982078E-2</v>
      </c>
      <c r="AA4106">
        <v>0.91746380000000005</v>
      </c>
      <c r="AB4106">
        <v>20</v>
      </c>
      <c r="AC4106">
        <v>-10.5822</v>
      </c>
      <c r="AD4106">
        <v>-1.1149920543430001</v>
      </c>
      <c r="AE4106">
        <v>-14.572900000000001</v>
      </c>
      <c r="AF4106">
        <v>-7.2208686108290197</v>
      </c>
      <c r="AG4106">
        <v>-1.1149920543430001</v>
      </c>
      <c r="AH4106">
        <v>16.423740003997999</v>
      </c>
      <c r="AI4106">
        <v>93.556223863083304</v>
      </c>
      <c r="AJ4106">
        <v>113.733192298974</v>
      </c>
      <c r="AK4106">
        <v>17.9756331319659</v>
      </c>
      <c r="AL4106">
        <v>80.507930198149396</v>
      </c>
      <c r="AM4106">
        <v>108.144993191819</v>
      </c>
      <c r="AN4106">
        <v>1.0000000339845201</v>
      </c>
    </row>
    <row r="4107" spans="1:40" x14ac:dyDescent="0.25">
      <c r="A4107" t="str">
        <f>"20190312172746633"</f>
        <v>20190312172746633</v>
      </c>
      <c r="B4107" t="str">
        <f>"1552382866622983"</f>
        <v>1552382866622983</v>
      </c>
      <c r="C4107" t="s">
        <v>40</v>
      </c>
      <c r="D4107">
        <v>3.294788</v>
      </c>
      <c r="E4107">
        <v>0.46599360000000001</v>
      </c>
      <c r="F4107" t="s">
        <v>50</v>
      </c>
      <c r="G4107">
        <v>-420.26429999999999</v>
      </c>
      <c r="H4107" s="1">
        <v>-1.850128E-6</v>
      </c>
      <c r="I4107">
        <v>122.39870000000001</v>
      </c>
      <c r="J4107">
        <v>-409.5539</v>
      </c>
      <c r="K4107">
        <v>1.114981</v>
      </c>
      <c r="L4107">
        <v>137.30799999999999</v>
      </c>
      <c r="M4107">
        <v>-0.858977399999999</v>
      </c>
      <c r="N4107">
        <v>0</v>
      </c>
      <c r="O4107">
        <v>-0.5118182</v>
      </c>
      <c r="P4107">
        <v>-0.65155090000000004</v>
      </c>
      <c r="Q4107">
        <v>0.15509829999999999</v>
      </c>
      <c r="R4107">
        <v>-0.74258080000000004</v>
      </c>
      <c r="S4107">
        <v>-1.8071900000000001</v>
      </c>
      <c r="T4107">
        <v>-0.185365</v>
      </c>
      <c r="U4107">
        <v>-2.4961850000000001</v>
      </c>
      <c r="V4107">
        <v>-0.30633159999999998</v>
      </c>
      <c r="W4107">
        <v>0.16487349999999901</v>
      </c>
      <c r="X4107">
        <v>0.93753810000000004</v>
      </c>
      <c r="Y4107">
        <v>-0.3957832</v>
      </c>
      <c r="Z4107">
        <v>2.0105189999999998E-2</v>
      </c>
      <c r="AA4107">
        <v>0.91812389999999999</v>
      </c>
      <c r="AB4107">
        <v>20</v>
      </c>
      <c r="AC4107">
        <v>-10.7103999999999</v>
      </c>
      <c r="AD4107">
        <v>-1.1149828501279999</v>
      </c>
      <c r="AE4107">
        <v>-14.909299999999901</v>
      </c>
      <c r="AF4107">
        <v>-7.2987814702206002</v>
      </c>
      <c r="AG4107">
        <v>-1.1149828501279999</v>
      </c>
      <c r="AH4107">
        <v>16.770658934860599</v>
      </c>
      <c r="AI4107">
        <v>93.4884939678591</v>
      </c>
      <c r="AJ4107">
        <v>113.519223106917</v>
      </c>
      <c r="AK4107">
        <v>18.324038823783798</v>
      </c>
      <c r="AL4107">
        <v>80.510114136051698</v>
      </c>
      <c r="AM4107">
        <v>108.094307996106</v>
      </c>
      <c r="AN4107">
        <v>1.0000000045562101</v>
      </c>
    </row>
    <row r="4108" spans="1:40" x14ac:dyDescent="0.25">
      <c r="A4108" t="str">
        <f>"20190312172746656"</f>
        <v>20190312172746656</v>
      </c>
      <c r="B4108" t="str">
        <f>"1552382866643479"</f>
        <v>1552382866643479</v>
      </c>
      <c r="C4108" t="s">
        <v>40</v>
      </c>
      <c r="D4108">
        <v>3.282921</v>
      </c>
      <c r="E4108">
        <v>0.46663199999999999</v>
      </c>
      <c r="F4108" t="s">
        <v>50</v>
      </c>
      <c r="G4108">
        <v>-420.39049999999997</v>
      </c>
      <c r="H4108" s="1">
        <v>-1.7241229999999999E-6</v>
      </c>
      <c r="I4108">
        <v>122.1476</v>
      </c>
      <c r="J4108">
        <v>-409.71190000000001</v>
      </c>
      <c r="K4108">
        <v>1.114978</v>
      </c>
      <c r="L4108">
        <v>137.20169999999999</v>
      </c>
      <c r="M4108">
        <v>-0.85443279999999999</v>
      </c>
      <c r="N4108">
        <v>0</v>
      </c>
      <c r="O4108">
        <v>-0.51936919999999998</v>
      </c>
      <c r="P4108">
        <v>-0.64524589999999904</v>
      </c>
      <c r="Q4108">
        <v>0.15481689999999901</v>
      </c>
      <c r="R4108">
        <v>-0.74812389999999995</v>
      </c>
      <c r="S4108">
        <v>-1.7916259999999999</v>
      </c>
      <c r="T4108">
        <v>-0.18434</v>
      </c>
      <c r="U4108">
        <v>-2.5064540000000002</v>
      </c>
      <c r="V4108">
        <v>-0.30604379999999998</v>
      </c>
      <c r="W4108">
        <v>0.16459550000000001</v>
      </c>
      <c r="X4108">
        <v>0.93768090000000004</v>
      </c>
      <c r="Y4108">
        <v>-0.3932505</v>
      </c>
      <c r="Z4108">
        <v>2.057968E-2</v>
      </c>
      <c r="AA4108">
        <v>0.91920100000000005</v>
      </c>
      <c r="AB4108">
        <v>20</v>
      </c>
      <c r="AC4108">
        <v>-10.6785999999999</v>
      </c>
      <c r="AD4108">
        <v>-1.1149797241229999</v>
      </c>
      <c r="AE4108">
        <v>-15.054099999999901</v>
      </c>
      <c r="AF4108">
        <v>-7.2907071656970697</v>
      </c>
      <c r="AG4108">
        <v>-1.1149797241229999</v>
      </c>
      <c r="AH4108">
        <v>16.8828670157448</v>
      </c>
      <c r="AI4108">
        <v>93.469610525315701</v>
      </c>
      <c r="AJ4108">
        <v>113.35664671631</v>
      </c>
      <c r="AK4108">
        <v>18.423593282323498</v>
      </c>
      <c r="AL4108">
        <v>80.5262627370697</v>
      </c>
      <c r="AM4108">
        <v>108.07584073966601</v>
      </c>
      <c r="AN4108">
        <v>0.99999997818174902</v>
      </c>
    </row>
    <row r="4109" spans="1:40" x14ac:dyDescent="0.25">
      <c r="A4109" t="str">
        <f>"20190312172746681"</f>
        <v>20190312172746681</v>
      </c>
      <c r="B4109" t="str">
        <f>"1552382866673736"</f>
        <v>1552382866673736</v>
      </c>
      <c r="C4109" t="s">
        <v>40</v>
      </c>
      <c r="D4109">
        <v>3.2551760000000001</v>
      </c>
      <c r="E4109">
        <v>0.46773510000000001</v>
      </c>
      <c r="F4109" t="s">
        <v>50</v>
      </c>
      <c r="G4109">
        <v>-420.42129999999997</v>
      </c>
      <c r="H4109" s="1">
        <v>-1.636954E-6</v>
      </c>
      <c r="I4109">
        <v>121.99760000000001</v>
      </c>
      <c r="J4109">
        <v>-409.88400000000001</v>
      </c>
      <c r="K4109">
        <v>1.1149819999999999</v>
      </c>
      <c r="L4109">
        <v>137.08349999999999</v>
      </c>
      <c r="M4109">
        <v>-0.84935519999999998</v>
      </c>
      <c r="N4109">
        <v>0</v>
      </c>
      <c r="O4109">
        <v>-0.5276324</v>
      </c>
      <c r="P4109">
        <v>-0.63896189999999997</v>
      </c>
      <c r="Q4109">
        <v>0.15478510000000001</v>
      </c>
      <c r="R4109">
        <v>-0.75350490000000003</v>
      </c>
      <c r="S4109">
        <v>-1.7738339999999999</v>
      </c>
      <c r="T4109">
        <v>-0.1846776</v>
      </c>
      <c r="U4109">
        <v>-2.5182950000000002</v>
      </c>
      <c r="V4109">
        <v>-0.30479849999999997</v>
      </c>
      <c r="W4109">
        <v>0.16457430000000001</v>
      </c>
      <c r="X4109">
        <v>0.93809019999999999</v>
      </c>
      <c r="Y4109">
        <v>-0.39071929999999999</v>
      </c>
      <c r="Z4109">
        <v>2.1251430000000002E-2</v>
      </c>
      <c r="AA4109">
        <v>0.92026450000000004</v>
      </c>
      <c r="AB4109">
        <v>20</v>
      </c>
      <c r="AC4109">
        <v>-10.537299999999901</v>
      </c>
      <c r="AD4109">
        <v>-1.1149836369539901</v>
      </c>
      <c r="AE4109">
        <v>-15.085899999999899</v>
      </c>
      <c r="AF4109">
        <v>-7.2276561913841704</v>
      </c>
      <c r="AG4109">
        <v>-1.1149836369539901</v>
      </c>
      <c r="AH4109">
        <v>16.849549099930499</v>
      </c>
      <c r="AI4109">
        <v>93.480105507466803</v>
      </c>
      <c r="AJ4109">
        <v>113.217033697529</v>
      </c>
      <c r="AK4109">
        <v>18.368165597100202</v>
      </c>
      <c r="AL4109">
        <v>80.527494644747406</v>
      </c>
      <c r="AM4109">
        <v>107.999697102518</v>
      </c>
      <c r="AN4109">
        <v>1.0000000245793801</v>
      </c>
    </row>
    <row r="4110" spans="1:40" x14ac:dyDescent="0.25">
      <c r="A4110" t="str">
        <f>"20190312172746724"</f>
        <v>20190312172746724</v>
      </c>
      <c r="B4110" t="str">
        <f>"1552382866713431"</f>
        <v>1552382866713431</v>
      </c>
      <c r="C4110" t="s">
        <v>40</v>
      </c>
      <c r="D4110">
        <v>3.2670789999999998</v>
      </c>
      <c r="E4110">
        <v>0.4689876</v>
      </c>
      <c r="F4110" t="s">
        <v>50</v>
      </c>
      <c r="G4110">
        <v>-420.30790000000002</v>
      </c>
      <c r="H4110" s="1">
        <v>-1.6722109999999999E-6</v>
      </c>
      <c r="I4110">
        <v>122.1006</v>
      </c>
      <c r="J4110">
        <v>-410.18830000000003</v>
      </c>
      <c r="K4110">
        <v>1.114987</v>
      </c>
      <c r="L4110">
        <v>136.86850000000001</v>
      </c>
      <c r="M4110">
        <v>-0.8400396</v>
      </c>
      <c r="N4110">
        <v>0</v>
      </c>
      <c r="O4110">
        <v>-0.54234139999999997</v>
      </c>
      <c r="P4110">
        <v>-0.62835540000000001</v>
      </c>
      <c r="Q4110">
        <v>0.1549586</v>
      </c>
      <c r="R4110">
        <v>-0.76233669999999998</v>
      </c>
      <c r="S4110">
        <v>-1.759064</v>
      </c>
      <c r="T4110">
        <v>-0.1881572</v>
      </c>
      <c r="U4110">
        <v>-2.5284270000000002</v>
      </c>
      <c r="V4110">
        <v>-0.30155409999999999</v>
      </c>
      <c r="W4110">
        <v>0.16477700000000001</v>
      </c>
      <c r="X4110">
        <v>0.93910260000000001</v>
      </c>
      <c r="Y4110">
        <v>-0.3800539</v>
      </c>
      <c r="Z4110">
        <v>2.2972960000000001E-2</v>
      </c>
      <c r="AA4110">
        <v>0.92467900000000003</v>
      </c>
      <c r="AB4110">
        <v>20</v>
      </c>
      <c r="AC4110">
        <v>-10.119599999999901</v>
      </c>
      <c r="AD4110">
        <v>-1.1149886722110001</v>
      </c>
      <c r="AE4110">
        <v>-14.767899999999999</v>
      </c>
      <c r="AF4110">
        <v>-6.8913009444631204</v>
      </c>
      <c r="AG4110">
        <v>-1.1149886722110001</v>
      </c>
      <c r="AH4110">
        <v>16.4479524238041</v>
      </c>
      <c r="AI4110">
        <v>93.577646241081894</v>
      </c>
      <c r="AJ4110">
        <v>112.732525020352</v>
      </c>
      <c r="AK4110">
        <v>17.868082364429601</v>
      </c>
      <c r="AL4110">
        <v>80.515719941041397</v>
      </c>
      <c r="AM4110">
        <v>107.80228097877099</v>
      </c>
      <c r="AN4110">
        <v>1.0000000141412799</v>
      </c>
    </row>
    <row r="4111" spans="1:40" x14ac:dyDescent="0.25">
      <c r="A4111" t="str">
        <f>"20190312172746746"</f>
        <v>20190312172746746</v>
      </c>
      <c r="B4111" t="str">
        <f>"1552382866732951"</f>
        <v>1552382866732951</v>
      </c>
      <c r="C4111" t="s">
        <v>40</v>
      </c>
      <c r="D4111">
        <v>3.2813539999999999</v>
      </c>
      <c r="E4111">
        <v>0.47681390000000001</v>
      </c>
      <c r="F4111" t="s">
        <v>50</v>
      </c>
      <c r="G4111">
        <v>-420.37020000000001</v>
      </c>
      <c r="H4111" s="1">
        <v>-1.554673E-6</v>
      </c>
      <c r="I4111">
        <v>121.8895</v>
      </c>
      <c r="J4111">
        <v>-410.34050000000002</v>
      </c>
      <c r="K4111">
        <v>1.114987</v>
      </c>
      <c r="L4111">
        <v>136.75790000000001</v>
      </c>
      <c r="M4111">
        <v>-0.83521679999999998</v>
      </c>
      <c r="N4111">
        <v>0</v>
      </c>
      <c r="O4111">
        <v>-0.54974009999999995</v>
      </c>
      <c r="P4111">
        <v>-0.62358359999999902</v>
      </c>
      <c r="Q4111">
        <v>0.154895799999999</v>
      </c>
      <c r="R4111">
        <v>-0.76625779999999999</v>
      </c>
      <c r="S4111">
        <v>-1.7312320000000001</v>
      </c>
      <c r="T4111">
        <v>-0.189582</v>
      </c>
      <c r="U4111">
        <v>-2.546875</v>
      </c>
      <c r="V4111">
        <v>-0.29912529999999998</v>
      </c>
      <c r="W4111">
        <v>0.16474459999999999</v>
      </c>
      <c r="X4111">
        <v>0.93988470000000002</v>
      </c>
      <c r="Y4111">
        <v>-0.3819167</v>
      </c>
      <c r="Z4111">
        <v>2.3610289999999999E-2</v>
      </c>
      <c r="AA4111">
        <v>0.92389509999999997</v>
      </c>
      <c r="AB4111">
        <v>19</v>
      </c>
      <c r="AC4111">
        <v>-10.029699999999901</v>
      </c>
      <c r="AD4111">
        <v>-1.1149885546730001</v>
      </c>
      <c r="AE4111">
        <v>-14.868399999999999</v>
      </c>
      <c r="AF4111">
        <v>-6.8787098154398398</v>
      </c>
      <c r="AG4111">
        <v>-1.1149885546730001</v>
      </c>
      <c r="AH4111">
        <v>16.488647414705401</v>
      </c>
      <c r="AI4111">
        <v>93.571116849177699</v>
      </c>
      <c r="AJ4111">
        <v>112.64484998192501</v>
      </c>
      <c r="AK4111">
        <v>17.900707856633801</v>
      </c>
      <c r="AL4111">
        <v>80.517601803554101</v>
      </c>
      <c r="AM4111">
        <v>107.654058701094</v>
      </c>
      <c r="AN4111">
        <v>0.99999998881166996</v>
      </c>
    </row>
    <row r="4112" spans="1:40" x14ac:dyDescent="0.25">
      <c r="A4112" t="str">
        <f>"20190312172746780"</f>
        <v>20190312172746780</v>
      </c>
      <c r="B4112" t="str">
        <f>"1552382866773943"</f>
        <v>1552382866773943</v>
      </c>
      <c r="C4112" t="s">
        <v>40</v>
      </c>
      <c r="D4112">
        <v>3.2589649999999999</v>
      </c>
      <c r="E4112">
        <v>0.47686079999999997</v>
      </c>
      <c r="F4112" t="s">
        <v>50</v>
      </c>
      <c r="G4112">
        <v>-420.39319999999998</v>
      </c>
      <c r="H4112" s="1">
        <v>-1.888577E-6</v>
      </c>
      <c r="I4112">
        <v>122.40519999999999</v>
      </c>
      <c r="J4112">
        <v>-410.57069999999999</v>
      </c>
      <c r="K4112">
        <v>1.114986</v>
      </c>
      <c r="L4112">
        <v>136.5864</v>
      </c>
      <c r="M4112">
        <v>-0.82769099999999995</v>
      </c>
      <c r="N4112">
        <v>0</v>
      </c>
      <c r="O4112">
        <v>-0.56100699999999903</v>
      </c>
      <c r="P4112">
        <v>-0.61512109999999998</v>
      </c>
      <c r="Q4112">
        <v>0.15538379999999999</v>
      </c>
      <c r="R4112">
        <v>-0.77296960000000003</v>
      </c>
      <c r="S4112">
        <v>-1.7642819999999999</v>
      </c>
      <c r="T4112">
        <v>-0.1956832</v>
      </c>
      <c r="U4112">
        <v>-2.5189360000000001</v>
      </c>
      <c r="V4112">
        <v>-0.29664069999999998</v>
      </c>
      <c r="W4112">
        <v>0.16525860000000001</v>
      </c>
      <c r="X4112">
        <v>0.94058169999999997</v>
      </c>
      <c r="Y4112">
        <v>-0.3563847</v>
      </c>
      <c r="Z4112">
        <v>2.596103E-2</v>
      </c>
      <c r="AA4112">
        <v>0.93397859999999999</v>
      </c>
      <c r="AB4112">
        <v>19</v>
      </c>
      <c r="AC4112">
        <v>-9.8224999999999891</v>
      </c>
      <c r="AD4112">
        <v>-1.1149878885769999</v>
      </c>
      <c r="AE4112">
        <v>-14.1812</v>
      </c>
      <c r="AF4112">
        <v>-6.2018704601358401</v>
      </c>
      <c r="AG4112">
        <v>-1.1149878885769999</v>
      </c>
      <c r="AH4112">
        <v>16.0204194967381</v>
      </c>
      <c r="AI4112">
        <v>93.713529861683696</v>
      </c>
      <c r="AJ4112">
        <v>111.16255916127101</v>
      </c>
      <c r="AK4112">
        <v>17.215116498224599</v>
      </c>
      <c r="AL4112">
        <v>80.487742818965302</v>
      </c>
      <c r="AM4112">
        <v>107.504234615756</v>
      </c>
      <c r="AN4112">
        <v>1.0000000220726599</v>
      </c>
    </row>
    <row r="4113" spans="1:40" x14ac:dyDescent="0.25">
      <c r="A4113" t="str">
        <f>"20190312172746801"</f>
        <v>20190312172746801</v>
      </c>
      <c r="B4113" t="str">
        <f>"1552382866793463"</f>
        <v>1552382866793463</v>
      </c>
      <c r="C4113" t="s">
        <v>40</v>
      </c>
      <c r="D4113">
        <v>3.2845420000000001</v>
      </c>
      <c r="E4113">
        <v>0.47732079999999999</v>
      </c>
      <c r="F4113" t="s">
        <v>50</v>
      </c>
      <c r="G4113">
        <v>-420.43400000000003</v>
      </c>
      <c r="H4113" s="1">
        <v>-1.751251E-6</v>
      </c>
      <c r="I4113">
        <v>122.1721</v>
      </c>
      <c r="J4113">
        <v>-410.71469999999999</v>
      </c>
      <c r="K4113">
        <v>1.1149849999999999</v>
      </c>
      <c r="L4113">
        <v>136.47659999999999</v>
      </c>
      <c r="M4113">
        <v>-0.82284840000000004</v>
      </c>
      <c r="N4113">
        <v>0</v>
      </c>
      <c r="O4113">
        <v>-0.5680866</v>
      </c>
      <c r="P4113">
        <v>-0.60973409999999995</v>
      </c>
      <c r="Q4113">
        <v>0.1556321</v>
      </c>
      <c r="R4113">
        <v>-0.7771766</v>
      </c>
      <c r="S4113">
        <v>-1.7369380000000001</v>
      </c>
      <c r="T4113">
        <v>-0.1963502</v>
      </c>
      <c r="U4113">
        <v>-2.5383610000000001</v>
      </c>
      <c r="V4113">
        <v>-0.29506700000000002</v>
      </c>
      <c r="W4113">
        <v>0.16552430000000001</v>
      </c>
      <c r="X4113">
        <v>0.94102980000000003</v>
      </c>
      <c r="Y4113">
        <v>-0.358562099999999</v>
      </c>
      <c r="Z4113">
        <v>2.6490610000000001E-2</v>
      </c>
      <c r="AA4113">
        <v>0.93313000000000001</v>
      </c>
      <c r="AB4113">
        <v>19</v>
      </c>
      <c r="AC4113">
        <v>-9.7193000000000307</v>
      </c>
      <c r="AD4113">
        <v>-1.1149867512510001</v>
      </c>
      <c r="AE4113">
        <v>-14.3044999999999</v>
      </c>
      <c r="AF4113">
        <v>-6.2237797032374296</v>
      </c>
      <c r="AG4113">
        <v>-1.1149867512510001</v>
      </c>
      <c r="AH4113">
        <v>16.058552402647202</v>
      </c>
      <c r="AI4113">
        <v>93.704178706169301</v>
      </c>
      <c r="AJ4113">
        <v>111.18473274762</v>
      </c>
      <c r="AK4113">
        <v>17.258497458309101</v>
      </c>
      <c r="AL4113">
        <v>80.472306113819897</v>
      </c>
      <c r="AM4113">
        <v>107.409210385173</v>
      </c>
      <c r="AN4113">
        <v>0.99999995643376405</v>
      </c>
    </row>
    <row r="4114" spans="1:40" x14ac:dyDescent="0.25">
      <c r="A4114" t="str">
        <f>"20190312172746823"</f>
        <v>20190312172746823</v>
      </c>
      <c r="B4114" t="str">
        <f>"1552382866812983"</f>
        <v>1552382866812983</v>
      </c>
      <c r="C4114" t="s">
        <v>40</v>
      </c>
      <c r="D4114">
        <v>3.2904949999999902</v>
      </c>
      <c r="E4114">
        <v>0.47770410000000002</v>
      </c>
      <c r="F4114" t="s">
        <v>50</v>
      </c>
      <c r="G4114">
        <v>-420.49869999999999</v>
      </c>
      <c r="H4114" s="1">
        <v>-1.6556610000000001E-6</v>
      </c>
      <c r="I4114">
        <v>121.99460000000001</v>
      </c>
      <c r="J4114">
        <v>-410.86700000000002</v>
      </c>
      <c r="K4114">
        <v>1.1149849999999999</v>
      </c>
      <c r="L4114">
        <v>136.35839999999999</v>
      </c>
      <c r="M4114">
        <v>-0.81761609999999996</v>
      </c>
      <c r="N4114">
        <v>0</v>
      </c>
      <c r="O4114">
        <v>-0.57559159999999998</v>
      </c>
      <c r="P4114">
        <v>-0.6035857</v>
      </c>
      <c r="Q4114">
        <v>0.1557279</v>
      </c>
      <c r="R4114">
        <v>-0.78194180000000002</v>
      </c>
      <c r="S4114">
        <v>-1.7218020000000001</v>
      </c>
      <c r="T4114">
        <v>-0.19621559999999999</v>
      </c>
      <c r="U4114">
        <v>-2.5485380000000002</v>
      </c>
      <c r="V4114">
        <v>-0.29386020000000002</v>
      </c>
      <c r="W4114">
        <v>0.1656329</v>
      </c>
      <c r="X4114">
        <v>0.94138829999999996</v>
      </c>
      <c r="Y4114">
        <v>-0.3555663</v>
      </c>
      <c r="Z4114">
        <v>2.7099430000000001E-2</v>
      </c>
      <c r="AA4114">
        <v>0.93425809999999998</v>
      </c>
      <c r="AB4114">
        <v>19</v>
      </c>
      <c r="AC4114">
        <v>-9.6317000000000199</v>
      </c>
      <c r="AD4114">
        <v>-1.114986655661</v>
      </c>
      <c r="AE4114">
        <v>-14.3637999999999</v>
      </c>
      <c r="AF4114">
        <v>-6.1750956272405197</v>
      </c>
      <c r="AG4114">
        <v>-1.114986655661</v>
      </c>
      <c r="AH4114">
        <v>16.077487857815001</v>
      </c>
      <c r="AI4114">
        <v>93.704147986119693</v>
      </c>
      <c r="AJ4114">
        <v>111.010951938085</v>
      </c>
      <c r="AK4114">
        <v>17.2586389111672</v>
      </c>
      <c r="AL4114">
        <v>80.465997149012907</v>
      </c>
      <c r="AM4114">
        <v>107.336077415641</v>
      </c>
      <c r="AN4114">
        <v>1.00000000304166</v>
      </c>
    </row>
    <row r="4115" spans="1:40" x14ac:dyDescent="0.25">
      <c r="A4115" t="str">
        <f>"20190312172746846"</f>
        <v>20190312172746846</v>
      </c>
      <c r="B4115" t="str">
        <f>"1552382866833479"</f>
        <v>1552382866833479</v>
      </c>
      <c r="C4115" t="s">
        <v>40</v>
      </c>
      <c r="D4115">
        <v>3.257234</v>
      </c>
      <c r="E4115">
        <v>0.47811049999999999</v>
      </c>
      <c r="F4115" t="s">
        <v>50</v>
      </c>
      <c r="G4115">
        <v>-420.53649999999999</v>
      </c>
      <c r="H4115" s="1">
        <v>-1.562089E-6</v>
      </c>
      <c r="I4115">
        <v>121.83159999999999</v>
      </c>
      <c r="J4115">
        <v>-411.01420000000002</v>
      </c>
      <c r="K4115">
        <v>1.114978</v>
      </c>
      <c r="L4115">
        <v>136.24189999999999</v>
      </c>
      <c r="M4115">
        <v>-0.81244499999999997</v>
      </c>
      <c r="N4115">
        <v>0</v>
      </c>
      <c r="O4115">
        <v>-0.58286850000000001</v>
      </c>
      <c r="P4115">
        <v>-0.59725030000000001</v>
      </c>
      <c r="Q4115">
        <v>0.156197</v>
      </c>
      <c r="R4115">
        <v>-0.78669909999999998</v>
      </c>
      <c r="S4115">
        <v>-1.7041930000000001</v>
      </c>
      <c r="T4115">
        <v>-0.19651009999999999</v>
      </c>
      <c r="U4115">
        <v>-2.560257</v>
      </c>
      <c r="V4115">
        <v>-0.292985099999999</v>
      </c>
      <c r="W4115">
        <v>0.16611119999999999</v>
      </c>
      <c r="X4115">
        <v>0.94157679999999999</v>
      </c>
      <c r="Y4115">
        <v>-0.353659</v>
      </c>
      <c r="Z4115">
        <v>2.7720000000000002E-2</v>
      </c>
      <c r="AA4115">
        <v>0.93496360000000001</v>
      </c>
      <c r="AB4115">
        <v>19</v>
      </c>
      <c r="AC4115">
        <v>-9.5222999999999693</v>
      </c>
      <c r="AD4115">
        <v>-1.114979562089</v>
      </c>
      <c r="AE4115">
        <v>-14.4102999999999</v>
      </c>
      <c r="AF4115">
        <v>-6.1323810492956001</v>
      </c>
      <c r="AG4115">
        <v>-1.114979562089</v>
      </c>
      <c r="AH4115">
        <v>16.070281351343901</v>
      </c>
      <c r="AI4115">
        <v>93.708849393841703</v>
      </c>
      <c r="AJ4115">
        <v>110.88673513277899</v>
      </c>
      <c r="AK4115">
        <v>17.2366823799996</v>
      </c>
      <c r="AL4115">
        <v>80.438207924828205</v>
      </c>
      <c r="AM4115">
        <v>107.284277675449</v>
      </c>
      <c r="AN4115">
        <v>1.00000003494284</v>
      </c>
    </row>
    <row r="4116" spans="1:40" x14ac:dyDescent="0.25">
      <c r="A4116" t="str">
        <f>"20190312172746869"</f>
        <v>20190312172746869</v>
      </c>
      <c r="B4116" t="str">
        <f>"1552382866863735"</f>
        <v>1552382866863735</v>
      </c>
      <c r="C4116" t="s">
        <v>40</v>
      </c>
      <c r="D4116">
        <v>3.2683080000000002</v>
      </c>
      <c r="E4116">
        <v>0.47859960000000001</v>
      </c>
      <c r="F4116" t="s">
        <v>50</v>
      </c>
      <c r="G4116">
        <v>-420.61970000000002</v>
      </c>
      <c r="H4116" s="1">
        <v>-1.428509E-6</v>
      </c>
      <c r="I4116">
        <v>121.5866</v>
      </c>
      <c r="J4116">
        <v>-411.16370000000001</v>
      </c>
      <c r="K4116">
        <v>1.11496</v>
      </c>
      <c r="L4116">
        <v>136.12139999999999</v>
      </c>
      <c r="M4116">
        <v>-0.80707779999999996</v>
      </c>
      <c r="N4116">
        <v>0</v>
      </c>
      <c r="O4116">
        <v>-0.59027799999999997</v>
      </c>
      <c r="P4116">
        <v>-0.59065239999999997</v>
      </c>
      <c r="Q4116">
        <v>0.15625559999999999</v>
      </c>
      <c r="R4116">
        <v>-0.79165289999999999</v>
      </c>
      <c r="S4116">
        <v>-1.6859740000000001</v>
      </c>
      <c r="T4116">
        <v>-0.19570209999999999</v>
      </c>
      <c r="U4116">
        <v>-2.572311</v>
      </c>
      <c r="V4116">
        <v>-0.29222720000000002</v>
      </c>
      <c r="W4116">
        <v>0.16618079999999999</v>
      </c>
      <c r="X4116">
        <v>0.94179999999999997</v>
      </c>
      <c r="Y4116">
        <v>-0.35175030000000002</v>
      </c>
      <c r="Z4116">
        <v>2.8193119999999999E-2</v>
      </c>
      <c r="AA4116">
        <v>0.93566919999999998</v>
      </c>
      <c r="AB4116">
        <v>19</v>
      </c>
      <c r="AC4116">
        <v>-9.4560000000000102</v>
      </c>
      <c r="AD4116">
        <v>-1.1149614285089999</v>
      </c>
      <c r="AE4116">
        <v>-14.534799999999899</v>
      </c>
      <c r="AF4116">
        <v>-6.12433145722314</v>
      </c>
      <c r="AG4116">
        <v>-1.1149614285089999</v>
      </c>
      <c r="AH4116">
        <v>16.146144056330101</v>
      </c>
      <c r="AI4116">
        <v>93.694216321629099</v>
      </c>
      <c r="AJ4116">
        <v>110.772043691224</v>
      </c>
      <c r="AK4116">
        <v>17.304581551507098</v>
      </c>
      <c r="AL4116">
        <v>80.434163762093903</v>
      </c>
      <c r="AM4116">
        <v>107.238376298107</v>
      </c>
      <c r="AN4116">
        <v>1.0000000173542301</v>
      </c>
    </row>
    <row r="4117" spans="1:40" x14ac:dyDescent="0.25">
      <c r="A4117" t="str">
        <f>"20190312172746896"</f>
        <v>20190312172746896</v>
      </c>
      <c r="B4117" t="str">
        <f>"1552382866883762"</f>
        <v>1552382866883762</v>
      </c>
      <c r="C4117" t="s">
        <v>40</v>
      </c>
      <c r="D4117">
        <v>3.262721</v>
      </c>
      <c r="E4117">
        <v>0.47896709999999898</v>
      </c>
      <c r="F4117" t="s">
        <v>50</v>
      </c>
      <c r="G4117">
        <v>-420.58370000000002</v>
      </c>
      <c r="H4117" s="1">
        <v>-1.3712389999999999E-6</v>
      </c>
      <c r="I4117">
        <v>121.5116</v>
      </c>
      <c r="J4117">
        <v>-411.34160000000003</v>
      </c>
      <c r="K4117">
        <v>1.1149480000000001</v>
      </c>
      <c r="L4117">
        <v>135.97470000000001</v>
      </c>
      <c r="M4117">
        <v>-0.80053779999999997</v>
      </c>
      <c r="N4117">
        <v>0</v>
      </c>
      <c r="O4117">
        <v>-0.59911749999999997</v>
      </c>
      <c r="P4117">
        <v>-0.5824665</v>
      </c>
      <c r="Q4117">
        <v>0.1567219</v>
      </c>
      <c r="R4117">
        <v>-0.79760330000000002</v>
      </c>
      <c r="S4117">
        <v>-1.6667179999999999</v>
      </c>
      <c r="T4117">
        <v>-0.1972739</v>
      </c>
      <c r="U4117">
        <v>-2.5849609999999998</v>
      </c>
      <c r="V4117">
        <v>-0.29149589999999997</v>
      </c>
      <c r="W4117">
        <v>0.1666599</v>
      </c>
      <c r="X4117">
        <v>0.9419419</v>
      </c>
      <c r="Y4117">
        <v>-0.34848319999999999</v>
      </c>
      <c r="Z4117">
        <v>2.9152210000000001E-2</v>
      </c>
      <c r="AA4117">
        <v>0.93686159999999996</v>
      </c>
      <c r="AB4117">
        <v>19</v>
      </c>
      <c r="AC4117">
        <v>-9.24209999999999</v>
      </c>
      <c r="AD4117">
        <v>-1.114949371239</v>
      </c>
      <c r="AE4117">
        <v>-14.463100000000001</v>
      </c>
      <c r="AF4117">
        <v>-6.0163637005770196</v>
      </c>
      <c r="AG4117">
        <v>-1.114949371239</v>
      </c>
      <c r="AH4117">
        <v>15.9978269220064</v>
      </c>
      <c r="AI4117">
        <v>93.732303571162603</v>
      </c>
      <c r="AJ4117">
        <v>110.609965633857</v>
      </c>
      <c r="AK4117">
        <v>17.1280533191755</v>
      </c>
      <c r="AL4117">
        <v>80.406324610583994</v>
      </c>
      <c r="AM4117">
        <v>107.195346872793</v>
      </c>
      <c r="AN4117">
        <v>0.99999996248021406</v>
      </c>
    </row>
    <row r="4118" spans="1:40" x14ac:dyDescent="0.25">
      <c r="A4118" t="str">
        <f>"20190312172746921"</f>
        <v>20190312172746921</v>
      </c>
      <c r="B4118" t="str">
        <f>"1552382866913042"</f>
        <v>1552382866913042</v>
      </c>
      <c r="C4118" t="s">
        <v>40</v>
      </c>
      <c r="D4118">
        <v>3.2955160000000001</v>
      </c>
      <c r="E4118">
        <v>0.47931020000000002</v>
      </c>
      <c r="F4118" t="s">
        <v>50</v>
      </c>
      <c r="G4118">
        <v>-420.62459999999999</v>
      </c>
      <c r="H4118" s="1">
        <v>-1.2334900000000001E-6</v>
      </c>
      <c r="I4118">
        <v>121.2778</v>
      </c>
      <c r="J4118">
        <v>-411.50560000000002</v>
      </c>
      <c r="K4118">
        <v>1.1149340000000001</v>
      </c>
      <c r="L4118">
        <v>135.83670000000001</v>
      </c>
      <c r="M4118">
        <v>-0.79436739999999995</v>
      </c>
      <c r="N4118">
        <v>0</v>
      </c>
      <c r="O4118">
        <v>-0.60727549999999997</v>
      </c>
      <c r="P4118">
        <v>-0.57443350000000004</v>
      </c>
      <c r="Q4118">
        <v>0.15702659999999999</v>
      </c>
      <c r="R4118">
        <v>-0.80334839999999996</v>
      </c>
      <c r="S4118">
        <v>-1.6425780000000001</v>
      </c>
      <c r="T4118">
        <v>-0.1972836</v>
      </c>
      <c r="U4118">
        <v>-2.6005400000000001</v>
      </c>
      <c r="V4118">
        <v>-0.2912611</v>
      </c>
      <c r="W4118">
        <v>0.1669716</v>
      </c>
      <c r="X4118">
        <v>0.9419594</v>
      </c>
      <c r="Y4118">
        <v>-0.3476571</v>
      </c>
      <c r="Z4118">
        <v>2.9768699999999999E-2</v>
      </c>
      <c r="AA4118">
        <v>0.93714900000000001</v>
      </c>
      <c r="AB4118">
        <v>19</v>
      </c>
      <c r="AC4118">
        <v>-9.1189999999999696</v>
      </c>
      <c r="AD4118">
        <v>-1.11493523349</v>
      </c>
      <c r="AE4118">
        <v>-14.5589</v>
      </c>
      <c r="AF4118">
        <v>-6.0026795450275099</v>
      </c>
      <c r="AG4118">
        <v>-1.11493523349</v>
      </c>
      <c r="AH4118">
        <v>16.0192080863259</v>
      </c>
      <c r="AI4118">
        <v>93.728947796246601</v>
      </c>
      <c r="AJ4118">
        <v>110.541859466552</v>
      </c>
      <c r="AK4118">
        <v>17.143228109319899</v>
      </c>
      <c r="AL4118">
        <v>80.388212349111697</v>
      </c>
      <c r="AM4118">
        <v>107.18201151608601</v>
      </c>
      <c r="AN4118">
        <v>1.0000000274140599</v>
      </c>
    </row>
    <row r="4119" spans="1:40" x14ac:dyDescent="0.25">
      <c r="A4119" t="str">
        <f>"20190312172746947"</f>
        <v>20190312172746947</v>
      </c>
      <c r="B4119" t="str">
        <f>"1552382866943298"</f>
        <v>1552382866943298</v>
      </c>
      <c r="C4119" t="s">
        <v>40</v>
      </c>
      <c r="D4119">
        <v>3.2710270000000001</v>
      </c>
      <c r="E4119">
        <v>0.47981200000000002</v>
      </c>
      <c r="F4119" t="s">
        <v>50</v>
      </c>
      <c r="G4119">
        <v>-420.6585</v>
      </c>
      <c r="H4119" s="1">
        <v>-1.0953370000000001E-6</v>
      </c>
      <c r="I4119">
        <v>121.0462</v>
      </c>
      <c r="J4119">
        <v>-411.66609999999997</v>
      </c>
      <c r="K4119">
        <v>1.114922</v>
      </c>
      <c r="L4119">
        <v>135.69890000000001</v>
      </c>
      <c r="M4119">
        <v>-0.78819349999999999</v>
      </c>
      <c r="N4119">
        <v>0</v>
      </c>
      <c r="O4119">
        <v>-0.61526749999999997</v>
      </c>
      <c r="P4119">
        <v>-0.56724549999999996</v>
      </c>
      <c r="Q4119">
        <v>0.1584438</v>
      </c>
      <c r="R4119">
        <v>-0.80816379999999999</v>
      </c>
      <c r="S4119">
        <v>-1.6185909999999999</v>
      </c>
      <c r="T4119">
        <v>-0.1971627</v>
      </c>
      <c r="U4119">
        <v>-2.6155240000000002</v>
      </c>
      <c r="V4119">
        <v>-0.289937</v>
      </c>
      <c r="W4119">
        <v>0.16841239999999999</v>
      </c>
      <c r="X4119">
        <v>0.94211140000000004</v>
      </c>
      <c r="Y4119">
        <v>-0.34681489999999998</v>
      </c>
      <c r="Z4119">
        <v>3.0356169999999998E-2</v>
      </c>
      <c r="AA4119">
        <v>0.9374422</v>
      </c>
      <c r="AB4119">
        <v>19</v>
      </c>
      <c r="AC4119">
        <v>-8.9924000000000301</v>
      </c>
      <c r="AD4119">
        <v>-1.114923095337</v>
      </c>
      <c r="AE4119">
        <v>-14.652699999999999</v>
      </c>
      <c r="AF4119">
        <v>-5.9918241257132498</v>
      </c>
      <c r="AG4119">
        <v>-1.114923095337</v>
      </c>
      <c r="AH4119">
        <v>16.037219455873899</v>
      </c>
      <c r="AI4119">
        <v>93.726069646391196</v>
      </c>
      <c r="AJ4119">
        <v>110.48668807803701</v>
      </c>
      <c r="AK4119">
        <v>17.1562646790569</v>
      </c>
      <c r="AL4119">
        <v>80.304474987950499</v>
      </c>
      <c r="AM4119">
        <v>107.10587170789</v>
      </c>
      <c r="AN4119">
        <v>1.00000004522635</v>
      </c>
    </row>
    <row r="4120" spans="1:40" x14ac:dyDescent="0.25">
      <c r="A4120" t="str">
        <f>"20190312172746970"</f>
        <v>20190312172746970</v>
      </c>
      <c r="B4120" t="str">
        <f>"1552382866963794"</f>
        <v>1552382866963794</v>
      </c>
      <c r="C4120" t="s">
        <v>40</v>
      </c>
      <c r="D4120">
        <v>3.2601659999999999</v>
      </c>
      <c r="E4120">
        <v>0.48491200000000001</v>
      </c>
      <c r="F4120" t="s">
        <v>50</v>
      </c>
      <c r="G4120">
        <v>-420.82810000000001</v>
      </c>
      <c r="H4120" s="1">
        <v>-8.8578819999999897E-7</v>
      </c>
      <c r="I4120">
        <v>120.6455</v>
      </c>
      <c r="J4120">
        <v>-411.8143</v>
      </c>
      <c r="K4120">
        <v>1.114908</v>
      </c>
      <c r="L4120">
        <v>135.56899999999999</v>
      </c>
      <c r="M4120">
        <v>-0.78237480000000004</v>
      </c>
      <c r="N4120">
        <v>0</v>
      </c>
      <c r="O4120">
        <v>-0.62264989999999998</v>
      </c>
      <c r="P4120">
        <v>-0.56089709999999904</v>
      </c>
      <c r="Q4120">
        <v>0.1595964</v>
      </c>
      <c r="R4120">
        <v>-0.81235669999999904</v>
      </c>
      <c r="S4120">
        <v>-1.599335</v>
      </c>
      <c r="T4120">
        <v>-0.19462309999999999</v>
      </c>
      <c r="U4120">
        <v>-2.6277469999999998</v>
      </c>
      <c r="V4120">
        <v>-0.28828569999999998</v>
      </c>
      <c r="W4120">
        <v>0.16959440000000001</v>
      </c>
      <c r="X4120">
        <v>0.94240599999999997</v>
      </c>
      <c r="Y4120">
        <v>-0.34495019999999998</v>
      </c>
      <c r="Z4120">
        <v>3.0545530000000001E-2</v>
      </c>
      <c r="AA4120">
        <v>0.93812379999999995</v>
      </c>
      <c r="AB4120">
        <v>19</v>
      </c>
      <c r="AC4120">
        <v>-9.0137999999999998</v>
      </c>
      <c r="AD4120">
        <v>-1.1149088857881999</v>
      </c>
      <c r="AE4120">
        <v>-14.923499999999899</v>
      </c>
      <c r="AF4120">
        <v>-6.0392282806478397</v>
      </c>
      <c r="AG4120">
        <v>-1.1149088857881999</v>
      </c>
      <c r="AH4120">
        <v>16.279320865854299</v>
      </c>
      <c r="AI4120">
        <v>93.673929276416601</v>
      </c>
      <c r="AJ4120">
        <v>110.353617042249</v>
      </c>
      <c r="AK4120">
        <v>17.399183541270698</v>
      </c>
      <c r="AL4120">
        <v>80.235762412045503</v>
      </c>
      <c r="AM4120">
        <v>107.009077501351</v>
      </c>
      <c r="AN4120">
        <v>0.99999998708592397</v>
      </c>
    </row>
    <row r="4121" spans="1:40" x14ac:dyDescent="0.25">
      <c r="A4121" t="str">
        <f>"20190312172746995"</f>
        <v>20190312172746995</v>
      </c>
      <c r="B4121" t="str">
        <f>"1552382866983315"</f>
        <v>1552382866983315</v>
      </c>
      <c r="C4121" t="s">
        <v>40</v>
      </c>
      <c r="D4121">
        <v>3.276465</v>
      </c>
      <c r="E4121">
        <v>0.48464469999999998</v>
      </c>
      <c r="F4121" t="s">
        <v>50</v>
      </c>
      <c r="G4121">
        <v>-420.28359999999998</v>
      </c>
      <c r="H4121" s="1">
        <v>-1.4819649999999901E-6</v>
      </c>
      <c r="I4121">
        <v>121.81140000000001</v>
      </c>
      <c r="J4121">
        <v>-411.96859999999998</v>
      </c>
      <c r="K4121">
        <v>1.1148929999999999</v>
      </c>
      <c r="L4121">
        <v>135.43119999999999</v>
      </c>
      <c r="M4121">
        <v>-0.77619340000000003</v>
      </c>
      <c r="N4121">
        <v>0</v>
      </c>
      <c r="O4121">
        <v>-0.63033899999999998</v>
      </c>
      <c r="P4121">
        <v>-0.55443969999999998</v>
      </c>
      <c r="Q4121">
        <v>0.1600348</v>
      </c>
      <c r="R4121">
        <v>-0.81669230000000004</v>
      </c>
      <c r="S4121">
        <v>-1.6133420000000001</v>
      </c>
      <c r="T4121">
        <v>-0.21238199999999999</v>
      </c>
      <c r="U4121">
        <v>-2.6207280000000002</v>
      </c>
      <c r="V4121">
        <v>-0.28638340000000001</v>
      </c>
      <c r="W4121">
        <v>0.17006760000000001</v>
      </c>
      <c r="X4121">
        <v>0.94290059999999998</v>
      </c>
      <c r="Y4121">
        <v>-0.3309821</v>
      </c>
      <c r="Z4121">
        <v>3.4323399999999997E-2</v>
      </c>
      <c r="AA4121">
        <v>0.94301259999999998</v>
      </c>
      <c r="AB4121">
        <v>19</v>
      </c>
      <c r="AC4121">
        <v>-8.3149999999999906</v>
      </c>
      <c r="AD4121">
        <v>-1.114894481965</v>
      </c>
      <c r="AE4121">
        <v>-13.6197999999999</v>
      </c>
      <c r="AF4121">
        <v>-5.3049584008771102</v>
      </c>
      <c r="AG4121">
        <v>-1.114894481965</v>
      </c>
      <c r="AH4121">
        <v>14.967554870910501</v>
      </c>
      <c r="AI4121">
        <v>94.016034133533495</v>
      </c>
      <c r="AJ4121">
        <v>109.515880641287</v>
      </c>
      <c r="AK4121">
        <v>15.9189595185951</v>
      </c>
      <c r="AL4121">
        <v>80.208250424838099</v>
      </c>
      <c r="AM4121">
        <v>106.894898238626</v>
      </c>
      <c r="AN4121">
        <v>0.99999999092283998</v>
      </c>
    </row>
    <row r="4122" spans="1:40" x14ac:dyDescent="0.25">
      <c r="A4122" t="str">
        <f>"20190312172747017"</f>
        <v>20190312172747017</v>
      </c>
      <c r="B4122" t="str">
        <f>"1552382867013571"</f>
        <v>1552382867013571</v>
      </c>
      <c r="C4122" t="s">
        <v>40</v>
      </c>
      <c r="D4122">
        <v>3.2789090000000001</v>
      </c>
      <c r="E4122">
        <v>0.48499490000000001</v>
      </c>
      <c r="F4122" t="s">
        <v>50</v>
      </c>
      <c r="G4122">
        <v>-420.46699999999998</v>
      </c>
      <c r="H4122" s="1">
        <v>-1.241987E-6</v>
      </c>
      <c r="I4122">
        <v>121.3571</v>
      </c>
      <c r="J4122">
        <v>-412.10410000000002</v>
      </c>
      <c r="K4122">
        <v>1.114881</v>
      </c>
      <c r="L4122">
        <v>135.30770000000001</v>
      </c>
      <c r="M4122">
        <v>-0.77065439999999996</v>
      </c>
      <c r="N4122">
        <v>0</v>
      </c>
      <c r="O4122">
        <v>-0.63709930000000004</v>
      </c>
      <c r="P4122">
        <v>-0.54915829999999999</v>
      </c>
      <c r="Q4122">
        <v>0.16016569999999999</v>
      </c>
      <c r="R4122">
        <v>-0.82022709999999999</v>
      </c>
      <c r="S4122">
        <v>-1.5907290000000001</v>
      </c>
      <c r="T4122">
        <v>-0.20868339999999999</v>
      </c>
      <c r="U4122">
        <v>-2.6343540000000001</v>
      </c>
      <c r="V4122">
        <v>-0.28419499999999998</v>
      </c>
      <c r="W4122">
        <v>0.17023769999999999</v>
      </c>
      <c r="X4122">
        <v>0.94353189999999998</v>
      </c>
      <c r="Y4122">
        <v>-0.3308198</v>
      </c>
      <c r="Z4122">
        <v>3.4254970000000003E-2</v>
      </c>
      <c r="AA4122">
        <v>0.94307200000000002</v>
      </c>
      <c r="AB4122">
        <v>19</v>
      </c>
      <c r="AC4122">
        <v>-8.3628999999999607</v>
      </c>
      <c r="AD4122">
        <v>-1.1148822419869999</v>
      </c>
      <c r="AE4122">
        <v>-13.9506</v>
      </c>
      <c r="AF4122">
        <v>-5.3982633200379802</v>
      </c>
      <c r="AG4122">
        <v>-1.1148822419869999</v>
      </c>
      <c r="AH4122">
        <v>15.2626201974544</v>
      </c>
      <c r="AI4122">
        <v>93.939510271003698</v>
      </c>
      <c r="AJ4122">
        <v>109.47826849238</v>
      </c>
      <c r="AK4122">
        <v>16.227500872830301</v>
      </c>
      <c r="AL4122">
        <v>80.198360868465898</v>
      </c>
      <c r="AM4122">
        <v>106.762479000296</v>
      </c>
      <c r="AN4122">
        <v>1.00000005942194</v>
      </c>
    </row>
    <row r="4123" spans="1:40" x14ac:dyDescent="0.25">
      <c r="A4123" t="str">
        <f>"20190312172747047"</f>
        <v>20190312172747047</v>
      </c>
      <c r="B4123" t="str">
        <f>"1552382867043826"</f>
        <v>1552382867043826</v>
      </c>
      <c r="C4123" t="s">
        <v>40</v>
      </c>
      <c r="D4123">
        <v>3.2696339999999999</v>
      </c>
      <c r="E4123">
        <v>0.48559020000000003</v>
      </c>
      <c r="F4123" t="s">
        <v>50</v>
      </c>
      <c r="G4123">
        <v>-420.40159999999997</v>
      </c>
      <c r="H4123" s="1">
        <v>-1.244037E-6</v>
      </c>
      <c r="I4123">
        <v>121.3877</v>
      </c>
      <c r="J4123">
        <v>-412.2919</v>
      </c>
      <c r="K4123">
        <v>1.114854</v>
      </c>
      <c r="L4123">
        <v>135.13339999999999</v>
      </c>
      <c r="M4123">
        <v>-0.76281549999999998</v>
      </c>
      <c r="N4123">
        <v>0</v>
      </c>
      <c r="O4123">
        <v>-0.64646459999999994</v>
      </c>
      <c r="P4123">
        <v>-0.54199030000000004</v>
      </c>
      <c r="Q4123">
        <v>0.16044659999999999</v>
      </c>
      <c r="R4123">
        <v>-0.82492639999999995</v>
      </c>
      <c r="S4123">
        <v>-1.575928</v>
      </c>
      <c r="T4123">
        <v>-0.21174680000000001</v>
      </c>
      <c r="U4123">
        <v>-2.643799</v>
      </c>
      <c r="V4123">
        <v>-0.280835</v>
      </c>
      <c r="W4123">
        <v>0.17057739999999999</v>
      </c>
      <c r="X4123">
        <v>0.94447610000000004</v>
      </c>
      <c r="Y4123">
        <v>-0.32469730000000002</v>
      </c>
      <c r="Z4123">
        <v>3.5659610000000001E-2</v>
      </c>
      <c r="AA4123">
        <v>0.94514549999999997</v>
      </c>
      <c r="AB4123">
        <v>19</v>
      </c>
      <c r="AC4123">
        <v>-8.1096999999999699</v>
      </c>
      <c r="AD4123">
        <v>-1.1148552440369901</v>
      </c>
      <c r="AE4123">
        <v>-13.745699999999999</v>
      </c>
      <c r="AF4123">
        <v>-5.2178517360035404</v>
      </c>
      <c r="AG4123">
        <v>-1.1148552440369901</v>
      </c>
      <c r="AH4123">
        <v>15.000593272334401</v>
      </c>
      <c r="AI4123">
        <v>94.015310097866504</v>
      </c>
      <c r="AJ4123">
        <v>109.179873744196</v>
      </c>
      <c r="AK4123">
        <v>15.921264945853901</v>
      </c>
      <c r="AL4123">
        <v>80.178608248889603</v>
      </c>
      <c r="AM4123">
        <v>106.559568842983</v>
      </c>
      <c r="AN4123">
        <v>1.00000002504348</v>
      </c>
    </row>
    <row r="4124" spans="1:40" x14ac:dyDescent="0.25">
      <c r="A4124" t="str">
        <f>"20190312172747070"</f>
        <v>20190312172747070</v>
      </c>
      <c r="B4124" t="str">
        <f>"1552382867063346"</f>
        <v>1552382867063346</v>
      </c>
      <c r="C4124" t="s">
        <v>40</v>
      </c>
      <c r="D4124">
        <v>3.274499</v>
      </c>
      <c r="E4124">
        <v>0.48606250000000001</v>
      </c>
      <c r="F4124" t="s">
        <v>50</v>
      </c>
      <c r="G4124">
        <v>-420.47430000000003</v>
      </c>
      <c r="H4124" s="1">
        <v>-1.12421E-6</v>
      </c>
      <c r="I4124">
        <v>121.1687</v>
      </c>
      <c r="J4124">
        <v>-412.4255</v>
      </c>
      <c r="K4124">
        <v>1.114841</v>
      </c>
      <c r="L4124">
        <v>135.00640000000001</v>
      </c>
      <c r="M4124">
        <v>-0.75710369999999905</v>
      </c>
      <c r="N4124">
        <v>0</v>
      </c>
      <c r="O4124">
        <v>-0.65314439999999996</v>
      </c>
      <c r="P4124">
        <v>-0.53682350000000001</v>
      </c>
      <c r="Q4124">
        <v>0.15984470000000001</v>
      </c>
      <c r="R4124">
        <v>-0.82841409999999904</v>
      </c>
      <c r="S4124">
        <v>-1.55603</v>
      </c>
      <c r="T4124">
        <v>-0.2120081</v>
      </c>
      <c r="U4124">
        <v>-2.6556090000000001</v>
      </c>
      <c r="V4124">
        <v>-0.27850510000000001</v>
      </c>
      <c r="W4124">
        <v>0.1700168</v>
      </c>
      <c r="X4124">
        <v>0.94526670000000002</v>
      </c>
      <c r="Y4124">
        <v>-0.32350060000000003</v>
      </c>
      <c r="Z4124">
        <v>3.6261309999999998E-2</v>
      </c>
      <c r="AA4124">
        <v>0.94553290000000001</v>
      </c>
      <c r="AB4124">
        <v>19</v>
      </c>
      <c r="AC4124">
        <v>-8.0488000000000195</v>
      </c>
      <c r="AD4124">
        <v>-1.11484212421</v>
      </c>
      <c r="AE4124">
        <v>-13.8377</v>
      </c>
      <c r="AF4124">
        <v>-5.1948629816240297</v>
      </c>
      <c r="AG4124">
        <v>-1.11484212421</v>
      </c>
      <c r="AH4124">
        <v>15.060237142482601</v>
      </c>
      <c r="AI4124">
        <v>94.002994900772094</v>
      </c>
      <c r="AJ4124">
        <v>109.031310466042</v>
      </c>
      <c r="AK4124">
        <v>15.969978620761299</v>
      </c>
      <c r="AL4124">
        <v>80.211203843996103</v>
      </c>
      <c r="AM4124">
        <v>106.416620386933</v>
      </c>
      <c r="AN4124">
        <v>0.99999996856856899</v>
      </c>
    </row>
    <row r="4125" spans="1:40" x14ac:dyDescent="0.25">
      <c r="A4125" t="str">
        <f>"20190312172747096"</f>
        <v>20190312172747096</v>
      </c>
      <c r="B4125" t="str">
        <f>"1552382867083375"</f>
        <v>1552382867083375</v>
      </c>
      <c r="C4125" t="s">
        <v>40</v>
      </c>
      <c r="D4125">
        <v>3.2419419999999999</v>
      </c>
      <c r="E4125">
        <v>0.48646250000000002</v>
      </c>
      <c r="F4125" t="s">
        <v>50</v>
      </c>
      <c r="G4125">
        <v>-420.37610000000001</v>
      </c>
      <c r="H4125" s="1">
        <v>-1.168258E-6</v>
      </c>
      <c r="I4125">
        <v>121.2791</v>
      </c>
      <c r="J4125">
        <v>-412.58150000000001</v>
      </c>
      <c r="K4125">
        <v>1.1148229999999999</v>
      </c>
      <c r="L4125">
        <v>134.8553</v>
      </c>
      <c r="M4125">
        <v>-0.75030169999999996</v>
      </c>
      <c r="N4125">
        <v>0</v>
      </c>
      <c r="O4125">
        <v>-0.66094739999999996</v>
      </c>
      <c r="P4125">
        <v>-0.53019300000000003</v>
      </c>
      <c r="Q4125">
        <v>0.15956960000000001</v>
      </c>
      <c r="R4125">
        <v>-0.83272619999999897</v>
      </c>
      <c r="S4125">
        <v>-1.5426329999999999</v>
      </c>
      <c r="T4125">
        <v>-0.21631010000000001</v>
      </c>
      <c r="U4125">
        <v>-2.6634669999999998</v>
      </c>
      <c r="V4125">
        <v>-0.27628909999999901</v>
      </c>
      <c r="W4125">
        <v>0.16978099999999999</v>
      </c>
      <c r="X4125">
        <v>0.9459592</v>
      </c>
      <c r="Y4125">
        <v>-0.31850699999999998</v>
      </c>
      <c r="Z4125">
        <v>3.7762690000000002E-2</v>
      </c>
      <c r="AA4125">
        <v>0.94716809999999996</v>
      </c>
      <c r="AB4125">
        <v>19</v>
      </c>
      <c r="AC4125">
        <v>-7.7946</v>
      </c>
      <c r="AD4125">
        <v>-1.11482416825799</v>
      </c>
      <c r="AE4125">
        <v>-13.5762</v>
      </c>
      <c r="AF4125">
        <v>-5.0095134706835402</v>
      </c>
      <c r="AG4125">
        <v>-1.11482416825799</v>
      </c>
      <c r="AH4125">
        <v>14.7481146605645</v>
      </c>
      <c r="AI4125">
        <v>94.093942523670705</v>
      </c>
      <c r="AJ4125">
        <v>108.76115755562699</v>
      </c>
      <c r="AK4125">
        <v>15.615535347219099</v>
      </c>
      <c r="AL4125">
        <v>80.224914127479906</v>
      </c>
      <c r="AM4125">
        <v>106.281655992597</v>
      </c>
      <c r="AN4125">
        <v>1.0000000314022199</v>
      </c>
    </row>
    <row r="4126" spans="1:40" x14ac:dyDescent="0.25">
      <c r="A4126" t="str">
        <f>"20190312172747120"</f>
        <v>20190312172747120</v>
      </c>
      <c r="B4126" t="str">
        <f>"1552382867113631"</f>
        <v>1552382867113631</v>
      </c>
      <c r="C4126" t="s">
        <v>40</v>
      </c>
      <c r="D4126">
        <v>3.2595079999999998</v>
      </c>
      <c r="E4126">
        <v>0.49101650000000002</v>
      </c>
      <c r="F4126" t="s">
        <v>50</v>
      </c>
      <c r="G4126">
        <v>-420.35919999999999</v>
      </c>
      <c r="H4126" s="1">
        <v>-1.1154909999999999E-6</v>
      </c>
      <c r="I4126">
        <v>121.2032</v>
      </c>
      <c r="J4126">
        <v>-412.72629999999998</v>
      </c>
      <c r="K4126">
        <v>1.1148039999999999</v>
      </c>
      <c r="L4126">
        <v>134.7123</v>
      </c>
      <c r="M4126">
        <v>-0.74385500000000004</v>
      </c>
      <c r="N4126">
        <v>0</v>
      </c>
      <c r="O4126">
        <v>-0.66819459999999997</v>
      </c>
      <c r="P4126">
        <v>-0.52435140000000002</v>
      </c>
      <c r="Q4126">
        <v>0.159605</v>
      </c>
      <c r="R4126">
        <v>-0.83641030000000005</v>
      </c>
      <c r="S4126">
        <v>-1.5236209999999999</v>
      </c>
      <c r="T4126">
        <v>-0.21839049999999999</v>
      </c>
      <c r="U4126">
        <v>-2.6743929999999998</v>
      </c>
      <c r="V4126">
        <v>-0.27371600000000001</v>
      </c>
      <c r="W4126">
        <v>0.16985989999999901</v>
      </c>
      <c r="X4126">
        <v>0.9466928</v>
      </c>
      <c r="Y4126">
        <v>-0.3160809</v>
      </c>
      <c r="Z4126">
        <v>3.8781120000000002E-2</v>
      </c>
      <c r="AA4126">
        <v>0.94793930000000004</v>
      </c>
      <c r="AB4126">
        <v>19</v>
      </c>
      <c r="AC4126">
        <v>-7.6329000000000002</v>
      </c>
      <c r="AD4126">
        <v>-1.1148051154909999</v>
      </c>
      <c r="AE4126">
        <v>-13.5091</v>
      </c>
      <c r="AF4126">
        <v>-4.9236175659849097</v>
      </c>
      <c r="AG4126">
        <v>-1.1148051154909999</v>
      </c>
      <c r="AH4126">
        <v>14.6303953699017</v>
      </c>
      <c r="AI4126">
        <v>94.130617005758793</v>
      </c>
      <c r="AJ4126">
        <v>108.599808440991</v>
      </c>
      <c r="AK4126">
        <v>15.4768623777962</v>
      </c>
      <c r="AL4126">
        <v>80.220327004114097</v>
      </c>
      <c r="AM4126">
        <v>106.126095934687</v>
      </c>
      <c r="AN4126">
        <v>1.0000000459279199</v>
      </c>
    </row>
    <row r="4127" spans="1:40" x14ac:dyDescent="0.25">
      <c r="A4127" t="str">
        <f>"20190312172747141"</f>
        <v>20190312172747141</v>
      </c>
      <c r="B4127" t="str">
        <f>"1552382867133151"</f>
        <v>1552382867133151</v>
      </c>
      <c r="C4127" t="s">
        <v>40</v>
      </c>
      <c r="D4127">
        <v>3.259576</v>
      </c>
      <c r="E4127">
        <v>0.49116189999999998</v>
      </c>
      <c r="F4127" t="s">
        <v>50</v>
      </c>
      <c r="G4127">
        <v>-420.25670000000002</v>
      </c>
      <c r="H4127" s="1">
        <v>-1.362443E-6</v>
      </c>
      <c r="I4127">
        <v>121.63460000000001</v>
      </c>
      <c r="J4127">
        <v>-412.8503</v>
      </c>
      <c r="K4127">
        <v>1.1147940000000001</v>
      </c>
      <c r="L4127">
        <v>134.58760000000001</v>
      </c>
      <c r="M4127">
        <v>-0.73822580000000004</v>
      </c>
      <c r="N4127">
        <v>0</v>
      </c>
      <c r="O4127">
        <v>-0.67440880000000003</v>
      </c>
      <c r="P4127">
        <v>-0.51875559999999998</v>
      </c>
      <c r="Q4127">
        <v>0.15940869999999999</v>
      </c>
      <c r="R4127">
        <v>-0.83992990000000001</v>
      </c>
      <c r="S4127">
        <v>-1.5358889999999901</v>
      </c>
      <c r="T4127">
        <v>-0.22737180000000001</v>
      </c>
      <c r="U4127">
        <v>-2.6672820000000002</v>
      </c>
      <c r="V4127">
        <v>-0.27211429999999998</v>
      </c>
      <c r="W4127">
        <v>0.16969219999999999</v>
      </c>
      <c r="X4127">
        <v>0.94718440000000004</v>
      </c>
      <c r="Y4127">
        <v>-0.30380000000000001</v>
      </c>
      <c r="Z4127">
        <v>4.1256040000000001E-2</v>
      </c>
      <c r="AA4127">
        <v>0.95184219999999997</v>
      </c>
      <c r="AB4127">
        <v>19</v>
      </c>
      <c r="AC4127">
        <v>-7.4064000000000103</v>
      </c>
      <c r="AD4127">
        <v>-1.114795362443</v>
      </c>
      <c r="AE4127">
        <v>-12.952999999999999</v>
      </c>
      <c r="AF4127">
        <v>-4.5423878069703303</v>
      </c>
      <c r="AG4127">
        <v>-1.114795362443</v>
      </c>
      <c r="AH4127">
        <v>14.125749661225599</v>
      </c>
      <c r="AI4127">
        <v>94.296585711483004</v>
      </c>
      <c r="AJ4127">
        <v>107.82612458510999</v>
      </c>
      <c r="AK4127">
        <v>14.8799482250663</v>
      </c>
      <c r="AL4127">
        <v>80.230076215664994</v>
      </c>
      <c r="AM4127">
        <v>106.028700302286</v>
      </c>
      <c r="AN4127">
        <v>0.99999996130434399</v>
      </c>
    </row>
    <row r="4128" spans="1:40" x14ac:dyDescent="0.25">
      <c r="A4128" t="str">
        <f>"20190312172747163"</f>
        <v>20190312172747163</v>
      </c>
      <c r="B4128" t="str">
        <f>"1552382867153648"</f>
        <v>1552382867153648</v>
      </c>
      <c r="C4128" t="s">
        <v>40</v>
      </c>
      <c r="D4128">
        <v>3.26878</v>
      </c>
      <c r="E4128">
        <v>0.49167569999999999</v>
      </c>
      <c r="F4128" t="s">
        <v>50</v>
      </c>
      <c r="G4128">
        <v>-420.24509999999998</v>
      </c>
      <c r="H4128" s="1">
        <v>-1.3031629999999999E-6</v>
      </c>
      <c r="I4128">
        <v>121.5462</v>
      </c>
      <c r="J4128">
        <v>-412.97899999999998</v>
      </c>
      <c r="K4128">
        <v>1.114781</v>
      </c>
      <c r="L4128">
        <v>134.45599999999999</v>
      </c>
      <c r="M4128">
        <v>-0.73227629999999999</v>
      </c>
      <c r="N4128">
        <v>0</v>
      </c>
      <c r="O4128">
        <v>-0.68086400000000002</v>
      </c>
      <c r="P4128">
        <v>-0.51253420000000005</v>
      </c>
      <c r="Q4128">
        <v>0.1593889</v>
      </c>
      <c r="R4128">
        <v>-0.84374400000000005</v>
      </c>
      <c r="S4128">
        <v>-1.518219</v>
      </c>
      <c r="T4128">
        <v>-0.2288762</v>
      </c>
      <c r="U4128">
        <v>-2.677505</v>
      </c>
      <c r="V4128">
        <v>-0.27079189999999997</v>
      </c>
      <c r="W4128">
        <v>0.16969589999999901</v>
      </c>
      <c r="X4128">
        <v>0.94756269999999998</v>
      </c>
      <c r="Y4128">
        <v>-0.30176760000000002</v>
      </c>
      <c r="Z4128">
        <v>4.2132959999999997E-2</v>
      </c>
      <c r="AA4128">
        <v>0.95245009999999997</v>
      </c>
      <c r="AB4128">
        <v>19</v>
      </c>
      <c r="AC4128">
        <v>-7.2660999999999296</v>
      </c>
      <c r="AD4128">
        <v>-1.114782303163</v>
      </c>
      <c r="AE4128">
        <v>-12.909800000000001</v>
      </c>
      <c r="AF4128">
        <v>-4.48137865410669</v>
      </c>
      <c r="AG4128">
        <v>-1.114782303163</v>
      </c>
      <c r="AH4128">
        <v>14.0325288200524</v>
      </c>
      <c r="AI4128">
        <v>94.327740282150003</v>
      </c>
      <c r="AJ4128">
        <v>107.711217963881</v>
      </c>
      <c r="AK4128">
        <v>14.772858873980001</v>
      </c>
      <c r="AL4128">
        <v>80.229861591788605</v>
      </c>
      <c r="AM4128">
        <v>105.94873325272</v>
      </c>
      <c r="AN4128">
        <v>1.0000000110068501</v>
      </c>
    </row>
    <row r="4129" spans="1:40" x14ac:dyDescent="0.25">
      <c r="A4129" t="str">
        <f>"20190312172747189"</f>
        <v>20190312172747189</v>
      </c>
      <c r="B4129" t="str">
        <f>"1552382867183430"</f>
        <v>1552382867183430</v>
      </c>
      <c r="C4129" t="s">
        <v>40</v>
      </c>
      <c r="D4129">
        <v>3.2773490000000001</v>
      </c>
      <c r="E4129">
        <v>0.48885580000000001</v>
      </c>
      <c r="F4129" t="s">
        <v>50</v>
      </c>
      <c r="G4129">
        <v>-420.25200000000001</v>
      </c>
      <c r="H4129" s="1">
        <v>-1.235864E-6</v>
      </c>
      <c r="I4129">
        <v>121.4375</v>
      </c>
      <c r="J4129">
        <v>-413.12259999999998</v>
      </c>
      <c r="K4129">
        <v>1.114768</v>
      </c>
      <c r="L4129">
        <v>134.3064</v>
      </c>
      <c r="M4129">
        <v>-0.72550459999999894</v>
      </c>
      <c r="N4129">
        <v>0</v>
      </c>
      <c r="O4129">
        <v>-0.68807549999999995</v>
      </c>
      <c r="P4129">
        <v>-0.50534809999999997</v>
      </c>
      <c r="Q4129">
        <v>0.1598166</v>
      </c>
      <c r="R4129">
        <v>-0.84798750000000001</v>
      </c>
      <c r="S4129">
        <v>-1.50119</v>
      </c>
      <c r="T4129">
        <v>-0.230099</v>
      </c>
      <c r="U4129">
        <v>-2.687119</v>
      </c>
      <c r="V4129">
        <v>-0.26940389999999997</v>
      </c>
      <c r="W4129">
        <v>0.17014799999999999</v>
      </c>
      <c r="X4129">
        <v>0.94787719999999998</v>
      </c>
      <c r="Y4129">
        <v>-0.29840620000000001</v>
      </c>
      <c r="Z4129">
        <v>4.306981E-2</v>
      </c>
      <c r="AA4129">
        <v>0.9534667</v>
      </c>
      <c r="AB4129">
        <v>19</v>
      </c>
      <c r="AC4129">
        <v>-7.1293999999999702</v>
      </c>
      <c r="AD4129">
        <v>-1.114769235864</v>
      </c>
      <c r="AE4129">
        <v>-12.868899999999901</v>
      </c>
      <c r="AF4129">
        <v>-4.4060152477380301</v>
      </c>
      <c r="AG4129">
        <v>-1.114769235864</v>
      </c>
      <c r="AH4129">
        <v>13.948468852199801</v>
      </c>
      <c r="AI4129">
        <v>94.358024959169896</v>
      </c>
      <c r="AJ4129">
        <v>107.530183496166</v>
      </c>
      <c r="AK4129">
        <v>14.6702237247193</v>
      </c>
      <c r="AL4129">
        <v>80.203575750290796</v>
      </c>
      <c r="AM4129">
        <v>105.866111725192</v>
      </c>
      <c r="AN4129">
        <v>0.99999999475952395</v>
      </c>
    </row>
    <row r="4130" spans="1:40" x14ac:dyDescent="0.25">
      <c r="A4130" t="str">
        <f>"20190312172747226"</f>
        <v>20190312172747226</v>
      </c>
      <c r="B4130" t="str">
        <f>"1552382867213685"</f>
        <v>1552382867213685</v>
      </c>
      <c r="C4130" t="s">
        <v>40</v>
      </c>
      <c r="D4130">
        <v>3.2069480000000001</v>
      </c>
      <c r="E4130">
        <v>0.48537760000000002</v>
      </c>
      <c r="F4130" t="s">
        <v>50</v>
      </c>
      <c r="G4130">
        <v>-420.32690000000002</v>
      </c>
      <c r="H4130" s="1">
        <v>-9.2581829999999999E-7</v>
      </c>
      <c r="I4130">
        <v>120.9183</v>
      </c>
      <c r="J4130">
        <v>-413.33159999999998</v>
      </c>
      <c r="K4130">
        <v>1.1147499999999999</v>
      </c>
      <c r="L4130">
        <v>134.0831</v>
      </c>
      <c r="M4130">
        <v>-0.71538409999999997</v>
      </c>
      <c r="N4130">
        <v>0</v>
      </c>
      <c r="O4130">
        <v>-0.69859169999999904</v>
      </c>
      <c r="P4130">
        <v>-0.49549310000000002</v>
      </c>
      <c r="Q4130">
        <v>0.1608417</v>
      </c>
      <c r="R4130">
        <v>-0.85359050000000003</v>
      </c>
      <c r="S4130">
        <v>-1.458801</v>
      </c>
      <c r="T4130">
        <v>-0.2257304</v>
      </c>
      <c r="U4130">
        <v>-2.7109679999999998</v>
      </c>
      <c r="V4130">
        <v>-0.2664031</v>
      </c>
      <c r="W4130">
        <v>0.1712215</v>
      </c>
      <c r="X4130">
        <v>0.94853180000000004</v>
      </c>
      <c r="Y4130">
        <v>-0.29953069999999998</v>
      </c>
      <c r="Z4130">
        <v>4.3098400000000002E-2</v>
      </c>
      <c r="AA4130">
        <v>0.95311270000000003</v>
      </c>
      <c r="AB4130">
        <v>19</v>
      </c>
      <c r="AC4130">
        <v>-6.9953000000000403</v>
      </c>
      <c r="AD4130">
        <v>-1.1147509258182999</v>
      </c>
      <c r="AE4130">
        <v>-13.1648</v>
      </c>
      <c r="AF4130">
        <v>-4.5062759944109496</v>
      </c>
      <c r="AG4130">
        <v>-1.1147509258182999</v>
      </c>
      <c r="AH4130">
        <v>14.1235621938359</v>
      </c>
      <c r="AI4130">
        <v>94.300197054918002</v>
      </c>
      <c r="AJ4130">
        <v>107.69584811796101</v>
      </c>
      <c r="AK4130">
        <v>14.8668827266367</v>
      </c>
      <c r="AL4130">
        <v>80.1411527115729</v>
      </c>
      <c r="AM4130">
        <v>105.68784205871</v>
      </c>
      <c r="AN4130">
        <v>0.99999999468154999</v>
      </c>
    </row>
    <row r="4131" spans="1:40" x14ac:dyDescent="0.25">
      <c r="A4131" t="str">
        <f>"20190312172747248"</f>
        <v>20190312172747248</v>
      </c>
      <c r="B4131" t="str">
        <f>"1552382867243942"</f>
        <v>1552382867243942</v>
      </c>
      <c r="C4131" t="s">
        <v>40</v>
      </c>
      <c r="D4131">
        <v>3.2018680000000002</v>
      </c>
      <c r="E4131">
        <v>0.4835238</v>
      </c>
      <c r="F4131" t="s">
        <v>41</v>
      </c>
      <c r="G4131">
        <v>-420.75790000000001</v>
      </c>
      <c r="H4131" s="1">
        <v>-4.418542E-6</v>
      </c>
      <c r="I4131">
        <v>119.5758</v>
      </c>
      <c r="J4131">
        <v>-413.4563</v>
      </c>
      <c r="K4131">
        <v>1.1147320000000001</v>
      </c>
      <c r="L4131">
        <v>133.9468</v>
      </c>
      <c r="M4131">
        <v>-0.70920039999999995</v>
      </c>
      <c r="N4131">
        <v>0</v>
      </c>
      <c r="O4131">
        <v>-0.70486859999999996</v>
      </c>
      <c r="P4131">
        <v>-0.4894365</v>
      </c>
      <c r="Q4131">
        <v>0.16015219999999999</v>
      </c>
      <c r="R4131">
        <v>-0.85720649999999998</v>
      </c>
      <c r="S4131">
        <v>-1.4026179999999999</v>
      </c>
      <c r="T4131">
        <v>-0.2105466</v>
      </c>
      <c r="U4131">
        <v>-2.740021</v>
      </c>
      <c r="V4131">
        <v>-0.2648355</v>
      </c>
      <c r="W4131">
        <v>0.17056099999999999</v>
      </c>
      <c r="X4131">
        <v>0.94908959999999998</v>
      </c>
      <c r="Y4131">
        <v>-0.31061060000000001</v>
      </c>
      <c r="Z4131">
        <v>4.0419419999999998E-2</v>
      </c>
      <c r="AA4131">
        <v>0.94967749999999995</v>
      </c>
      <c r="AB4131">
        <v>19</v>
      </c>
      <c r="AC4131">
        <v>-7.3015999999999996</v>
      </c>
      <c r="AD4131">
        <v>-1.1147364185419999</v>
      </c>
      <c r="AE4131">
        <v>-14.370999999999899</v>
      </c>
      <c r="AF4131">
        <v>-5.0217269044059103</v>
      </c>
      <c r="AG4131">
        <v>-1.1147364185419999</v>
      </c>
      <c r="AH4131">
        <v>15.2365909248941</v>
      </c>
      <c r="AI4131">
        <v>93.974817095238393</v>
      </c>
      <c r="AJ4131">
        <v>108.241360137705</v>
      </c>
      <c r="AK4131">
        <v>16.081482562183901</v>
      </c>
      <c r="AL4131">
        <v>80.1795614554498</v>
      </c>
      <c r="AM4131">
        <v>105.591314750599</v>
      </c>
      <c r="AN4131">
        <v>0.99999998280470404</v>
      </c>
    </row>
    <row r="4132" spans="1:40" x14ac:dyDescent="0.25">
      <c r="A4132" t="str">
        <f>"20190312172747274"</f>
        <v>20190312172747274</v>
      </c>
      <c r="B4132" t="str">
        <f>"1552382867263462"</f>
        <v>1552382867263462</v>
      </c>
      <c r="C4132" t="s">
        <v>40</v>
      </c>
      <c r="D4132">
        <v>3.202966</v>
      </c>
      <c r="E4132">
        <v>0.48277720000000002</v>
      </c>
      <c r="F4132" t="s">
        <v>41</v>
      </c>
      <c r="G4132">
        <v>-420.85969999999998</v>
      </c>
      <c r="H4132" s="1">
        <v>-4.260181E-6</v>
      </c>
      <c r="I4132">
        <v>119.0574</v>
      </c>
      <c r="J4132">
        <v>-413.59930000000003</v>
      </c>
      <c r="K4132">
        <v>1.1147119999999999</v>
      </c>
      <c r="L4132">
        <v>133.78710000000001</v>
      </c>
      <c r="M4132">
        <v>-0.70194849999999998</v>
      </c>
      <c r="N4132">
        <v>0</v>
      </c>
      <c r="O4132">
        <v>-0.71209080000000002</v>
      </c>
      <c r="P4132">
        <v>-0.48179949999999999</v>
      </c>
      <c r="Q4132">
        <v>0.1596446</v>
      </c>
      <c r="R4132">
        <v>-0.86161679999999996</v>
      </c>
      <c r="S4132">
        <v>-1.3703000000000001</v>
      </c>
      <c r="T4132">
        <v>-0.2063258</v>
      </c>
      <c r="U4132">
        <v>-2.7558750000000001</v>
      </c>
      <c r="V4132">
        <v>-0.26360640000000002</v>
      </c>
      <c r="W4132">
        <v>0.17007749999999999</v>
      </c>
      <c r="X4132">
        <v>0.94951850000000004</v>
      </c>
      <c r="Y4132">
        <v>-0.31197550000000002</v>
      </c>
      <c r="Z4132">
        <v>4.0142690000000002E-2</v>
      </c>
      <c r="AA4132">
        <v>0.94924169999999997</v>
      </c>
      <c r="AB4132">
        <v>19</v>
      </c>
      <c r="AC4132">
        <v>-7.2603999999999402</v>
      </c>
      <c r="AD4132">
        <v>-1.1147162601809999</v>
      </c>
      <c r="AE4132">
        <v>-14.729699999999999</v>
      </c>
      <c r="AF4132">
        <v>-5.1462186370440799</v>
      </c>
      <c r="AG4132">
        <v>-1.1147162601809999</v>
      </c>
      <c r="AH4132">
        <v>15.515340500877601</v>
      </c>
      <c r="AI4132">
        <v>93.901119882016005</v>
      </c>
      <c r="AJ4132">
        <v>108.349951536847</v>
      </c>
      <c r="AK4132">
        <v>16.3845033326965</v>
      </c>
      <c r="AL4132">
        <v>80.207675256415698</v>
      </c>
      <c r="AM4132">
        <v>105.515778390528</v>
      </c>
      <c r="AN4132">
        <v>1.0000000359847201</v>
      </c>
    </row>
    <row r="4133" spans="1:40" x14ac:dyDescent="0.25">
      <c r="A4133" t="str">
        <f>"20190312172747295"</f>
        <v>20190312172747295</v>
      </c>
      <c r="B4133" t="str">
        <f>"1552382867283489"</f>
        <v>1552382867283489</v>
      </c>
      <c r="C4133" t="s">
        <v>40</v>
      </c>
      <c r="D4133">
        <v>3.223538</v>
      </c>
      <c r="E4133">
        <v>0.48231010000000002</v>
      </c>
      <c r="F4133" t="s">
        <v>41</v>
      </c>
      <c r="G4133">
        <v>-420.8956</v>
      </c>
      <c r="H4133" s="1">
        <v>-4.1494420000000003E-6</v>
      </c>
      <c r="I4133">
        <v>118.7133</v>
      </c>
      <c r="J4133">
        <v>-413.71260000000001</v>
      </c>
      <c r="K4133">
        <v>1.1147049999999901</v>
      </c>
      <c r="L4133">
        <v>133.6583</v>
      </c>
      <c r="M4133">
        <v>-0.69609480000000001</v>
      </c>
      <c r="N4133">
        <v>0</v>
      </c>
      <c r="O4133">
        <v>-0.71781410000000001</v>
      </c>
      <c r="P4133">
        <v>-0.47602090000000002</v>
      </c>
      <c r="Q4133">
        <v>0.15962399999999999</v>
      </c>
      <c r="R4133">
        <v>-0.8648264</v>
      </c>
      <c r="S4133">
        <v>-1.3407899999999999</v>
      </c>
      <c r="T4133">
        <v>-0.2048442</v>
      </c>
      <c r="U4133">
        <v>-2.7700200000000001</v>
      </c>
      <c r="V4133">
        <v>-0.2621829</v>
      </c>
      <c r="W4133">
        <v>0.1700817</v>
      </c>
      <c r="X4133">
        <v>0.94991179999999997</v>
      </c>
      <c r="Y4133">
        <v>-0.31428689999999998</v>
      </c>
      <c r="Z4133">
        <v>4.024374E-2</v>
      </c>
      <c r="AA4133">
        <v>0.94847459999999995</v>
      </c>
      <c r="AB4133">
        <v>19</v>
      </c>
      <c r="AC4133">
        <v>-7.1829999999999901</v>
      </c>
      <c r="AD4133">
        <v>-1.1147091494419901</v>
      </c>
      <c r="AE4133">
        <v>-14.944999999999901</v>
      </c>
      <c r="AF4133">
        <v>-5.2239808638066298</v>
      </c>
      <c r="AG4133">
        <v>-1.1147091494419901</v>
      </c>
      <c r="AH4133">
        <v>15.6585481691464</v>
      </c>
      <c r="AI4133">
        <v>93.8632955636335</v>
      </c>
      <c r="AJ4133">
        <v>108.44965091786899</v>
      </c>
      <c r="AK4133">
        <v>16.544566579960499</v>
      </c>
      <c r="AL4133">
        <v>80.207431123168305</v>
      </c>
      <c r="AM4133">
        <v>105.429911010721</v>
      </c>
      <c r="AN4133">
        <v>1.00000004275326</v>
      </c>
    </row>
    <row r="4134" spans="1:40" x14ac:dyDescent="0.25">
      <c r="A4134" t="str">
        <f>"20190312172747322"</f>
        <v>20190312172747322</v>
      </c>
      <c r="B4134" t="str">
        <f>"1552382867313744"</f>
        <v>1552382867313744</v>
      </c>
      <c r="C4134" t="s">
        <v>40</v>
      </c>
      <c r="D4134">
        <v>3.20865</v>
      </c>
      <c r="E4134">
        <v>0.48183239999999999</v>
      </c>
      <c r="F4134" t="s">
        <v>41</v>
      </c>
      <c r="G4134">
        <v>-420.96589999999998</v>
      </c>
      <c r="H4134" s="1">
        <v>-4.0262700000000003E-6</v>
      </c>
      <c r="I4134">
        <v>118.3754</v>
      </c>
      <c r="J4134">
        <v>-413.8578</v>
      </c>
      <c r="K4134">
        <v>1.1146959999999999</v>
      </c>
      <c r="L4134">
        <v>133.49019999999999</v>
      </c>
      <c r="M4134">
        <v>-0.6884441</v>
      </c>
      <c r="N4134">
        <v>0</v>
      </c>
      <c r="O4134">
        <v>-0.7251552</v>
      </c>
      <c r="P4134">
        <v>-0.46843449999999998</v>
      </c>
      <c r="Q4134">
        <v>0.1602644</v>
      </c>
      <c r="R4134">
        <v>-0.86884099999999997</v>
      </c>
      <c r="S4134">
        <v>-1.3194269999999999</v>
      </c>
      <c r="T4134">
        <v>-0.20277480000000001</v>
      </c>
      <c r="U4134">
        <v>-2.78009</v>
      </c>
      <c r="V4134">
        <v>-0.26033669999999998</v>
      </c>
      <c r="W4134">
        <v>0.17075270000000001</v>
      </c>
      <c r="X4134">
        <v>0.95029909999999995</v>
      </c>
      <c r="Y4134">
        <v>-0.31149949999999998</v>
      </c>
      <c r="Z4134">
        <v>4.0472300000000003E-2</v>
      </c>
      <c r="AA4134">
        <v>0.94938400000000001</v>
      </c>
      <c r="AB4134">
        <v>19</v>
      </c>
      <c r="AC4134">
        <v>-7.1080999999999701</v>
      </c>
      <c r="AD4134">
        <v>-1.11470002627</v>
      </c>
      <c r="AE4134">
        <v>-15.114799999999899</v>
      </c>
      <c r="AF4134">
        <v>-5.2284434648329396</v>
      </c>
      <c r="AG4134">
        <v>-1.11470002627</v>
      </c>
      <c r="AH4134">
        <v>15.7853424372692</v>
      </c>
      <c r="AI4134">
        <v>93.835068198427507</v>
      </c>
      <c r="AJ4134">
        <v>108.32597632672299</v>
      </c>
      <c r="AK4134">
        <v>16.666019713038001</v>
      </c>
      <c r="AL4134">
        <v>80.168414807318996</v>
      </c>
      <c r="AM4134">
        <v>105.32043228199601</v>
      </c>
      <c r="AN4134">
        <v>1.0000000306924901</v>
      </c>
    </row>
    <row r="4135" spans="1:40" x14ac:dyDescent="0.25">
      <c r="A4135" t="str">
        <f>"20190312172747360"</f>
        <v>20190312172747360</v>
      </c>
      <c r="B4135" t="str">
        <f>"1552382867353760"</f>
        <v>1552382867353760</v>
      </c>
      <c r="C4135" t="s">
        <v>40</v>
      </c>
      <c r="D4135">
        <v>3.2019479999999998</v>
      </c>
      <c r="E4135">
        <v>0.48167910000000003</v>
      </c>
      <c r="F4135" t="s">
        <v>41</v>
      </c>
      <c r="G4135">
        <v>-421.17169999999999</v>
      </c>
      <c r="H4135" s="1">
        <v>-3.7824699999999998E-6</v>
      </c>
      <c r="I4135">
        <v>117.6794</v>
      </c>
      <c r="J4135">
        <v>-414.06020000000001</v>
      </c>
      <c r="K4135">
        <v>1.114671</v>
      </c>
      <c r="L4135">
        <v>133.24969999999999</v>
      </c>
      <c r="M4135">
        <v>-0.67749169999999903</v>
      </c>
      <c r="N4135">
        <v>0</v>
      </c>
      <c r="O4135">
        <v>-0.7353982</v>
      </c>
      <c r="P4135">
        <v>-0.45713710000000002</v>
      </c>
      <c r="Q4135">
        <v>0.1601648</v>
      </c>
      <c r="R4135">
        <v>-0.87485590000000002</v>
      </c>
      <c r="S4135">
        <v>-1.2918400000000001</v>
      </c>
      <c r="T4135">
        <v>-0.1968896</v>
      </c>
      <c r="U4135">
        <v>-2.7926639999999998</v>
      </c>
      <c r="V4135">
        <v>-0.25839410000000002</v>
      </c>
      <c r="W4135">
        <v>0.17069110000000001</v>
      </c>
      <c r="X4135">
        <v>0.95084020000000002</v>
      </c>
      <c r="Y4135">
        <v>-0.30658770000000002</v>
      </c>
      <c r="Z4135">
        <v>4.0185730000000003E-2</v>
      </c>
      <c r="AA4135">
        <v>0.95099370000000005</v>
      </c>
      <c r="AB4135">
        <v>19</v>
      </c>
      <c r="AC4135">
        <v>-7.1114999999999702</v>
      </c>
      <c r="AD4135">
        <v>-1.1146747824700001</v>
      </c>
      <c r="AE4135">
        <v>-15.5702999999999</v>
      </c>
      <c r="AF4135">
        <v>-5.2970199908487396</v>
      </c>
      <c r="AG4135">
        <v>-1.1146747824700001</v>
      </c>
      <c r="AH4135">
        <v>16.2012336378837</v>
      </c>
      <c r="AI4135">
        <v>93.741546055340095</v>
      </c>
      <c r="AJ4135">
        <v>108.105241808282</v>
      </c>
      <c r="AK4135">
        <v>17.0815951258487</v>
      </c>
      <c r="AL4135">
        <v>80.171996749657794</v>
      </c>
      <c r="AM4135">
        <v>105.20317247276</v>
      </c>
      <c r="AN4135">
        <v>1.00000002423502</v>
      </c>
    </row>
    <row r="4136" spans="1:40" x14ac:dyDescent="0.25">
      <c r="A4136" t="str">
        <f>"20190312172747382"</f>
        <v>20190312172747382</v>
      </c>
      <c r="B4136" t="str">
        <f>"1552382867373281"</f>
        <v>1552382867373281</v>
      </c>
      <c r="C4136" t="s">
        <v>40</v>
      </c>
      <c r="D4136">
        <v>3.2126489999999999</v>
      </c>
      <c r="E4136">
        <v>0.48164859999999998</v>
      </c>
      <c r="F4136" t="s">
        <v>41</v>
      </c>
      <c r="G4136">
        <v>-421.17939999999999</v>
      </c>
      <c r="H4136" s="1">
        <v>-3.625667E-6</v>
      </c>
      <c r="I4136">
        <v>117.3091</v>
      </c>
      <c r="J4136">
        <v>-414.17219999999998</v>
      </c>
      <c r="K4136">
        <v>1.1146499999999999</v>
      </c>
      <c r="L4136">
        <v>133.11349999999999</v>
      </c>
      <c r="M4136">
        <v>-0.67128989999999999</v>
      </c>
      <c r="N4136">
        <v>0</v>
      </c>
      <c r="O4136">
        <v>-0.74106380000000005</v>
      </c>
      <c r="P4136">
        <v>-0.44988329999999999</v>
      </c>
      <c r="Q4136">
        <v>0.16035720000000001</v>
      </c>
      <c r="R4136">
        <v>-0.87857299999999905</v>
      </c>
      <c r="S4136">
        <v>-1.2547299999999999</v>
      </c>
      <c r="T4136">
        <v>-0.1964574</v>
      </c>
      <c r="U4136">
        <v>-2.8094640000000002</v>
      </c>
      <c r="V4136">
        <v>-0.25824350000000001</v>
      </c>
      <c r="W4136">
        <v>0.17089219999999999</v>
      </c>
      <c r="X4136">
        <v>0.95084500000000005</v>
      </c>
      <c r="Y4136">
        <v>-0.3111777</v>
      </c>
      <c r="Z4136">
        <v>4.0415659999999999E-2</v>
      </c>
      <c r="AA4136">
        <v>0.949492</v>
      </c>
      <c r="AB4136">
        <v>19</v>
      </c>
      <c r="AC4136">
        <v>-7.0072000000000099</v>
      </c>
      <c r="AD4136">
        <v>-1.1146536256670001</v>
      </c>
      <c r="AE4136">
        <v>-15.8043999999999</v>
      </c>
      <c r="AF4136">
        <v>-5.3946524390647097</v>
      </c>
      <c r="AG4136">
        <v>-1.1146536256670001</v>
      </c>
      <c r="AH4136">
        <v>16.3495608550013</v>
      </c>
      <c r="AI4136">
        <v>93.704333929932801</v>
      </c>
      <c r="AJ4136">
        <v>108.260669372092</v>
      </c>
      <c r="AK4136">
        <v>17.252619157534099</v>
      </c>
      <c r="AL4136">
        <v>80.160302824559494</v>
      </c>
      <c r="AM4136">
        <v>105.194648201405</v>
      </c>
      <c r="AN4136">
        <v>1.0000000316690401</v>
      </c>
    </row>
    <row r="4137" spans="1:40" x14ac:dyDescent="0.25">
      <c r="A4137" t="str">
        <f>"20190312172747404"</f>
        <v>20190312172747404</v>
      </c>
      <c r="B4137" t="str">
        <f>"1552382867393777"</f>
        <v>1552382867393777</v>
      </c>
      <c r="C4137" t="s">
        <v>40</v>
      </c>
      <c r="D4137">
        <v>3.2225609999999998</v>
      </c>
      <c r="E4137">
        <v>0.48170210000000002</v>
      </c>
      <c r="F4137" t="s">
        <v>41</v>
      </c>
      <c r="G4137">
        <v>-421.21440000000001</v>
      </c>
      <c r="H4137" s="1">
        <v>-3.4986810000000002E-6</v>
      </c>
      <c r="I4137">
        <v>116.9914</v>
      </c>
      <c r="J4137">
        <v>-414.2867</v>
      </c>
      <c r="K4137">
        <v>1.114628</v>
      </c>
      <c r="L4137">
        <v>132.9717</v>
      </c>
      <c r="M4137">
        <v>-0.66484149999999997</v>
      </c>
      <c r="N4137">
        <v>0</v>
      </c>
      <c r="O4137">
        <v>-0.74685449999999998</v>
      </c>
      <c r="P4137">
        <v>-0.44248929999999997</v>
      </c>
      <c r="Q4137">
        <v>0.16020980000000001</v>
      </c>
      <c r="R4137">
        <v>-0.88234699999999899</v>
      </c>
      <c r="S4137">
        <v>-1.231598</v>
      </c>
      <c r="T4137">
        <v>-0.19494059999999999</v>
      </c>
      <c r="U4137">
        <v>-2.8195649999999999</v>
      </c>
      <c r="V4137">
        <v>-0.25799339999999998</v>
      </c>
      <c r="W4137">
        <v>0.170758299999999</v>
      </c>
      <c r="X4137">
        <v>0.95093689999999997</v>
      </c>
      <c r="Y4137">
        <v>-0.31072939999999999</v>
      </c>
      <c r="Z4137">
        <v>4.0547220000000002E-2</v>
      </c>
      <c r="AA4137">
        <v>0.94963319999999996</v>
      </c>
      <c r="AB4137">
        <v>19</v>
      </c>
      <c r="AC4137">
        <v>-6.9277000000000104</v>
      </c>
      <c r="AD4137">
        <v>-1.114631498681</v>
      </c>
      <c r="AE4137">
        <v>-15.9803</v>
      </c>
      <c r="AF4137">
        <v>-5.4286790370438496</v>
      </c>
      <c r="AG4137">
        <v>-1.114631498681</v>
      </c>
      <c r="AH4137">
        <v>16.474915300347199</v>
      </c>
      <c r="AI4137">
        <v>93.676638631612207</v>
      </c>
      <c r="AJ4137">
        <v>108.237661591967</v>
      </c>
      <c r="AK4137">
        <v>17.3820537802271</v>
      </c>
      <c r="AL4137">
        <v>80.168088760634504</v>
      </c>
      <c r="AM4137">
        <v>105.179212698106</v>
      </c>
      <c r="AN4137">
        <v>0.99999998962202996</v>
      </c>
    </row>
    <row r="4138" spans="1:40" x14ac:dyDescent="0.25">
      <c r="A4138" t="str">
        <f>"20190312172747427"</f>
        <v>20190312172747427</v>
      </c>
      <c r="B4138" t="str">
        <f>"1552382867423056"</f>
        <v>1552382867423056</v>
      </c>
      <c r="C4138" t="s">
        <v>40</v>
      </c>
      <c r="D4138">
        <v>3.2327849999999998</v>
      </c>
      <c r="E4138">
        <v>0.48198449999999998</v>
      </c>
      <c r="F4138" t="s">
        <v>41</v>
      </c>
      <c r="G4138">
        <v>-421.19439999999997</v>
      </c>
      <c r="H4138" s="1">
        <v>-3.4088389999999999E-6</v>
      </c>
      <c r="I4138">
        <v>116.7944</v>
      </c>
      <c r="J4138">
        <v>-414.40280000000001</v>
      </c>
      <c r="K4138">
        <v>1.1145929999999999</v>
      </c>
      <c r="L4138">
        <v>132.82550000000001</v>
      </c>
      <c r="M4138">
        <v>-0.65820009999999995</v>
      </c>
      <c r="N4138">
        <v>0</v>
      </c>
      <c r="O4138">
        <v>-0.75271429999999995</v>
      </c>
      <c r="P4138">
        <v>-0.43530429999999998</v>
      </c>
      <c r="Q4138">
        <v>0.16011689999999901</v>
      </c>
      <c r="R4138">
        <v>-0.88593040000000001</v>
      </c>
      <c r="S4138">
        <v>-1.208191</v>
      </c>
      <c r="T4138">
        <v>-0.1949545</v>
      </c>
      <c r="U4138">
        <v>-2.8294980000000001</v>
      </c>
      <c r="V4138">
        <v>-0.25729370000000001</v>
      </c>
      <c r="W4138">
        <v>0.17068739999999999</v>
      </c>
      <c r="X4138">
        <v>0.95113919999999996</v>
      </c>
      <c r="Y4138">
        <v>-0.310164</v>
      </c>
      <c r="Z4138">
        <v>4.1002230000000001E-2</v>
      </c>
      <c r="AA4138">
        <v>0.94979849999999999</v>
      </c>
      <c r="AB4138">
        <v>19</v>
      </c>
      <c r="AC4138">
        <v>-6.7915999999999599</v>
      </c>
      <c r="AD4138">
        <v>-1.1145964088389999</v>
      </c>
      <c r="AE4138">
        <v>-16.031099999999999</v>
      </c>
      <c r="AF4138">
        <v>-5.4178596467811397</v>
      </c>
      <c r="AG4138">
        <v>-1.1145964088389999</v>
      </c>
      <c r="AH4138">
        <v>16.471166808174399</v>
      </c>
      <c r="AI4138">
        <v>93.677991490071093</v>
      </c>
      <c r="AJ4138">
        <v>108.207582566754</v>
      </c>
      <c r="AK4138">
        <v>17.3751219946658</v>
      </c>
      <c r="AL4138">
        <v>80.172211732106803</v>
      </c>
      <c r="AM4138">
        <v>105.13686510971</v>
      </c>
      <c r="AN4138">
        <v>1.0000000071775399</v>
      </c>
    </row>
    <row r="4139" spans="1:40" x14ac:dyDescent="0.25">
      <c r="A4139" t="str">
        <f>"20190312172747450"</f>
        <v>20190312172747450</v>
      </c>
      <c r="B4139" t="str">
        <f>"1552382867443553"</f>
        <v>1552382867443553</v>
      </c>
      <c r="C4139" t="s">
        <v>40</v>
      </c>
      <c r="D4139">
        <v>3.438396</v>
      </c>
      <c r="E4139">
        <v>0.48217070000000001</v>
      </c>
      <c r="F4139" t="s">
        <v>41</v>
      </c>
      <c r="G4139">
        <v>-421.197</v>
      </c>
      <c r="H4139" s="1">
        <v>-3.3206469999999998E-6</v>
      </c>
      <c r="I4139">
        <v>116.5872</v>
      </c>
      <c r="J4139">
        <v>-414.51519999999999</v>
      </c>
      <c r="K4139">
        <v>1.1145579999999999</v>
      </c>
      <c r="L4139">
        <v>132.68129999999999</v>
      </c>
      <c r="M4139">
        <v>-0.65168369999999998</v>
      </c>
      <c r="N4139">
        <v>0</v>
      </c>
      <c r="O4139">
        <v>-0.75836329999999996</v>
      </c>
      <c r="P4139">
        <v>-0.42871609999999999</v>
      </c>
      <c r="Q4139">
        <v>0.1606368</v>
      </c>
      <c r="R4139">
        <v>-0.88904399999999995</v>
      </c>
      <c r="S4139">
        <v>-1.1874389999999999</v>
      </c>
      <c r="T4139">
        <v>-0.19480239999999999</v>
      </c>
      <c r="U4139">
        <v>-2.838028</v>
      </c>
      <c r="V4139">
        <v>-0.2560771</v>
      </c>
      <c r="W4139">
        <v>0.1712389</v>
      </c>
      <c r="X4139">
        <v>0.95136829999999994</v>
      </c>
      <c r="Y4139">
        <v>-0.308896</v>
      </c>
      <c r="Z4139">
        <v>4.1423759999999997E-2</v>
      </c>
      <c r="AA4139">
        <v>0.95019330000000002</v>
      </c>
      <c r="AB4139">
        <v>19</v>
      </c>
      <c r="AC4139">
        <v>-6.6817999999999502</v>
      </c>
      <c r="AD4139">
        <v>-1.114561320647</v>
      </c>
      <c r="AE4139">
        <v>-16.094099999999901</v>
      </c>
      <c r="AF4139">
        <v>-5.3994669102396902</v>
      </c>
      <c r="AG4139">
        <v>-1.114561320647</v>
      </c>
      <c r="AH4139">
        <v>16.4937240178655</v>
      </c>
      <c r="AI4139">
        <v>93.674558401715203</v>
      </c>
      <c r="AJ4139">
        <v>108.126632175349</v>
      </c>
      <c r="AK4139">
        <v>17.390785543780598</v>
      </c>
      <c r="AL4139">
        <v>80.140140297117995</v>
      </c>
      <c r="AM4139">
        <v>105.06508969310001</v>
      </c>
      <c r="AN4139">
        <v>0.99999994213125298</v>
      </c>
    </row>
    <row r="4140" spans="1:40" x14ac:dyDescent="0.25">
      <c r="A4140" t="str">
        <f>"20190312172747472"</f>
        <v>20190312172747472</v>
      </c>
      <c r="B4140" t="str">
        <f>"1552382867463074"</f>
        <v>1552382867463074</v>
      </c>
      <c r="C4140" t="s">
        <v>40</v>
      </c>
      <c r="D4140">
        <v>3.2309100000000002</v>
      </c>
      <c r="E4140">
        <v>0.48240620000000001</v>
      </c>
      <c r="F4140" t="s">
        <v>41</v>
      </c>
      <c r="G4140">
        <v>-421.26209999999998</v>
      </c>
      <c r="H4140" s="1">
        <v>-3.1847429999999999E-6</v>
      </c>
      <c r="I4140">
        <v>116.23</v>
      </c>
      <c r="J4140">
        <v>-414.6268</v>
      </c>
      <c r="K4140">
        <v>1.1145149999999999</v>
      </c>
      <c r="L4140">
        <v>132.53559999999999</v>
      </c>
      <c r="M4140">
        <v>-0.64512650000000005</v>
      </c>
      <c r="N4140">
        <v>0</v>
      </c>
      <c r="O4140">
        <v>-0.76394930000000005</v>
      </c>
      <c r="P4140">
        <v>-0.42191269999999997</v>
      </c>
      <c r="Q4140">
        <v>0.16059519999999999</v>
      </c>
      <c r="R4140">
        <v>-0.89230019999999999</v>
      </c>
      <c r="S4140">
        <v>-1.1673279999999999</v>
      </c>
      <c r="T4140">
        <v>-0.1928385</v>
      </c>
      <c r="U4140">
        <v>-2.8463590000000001</v>
      </c>
      <c r="V4140">
        <v>-0.25513160000000001</v>
      </c>
      <c r="W4140">
        <v>0.17123050000000001</v>
      </c>
      <c r="X4140">
        <v>0.95162389999999997</v>
      </c>
      <c r="Y4140">
        <v>-0.30742380000000002</v>
      </c>
      <c r="Z4140">
        <v>4.1453740000000003E-2</v>
      </c>
      <c r="AA4140">
        <v>0.95066930000000005</v>
      </c>
      <c r="AB4140">
        <v>19</v>
      </c>
      <c r="AC4140">
        <v>-6.6352999999999698</v>
      </c>
      <c r="AD4140">
        <v>-1.1145181847429999</v>
      </c>
      <c r="AE4140">
        <v>-16.305599999999899</v>
      </c>
      <c r="AF4140">
        <v>-5.4289082754755897</v>
      </c>
      <c r="AG4140">
        <v>-1.1145181847429999</v>
      </c>
      <c r="AH4140">
        <v>16.672051699852702</v>
      </c>
      <c r="AI4140">
        <v>93.637077279719193</v>
      </c>
      <c r="AJ4140">
        <v>108.03676642743</v>
      </c>
      <c r="AK4140">
        <v>17.5690780557835</v>
      </c>
      <c r="AL4140">
        <v>80.140629694092695</v>
      </c>
      <c r="AM4140">
        <v>105.008130745956</v>
      </c>
      <c r="AN4140">
        <v>1.00000003225</v>
      </c>
    </row>
    <row r="4141" spans="1:40" x14ac:dyDescent="0.25">
      <c r="A4141" t="str">
        <f>"20190312172747495"</f>
        <v>20190312172747495</v>
      </c>
      <c r="B4141" t="str">
        <f>"1552382867483569"</f>
        <v>1552382867483569</v>
      </c>
      <c r="C4141" t="s">
        <v>40</v>
      </c>
      <c r="D4141">
        <v>3.236167</v>
      </c>
      <c r="E4141">
        <v>0.48269129999999899</v>
      </c>
      <c r="F4141" t="s">
        <v>41</v>
      </c>
      <c r="G4141">
        <v>-421.255</v>
      </c>
      <c r="H4141" s="1">
        <v>-3.1059749999999999E-6</v>
      </c>
      <c r="I4141">
        <v>116.0508</v>
      </c>
      <c r="J4141">
        <v>-414.73950000000002</v>
      </c>
      <c r="K4141">
        <v>1.114465</v>
      </c>
      <c r="L4141">
        <v>132.38579999999999</v>
      </c>
      <c r="M4141">
        <v>-0.63842540000000003</v>
      </c>
      <c r="N4141">
        <v>0</v>
      </c>
      <c r="O4141">
        <v>-0.76955839999999998</v>
      </c>
      <c r="P4141">
        <v>-0.41489749999999997</v>
      </c>
      <c r="Q4141">
        <v>0.1604971</v>
      </c>
      <c r="R4141">
        <v>-0.89560090000000003</v>
      </c>
      <c r="S4141">
        <v>-1.1476139999999999</v>
      </c>
      <c r="T4141">
        <v>-0.19297030000000001</v>
      </c>
      <c r="U4141">
        <v>-2.8542019999999999</v>
      </c>
      <c r="V4141">
        <v>-0.25426989999999999</v>
      </c>
      <c r="W4141">
        <v>0.1711656</v>
      </c>
      <c r="X4141">
        <v>0.95186610000000005</v>
      </c>
      <c r="Y4141">
        <v>-0.30566989999999999</v>
      </c>
      <c r="Z4141">
        <v>4.193881E-2</v>
      </c>
      <c r="AA4141">
        <v>0.95121350000000005</v>
      </c>
      <c r="AB4141">
        <v>19</v>
      </c>
      <c r="AC4141">
        <v>-6.5154999999999701</v>
      </c>
      <c r="AD4141">
        <v>-1.1144681059749999</v>
      </c>
      <c r="AE4141">
        <v>-16.334999999999901</v>
      </c>
      <c r="AF4141">
        <v>-5.39348396638675</v>
      </c>
      <c r="AG4141">
        <v>-1.1144681059749999</v>
      </c>
      <c r="AH4141">
        <v>16.665086302115402</v>
      </c>
      <c r="AI4141">
        <v>93.640551150149705</v>
      </c>
      <c r="AJ4141">
        <v>107.933641230644</v>
      </c>
      <c r="AK4141">
        <v>17.551547222734001</v>
      </c>
      <c r="AL4141">
        <v>80.144403176076693</v>
      </c>
      <c r="AM4141">
        <v>104.95608140598701</v>
      </c>
      <c r="AN4141">
        <v>0.99999995849928902</v>
      </c>
    </row>
    <row r="4142" spans="1:40" x14ac:dyDescent="0.25">
      <c r="A4142" t="str">
        <f>"20190312172747521"</f>
        <v>20190312172747521</v>
      </c>
      <c r="B4142" t="str">
        <f>"1552382867513824"</f>
        <v>1552382867513824</v>
      </c>
      <c r="C4142" t="s">
        <v>40</v>
      </c>
      <c r="D4142">
        <v>3.296856</v>
      </c>
      <c r="E4142">
        <v>0.48305169999999997</v>
      </c>
      <c r="F4142" t="s">
        <v>41</v>
      </c>
      <c r="G4142">
        <v>-421.24529999999999</v>
      </c>
      <c r="H4142" s="1">
        <v>-3.0261870000000002E-6</v>
      </c>
      <c r="I4142">
        <v>115.8708</v>
      </c>
      <c r="J4142">
        <v>-414.86349999999999</v>
      </c>
      <c r="K4142">
        <v>1.1144050000000001</v>
      </c>
      <c r="L4142">
        <v>132.2182</v>
      </c>
      <c r="M4142">
        <v>-0.63097040000000004</v>
      </c>
      <c r="N4142">
        <v>0</v>
      </c>
      <c r="O4142">
        <v>-0.77568239999999999</v>
      </c>
      <c r="P4142">
        <v>-0.40712700000000002</v>
      </c>
      <c r="Q4142">
        <v>0.16091469999999999</v>
      </c>
      <c r="R4142">
        <v>-0.89908519999999903</v>
      </c>
      <c r="S4142">
        <v>-1.1274409999999999</v>
      </c>
      <c r="T4142">
        <v>-0.193135</v>
      </c>
      <c r="U4142">
        <v>-2.862015</v>
      </c>
      <c r="V4142">
        <v>-0.25325819999999999</v>
      </c>
      <c r="W4142">
        <v>0.17161989999999999</v>
      </c>
      <c r="X4142">
        <v>0.95205399999999996</v>
      </c>
      <c r="Y4142">
        <v>-0.30317830000000001</v>
      </c>
      <c r="Z4142">
        <v>4.2486929999999999E-2</v>
      </c>
      <c r="AA4142">
        <v>0.9519862</v>
      </c>
      <c r="AB4142">
        <v>18</v>
      </c>
      <c r="AC4142">
        <v>-6.3817999999999904</v>
      </c>
      <c r="AD4142">
        <v>-1.114408026187</v>
      </c>
      <c r="AE4142">
        <v>-16.347399999999901</v>
      </c>
      <c r="AF4142">
        <v>-5.34344568996646</v>
      </c>
      <c r="AG4142">
        <v>-1.114408026187</v>
      </c>
      <c r="AH4142">
        <v>16.641621906480999</v>
      </c>
      <c r="AI4142">
        <v>93.648183211048206</v>
      </c>
      <c r="AJ4142">
        <v>107.801265392791</v>
      </c>
      <c r="AK4142">
        <v>17.5139343600665</v>
      </c>
      <c r="AL4142">
        <v>80.117982792602504</v>
      </c>
      <c r="AM4142">
        <v>104.89641522287999</v>
      </c>
      <c r="AN4142">
        <v>0.99999996242962397</v>
      </c>
    </row>
    <row r="4143" spans="1:40" x14ac:dyDescent="0.25">
      <c r="A4143" t="str">
        <f>"20190312172747545"</f>
        <v>20190312172747545</v>
      </c>
      <c r="B4143" t="str">
        <f>"1552382867533345"</f>
        <v>1552382867533345</v>
      </c>
      <c r="C4143" t="s">
        <v>40</v>
      </c>
      <c r="D4143">
        <v>3.2699639999999999</v>
      </c>
      <c r="E4143">
        <v>0.48338740000000002</v>
      </c>
      <c r="F4143" t="s">
        <v>41</v>
      </c>
      <c r="G4143">
        <v>-421.3218</v>
      </c>
      <c r="H4143" s="1">
        <v>-2.8668849999999998E-6</v>
      </c>
      <c r="I4143">
        <v>115.4521</v>
      </c>
      <c r="J4143">
        <v>-414.97800000000001</v>
      </c>
      <c r="K4143">
        <v>1.114347</v>
      </c>
      <c r="L4143">
        <v>132.06049999999999</v>
      </c>
      <c r="M4143">
        <v>-0.62402029999999997</v>
      </c>
      <c r="N4143">
        <v>0</v>
      </c>
      <c r="O4143">
        <v>-0.7812848</v>
      </c>
      <c r="P4143">
        <v>-0.40032309999999999</v>
      </c>
      <c r="Q4143">
        <v>0.16088720000000001</v>
      </c>
      <c r="R4143">
        <v>-0.90214039999999995</v>
      </c>
      <c r="S4143">
        <v>-1.105621</v>
      </c>
      <c r="T4143">
        <v>-0.1907787</v>
      </c>
      <c r="U4143">
        <v>-2.8702390000000002</v>
      </c>
      <c r="V4143">
        <v>-0.25192579999999998</v>
      </c>
      <c r="W4143">
        <v>0.17163539999999999</v>
      </c>
      <c r="X4143">
        <v>0.95240469999999999</v>
      </c>
      <c r="Y4143">
        <v>-0.30188320000000002</v>
      </c>
      <c r="Z4143">
        <v>4.241404E-2</v>
      </c>
      <c r="AA4143">
        <v>0.95240089999999999</v>
      </c>
      <c r="AB4143">
        <v>18</v>
      </c>
      <c r="AC4143">
        <v>-6.3437999999999803</v>
      </c>
      <c r="AD4143">
        <v>-1.114349866885</v>
      </c>
      <c r="AE4143">
        <v>-16.6083999999999</v>
      </c>
      <c r="AF4143">
        <v>-5.3870217375493796</v>
      </c>
      <c r="AG4143">
        <v>-1.114349866885</v>
      </c>
      <c r="AH4143">
        <v>16.8699067493135</v>
      </c>
      <c r="AI4143">
        <v>93.600596210248398</v>
      </c>
      <c r="AJ4143">
        <v>107.70970199883</v>
      </c>
      <c r="AK4143">
        <v>17.744168973417398</v>
      </c>
      <c r="AL4143">
        <v>80.117081865865998</v>
      </c>
      <c r="AM4143">
        <v>104.816285353811</v>
      </c>
      <c r="AN4143">
        <v>1.0000000159104401</v>
      </c>
    </row>
    <row r="4144" spans="1:40" x14ac:dyDescent="0.25">
      <c r="A4144" t="str">
        <f>"20190312172747564"</f>
        <v>20190312172747564</v>
      </c>
      <c r="B4144" t="str">
        <f>"1552382867553841"</f>
        <v>1552382867553841</v>
      </c>
      <c r="C4144" t="s">
        <v>40</v>
      </c>
      <c r="D4144">
        <v>3.250499</v>
      </c>
      <c r="E4144">
        <v>0.4837996</v>
      </c>
      <c r="F4144" t="s">
        <v>41</v>
      </c>
      <c r="G4144">
        <v>-421.33240000000001</v>
      </c>
      <c r="H4144" s="1">
        <v>-2.778273E-6</v>
      </c>
      <c r="I4144">
        <v>115.2389</v>
      </c>
      <c r="J4144">
        <v>-415.06799999999998</v>
      </c>
      <c r="K4144">
        <v>1.1143000000000001</v>
      </c>
      <c r="L4144">
        <v>131.93450000000001</v>
      </c>
      <c r="M4144">
        <v>-0.61852810000000003</v>
      </c>
      <c r="N4144">
        <v>0</v>
      </c>
      <c r="O4144">
        <v>-0.78564040000000002</v>
      </c>
      <c r="P4144">
        <v>-0.39577289999999998</v>
      </c>
      <c r="Q4144">
        <v>0.16076560000000001</v>
      </c>
      <c r="R4144">
        <v>-0.90416719999999895</v>
      </c>
      <c r="S4144">
        <v>-1.0868530000000001</v>
      </c>
      <c r="T4144">
        <v>-0.19059780000000001</v>
      </c>
      <c r="U4144">
        <v>-2.877151</v>
      </c>
      <c r="V4144">
        <v>-0.25003209999999998</v>
      </c>
      <c r="W4144">
        <v>0.17156170000000001</v>
      </c>
      <c r="X4144">
        <v>0.95291689999999996</v>
      </c>
      <c r="Y4144">
        <v>-0.30139579999999999</v>
      </c>
      <c r="Z4144">
        <v>4.2708860000000001E-2</v>
      </c>
      <c r="AA4144">
        <v>0.95254209999999995</v>
      </c>
      <c r="AB4144">
        <v>18</v>
      </c>
      <c r="AC4144">
        <v>-6.2643999999999602</v>
      </c>
      <c r="AD4144">
        <v>-1.1143027782729999</v>
      </c>
      <c r="AE4144">
        <v>-16.695599999999999</v>
      </c>
      <c r="AF4144">
        <v>-5.3846255179405098</v>
      </c>
      <c r="AG4144">
        <v>-1.1143027782729999</v>
      </c>
      <c r="AH4144">
        <v>16.926981522179801</v>
      </c>
      <c r="AI4144">
        <v>93.589597913644894</v>
      </c>
      <c r="AJ4144">
        <v>107.64633660874701</v>
      </c>
      <c r="AK4144">
        <v>17.7977123839649</v>
      </c>
      <c r="AL4144">
        <v>80.121368414778601</v>
      </c>
      <c r="AM4144">
        <v>104.702195675421</v>
      </c>
      <c r="AN4144">
        <v>1.00000004312145</v>
      </c>
    </row>
    <row r="4145" spans="1:40" x14ac:dyDescent="0.25">
      <c r="A4145" t="str">
        <f>"20190312172747585"</f>
        <v>20190312172747585</v>
      </c>
      <c r="B4145" t="str">
        <f>"1552382867573361"</f>
        <v>1552382867573361</v>
      </c>
      <c r="C4145" t="s">
        <v>40</v>
      </c>
      <c r="D4145">
        <v>3.2654610000000002</v>
      </c>
      <c r="E4145">
        <v>0.48418290000000003</v>
      </c>
      <c r="F4145" t="s">
        <v>41</v>
      </c>
      <c r="G4145">
        <v>-421.33949999999999</v>
      </c>
      <c r="H4145" s="1">
        <v>-2.7358480000000002E-6</v>
      </c>
      <c r="I4145">
        <v>115.1356</v>
      </c>
      <c r="J4145">
        <v>-415.16489999999999</v>
      </c>
      <c r="K4145">
        <v>1.1142319999999999</v>
      </c>
      <c r="L4145">
        <v>131.797</v>
      </c>
      <c r="M4145">
        <v>-0.61259790000000003</v>
      </c>
      <c r="N4145">
        <v>0</v>
      </c>
      <c r="O4145">
        <v>-0.79027329999999996</v>
      </c>
      <c r="P4145">
        <v>-0.39069999999999999</v>
      </c>
      <c r="Q4145">
        <v>0.1607256</v>
      </c>
      <c r="R4145">
        <v>-0.90637809999999996</v>
      </c>
      <c r="S4145">
        <v>-1.075623</v>
      </c>
      <c r="T4145">
        <v>-0.19111239999999999</v>
      </c>
      <c r="U4145">
        <v>-2.8811490000000002</v>
      </c>
      <c r="V4145">
        <v>-0.24817069999999999</v>
      </c>
      <c r="W4145">
        <v>0.17157430000000001</v>
      </c>
      <c r="X4145">
        <v>0.95340100000000005</v>
      </c>
      <c r="Y4145">
        <v>-0.29791719999999999</v>
      </c>
      <c r="Z4145">
        <v>4.324153E-2</v>
      </c>
      <c r="AA4145">
        <v>0.95361189999999996</v>
      </c>
      <c r="AB4145">
        <v>18</v>
      </c>
      <c r="AC4145">
        <v>-6.1745999999999901</v>
      </c>
      <c r="AD4145">
        <v>-1.11423473584799</v>
      </c>
      <c r="AE4145">
        <v>-16.6614</v>
      </c>
      <c r="AF4145">
        <v>-5.3067609329436101</v>
      </c>
      <c r="AG4145">
        <v>-1.11423473584799</v>
      </c>
      <c r="AH4145">
        <v>16.8848380175736</v>
      </c>
      <c r="AI4145">
        <v>93.602255146539505</v>
      </c>
      <c r="AJ4145">
        <v>107.44748970306701</v>
      </c>
      <c r="AK4145">
        <v>17.734175637048502</v>
      </c>
      <c r="AL4145">
        <v>80.120634710901399</v>
      </c>
      <c r="AM4145">
        <v>104.590338993423</v>
      </c>
      <c r="AN4145">
        <v>0.99999995177998802</v>
      </c>
    </row>
    <row r="4146" spans="1:40" x14ac:dyDescent="0.25">
      <c r="A4146" t="str">
        <f>"20190312172747607"</f>
        <v>20190312172747607</v>
      </c>
      <c r="B4146" t="str">
        <f>"1552382867603617"</f>
        <v>1552382867603617</v>
      </c>
      <c r="C4146" t="s">
        <v>40</v>
      </c>
      <c r="D4146">
        <v>3.2642069999999999</v>
      </c>
      <c r="E4146">
        <v>0.49572430000000001</v>
      </c>
      <c r="F4146" t="s">
        <v>41</v>
      </c>
      <c r="G4146">
        <v>-421.36160000000001</v>
      </c>
      <c r="H4146" s="1">
        <v>-2.671317E-6</v>
      </c>
      <c r="I4146">
        <v>114.97150000000001</v>
      </c>
      <c r="J4146">
        <v>-415.2679</v>
      </c>
      <c r="K4146">
        <v>1.114152</v>
      </c>
      <c r="L4146">
        <v>131.64850000000001</v>
      </c>
      <c r="M4146">
        <v>-0.60626720000000001</v>
      </c>
      <c r="N4146">
        <v>0</v>
      </c>
      <c r="O4146">
        <v>-0.79514059999999998</v>
      </c>
      <c r="P4146">
        <v>-0.38564660000000001</v>
      </c>
      <c r="Q4146">
        <v>0.16045909999999999</v>
      </c>
      <c r="R4146">
        <v>-0.90858669999999997</v>
      </c>
      <c r="S4146">
        <v>-1.062775</v>
      </c>
      <c r="T4146">
        <v>-0.19109760000000001</v>
      </c>
      <c r="U4146">
        <v>-2.8856660000000001</v>
      </c>
      <c r="V4146">
        <v>-0.2458525</v>
      </c>
      <c r="W4146">
        <v>0.17137140000000001</v>
      </c>
      <c r="X4146">
        <v>0.95403800000000005</v>
      </c>
      <c r="Y4146">
        <v>-0.29452</v>
      </c>
      <c r="Z4146">
        <v>4.3671429999999997E-2</v>
      </c>
      <c r="AA4146">
        <v>0.95464689999999996</v>
      </c>
      <c r="AB4146">
        <v>18</v>
      </c>
      <c r="AC4146">
        <v>-6.0937000000000099</v>
      </c>
      <c r="AD4146">
        <v>-1.1141546713169901</v>
      </c>
      <c r="AE4146">
        <v>-16.677</v>
      </c>
      <c r="AF4146">
        <v>-5.2452206505288403</v>
      </c>
      <c r="AG4146">
        <v>-1.1141546713169901</v>
      </c>
      <c r="AH4146">
        <v>16.890088062019899</v>
      </c>
      <c r="AI4146">
        <v>93.604706826520001</v>
      </c>
      <c r="AJ4146">
        <v>107.252193303946</v>
      </c>
      <c r="AK4146">
        <v>17.720856498689301</v>
      </c>
      <c r="AL4146">
        <v>80.132435846421998</v>
      </c>
      <c r="AM4146">
        <v>104.450537028203</v>
      </c>
      <c r="AN4146">
        <v>1.0000000569691001</v>
      </c>
    </row>
    <row r="4147" spans="1:40" x14ac:dyDescent="0.25">
      <c r="A4147" t="str">
        <f>"20190312172747628"</f>
        <v>20190312172747628</v>
      </c>
      <c r="B4147" t="str">
        <f>"1552382867623137"</f>
        <v>1552382867623137</v>
      </c>
      <c r="C4147" t="s">
        <v>40</v>
      </c>
      <c r="D4147">
        <v>3.2632319999999999</v>
      </c>
      <c r="E4147">
        <v>0.49593969999999998</v>
      </c>
      <c r="F4147" t="s">
        <v>41</v>
      </c>
      <c r="G4147">
        <v>-421.49599999999998</v>
      </c>
      <c r="H4147" s="1">
        <v>-3.1165409999999998E-6</v>
      </c>
      <c r="I4147">
        <v>115.926</v>
      </c>
      <c r="J4147">
        <v>-415.36430000000001</v>
      </c>
      <c r="K4147">
        <v>1.114072</v>
      </c>
      <c r="L4147">
        <v>131.50749999999999</v>
      </c>
      <c r="M4147">
        <v>-0.60033709999999996</v>
      </c>
      <c r="N4147">
        <v>0</v>
      </c>
      <c r="O4147">
        <v>-0.79962749999999905</v>
      </c>
      <c r="P4147">
        <v>-0.38079839999999998</v>
      </c>
      <c r="Q4147">
        <v>0.16002739999999999</v>
      </c>
      <c r="R4147">
        <v>-0.91070490000000004</v>
      </c>
      <c r="S4147">
        <v>-1.1318049999999999</v>
      </c>
      <c r="T4147">
        <v>-0.20246990000000001</v>
      </c>
      <c r="U4147">
        <v>-2.8571780000000002</v>
      </c>
      <c r="V4147">
        <v>-0.24384549999999999</v>
      </c>
      <c r="W4147">
        <v>0.1709965</v>
      </c>
      <c r="X4147">
        <v>0.95462009999999997</v>
      </c>
      <c r="Y4147">
        <v>-0.26416299999999998</v>
      </c>
      <c r="Z4147">
        <v>4.7281240000000002E-2</v>
      </c>
      <c r="AA4147">
        <v>0.96331840000000002</v>
      </c>
      <c r="AB4147">
        <v>18</v>
      </c>
      <c r="AC4147">
        <v>-6.1316999999999604</v>
      </c>
      <c r="AD4147">
        <v>-1.1140751165410001</v>
      </c>
      <c r="AE4147">
        <v>-15.581499999999901</v>
      </c>
      <c r="AF4147">
        <v>-4.4318835878063902</v>
      </c>
      <c r="AG4147">
        <v>-1.1140751165410001</v>
      </c>
      <c r="AH4147">
        <v>16.070885299629701</v>
      </c>
      <c r="AI4147">
        <v>93.823278063999794</v>
      </c>
      <c r="AJ4147">
        <v>105.417310606508</v>
      </c>
      <c r="AK4147">
        <v>16.707965460073702</v>
      </c>
      <c r="AL4147">
        <v>80.154237116055199</v>
      </c>
      <c r="AM4147">
        <v>104.329070512496</v>
      </c>
      <c r="AN4147">
        <v>0.999999983103254</v>
      </c>
    </row>
    <row r="4148" spans="1:40" x14ac:dyDescent="0.25">
      <c r="A4148" t="str">
        <f>"20190312172747651"</f>
        <v>20190312172747651</v>
      </c>
      <c r="B4148" t="str">
        <f>"1552382867643633"</f>
        <v>1552382867643633</v>
      </c>
      <c r="C4148" t="s">
        <v>40</v>
      </c>
      <c r="D4148">
        <v>3.2558210000000001</v>
      </c>
      <c r="E4148">
        <v>0.4760491</v>
      </c>
      <c r="F4148" t="s">
        <v>41</v>
      </c>
      <c r="G4148">
        <v>-421.28089999999997</v>
      </c>
      <c r="H4148" s="1">
        <v>-3.2419650000000001E-6</v>
      </c>
      <c r="I4148">
        <v>116.3518</v>
      </c>
      <c r="J4148">
        <v>-415.46609999999998</v>
      </c>
      <c r="K4148">
        <v>1.1139920000000001</v>
      </c>
      <c r="L4148">
        <v>131.3562</v>
      </c>
      <c r="M4148">
        <v>-0.59406359999999903</v>
      </c>
      <c r="N4148">
        <v>0</v>
      </c>
      <c r="O4148">
        <v>-0.80429949999999995</v>
      </c>
      <c r="P4148">
        <v>-0.37587409999999999</v>
      </c>
      <c r="Q4148">
        <v>0.1594981</v>
      </c>
      <c r="R4148">
        <v>-0.91284140000000003</v>
      </c>
      <c r="S4148">
        <v>-1.11795</v>
      </c>
      <c r="T4148">
        <v>-0.21050469999999999</v>
      </c>
      <c r="U4148">
        <v>-2.8636780000000002</v>
      </c>
      <c r="V4148">
        <v>-0.24154510000000001</v>
      </c>
      <c r="W4148">
        <v>0.1705276</v>
      </c>
      <c r="X4148">
        <v>0.95528860000000004</v>
      </c>
      <c r="Y4148">
        <v>-0.26144869999999998</v>
      </c>
      <c r="Z4148">
        <v>4.9569349999999998E-2</v>
      </c>
      <c r="AA4148">
        <v>0.96394369999999996</v>
      </c>
      <c r="AB4148">
        <v>18</v>
      </c>
      <c r="AC4148">
        <v>-5.8147999999999902</v>
      </c>
      <c r="AD4148">
        <v>-1.1139952419650001</v>
      </c>
      <c r="AE4148">
        <v>-15.0044</v>
      </c>
      <c r="AF4148">
        <v>-4.21692174698366</v>
      </c>
      <c r="AG4148">
        <v>-1.1139952419650001</v>
      </c>
      <c r="AH4148">
        <v>15.4498300142393</v>
      </c>
      <c r="AI4148">
        <v>93.979060152994904</v>
      </c>
      <c r="AJ4148">
        <v>105.266618460304</v>
      </c>
      <c r="AK4148">
        <v>16.053680633679999</v>
      </c>
      <c r="AL4148">
        <v>80.181503791862298</v>
      </c>
      <c r="AM4148">
        <v>104.189848891168</v>
      </c>
      <c r="AN4148">
        <v>1.00000000349286</v>
      </c>
    </row>
    <row r="4149" spans="1:40" x14ac:dyDescent="0.25">
      <c r="A4149" t="str">
        <f>"20190312172747672"</f>
        <v>20190312172747672</v>
      </c>
      <c r="B4149" t="str">
        <f>"1552382867663153"</f>
        <v>1552382867663153</v>
      </c>
      <c r="C4149" t="s">
        <v>40</v>
      </c>
      <c r="D4149">
        <v>3.1781999999999999</v>
      </c>
      <c r="E4149">
        <v>0.47132410000000002</v>
      </c>
      <c r="F4149" t="s">
        <v>41</v>
      </c>
      <c r="G4149">
        <v>-421.47730000000001</v>
      </c>
      <c r="H4149" s="1">
        <v>-1.8340539999999999E-6</v>
      </c>
      <c r="I4149">
        <v>112.94799999999999</v>
      </c>
      <c r="J4149">
        <v>-415.5616</v>
      </c>
      <c r="K4149">
        <v>1.1139269999999999</v>
      </c>
      <c r="L4149">
        <v>131.21199999999999</v>
      </c>
      <c r="M4149">
        <v>-0.58815039999999996</v>
      </c>
      <c r="N4149">
        <v>0</v>
      </c>
      <c r="O4149">
        <v>-0.80863390000000002</v>
      </c>
      <c r="P4149">
        <v>-0.3711354</v>
      </c>
      <c r="Q4149">
        <v>0.1587808</v>
      </c>
      <c r="R4149">
        <v>-0.91490289999999996</v>
      </c>
      <c r="S4149">
        <v>-0.95489500000000005</v>
      </c>
      <c r="T4149">
        <v>-0.1769587</v>
      </c>
      <c r="U4149">
        <v>-2.9241489999999999</v>
      </c>
      <c r="V4149">
        <v>-0.23953050000000001</v>
      </c>
      <c r="W4149">
        <v>0.1698576</v>
      </c>
      <c r="X4149">
        <v>0.95591499999999996</v>
      </c>
      <c r="Y4149">
        <v>-0.30840220000000002</v>
      </c>
      <c r="Z4149">
        <v>4.1116300000000001E-2</v>
      </c>
      <c r="AA4149">
        <v>0.95036699999999996</v>
      </c>
      <c r="AB4149">
        <v>18</v>
      </c>
      <c r="AC4149">
        <v>-5.91570000000001</v>
      </c>
      <c r="AD4149">
        <v>-1.1139288340539999</v>
      </c>
      <c r="AE4149">
        <v>-18.263999999999999</v>
      </c>
      <c r="AF4149">
        <v>-5.9389162736116203</v>
      </c>
      <c r="AG4149">
        <v>-1.1139288340539999</v>
      </c>
      <c r="AH4149">
        <v>18.188712912282401</v>
      </c>
      <c r="AI4149">
        <v>93.331887071677997</v>
      </c>
      <c r="AJ4149">
        <v>108.082718681372</v>
      </c>
      <c r="AK4149">
        <v>19.166137883197401</v>
      </c>
      <c r="AL4149">
        <v>80.220460036701596</v>
      </c>
      <c r="AM4149">
        <v>104.067364768527</v>
      </c>
      <c r="AN4149">
        <v>0.99999997596650403</v>
      </c>
    </row>
    <row r="4150" spans="1:40" x14ac:dyDescent="0.25">
      <c r="A4150" t="str">
        <f>"20190312172747695"</f>
        <v>20190312172747695</v>
      </c>
      <c r="B4150" t="str">
        <f>"1552382867683649"</f>
        <v>1552382867683649</v>
      </c>
      <c r="C4150" t="s">
        <v>40</v>
      </c>
      <c r="D4150">
        <v>3.2527720000000002</v>
      </c>
      <c r="E4150">
        <v>0.4700917</v>
      </c>
      <c r="F4150" t="s">
        <v>41</v>
      </c>
      <c r="G4150">
        <v>-421.73500000000001</v>
      </c>
      <c r="H4150" s="1">
        <v>-1.123112E-6</v>
      </c>
      <c r="I4150">
        <v>111.131</v>
      </c>
      <c r="J4150">
        <v>-415.66090000000003</v>
      </c>
      <c r="K4150">
        <v>1.113874</v>
      </c>
      <c r="L4150">
        <v>131.06</v>
      </c>
      <c r="M4150">
        <v>-0.58197980000000005</v>
      </c>
      <c r="N4150">
        <v>0</v>
      </c>
      <c r="O4150">
        <v>-0.81308649999999905</v>
      </c>
      <c r="P4150">
        <v>-0.36624299999999999</v>
      </c>
      <c r="Q4150">
        <v>0.15847130000000001</v>
      </c>
      <c r="R4150">
        <v>-0.91692600000000002</v>
      </c>
      <c r="S4150">
        <v>-0.9040222</v>
      </c>
      <c r="T4150">
        <v>-0.16312170000000001</v>
      </c>
      <c r="U4150">
        <v>-2.9406279999999998</v>
      </c>
      <c r="V4150">
        <v>-0.23736360000000001</v>
      </c>
      <c r="W4150">
        <v>0.1695902</v>
      </c>
      <c r="X4150">
        <v>0.95650290000000004</v>
      </c>
      <c r="Y4150">
        <v>-0.31762499999999999</v>
      </c>
      <c r="Z4150">
        <v>3.8038870000000002E-2</v>
      </c>
      <c r="AA4150">
        <v>0.94745310000000005</v>
      </c>
      <c r="AB4150">
        <v>18</v>
      </c>
      <c r="AC4150">
        <v>-6.0740999999999801</v>
      </c>
      <c r="AD4150">
        <v>-1.1138751231119901</v>
      </c>
      <c r="AE4150">
        <v>-19.928999999999998</v>
      </c>
      <c r="AF4150">
        <v>-6.6411558857274597</v>
      </c>
      <c r="AG4150">
        <v>-1.1138751231119901</v>
      </c>
      <c r="AH4150">
        <v>19.6846118514624</v>
      </c>
      <c r="AI4150">
        <v>93.069081055651196</v>
      </c>
      <c r="AJ4150">
        <v>108.643265605932</v>
      </c>
      <c r="AK4150">
        <v>20.804557506257002</v>
      </c>
      <c r="AL4150">
        <v>80.236007272126201</v>
      </c>
      <c r="AM4150">
        <v>103.93685592014501</v>
      </c>
      <c r="AN4150">
        <v>1.0000000561247</v>
      </c>
    </row>
    <row r="4151" spans="1:40" x14ac:dyDescent="0.25">
      <c r="A4151" t="str">
        <f>"20190312172747741"</f>
        <v>20190312172747741</v>
      </c>
      <c r="B4151" t="str">
        <f>"1552382867733425"</f>
        <v>1552382867733425</v>
      </c>
      <c r="C4151" t="s">
        <v>40</v>
      </c>
      <c r="D4151">
        <v>3.21069</v>
      </c>
      <c r="E4151">
        <v>0.46965849999999998</v>
      </c>
      <c r="F4151" t="s">
        <v>41</v>
      </c>
      <c r="G4151">
        <v>-421.68810000000002</v>
      </c>
      <c r="H4151" s="1">
        <v>-9.8730170000000009E-7</v>
      </c>
      <c r="I4151">
        <v>110.84350000000001</v>
      </c>
      <c r="J4151">
        <v>-415.85410000000002</v>
      </c>
      <c r="K4151">
        <v>1.11378</v>
      </c>
      <c r="L4151">
        <v>130.75729999999999</v>
      </c>
      <c r="M4151">
        <v>-0.56988930000000004</v>
      </c>
      <c r="N4151">
        <v>0</v>
      </c>
      <c r="O4151">
        <v>-0.82160650000000002</v>
      </c>
      <c r="P4151">
        <v>-0.35694360000000003</v>
      </c>
      <c r="Q4151">
        <v>0.1577132</v>
      </c>
      <c r="R4151">
        <v>-0.92071599999999998</v>
      </c>
      <c r="S4151">
        <v>-0.87911989999999995</v>
      </c>
      <c r="T4151">
        <v>-0.16246869999999999</v>
      </c>
      <c r="U4151">
        <v>-2.9487459999999999</v>
      </c>
      <c r="V4151">
        <v>-0.23291480000000001</v>
      </c>
      <c r="W4151">
        <v>0.16890869999999999</v>
      </c>
      <c r="X4151">
        <v>0.95771629999999996</v>
      </c>
      <c r="Y4151">
        <v>-0.31166070000000001</v>
      </c>
      <c r="Z4151">
        <v>3.8530010000000003E-2</v>
      </c>
      <c r="AA4151">
        <v>0.94941189999999998</v>
      </c>
      <c r="AB4151">
        <v>18</v>
      </c>
      <c r="AC4151">
        <v>-5.8339999999999996</v>
      </c>
      <c r="AD4151">
        <v>-1.1137809873016999</v>
      </c>
      <c r="AE4151">
        <v>-19.913799999999899</v>
      </c>
      <c r="AF4151">
        <v>-6.5371955020341197</v>
      </c>
      <c r="AG4151">
        <v>-1.1137809873016999</v>
      </c>
      <c r="AH4151">
        <v>19.631345486161401</v>
      </c>
      <c r="AI4151">
        <v>93.081189286798306</v>
      </c>
      <c r="AJ4151">
        <v>108.41764659435999</v>
      </c>
      <c r="AK4151">
        <v>20.721128316684801</v>
      </c>
      <c r="AL4151">
        <v>80.2756251863877</v>
      </c>
      <c r="AM4151">
        <v>103.668865953343</v>
      </c>
      <c r="AN4151">
        <v>0.99999998214020902</v>
      </c>
    </row>
    <row r="4152" spans="1:40" x14ac:dyDescent="0.25">
      <c r="A4152" t="str">
        <f>"20190312172747761"</f>
        <v>20190312172747761</v>
      </c>
      <c r="B4152" t="str">
        <f>"1552382867753921"</f>
        <v>1552382867753921</v>
      </c>
      <c r="C4152" t="s">
        <v>40</v>
      </c>
      <c r="D4152">
        <v>3.2199239999999998</v>
      </c>
      <c r="E4152">
        <v>0.4698601</v>
      </c>
      <c r="F4152" t="s">
        <v>41</v>
      </c>
      <c r="G4152">
        <v>-421.60910000000001</v>
      </c>
      <c r="H4152" s="1">
        <v>-8.6794630000000001E-7</v>
      </c>
      <c r="I4152">
        <v>110.6143</v>
      </c>
      <c r="J4152">
        <v>-415.94589999999999</v>
      </c>
      <c r="K4152">
        <v>1.113739</v>
      </c>
      <c r="L4152">
        <v>130.6103</v>
      </c>
      <c r="M4152">
        <v>-0.5640927</v>
      </c>
      <c r="N4152">
        <v>0</v>
      </c>
      <c r="O4152">
        <v>-0.82559719999999903</v>
      </c>
      <c r="P4152">
        <v>-0.35270960000000001</v>
      </c>
      <c r="Q4152">
        <v>0.1571948</v>
      </c>
      <c r="R4152">
        <v>-0.92243470000000005</v>
      </c>
      <c r="S4152">
        <v>-0.84530640000000001</v>
      </c>
      <c r="T4152">
        <v>-0.1635945</v>
      </c>
      <c r="U4152">
        <v>-2.9586489999999999</v>
      </c>
      <c r="V4152">
        <v>-0.23059689999999999</v>
      </c>
      <c r="W4152">
        <v>0.168429299999999</v>
      </c>
      <c r="X4152">
        <v>0.95836140000000003</v>
      </c>
      <c r="Y4152">
        <v>-0.31584489999999998</v>
      </c>
      <c r="Z4152">
        <v>3.8989160000000002E-2</v>
      </c>
      <c r="AA4152">
        <v>0.9480094</v>
      </c>
      <c r="AB4152">
        <v>18</v>
      </c>
      <c r="AC4152">
        <v>-5.6632000000000096</v>
      </c>
      <c r="AD4152">
        <v>-1.1137398679463</v>
      </c>
      <c r="AE4152">
        <v>-19.995999999999899</v>
      </c>
      <c r="AF4152">
        <v>-6.5857848625761104</v>
      </c>
      <c r="AG4152">
        <v>-1.1137398679463</v>
      </c>
      <c r="AH4152">
        <v>19.648641208809799</v>
      </c>
      <c r="AI4152">
        <v>93.076356687295601</v>
      </c>
      <c r="AJ4152">
        <v>108.529999176684</v>
      </c>
      <c r="AK4152">
        <v>20.7528812482057</v>
      </c>
      <c r="AL4152">
        <v>80.303491883210597</v>
      </c>
      <c r="AM4152">
        <v>103.52909004047901</v>
      </c>
      <c r="AN4152">
        <v>0.99999996619902898</v>
      </c>
    </row>
    <row r="4153" spans="1:40" x14ac:dyDescent="0.25">
      <c r="A4153" t="str">
        <f>"20190312172747785"</f>
        <v>20190312172747785</v>
      </c>
      <c r="B4153" t="str">
        <f>"1552382867773441"</f>
        <v>1552382867773441</v>
      </c>
      <c r="C4153" t="s">
        <v>40</v>
      </c>
      <c r="D4153">
        <v>3.2286630000000001</v>
      </c>
      <c r="E4153">
        <v>0.47014529999999899</v>
      </c>
      <c r="F4153" t="s">
        <v>41</v>
      </c>
      <c r="G4153">
        <v>-421.57839999999999</v>
      </c>
      <c r="H4153" s="1">
        <v>-8.4210160000000004E-7</v>
      </c>
      <c r="I4153">
        <v>110.5731</v>
      </c>
      <c r="J4153">
        <v>-416.041</v>
      </c>
      <c r="K4153">
        <v>1.113693</v>
      </c>
      <c r="L4153">
        <v>130.4555</v>
      </c>
      <c r="M4153">
        <v>-0.55803800000000003</v>
      </c>
      <c r="N4153">
        <v>0</v>
      </c>
      <c r="O4153">
        <v>-0.8297023</v>
      </c>
      <c r="P4153">
        <v>-0.3478909</v>
      </c>
      <c r="Q4153">
        <v>0.15708629999999901</v>
      </c>
      <c r="R4153">
        <v>-0.92428169999999998</v>
      </c>
      <c r="S4153">
        <v>-0.83261109999999905</v>
      </c>
      <c r="T4153">
        <v>-0.1646358</v>
      </c>
      <c r="U4153">
        <v>-2.9619450000000001</v>
      </c>
      <c r="V4153">
        <v>-0.22857230000000001</v>
      </c>
      <c r="W4153">
        <v>0.16835320000000001</v>
      </c>
      <c r="X4153">
        <v>0.95885969999999998</v>
      </c>
      <c r="Y4153">
        <v>-0.31294830000000001</v>
      </c>
      <c r="Z4153">
        <v>3.955877E-2</v>
      </c>
      <c r="AA4153">
        <v>0.94894599999999996</v>
      </c>
      <c r="AB4153">
        <v>18</v>
      </c>
      <c r="AC4153">
        <v>-5.5373999999999901</v>
      </c>
      <c r="AD4153">
        <v>-1.1136938421016001</v>
      </c>
      <c r="AE4153">
        <v>-19.882400000000001</v>
      </c>
      <c r="AF4153">
        <v>-6.4824761733852103</v>
      </c>
      <c r="AG4153">
        <v>-1.1136938421016001</v>
      </c>
      <c r="AH4153">
        <v>19.531520567363799</v>
      </c>
      <c r="AI4153">
        <v>93.097682307051301</v>
      </c>
      <c r="AJ4153">
        <v>108.360911699057</v>
      </c>
      <c r="AK4153">
        <v>20.6092966155033</v>
      </c>
      <c r="AL4153">
        <v>80.307915688276196</v>
      </c>
      <c r="AM4153">
        <v>103.407898933213</v>
      </c>
      <c r="AN4153">
        <v>1.00000001028081</v>
      </c>
    </row>
    <row r="4154" spans="1:40" x14ac:dyDescent="0.25">
      <c r="A4154" t="str">
        <f>"20190312172747807"</f>
        <v>20190312172747807</v>
      </c>
      <c r="B4154" t="str">
        <f>"1552382867803697"</f>
        <v>1552382867803697</v>
      </c>
      <c r="C4154" t="s">
        <v>40</v>
      </c>
      <c r="D4154">
        <v>3.2045729999999999</v>
      </c>
      <c r="E4154">
        <v>0.47056930000000002</v>
      </c>
      <c r="F4154" t="s">
        <v>41</v>
      </c>
      <c r="G4154">
        <v>-421.5652</v>
      </c>
      <c r="H4154" s="1">
        <v>-7.9042540000000001E-7</v>
      </c>
      <c r="I4154">
        <v>110.46080000000001</v>
      </c>
      <c r="J4154">
        <v>-416.13569999999999</v>
      </c>
      <c r="K4154">
        <v>1.113637</v>
      </c>
      <c r="L4154">
        <v>130.29920000000001</v>
      </c>
      <c r="M4154">
        <v>-0.55198469999999999</v>
      </c>
      <c r="N4154">
        <v>0</v>
      </c>
      <c r="O4154">
        <v>-0.83374179999999998</v>
      </c>
      <c r="P4154">
        <v>-0.34271010000000002</v>
      </c>
      <c r="Q4154">
        <v>0.15746540000000001</v>
      </c>
      <c r="R4154">
        <v>-0.92615040000000004</v>
      </c>
      <c r="S4154">
        <v>-0.81930539999999996</v>
      </c>
      <c r="T4154">
        <v>-0.16517419999999999</v>
      </c>
      <c r="U4154">
        <v>-2.9654539999999998</v>
      </c>
      <c r="V4154">
        <v>-0.2269051</v>
      </c>
      <c r="W4154">
        <v>0.16875599999999999</v>
      </c>
      <c r="X4154">
        <v>0.95918479999999995</v>
      </c>
      <c r="Y4154">
        <v>-0.31028280000000003</v>
      </c>
      <c r="Z4154">
        <v>4.0001399999999999E-2</v>
      </c>
      <c r="AA4154">
        <v>0.94980229999999999</v>
      </c>
      <c r="AB4154">
        <v>18</v>
      </c>
      <c r="AC4154">
        <v>-5.4295000000000098</v>
      </c>
      <c r="AD4154">
        <v>-1.11363779042539</v>
      </c>
      <c r="AE4154">
        <v>-19.8384</v>
      </c>
      <c r="AF4154">
        <v>-6.4055160640951696</v>
      </c>
      <c r="AG4154">
        <v>-1.11363779042539</v>
      </c>
      <c r="AH4154">
        <v>19.481823201298401</v>
      </c>
      <c r="AI4154">
        <v>93.108279309626795</v>
      </c>
      <c r="AJ4154">
        <v>108.200579930944</v>
      </c>
      <c r="AK4154">
        <v>20.538068566014001</v>
      </c>
      <c r="AL4154">
        <v>80.284501814406397</v>
      </c>
      <c r="AM4154">
        <v>103.309244813332</v>
      </c>
      <c r="AN4154">
        <v>0.99999999624652403</v>
      </c>
    </row>
    <row r="4155" spans="1:40" x14ac:dyDescent="0.25">
      <c r="A4155" t="str">
        <f>"20190312172747830"</f>
        <v>20190312172747830</v>
      </c>
      <c r="B4155" t="str">
        <f>"1552382867823217"</f>
        <v>1552382867823217</v>
      </c>
      <c r="C4155" t="s">
        <v>40</v>
      </c>
      <c r="D4155">
        <v>3.2057709999999999</v>
      </c>
      <c r="E4155">
        <v>0.4708714</v>
      </c>
      <c r="F4155" t="s">
        <v>41</v>
      </c>
      <c r="G4155">
        <v>-421.59969999999998</v>
      </c>
      <c r="H4155" s="1">
        <v>-6.7269659999999998E-7</v>
      </c>
      <c r="I4155">
        <v>110.16500000000001</v>
      </c>
      <c r="J4155">
        <v>-416.22710000000001</v>
      </c>
      <c r="K4155">
        <v>1.1135820000000001</v>
      </c>
      <c r="L4155">
        <v>130.14590000000001</v>
      </c>
      <c r="M4155">
        <v>-0.54611619999999905</v>
      </c>
      <c r="N4155">
        <v>0</v>
      </c>
      <c r="O4155">
        <v>-0.83759810000000001</v>
      </c>
      <c r="P4155">
        <v>-0.33789190000000002</v>
      </c>
      <c r="Q4155">
        <v>0.1576245</v>
      </c>
      <c r="R4155">
        <v>-0.92789219999999895</v>
      </c>
      <c r="S4155">
        <v>-0.80572509999999997</v>
      </c>
      <c r="T4155">
        <v>-0.16421529999999901</v>
      </c>
      <c r="U4155">
        <v>-2.9689640000000002</v>
      </c>
      <c r="V4155">
        <v>-0.22511439999999999</v>
      </c>
      <c r="W4155">
        <v>0.1689341</v>
      </c>
      <c r="X4155">
        <v>0.95957530000000002</v>
      </c>
      <c r="Y4155">
        <v>-0.30793569999999998</v>
      </c>
      <c r="Z4155">
        <v>4.0064370000000002E-2</v>
      </c>
      <c r="AA4155">
        <v>0.95056320000000005</v>
      </c>
      <c r="AB4155">
        <v>18</v>
      </c>
      <c r="AC4155">
        <v>-5.3725999999999701</v>
      </c>
      <c r="AD4155">
        <v>-1.1135826726966001</v>
      </c>
      <c r="AE4155">
        <v>-19.980899999999998</v>
      </c>
      <c r="AF4155">
        <v>-6.3938907059603203</v>
      </c>
      <c r="AG4155">
        <v>-1.1135826726966001</v>
      </c>
      <c r="AH4155">
        <v>19.6150442053668</v>
      </c>
      <c r="AI4155">
        <v>93.089632520976295</v>
      </c>
      <c r="AJ4155">
        <v>108.054347994083</v>
      </c>
      <c r="AK4155">
        <v>20.660877617061399</v>
      </c>
      <c r="AL4155">
        <v>80.274148730328605</v>
      </c>
      <c r="AM4155">
        <v>103.202719141887</v>
      </c>
      <c r="AN4155">
        <v>0.99999998980012905</v>
      </c>
    </row>
    <row r="4156" spans="1:40" x14ac:dyDescent="0.25">
      <c r="A4156" t="str">
        <f>"20190312172747852"</f>
        <v>20190312172747852</v>
      </c>
      <c r="B4156" t="str">
        <f>"1552382867843714"</f>
        <v>1552382867843714</v>
      </c>
      <c r="C4156" t="s">
        <v>40</v>
      </c>
      <c r="D4156">
        <v>3.22526</v>
      </c>
      <c r="E4156">
        <v>0.4712365</v>
      </c>
      <c r="F4156" t="s">
        <v>41</v>
      </c>
      <c r="G4156">
        <v>-421.61759999999998</v>
      </c>
      <c r="H4156" s="1">
        <v>-5.7783349999999997E-7</v>
      </c>
      <c r="I4156">
        <v>109.9328</v>
      </c>
      <c r="J4156">
        <v>-416.3175</v>
      </c>
      <c r="K4156">
        <v>1.113521</v>
      </c>
      <c r="L4156">
        <v>129.99189999999999</v>
      </c>
      <c r="M4156">
        <v>-0.54028949999999998</v>
      </c>
      <c r="N4156">
        <v>0</v>
      </c>
      <c r="O4156">
        <v>-0.84136919999999904</v>
      </c>
      <c r="P4156">
        <v>-0.33319399999999999</v>
      </c>
      <c r="Q4156">
        <v>0.1576033</v>
      </c>
      <c r="R4156">
        <v>-0.92959309999999995</v>
      </c>
      <c r="S4156">
        <v>-0.79266359999999902</v>
      </c>
      <c r="T4156">
        <v>-0.1637506</v>
      </c>
      <c r="U4156">
        <v>-2.972305</v>
      </c>
      <c r="V4156">
        <v>-0.22328419999999999</v>
      </c>
      <c r="W4156">
        <v>0.16892279999999901</v>
      </c>
      <c r="X4156">
        <v>0.96000479999999999</v>
      </c>
      <c r="Y4156">
        <v>-0.30549779999999999</v>
      </c>
      <c r="Z4156">
        <v>4.0240339999999999E-2</v>
      </c>
      <c r="AA4156">
        <v>0.95134209999999997</v>
      </c>
      <c r="AB4156">
        <v>18</v>
      </c>
      <c r="AC4156">
        <v>-5.30009999999998</v>
      </c>
      <c r="AD4156">
        <v>-1.1135215778334999</v>
      </c>
      <c r="AE4156">
        <v>-20.059099999999901</v>
      </c>
      <c r="AF4156">
        <v>-6.3606489277468299</v>
      </c>
      <c r="AG4156">
        <v>-1.1135215778334999</v>
      </c>
      <c r="AH4156">
        <v>19.6858200549249</v>
      </c>
      <c r="AI4156">
        <v>93.080958915096105</v>
      </c>
      <c r="AJ4156">
        <v>107.906067636825</v>
      </c>
      <c r="AK4156">
        <v>20.7178497031239</v>
      </c>
      <c r="AL4156">
        <v>80.2748055284722</v>
      </c>
      <c r="AM4156">
        <v>103.09343708466901</v>
      </c>
      <c r="AN4156">
        <v>0.99999998117625899</v>
      </c>
    </row>
    <row r="4157" spans="1:40" x14ac:dyDescent="0.25">
      <c r="A4157" t="str">
        <f>"20190312172747873"</f>
        <v>20190312172747873</v>
      </c>
      <c r="B4157" t="str">
        <f>"1552382867863233"</f>
        <v>1552382867863233</v>
      </c>
      <c r="C4157" t="s">
        <v>40</v>
      </c>
      <c r="D4157">
        <v>3.2083309999999998</v>
      </c>
      <c r="E4157">
        <v>0.47161740000000002</v>
      </c>
      <c r="F4157" t="s">
        <v>41</v>
      </c>
      <c r="G4157">
        <v>-421.5992</v>
      </c>
      <c r="H4157" s="1">
        <v>-5.3857420000000003E-7</v>
      </c>
      <c r="I4157">
        <v>109.8526</v>
      </c>
      <c r="J4157">
        <v>-416.40499999999997</v>
      </c>
      <c r="K4157">
        <v>1.1134759999999999</v>
      </c>
      <c r="L4157">
        <v>129.8409</v>
      </c>
      <c r="M4157">
        <v>-0.53462270000000001</v>
      </c>
      <c r="N4157">
        <v>0</v>
      </c>
      <c r="O4157">
        <v>-0.84498169999999995</v>
      </c>
      <c r="P4157">
        <v>-0.3282735</v>
      </c>
      <c r="Q4157">
        <v>0.15726979999999999</v>
      </c>
      <c r="R4157">
        <v>-0.93139830000000001</v>
      </c>
      <c r="S4157">
        <v>-0.78033450000000004</v>
      </c>
      <c r="T4157">
        <v>-0.1645141</v>
      </c>
      <c r="U4157">
        <v>-2.9754179999999999</v>
      </c>
      <c r="V4157">
        <v>-0.2219158</v>
      </c>
      <c r="W4157">
        <v>0.16858679999999901</v>
      </c>
      <c r="X4157">
        <v>0.96038109999999999</v>
      </c>
      <c r="Y4157">
        <v>-0.30303409999999997</v>
      </c>
      <c r="Z4157">
        <v>4.0707359999999998E-2</v>
      </c>
      <c r="AA4157">
        <v>0.95210989999999995</v>
      </c>
      <c r="AB4157">
        <v>18</v>
      </c>
      <c r="AC4157">
        <v>-5.1942000000000199</v>
      </c>
      <c r="AD4157">
        <v>-1.1134765385742</v>
      </c>
      <c r="AE4157">
        <v>-19.988299999999999</v>
      </c>
      <c r="AF4157">
        <v>-6.2795219679165797</v>
      </c>
      <c r="AG4157">
        <v>-1.1134765385742</v>
      </c>
      <c r="AH4157">
        <v>19.611490632651801</v>
      </c>
      <c r="AI4157">
        <v>93.095109664224495</v>
      </c>
      <c r="AJ4157">
        <v>107.754860835849</v>
      </c>
      <c r="AK4157">
        <v>20.622385676300699</v>
      </c>
      <c r="AL4157">
        <v>80.294337159336806</v>
      </c>
      <c r="AM4157">
        <v>103.01100773828099</v>
      </c>
      <c r="AN4157">
        <v>0.99999999433054498</v>
      </c>
    </row>
    <row r="4158" spans="1:40" x14ac:dyDescent="0.25">
      <c r="A4158" t="str">
        <f>"20190312172747896"</f>
        <v>20190312172747896</v>
      </c>
      <c r="B4158" t="str">
        <f>"1552382867893489"</f>
        <v>1552382867893489</v>
      </c>
      <c r="C4158" t="s">
        <v>40</v>
      </c>
      <c r="D4158">
        <v>3.2207690000000002</v>
      </c>
      <c r="E4158">
        <v>0.47679189999999999</v>
      </c>
      <c r="F4158" t="s">
        <v>41</v>
      </c>
      <c r="G4158">
        <v>-421.54329999999999</v>
      </c>
      <c r="H4158" s="1">
        <v>-5.4047229999999995E-7</v>
      </c>
      <c r="I4158">
        <v>109.8917</v>
      </c>
      <c r="J4158">
        <v>-416.49299999999999</v>
      </c>
      <c r="K4158">
        <v>1.1134379999999999</v>
      </c>
      <c r="L4158">
        <v>129.6866</v>
      </c>
      <c r="M4158">
        <v>-0.52888100000000005</v>
      </c>
      <c r="N4158">
        <v>0</v>
      </c>
      <c r="O4158">
        <v>-0.84858820000000001</v>
      </c>
      <c r="P4158">
        <v>-0.32359310000000002</v>
      </c>
      <c r="Q4158">
        <v>0.1570492</v>
      </c>
      <c r="R4158">
        <v>-0.93307220000000002</v>
      </c>
      <c r="S4158">
        <v>-0.76721189999999995</v>
      </c>
      <c r="T4158">
        <v>-0.16625400000000001</v>
      </c>
      <c r="U4158">
        <v>-2.9786220000000001</v>
      </c>
      <c r="V4158">
        <v>-0.22022630000000001</v>
      </c>
      <c r="W4158">
        <v>0.16835459999999999</v>
      </c>
      <c r="X4158">
        <v>0.96081070000000002</v>
      </c>
      <c r="Y4158">
        <v>-0.300759</v>
      </c>
      <c r="Z4158">
        <v>4.1416939999999999E-2</v>
      </c>
      <c r="AA4158">
        <v>0.95280050000000005</v>
      </c>
      <c r="AB4158">
        <v>18</v>
      </c>
      <c r="AC4158">
        <v>-5.0502999999999298</v>
      </c>
      <c r="AD4158">
        <v>-1.1134385404723</v>
      </c>
      <c r="AE4158">
        <v>-19.794899999999998</v>
      </c>
      <c r="AF4158">
        <v>-6.16577143851252</v>
      </c>
      <c r="AG4158">
        <v>-1.1134385404723</v>
      </c>
      <c r="AH4158">
        <v>19.4128404034185</v>
      </c>
      <c r="AI4158">
        <v>93.128946658456698</v>
      </c>
      <c r="AJ4158">
        <v>107.620527208878</v>
      </c>
      <c r="AK4158">
        <v>20.3988934833237</v>
      </c>
      <c r="AL4158">
        <v>80.3078346807483</v>
      </c>
      <c r="AM4158">
        <v>102.909704095289</v>
      </c>
      <c r="AN4158">
        <v>1.0000000478936599</v>
      </c>
    </row>
    <row r="4159" spans="1:40" x14ac:dyDescent="0.25">
      <c r="A4159" t="str">
        <f>"20190312172747918"</f>
        <v>20190312172747918</v>
      </c>
      <c r="B4159" t="str">
        <f>"1552382867913985"</f>
        <v>1552382867913985</v>
      </c>
      <c r="C4159" t="s">
        <v>40</v>
      </c>
      <c r="D4159">
        <v>3.247376</v>
      </c>
      <c r="E4159">
        <v>0.4771184</v>
      </c>
      <c r="F4159" t="s">
        <v>41</v>
      </c>
      <c r="G4159">
        <v>-421.64800000000002</v>
      </c>
      <c r="H4159" s="1">
        <v>-7.5414359999999998E-7</v>
      </c>
      <c r="I4159">
        <v>110.3249</v>
      </c>
      <c r="J4159">
        <v>-416.57850000000002</v>
      </c>
      <c r="K4159">
        <v>1.1134040000000001</v>
      </c>
      <c r="L4159">
        <v>129.53450000000001</v>
      </c>
      <c r="M4159">
        <v>-0.52326459999999997</v>
      </c>
      <c r="N4159">
        <v>0</v>
      </c>
      <c r="O4159">
        <v>-0.85206380000000004</v>
      </c>
      <c r="P4159">
        <v>-0.318826</v>
      </c>
      <c r="Q4159">
        <v>0.15687390000000001</v>
      </c>
      <c r="R4159">
        <v>-0.93474100000000004</v>
      </c>
      <c r="S4159">
        <v>-0.79067989999999999</v>
      </c>
      <c r="T4159">
        <v>-0.17077979999999901</v>
      </c>
      <c r="U4159">
        <v>-2.9697110000000002</v>
      </c>
      <c r="V4159">
        <v>-0.21878510000000001</v>
      </c>
      <c r="W4159">
        <v>0.16814970000000001</v>
      </c>
      <c r="X4159">
        <v>0.96117569999999997</v>
      </c>
      <c r="Y4159">
        <v>-0.28671239999999998</v>
      </c>
      <c r="Z4159">
        <v>4.3037199999999998E-2</v>
      </c>
      <c r="AA4159">
        <v>0.9570495</v>
      </c>
      <c r="AB4159">
        <v>18</v>
      </c>
      <c r="AC4159">
        <v>-5.0694999999999997</v>
      </c>
      <c r="AD4159">
        <v>-1.1134047541436001</v>
      </c>
      <c r="AE4159">
        <v>-19.209599999999998</v>
      </c>
      <c r="AF4159">
        <v>-5.7147379092778499</v>
      </c>
      <c r="AG4159">
        <v>-1.1134047541436001</v>
      </c>
      <c r="AH4159">
        <v>18.9626639585241</v>
      </c>
      <c r="AI4159">
        <v>93.217676582101006</v>
      </c>
      <c r="AJ4159">
        <v>106.771119862359</v>
      </c>
      <c r="AK4159">
        <v>19.836343511902399</v>
      </c>
      <c r="AL4159">
        <v>80.319743744931998</v>
      </c>
      <c r="AM4159">
        <v>102.823314256489</v>
      </c>
      <c r="AN4159">
        <v>0.99999998393129397</v>
      </c>
    </row>
    <row r="4160" spans="1:40" x14ac:dyDescent="0.25">
      <c r="A4160" t="str">
        <f>"20190312172747975"</f>
        <v>20190312172747975</v>
      </c>
      <c r="B4160" t="str">
        <f>"1552382867963761"</f>
        <v>1552382867963761</v>
      </c>
      <c r="C4160" t="s">
        <v>40</v>
      </c>
      <c r="D4160">
        <v>3.2248739999999998</v>
      </c>
      <c r="E4160">
        <v>0.4785394</v>
      </c>
      <c r="F4160" t="s">
        <v>41</v>
      </c>
      <c r="G4160">
        <v>-421.43290000000002</v>
      </c>
      <c r="H4160" s="1">
        <v>-9.6871949999999994E-7</v>
      </c>
      <c r="I4160">
        <v>110.9585</v>
      </c>
      <c r="J4160">
        <v>-416.79169999999999</v>
      </c>
      <c r="K4160">
        <v>1.1133109999999999</v>
      </c>
      <c r="L4160">
        <v>129.14529999999999</v>
      </c>
      <c r="M4160">
        <v>-0.50907460000000004</v>
      </c>
      <c r="N4160">
        <v>0</v>
      </c>
      <c r="O4160">
        <v>-0.860620099999999</v>
      </c>
      <c r="P4160">
        <v>-0.30584349999999999</v>
      </c>
      <c r="Q4160">
        <v>0.1566321</v>
      </c>
      <c r="R4160">
        <v>-0.93910939999999998</v>
      </c>
      <c r="S4160">
        <v>-0.77725219999999995</v>
      </c>
      <c r="T4160">
        <v>-0.1782706</v>
      </c>
      <c r="U4160">
        <v>-2.9742579999999998</v>
      </c>
      <c r="V4160">
        <v>-0.21616479999999999</v>
      </c>
      <c r="W4160">
        <v>0.16777500000000001</v>
      </c>
      <c r="X4160">
        <v>0.96183379999999996</v>
      </c>
      <c r="Y4160">
        <v>-0.27525129999999998</v>
      </c>
      <c r="Z4160">
        <v>4.57001E-2</v>
      </c>
      <c r="AA4160">
        <v>0.96028550000000001</v>
      </c>
      <c r="AB4160">
        <v>18</v>
      </c>
      <c r="AC4160">
        <v>-4.64120000000002</v>
      </c>
      <c r="AD4160">
        <v>-1.1133119687194999</v>
      </c>
      <c r="AE4160">
        <v>-18.186799999999899</v>
      </c>
      <c r="AF4160">
        <v>-5.2461345290815</v>
      </c>
      <c r="AG4160">
        <v>-1.1133119687194999</v>
      </c>
      <c r="AH4160">
        <v>17.9530665360741</v>
      </c>
      <c r="AI4160">
        <v>93.406403264757103</v>
      </c>
      <c r="AJ4160">
        <v>106.289093332329</v>
      </c>
      <c r="AK4160">
        <v>18.736968513759599</v>
      </c>
      <c r="AL4160">
        <v>80.341521683247606</v>
      </c>
      <c r="AM4160">
        <v>102.66633243835599</v>
      </c>
      <c r="AN4160">
        <v>0.99999996510323896</v>
      </c>
    </row>
    <row r="4161" spans="1:40" x14ac:dyDescent="0.25">
      <c r="A4161" t="str">
        <f>"20190312172748020"</f>
        <v>20190312172748020</v>
      </c>
      <c r="B4161" t="str">
        <f>"1552382868013537"</f>
        <v>1552382868013537</v>
      </c>
      <c r="C4161" t="s">
        <v>40</v>
      </c>
      <c r="D4161">
        <v>3.2668840000000001</v>
      </c>
      <c r="E4161">
        <v>0.48354540000000001</v>
      </c>
      <c r="F4161" t="s">
        <v>41</v>
      </c>
      <c r="G4161">
        <v>-421.30360000000002</v>
      </c>
      <c r="H4161" s="1">
        <v>-9.9928170000000001E-7</v>
      </c>
      <c r="I4161">
        <v>111.1099</v>
      </c>
      <c r="J4161">
        <v>-416.95949999999999</v>
      </c>
      <c r="K4161">
        <v>1.113246</v>
      </c>
      <c r="L4161">
        <v>128.82830000000001</v>
      </c>
      <c r="M4161">
        <v>-0.4976353</v>
      </c>
      <c r="N4161">
        <v>0</v>
      </c>
      <c r="O4161">
        <v>-0.86728719999999904</v>
      </c>
      <c r="P4161">
        <v>-0.29685590000000001</v>
      </c>
      <c r="Q4161">
        <v>0.156166</v>
      </c>
      <c r="R4161">
        <v>-0.94206619999999996</v>
      </c>
      <c r="S4161">
        <v>-0.74606319999999904</v>
      </c>
      <c r="T4161">
        <v>-0.18409229999999999</v>
      </c>
      <c r="U4161">
        <v>-2.9822540000000002</v>
      </c>
      <c r="V4161">
        <v>-0.2126304</v>
      </c>
      <c r="W4161">
        <v>0.16721279999999999</v>
      </c>
      <c r="X4161">
        <v>0.9627192</v>
      </c>
      <c r="Y4161">
        <v>-0.27260060000000003</v>
      </c>
      <c r="Z4161">
        <v>4.7723389999999997E-2</v>
      </c>
      <c r="AA4161">
        <v>0.96094299999999999</v>
      </c>
      <c r="AB4161">
        <v>18</v>
      </c>
      <c r="AC4161">
        <v>-4.3441000000000196</v>
      </c>
      <c r="AD4161">
        <v>-1.1132469992817</v>
      </c>
      <c r="AE4161">
        <v>-17.718399999999999</v>
      </c>
      <c r="AF4161">
        <v>-5.0314175144081599</v>
      </c>
      <c r="AG4161">
        <v>-1.1132469992817</v>
      </c>
      <c r="AH4161">
        <v>17.465190517108901</v>
      </c>
      <c r="AI4161">
        <v>93.504984362507102</v>
      </c>
      <c r="AJ4161">
        <v>106.07077065541399</v>
      </c>
      <c r="AK4161">
        <v>18.209540380927098</v>
      </c>
      <c r="AL4161">
        <v>80.374195601130694</v>
      </c>
      <c r="AM4161">
        <v>102.454650089129</v>
      </c>
      <c r="AN4161">
        <v>1.0000000327683101</v>
      </c>
    </row>
    <row r="4162" spans="1:40" x14ac:dyDescent="0.25">
      <c r="A4162" t="str">
        <f>"20190312172748042"</f>
        <v>20190312172748042</v>
      </c>
      <c r="B4162" t="str">
        <f>"1552382868033057"</f>
        <v>1552382868033057</v>
      </c>
      <c r="C4162" t="s">
        <v>40</v>
      </c>
      <c r="D4162">
        <v>3.2841680000000002</v>
      </c>
      <c r="E4162">
        <v>0.48337340000000001</v>
      </c>
      <c r="F4162" t="s">
        <v>41</v>
      </c>
      <c r="G4162">
        <v>-421.62130000000002</v>
      </c>
      <c r="H4162" s="1">
        <v>-8.02405199999999E-7</v>
      </c>
      <c r="I4162">
        <v>110.4539</v>
      </c>
      <c r="J4162">
        <v>-417.04</v>
      </c>
      <c r="K4162">
        <v>1.113224</v>
      </c>
      <c r="L4162">
        <v>128.67269999999999</v>
      </c>
      <c r="M4162">
        <v>-0.49205670000000001</v>
      </c>
      <c r="N4162">
        <v>0</v>
      </c>
      <c r="O4162">
        <v>-0.87046590000000001</v>
      </c>
      <c r="P4162">
        <v>-0.29252</v>
      </c>
      <c r="Q4162">
        <v>0.1560888</v>
      </c>
      <c r="R4162">
        <v>-0.94343480000000002</v>
      </c>
      <c r="S4162">
        <v>-0.75515750000000004</v>
      </c>
      <c r="T4162">
        <v>-0.18033270000000001</v>
      </c>
      <c r="U4162">
        <v>-2.9764249999999999</v>
      </c>
      <c r="V4162">
        <v>-0.21087220000000001</v>
      </c>
      <c r="W4162">
        <v>0.167075</v>
      </c>
      <c r="X4162">
        <v>0.96312969999999998</v>
      </c>
      <c r="Y4162">
        <v>-0.26319949999999998</v>
      </c>
      <c r="Z4162">
        <v>4.7178900000000003E-2</v>
      </c>
      <c r="AA4162">
        <v>0.96358719999999998</v>
      </c>
      <c r="AB4162">
        <v>18</v>
      </c>
      <c r="AC4162">
        <v>-4.5812999999999899</v>
      </c>
      <c r="AD4162">
        <v>-1.1132248024052001</v>
      </c>
      <c r="AE4162">
        <v>-18.218799999999899</v>
      </c>
      <c r="AF4162">
        <v>-4.9598219385804496</v>
      </c>
      <c r="AG4162">
        <v>-1.1132248024052001</v>
      </c>
      <c r="AH4162">
        <v>18.051249400957701</v>
      </c>
      <c r="AI4162">
        <v>93.403164320779297</v>
      </c>
      <c r="AJ4162">
        <v>105.363645284577</v>
      </c>
      <c r="AK4162">
        <v>18.7533119223962</v>
      </c>
      <c r="AL4162">
        <v>80.382203096543506</v>
      </c>
      <c r="AM4162">
        <v>102.349736126127</v>
      </c>
      <c r="AN4162">
        <v>0.99999997968996401</v>
      </c>
    </row>
    <row r="4163" spans="1:40" x14ac:dyDescent="0.25">
      <c r="A4163" t="str">
        <f>"20190312172748064"</f>
        <v>20190312172748064</v>
      </c>
      <c r="B4163" t="str">
        <f>"1552382868053553"</f>
        <v>1552382868053553</v>
      </c>
      <c r="C4163" t="s">
        <v>40</v>
      </c>
      <c r="D4163">
        <v>3.307124</v>
      </c>
      <c r="E4163">
        <v>0.48387200000000002</v>
      </c>
      <c r="F4163" t="s">
        <v>41</v>
      </c>
      <c r="G4163">
        <v>-421.57209999999998</v>
      </c>
      <c r="H4163" s="1">
        <v>-7.7513409999999897E-7</v>
      </c>
      <c r="I4163">
        <v>110.4209</v>
      </c>
      <c r="J4163">
        <v>-417.12189999999998</v>
      </c>
      <c r="K4163">
        <v>1.113197</v>
      </c>
      <c r="L4163">
        <v>128.5121</v>
      </c>
      <c r="M4163">
        <v>-0.48633290000000001</v>
      </c>
      <c r="N4163">
        <v>0</v>
      </c>
      <c r="O4163">
        <v>-0.87367830000000002</v>
      </c>
      <c r="P4163">
        <v>-0.28804419999999997</v>
      </c>
      <c r="Q4163">
        <v>0.15599270000000001</v>
      </c>
      <c r="R4163">
        <v>-0.94482679999999997</v>
      </c>
      <c r="S4163">
        <v>-0.74008180000000001</v>
      </c>
      <c r="T4163">
        <v>-0.18178739999999999</v>
      </c>
      <c r="U4163">
        <v>-2.9804840000000001</v>
      </c>
      <c r="V4163">
        <v>-0.2091124</v>
      </c>
      <c r="W4163">
        <v>0.16689870000000001</v>
      </c>
      <c r="X4163">
        <v>0.96354390000000001</v>
      </c>
      <c r="Y4163">
        <v>-0.26177139999999999</v>
      </c>
      <c r="Z4163">
        <v>4.7810730000000003E-2</v>
      </c>
      <c r="AA4163">
        <v>0.96394500000000005</v>
      </c>
      <c r="AB4163">
        <v>18</v>
      </c>
      <c r="AC4163">
        <v>-4.4501999999999899</v>
      </c>
      <c r="AD4163">
        <v>-1.1131977751341</v>
      </c>
      <c r="AE4163">
        <v>-18.091200000000001</v>
      </c>
      <c r="AF4163">
        <v>-4.8932415561207403</v>
      </c>
      <c r="AG4163">
        <v>-1.1131977751341</v>
      </c>
      <c r="AH4163">
        <v>17.9077294998025</v>
      </c>
      <c r="AI4163">
        <v>93.431613128384299</v>
      </c>
      <c r="AJ4163">
        <v>105.282856051406</v>
      </c>
      <c r="AK4163">
        <v>18.5975750583566</v>
      </c>
      <c r="AL4163">
        <v>80.392448482546897</v>
      </c>
      <c r="AM4163">
        <v>102.244691011458</v>
      </c>
      <c r="AN4163">
        <v>1.00000000956133</v>
      </c>
    </row>
    <row r="4164" spans="1:40" x14ac:dyDescent="0.25">
      <c r="A4164" t="str">
        <f>"20190312172748085"</f>
        <v>20190312172748085</v>
      </c>
      <c r="B4164" t="str">
        <f>"1552382868073074"</f>
        <v>1552382868073074</v>
      </c>
      <c r="C4164" t="s">
        <v>40</v>
      </c>
      <c r="D4164">
        <v>3.2695780000000001</v>
      </c>
      <c r="E4164">
        <v>0.48438890000000001</v>
      </c>
      <c r="F4164" t="s">
        <v>41</v>
      </c>
      <c r="G4164">
        <v>-421.51859999999999</v>
      </c>
      <c r="H4164" s="1">
        <v>-8.1029089999999896E-7</v>
      </c>
      <c r="I4164">
        <v>110.536</v>
      </c>
      <c r="J4164">
        <v>-417.19940000000003</v>
      </c>
      <c r="K4164">
        <v>1.1131599999999999</v>
      </c>
      <c r="L4164">
        <v>128.35759999999999</v>
      </c>
      <c r="M4164">
        <v>-0.48086909999999999</v>
      </c>
      <c r="N4164">
        <v>0</v>
      </c>
      <c r="O4164">
        <v>-0.87669920000000001</v>
      </c>
      <c r="P4164">
        <v>-0.28362520000000002</v>
      </c>
      <c r="Q4164">
        <v>0.15622</v>
      </c>
      <c r="R4164">
        <v>-0.94612529999999995</v>
      </c>
      <c r="S4164">
        <v>-0.72967530000000003</v>
      </c>
      <c r="T4164">
        <v>-0.18474189999999999</v>
      </c>
      <c r="U4164">
        <v>-2.9832459999999998</v>
      </c>
      <c r="V4164">
        <v>-0.20757139999999999</v>
      </c>
      <c r="W4164">
        <v>0.16703319999999999</v>
      </c>
      <c r="X4164">
        <v>0.96385370000000004</v>
      </c>
      <c r="Y4164">
        <v>-0.25913530000000001</v>
      </c>
      <c r="Z4164">
        <v>4.8847219999999997E-2</v>
      </c>
      <c r="AA4164">
        <v>0.96460500000000005</v>
      </c>
      <c r="AB4164">
        <v>18</v>
      </c>
      <c r="AC4164">
        <v>-4.3191999999999604</v>
      </c>
      <c r="AD4164">
        <v>-1.1131608102909001</v>
      </c>
      <c r="AE4164">
        <v>-17.821599999999901</v>
      </c>
      <c r="AF4164">
        <v>-4.7660457081358203</v>
      </c>
      <c r="AG4164">
        <v>-1.1131608102909001</v>
      </c>
      <c r="AH4164">
        <v>17.6376047404361</v>
      </c>
      <c r="AI4164">
        <v>93.486588179116396</v>
      </c>
      <c r="AJ4164">
        <v>105.12135986948201</v>
      </c>
      <c r="AK4164">
        <v>18.304082049134799</v>
      </c>
      <c r="AL4164">
        <v>80.384632056797898</v>
      </c>
      <c r="AM4164">
        <v>102.153359074397</v>
      </c>
      <c r="AN4164">
        <v>0.99999996550194403</v>
      </c>
    </row>
    <row r="4165" spans="1:40" x14ac:dyDescent="0.25">
      <c r="A4165" t="str">
        <f>"20190312172748109"</f>
        <v>20190312172748109</v>
      </c>
      <c r="B4165" t="str">
        <f>"1552382868103329"</f>
        <v>1552382868103329</v>
      </c>
      <c r="C4165" t="s">
        <v>40</v>
      </c>
      <c r="D4165">
        <v>3.2939639999999999</v>
      </c>
      <c r="E4165">
        <v>0.48493219999999998</v>
      </c>
      <c r="F4165" t="s">
        <v>41</v>
      </c>
      <c r="G4165">
        <v>-421.54239999999999</v>
      </c>
      <c r="H4165" s="1">
        <v>-7.3373490000000003E-7</v>
      </c>
      <c r="I4165">
        <v>110.3428</v>
      </c>
      <c r="J4165">
        <v>-417.28</v>
      </c>
      <c r="K4165">
        <v>1.113111</v>
      </c>
      <c r="L4165">
        <v>128.19470000000001</v>
      </c>
      <c r="M4165">
        <v>-0.47516570000000002</v>
      </c>
      <c r="N4165">
        <v>0</v>
      </c>
      <c r="O4165">
        <v>-0.87980530000000001</v>
      </c>
      <c r="P4165">
        <v>-0.27921960000000001</v>
      </c>
      <c r="Q4165">
        <v>0.1565619</v>
      </c>
      <c r="R4165">
        <v>-0.94737819999999995</v>
      </c>
      <c r="S4165">
        <v>-0.71975710000000004</v>
      </c>
      <c r="T4165">
        <v>-0.18447959999999999</v>
      </c>
      <c r="U4165">
        <v>-2.985519</v>
      </c>
      <c r="V4165">
        <v>-0.20575379999999999</v>
      </c>
      <c r="W4165">
        <v>0.16727810000000001</v>
      </c>
      <c r="X4165">
        <v>0.96420090000000003</v>
      </c>
      <c r="Y4165">
        <v>-0.25605850000000002</v>
      </c>
      <c r="Z4165">
        <v>4.9057429999999999E-2</v>
      </c>
      <c r="AA4165">
        <v>0.96541569999999999</v>
      </c>
      <c r="AB4165">
        <v>18</v>
      </c>
      <c r="AC4165">
        <v>-4.2624000000000102</v>
      </c>
      <c r="AD4165">
        <v>-1.1131117337348999</v>
      </c>
      <c r="AE4165">
        <v>-17.851900000000001</v>
      </c>
      <c r="AF4165">
        <v>-4.7155629736844897</v>
      </c>
      <c r="AG4165">
        <v>-1.1131117337348999</v>
      </c>
      <c r="AH4165">
        <v>17.6679773292419</v>
      </c>
      <c r="AI4165">
        <v>93.483346284243098</v>
      </c>
      <c r="AJ4165">
        <v>104.94383682204</v>
      </c>
      <c r="AK4165">
        <v>18.320288611186399</v>
      </c>
      <c r="AL4165">
        <v>80.3704002462663</v>
      </c>
      <c r="AM4165">
        <v>102.04584933343099</v>
      </c>
      <c r="AN4165">
        <v>0.99999998225742903</v>
      </c>
    </row>
    <row r="4166" spans="1:40" x14ac:dyDescent="0.25">
      <c r="A4166" t="str">
        <f>"20190312172748133"</f>
        <v>20190312172748133</v>
      </c>
      <c r="B4166" t="str">
        <f>"1552382868123825"</f>
        <v>1552382868123825</v>
      </c>
      <c r="C4166" t="s">
        <v>40</v>
      </c>
      <c r="D4166">
        <v>3.2870349999999999</v>
      </c>
      <c r="E4166">
        <v>0.48524669999999998</v>
      </c>
      <c r="F4166" t="s">
        <v>41</v>
      </c>
      <c r="G4166">
        <v>-421.57170000000002</v>
      </c>
      <c r="H4166" s="1">
        <v>-6.4877840000000004E-7</v>
      </c>
      <c r="I4166">
        <v>110.1266</v>
      </c>
      <c r="J4166">
        <v>-417.3639</v>
      </c>
      <c r="K4166">
        <v>1.1130519999999999</v>
      </c>
      <c r="L4166">
        <v>128.02199999999999</v>
      </c>
      <c r="M4166">
        <v>-0.469194</v>
      </c>
      <c r="N4166">
        <v>0</v>
      </c>
      <c r="O4166">
        <v>-0.88300650000000003</v>
      </c>
      <c r="P4166">
        <v>-0.27452120000000002</v>
      </c>
      <c r="Q4166">
        <v>0.15663589999999999</v>
      </c>
      <c r="R4166">
        <v>-0.94873790000000002</v>
      </c>
      <c r="S4166">
        <v>-0.70971680000000004</v>
      </c>
      <c r="T4166">
        <v>-0.18407299999999999</v>
      </c>
      <c r="U4166">
        <v>-2.9878849999999999</v>
      </c>
      <c r="V4166">
        <v>-0.20396980000000001</v>
      </c>
      <c r="W4166">
        <v>0.16725789999999999</v>
      </c>
      <c r="X4166">
        <v>0.96458339999999998</v>
      </c>
      <c r="Y4166">
        <v>-0.25275069999999999</v>
      </c>
      <c r="Z4166">
        <v>4.923686E-2</v>
      </c>
      <c r="AA4166">
        <v>0.96627779999999996</v>
      </c>
      <c r="AB4166">
        <v>18</v>
      </c>
      <c r="AC4166">
        <v>-4.2078000000000202</v>
      </c>
      <c r="AD4166">
        <v>-1.1130526487784</v>
      </c>
      <c r="AE4166">
        <v>-17.895399999999999</v>
      </c>
      <c r="AF4166">
        <v>-4.6641676462155797</v>
      </c>
      <c r="AG4166">
        <v>-1.1130526487784</v>
      </c>
      <c r="AH4166">
        <v>17.712488483776699</v>
      </c>
      <c r="AI4166">
        <v>93.477498460279307</v>
      </c>
      <c r="AJ4166">
        <v>104.752597303523</v>
      </c>
      <c r="AK4166">
        <v>18.350084313672198</v>
      </c>
      <c r="AL4166">
        <v>80.371574429318599</v>
      </c>
      <c r="AM4166">
        <v>101.939816971488</v>
      </c>
      <c r="AN4166">
        <v>1.0000000099899999</v>
      </c>
    </row>
    <row r="4167" spans="1:40" x14ac:dyDescent="0.25">
      <c r="A4167" t="str">
        <f>"20190312172748159"</f>
        <v>20190312172748159</v>
      </c>
      <c r="B4167" t="str">
        <f>"1552382868153106"</f>
        <v>1552382868153106</v>
      </c>
      <c r="C4167" t="s">
        <v>40</v>
      </c>
      <c r="D4167">
        <v>3.3349310000000001</v>
      </c>
      <c r="E4167">
        <v>0.4879715</v>
      </c>
      <c r="F4167" t="s">
        <v>41</v>
      </c>
      <c r="G4167">
        <v>-421.58319999999998</v>
      </c>
      <c r="H4167" s="1">
        <v>-5.690747E-7</v>
      </c>
      <c r="I4167">
        <v>109.9337</v>
      </c>
      <c r="J4167">
        <v>-417.45650000000001</v>
      </c>
      <c r="K4167">
        <v>1.1129880000000001</v>
      </c>
      <c r="L4167">
        <v>127.82850000000001</v>
      </c>
      <c r="M4167">
        <v>-0.4625803</v>
      </c>
      <c r="N4167">
        <v>0</v>
      </c>
      <c r="O4167">
        <v>-0.88649129999999998</v>
      </c>
      <c r="P4167">
        <v>-0.26836769999999999</v>
      </c>
      <c r="Q4167">
        <v>0.15680359999999999</v>
      </c>
      <c r="R4167">
        <v>-0.95046929999999996</v>
      </c>
      <c r="S4167">
        <v>-0.69760129999999998</v>
      </c>
      <c r="T4167">
        <v>-0.1840272</v>
      </c>
      <c r="U4167">
        <v>-2.9906459999999999</v>
      </c>
      <c r="V4167">
        <v>-0.20297470000000001</v>
      </c>
      <c r="W4167">
        <v>0.1673162</v>
      </c>
      <c r="X4167">
        <v>0.96478319999999995</v>
      </c>
      <c r="Y4167">
        <v>-0.24942810000000001</v>
      </c>
      <c r="Z4167">
        <v>4.953333E-2</v>
      </c>
      <c r="AA4167">
        <v>0.96712569999999998</v>
      </c>
      <c r="AB4167">
        <v>18</v>
      </c>
      <c r="AC4167">
        <v>-4.1266999999999703</v>
      </c>
      <c r="AD4167">
        <v>-1.1129885690746999</v>
      </c>
      <c r="AE4167">
        <v>-17.8948</v>
      </c>
      <c r="AF4167">
        <v>-4.6029441386062597</v>
      </c>
      <c r="AG4167">
        <v>-1.1129885690746999</v>
      </c>
      <c r="AH4167">
        <v>17.708826086864502</v>
      </c>
      <c r="AI4167">
        <v>93.480908153042606</v>
      </c>
      <c r="AJ4167">
        <v>104.570122901132</v>
      </c>
      <c r="AK4167">
        <v>18.331076336997601</v>
      </c>
      <c r="AL4167">
        <v>80.368186548587502</v>
      </c>
      <c r="AM4167">
        <v>101.880835637554</v>
      </c>
      <c r="AN4167">
        <v>1.00000003131238</v>
      </c>
    </row>
    <row r="4168" spans="1:40" x14ac:dyDescent="0.25">
      <c r="A4168" t="str">
        <f>"20190312172748182"</f>
        <v>20190312172748182</v>
      </c>
      <c r="B4168" t="str">
        <f>"1552382868173601"</f>
        <v>1552382868173601</v>
      </c>
      <c r="C4168" t="s">
        <v>40</v>
      </c>
      <c r="D4168">
        <v>3.311185</v>
      </c>
      <c r="E4168">
        <v>0.48499599999999998</v>
      </c>
      <c r="F4168" t="s">
        <v>41</v>
      </c>
      <c r="G4168">
        <v>-421.63249999999999</v>
      </c>
      <c r="H4168" s="1">
        <v>-6.0291090000000003E-7</v>
      </c>
      <c r="I4168">
        <v>109.982</v>
      </c>
      <c r="J4168">
        <v>-417.53129999999999</v>
      </c>
      <c r="K4168">
        <v>1.112935</v>
      </c>
      <c r="L4168">
        <v>127.6699</v>
      </c>
      <c r="M4168">
        <v>-0.45723370000000002</v>
      </c>
      <c r="N4168">
        <v>0</v>
      </c>
      <c r="O4168">
        <v>-0.88926229999999995</v>
      </c>
      <c r="P4168">
        <v>-0.26393090000000002</v>
      </c>
      <c r="Q4168">
        <v>0.15673889999999999</v>
      </c>
      <c r="R4168">
        <v>-0.9517215</v>
      </c>
      <c r="S4168">
        <v>-0.69955440000000002</v>
      </c>
      <c r="T4168">
        <v>-0.18644379999999999</v>
      </c>
      <c r="U4168">
        <v>-2.9895939999999999</v>
      </c>
      <c r="V4168">
        <v>-0.20165</v>
      </c>
      <c r="W4168">
        <v>0.16716900000000001</v>
      </c>
      <c r="X4168">
        <v>0.96508640000000001</v>
      </c>
      <c r="Y4168">
        <v>-0.24292749999999999</v>
      </c>
      <c r="Z4168">
        <v>5.0494329999999997E-2</v>
      </c>
      <c r="AA4168">
        <v>0.96872939999999996</v>
      </c>
      <c r="AB4168">
        <v>18</v>
      </c>
      <c r="AC4168">
        <v>-4.1012000000000004</v>
      </c>
      <c r="AD4168">
        <v>-1.1129356029108901</v>
      </c>
      <c r="AE4168">
        <v>-17.6878999999999</v>
      </c>
      <c r="AF4168">
        <v>-4.4241725062436297</v>
      </c>
      <c r="AG4168">
        <v>-1.1129356029108901</v>
      </c>
      <c r="AH4168">
        <v>17.539811437037599</v>
      </c>
      <c r="AI4168">
        <v>93.520682001564694</v>
      </c>
      <c r="AJ4168">
        <v>104.15675909913899</v>
      </c>
      <c r="AK4168">
        <v>18.123380293644502</v>
      </c>
      <c r="AL4168">
        <v>80.376740454105203</v>
      </c>
      <c r="AM4168">
        <v>101.801874188246</v>
      </c>
      <c r="AN4168">
        <v>0.99999997826297904</v>
      </c>
    </row>
    <row r="4169" spans="1:40" x14ac:dyDescent="0.25">
      <c r="A4169" t="str">
        <f>"20190312172748203"</f>
        <v>20190312172748203</v>
      </c>
      <c r="B4169" t="str">
        <f>"1552382868194098"</f>
        <v>1552382868194098</v>
      </c>
      <c r="C4169" t="s">
        <v>40</v>
      </c>
      <c r="D4169">
        <v>3.298362</v>
      </c>
      <c r="E4169">
        <v>0.4878323</v>
      </c>
      <c r="F4169" t="s">
        <v>41</v>
      </c>
      <c r="G4169">
        <v>-422.17500000000001</v>
      </c>
      <c r="H4169" s="1">
        <v>-3.9393469999999999E-6</v>
      </c>
      <c r="I4169">
        <v>106.7009</v>
      </c>
      <c r="J4169">
        <v>-417.60449999999997</v>
      </c>
      <c r="K4169">
        <v>1.1128769999999999</v>
      </c>
      <c r="L4169">
        <v>127.51220000000001</v>
      </c>
      <c r="M4169">
        <v>-0.45201029999999998</v>
      </c>
      <c r="N4169">
        <v>0</v>
      </c>
      <c r="O4169">
        <v>-0.89193020000000001</v>
      </c>
      <c r="P4169">
        <v>-0.25999549999999999</v>
      </c>
      <c r="Q4169">
        <v>0.15660270000000001</v>
      </c>
      <c r="R4169">
        <v>-0.95282650000000002</v>
      </c>
      <c r="S4169">
        <v>-0.66314700000000004</v>
      </c>
      <c r="T4169">
        <v>-0.15893289999999999</v>
      </c>
      <c r="U4169">
        <v>-2.9944609999999998</v>
      </c>
      <c r="V4169">
        <v>-0.1999648</v>
      </c>
      <c r="W4169">
        <v>0.16695940000000001</v>
      </c>
      <c r="X4169">
        <v>0.96547329999999998</v>
      </c>
      <c r="Y4169">
        <v>-0.2486997</v>
      </c>
      <c r="Z4169">
        <v>4.3210640000000002E-2</v>
      </c>
      <c r="AA4169">
        <v>0.96761629999999998</v>
      </c>
      <c r="AB4169">
        <v>18</v>
      </c>
      <c r="AC4169">
        <v>-4.5705000000000302</v>
      </c>
      <c r="AD4169">
        <v>-1.1128809393470001</v>
      </c>
      <c r="AE4169">
        <v>-20.811299999999999</v>
      </c>
      <c r="AF4169">
        <v>-5.3162447214158703</v>
      </c>
      <c r="AG4169">
        <v>-1.1128809393470001</v>
      </c>
      <c r="AH4169">
        <v>20.573534240570499</v>
      </c>
      <c r="AI4169">
        <v>92.997989428240501</v>
      </c>
      <c r="AJ4169">
        <v>104.48842774848499</v>
      </c>
      <c r="AK4169">
        <v>21.278422711072199</v>
      </c>
      <c r="AL4169">
        <v>80.388921312724605</v>
      </c>
      <c r="AM4169">
        <v>101.701416422005</v>
      </c>
      <c r="AN4169">
        <v>1.00000002775014</v>
      </c>
    </row>
    <row r="4170" spans="1:40" x14ac:dyDescent="0.25">
      <c r="A4170" t="str">
        <f>"20190312172748224"</f>
        <v>20190312172748224</v>
      </c>
      <c r="B4170" t="str">
        <f>"1552382868213617"</f>
        <v>1552382868213617</v>
      </c>
      <c r="C4170" t="s">
        <v>40</v>
      </c>
      <c r="D4170">
        <v>3.3130459999999999</v>
      </c>
      <c r="E4170">
        <v>0.4892822</v>
      </c>
      <c r="F4170" t="s">
        <v>41</v>
      </c>
      <c r="G4170">
        <v>-421.90620000000001</v>
      </c>
      <c r="H4170" s="1">
        <v>-4.5935339999999998E-6</v>
      </c>
      <c r="I4170">
        <v>108.3674</v>
      </c>
      <c r="J4170">
        <v>-417.67090000000002</v>
      </c>
      <c r="K4170">
        <v>1.1128150000000001</v>
      </c>
      <c r="L4170">
        <v>127.3674</v>
      </c>
      <c r="M4170">
        <v>-0.44730730000000002</v>
      </c>
      <c r="N4170">
        <v>0</v>
      </c>
      <c r="O4170">
        <v>-0.89429939999999997</v>
      </c>
      <c r="P4170">
        <v>-0.25605689999999998</v>
      </c>
      <c r="Q4170">
        <v>0.15654940000000001</v>
      </c>
      <c r="R4170">
        <v>-0.95390109999999995</v>
      </c>
      <c r="S4170">
        <v>-0.67263790000000001</v>
      </c>
      <c r="T4170">
        <v>-0.1740168</v>
      </c>
      <c r="U4170">
        <v>-2.9935909999999999</v>
      </c>
      <c r="V4170">
        <v>-0.19884869999999999</v>
      </c>
      <c r="W4170">
        <v>0.16683809999999999</v>
      </c>
      <c r="X4170">
        <v>0.96572469999999999</v>
      </c>
      <c r="Y4170">
        <v>-0.2406548</v>
      </c>
      <c r="Z4170">
        <v>4.7555750000000001E-2</v>
      </c>
      <c r="AA4170">
        <v>0.969445</v>
      </c>
      <c r="AB4170">
        <v>18</v>
      </c>
      <c r="AC4170">
        <v>-4.2352999999999899</v>
      </c>
      <c r="AD4170">
        <v>-1.112819593534</v>
      </c>
      <c r="AE4170">
        <v>-19</v>
      </c>
      <c r="AF4170">
        <v>-4.6962063040371396</v>
      </c>
      <c r="AG4170">
        <v>-1.112819593534</v>
      </c>
      <c r="AH4170">
        <v>18.826013008615401</v>
      </c>
      <c r="AI4170">
        <v>93.2825012417171</v>
      </c>
      <c r="AJ4170">
        <v>104.006744982342</v>
      </c>
      <c r="AK4170">
        <v>19.4348009225304</v>
      </c>
      <c r="AL4170">
        <v>80.395969661952506</v>
      </c>
      <c r="AM4170">
        <v>101.634944584598</v>
      </c>
      <c r="AN4170">
        <v>0.99999997664669404</v>
      </c>
    </row>
    <row r="4171" spans="1:40" x14ac:dyDescent="0.25">
      <c r="A4171" t="str">
        <f>"20190312172748266"</f>
        <v>20190312172748266</v>
      </c>
      <c r="B4171" t="str">
        <f>"1552382868253633"</f>
        <v>1552382868253633</v>
      </c>
      <c r="C4171" t="s">
        <v>40</v>
      </c>
      <c r="D4171">
        <v>3.3208579999999999</v>
      </c>
      <c r="E4171">
        <v>0.49090879999999998</v>
      </c>
      <c r="F4171" t="s">
        <v>41</v>
      </c>
      <c r="G4171">
        <v>-421.77269999999999</v>
      </c>
      <c r="H4171" s="1">
        <v>-4.8389149999999997E-6</v>
      </c>
      <c r="I4171">
        <v>109.0681</v>
      </c>
      <c r="J4171">
        <v>-417.8091</v>
      </c>
      <c r="K4171">
        <v>1.11266</v>
      </c>
      <c r="L4171">
        <v>127.06059999999999</v>
      </c>
      <c r="M4171">
        <v>-0.43764989999999998</v>
      </c>
      <c r="N4171">
        <v>0</v>
      </c>
      <c r="O4171">
        <v>-0.89906790000000003</v>
      </c>
      <c r="P4171">
        <v>-0.2482597</v>
      </c>
      <c r="Q4171">
        <v>0.1562936</v>
      </c>
      <c r="R4171">
        <v>-0.95600240000000003</v>
      </c>
      <c r="S4171">
        <v>-0.67126459999999999</v>
      </c>
      <c r="T4171">
        <v>-0.18211350000000001</v>
      </c>
      <c r="U4171">
        <v>-2.9946899999999999</v>
      </c>
      <c r="V4171">
        <v>-0.1962872</v>
      </c>
      <c r="W4171">
        <v>0.16646710000000001</v>
      </c>
      <c r="X4171">
        <v>0.96631259999999997</v>
      </c>
      <c r="Y4171">
        <v>-0.23071700000000001</v>
      </c>
      <c r="Z4171">
        <v>5.0235420000000003E-2</v>
      </c>
      <c r="AA4171">
        <v>0.97172329999999996</v>
      </c>
      <c r="AB4171">
        <v>18</v>
      </c>
      <c r="AC4171">
        <v>-3.96359999999998</v>
      </c>
      <c r="AD4171">
        <v>-1.112664838915</v>
      </c>
      <c r="AE4171">
        <v>-17.9924999999999</v>
      </c>
      <c r="AF4171">
        <v>-4.2955041850578599</v>
      </c>
      <c r="AG4171">
        <v>-1.112664838915</v>
      </c>
      <c r="AH4171">
        <v>17.847303983507299</v>
      </c>
      <c r="AI4171">
        <v>93.468609929379198</v>
      </c>
      <c r="AJ4171">
        <v>103.53261249178099</v>
      </c>
      <c r="AK4171">
        <v>18.390639976012899</v>
      </c>
      <c r="AL4171">
        <v>80.417528105468506</v>
      </c>
      <c r="AM4171">
        <v>101.482273403872</v>
      </c>
      <c r="AN4171">
        <v>1.0000000005925</v>
      </c>
    </row>
    <row r="4172" spans="1:40" x14ac:dyDescent="0.25">
      <c r="A4172" t="str">
        <f>"20190312172748287"</f>
        <v>20190312172748287</v>
      </c>
      <c r="B4172" t="str">
        <f>"1552382868283890"</f>
        <v>1552382868283890</v>
      </c>
      <c r="C4172" t="s">
        <v>40</v>
      </c>
      <c r="D4172">
        <v>3.3584719999999999</v>
      </c>
      <c r="E4172">
        <v>0.49199490000000001</v>
      </c>
      <c r="F4172" t="s">
        <v>41</v>
      </c>
      <c r="G4172">
        <v>-421.7473</v>
      </c>
      <c r="H4172" s="1">
        <v>-4.8627589999999998E-6</v>
      </c>
      <c r="I4172">
        <v>109.14190000000001</v>
      </c>
      <c r="J4172">
        <v>-417.88069999999999</v>
      </c>
      <c r="K4172">
        <v>1.112579</v>
      </c>
      <c r="L4172">
        <v>126.8985</v>
      </c>
      <c r="M4172">
        <v>-0.43270160000000002</v>
      </c>
      <c r="N4172">
        <v>0</v>
      </c>
      <c r="O4172">
        <v>-0.90146079999999995</v>
      </c>
      <c r="P4172">
        <v>-0.2439731</v>
      </c>
      <c r="Q4172">
        <v>0.15649959999999999</v>
      </c>
      <c r="R4172">
        <v>-0.95707109999999995</v>
      </c>
      <c r="S4172">
        <v>-0.65878300000000001</v>
      </c>
      <c r="T4172">
        <v>-0.18612590000000001</v>
      </c>
      <c r="U4172">
        <v>-2.9974210000000001</v>
      </c>
      <c r="V4172">
        <v>-0.19526080000000001</v>
      </c>
      <c r="W4172">
        <v>0.1666232</v>
      </c>
      <c r="X4172">
        <v>0.96649359999999995</v>
      </c>
      <c r="Y4172">
        <v>-0.2294281</v>
      </c>
      <c r="Z4172">
        <v>5.1536440000000003E-2</v>
      </c>
      <c r="AA4172">
        <v>0.97196020000000005</v>
      </c>
      <c r="AB4172">
        <v>18</v>
      </c>
      <c r="AC4172">
        <v>-3.8666</v>
      </c>
      <c r="AD4172">
        <v>-1.1125838627589999</v>
      </c>
      <c r="AE4172">
        <v>-17.756599999999899</v>
      </c>
      <c r="AF4172">
        <v>-4.1823337099027498</v>
      </c>
      <c r="AG4172">
        <v>-1.1125838627589999</v>
      </c>
      <c r="AH4172">
        <v>17.615155068027999</v>
      </c>
      <c r="AI4172">
        <v>93.516532674036796</v>
      </c>
      <c r="AJ4172">
        <v>103.356321581961</v>
      </c>
      <c r="AK4172">
        <v>18.139003450667701</v>
      </c>
      <c r="AL4172">
        <v>80.408457303852003</v>
      </c>
      <c r="AM4172">
        <v>101.421731225369</v>
      </c>
      <c r="AN4172">
        <v>0.99999997481791902</v>
      </c>
    </row>
    <row r="4173" spans="1:40" x14ac:dyDescent="0.25">
      <c r="A4173" t="str">
        <f>"20190312172748312"</f>
        <v>20190312172748312</v>
      </c>
      <c r="B4173" t="str">
        <f>"1552382868303410"</f>
        <v>1552382868303410</v>
      </c>
      <c r="C4173" t="s">
        <v>40</v>
      </c>
      <c r="D4173">
        <v>3.3198639999999999</v>
      </c>
      <c r="E4173">
        <v>0.49187809999999998</v>
      </c>
      <c r="F4173" t="s">
        <v>41</v>
      </c>
      <c r="G4173">
        <v>-421.7484</v>
      </c>
      <c r="H4173" s="1">
        <v>-4.8645910000000004E-6</v>
      </c>
      <c r="I4173">
        <v>109.1461</v>
      </c>
      <c r="J4173">
        <v>-417.95370000000003</v>
      </c>
      <c r="K4173">
        <v>1.112501</v>
      </c>
      <c r="L4173">
        <v>126.7312</v>
      </c>
      <c r="M4173">
        <v>-0.4277319</v>
      </c>
      <c r="N4173">
        <v>0</v>
      </c>
      <c r="O4173">
        <v>-0.90383060000000004</v>
      </c>
      <c r="P4173">
        <v>-0.23991770000000001</v>
      </c>
      <c r="Q4173">
        <v>0.1560753</v>
      </c>
      <c r="R4173">
        <v>-0.95816489999999999</v>
      </c>
      <c r="S4173">
        <v>-0.65335080000000001</v>
      </c>
      <c r="T4173">
        <v>-0.1879401</v>
      </c>
      <c r="U4173">
        <v>-2.998764</v>
      </c>
      <c r="V4173">
        <v>-0.1940268</v>
      </c>
      <c r="W4173">
        <v>0.16615439999999901</v>
      </c>
      <c r="X4173">
        <v>0.96682279999999998</v>
      </c>
      <c r="Y4173">
        <v>-0.22584670000000001</v>
      </c>
      <c r="Z4173">
        <v>5.2263209999999997E-2</v>
      </c>
      <c r="AA4173">
        <v>0.97275990000000001</v>
      </c>
      <c r="AB4173">
        <v>18</v>
      </c>
      <c r="AC4173">
        <v>-3.79469999999997</v>
      </c>
      <c r="AD4173">
        <v>-1.112505864591</v>
      </c>
      <c r="AE4173">
        <v>-17.585099999999901</v>
      </c>
      <c r="AF4173">
        <v>-4.0766297281010004</v>
      </c>
      <c r="AG4173">
        <v>-1.112505864591</v>
      </c>
      <c r="AH4173">
        <v>17.4515148066181</v>
      </c>
      <c r="AI4173">
        <v>93.552201797784605</v>
      </c>
      <c r="AJ4173">
        <v>103.148374036722</v>
      </c>
      <c r="AK4173">
        <v>17.9558332662229</v>
      </c>
      <c r="AL4173">
        <v>80.435697578581497</v>
      </c>
      <c r="AM4173">
        <v>101.34766366836099</v>
      </c>
      <c r="AN4173">
        <v>1.0000000051787199</v>
      </c>
    </row>
    <row r="4174" spans="1:40" x14ac:dyDescent="0.25">
      <c r="A4174" t="str">
        <f>"20190312172748333"</f>
        <v>20190312172748333</v>
      </c>
      <c r="B4174" t="str">
        <f>"1552382868323905"</f>
        <v>1552382868323905</v>
      </c>
      <c r="C4174" t="s">
        <v>40</v>
      </c>
      <c r="D4174">
        <v>3.2462870000000001</v>
      </c>
      <c r="E4174">
        <v>0.47301019999999999</v>
      </c>
      <c r="F4174" t="s">
        <v>41</v>
      </c>
      <c r="G4174">
        <v>-421.66800000000001</v>
      </c>
      <c r="H4174" s="1">
        <v>-4.9070139999999997E-6</v>
      </c>
      <c r="I4174">
        <v>109.2938</v>
      </c>
      <c r="J4174">
        <v>-418.02879999999999</v>
      </c>
      <c r="K4174">
        <v>1.112412</v>
      </c>
      <c r="L4174">
        <v>126.5566</v>
      </c>
      <c r="M4174">
        <v>-0.4226973</v>
      </c>
      <c r="N4174">
        <v>0</v>
      </c>
      <c r="O4174">
        <v>-0.90619740000000004</v>
      </c>
      <c r="P4174">
        <v>-0.23569080000000001</v>
      </c>
      <c r="Q4174">
        <v>0.15589310000000001</v>
      </c>
      <c r="R4174">
        <v>-0.95924299999999996</v>
      </c>
      <c r="S4174">
        <v>-0.63946530000000001</v>
      </c>
      <c r="T4174">
        <v>-0.19153310000000001</v>
      </c>
      <c r="U4174">
        <v>-3.0020899999999999</v>
      </c>
      <c r="V4174">
        <v>-0.1928898</v>
      </c>
      <c r="W4174">
        <v>0.16591929999999999</v>
      </c>
      <c r="X4174">
        <v>0.96709069999999997</v>
      </c>
      <c r="Y4174">
        <v>-0.22496389999999999</v>
      </c>
      <c r="Z4174">
        <v>5.3448259999999997E-2</v>
      </c>
      <c r="AA4174">
        <v>0.97289999999999999</v>
      </c>
      <c r="AB4174">
        <v>18</v>
      </c>
      <c r="AC4174">
        <v>-3.63920000000001</v>
      </c>
      <c r="AD4174">
        <v>-1.112416907014</v>
      </c>
      <c r="AE4174">
        <v>-17.262799999999999</v>
      </c>
      <c r="AF4174">
        <v>-3.98353398846122</v>
      </c>
      <c r="AG4174">
        <v>-1.112416907014</v>
      </c>
      <c r="AH4174">
        <v>17.1148834874149</v>
      </c>
      <c r="AI4174">
        <v>93.622271665571901</v>
      </c>
      <c r="AJ4174">
        <v>103.102463846128</v>
      </c>
      <c r="AK4174">
        <v>17.6075339329511</v>
      </c>
      <c r="AL4174">
        <v>80.449357906587807</v>
      </c>
      <c r="AM4174">
        <v>101.279831457087</v>
      </c>
      <c r="AN4174">
        <v>1.0000000555415001</v>
      </c>
    </row>
    <row r="4175" spans="1:40" x14ac:dyDescent="0.25">
      <c r="A4175" t="str">
        <f>"20190312172748358"</f>
        <v>20190312172748358</v>
      </c>
      <c r="B4175" t="str">
        <f>"1552382868353186"</f>
        <v>1552382868353186</v>
      </c>
      <c r="C4175" t="s">
        <v>40</v>
      </c>
      <c r="D4175">
        <v>3.2363240000000002</v>
      </c>
      <c r="E4175">
        <v>0.47185909999999898</v>
      </c>
      <c r="F4175" t="s">
        <v>41</v>
      </c>
      <c r="G4175">
        <v>-421.39600000000002</v>
      </c>
      <c r="H4175" s="1">
        <v>-3.0551670000000001E-6</v>
      </c>
      <c r="I4175">
        <v>105.26900000000001</v>
      </c>
      <c r="J4175">
        <v>-418.1046</v>
      </c>
      <c r="K4175">
        <v>1.112336</v>
      </c>
      <c r="L4175">
        <v>126.37860000000001</v>
      </c>
      <c r="M4175">
        <v>-0.4176937</v>
      </c>
      <c r="N4175">
        <v>0</v>
      </c>
      <c r="O4175">
        <v>-0.9085162</v>
      </c>
      <c r="P4175">
        <v>-0.23150499999999999</v>
      </c>
      <c r="Q4175">
        <v>0.15597649999999999</v>
      </c>
      <c r="R4175">
        <v>-0.96024869999999996</v>
      </c>
      <c r="S4175">
        <v>-0.48010249999999999</v>
      </c>
      <c r="T4175">
        <v>-0.1586128</v>
      </c>
      <c r="U4175">
        <v>-3.0352779999999999</v>
      </c>
      <c r="V4175">
        <v>-0.19174050000000001</v>
      </c>
      <c r="W4175">
        <v>0.16594610000000001</v>
      </c>
      <c r="X4175">
        <v>0.96731449999999997</v>
      </c>
      <c r="Y4175">
        <v>-0.27079740000000002</v>
      </c>
      <c r="Z4175">
        <v>4.3866429999999998E-2</v>
      </c>
      <c r="AA4175">
        <v>0.96163639999999995</v>
      </c>
      <c r="AB4175">
        <v>18</v>
      </c>
      <c r="AC4175">
        <v>-3.2913999999999501</v>
      </c>
      <c r="AD4175">
        <v>-1.112339055167</v>
      </c>
      <c r="AE4175">
        <v>-21.1096</v>
      </c>
      <c r="AF4175">
        <v>-5.8116825736223197</v>
      </c>
      <c r="AG4175">
        <v>-1.112339055167</v>
      </c>
      <c r="AH4175">
        <v>20.498982927227701</v>
      </c>
      <c r="AI4175">
        <v>92.988446504272403</v>
      </c>
      <c r="AJ4175">
        <v>105.82860475794401</v>
      </c>
      <c r="AK4175">
        <v>21.3359146408343</v>
      </c>
      <c r="AL4175">
        <v>80.447799628320695</v>
      </c>
      <c r="AM4175">
        <v>101.211801993539</v>
      </c>
      <c r="AN4175">
        <v>0.99999993467785198</v>
      </c>
    </row>
    <row r="4176" spans="1:40" x14ac:dyDescent="0.25">
      <c r="A4176" t="str">
        <f>"20190312172748400"</f>
        <v>20190312172748400</v>
      </c>
      <c r="B4176" t="str">
        <f>"1552382868393201"</f>
        <v>1552382868393201</v>
      </c>
      <c r="C4176" t="s">
        <v>40</v>
      </c>
      <c r="D4176">
        <v>3.2546469999999998</v>
      </c>
      <c r="E4176">
        <v>0.4720453</v>
      </c>
      <c r="F4176" t="s">
        <v>41</v>
      </c>
      <c r="G4176">
        <v>-421.3623</v>
      </c>
      <c r="H4176" s="1">
        <v>-2.7991980000000002E-6</v>
      </c>
      <c r="I4176">
        <v>104.74639999999999</v>
      </c>
      <c r="J4176">
        <v>-418.23610000000002</v>
      </c>
      <c r="K4176">
        <v>1.112223</v>
      </c>
      <c r="L4176">
        <v>126.0638</v>
      </c>
      <c r="M4176">
        <v>-0.40914820000000002</v>
      </c>
      <c r="N4176">
        <v>0</v>
      </c>
      <c r="O4176">
        <v>-0.91239840000000005</v>
      </c>
      <c r="P4176">
        <v>-0.22456899999999999</v>
      </c>
      <c r="Q4176">
        <v>0.156414</v>
      </c>
      <c r="R4176">
        <v>-0.96182330000000005</v>
      </c>
      <c r="S4176">
        <v>-0.45770260000000001</v>
      </c>
      <c r="T4176">
        <v>-0.15627939999999901</v>
      </c>
      <c r="U4176">
        <v>-3.0392299999999999</v>
      </c>
      <c r="V4176">
        <v>-0.18956999999999999</v>
      </c>
      <c r="W4176">
        <v>0.1662969</v>
      </c>
      <c r="X4176">
        <v>0.96768209999999999</v>
      </c>
      <c r="Y4176">
        <v>-0.26887359999999999</v>
      </c>
      <c r="Z4176">
        <v>4.3493780000000003E-2</v>
      </c>
      <c r="AA4176">
        <v>0.96219299999999996</v>
      </c>
      <c r="AB4176">
        <v>18</v>
      </c>
      <c r="AC4176">
        <v>-3.1261999999999799</v>
      </c>
      <c r="AD4176">
        <v>-1.112225799198</v>
      </c>
      <c r="AE4176">
        <v>-21.317399999999999</v>
      </c>
      <c r="AF4176">
        <v>-5.8544072057386902</v>
      </c>
      <c r="AG4176">
        <v>-1.112225799198</v>
      </c>
      <c r="AH4176">
        <v>20.6752593139894</v>
      </c>
      <c r="AI4176">
        <v>92.9629836556594</v>
      </c>
      <c r="AJ4176">
        <v>105.81000227218099</v>
      </c>
      <c r="AK4176">
        <v>21.5169114340259</v>
      </c>
      <c r="AL4176">
        <v>80.427418126005406</v>
      </c>
      <c r="AM4176">
        <v>101.083939207706</v>
      </c>
      <c r="AN4176">
        <v>1.000000045255</v>
      </c>
    </row>
    <row r="4177" spans="1:40" x14ac:dyDescent="0.25">
      <c r="A4177" t="str">
        <f>"20190312172748422"</f>
        <v>20190312172748422</v>
      </c>
      <c r="B4177" t="str">
        <f>"1552382868413698"</f>
        <v>1552382868413698</v>
      </c>
      <c r="C4177" t="s">
        <v>40</v>
      </c>
      <c r="D4177">
        <v>3.311353</v>
      </c>
      <c r="E4177">
        <v>0.47228520000000002</v>
      </c>
      <c r="F4177" t="s">
        <v>41</v>
      </c>
      <c r="G4177">
        <v>-421.33730000000003</v>
      </c>
      <c r="H4177" s="1">
        <v>-2.6614270000000002E-6</v>
      </c>
      <c r="I4177">
        <v>104.46899999999999</v>
      </c>
      <c r="J4177">
        <v>-418.30290000000002</v>
      </c>
      <c r="K4177">
        <v>1.1121650000000001</v>
      </c>
      <c r="L4177">
        <v>125.90089999999999</v>
      </c>
      <c r="M4177">
        <v>-0.40487030000000002</v>
      </c>
      <c r="N4177">
        <v>0</v>
      </c>
      <c r="O4177">
        <v>-0.91430540000000005</v>
      </c>
      <c r="P4177">
        <v>-0.2214179</v>
      </c>
      <c r="Q4177">
        <v>0.1569818</v>
      </c>
      <c r="R4177">
        <v>-0.96246120000000002</v>
      </c>
      <c r="S4177">
        <v>-0.43695070000000003</v>
      </c>
      <c r="T4177">
        <v>-0.15670539999999999</v>
      </c>
      <c r="U4177">
        <v>-3.042557</v>
      </c>
      <c r="V4177">
        <v>-0.18814910000000001</v>
      </c>
      <c r="W4177">
        <v>0.1668259</v>
      </c>
      <c r="X4177">
        <v>0.96786830000000001</v>
      </c>
      <c r="Y4177">
        <v>-0.27094109999999899</v>
      </c>
      <c r="Z4177">
        <v>4.3712460000000002E-2</v>
      </c>
      <c r="AA4177">
        <v>0.96160290000000004</v>
      </c>
      <c r="AB4177">
        <v>18</v>
      </c>
      <c r="AC4177">
        <v>-3.0344000000000002</v>
      </c>
      <c r="AD4177">
        <v>-1.112167661427</v>
      </c>
      <c r="AE4177">
        <v>-21.431899999999999</v>
      </c>
      <c r="AF4177">
        <v>-5.8875993259366703</v>
      </c>
      <c r="AG4177">
        <v>-1.112167661427</v>
      </c>
      <c r="AH4177">
        <v>20.770315915883799</v>
      </c>
      <c r="AI4177">
        <v>92.949060189156398</v>
      </c>
      <c r="AJ4177">
        <v>105.826028245535</v>
      </c>
      <c r="AK4177">
        <v>21.6172793379627</v>
      </c>
      <c r="AL4177">
        <v>80.396678885254602</v>
      </c>
      <c r="AM4177">
        <v>101.000830574898</v>
      </c>
      <c r="AN4177">
        <v>1.0000000054432501</v>
      </c>
    </row>
    <row r="4178" spans="1:40" x14ac:dyDescent="0.25">
      <c r="A4178" t="str">
        <f>"20190312172748443"</f>
        <v>20190312172748443</v>
      </c>
      <c r="B4178" t="str">
        <f>"1552382868433218"</f>
        <v>1552382868433218</v>
      </c>
      <c r="C4178" t="s">
        <v>40</v>
      </c>
      <c r="D4178">
        <v>3.305196</v>
      </c>
      <c r="E4178">
        <v>0.47269539999999999</v>
      </c>
      <c r="F4178" t="s">
        <v>41</v>
      </c>
      <c r="G4178">
        <v>-421.3535</v>
      </c>
      <c r="H4178" s="1">
        <v>-2.5699140000000001E-6</v>
      </c>
      <c r="I4178">
        <v>104.2663</v>
      </c>
      <c r="J4178">
        <v>-418.37180000000001</v>
      </c>
      <c r="K4178">
        <v>1.1121099999999999</v>
      </c>
      <c r="L4178">
        <v>125.7315</v>
      </c>
      <c r="M4178">
        <v>-0.4005242</v>
      </c>
      <c r="N4178">
        <v>0</v>
      </c>
      <c r="O4178">
        <v>-0.9162188</v>
      </c>
      <c r="P4178">
        <v>-0.21766099999999999</v>
      </c>
      <c r="Q4178">
        <v>0.1570725</v>
      </c>
      <c r="R4178">
        <v>-0.96330300000000002</v>
      </c>
      <c r="S4178">
        <v>-0.4291992</v>
      </c>
      <c r="T4178">
        <v>-0.1564729</v>
      </c>
      <c r="U4178">
        <v>-3.0438079999999998</v>
      </c>
      <c r="V4178">
        <v>-0.187301</v>
      </c>
      <c r="W4178">
        <v>0.1668752</v>
      </c>
      <c r="X4178">
        <v>0.96802429999999995</v>
      </c>
      <c r="Y4178">
        <v>-0.26882539999999999</v>
      </c>
      <c r="Z4178">
        <v>4.3796170000000002E-2</v>
      </c>
      <c r="AA4178">
        <v>0.96219270000000001</v>
      </c>
      <c r="AB4178">
        <v>18</v>
      </c>
      <c r="AC4178">
        <v>-2.98169999999998</v>
      </c>
      <c r="AD4178">
        <v>-1.112112569914</v>
      </c>
      <c r="AE4178">
        <v>-21.465199999999999</v>
      </c>
      <c r="AF4178">
        <v>-5.8503978001526997</v>
      </c>
      <c r="AG4178">
        <v>-1.112112569914</v>
      </c>
      <c r="AH4178">
        <v>20.807554871710501</v>
      </c>
      <c r="AI4178">
        <v>92.945410031251498</v>
      </c>
      <c r="AJ4178">
        <v>105.70423083070401</v>
      </c>
      <c r="AK4178">
        <v>21.6429731905632</v>
      </c>
      <c r="AL4178">
        <v>80.393814197203696</v>
      </c>
      <c r="AM4178">
        <v>100.950722719444</v>
      </c>
      <c r="AN4178">
        <v>1.00000002118326</v>
      </c>
    </row>
    <row r="4179" spans="1:40" x14ac:dyDescent="0.25">
      <c r="A4179" t="str">
        <f>"20190312172748465"</f>
        <v>20190312172748465</v>
      </c>
      <c r="B4179" t="str">
        <f>"1552382868463474"</f>
        <v>1552382868463474</v>
      </c>
      <c r="C4179" t="s">
        <v>40</v>
      </c>
      <c r="D4179">
        <v>3.2658140000000002</v>
      </c>
      <c r="E4179">
        <v>0.47332930000000001</v>
      </c>
      <c r="F4179" t="s">
        <v>41</v>
      </c>
      <c r="G4179">
        <v>-421.33179999999999</v>
      </c>
      <c r="H4179" s="1">
        <v>-2.5693110000000002E-6</v>
      </c>
      <c r="I4179">
        <v>104.2773</v>
      </c>
      <c r="J4179">
        <v>-418.43720000000002</v>
      </c>
      <c r="K4179">
        <v>1.11205</v>
      </c>
      <c r="L4179">
        <v>125.5688</v>
      </c>
      <c r="M4179">
        <v>-0.39646179999999998</v>
      </c>
      <c r="N4179">
        <v>0</v>
      </c>
      <c r="O4179">
        <v>-0.91798469999999999</v>
      </c>
      <c r="P4179">
        <v>-0.2142628</v>
      </c>
      <c r="Q4179">
        <v>0.15693550000000001</v>
      </c>
      <c r="R4179">
        <v>-0.96408689999999997</v>
      </c>
      <c r="S4179">
        <v>-0.4201355</v>
      </c>
      <c r="T4179">
        <v>-0.15784679999999901</v>
      </c>
      <c r="U4179">
        <v>-3.0450900000000001</v>
      </c>
      <c r="V4179">
        <v>-0.18640909999999999</v>
      </c>
      <c r="W4179">
        <v>0.16670360000000001</v>
      </c>
      <c r="X4179">
        <v>0.96822600000000003</v>
      </c>
      <c r="Y4179">
        <v>-0.26742660000000001</v>
      </c>
      <c r="Z4179">
        <v>4.4313539999999998E-2</v>
      </c>
      <c r="AA4179">
        <v>0.96255869999999999</v>
      </c>
      <c r="AB4179">
        <v>18</v>
      </c>
      <c r="AC4179">
        <v>-2.8945999999999601</v>
      </c>
      <c r="AD4179">
        <v>-1.1120525693109999</v>
      </c>
      <c r="AE4179">
        <v>-21.291499999999999</v>
      </c>
      <c r="AF4179">
        <v>-5.7689692146984104</v>
      </c>
      <c r="AG4179">
        <v>-1.1120525693109999</v>
      </c>
      <c r="AH4179">
        <v>20.6388530551306</v>
      </c>
      <c r="AI4179">
        <v>92.970552156970797</v>
      </c>
      <c r="AJ4179">
        <v>105.616733005337</v>
      </c>
      <c r="AK4179">
        <v>21.458795915622101</v>
      </c>
      <c r="AL4179">
        <v>80.403785769557402</v>
      </c>
      <c r="AM4179">
        <v>100.89761262439301</v>
      </c>
      <c r="AN4179">
        <v>1.0000000149458801</v>
      </c>
    </row>
    <row r="4180" spans="1:40" x14ac:dyDescent="0.25">
      <c r="A4180" t="str">
        <f>"20190312172748488"</f>
        <v>20190312172748488</v>
      </c>
      <c r="B4180" t="str">
        <f>"1552382868483970"</f>
        <v>1552382868483970</v>
      </c>
      <c r="C4180" t="s">
        <v>40</v>
      </c>
      <c r="D4180">
        <v>3.2940640000000001</v>
      </c>
      <c r="E4180">
        <v>0.47789799999999899</v>
      </c>
      <c r="F4180" t="s">
        <v>41</v>
      </c>
      <c r="G4180">
        <v>-421.30099999999999</v>
      </c>
      <c r="H4180" s="1">
        <v>-2.6844250000000001E-6</v>
      </c>
      <c r="I4180">
        <v>104.5381</v>
      </c>
      <c r="J4180">
        <v>-418.5061</v>
      </c>
      <c r="K4180">
        <v>1.1119699999999999</v>
      </c>
      <c r="L4180">
        <v>125.3952</v>
      </c>
      <c r="M4180">
        <v>-0.39225989999999999</v>
      </c>
      <c r="N4180">
        <v>0</v>
      </c>
      <c r="O4180">
        <v>-0.91978879999999996</v>
      </c>
      <c r="P4180">
        <v>-0.2109173</v>
      </c>
      <c r="Q4180">
        <v>0.15713389999999999</v>
      </c>
      <c r="R4180">
        <v>-0.96479179999999998</v>
      </c>
      <c r="S4180">
        <v>-0.41476439999999998</v>
      </c>
      <c r="T4180">
        <v>-0.16105559999999999</v>
      </c>
      <c r="U4180">
        <v>-3.0458069999999999</v>
      </c>
      <c r="V4180">
        <v>-0.1852973</v>
      </c>
      <c r="W4180">
        <v>0.1668752</v>
      </c>
      <c r="X4180">
        <v>0.96840979999999999</v>
      </c>
      <c r="Y4180">
        <v>-0.26472220000000002</v>
      </c>
      <c r="Z4180">
        <v>4.5365900000000001E-2</v>
      </c>
      <c r="AA4180">
        <v>0.96325700000000003</v>
      </c>
      <c r="AB4180">
        <v>18</v>
      </c>
      <c r="AC4180">
        <v>-2.7948999999999802</v>
      </c>
      <c r="AD4180">
        <v>-1.111972684425</v>
      </c>
      <c r="AE4180">
        <v>-20.857099999999999</v>
      </c>
      <c r="AF4180">
        <v>-5.5954013299188698</v>
      </c>
      <c r="AG4180">
        <v>-1.111972684425</v>
      </c>
      <c r="AH4180">
        <v>20.225205143173898</v>
      </c>
      <c r="AI4180">
        <v>93.033214812341498</v>
      </c>
      <c r="AJ4180">
        <v>105.464364124749</v>
      </c>
      <c r="AK4180">
        <v>21.014374184763</v>
      </c>
      <c r="AL4180">
        <v>80.393813809954196</v>
      </c>
      <c r="AM4180">
        <v>100.832151089287</v>
      </c>
      <c r="AN4180">
        <v>0.99999998124918399</v>
      </c>
    </row>
    <row r="4181" spans="1:40" x14ac:dyDescent="0.25">
      <c r="A4181" t="str">
        <f>"20190312172748511"</f>
        <v>20190312172748511</v>
      </c>
      <c r="B4181" t="str">
        <f>"1552382868503490"</f>
        <v>1552382868503490</v>
      </c>
      <c r="C4181" t="s">
        <v>40</v>
      </c>
      <c r="D4181">
        <v>3.3209420000000001</v>
      </c>
      <c r="E4181">
        <v>0.4780297</v>
      </c>
      <c r="F4181" t="s">
        <v>41</v>
      </c>
      <c r="G4181">
        <v>-421.1961</v>
      </c>
      <c r="H4181" s="1">
        <v>-3.6963000000000001E-6</v>
      </c>
      <c r="I4181">
        <v>106.73779999999999</v>
      </c>
      <c r="J4181">
        <v>-418.57299999999998</v>
      </c>
      <c r="K4181">
        <v>1.1118840000000001</v>
      </c>
      <c r="L4181">
        <v>125.2252</v>
      </c>
      <c r="M4181">
        <v>-0.38828109999999999</v>
      </c>
      <c r="N4181">
        <v>0</v>
      </c>
      <c r="O4181">
        <v>-0.92147630000000003</v>
      </c>
      <c r="P4181">
        <v>-0.2074319</v>
      </c>
      <c r="Q4181">
        <v>0.15718699999999999</v>
      </c>
      <c r="R4181">
        <v>-0.96553860000000002</v>
      </c>
      <c r="S4181">
        <v>-0.43875120000000001</v>
      </c>
      <c r="T4181">
        <v>-0.18136640000000001</v>
      </c>
      <c r="U4181">
        <v>-3.043091</v>
      </c>
      <c r="V4181">
        <v>-0.1845745</v>
      </c>
      <c r="W4181">
        <v>0.1669081</v>
      </c>
      <c r="X4181">
        <v>0.96854220000000002</v>
      </c>
      <c r="Y4181">
        <v>-0.25301659999999998</v>
      </c>
      <c r="Z4181">
        <v>5.1330599999999997E-2</v>
      </c>
      <c r="AA4181">
        <v>0.96609929999999999</v>
      </c>
      <c r="AB4181">
        <v>18</v>
      </c>
      <c r="AC4181">
        <v>-2.62309999999996</v>
      </c>
      <c r="AD4181">
        <v>-1.1118876963</v>
      </c>
      <c r="AE4181">
        <v>-18.487400000000001</v>
      </c>
      <c r="AF4181">
        <v>-4.7446438073951303</v>
      </c>
      <c r="AG4181">
        <v>-1.1118876963</v>
      </c>
      <c r="AH4181">
        <v>17.991483209048798</v>
      </c>
      <c r="AI4181">
        <v>93.419799645660206</v>
      </c>
      <c r="AJ4181">
        <v>104.77347017183899</v>
      </c>
      <c r="AK4181">
        <v>18.639780233943799</v>
      </c>
      <c r="AL4181">
        <v>80.391902404885002</v>
      </c>
      <c r="AM4181">
        <v>100.789450976789</v>
      </c>
      <c r="AN4181">
        <v>1.00000002653834</v>
      </c>
    </row>
    <row r="4182" spans="1:40" x14ac:dyDescent="0.25">
      <c r="A4182" t="str">
        <f>"20190312172748534"</f>
        <v>20190312172748534</v>
      </c>
      <c r="B4182" t="str">
        <f>"1552382868523985"</f>
        <v>1552382868523985</v>
      </c>
      <c r="C4182" t="s">
        <v>40</v>
      </c>
      <c r="D4182">
        <v>3.283452</v>
      </c>
      <c r="E4182">
        <v>0.4784677</v>
      </c>
      <c r="F4182" t="s">
        <v>41</v>
      </c>
      <c r="G4182">
        <v>-421.23590000000002</v>
      </c>
      <c r="H4182" s="1">
        <v>-3.531891E-6</v>
      </c>
      <c r="I4182">
        <v>106.3676</v>
      </c>
      <c r="J4182">
        <v>-418.64120000000003</v>
      </c>
      <c r="K4182">
        <v>1.111818</v>
      </c>
      <c r="L4182">
        <v>125.0498</v>
      </c>
      <c r="M4182">
        <v>-0.3842874</v>
      </c>
      <c r="N4182">
        <v>0</v>
      </c>
      <c r="O4182">
        <v>-0.92314929999999995</v>
      </c>
      <c r="P4182">
        <v>-0.20472170000000001</v>
      </c>
      <c r="Q4182">
        <v>0.15769430000000001</v>
      </c>
      <c r="R4182">
        <v>-0.96603410000000001</v>
      </c>
      <c r="S4182">
        <v>-0.4298401</v>
      </c>
      <c r="T4182">
        <v>-0.17947829999999901</v>
      </c>
      <c r="U4182">
        <v>-3.0439449999999999</v>
      </c>
      <c r="V4182">
        <v>-0.1830407</v>
      </c>
      <c r="W4182">
        <v>0.1674003</v>
      </c>
      <c r="X4182">
        <v>0.96874830000000001</v>
      </c>
      <c r="Y4182">
        <v>-0.25163410000000003</v>
      </c>
      <c r="Z4182">
        <v>5.094833E-2</v>
      </c>
      <c r="AA4182">
        <v>0.96648049999999996</v>
      </c>
      <c r="AB4182">
        <v>18</v>
      </c>
      <c r="AC4182">
        <v>-2.59469999999998</v>
      </c>
      <c r="AD4182">
        <v>-1.1118215318910001</v>
      </c>
      <c r="AE4182">
        <v>-18.682200000000002</v>
      </c>
      <c r="AF4182">
        <v>-4.7677557138494304</v>
      </c>
      <c r="AG4182">
        <v>-1.1118215318910001</v>
      </c>
      <c r="AH4182">
        <v>18.1814769038718</v>
      </c>
      <c r="AI4182">
        <v>93.385178876434907</v>
      </c>
      <c r="AJ4182">
        <v>104.693910019033</v>
      </c>
      <c r="AK4182">
        <v>18.829066468408499</v>
      </c>
      <c r="AL4182">
        <v>80.363298867955095</v>
      </c>
      <c r="AM4182">
        <v>100.699646428205</v>
      </c>
      <c r="AN4182">
        <v>1.00000001352473</v>
      </c>
    </row>
    <row r="4183" spans="1:40" x14ac:dyDescent="0.25">
      <c r="A4183" t="str">
        <f>"20190312172748561"</f>
        <v>20190312172748561</v>
      </c>
      <c r="B4183" t="str">
        <f>"1552382868553266"</f>
        <v>1552382868553266</v>
      </c>
      <c r="C4183" t="s">
        <v>40</v>
      </c>
      <c r="D4183">
        <v>3.2901820000000002</v>
      </c>
      <c r="E4183">
        <v>0.47912080000000001</v>
      </c>
      <c r="F4183" t="s">
        <v>41</v>
      </c>
      <c r="G4183">
        <v>-421.25470000000001</v>
      </c>
      <c r="H4183" s="1">
        <v>-3.515459E-6</v>
      </c>
      <c r="I4183">
        <v>106.3222</v>
      </c>
      <c r="J4183">
        <v>-418.72050000000002</v>
      </c>
      <c r="K4183">
        <v>1.1117520000000001</v>
      </c>
      <c r="L4183">
        <v>124.8438</v>
      </c>
      <c r="M4183">
        <v>-0.37973309999999999</v>
      </c>
      <c r="N4183">
        <v>0</v>
      </c>
      <c r="O4183">
        <v>-0.92503279999999999</v>
      </c>
      <c r="P4183">
        <v>-0.201485</v>
      </c>
      <c r="Q4183">
        <v>0.1578667</v>
      </c>
      <c r="R4183">
        <v>-0.96668620000000005</v>
      </c>
      <c r="S4183">
        <v>-0.42492679999999999</v>
      </c>
      <c r="T4183">
        <v>-0.18077209999999999</v>
      </c>
      <c r="U4183">
        <v>-3.044937</v>
      </c>
      <c r="V4183">
        <v>-0.18147440000000001</v>
      </c>
      <c r="W4183">
        <v>0.16755030000000001</v>
      </c>
      <c r="X4183">
        <v>0.96901700000000002</v>
      </c>
      <c r="Y4183">
        <v>-0.2484394</v>
      </c>
      <c r="Z4183">
        <v>5.1491389999999998E-2</v>
      </c>
      <c r="AA4183">
        <v>0.96727790000000002</v>
      </c>
      <c r="AB4183">
        <v>18</v>
      </c>
      <c r="AC4183">
        <v>-2.53419999999999</v>
      </c>
      <c r="AD4183">
        <v>-1.111755515459</v>
      </c>
      <c r="AE4183">
        <v>-18.521599999999999</v>
      </c>
      <c r="AF4183">
        <v>-4.6727944281225202</v>
      </c>
      <c r="AG4183">
        <v>-1.111755515459</v>
      </c>
      <c r="AH4183">
        <v>18.0326892210627</v>
      </c>
      <c r="AI4183">
        <v>93.415421352348403</v>
      </c>
      <c r="AJ4183">
        <v>104.52746667783001</v>
      </c>
      <c r="AK4183">
        <v>18.661427829538599</v>
      </c>
      <c r="AL4183">
        <v>80.354581280910807</v>
      </c>
      <c r="AM4183">
        <v>100.607300516528</v>
      </c>
      <c r="AN4183">
        <v>1.0000000035872201</v>
      </c>
    </row>
    <row r="4184" spans="1:40" x14ac:dyDescent="0.25">
      <c r="A4184" t="str">
        <f>"20190312172748581"</f>
        <v>20190312172748581</v>
      </c>
      <c r="B4184" t="str">
        <f>"1552382868573762"</f>
        <v>1552382868573762</v>
      </c>
      <c r="C4184" t="s">
        <v>40</v>
      </c>
      <c r="D4184">
        <v>3.2895439999999998</v>
      </c>
      <c r="E4184">
        <v>0.47928320000000002</v>
      </c>
      <c r="F4184" t="s">
        <v>41</v>
      </c>
      <c r="G4184">
        <v>-421.28019999999998</v>
      </c>
      <c r="H4184" s="1">
        <v>-3.495375E-6</v>
      </c>
      <c r="I4184">
        <v>106.2654</v>
      </c>
      <c r="J4184">
        <v>-418.78089999999997</v>
      </c>
      <c r="K4184">
        <v>1.1117049999999999</v>
      </c>
      <c r="L4184">
        <v>124.68510000000001</v>
      </c>
      <c r="M4184">
        <v>-0.37633830000000001</v>
      </c>
      <c r="N4184">
        <v>0</v>
      </c>
      <c r="O4184">
        <v>-0.92641960000000001</v>
      </c>
      <c r="P4184">
        <v>-0.1992795</v>
      </c>
      <c r="Q4184">
        <v>0.15774879999999999</v>
      </c>
      <c r="R4184">
        <v>-0.96716230000000003</v>
      </c>
      <c r="S4184">
        <v>-0.41961670000000001</v>
      </c>
      <c r="T4184">
        <v>-0.18225740000000001</v>
      </c>
      <c r="U4184">
        <v>-3.0456699999999999</v>
      </c>
      <c r="V4184">
        <v>-0.18012049999999999</v>
      </c>
      <c r="W4184">
        <v>0.16741210000000001</v>
      </c>
      <c r="X4184">
        <v>0.96929350000000003</v>
      </c>
      <c r="Y4184">
        <v>-0.24657680000000001</v>
      </c>
      <c r="Z4184">
        <v>5.2042230000000002E-2</v>
      </c>
      <c r="AA4184">
        <v>0.9677249</v>
      </c>
      <c r="AB4184">
        <v>18</v>
      </c>
      <c r="AC4184">
        <v>-2.4992999999999999</v>
      </c>
      <c r="AD4184">
        <v>-1.111708495375</v>
      </c>
      <c r="AE4184">
        <v>-18.419699999999999</v>
      </c>
      <c r="AF4184">
        <v>-4.6004514872434203</v>
      </c>
      <c r="AG4184">
        <v>-1.111708495375</v>
      </c>
      <c r="AH4184">
        <v>17.941825486863799</v>
      </c>
      <c r="AI4184">
        <v>93.4347840120775</v>
      </c>
      <c r="AJ4184">
        <v>104.381344891579</v>
      </c>
      <c r="AK4184">
        <v>18.555569284348199</v>
      </c>
      <c r="AL4184">
        <v>80.362613430233097</v>
      </c>
      <c r="AM4184">
        <v>100.527003890133</v>
      </c>
      <c r="AN4184">
        <v>1.0000000474444499</v>
      </c>
    </row>
    <row r="4185" spans="1:40" x14ac:dyDescent="0.25">
      <c r="A4185" t="str">
        <f>"20190312172748601"</f>
        <v>20190312172748601</v>
      </c>
      <c r="B4185" t="str">
        <f>"1552382868593290"</f>
        <v>1552382868593290</v>
      </c>
      <c r="C4185" t="s">
        <v>40</v>
      </c>
      <c r="D4185">
        <v>3.2844829999999998</v>
      </c>
      <c r="E4185">
        <v>0.48196719999999998</v>
      </c>
      <c r="F4185" t="s">
        <v>41</v>
      </c>
      <c r="G4185">
        <v>-421.28609999999998</v>
      </c>
      <c r="H4185" s="1">
        <v>-3.4942150000000001E-6</v>
      </c>
      <c r="I4185">
        <v>106.25960000000001</v>
      </c>
      <c r="J4185">
        <v>-418.83679999999998</v>
      </c>
      <c r="K4185">
        <v>1.1116680000000001</v>
      </c>
      <c r="L4185">
        <v>124.5373</v>
      </c>
      <c r="M4185">
        <v>-0.37326429999999999</v>
      </c>
      <c r="N4185">
        <v>0</v>
      </c>
      <c r="O4185">
        <v>-0.92766280000000001</v>
      </c>
      <c r="P4185">
        <v>-0.19720860000000001</v>
      </c>
      <c r="Q4185">
        <v>0.1580445</v>
      </c>
      <c r="R4185">
        <v>-0.96753860000000003</v>
      </c>
      <c r="S4185">
        <v>-0.4142151</v>
      </c>
      <c r="T4185">
        <v>-0.1838101</v>
      </c>
      <c r="U4185">
        <v>-3.046478</v>
      </c>
      <c r="V4185">
        <v>-0.17894760000000001</v>
      </c>
      <c r="W4185">
        <v>0.16768949999999999</v>
      </c>
      <c r="X4185">
        <v>0.96946279999999996</v>
      </c>
      <c r="Y4185">
        <v>-0.24508569999999999</v>
      </c>
      <c r="Z4185">
        <v>5.2597390000000001E-2</v>
      </c>
      <c r="AA4185">
        <v>0.96807359999999998</v>
      </c>
      <c r="AB4185">
        <v>19</v>
      </c>
      <c r="AC4185">
        <v>-2.4492999999999898</v>
      </c>
      <c r="AD4185">
        <v>-1.1116714942149999</v>
      </c>
      <c r="AE4185">
        <v>-18.277699999999999</v>
      </c>
      <c r="AF4185">
        <v>-4.5340745323015996</v>
      </c>
      <c r="AG4185">
        <v>-1.1116714942149999</v>
      </c>
      <c r="AH4185">
        <v>17.806103914244598</v>
      </c>
      <c r="AI4185">
        <v>93.462255111829293</v>
      </c>
      <c r="AJ4185">
        <v>104.285966173509</v>
      </c>
      <c r="AK4185">
        <v>18.407905420780299</v>
      </c>
      <c r="AL4185">
        <v>80.346491859092794</v>
      </c>
      <c r="AM4185">
        <v>100.45818606373</v>
      </c>
      <c r="AN4185">
        <v>1.00000006626992</v>
      </c>
    </row>
    <row r="4186" spans="1:40" x14ac:dyDescent="0.25">
      <c r="A4186" t="str">
        <f>"20190312172748622"</f>
        <v>20190312172748622</v>
      </c>
      <c r="B4186" t="str">
        <f>"1552382868613786"</f>
        <v>1552382868613786</v>
      </c>
      <c r="C4186" t="s">
        <v>40</v>
      </c>
      <c r="D4186">
        <v>3.3561230000000002</v>
      </c>
      <c r="E4186">
        <v>0.4822148</v>
      </c>
      <c r="F4186" t="s">
        <v>41</v>
      </c>
      <c r="G4186">
        <v>-421.2885</v>
      </c>
      <c r="H4186" s="1">
        <v>-3.9132479999999997E-6</v>
      </c>
      <c r="I4186">
        <v>107.1447</v>
      </c>
      <c r="J4186">
        <v>-418.90100000000001</v>
      </c>
      <c r="K4186">
        <v>1.1116170000000001</v>
      </c>
      <c r="L4186">
        <v>124.3657</v>
      </c>
      <c r="M4186">
        <v>-0.36979699999999999</v>
      </c>
      <c r="N4186">
        <v>0</v>
      </c>
      <c r="O4186">
        <v>-0.92905099999999996</v>
      </c>
      <c r="P4186">
        <v>-0.19488449999999999</v>
      </c>
      <c r="Q4186">
        <v>0.15796279999999999</v>
      </c>
      <c r="R4186">
        <v>-0.96802259999999996</v>
      </c>
      <c r="S4186">
        <v>-0.42922969999999999</v>
      </c>
      <c r="T4186">
        <v>-0.19462309999999999</v>
      </c>
      <c r="U4186">
        <v>-3.0449519999999999</v>
      </c>
      <c r="V4186">
        <v>-0.17763699999999999</v>
      </c>
      <c r="W4186">
        <v>0.16759450000000001</v>
      </c>
      <c r="X4186">
        <v>0.96972020000000003</v>
      </c>
      <c r="Y4186">
        <v>-0.236733</v>
      </c>
      <c r="Z4186">
        <v>5.5887159999999998E-2</v>
      </c>
      <c r="AA4186">
        <v>0.96996610000000005</v>
      </c>
      <c r="AB4186">
        <v>19</v>
      </c>
      <c r="AC4186">
        <v>-2.3874999999999802</v>
      </c>
      <c r="AD4186">
        <v>-1.1116209132479999</v>
      </c>
      <c r="AE4186">
        <v>-17.221</v>
      </c>
      <c r="AF4186">
        <v>-4.1335038755169</v>
      </c>
      <c r="AG4186">
        <v>-1.1116209132479999</v>
      </c>
      <c r="AH4186">
        <v>16.814303848571502</v>
      </c>
      <c r="AI4186">
        <v>93.673356584282502</v>
      </c>
      <c r="AJ4186">
        <v>103.81129466573699</v>
      </c>
      <c r="AK4186">
        <v>17.350572591582399</v>
      </c>
      <c r="AL4186">
        <v>80.352012870356006</v>
      </c>
      <c r="AM4186">
        <v>100.380566788094</v>
      </c>
      <c r="AN4186">
        <v>1.00000004324364</v>
      </c>
    </row>
    <row r="4187" spans="1:40" x14ac:dyDescent="0.25">
      <c r="A4187" t="str">
        <f>"20190312172748645"</f>
        <v>20190312172748645</v>
      </c>
      <c r="B4187" t="str">
        <f>"1552382868633305"</f>
        <v>1552382868633305</v>
      </c>
      <c r="C4187" t="s">
        <v>40</v>
      </c>
      <c r="D4187">
        <v>3.3352330000000001</v>
      </c>
      <c r="E4187">
        <v>0.482512</v>
      </c>
      <c r="F4187" t="s">
        <v>41</v>
      </c>
      <c r="G4187">
        <v>-421.3442</v>
      </c>
      <c r="H4187" s="1">
        <v>-3.7780519999999998E-6</v>
      </c>
      <c r="I4187">
        <v>106.8274</v>
      </c>
      <c r="J4187">
        <v>-418.96440000000001</v>
      </c>
      <c r="K4187">
        <v>1.111558</v>
      </c>
      <c r="L4187">
        <v>124.19450000000001</v>
      </c>
      <c r="M4187">
        <v>-0.36643609999999999</v>
      </c>
      <c r="N4187">
        <v>0</v>
      </c>
      <c r="O4187">
        <v>-0.93038240000000005</v>
      </c>
      <c r="P4187">
        <v>-0.19295100000000001</v>
      </c>
      <c r="Q4187">
        <v>0.1583841</v>
      </c>
      <c r="R4187">
        <v>-0.96834140000000002</v>
      </c>
      <c r="S4187">
        <v>-0.42422490000000002</v>
      </c>
      <c r="T4187">
        <v>-0.19301080000000001</v>
      </c>
      <c r="U4187">
        <v>-3.0451809999999999</v>
      </c>
      <c r="V4187">
        <v>-0.1760186</v>
      </c>
      <c r="W4187">
        <v>0.16801150000000001</v>
      </c>
      <c r="X4187">
        <v>0.96994309999999995</v>
      </c>
      <c r="Y4187">
        <v>-0.234791</v>
      </c>
      <c r="Z4187">
        <v>5.5566150000000002E-2</v>
      </c>
      <c r="AA4187">
        <v>0.9704564</v>
      </c>
      <c r="AB4187">
        <v>19</v>
      </c>
      <c r="AC4187">
        <v>-2.3797999999999799</v>
      </c>
      <c r="AD4187">
        <v>-1.111561778052</v>
      </c>
      <c r="AE4187">
        <v>-17.367100000000001</v>
      </c>
      <c r="AF4187">
        <v>-4.1334227331562499</v>
      </c>
      <c r="AG4187">
        <v>-1.111561778052</v>
      </c>
      <c r="AH4187">
        <v>16.962845071869801</v>
      </c>
      <c r="AI4187">
        <v>93.642892859512898</v>
      </c>
      <c r="AJ4187">
        <v>103.694665404212</v>
      </c>
      <c r="AK4187">
        <v>17.494538176518301</v>
      </c>
      <c r="AL4187">
        <v>80.327776596986297</v>
      </c>
      <c r="AM4187">
        <v>100.285707346899</v>
      </c>
      <c r="AN4187">
        <v>1.0000000144579</v>
      </c>
    </row>
    <row r="4188" spans="1:40" x14ac:dyDescent="0.25">
      <c r="A4188" t="str">
        <f>"20190312172748667"</f>
        <v>20190312172748667</v>
      </c>
      <c r="B4188" t="str">
        <f>"1552382868663562"</f>
        <v>1552382868663562</v>
      </c>
      <c r="C4188" t="s">
        <v>40</v>
      </c>
      <c r="D4188">
        <v>3.3680249999999998</v>
      </c>
      <c r="E4188">
        <v>0.48296109999999998</v>
      </c>
      <c r="F4188" t="s">
        <v>41</v>
      </c>
      <c r="G4188">
        <v>-421.44630000000001</v>
      </c>
      <c r="H4188" s="1">
        <v>-3.52722E-6</v>
      </c>
      <c r="I4188">
        <v>106.2393</v>
      </c>
      <c r="J4188">
        <v>-419.02760000000001</v>
      </c>
      <c r="K4188">
        <v>1.1115010000000001</v>
      </c>
      <c r="L4188">
        <v>124.0227</v>
      </c>
      <c r="M4188">
        <v>-0.36315720000000001</v>
      </c>
      <c r="N4188">
        <v>0</v>
      </c>
      <c r="O4188">
        <v>-0.93166740000000003</v>
      </c>
      <c r="P4188">
        <v>-0.19053519999999999</v>
      </c>
      <c r="Q4188">
        <v>0.15815889999999999</v>
      </c>
      <c r="R4188">
        <v>-0.9688561</v>
      </c>
      <c r="S4188">
        <v>-0.42089840000000001</v>
      </c>
      <c r="T4188">
        <v>-0.1885115</v>
      </c>
      <c r="U4188">
        <v>-3.0450439999999999</v>
      </c>
      <c r="V4188">
        <v>-0.17500929999999901</v>
      </c>
      <c r="W4188">
        <v>0.1677835</v>
      </c>
      <c r="X4188">
        <v>0.9701651</v>
      </c>
      <c r="Y4188">
        <v>-0.23239179999999901</v>
      </c>
      <c r="Z4188">
        <v>5.4416220000000001E-2</v>
      </c>
      <c r="AA4188">
        <v>0.97109880000000004</v>
      </c>
      <c r="AB4188">
        <v>19</v>
      </c>
      <c r="AC4188">
        <v>-2.4186999999999999</v>
      </c>
      <c r="AD4188">
        <v>-1.1115045272199999</v>
      </c>
      <c r="AE4188">
        <v>-17.7834</v>
      </c>
      <c r="AF4188">
        <v>-4.1889157993934001</v>
      </c>
      <c r="AG4188">
        <v>-1.1115045272199999</v>
      </c>
      <c r="AH4188">
        <v>17.3808995352409</v>
      </c>
      <c r="AI4188">
        <v>93.5574834809061</v>
      </c>
      <c r="AJ4188">
        <v>103.55026703932199</v>
      </c>
      <c r="AK4188">
        <v>17.913071387748499</v>
      </c>
      <c r="AL4188">
        <v>80.341027417596607</v>
      </c>
      <c r="AM4188">
        <v>100.225685977845</v>
      </c>
      <c r="AN4188">
        <v>0.99999993960837297</v>
      </c>
    </row>
    <row r="4189" spans="1:40" x14ac:dyDescent="0.25">
      <c r="A4189" t="str">
        <f>"20190312172748690"</f>
        <v>20190312172748690</v>
      </c>
      <c r="B4189" t="str">
        <f>"1552382868683082"</f>
        <v>1552382868683082</v>
      </c>
      <c r="C4189" t="s">
        <v>40</v>
      </c>
      <c r="D4189">
        <v>3.3393380000000001</v>
      </c>
      <c r="E4189">
        <v>0.48313260000000002</v>
      </c>
      <c r="F4189" t="s">
        <v>41</v>
      </c>
      <c r="G4189">
        <v>-421.51089999999999</v>
      </c>
      <c r="H4189" s="1">
        <v>-3.3815039999999998E-6</v>
      </c>
      <c r="I4189">
        <v>105.8947</v>
      </c>
      <c r="J4189">
        <v>-419.09219999999999</v>
      </c>
      <c r="K4189">
        <v>1.1114379999999999</v>
      </c>
      <c r="L4189">
        <v>123.8455</v>
      </c>
      <c r="M4189">
        <v>-0.35988039999999999</v>
      </c>
      <c r="N4189">
        <v>0</v>
      </c>
      <c r="O4189">
        <v>-0.9329383</v>
      </c>
      <c r="P4189">
        <v>-0.18791530000000001</v>
      </c>
      <c r="Q4189">
        <v>0.1578754</v>
      </c>
      <c r="R4189">
        <v>-0.96941390000000005</v>
      </c>
      <c r="S4189">
        <v>-0.41711429999999999</v>
      </c>
      <c r="T4189">
        <v>-0.1866949</v>
      </c>
      <c r="U4189">
        <v>-3.0448909999999998</v>
      </c>
      <c r="V4189">
        <v>-0.1742148</v>
      </c>
      <c r="W4189">
        <v>0.167495799999999</v>
      </c>
      <c r="X4189">
        <v>0.97035780000000005</v>
      </c>
      <c r="Y4189">
        <v>-0.2301475</v>
      </c>
      <c r="Z4189">
        <v>5.403123E-2</v>
      </c>
      <c r="AA4189">
        <v>0.97165469999999998</v>
      </c>
      <c r="AB4189">
        <v>19</v>
      </c>
      <c r="AC4189">
        <v>-2.4186999999999999</v>
      </c>
      <c r="AD4189">
        <v>-1.1114413815039901</v>
      </c>
      <c r="AE4189">
        <v>-17.950800000000001</v>
      </c>
      <c r="AF4189">
        <v>-4.1881099165459004</v>
      </c>
      <c r="AG4189">
        <v>-1.1114413815039901</v>
      </c>
      <c r="AH4189">
        <v>17.552331629607998</v>
      </c>
      <c r="AI4189">
        <v>93.524538832103602</v>
      </c>
      <c r="AJ4189">
        <v>103.42024552586</v>
      </c>
      <c r="AK4189">
        <v>18.0792674700422</v>
      </c>
      <c r="AL4189">
        <v>80.357748138113493</v>
      </c>
      <c r="AM4189">
        <v>100.178257452859</v>
      </c>
      <c r="AN4189">
        <v>0.99999994978875895</v>
      </c>
    </row>
    <row r="4190" spans="1:40" x14ac:dyDescent="0.25">
      <c r="A4190" t="str">
        <f>"20190312172748712"</f>
        <v>20190312172748712</v>
      </c>
      <c r="B4190" t="str">
        <f>"1552382868703579"</f>
        <v>1552382868703579</v>
      </c>
      <c r="C4190" t="s">
        <v>40</v>
      </c>
      <c r="D4190">
        <v>3.3406120000000001</v>
      </c>
      <c r="E4190">
        <v>0.4853037</v>
      </c>
      <c r="F4190" t="s">
        <v>41</v>
      </c>
      <c r="G4190">
        <v>-421.5299</v>
      </c>
      <c r="H4190" s="1">
        <v>-3.3207650000000001E-6</v>
      </c>
      <c r="I4190">
        <v>105.7555</v>
      </c>
      <c r="J4190">
        <v>-419.15480000000002</v>
      </c>
      <c r="K4190">
        <v>1.1113949999999999</v>
      </c>
      <c r="L4190">
        <v>123.6722</v>
      </c>
      <c r="M4190">
        <v>-0.35677350000000002</v>
      </c>
      <c r="N4190">
        <v>0</v>
      </c>
      <c r="O4190">
        <v>-0.9341313</v>
      </c>
      <c r="P4190">
        <v>-0.1859712</v>
      </c>
      <c r="Q4190">
        <v>0.157915</v>
      </c>
      <c r="R4190">
        <v>-0.96978240000000004</v>
      </c>
      <c r="S4190">
        <v>-0.4104004</v>
      </c>
      <c r="T4190">
        <v>-0.1871188</v>
      </c>
      <c r="U4190">
        <v>-3.0455779999999999</v>
      </c>
      <c r="V4190">
        <v>-0.17290920000000001</v>
      </c>
      <c r="W4190">
        <v>0.16753289999999901</v>
      </c>
      <c r="X4190">
        <v>0.97058489999999997</v>
      </c>
      <c r="Y4190">
        <v>-0.22904250000000001</v>
      </c>
      <c r="Z4190">
        <v>5.4264310000000003E-2</v>
      </c>
      <c r="AA4190">
        <v>0.97190270000000001</v>
      </c>
      <c r="AB4190">
        <v>19</v>
      </c>
      <c r="AC4190">
        <v>-2.37509999999997</v>
      </c>
      <c r="AD4190">
        <v>-1.111398320765</v>
      </c>
      <c r="AE4190">
        <v>-17.916699999999999</v>
      </c>
      <c r="AF4190">
        <v>-4.1580575026462601</v>
      </c>
      <c r="AG4190">
        <v>-1.111398320765</v>
      </c>
      <c r="AH4190">
        <v>17.518656527433301</v>
      </c>
      <c r="AI4190">
        <v>93.532157391306498</v>
      </c>
      <c r="AJ4190">
        <v>103.352096243444</v>
      </c>
      <c r="AK4190">
        <v>18.039622361593199</v>
      </c>
      <c r="AL4190">
        <v>80.3555920586696</v>
      </c>
      <c r="AM4190">
        <v>100.101241437612</v>
      </c>
      <c r="AN4190">
        <v>0.99999995606752901</v>
      </c>
    </row>
    <row r="4191" spans="1:40" x14ac:dyDescent="0.25">
      <c r="A4191" t="str">
        <f>"20190312172748735"</f>
        <v>20190312172748735</v>
      </c>
      <c r="B4191" t="str">
        <f>"1552382868723098"</f>
        <v>1552382868723098</v>
      </c>
      <c r="C4191" t="s">
        <v>40</v>
      </c>
      <c r="D4191">
        <v>3.3859059999999999</v>
      </c>
      <c r="E4191">
        <v>0.48916199999999999</v>
      </c>
      <c r="F4191" t="s">
        <v>41</v>
      </c>
      <c r="G4191">
        <v>-421.66090000000003</v>
      </c>
      <c r="H4191" s="1">
        <v>-3.2754220000000002E-6</v>
      </c>
      <c r="I4191">
        <v>105.58580000000001</v>
      </c>
      <c r="J4191">
        <v>-419.21879999999999</v>
      </c>
      <c r="K4191">
        <v>1.1113649999999999</v>
      </c>
      <c r="L4191">
        <v>123.49339999999999</v>
      </c>
      <c r="M4191">
        <v>-0.35364499999999999</v>
      </c>
      <c r="N4191">
        <v>0</v>
      </c>
      <c r="O4191">
        <v>-0.93532040000000005</v>
      </c>
      <c r="P4191">
        <v>-0.18414949999999999</v>
      </c>
      <c r="Q4191">
        <v>0.15816949999999999</v>
      </c>
      <c r="R4191">
        <v>-0.97008830000000001</v>
      </c>
      <c r="S4191">
        <v>-0.42166140000000002</v>
      </c>
      <c r="T4191">
        <v>-0.1869953</v>
      </c>
      <c r="U4191">
        <v>-3.0430760000000001</v>
      </c>
      <c r="V4191">
        <v>-0.17145629999999901</v>
      </c>
      <c r="W4191">
        <v>0.16778019999999999</v>
      </c>
      <c r="X4191">
        <v>0.97079990000000005</v>
      </c>
      <c r="Y4191">
        <v>-0.22214390000000001</v>
      </c>
      <c r="Z4191">
        <v>5.4416739999999998E-2</v>
      </c>
      <c r="AA4191">
        <v>0.97349419999999998</v>
      </c>
      <c r="AB4191">
        <v>19</v>
      </c>
      <c r="AC4191">
        <v>-2.4421000000000301</v>
      </c>
      <c r="AD4191">
        <v>-1.111368275422</v>
      </c>
      <c r="AE4191">
        <v>-17.907599999999899</v>
      </c>
      <c r="AF4191">
        <v>-4.0337591387851601</v>
      </c>
      <c r="AG4191">
        <v>-1.111368275422</v>
      </c>
      <c r="AH4191">
        <v>17.547604947783501</v>
      </c>
      <c r="AI4191">
        <v>93.532079079677601</v>
      </c>
      <c r="AJ4191">
        <v>102.945972892203</v>
      </c>
      <c r="AK4191">
        <v>18.039534130260201</v>
      </c>
      <c r="AL4191">
        <v>80.341219334160797</v>
      </c>
      <c r="AM4191">
        <v>100.01591665242699</v>
      </c>
      <c r="AN4191">
        <v>0.999999952080868</v>
      </c>
    </row>
    <row r="4192" spans="1:40" x14ac:dyDescent="0.25">
      <c r="A4192" t="str">
        <f>"20190312172748758"</f>
        <v>20190312172748758</v>
      </c>
      <c r="B4192" t="str">
        <f>"1552382868753354"</f>
        <v>1552382868753354</v>
      </c>
      <c r="C4192" t="s">
        <v>40</v>
      </c>
      <c r="D4192">
        <v>3.3264830000000001</v>
      </c>
      <c r="E4192">
        <v>0.49447069999999999</v>
      </c>
      <c r="F4192" t="s">
        <v>41</v>
      </c>
      <c r="G4192">
        <v>-421.99970000000002</v>
      </c>
      <c r="H4192" s="1">
        <v>-2.8859499999999999E-6</v>
      </c>
      <c r="I4192">
        <v>104.5712</v>
      </c>
      <c r="J4192">
        <v>-419.28230000000002</v>
      </c>
      <c r="K4192">
        <v>1.1113440000000001</v>
      </c>
      <c r="L4192">
        <v>123.3141</v>
      </c>
      <c r="M4192">
        <v>-0.35056850000000001</v>
      </c>
      <c r="N4192">
        <v>0</v>
      </c>
      <c r="O4192">
        <v>-0.93647829999999999</v>
      </c>
      <c r="P4192">
        <v>-0.1827433</v>
      </c>
      <c r="Q4192">
        <v>0.15754889999999999</v>
      </c>
      <c r="R4192">
        <v>-0.97045539999999997</v>
      </c>
      <c r="S4192">
        <v>-0.44631959999999998</v>
      </c>
      <c r="T4192">
        <v>-0.17836340000000001</v>
      </c>
      <c r="U4192">
        <v>-3.036835</v>
      </c>
      <c r="V4192">
        <v>-0.1696955</v>
      </c>
      <c r="W4192">
        <v>0.1671484</v>
      </c>
      <c r="X4192">
        <v>0.97121820000000003</v>
      </c>
      <c r="Y4192">
        <v>-0.21088850000000001</v>
      </c>
      <c r="Z4192">
        <v>5.216436E-2</v>
      </c>
      <c r="AA4192">
        <v>0.97611729999999997</v>
      </c>
      <c r="AB4192">
        <v>19</v>
      </c>
      <c r="AC4192">
        <v>-2.7173999999999898</v>
      </c>
      <c r="AD4192">
        <v>-1.11134688595</v>
      </c>
      <c r="AE4192">
        <v>-18.742899999999899</v>
      </c>
      <c r="AF4192">
        <v>-4.0122898459056797</v>
      </c>
      <c r="AG4192">
        <v>-1.11134688595</v>
      </c>
      <c r="AH4192">
        <v>18.442467570671401</v>
      </c>
      <c r="AI4192">
        <v>93.369846106635904</v>
      </c>
      <c r="AJ4192">
        <v>102.27384438421301</v>
      </c>
      <c r="AK4192">
        <v>18.906564251702001</v>
      </c>
      <c r="AL4192">
        <v>80.377937522072003</v>
      </c>
      <c r="AM4192">
        <v>99.910922305666503</v>
      </c>
      <c r="AN4192">
        <v>0.99999997117702399</v>
      </c>
    </row>
    <row r="4193" spans="1:40" x14ac:dyDescent="0.25">
      <c r="A4193" t="str">
        <f>"20190312172748802"</f>
        <v>20190312172748802</v>
      </c>
      <c r="B4193" t="str">
        <f>"1552382868793370"</f>
        <v>1552382868793370</v>
      </c>
      <c r="C4193" t="s">
        <v>40</v>
      </c>
      <c r="D4193">
        <v>3.3781859999999999</v>
      </c>
      <c r="E4193">
        <v>0.49808590000000003</v>
      </c>
      <c r="F4193" t="s">
        <v>41</v>
      </c>
      <c r="G4193">
        <v>-422.3134</v>
      </c>
      <c r="H4193" s="1">
        <v>-2.8528320000000001E-6</v>
      </c>
      <c r="I4193">
        <v>104.3246</v>
      </c>
      <c r="J4193">
        <v>-419.40309999999999</v>
      </c>
      <c r="K4193">
        <v>1.1113200000000001</v>
      </c>
      <c r="L4193">
        <v>122.96899999999999</v>
      </c>
      <c r="M4193">
        <v>-0.34478019999999998</v>
      </c>
      <c r="N4193">
        <v>0</v>
      </c>
      <c r="O4193">
        <v>-0.9386253</v>
      </c>
      <c r="P4193">
        <v>-0.1803766</v>
      </c>
      <c r="Q4193">
        <v>0.156029</v>
      </c>
      <c r="R4193">
        <v>-0.97114339999999999</v>
      </c>
      <c r="S4193">
        <v>-0.48348999999999998</v>
      </c>
      <c r="T4193">
        <v>-0.17727390000000001</v>
      </c>
      <c r="U4193">
        <v>-3.0290680000000001</v>
      </c>
      <c r="V4193">
        <v>-0.16613459999999999</v>
      </c>
      <c r="W4193">
        <v>0.1655925</v>
      </c>
      <c r="X4193">
        <v>0.97209999999999996</v>
      </c>
      <c r="Y4193">
        <v>-0.19275680000000001</v>
      </c>
      <c r="Z4193">
        <v>5.2226689999999999E-2</v>
      </c>
      <c r="AA4193">
        <v>0.9798557</v>
      </c>
      <c r="AB4193">
        <v>19</v>
      </c>
      <c r="AC4193">
        <v>-2.9102999999999999</v>
      </c>
      <c r="AD4193">
        <v>-1.1113228528320001</v>
      </c>
      <c r="AE4193">
        <v>-18.644399999999901</v>
      </c>
      <c r="AF4193">
        <v>-3.6839630818526001</v>
      </c>
      <c r="AG4193">
        <v>-1.1113228528320001</v>
      </c>
      <c r="AH4193">
        <v>18.4405701682292</v>
      </c>
      <c r="AI4193">
        <v>93.382095182317798</v>
      </c>
      <c r="AJ4193">
        <v>101.297530768025</v>
      </c>
      <c r="AK4193">
        <v>18.8377612948318</v>
      </c>
      <c r="AL4193">
        <v>80.468344239998999</v>
      </c>
      <c r="AM4193">
        <v>99.698310844153895</v>
      </c>
      <c r="AN4193">
        <v>0.99999999568670495</v>
      </c>
    </row>
    <row r="4194" spans="1:40" x14ac:dyDescent="0.25">
      <c r="A4194" t="str">
        <f>"20190312172748823"</f>
        <v>20190312172748823</v>
      </c>
      <c r="B4194" t="str">
        <f>"1552382868813866"</f>
        <v>1552382868813866</v>
      </c>
      <c r="C4194" t="s">
        <v>40</v>
      </c>
      <c r="D4194">
        <v>3.3744830000000001</v>
      </c>
      <c r="E4194">
        <v>0.4992201</v>
      </c>
      <c r="F4194" t="s">
        <v>41</v>
      </c>
      <c r="G4194">
        <v>-422.6232</v>
      </c>
      <c r="H4194" s="1">
        <v>-2.661039E-6</v>
      </c>
      <c r="I4194">
        <v>103.7445</v>
      </c>
      <c r="J4194">
        <v>-419.46370000000002</v>
      </c>
      <c r="K4194">
        <v>1.1113109999999999</v>
      </c>
      <c r="L4194">
        <v>122.7933</v>
      </c>
      <c r="M4194">
        <v>-0.34187770000000001</v>
      </c>
      <c r="N4194">
        <v>0</v>
      </c>
      <c r="O4194">
        <v>-0.93968700000000005</v>
      </c>
      <c r="P4194">
        <v>-0.17987600000000001</v>
      </c>
      <c r="Q4194">
        <v>0.15570590000000001</v>
      </c>
      <c r="R4194">
        <v>-0.9712885</v>
      </c>
      <c r="S4194">
        <v>-0.5063782</v>
      </c>
      <c r="T4194">
        <v>-0.17476259999999999</v>
      </c>
      <c r="U4194">
        <v>-3.0231780000000001</v>
      </c>
      <c r="V4194">
        <v>-0.16364279999999901</v>
      </c>
      <c r="W4194">
        <v>0.16525200000000001</v>
      </c>
      <c r="X4194">
        <v>0.97258049999999996</v>
      </c>
      <c r="Y4194">
        <v>-0.18218690000000001</v>
      </c>
      <c r="Z4194">
        <v>5.1706740000000001E-2</v>
      </c>
      <c r="AA4194">
        <v>0.98190339999999998</v>
      </c>
      <c r="AB4194">
        <v>19</v>
      </c>
      <c r="AC4194">
        <v>-3.1594999999999702</v>
      </c>
      <c r="AD4194">
        <v>-1.111313661039</v>
      </c>
      <c r="AE4194">
        <v>-19.0488</v>
      </c>
      <c r="AF4194">
        <v>-3.5319108382037898</v>
      </c>
      <c r="AG4194">
        <v>-1.111313661039</v>
      </c>
      <c r="AH4194">
        <v>18.918430439848599</v>
      </c>
      <c r="AI4194">
        <v>93.304857083366201</v>
      </c>
      <c r="AJ4194">
        <v>100.574900343867</v>
      </c>
      <c r="AK4194">
        <v>19.277355174650499</v>
      </c>
      <c r="AL4194">
        <v>80.488126119649195</v>
      </c>
      <c r="AM4194">
        <v>99.550917185631107</v>
      </c>
      <c r="AN4194">
        <v>1.0000000092380401</v>
      </c>
    </row>
    <row r="4195" spans="1:40" x14ac:dyDescent="0.25">
      <c r="A4195" t="str">
        <f>"20190312172748846"</f>
        <v>20190312172748846</v>
      </c>
      <c r="B4195" t="str">
        <f>"1552382868833386"</f>
        <v>1552382868833386</v>
      </c>
      <c r="C4195" t="s">
        <v>40</v>
      </c>
      <c r="D4195">
        <v>3.382196</v>
      </c>
      <c r="E4195">
        <v>0.50013379999999996</v>
      </c>
      <c r="F4195" t="s">
        <v>41</v>
      </c>
      <c r="G4195">
        <v>-422.73669999999998</v>
      </c>
      <c r="H4195" s="1">
        <v>-2.588543E-6</v>
      </c>
      <c r="I4195">
        <v>103.52719999999999</v>
      </c>
      <c r="J4195">
        <v>-419.52370000000002</v>
      </c>
      <c r="K4195">
        <v>1.1113040000000001</v>
      </c>
      <c r="L4195">
        <v>122.61799999999999</v>
      </c>
      <c r="M4195">
        <v>-0.33899469999999998</v>
      </c>
      <c r="N4195">
        <v>0</v>
      </c>
      <c r="O4195">
        <v>-0.94073099999999998</v>
      </c>
      <c r="P4195">
        <v>-0.17923889999999901</v>
      </c>
      <c r="Q4195">
        <v>0.1552646</v>
      </c>
      <c r="R4195">
        <v>-0.97147640000000002</v>
      </c>
      <c r="S4195">
        <v>-0.51330569999999998</v>
      </c>
      <c r="T4195">
        <v>-0.17428959999999999</v>
      </c>
      <c r="U4195">
        <v>-3.0215450000000001</v>
      </c>
      <c r="V4195">
        <v>-0.16131709999999999</v>
      </c>
      <c r="W4195">
        <v>0.1647911</v>
      </c>
      <c r="X4195">
        <v>0.97304710000000005</v>
      </c>
      <c r="Y4195">
        <v>-0.17689379999999999</v>
      </c>
      <c r="Z4195">
        <v>5.170139E-2</v>
      </c>
      <c r="AA4195">
        <v>0.9828711</v>
      </c>
      <c r="AB4195">
        <v>19</v>
      </c>
      <c r="AC4195">
        <v>-3.2129999999999601</v>
      </c>
      <c r="AD4195">
        <v>-1.111306588543</v>
      </c>
      <c r="AE4195">
        <v>-19.090800000000002</v>
      </c>
      <c r="AF4195">
        <v>-3.4379682194546599</v>
      </c>
      <c r="AG4195">
        <v>-1.111306588543</v>
      </c>
      <c r="AH4195">
        <v>18.986957076257699</v>
      </c>
      <c r="AI4195">
        <v>93.296221686864001</v>
      </c>
      <c r="AJ4195">
        <v>100.263344828426</v>
      </c>
      <c r="AK4195">
        <v>19.327678774942701</v>
      </c>
      <c r="AL4195">
        <v>80.514900605256798</v>
      </c>
      <c r="AM4195">
        <v>99.413192586017004</v>
      </c>
      <c r="AN4195">
        <v>0.99999998610501495</v>
      </c>
    </row>
    <row r="4196" spans="1:40" x14ac:dyDescent="0.25">
      <c r="A4196" t="str">
        <f>"20190312172748868"</f>
        <v>20190312172748868</v>
      </c>
      <c r="B4196" t="str">
        <f>"1552382868863641"</f>
        <v>1552382868863641</v>
      </c>
      <c r="C4196" t="s">
        <v>40</v>
      </c>
      <c r="D4196">
        <v>3.381065</v>
      </c>
      <c r="E4196">
        <v>0.50121070000000001</v>
      </c>
      <c r="F4196" t="s">
        <v>41</v>
      </c>
      <c r="G4196">
        <v>-422.83569999999997</v>
      </c>
      <c r="H4196" s="1">
        <v>-2.519062E-6</v>
      </c>
      <c r="I4196">
        <v>103.3245</v>
      </c>
      <c r="J4196">
        <v>-419.58530000000002</v>
      </c>
      <c r="K4196">
        <v>1.1113059999999999</v>
      </c>
      <c r="L4196">
        <v>122.4362</v>
      </c>
      <c r="M4196">
        <v>-0.33601599999999998</v>
      </c>
      <c r="N4196">
        <v>0</v>
      </c>
      <c r="O4196">
        <v>-0.94179959999999996</v>
      </c>
      <c r="P4196">
        <v>-0.17850969999999999</v>
      </c>
      <c r="Q4196">
        <v>0.15536730000000001</v>
      </c>
      <c r="R4196">
        <v>-0.97159479999999998</v>
      </c>
      <c r="S4196">
        <v>-0.51846309999999995</v>
      </c>
      <c r="T4196">
        <v>-0.1739655</v>
      </c>
      <c r="U4196">
        <v>-3.0202330000000002</v>
      </c>
      <c r="V4196">
        <v>-0.158960299999999</v>
      </c>
      <c r="W4196">
        <v>0.16486970000000001</v>
      </c>
      <c r="X4196">
        <v>0.9734216</v>
      </c>
      <c r="Y4196">
        <v>-0.1720757</v>
      </c>
      <c r="Z4196">
        <v>5.173519E-2</v>
      </c>
      <c r="AA4196">
        <v>0.98372420000000005</v>
      </c>
      <c r="AB4196">
        <v>19</v>
      </c>
      <c r="AC4196">
        <v>-3.2503999999999502</v>
      </c>
      <c r="AD4196">
        <v>-1.111308519062</v>
      </c>
      <c r="AE4196">
        <v>-19.111699999999999</v>
      </c>
      <c r="AF4196">
        <v>-3.3497830961184101</v>
      </c>
      <c r="AG4196">
        <v>-1.111308519062</v>
      </c>
      <c r="AH4196">
        <v>19.030061458624701</v>
      </c>
      <c r="AI4196">
        <v>93.291642978848401</v>
      </c>
      <c r="AJ4196">
        <v>99.983266906161006</v>
      </c>
      <c r="AK4196">
        <v>19.354567743419501</v>
      </c>
      <c r="AL4196">
        <v>80.510334867433201</v>
      </c>
      <c r="AM4196">
        <v>99.274569656897</v>
      </c>
      <c r="AN4196">
        <v>1.00000000315037</v>
      </c>
    </row>
    <row r="4197" spans="1:40" x14ac:dyDescent="0.25">
      <c r="A4197" t="str">
        <f>"20190312172748890"</f>
        <v>20190312172748890</v>
      </c>
      <c r="B4197" t="str">
        <f>"1552382868883162"</f>
        <v>1552382868883162</v>
      </c>
      <c r="C4197" t="s">
        <v>40</v>
      </c>
      <c r="D4197">
        <v>3.409303</v>
      </c>
      <c r="E4197">
        <v>0.50182329999999997</v>
      </c>
      <c r="F4197" t="s">
        <v>41</v>
      </c>
      <c r="G4197">
        <v>-422.96769999999998</v>
      </c>
      <c r="H4197" s="1">
        <v>-2.392877E-6</v>
      </c>
      <c r="I4197">
        <v>102.9833</v>
      </c>
      <c r="J4197">
        <v>-419.64429999999999</v>
      </c>
      <c r="K4197">
        <v>1.1113170000000001</v>
      </c>
      <c r="L4197">
        <v>122.2599</v>
      </c>
      <c r="M4197">
        <v>-0.33313100000000001</v>
      </c>
      <c r="N4197">
        <v>0</v>
      </c>
      <c r="O4197">
        <v>-0.94282440000000001</v>
      </c>
      <c r="P4197">
        <v>-0.17773039999999901</v>
      </c>
      <c r="Q4197">
        <v>0.155724799999999</v>
      </c>
      <c r="R4197">
        <v>-0.97168030000000005</v>
      </c>
      <c r="S4197">
        <v>-0.52490230000000004</v>
      </c>
      <c r="T4197">
        <v>-0.17246029999999901</v>
      </c>
      <c r="U4197">
        <v>-3.0188449999999998</v>
      </c>
      <c r="V4197">
        <v>-0.15674360000000001</v>
      </c>
      <c r="W4197">
        <v>0.1651956</v>
      </c>
      <c r="X4197">
        <v>0.97372570000000003</v>
      </c>
      <c r="Y4197">
        <v>-0.16694139999999999</v>
      </c>
      <c r="Z4197">
        <v>5.1414179999999997E-2</v>
      </c>
      <c r="AA4197">
        <v>0.98462539999999998</v>
      </c>
      <c r="AB4197">
        <v>19</v>
      </c>
      <c r="AC4197">
        <v>-3.3233999999999901</v>
      </c>
      <c r="AD4197">
        <v>-1.111319392877</v>
      </c>
      <c r="AE4197">
        <v>-19.276599999999998</v>
      </c>
      <c r="AF4197">
        <v>-3.2778445579586499</v>
      </c>
      <c r="AG4197">
        <v>-1.111319392877</v>
      </c>
      <c r="AH4197">
        <v>19.220558689510099</v>
      </c>
      <c r="AI4197">
        <v>93.262125141269607</v>
      </c>
      <c r="AJ4197">
        <v>99.678027795142796</v>
      </c>
      <c r="AK4197">
        <v>19.529699743621901</v>
      </c>
      <c r="AL4197">
        <v>80.491401975148406</v>
      </c>
      <c r="AM4197">
        <v>99.144628936346194</v>
      </c>
      <c r="AN4197">
        <v>0.99999994062040298</v>
      </c>
    </row>
    <row r="4198" spans="1:40" x14ac:dyDescent="0.25">
      <c r="A4198" t="str">
        <f>"20190312172748913"</f>
        <v>20190312172748913</v>
      </c>
      <c r="B4198" t="str">
        <f>"1552382868903188"</f>
        <v>1552382868903188</v>
      </c>
      <c r="C4198" t="s">
        <v>40</v>
      </c>
      <c r="D4198">
        <v>3.400658</v>
      </c>
      <c r="E4198">
        <v>0.502301</v>
      </c>
      <c r="F4198" t="s">
        <v>41</v>
      </c>
      <c r="G4198">
        <v>-423.06799999999998</v>
      </c>
      <c r="H4198" s="1">
        <v>-2.2579870000000001E-6</v>
      </c>
      <c r="I4198">
        <v>102.6414</v>
      </c>
      <c r="J4198">
        <v>-419.70490000000001</v>
      </c>
      <c r="K4198">
        <v>1.1113280000000001</v>
      </c>
      <c r="L4198">
        <v>122.07729999999999</v>
      </c>
      <c r="M4198">
        <v>-0.33014470000000001</v>
      </c>
      <c r="N4198">
        <v>0</v>
      </c>
      <c r="O4198">
        <v>-0.94387449999999995</v>
      </c>
      <c r="P4198">
        <v>-0.17683960000000001</v>
      </c>
      <c r="Q4198">
        <v>0.15677559999999999</v>
      </c>
      <c r="R4198">
        <v>-0.97167329999999996</v>
      </c>
      <c r="S4198">
        <v>-0.52676389999999995</v>
      </c>
      <c r="T4198">
        <v>-0.17098629999999901</v>
      </c>
      <c r="U4198">
        <v>-3.018478</v>
      </c>
      <c r="V4198">
        <v>-0.15450410000000001</v>
      </c>
      <c r="W4198">
        <v>0.16621140000000001</v>
      </c>
      <c r="X4198">
        <v>0.97391079999999997</v>
      </c>
      <c r="Y4198">
        <v>-0.1632062</v>
      </c>
      <c r="Z4198">
        <v>5.1084249999999998E-2</v>
      </c>
      <c r="AA4198">
        <v>0.98526860000000005</v>
      </c>
      <c r="AB4198">
        <v>19</v>
      </c>
      <c r="AC4198">
        <v>-3.36310000000003</v>
      </c>
      <c r="AD4198">
        <v>-1.1113302579869999</v>
      </c>
      <c r="AE4198">
        <v>-19.435899999999901</v>
      </c>
      <c r="AF4198">
        <v>-3.2322254918768598</v>
      </c>
      <c r="AG4198">
        <v>-1.1113302579869999</v>
      </c>
      <c r="AH4198">
        <v>19.394818150010899</v>
      </c>
      <c r="AI4198">
        <v>93.234964407801101</v>
      </c>
      <c r="AJ4198">
        <v>99.461620294076894</v>
      </c>
      <c r="AK4198">
        <v>19.693686999763401</v>
      </c>
      <c r="AL4198">
        <v>80.432385581899297</v>
      </c>
      <c r="AM4198">
        <v>99.014449485363897</v>
      </c>
      <c r="AN4198">
        <v>0.999999996381704</v>
      </c>
    </row>
    <row r="4199" spans="1:40" x14ac:dyDescent="0.25">
      <c r="A4199" t="str">
        <f>"20190312172748936"</f>
        <v>20190312172748936</v>
      </c>
      <c r="B4199" t="str">
        <f>"1552382868923684"</f>
        <v>1552382868923684</v>
      </c>
      <c r="C4199" t="s">
        <v>40</v>
      </c>
      <c r="D4199">
        <v>3.3842400000000001</v>
      </c>
      <c r="E4199">
        <v>0.50270779999999904</v>
      </c>
      <c r="F4199" t="s">
        <v>41</v>
      </c>
      <c r="G4199">
        <v>-423.21690000000001</v>
      </c>
      <c r="H4199" s="1">
        <v>-2.0007900000000001E-6</v>
      </c>
      <c r="I4199">
        <v>102.01349999999999</v>
      </c>
      <c r="J4199">
        <v>-419.7638</v>
      </c>
      <c r="K4199">
        <v>1.1113440000000001</v>
      </c>
      <c r="L4199">
        <v>121.8981</v>
      </c>
      <c r="M4199">
        <v>-0.32721159999999999</v>
      </c>
      <c r="N4199">
        <v>0</v>
      </c>
      <c r="O4199">
        <v>-0.94489570000000001</v>
      </c>
      <c r="P4199">
        <v>-0.17518129999999901</v>
      </c>
      <c r="Q4199">
        <v>0.15705529999999901</v>
      </c>
      <c r="R4199">
        <v>-0.97192869999999998</v>
      </c>
      <c r="S4199">
        <v>-0.52832029999999996</v>
      </c>
      <c r="T4199">
        <v>-0.1671822</v>
      </c>
      <c r="U4199">
        <v>-3.0182799999999999</v>
      </c>
      <c r="V4199">
        <v>-0.15313170000000001</v>
      </c>
      <c r="W4199">
        <v>0.16645579999999999</v>
      </c>
      <c r="X4199">
        <v>0.9740858</v>
      </c>
      <c r="Y4199">
        <v>-0.1596272</v>
      </c>
      <c r="Z4199">
        <v>5.0051070000000003E-2</v>
      </c>
      <c r="AA4199">
        <v>0.98590770000000005</v>
      </c>
      <c r="AB4199">
        <v>19</v>
      </c>
      <c r="AC4199">
        <v>-3.4531000000000001</v>
      </c>
      <c r="AD4199">
        <v>-1.11134600079</v>
      </c>
      <c r="AE4199">
        <v>-19.884599999999999</v>
      </c>
      <c r="AF4199">
        <v>-3.2340159669136899</v>
      </c>
      <c r="AG4199">
        <v>-1.11134600079</v>
      </c>
      <c r="AH4199">
        <v>19.859591324891401</v>
      </c>
      <c r="AI4199">
        <v>93.1613839976158</v>
      </c>
      <c r="AJ4199">
        <v>99.2490897779916</v>
      </c>
      <c r="AK4199">
        <v>20.151856410748501</v>
      </c>
      <c r="AL4199">
        <v>80.418184686846999</v>
      </c>
      <c r="AM4199">
        <v>98.934095887197103</v>
      </c>
      <c r="AN4199">
        <v>0.99999999833008402</v>
      </c>
    </row>
    <row r="4200" spans="1:40" x14ac:dyDescent="0.25">
      <c r="A4200" t="str">
        <f>"20190312172748960"</f>
        <v>20190312172748960</v>
      </c>
      <c r="B4200" t="str">
        <f>"1552382868953941"</f>
        <v>1552382868953941</v>
      </c>
      <c r="C4200" t="s">
        <v>40</v>
      </c>
      <c r="D4200">
        <v>3.4164910000000002</v>
      </c>
      <c r="E4200">
        <v>0.50325379999999997</v>
      </c>
      <c r="F4200" t="s">
        <v>41</v>
      </c>
      <c r="G4200">
        <v>-423.3005</v>
      </c>
      <c r="H4200" s="1">
        <v>-1.855696E-6</v>
      </c>
      <c r="I4200">
        <v>101.65949999999999</v>
      </c>
      <c r="J4200">
        <v>-419.82889999999998</v>
      </c>
      <c r="K4200">
        <v>1.1113660000000001</v>
      </c>
      <c r="L4200">
        <v>121.69759999999999</v>
      </c>
      <c r="M4200">
        <v>-0.32392290000000001</v>
      </c>
      <c r="N4200">
        <v>0</v>
      </c>
      <c r="O4200">
        <v>-0.9460286</v>
      </c>
      <c r="P4200">
        <v>-0.17251629999999901</v>
      </c>
      <c r="Q4200">
        <v>0.15699469999999999</v>
      </c>
      <c r="R4200">
        <v>-0.97241500000000003</v>
      </c>
      <c r="S4200">
        <v>-0.52746579999999998</v>
      </c>
      <c r="T4200">
        <v>-0.16574559999999999</v>
      </c>
      <c r="U4200">
        <v>-3.0183719999999998</v>
      </c>
      <c r="V4200">
        <v>-0.15242359999999999</v>
      </c>
      <c r="W4200">
        <v>0.16635710000000001</v>
      </c>
      <c r="X4200">
        <v>0.97421369999999896</v>
      </c>
      <c r="Y4200">
        <v>-0.1564652</v>
      </c>
      <c r="Z4200">
        <v>4.9726689999999997E-2</v>
      </c>
      <c r="AA4200">
        <v>0.9864309</v>
      </c>
      <c r="AB4200">
        <v>19</v>
      </c>
      <c r="AC4200">
        <v>-3.47160000000002</v>
      </c>
      <c r="AD4200">
        <v>-1.1113678556960001</v>
      </c>
      <c r="AE4200">
        <v>-20.0381</v>
      </c>
      <c r="AF4200">
        <v>-3.19718476657606</v>
      </c>
      <c r="AG4200">
        <v>-1.1113678556960001</v>
      </c>
      <c r="AH4200">
        <v>20.022392787696202</v>
      </c>
      <c r="AI4200">
        <v>93.137348425889201</v>
      </c>
      <c r="AJ4200">
        <v>99.072424385168802</v>
      </c>
      <c r="AK4200">
        <v>20.3064852174641</v>
      </c>
      <c r="AL4200">
        <v>80.423919622736904</v>
      </c>
      <c r="AM4200">
        <v>98.892296468842005</v>
      </c>
      <c r="AN4200">
        <v>0.99999998591252903</v>
      </c>
    </row>
    <row r="4201" spans="1:40" x14ac:dyDescent="0.25">
      <c r="A4201" t="str">
        <f>"20190312172748986"</f>
        <v>20190312172748986</v>
      </c>
      <c r="B4201" t="str">
        <f>"1552382868973460"</f>
        <v>1552382868973460</v>
      </c>
      <c r="C4201" t="s">
        <v>40</v>
      </c>
      <c r="D4201">
        <v>3.4002729999999999</v>
      </c>
      <c r="E4201">
        <v>0.50357629999999998</v>
      </c>
      <c r="F4201" t="s">
        <v>41</v>
      </c>
      <c r="G4201">
        <v>-423.35160000000002</v>
      </c>
      <c r="H4201" s="1">
        <v>-1.7591509999999999E-6</v>
      </c>
      <c r="I4201">
        <v>101.4265</v>
      </c>
      <c r="J4201">
        <v>-419.8929</v>
      </c>
      <c r="K4201">
        <v>1.111375</v>
      </c>
      <c r="L4201">
        <v>121.498</v>
      </c>
      <c r="M4201">
        <v>-0.32064290000000001</v>
      </c>
      <c r="N4201">
        <v>0</v>
      </c>
      <c r="O4201">
        <v>-0.94714580000000004</v>
      </c>
      <c r="P4201">
        <v>-0.1702553</v>
      </c>
      <c r="Q4201">
        <v>0.15793550000000001</v>
      </c>
      <c r="R4201">
        <v>-0.972661</v>
      </c>
      <c r="S4201">
        <v>-0.52459719999999999</v>
      </c>
      <c r="T4201">
        <v>-0.16550429999999999</v>
      </c>
      <c r="U4201">
        <v>-3.0187529999999998</v>
      </c>
      <c r="V4201">
        <v>-0.15127289999999999</v>
      </c>
      <c r="W4201">
        <v>0.1672659</v>
      </c>
      <c r="X4201">
        <v>0.97423740000000003</v>
      </c>
      <c r="Y4201">
        <v>-0.1539732</v>
      </c>
      <c r="Z4201">
        <v>4.9752449999999997E-2</v>
      </c>
      <c r="AA4201">
        <v>0.98682170000000002</v>
      </c>
      <c r="AB4201">
        <v>19</v>
      </c>
      <c r="AC4201">
        <v>-3.4587000000000199</v>
      </c>
      <c r="AD4201">
        <v>-1.111376759151</v>
      </c>
      <c r="AE4201">
        <v>-20.071499999999901</v>
      </c>
      <c r="AF4201">
        <v>-3.15067228595638</v>
      </c>
      <c r="AG4201">
        <v>-1.111376759151</v>
      </c>
      <c r="AH4201">
        <v>20.0609485063747</v>
      </c>
      <c r="AI4201">
        <v>93.132623559746804</v>
      </c>
      <c r="AJ4201">
        <v>98.925677551242003</v>
      </c>
      <c r="AK4201">
        <v>20.337245367298198</v>
      </c>
      <c r="AL4201">
        <v>80.371108848485207</v>
      </c>
      <c r="AM4201">
        <v>98.826014946770499</v>
      </c>
      <c r="AN4201">
        <v>0.99999994156798799</v>
      </c>
    </row>
    <row r="4202" spans="1:40" x14ac:dyDescent="0.25">
      <c r="A4202" t="str">
        <f>"20190312172749007"</f>
        <v>20190312172749007</v>
      </c>
      <c r="B4202" t="str">
        <f>"1552382869003247"</f>
        <v>1552382869003247</v>
      </c>
      <c r="C4202" t="s">
        <v>40</v>
      </c>
      <c r="D4202">
        <v>3.3882840000000001</v>
      </c>
      <c r="E4202">
        <v>0.50398160000000003</v>
      </c>
      <c r="F4202" t="s">
        <v>41</v>
      </c>
      <c r="G4202">
        <v>-423.45510000000002</v>
      </c>
      <c r="H4202" s="1">
        <v>-1.505461E-6</v>
      </c>
      <c r="I4202">
        <v>100.83159999999999</v>
      </c>
      <c r="J4202">
        <v>-419.9486</v>
      </c>
      <c r="K4202">
        <v>1.111386</v>
      </c>
      <c r="L4202">
        <v>121.32250000000001</v>
      </c>
      <c r="M4202">
        <v>-0.31775229999999999</v>
      </c>
      <c r="N4202">
        <v>0</v>
      </c>
      <c r="O4202">
        <v>-0.94811959999999995</v>
      </c>
      <c r="P4202">
        <v>-0.16814279999999901</v>
      </c>
      <c r="Q4202">
        <v>0.1593049</v>
      </c>
      <c r="R4202">
        <v>-0.97280540000000004</v>
      </c>
      <c r="S4202">
        <v>-0.52047730000000003</v>
      </c>
      <c r="T4202">
        <v>-0.16238440000000001</v>
      </c>
      <c r="U4202">
        <v>-3.0195919999999998</v>
      </c>
      <c r="V4202">
        <v>-0.15035499999999999</v>
      </c>
      <c r="W4202">
        <v>0.1686037</v>
      </c>
      <c r="X4202">
        <v>0.97414889999999998</v>
      </c>
      <c r="Y4202">
        <v>-0.15230469999999999</v>
      </c>
      <c r="Z4202">
        <v>4.8892739999999997E-2</v>
      </c>
      <c r="AA4202">
        <v>0.98712350000000004</v>
      </c>
      <c r="AB4202">
        <v>19</v>
      </c>
      <c r="AC4202">
        <v>-3.5065000000000102</v>
      </c>
      <c r="AD4202">
        <v>-1.1113875054610001</v>
      </c>
      <c r="AE4202">
        <v>-20.4909</v>
      </c>
      <c r="AF4202">
        <v>-3.17753123563093</v>
      </c>
      <c r="AG4202">
        <v>-1.1113875054610001</v>
      </c>
      <c r="AH4202">
        <v>20.484530906340499</v>
      </c>
      <c r="AI4202">
        <v>93.068904981285598</v>
      </c>
      <c r="AJ4202">
        <v>98.817367299039404</v>
      </c>
      <c r="AK4202">
        <v>20.759284510635801</v>
      </c>
      <c r="AL4202">
        <v>80.293354428005301</v>
      </c>
      <c r="AM4202">
        <v>98.774080408416594</v>
      </c>
      <c r="AN4202">
        <v>0.999999956524949</v>
      </c>
    </row>
    <row r="4203" spans="1:40" x14ac:dyDescent="0.25">
      <c r="A4203" t="str">
        <f>"20190312172749028"</f>
        <v>20190312172749028</v>
      </c>
      <c r="B4203" t="str">
        <f>"1552382869023743"</f>
        <v>1552382869023743</v>
      </c>
      <c r="C4203" t="s">
        <v>40</v>
      </c>
      <c r="D4203">
        <v>3.3962669999999999</v>
      </c>
      <c r="E4203">
        <v>0.50420500000000001</v>
      </c>
      <c r="F4203" t="s">
        <v>41</v>
      </c>
      <c r="G4203">
        <v>-423.57150000000001</v>
      </c>
      <c r="H4203" s="1">
        <v>-1.210043E-6</v>
      </c>
      <c r="I4203">
        <v>100.14109999999999</v>
      </c>
      <c r="J4203">
        <v>-420.0034</v>
      </c>
      <c r="K4203">
        <v>1.1113959999999901</v>
      </c>
      <c r="L4203">
        <v>121.1478</v>
      </c>
      <c r="M4203">
        <v>-0.31487300000000001</v>
      </c>
      <c r="N4203">
        <v>0</v>
      </c>
      <c r="O4203">
        <v>-0.94908020000000004</v>
      </c>
      <c r="P4203">
        <v>-0.16619210000000001</v>
      </c>
      <c r="Q4203">
        <v>0.16010479999999899</v>
      </c>
      <c r="R4203">
        <v>-0.97300929999999997</v>
      </c>
      <c r="S4203">
        <v>-0.51663210000000004</v>
      </c>
      <c r="T4203">
        <v>-0.158487299999999</v>
      </c>
      <c r="U4203">
        <v>-3.0205229999999998</v>
      </c>
      <c r="V4203">
        <v>-0.1493158</v>
      </c>
      <c r="W4203">
        <v>0.16937260000000001</v>
      </c>
      <c r="X4203">
        <v>0.97417540000000002</v>
      </c>
      <c r="Y4203">
        <v>-0.15056639999999999</v>
      </c>
      <c r="Z4203">
        <v>4.7793599999999999E-2</v>
      </c>
      <c r="AA4203">
        <v>0.98744390000000004</v>
      </c>
      <c r="AB4203">
        <v>19</v>
      </c>
      <c r="AC4203">
        <v>-3.56810000000001</v>
      </c>
      <c r="AD4203">
        <v>-1.1113972100430001</v>
      </c>
      <c r="AE4203">
        <v>-21.006699999999999</v>
      </c>
      <c r="AF4203">
        <v>-3.21943494252386</v>
      </c>
      <c r="AG4203">
        <v>-1.1113972100430001</v>
      </c>
      <c r="AH4203">
        <v>21.0044675916335</v>
      </c>
      <c r="AI4203">
        <v>92.993934657632394</v>
      </c>
      <c r="AJ4203">
        <v>98.714125287389606</v>
      </c>
      <c r="AK4203">
        <v>21.278806919459001</v>
      </c>
      <c r="AL4203">
        <v>80.248657270312904</v>
      </c>
      <c r="AM4203">
        <v>98.714137760339995</v>
      </c>
      <c r="AN4203">
        <v>0.99999999786278004</v>
      </c>
    </row>
    <row r="4204" spans="1:40" x14ac:dyDescent="0.25">
      <c r="A4204" t="str">
        <f>"20190312172749049"</f>
        <v>20190312172749049</v>
      </c>
      <c r="B4204" t="str">
        <f>"1552382869043263"</f>
        <v>1552382869043263</v>
      </c>
      <c r="C4204" t="s">
        <v>40</v>
      </c>
      <c r="D4204">
        <v>3.3796170000000001</v>
      </c>
      <c r="E4204">
        <v>0.50446440000000004</v>
      </c>
      <c r="F4204" t="s">
        <v>41</v>
      </c>
      <c r="G4204">
        <v>-423.64769999999999</v>
      </c>
      <c r="H4204" s="1">
        <v>-9.9791530000000003E-7</v>
      </c>
      <c r="I4204">
        <v>99.64949</v>
      </c>
      <c r="J4204">
        <v>-420.05500000000001</v>
      </c>
      <c r="K4204">
        <v>1.1114059999999999</v>
      </c>
      <c r="L4204">
        <v>120.9816</v>
      </c>
      <c r="M4204">
        <v>-0.31212990000000002</v>
      </c>
      <c r="N4204">
        <v>0</v>
      </c>
      <c r="O4204">
        <v>-0.9499862</v>
      </c>
      <c r="P4204">
        <v>-0.1638172</v>
      </c>
      <c r="Q4204">
        <v>0.15978879999999901</v>
      </c>
      <c r="R4204">
        <v>-0.97346410000000005</v>
      </c>
      <c r="S4204">
        <v>-0.51217650000000003</v>
      </c>
      <c r="T4204">
        <v>-0.1561989</v>
      </c>
      <c r="U4204">
        <v>-3.021439</v>
      </c>
      <c r="V4204">
        <v>-0.148897</v>
      </c>
      <c r="W4204">
        <v>0.1690239</v>
      </c>
      <c r="X4204">
        <v>0.9743001</v>
      </c>
      <c r="Y4204">
        <v>-0.14916960000000001</v>
      </c>
      <c r="Z4204">
        <v>4.7170780000000002E-2</v>
      </c>
      <c r="AA4204">
        <v>0.98768590000000001</v>
      </c>
      <c r="AB4204">
        <v>19</v>
      </c>
      <c r="AC4204">
        <v>-3.5926999999999798</v>
      </c>
      <c r="AD4204">
        <v>-1.1114069979152901</v>
      </c>
      <c r="AE4204">
        <v>-21.33211</v>
      </c>
      <c r="AF4204">
        <v>-3.2369938398881701</v>
      </c>
      <c r="AG4204">
        <v>-1.1114069979152901</v>
      </c>
      <c r="AH4204">
        <v>21.331375418325202</v>
      </c>
      <c r="AI4204">
        <v>92.948828806544697</v>
      </c>
      <c r="AJ4204">
        <v>98.628690313034795</v>
      </c>
      <c r="AK4204">
        <v>21.604187831807401</v>
      </c>
      <c r="AL4204">
        <v>80.268928994979703</v>
      </c>
      <c r="AM4204">
        <v>98.688974764165906</v>
      </c>
      <c r="AN4204">
        <v>1.0000000401200999</v>
      </c>
    </row>
    <row r="4205" spans="1:40" x14ac:dyDescent="0.25">
      <c r="A4205" t="str">
        <f>"20190312172749070"</f>
        <v>20190312172749070</v>
      </c>
      <c r="B4205" t="str">
        <f>"1552382869063759"</f>
        <v>1552382869063759</v>
      </c>
      <c r="C4205" t="s">
        <v>40</v>
      </c>
      <c r="D4205">
        <v>3.3970009999999999</v>
      </c>
      <c r="E4205">
        <v>0.50480069999999999</v>
      </c>
      <c r="F4205" t="s">
        <v>41</v>
      </c>
      <c r="G4205">
        <v>-423.6336</v>
      </c>
      <c r="H4205" s="1">
        <v>-1.0000500000000001E-6</v>
      </c>
      <c r="I4205">
        <v>99.661940000000001</v>
      </c>
      <c r="J4205">
        <v>-420.11</v>
      </c>
      <c r="K4205">
        <v>1.111408</v>
      </c>
      <c r="L4205">
        <v>120.80249999999999</v>
      </c>
      <c r="M4205">
        <v>-0.3091739</v>
      </c>
      <c r="N4205">
        <v>0</v>
      </c>
      <c r="O4205">
        <v>-0.95095260000000004</v>
      </c>
      <c r="P4205">
        <v>-0.16107369999999999</v>
      </c>
      <c r="Q4205">
        <v>0.1600898</v>
      </c>
      <c r="R4205">
        <v>-0.97387210000000002</v>
      </c>
      <c r="S4205">
        <v>-0.50729369999999996</v>
      </c>
      <c r="T4205">
        <v>-0.15755139999999901</v>
      </c>
      <c r="U4205">
        <v>-3.0222470000000001</v>
      </c>
      <c r="V4205">
        <v>-0.14860029999999999</v>
      </c>
      <c r="W4205">
        <v>0.16928750000000001</v>
      </c>
      <c r="X4205">
        <v>0.97429960000000004</v>
      </c>
      <c r="Y4205">
        <v>-0.14769299999999999</v>
      </c>
      <c r="Z4205">
        <v>4.7651310000000002E-2</v>
      </c>
      <c r="AA4205">
        <v>0.98788469999999995</v>
      </c>
      <c r="AB4205">
        <v>19</v>
      </c>
      <c r="AC4205">
        <v>-3.5235999999999801</v>
      </c>
      <c r="AD4205">
        <v>-1.1114090000500001</v>
      </c>
      <c r="AE4205">
        <v>-21.140559999999901</v>
      </c>
      <c r="AF4205">
        <v>-3.17694983576542</v>
      </c>
      <c r="AG4205">
        <v>-1.1114090000500001</v>
      </c>
      <c r="AH4205">
        <v>21.137300996493099</v>
      </c>
      <c r="AI4205">
        <v>92.976495612628298</v>
      </c>
      <c r="AJ4205">
        <v>98.547611142054095</v>
      </c>
      <c r="AK4205">
        <v>21.403591606099901</v>
      </c>
      <c r="AL4205">
        <v>80.253604689860893</v>
      </c>
      <c r="AM4205">
        <v>98.671928506070998</v>
      </c>
      <c r="AN4205">
        <v>1.0000000086882499</v>
      </c>
    </row>
    <row r="4206" spans="1:40" x14ac:dyDescent="0.25">
      <c r="A4206" t="str">
        <f>"20190312172749092"</f>
        <v>20190312172749092</v>
      </c>
      <c r="B4206" t="str">
        <f>"1552382869083279"</f>
        <v>1552382869083279</v>
      </c>
      <c r="C4206" t="s">
        <v>40</v>
      </c>
      <c r="D4206">
        <v>3.414231</v>
      </c>
      <c r="E4206">
        <v>0.50507400000000002</v>
      </c>
      <c r="F4206" t="s">
        <v>41</v>
      </c>
      <c r="G4206">
        <v>-423.65600000000001</v>
      </c>
      <c r="H4206" s="1">
        <v>-4.8912020000000003E-6</v>
      </c>
      <c r="I4206">
        <v>99.454130000000006</v>
      </c>
      <c r="J4206">
        <v>-420.16460000000001</v>
      </c>
      <c r="K4206">
        <v>1.11141</v>
      </c>
      <c r="L4206">
        <v>120.6229</v>
      </c>
      <c r="M4206">
        <v>-0.306208799999999</v>
      </c>
      <c r="N4206">
        <v>0</v>
      </c>
      <c r="O4206">
        <v>-0.95191190000000003</v>
      </c>
      <c r="P4206">
        <v>-0.1586513</v>
      </c>
      <c r="Q4206">
        <v>0.16028589999999901</v>
      </c>
      <c r="R4206">
        <v>-0.97423740000000003</v>
      </c>
      <c r="S4206">
        <v>-0.50216669999999997</v>
      </c>
      <c r="T4206">
        <v>-0.15739600000000001</v>
      </c>
      <c r="U4206">
        <v>-3.0233150000000002</v>
      </c>
      <c r="V4206">
        <v>-0.14798059999999999</v>
      </c>
      <c r="W4206">
        <v>0.16944679999999901</v>
      </c>
      <c r="X4206">
        <v>0.97436619999999996</v>
      </c>
      <c r="Y4206">
        <v>-0.14629729999999999</v>
      </c>
      <c r="Z4206">
        <v>4.767275E-2</v>
      </c>
      <c r="AA4206">
        <v>0.98809130000000001</v>
      </c>
      <c r="AB4206">
        <v>19</v>
      </c>
      <c r="AC4206">
        <v>-3.4913999999999898</v>
      </c>
      <c r="AD4206">
        <v>-1.1114148912019901</v>
      </c>
      <c r="AE4206">
        <v>-21.168769999999899</v>
      </c>
      <c r="AF4206">
        <v>-3.1502624439581202</v>
      </c>
      <c r="AG4206">
        <v>-1.1114148912019901</v>
      </c>
      <c r="AH4206">
        <v>21.164167043117601</v>
      </c>
      <c r="AI4206">
        <v>92.973370053968594</v>
      </c>
      <c r="AJ4206">
        <v>98.466251433975103</v>
      </c>
      <c r="AK4206">
        <v>21.426184054917101</v>
      </c>
      <c r="AL4206">
        <v>80.244343434036196</v>
      </c>
      <c r="AM4206">
        <v>98.635729408849798</v>
      </c>
      <c r="AN4206">
        <v>0.99999998385451905</v>
      </c>
    </row>
    <row r="4207" spans="1:40" x14ac:dyDescent="0.25">
      <c r="A4207" t="str">
        <f>"20190312172749115"</f>
        <v>20190312172749115</v>
      </c>
      <c r="B4207" t="str">
        <f>"1552382869103305"</f>
        <v>1552382869103305</v>
      </c>
      <c r="C4207" t="s">
        <v>40</v>
      </c>
      <c r="D4207">
        <v>3.413036</v>
      </c>
      <c r="E4207">
        <v>0.51140799999999997</v>
      </c>
      <c r="F4207" t="s">
        <v>41</v>
      </c>
      <c r="G4207">
        <v>-423.6653</v>
      </c>
      <c r="H4207" s="1">
        <v>-4.8271820000000001E-6</v>
      </c>
      <c r="I4207">
        <v>99.261150000000001</v>
      </c>
      <c r="J4207">
        <v>-420.21949999999998</v>
      </c>
      <c r="K4207">
        <v>1.1114059999999999</v>
      </c>
      <c r="L4207">
        <v>120.4401</v>
      </c>
      <c r="M4207">
        <v>-0.30319089999999999</v>
      </c>
      <c r="N4207">
        <v>0</v>
      </c>
      <c r="O4207">
        <v>-0.952878</v>
      </c>
      <c r="P4207">
        <v>-0.1563668</v>
      </c>
      <c r="Q4207">
        <v>0.160712299999999</v>
      </c>
      <c r="R4207">
        <v>-0.97453639999999997</v>
      </c>
      <c r="S4207">
        <v>-0.49563600000000002</v>
      </c>
      <c r="T4207">
        <v>-0.15735879999999999</v>
      </c>
      <c r="U4207">
        <v>-3.0244900000000001</v>
      </c>
      <c r="V4207">
        <v>-0.14715929999999999</v>
      </c>
      <c r="W4207">
        <v>0.16983500000000001</v>
      </c>
      <c r="X4207">
        <v>0.97442300000000004</v>
      </c>
      <c r="Y4207">
        <v>-0.14530170000000001</v>
      </c>
      <c r="Z4207">
        <v>4.7728729999999997E-2</v>
      </c>
      <c r="AA4207">
        <v>0.98823550000000004</v>
      </c>
      <c r="AB4207">
        <v>19</v>
      </c>
      <c r="AC4207">
        <v>-3.4458000000000202</v>
      </c>
      <c r="AD4207">
        <v>-1.11141082718199</v>
      </c>
      <c r="AE4207">
        <v>-21.17895</v>
      </c>
      <c r="AF4207">
        <v>-3.12959672610581</v>
      </c>
      <c r="AG4207">
        <v>-1.11141082718199</v>
      </c>
      <c r="AH4207">
        <v>21.1699438676123</v>
      </c>
      <c r="AI4207">
        <v>92.972987239051804</v>
      </c>
      <c r="AJ4207">
        <v>98.409247475669503</v>
      </c>
      <c r="AK4207">
        <v>21.4288621502096</v>
      </c>
      <c r="AL4207">
        <v>80.221774100547904</v>
      </c>
      <c r="AM4207">
        <v>98.588024175749695</v>
      </c>
      <c r="AN4207">
        <v>0.999999984865244</v>
      </c>
    </row>
    <row r="4208" spans="1:40" x14ac:dyDescent="0.25">
      <c r="A4208" t="str">
        <f>"20190312172749136"</f>
        <v>20190312172749136</v>
      </c>
      <c r="B4208" t="str">
        <f>"1552382869123801"</f>
        <v>1552382869123801</v>
      </c>
      <c r="C4208" t="s">
        <v>40</v>
      </c>
      <c r="D4208">
        <v>3.4355500000000001</v>
      </c>
      <c r="E4208">
        <v>0.51184790000000002</v>
      </c>
      <c r="F4208" t="s">
        <v>41</v>
      </c>
      <c r="G4208">
        <v>-423.68959999999998</v>
      </c>
      <c r="H4208" s="1">
        <v>-1.6264119999999999E-6</v>
      </c>
      <c r="I4208">
        <v>100.9555</v>
      </c>
      <c r="J4208">
        <v>-420.27190000000002</v>
      </c>
      <c r="K4208">
        <v>1.1114120000000001</v>
      </c>
      <c r="L4208">
        <v>120.26390000000001</v>
      </c>
      <c r="M4208">
        <v>-0.30028260000000001</v>
      </c>
      <c r="N4208">
        <v>0</v>
      </c>
      <c r="O4208">
        <v>-0.9537987</v>
      </c>
      <c r="P4208">
        <v>-0.15401860000000001</v>
      </c>
      <c r="Q4208">
        <v>0.16055939999999999</v>
      </c>
      <c r="R4208">
        <v>-0.9749352</v>
      </c>
      <c r="S4208">
        <v>-0.53793329999999995</v>
      </c>
      <c r="T4208">
        <v>-0.17228850000000001</v>
      </c>
      <c r="U4208">
        <v>-3.0204770000000001</v>
      </c>
      <c r="V4208">
        <v>-0.14654329999999999</v>
      </c>
      <c r="W4208">
        <v>0.16964650000000001</v>
      </c>
      <c r="X4208">
        <v>0.97454859999999999</v>
      </c>
      <c r="Y4208">
        <v>-0.12865180000000001</v>
      </c>
      <c r="Z4208">
        <v>5.2395810000000001E-2</v>
      </c>
      <c r="AA4208">
        <v>0.99030469999999904</v>
      </c>
      <c r="AB4208">
        <v>19</v>
      </c>
      <c r="AC4208">
        <v>-3.41769999999996</v>
      </c>
      <c r="AD4208">
        <v>-1.111413626412</v>
      </c>
      <c r="AE4208">
        <v>-19.308399999999999</v>
      </c>
      <c r="AF4208">
        <v>-2.5301751071768899</v>
      </c>
      <c r="AG4208">
        <v>-1.111413626412</v>
      </c>
      <c r="AH4208">
        <v>19.381294373656601</v>
      </c>
      <c r="AI4208">
        <v>93.254457370720701</v>
      </c>
      <c r="AJ4208">
        <v>97.437745225002303</v>
      </c>
      <c r="AK4208">
        <v>19.5773235637634</v>
      </c>
      <c r="AL4208">
        <v>80.232732785342606</v>
      </c>
      <c r="AM4208">
        <v>98.551521981041105</v>
      </c>
      <c r="AN4208">
        <v>0.99999992374954705</v>
      </c>
    </row>
    <row r="4209" spans="1:40" x14ac:dyDescent="0.25">
      <c r="A4209" t="str">
        <f>"20190312172749160"</f>
        <v>20190312172749160</v>
      </c>
      <c r="B4209" t="str">
        <f>"1552382869154058"</f>
        <v>1552382869154058</v>
      </c>
      <c r="C4209" t="s">
        <v>40</v>
      </c>
      <c r="D4209">
        <v>3.4140709999999999</v>
      </c>
      <c r="E4209">
        <v>0.51208350000000002</v>
      </c>
      <c r="F4209" t="s">
        <v>41</v>
      </c>
      <c r="G4209">
        <v>-423.69929999999999</v>
      </c>
      <c r="H4209" s="1">
        <v>-1.5868579999999999E-6</v>
      </c>
      <c r="I4209">
        <v>100.8663</v>
      </c>
      <c r="J4209">
        <v>-420.33069999999998</v>
      </c>
      <c r="K4209">
        <v>1.1114139999999999</v>
      </c>
      <c r="L4209">
        <v>120.06359999999999</v>
      </c>
      <c r="M4209">
        <v>-0.29697669999999998</v>
      </c>
      <c r="N4209">
        <v>0</v>
      </c>
      <c r="O4209">
        <v>-0.95483359999999995</v>
      </c>
      <c r="P4209">
        <v>-0.1512994</v>
      </c>
      <c r="Q4209">
        <v>0.16036719999999999</v>
      </c>
      <c r="R4209">
        <v>-0.97539279999999995</v>
      </c>
      <c r="S4209">
        <v>-0.53384399999999999</v>
      </c>
      <c r="T4209">
        <v>-0.17310970000000001</v>
      </c>
      <c r="U4209">
        <v>-3.0213009999999998</v>
      </c>
      <c r="V4209">
        <v>-0.14589540000000001</v>
      </c>
      <c r="W4209">
        <v>0.16941249999999999</v>
      </c>
      <c r="X4209">
        <v>0.97468659999999996</v>
      </c>
      <c r="Y4209">
        <v>-0.12656500000000001</v>
      </c>
      <c r="Z4209">
        <v>5.2731029999999998E-2</v>
      </c>
      <c r="AA4209">
        <v>0.99055579999999999</v>
      </c>
      <c r="AB4209">
        <v>19</v>
      </c>
      <c r="AC4209">
        <v>-3.36860000000001</v>
      </c>
      <c r="AD4209">
        <v>-1.11141558685799</v>
      </c>
      <c r="AE4209">
        <v>-19.197299999999998</v>
      </c>
      <c r="AF4209">
        <v>-2.4767660978469701</v>
      </c>
      <c r="AG4209">
        <v>-1.11141558685799</v>
      </c>
      <c r="AH4209">
        <v>19.268911007322899</v>
      </c>
      <c r="AI4209">
        <v>93.274239863567104</v>
      </c>
      <c r="AJ4209">
        <v>97.324460512614394</v>
      </c>
      <c r="AK4209">
        <v>19.459202098706001</v>
      </c>
      <c r="AL4209">
        <v>80.246337821328595</v>
      </c>
      <c r="AM4209">
        <v>98.513081360805401</v>
      </c>
      <c r="AN4209">
        <v>1.0000000155584801</v>
      </c>
    </row>
    <row r="4210" spans="1:40" x14ac:dyDescent="0.25">
      <c r="A4210" t="str">
        <f>"20190312172749204"</f>
        <v>20190312172749204</v>
      </c>
      <c r="B4210" t="str">
        <f>"1552382869193098"</f>
        <v>1552382869193098</v>
      </c>
      <c r="C4210" t="s">
        <v>40</v>
      </c>
      <c r="D4210">
        <v>3.4268900000000002</v>
      </c>
      <c r="E4210">
        <v>0.51243620000000001</v>
      </c>
      <c r="F4210" t="s">
        <v>41</v>
      </c>
      <c r="G4210">
        <v>-423.6463</v>
      </c>
      <c r="H4210" s="1">
        <v>-1.6522419999999999E-6</v>
      </c>
      <c r="I4210">
        <v>101.03449999999999</v>
      </c>
      <c r="J4210">
        <v>-420.43740000000003</v>
      </c>
      <c r="K4210">
        <v>1.111423</v>
      </c>
      <c r="L4210">
        <v>119.69329999999999</v>
      </c>
      <c r="M4210">
        <v>-0.29086879999999998</v>
      </c>
      <c r="N4210">
        <v>0</v>
      </c>
      <c r="O4210">
        <v>-0.95671289999999998</v>
      </c>
      <c r="P4210">
        <v>-0.14555870000000001</v>
      </c>
      <c r="Q4210">
        <v>0.16025819999999999</v>
      </c>
      <c r="R4210">
        <v>-0.97628389999999998</v>
      </c>
      <c r="S4210">
        <v>-0.52673340000000002</v>
      </c>
      <c r="T4210">
        <v>-0.176563</v>
      </c>
      <c r="U4210">
        <v>-3.0230260000000002</v>
      </c>
      <c r="V4210">
        <v>-0.14541029999999999</v>
      </c>
      <c r="W4210">
        <v>0.16922690000000001</v>
      </c>
      <c r="X4210">
        <v>0.97479130000000003</v>
      </c>
      <c r="Y4210">
        <v>-0.1225928</v>
      </c>
      <c r="Z4210">
        <v>5.3935120000000003E-2</v>
      </c>
      <c r="AA4210">
        <v>0.99099040000000005</v>
      </c>
      <c r="AB4210">
        <v>19</v>
      </c>
      <c r="AC4210">
        <v>-3.2088999999999701</v>
      </c>
      <c r="AD4210">
        <v>-1.1114246522419999</v>
      </c>
      <c r="AE4210">
        <v>-18.658799999999999</v>
      </c>
      <c r="AF4210">
        <v>-2.3492836425833401</v>
      </c>
      <c r="AG4210">
        <v>-1.1114246522419999</v>
      </c>
      <c r="AH4210">
        <v>18.7208681901521</v>
      </c>
      <c r="AI4210">
        <v>93.371181715908506</v>
      </c>
      <c r="AJ4210">
        <v>97.152663394673596</v>
      </c>
      <c r="AK4210">
        <v>18.900404868255301</v>
      </c>
      <c r="AL4210">
        <v>80.257127447812906</v>
      </c>
      <c r="AM4210">
        <v>98.484290113963496</v>
      </c>
      <c r="AN4210">
        <v>0.99999998879269503</v>
      </c>
    </row>
    <row r="4211" spans="1:40" x14ac:dyDescent="0.25">
      <c r="A4211" t="str">
        <f>"20190312172749227"</f>
        <v>20190312172749227</v>
      </c>
      <c r="B4211" t="str">
        <f>"1552382869223353"</f>
        <v>1552382869223353</v>
      </c>
      <c r="C4211" t="s">
        <v>40</v>
      </c>
      <c r="D4211">
        <v>3.2959450000000001</v>
      </c>
      <c r="E4211">
        <v>0.51278639999999998</v>
      </c>
      <c r="F4211" t="s">
        <v>41</v>
      </c>
      <c r="G4211">
        <v>-423.58460000000002</v>
      </c>
      <c r="H4211" s="1">
        <v>-1.660605E-6</v>
      </c>
      <c r="I4211">
        <v>101.0869</v>
      </c>
      <c r="J4211">
        <v>-420.4905</v>
      </c>
      <c r="K4211">
        <v>1.111429</v>
      </c>
      <c r="L4211">
        <v>119.5057</v>
      </c>
      <c r="M4211">
        <v>-0.28777580000000003</v>
      </c>
      <c r="N4211">
        <v>0</v>
      </c>
      <c r="O4211">
        <v>-0.95764800000000005</v>
      </c>
      <c r="P4211">
        <v>-0.1424665</v>
      </c>
      <c r="Q4211">
        <v>0.160250799999999</v>
      </c>
      <c r="R4211">
        <v>-0.97674099999999997</v>
      </c>
      <c r="S4211">
        <v>-0.51187130000000003</v>
      </c>
      <c r="T4211">
        <v>-0.1807675</v>
      </c>
      <c r="U4211">
        <v>-3.02623</v>
      </c>
      <c r="V4211">
        <v>-0.1453499</v>
      </c>
      <c r="W4211">
        <v>0.16918649999999999</v>
      </c>
      <c r="X4211">
        <v>0.97480730000000004</v>
      </c>
      <c r="Y4211">
        <v>-0.1243027</v>
      </c>
      <c r="Z4211">
        <v>5.5255150000000003E-2</v>
      </c>
      <c r="AA4211">
        <v>0.99070469999999999</v>
      </c>
      <c r="AB4211">
        <v>20</v>
      </c>
      <c r="AC4211">
        <v>-3.0941000000000201</v>
      </c>
      <c r="AD4211">
        <v>-1.111430660605</v>
      </c>
      <c r="AE4211">
        <v>-18.418800000000001</v>
      </c>
      <c r="AF4211">
        <v>-2.3292891375841802</v>
      </c>
      <c r="AG4211">
        <v>-1.111430660605</v>
      </c>
      <c r="AH4211">
        <v>18.4646301269361</v>
      </c>
      <c r="AI4211">
        <v>93.4175945560375</v>
      </c>
      <c r="AJ4211">
        <v>97.189810430143396</v>
      </c>
      <c r="AK4211">
        <v>18.644125930822199</v>
      </c>
      <c r="AL4211">
        <v>80.259475865096604</v>
      </c>
      <c r="AM4211">
        <v>98.480680025128706</v>
      </c>
      <c r="AN4211">
        <v>0.99999996867277396</v>
      </c>
    </row>
    <row r="4212" spans="1:40" x14ac:dyDescent="0.25">
      <c r="A4212" t="str">
        <f>"20190312172749315"</f>
        <v>20190312172749315</v>
      </c>
      <c r="B4212" t="str">
        <f>"1552382869303386"</f>
        <v>1552382869303386</v>
      </c>
      <c r="C4212" t="s">
        <v>40</v>
      </c>
      <c r="D4212">
        <v>2.9307669999999999</v>
      </c>
      <c r="E4212">
        <v>0.4842573</v>
      </c>
      <c r="F4212" t="s">
        <v>41</v>
      </c>
      <c r="G4212">
        <v>-423.53739999999999</v>
      </c>
      <c r="H4212" s="1">
        <v>-1.718962E-6</v>
      </c>
      <c r="I4212">
        <v>101.23699999999999</v>
      </c>
      <c r="J4212">
        <v>-420.69450000000001</v>
      </c>
      <c r="K4212">
        <v>1.11144</v>
      </c>
      <c r="L4212">
        <v>118.76220000000001</v>
      </c>
      <c r="M4212">
        <v>-0.27551490000000001</v>
      </c>
      <c r="N4212">
        <v>0</v>
      </c>
      <c r="O4212">
        <v>-0.96124849999999995</v>
      </c>
      <c r="P4212">
        <v>-0.12941459999999999</v>
      </c>
      <c r="Q4212">
        <v>0.15984100000000001</v>
      </c>
      <c r="R4212">
        <v>-0.97862300000000002</v>
      </c>
      <c r="S4212">
        <v>-0.50500489999999998</v>
      </c>
      <c r="T4212">
        <v>-0.18421750000000001</v>
      </c>
      <c r="U4212">
        <v>-3.0280149999999999</v>
      </c>
      <c r="V4212">
        <v>-0.1459358</v>
      </c>
      <c r="W4212">
        <v>0.16864409999999999</v>
      </c>
      <c r="X4212">
        <v>0.97481379999999995</v>
      </c>
      <c r="Y4212">
        <v>-0.1139091</v>
      </c>
      <c r="Z4212">
        <v>5.6642560000000002E-2</v>
      </c>
      <c r="AA4212">
        <v>0.99187519999999996</v>
      </c>
      <c r="AB4212">
        <v>20</v>
      </c>
      <c r="AC4212">
        <v>-2.8428999999999802</v>
      </c>
      <c r="AD4212">
        <v>-1.1114417189620001</v>
      </c>
      <c r="AE4212">
        <v>-17.525199999999899</v>
      </c>
      <c r="AF4212">
        <v>-2.0876363875416701</v>
      </c>
      <c r="AG4212">
        <v>-1.1114417189620001</v>
      </c>
      <c r="AH4212">
        <v>17.5613305882957</v>
      </c>
      <c r="AI4212">
        <v>93.596117922034693</v>
      </c>
      <c r="AJ4212">
        <v>96.779329098398804</v>
      </c>
      <c r="AK4212">
        <v>17.719871907343101</v>
      </c>
      <c r="AL4212">
        <v>80.291006647777493</v>
      </c>
      <c r="AM4212">
        <v>98.514309310432296</v>
      </c>
      <c r="AN4212">
        <v>1.00000001742844</v>
      </c>
    </row>
    <row r="4213" spans="1:40" x14ac:dyDescent="0.25">
      <c r="A4213" t="str">
        <f>"20190312172749337"</f>
        <v>20190312172749337</v>
      </c>
      <c r="B4213" t="str">
        <f>"1552382869333642"</f>
        <v>1552382869333642</v>
      </c>
      <c r="C4213" t="s">
        <v>40</v>
      </c>
      <c r="D4213">
        <v>3.3116629999999998</v>
      </c>
      <c r="E4213">
        <v>0.47551850000000001</v>
      </c>
      <c r="F4213" t="s">
        <v>41</v>
      </c>
      <c r="G4213">
        <v>-421.06990000000002</v>
      </c>
      <c r="H4213" s="1">
        <v>-1.9352210000000001E-6</v>
      </c>
      <c r="I4213">
        <v>113.4366</v>
      </c>
      <c r="J4213">
        <v>-420.74509999999998</v>
      </c>
      <c r="K4213">
        <v>1.111445</v>
      </c>
      <c r="L4213">
        <v>118.5722</v>
      </c>
      <c r="M4213">
        <v>-0.27238040000000002</v>
      </c>
      <c r="N4213">
        <v>0</v>
      </c>
      <c r="O4213">
        <v>-0.96214169999999999</v>
      </c>
      <c r="P4213">
        <v>-0.12635669999999999</v>
      </c>
      <c r="Q4213">
        <v>0.15956319999999999</v>
      </c>
      <c r="R4213">
        <v>-0.97906769999999999</v>
      </c>
      <c r="S4213">
        <v>-0.22155759999999999</v>
      </c>
      <c r="T4213">
        <v>-0.6560165</v>
      </c>
      <c r="U4213">
        <v>-3.1433870000000002</v>
      </c>
      <c r="V4213">
        <v>-0.14581849999999999</v>
      </c>
      <c r="W4213">
        <v>0.16833909999999999</v>
      </c>
      <c r="X4213">
        <v>0.97488399999999997</v>
      </c>
      <c r="Y4213">
        <v>-0.2053441</v>
      </c>
      <c r="Z4213">
        <v>0.19044079999999999</v>
      </c>
      <c r="AA4213">
        <v>0.95998229999999996</v>
      </c>
      <c r="AB4213">
        <v>20</v>
      </c>
      <c r="AC4213">
        <v>-0.324800000000038</v>
      </c>
      <c r="AD4213">
        <v>-1.1114469352209999</v>
      </c>
      <c r="AE4213">
        <v>-5.1355999999999904</v>
      </c>
      <c r="AF4213">
        <v>-1.0379612946436101</v>
      </c>
      <c r="AG4213">
        <v>-1.1114469352209999</v>
      </c>
      <c r="AH4213">
        <v>4.8056858340784503</v>
      </c>
      <c r="AI4213">
        <v>102.738429823186</v>
      </c>
      <c r="AJ4213">
        <v>102.18787175993801</v>
      </c>
      <c r="AK4213">
        <v>5.0405648765641997</v>
      </c>
      <c r="AL4213">
        <v>80.308734670668997</v>
      </c>
      <c r="AM4213">
        <v>98.5069622292975</v>
      </c>
      <c r="AN4213">
        <v>0.99999995049352797</v>
      </c>
    </row>
    <row r="4214" spans="1:40" x14ac:dyDescent="0.25">
      <c r="A4214" t="str">
        <f>"20190312172749360"</f>
        <v>20190312172749360</v>
      </c>
      <c r="B4214" t="str">
        <f>"1552382869354138"</f>
        <v>1552382869354138</v>
      </c>
      <c r="C4214" t="s">
        <v>40</v>
      </c>
      <c r="D4214">
        <v>3.3385609999999999</v>
      </c>
      <c r="E4214">
        <v>0.47430519999999998</v>
      </c>
      <c r="F4214" t="s">
        <v>41</v>
      </c>
      <c r="G4214">
        <v>-421.14389999999997</v>
      </c>
      <c r="H4214" s="1">
        <v>-6.4009019999999899E-7</v>
      </c>
      <c r="I4214">
        <v>110.3717</v>
      </c>
      <c r="J4214">
        <v>-420.798</v>
      </c>
      <c r="K4214">
        <v>1.1114520000000001</v>
      </c>
      <c r="L4214">
        <v>118.37050000000001</v>
      </c>
      <c r="M4214">
        <v>-0.2690457</v>
      </c>
      <c r="N4214">
        <v>0</v>
      </c>
      <c r="O4214">
        <v>-0.96307969999999998</v>
      </c>
      <c r="P4214">
        <v>-0.12368990000000001</v>
      </c>
      <c r="Q4214">
        <v>0.15926899999999999</v>
      </c>
      <c r="R4214">
        <v>-0.97945629999999995</v>
      </c>
      <c r="S4214">
        <v>-0.15142820000000001</v>
      </c>
      <c r="T4214">
        <v>-0.4219657</v>
      </c>
      <c r="U4214">
        <v>-3.1133730000000002</v>
      </c>
      <c r="V4214">
        <v>-0.14511160000000001</v>
      </c>
      <c r="W4214">
        <v>0.168019</v>
      </c>
      <c r="X4214">
        <v>0.97504469999999999</v>
      </c>
      <c r="Y4214">
        <v>-0.22231690000000001</v>
      </c>
      <c r="Z4214">
        <v>0.12516530000000001</v>
      </c>
      <c r="AA4214">
        <v>0.96690679999999996</v>
      </c>
      <c r="AB4214">
        <v>20</v>
      </c>
      <c r="AC4214">
        <v>-0.34589999999997101</v>
      </c>
      <c r="AD4214">
        <v>-1.1114526400902001</v>
      </c>
      <c r="AE4214">
        <v>-7.9988000000000001</v>
      </c>
      <c r="AF4214">
        <v>-1.7846046333849099</v>
      </c>
      <c r="AG4214">
        <v>-1.1114526400902001</v>
      </c>
      <c r="AH4214">
        <v>7.6494842510893601</v>
      </c>
      <c r="AI4214">
        <v>98.053774184952005</v>
      </c>
      <c r="AJ4214">
        <v>103.132068674564</v>
      </c>
      <c r="AK4214">
        <v>7.93314250321564</v>
      </c>
      <c r="AL4214">
        <v>80.327340188187193</v>
      </c>
      <c r="AM4214">
        <v>98.464946085707496</v>
      </c>
      <c r="AN4214">
        <v>0.999999963906824</v>
      </c>
    </row>
    <row r="4215" spans="1:40" x14ac:dyDescent="0.25">
      <c r="A4215" t="str">
        <f>"20190312172749386"</f>
        <v>20190312172749386</v>
      </c>
      <c r="B4215" t="str">
        <f>"1552382869383418"</f>
        <v>1552382869383418</v>
      </c>
      <c r="C4215" t="s">
        <v>40</v>
      </c>
      <c r="D4215">
        <v>3.31759</v>
      </c>
      <c r="E4215">
        <v>0.47405330000000001</v>
      </c>
      <c r="F4215" t="s">
        <v>41</v>
      </c>
      <c r="G4215">
        <v>-421.22710000000001</v>
      </c>
      <c r="H4215" s="1">
        <v>-4.5546109999999996E-6</v>
      </c>
      <c r="I4215">
        <v>108.5797</v>
      </c>
      <c r="J4215">
        <v>-420.85359999999997</v>
      </c>
      <c r="K4215">
        <v>1.111469</v>
      </c>
      <c r="L4215">
        <v>118.1555</v>
      </c>
      <c r="M4215">
        <v>-0.26547769999999998</v>
      </c>
      <c r="N4215">
        <v>0</v>
      </c>
      <c r="O4215">
        <v>-0.96406959999999997</v>
      </c>
      <c r="P4215">
        <v>-0.1209639</v>
      </c>
      <c r="Q4215">
        <v>0.15931600000000001</v>
      </c>
      <c r="R4215">
        <v>-0.97978900000000002</v>
      </c>
      <c r="S4215">
        <v>-0.13601679999999999</v>
      </c>
      <c r="T4215">
        <v>-0.35225770000000001</v>
      </c>
      <c r="U4215">
        <v>-3.103027</v>
      </c>
      <c r="V4215">
        <v>-0.14421800000000001</v>
      </c>
      <c r="W4215">
        <v>0.16803309999999999</v>
      </c>
      <c r="X4215">
        <v>0.97517489999999996</v>
      </c>
      <c r="Y4215">
        <v>-0.22324579999999999</v>
      </c>
      <c r="Z4215">
        <v>0.1052777</v>
      </c>
      <c r="AA4215">
        <v>0.96906040000000004</v>
      </c>
      <c r="AB4215">
        <v>20</v>
      </c>
      <c r="AC4215">
        <v>-0.37350000000003503</v>
      </c>
      <c r="AD4215">
        <v>-1.1114735546109999</v>
      </c>
      <c r="AE4215">
        <v>-9.5757999999999992</v>
      </c>
      <c r="AF4215">
        <v>-2.15321595710749</v>
      </c>
      <c r="AG4215">
        <v>-1.1114735546109999</v>
      </c>
      <c r="AH4215">
        <v>9.2074609669704905</v>
      </c>
      <c r="AI4215">
        <v>96.703961920164303</v>
      </c>
      <c r="AJ4215">
        <v>103.16239556679</v>
      </c>
      <c r="AK4215">
        <v>9.5209794600569904</v>
      </c>
      <c r="AL4215">
        <v>80.326521213058697</v>
      </c>
      <c r="AM4215">
        <v>98.412459919712006</v>
      </c>
      <c r="AN4215">
        <v>1.0000000199048</v>
      </c>
    </row>
    <row r="4216" spans="1:40" x14ac:dyDescent="0.25">
      <c r="A4216" t="str">
        <f>"20190312172749404"</f>
        <v>20190312172749404</v>
      </c>
      <c r="B4216" t="str">
        <f>"1552382869393179"</f>
        <v>1552382869393179</v>
      </c>
      <c r="C4216" t="s">
        <v>40</v>
      </c>
      <c r="D4216">
        <v>3.3387380000000002</v>
      </c>
      <c r="E4216">
        <v>0.47384229999999999</v>
      </c>
      <c r="F4216" t="s">
        <v>41</v>
      </c>
      <c r="G4216">
        <v>-421.32339999999999</v>
      </c>
      <c r="H4216" s="1">
        <v>-3.7361440000000001E-6</v>
      </c>
      <c r="I4216">
        <v>106.7504</v>
      </c>
      <c r="J4216">
        <v>-420.89490000000001</v>
      </c>
      <c r="K4216">
        <v>1.11148</v>
      </c>
      <c r="L4216">
        <v>117.9932</v>
      </c>
      <c r="M4216">
        <v>-0.26277070000000002</v>
      </c>
      <c r="N4216">
        <v>0</v>
      </c>
      <c r="O4216">
        <v>-0.96481119999999998</v>
      </c>
      <c r="P4216">
        <v>-0.1196458</v>
      </c>
      <c r="Q4216">
        <v>0.15960820000000001</v>
      </c>
      <c r="R4216">
        <v>-0.97990330000000003</v>
      </c>
      <c r="S4216">
        <v>-0.12750239999999999</v>
      </c>
      <c r="T4216">
        <v>-0.30164020000000002</v>
      </c>
      <c r="U4216">
        <v>-3.0951840000000002</v>
      </c>
      <c r="V4216">
        <v>-0.14278550000000001</v>
      </c>
      <c r="W4216">
        <v>0.16830339999999999</v>
      </c>
      <c r="X4216">
        <v>0.97533910000000001</v>
      </c>
      <c r="Y4216">
        <v>-0.22300729999999999</v>
      </c>
      <c r="Z4216">
        <v>9.0640780000000004E-2</v>
      </c>
      <c r="AA4216">
        <v>0.97059359999999995</v>
      </c>
      <c r="AB4216">
        <v>20</v>
      </c>
      <c r="AC4216">
        <v>-0.428499999999985</v>
      </c>
      <c r="AD4216">
        <v>-1.111483736144</v>
      </c>
      <c r="AE4216">
        <v>-11.242800000000001</v>
      </c>
      <c r="AF4216">
        <v>-2.5164134301576402</v>
      </c>
      <c r="AG4216">
        <v>-1.111483736144</v>
      </c>
      <c r="AH4216">
        <v>10.8543420267332</v>
      </c>
      <c r="AI4216">
        <v>95.696651201330596</v>
      </c>
      <c r="AJ4216">
        <v>103.052565010667</v>
      </c>
      <c r="AK4216">
        <v>11.197520863141801</v>
      </c>
      <c r="AL4216">
        <v>80.310810678142801</v>
      </c>
      <c r="AM4216">
        <v>98.328695538689104</v>
      </c>
      <c r="AN4216">
        <v>1.0000000467253001</v>
      </c>
    </row>
    <row r="4217" spans="1:40" x14ac:dyDescent="0.25">
      <c r="A4217" t="str">
        <f>"20190312172749426"</f>
        <v>20190312172749426</v>
      </c>
      <c r="B4217" t="str">
        <f>"1552382869423434"</f>
        <v>1552382869423434</v>
      </c>
      <c r="C4217" t="s">
        <v>40</v>
      </c>
      <c r="D4217">
        <v>3.3365469999999999</v>
      </c>
      <c r="E4217">
        <v>0.47333720000000001</v>
      </c>
      <c r="F4217" t="s">
        <v>41</v>
      </c>
      <c r="G4217">
        <v>-421.36059999999998</v>
      </c>
      <c r="H4217" s="1">
        <v>-3.455938E-6</v>
      </c>
      <c r="I4217">
        <v>106.1367</v>
      </c>
      <c r="J4217">
        <v>-420.94200000000001</v>
      </c>
      <c r="K4217">
        <v>1.11149599999999</v>
      </c>
      <c r="L4217">
        <v>117.80589999999999</v>
      </c>
      <c r="M4217">
        <v>-0.2596272</v>
      </c>
      <c r="N4217">
        <v>0</v>
      </c>
      <c r="O4217">
        <v>-0.96566220000000003</v>
      </c>
      <c r="P4217">
        <v>-0.1168188</v>
      </c>
      <c r="Q4217">
        <v>0.15935170000000001</v>
      </c>
      <c r="R4217">
        <v>-0.98028610000000005</v>
      </c>
      <c r="S4217">
        <v>-0.121521</v>
      </c>
      <c r="T4217">
        <v>-0.2900413</v>
      </c>
      <c r="U4217">
        <v>-3.0939329999999998</v>
      </c>
      <c r="V4217">
        <v>-0.14244100000000001</v>
      </c>
      <c r="W4217">
        <v>0.16801329999999901</v>
      </c>
      <c r="X4217">
        <v>0.97543939999999996</v>
      </c>
      <c r="Y4217">
        <v>-0.22167890000000001</v>
      </c>
      <c r="Z4217">
        <v>8.7356210000000004E-2</v>
      </c>
      <c r="AA4217">
        <v>0.97119889999999998</v>
      </c>
      <c r="AB4217">
        <v>20</v>
      </c>
      <c r="AC4217">
        <v>-0.41860000000002601</v>
      </c>
      <c r="AD4217">
        <v>-1.11149945593799</v>
      </c>
      <c r="AE4217">
        <v>-11.669199999999901</v>
      </c>
      <c r="AF4217">
        <v>-2.6019575518180802</v>
      </c>
      <c r="AG4217">
        <v>-1.11149945593799</v>
      </c>
      <c r="AH4217">
        <v>11.275530634548799</v>
      </c>
      <c r="AI4217">
        <v>95.4865419328966</v>
      </c>
      <c r="AJ4217">
        <v>102.99419233535301</v>
      </c>
      <c r="AK4217">
        <v>11.6251109772191</v>
      </c>
      <c r="AL4217">
        <v>80.327671497024198</v>
      </c>
      <c r="AM4217">
        <v>98.308039251045798</v>
      </c>
      <c r="AN4217">
        <v>0.99999996526512402</v>
      </c>
    </row>
    <row r="4218" spans="1:40" x14ac:dyDescent="0.25">
      <c r="A4218" t="str">
        <f>"20190312172749449"</f>
        <v>20190312172749449</v>
      </c>
      <c r="B4218" t="str">
        <f>"1552382869443929"</f>
        <v>1552382869443929</v>
      </c>
      <c r="C4218" t="s">
        <v>40</v>
      </c>
      <c r="D4218">
        <v>3.3030149999999998</v>
      </c>
      <c r="E4218">
        <v>0.47333439999999999</v>
      </c>
      <c r="F4218" t="s">
        <v>41</v>
      </c>
      <c r="G4218">
        <v>-421.3922</v>
      </c>
      <c r="H4218" s="1">
        <v>-2.983288E-6</v>
      </c>
      <c r="I4218">
        <v>105.1191</v>
      </c>
      <c r="J4218">
        <v>-420.99029999999999</v>
      </c>
      <c r="K4218">
        <v>1.111513</v>
      </c>
      <c r="L4218">
        <v>117.6114</v>
      </c>
      <c r="M4218">
        <v>-0.25633359999999999</v>
      </c>
      <c r="N4218">
        <v>0</v>
      </c>
      <c r="O4218">
        <v>-0.96654189999999995</v>
      </c>
      <c r="P4218">
        <v>-0.1142625</v>
      </c>
      <c r="Q4218">
        <v>0.158683399999999</v>
      </c>
      <c r="R4218">
        <v>-0.98069539999999999</v>
      </c>
      <c r="S4218">
        <v>-0.10968020000000001</v>
      </c>
      <c r="T4218">
        <v>-0.27082869999999998</v>
      </c>
      <c r="U4218">
        <v>-3.091278</v>
      </c>
      <c r="V4218">
        <v>-0.14169399999999999</v>
      </c>
      <c r="W4218">
        <v>0.1673106</v>
      </c>
      <c r="X4218">
        <v>0.97566900000000001</v>
      </c>
      <c r="Y4218">
        <v>-0.2220211</v>
      </c>
      <c r="Z4218">
        <v>8.1800040000000004E-2</v>
      </c>
      <c r="AA4218">
        <v>0.97160449999999998</v>
      </c>
      <c r="AB4218">
        <v>20</v>
      </c>
      <c r="AC4218">
        <v>-0.40190000000001103</v>
      </c>
      <c r="AD4218">
        <v>-1.1115159832879999</v>
      </c>
      <c r="AE4218">
        <v>-12.4923</v>
      </c>
      <c r="AF4218">
        <v>-2.7917904068076398</v>
      </c>
      <c r="AG4218">
        <v>-1.1115159832879999</v>
      </c>
      <c r="AH4218">
        <v>12.0823449672049</v>
      </c>
      <c r="AI4218">
        <v>95.121927224737803</v>
      </c>
      <c r="AJ4218">
        <v>103.01063036282</v>
      </c>
      <c r="AK4218">
        <v>12.450406473814001</v>
      </c>
      <c r="AL4218">
        <v>80.368511805035297</v>
      </c>
      <c r="AM4218">
        <v>98.263154935762401</v>
      </c>
      <c r="AN4218">
        <v>1.0000000120346799</v>
      </c>
    </row>
    <row r="4219" spans="1:40" x14ac:dyDescent="0.25">
      <c r="A4219" t="str">
        <f>"20190312172749472"</f>
        <v>20190312172749472</v>
      </c>
      <c r="B4219" t="str">
        <f>"1552382869463450"</f>
        <v>1552382869463450</v>
      </c>
      <c r="C4219" t="s">
        <v>40</v>
      </c>
      <c r="D4219">
        <v>3.3291849999999998</v>
      </c>
      <c r="E4219">
        <v>0.47338409999999898</v>
      </c>
      <c r="F4219" t="s">
        <v>41</v>
      </c>
      <c r="G4219">
        <v>-421.41379999999998</v>
      </c>
      <c r="H4219" s="1">
        <v>-2.7806729999999998E-6</v>
      </c>
      <c r="I4219">
        <v>104.67829999999999</v>
      </c>
      <c r="J4219">
        <v>-421.03769999999997</v>
      </c>
      <c r="K4219">
        <v>1.1115349999999999</v>
      </c>
      <c r="L4219">
        <v>117.41719999999999</v>
      </c>
      <c r="M4219">
        <v>-0.25301279999999998</v>
      </c>
      <c r="N4219">
        <v>0</v>
      </c>
      <c r="O4219">
        <v>-0.96741679999999997</v>
      </c>
      <c r="P4219">
        <v>-0.1116883</v>
      </c>
      <c r="Q4219">
        <v>0.15852869999999999</v>
      </c>
      <c r="R4219">
        <v>-0.98101709999999998</v>
      </c>
      <c r="S4219">
        <v>-0.1011963</v>
      </c>
      <c r="T4219">
        <v>-0.265584599999999</v>
      </c>
      <c r="U4219">
        <v>-3.0902250000000002</v>
      </c>
      <c r="V4219">
        <v>-0.14092079999999901</v>
      </c>
      <c r="W4219">
        <v>0.1671155</v>
      </c>
      <c r="X4219">
        <v>0.97581439999999997</v>
      </c>
      <c r="Y4219">
        <v>-0.22132160000000001</v>
      </c>
      <c r="Z4219">
        <v>8.0376649999999994E-2</v>
      </c>
      <c r="AA4219">
        <v>0.97188289999999999</v>
      </c>
      <c r="AB4219">
        <v>20</v>
      </c>
      <c r="AC4219">
        <v>-0.37610000000000798</v>
      </c>
      <c r="AD4219">
        <v>-1.111537780673</v>
      </c>
      <c r="AE4219">
        <v>-12.738899999999999</v>
      </c>
      <c r="AF4219">
        <v>-2.8378001265508499</v>
      </c>
      <c r="AG4219">
        <v>-1.111537780673</v>
      </c>
      <c r="AH4219">
        <v>12.325777637077801</v>
      </c>
      <c r="AI4219">
        <v>95.022298935775595</v>
      </c>
      <c r="AJ4219">
        <v>102.965440247137</v>
      </c>
      <c r="AK4219">
        <v>12.6969846875076</v>
      </c>
      <c r="AL4219">
        <v>80.3798497517908</v>
      </c>
      <c r="AM4219">
        <v>98.217474052443393</v>
      </c>
      <c r="AN4219">
        <v>1.0000000027301199</v>
      </c>
    </row>
    <row r="4220" spans="1:40" x14ac:dyDescent="0.25">
      <c r="A4220" t="str">
        <f>"20190312172749493"</f>
        <v>20190312172749493</v>
      </c>
      <c r="B4220" t="str">
        <f>"1552382869483946"</f>
        <v>1552382869483946</v>
      </c>
      <c r="C4220" t="s">
        <v>40</v>
      </c>
      <c r="D4220">
        <v>3.3539789999999998</v>
      </c>
      <c r="E4220">
        <v>0.4734215</v>
      </c>
      <c r="F4220" t="s">
        <v>41</v>
      </c>
      <c r="G4220">
        <v>-421.43979999999999</v>
      </c>
      <c r="H4220" s="1">
        <v>-2.5546040000000002E-6</v>
      </c>
      <c r="I4220">
        <v>104.1854</v>
      </c>
      <c r="J4220">
        <v>-421.08499999999998</v>
      </c>
      <c r="K4220">
        <v>1.1115569999999999</v>
      </c>
      <c r="L4220">
        <v>117.22</v>
      </c>
      <c r="M4220">
        <v>-0.2496101</v>
      </c>
      <c r="N4220">
        <v>0</v>
      </c>
      <c r="O4220">
        <v>-0.96830079999999996</v>
      </c>
      <c r="P4220">
        <v>-0.10943840000000001</v>
      </c>
      <c r="Q4220">
        <v>0.15878529999999999</v>
      </c>
      <c r="R4220">
        <v>-0.98122920000000002</v>
      </c>
      <c r="S4220">
        <v>-9.3902589999999994E-2</v>
      </c>
      <c r="T4220">
        <v>-0.25951600000000002</v>
      </c>
      <c r="U4220">
        <v>-3.0893099999999998</v>
      </c>
      <c r="V4220">
        <v>-0.13972850000000001</v>
      </c>
      <c r="W4220">
        <v>0.1673336</v>
      </c>
      <c r="X4220">
        <v>0.9759485</v>
      </c>
      <c r="Y4220">
        <v>-0.22017210000000001</v>
      </c>
      <c r="Z4220">
        <v>7.8699820000000004E-2</v>
      </c>
      <c r="AA4220">
        <v>0.97228110000000001</v>
      </c>
      <c r="AB4220">
        <v>20</v>
      </c>
      <c r="AC4220">
        <v>-0.354800000000011</v>
      </c>
      <c r="AD4220">
        <v>-1.11155955460399</v>
      </c>
      <c r="AE4220">
        <v>-13.0345999999999</v>
      </c>
      <c r="AF4220">
        <v>-2.8891481440898299</v>
      </c>
      <c r="AG4220">
        <v>-1.11155955460399</v>
      </c>
      <c r="AH4220">
        <v>12.6188371651726</v>
      </c>
      <c r="AI4220">
        <v>94.907693682897303</v>
      </c>
      <c r="AJ4220">
        <v>102.895895504498</v>
      </c>
      <c r="AK4220">
        <v>12.992990150195199</v>
      </c>
      <c r="AL4220">
        <v>80.367175343150393</v>
      </c>
      <c r="AM4220">
        <v>98.147780838181106</v>
      </c>
      <c r="AN4220">
        <v>1.0000000310267201</v>
      </c>
    </row>
    <row r="4221" spans="1:40" x14ac:dyDescent="0.25">
      <c r="A4221" t="str">
        <f>"20190312172749516"</f>
        <v>20190312172749516</v>
      </c>
      <c r="B4221" t="str">
        <f>"1552382869513226"</f>
        <v>1552382869513226</v>
      </c>
      <c r="C4221" t="s">
        <v>40</v>
      </c>
      <c r="D4221">
        <v>3.3536830000000002</v>
      </c>
      <c r="E4221">
        <v>0.47343829999999998</v>
      </c>
      <c r="F4221" t="s">
        <v>41</v>
      </c>
      <c r="G4221">
        <v>-421.4667</v>
      </c>
      <c r="H4221" s="1">
        <v>-2.307157E-6</v>
      </c>
      <c r="I4221">
        <v>103.6468</v>
      </c>
      <c r="J4221">
        <v>-421.13060000000002</v>
      </c>
      <c r="K4221">
        <v>1.11158</v>
      </c>
      <c r="L4221">
        <v>117.0271</v>
      </c>
      <c r="M4221">
        <v>-0.24625230000000001</v>
      </c>
      <c r="N4221">
        <v>0</v>
      </c>
      <c r="O4221">
        <v>-0.96916049999999998</v>
      </c>
      <c r="P4221">
        <v>-0.10715379999999999</v>
      </c>
      <c r="Q4221">
        <v>0.15870860000000001</v>
      </c>
      <c r="R4221">
        <v>-0.98149359999999997</v>
      </c>
      <c r="S4221">
        <v>-8.6853029999999998E-2</v>
      </c>
      <c r="T4221">
        <v>-0.25294030000000001</v>
      </c>
      <c r="U4221">
        <v>-3.088638</v>
      </c>
      <c r="V4221">
        <v>-0.13862949999999999</v>
      </c>
      <c r="W4221">
        <v>0.16722219999999999</v>
      </c>
      <c r="X4221">
        <v>0.97612429999999994</v>
      </c>
      <c r="Y4221">
        <v>-0.218998</v>
      </c>
      <c r="Z4221">
        <v>7.6853279999999996E-2</v>
      </c>
      <c r="AA4221">
        <v>0.9726939</v>
      </c>
      <c r="AB4221">
        <v>20</v>
      </c>
      <c r="AC4221">
        <v>-0.33609999999998702</v>
      </c>
      <c r="AD4221">
        <v>-1.1115823071569999</v>
      </c>
      <c r="AE4221">
        <v>-13.3803</v>
      </c>
      <c r="AF4221">
        <v>-2.94898509351684</v>
      </c>
      <c r="AG4221">
        <v>-1.1115823071569999</v>
      </c>
      <c r="AH4221">
        <v>12.9615964213837</v>
      </c>
      <c r="AI4221">
        <v>94.780104095496</v>
      </c>
      <c r="AJ4221">
        <v>102.817580301169</v>
      </c>
      <c r="AK4221">
        <v>13.3392319905681</v>
      </c>
      <c r="AL4221">
        <v>80.373649261096503</v>
      </c>
      <c r="AM4221">
        <v>98.083110207065701</v>
      </c>
      <c r="AN4221">
        <v>1.00000002574678</v>
      </c>
    </row>
    <row r="4222" spans="1:40" x14ac:dyDescent="0.25">
      <c r="A4222" t="str">
        <f>"20190312172749538"</f>
        <v>20190312172749538</v>
      </c>
      <c r="B4222" t="str">
        <f>"1552382869533722"</f>
        <v>1552382869533722</v>
      </c>
      <c r="C4222" t="s">
        <v>40</v>
      </c>
      <c r="D4222">
        <v>3.3535729999999999</v>
      </c>
      <c r="E4222">
        <v>0.47355659999999999</v>
      </c>
      <c r="F4222" t="s">
        <v>41</v>
      </c>
      <c r="G4222">
        <v>-421.49299999999999</v>
      </c>
      <c r="H4222" s="1">
        <v>-2.027328E-6</v>
      </c>
      <c r="I4222">
        <v>103.04</v>
      </c>
      <c r="J4222">
        <v>-421.17619999999999</v>
      </c>
      <c r="K4222">
        <v>1.1116060000000001</v>
      </c>
      <c r="L4222">
        <v>116.8312</v>
      </c>
      <c r="M4222">
        <v>-0.24281050000000001</v>
      </c>
      <c r="N4222">
        <v>0</v>
      </c>
      <c r="O4222">
        <v>-0.97002889999999997</v>
      </c>
      <c r="P4222">
        <v>-0.1047342</v>
      </c>
      <c r="Q4222">
        <v>0.15809039999999999</v>
      </c>
      <c r="R4222">
        <v>-0.98185469999999997</v>
      </c>
      <c r="S4222">
        <v>-7.9986570000000007E-2</v>
      </c>
      <c r="T4222">
        <v>-0.2453717</v>
      </c>
      <c r="U4222">
        <v>-3.0875089999999998</v>
      </c>
      <c r="V4222">
        <v>-0.13760120000000001</v>
      </c>
      <c r="W4222">
        <v>0.16657339999999901</v>
      </c>
      <c r="X4222">
        <v>0.97638060000000004</v>
      </c>
      <c r="Y4222">
        <v>-0.21768219999999999</v>
      </c>
      <c r="Z4222">
        <v>7.47115E-2</v>
      </c>
      <c r="AA4222">
        <v>0.97315600000000002</v>
      </c>
      <c r="AB4222">
        <v>20</v>
      </c>
      <c r="AC4222">
        <v>-0.31680000000005698</v>
      </c>
      <c r="AD4222">
        <v>-1.11160802732799</v>
      </c>
      <c r="AE4222">
        <v>-13.7911999999999</v>
      </c>
      <c r="AF4222">
        <v>-3.0218532997666601</v>
      </c>
      <c r="AG4222">
        <v>-1.11160802732799</v>
      </c>
      <c r="AH4222">
        <v>13.3685631917101</v>
      </c>
      <c r="AI4222">
        <v>94.636807434410599</v>
      </c>
      <c r="AJ4222">
        <v>102.737182097698</v>
      </c>
      <c r="AK4222">
        <v>13.750845486095599</v>
      </c>
      <c r="AL4222">
        <v>80.411350659627004</v>
      </c>
      <c r="AM4222">
        <v>98.021857683922505</v>
      </c>
      <c r="AN4222">
        <v>0.999999931942677</v>
      </c>
    </row>
    <row r="4223" spans="1:40" x14ac:dyDescent="0.25">
      <c r="A4223" t="str">
        <f>"20190312172749562"</f>
        <v>20190312172749562</v>
      </c>
      <c r="B4223" t="str">
        <f>"1552382869553243"</f>
        <v>1552382869553243</v>
      </c>
      <c r="C4223" t="s">
        <v>40</v>
      </c>
      <c r="D4223">
        <v>3.3136879999999902</v>
      </c>
      <c r="E4223">
        <v>0.47373490000000001</v>
      </c>
      <c r="F4223" t="s">
        <v>41</v>
      </c>
      <c r="G4223">
        <v>-421.51330000000002</v>
      </c>
      <c r="H4223" s="1">
        <v>-1.8836160000000001E-6</v>
      </c>
      <c r="I4223">
        <v>102.7246</v>
      </c>
      <c r="J4223">
        <v>-421.22309999999999</v>
      </c>
      <c r="K4223">
        <v>1.111629</v>
      </c>
      <c r="L4223">
        <v>116.6259</v>
      </c>
      <c r="M4223">
        <v>-0.23916899999999999</v>
      </c>
      <c r="N4223">
        <v>0</v>
      </c>
      <c r="O4223">
        <v>-0.97093339999999995</v>
      </c>
      <c r="P4223">
        <v>-0.10200330000000001</v>
      </c>
      <c r="Q4223">
        <v>0.15742390000000001</v>
      </c>
      <c r="R4223">
        <v>-0.98224920000000004</v>
      </c>
      <c r="S4223">
        <v>-7.3760989999999999E-2</v>
      </c>
      <c r="T4223">
        <v>-0.24323620000000001</v>
      </c>
      <c r="U4223">
        <v>-3.0867309999999999</v>
      </c>
      <c r="V4223">
        <v>-0.13668540000000001</v>
      </c>
      <c r="W4223">
        <v>0.1658751</v>
      </c>
      <c r="X4223">
        <v>0.97662819999999995</v>
      </c>
      <c r="Y4223">
        <v>-0.2159741</v>
      </c>
      <c r="Z4223">
        <v>7.4206499999999995E-2</v>
      </c>
      <c r="AA4223">
        <v>0.97357519999999997</v>
      </c>
      <c r="AB4223">
        <v>20</v>
      </c>
      <c r="AC4223">
        <v>-0.29020000000002699</v>
      </c>
      <c r="AD4223">
        <v>-1.111630883616</v>
      </c>
      <c r="AE4223">
        <v>-13.901300000000001</v>
      </c>
      <c r="AF4223">
        <v>-3.0237993681604598</v>
      </c>
      <c r="AG4223">
        <v>-1.111630883616</v>
      </c>
      <c r="AH4223">
        <v>13.4810624101199</v>
      </c>
      <c r="AI4223">
        <v>94.600083705857202</v>
      </c>
      <c r="AJ4223">
        <v>102.64219145238501</v>
      </c>
      <c r="AK4223">
        <v>13.8606684379161</v>
      </c>
      <c r="AL4223">
        <v>80.451925856091904</v>
      </c>
      <c r="AM4223">
        <v>97.967162203341005</v>
      </c>
      <c r="AN4223">
        <v>1.0000000442042001</v>
      </c>
    </row>
    <row r="4224" spans="1:40" x14ac:dyDescent="0.25">
      <c r="A4224" t="str">
        <f>"20190312172749586"</f>
        <v>20190312172749586</v>
      </c>
      <c r="B4224" t="str">
        <f>"1552382869573738"</f>
        <v>1552382869573738</v>
      </c>
      <c r="C4224" t="s">
        <v>40</v>
      </c>
      <c r="D4224">
        <v>3.3358479999999999</v>
      </c>
      <c r="E4224">
        <v>0.47392069999999997</v>
      </c>
      <c r="F4224" t="s">
        <v>41</v>
      </c>
      <c r="G4224">
        <v>-421.5301</v>
      </c>
      <c r="H4224" s="1">
        <v>-1.7690239999999999E-6</v>
      </c>
      <c r="I4224">
        <v>102.4727</v>
      </c>
      <c r="J4224">
        <v>-421.2706</v>
      </c>
      <c r="K4224">
        <v>1.111653</v>
      </c>
      <c r="L4224">
        <v>116.4144</v>
      </c>
      <c r="M4224">
        <v>-0.2353806</v>
      </c>
      <c r="N4224">
        <v>0</v>
      </c>
      <c r="O4224">
        <v>-0.97185920000000003</v>
      </c>
      <c r="P4224">
        <v>-9.977569E-2</v>
      </c>
      <c r="Q4224">
        <v>0.15719430000000001</v>
      </c>
      <c r="R4224">
        <v>-0.98251489999999997</v>
      </c>
      <c r="S4224">
        <v>-6.692505E-2</v>
      </c>
      <c r="T4224">
        <v>-0.24239169999999999</v>
      </c>
      <c r="U4224">
        <v>-3.0861209999999999</v>
      </c>
      <c r="V4224">
        <v>-0.13510839999999999</v>
      </c>
      <c r="W4224">
        <v>0.1656118</v>
      </c>
      <c r="X4224">
        <v>0.97689219999999999</v>
      </c>
      <c r="Y4224">
        <v>-0.2143166</v>
      </c>
      <c r="Z4224">
        <v>7.4089180000000004E-2</v>
      </c>
      <c r="AA4224">
        <v>0.97395030000000005</v>
      </c>
      <c r="AB4224">
        <v>20</v>
      </c>
      <c r="AC4224">
        <v>-0.25950000000000201</v>
      </c>
      <c r="AD4224">
        <v>-1.111654769024</v>
      </c>
      <c r="AE4224">
        <v>-13.9416999999999</v>
      </c>
      <c r="AF4224">
        <v>-3.0104050270298299</v>
      </c>
      <c r="AG4224">
        <v>-1.111654769024</v>
      </c>
      <c r="AH4224">
        <v>13.525073468998199</v>
      </c>
      <c r="AI4224">
        <v>94.586948658352995</v>
      </c>
      <c r="AJ4224">
        <v>102.548317204692</v>
      </c>
      <c r="AK4224">
        <v>13.900572905245999</v>
      </c>
      <c r="AL4224">
        <v>80.467222598663895</v>
      </c>
      <c r="AM4224">
        <v>97.874299963938597</v>
      </c>
      <c r="AN4224">
        <v>0.99999995923531904</v>
      </c>
    </row>
    <row r="4225" spans="1:40" x14ac:dyDescent="0.25">
      <c r="A4225" t="str">
        <f>"20190312172749605"</f>
        <v>20190312172749605</v>
      </c>
      <c r="B4225" t="str">
        <f>"1552382869593257"</f>
        <v>1552382869593257</v>
      </c>
      <c r="C4225" t="s">
        <v>40</v>
      </c>
      <c r="D4225">
        <v>3.3519060000000001</v>
      </c>
      <c r="E4225">
        <v>0.47405940000000002</v>
      </c>
      <c r="F4225" t="s">
        <v>41</v>
      </c>
      <c r="G4225">
        <v>-421.55439999999999</v>
      </c>
      <c r="H4225" s="1">
        <v>-1.6260720000000001E-6</v>
      </c>
      <c r="I4225">
        <v>102.1566</v>
      </c>
      <c r="J4225">
        <v>-421.3098</v>
      </c>
      <c r="K4225">
        <v>1.111666</v>
      </c>
      <c r="L4225">
        <v>116.2366</v>
      </c>
      <c r="M4225">
        <v>-0.23217080000000001</v>
      </c>
      <c r="N4225">
        <v>0</v>
      </c>
      <c r="O4225">
        <v>-0.97263120000000003</v>
      </c>
      <c r="P4225">
        <v>-9.8410700000000004E-2</v>
      </c>
      <c r="Q4225">
        <v>0.15703439999999999</v>
      </c>
      <c r="R4225">
        <v>-0.98267789999999999</v>
      </c>
      <c r="S4225">
        <v>-6.1401369999999997E-2</v>
      </c>
      <c r="T4225">
        <v>-0.24058180000000001</v>
      </c>
      <c r="U4225">
        <v>-3.0856319999999999</v>
      </c>
      <c r="V4225">
        <v>-0.1332527</v>
      </c>
      <c r="W4225">
        <v>0.1654274</v>
      </c>
      <c r="X4225">
        <v>0.97717830000000006</v>
      </c>
      <c r="Y4225">
        <v>-0.21283070000000001</v>
      </c>
      <c r="Z4225">
        <v>7.3654339999999999E-2</v>
      </c>
      <c r="AA4225">
        <v>0.97430910000000004</v>
      </c>
      <c r="AB4225">
        <v>20</v>
      </c>
      <c r="AC4225">
        <v>-0.24459999999999099</v>
      </c>
      <c r="AD4225">
        <v>-1.111667626072</v>
      </c>
      <c r="AE4225">
        <v>-14.079999999999901</v>
      </c>
      <c r="AF4225">
        <v>-3.0124157328803398</v>
      </c>
      <c r="AG4225">
        <v>-1.111667626072</v>
      </c>
      <c r="AH4225">
        <v>13.666853484736</v>
      </c>
      <c r="AI4225">
        <v>94.541679824316503</v>
      </c>
      <c r="AJ4225">
        <v>102.430241404615</v>
      </c>
      <c r="AK4225">
        <v>14.038993469326901</v>
      </c>
      <c r="AL4225">
        <v>80.477935799879106</v>
      </c>
      <c r="AM4225">
        <v>97.765230123232399</v>
      </c>
      <c r="AN4225">
        <v>0.99999996835946903</v>
      </c>
    </row>
    <row r="4226" spans="1:40" x14ac:dyDescent="0.25">
      <c r="A4226" t="str">
        <f>"20190312172749628"</f>
        <v>20190312172749628</v>
      </c>
      <c r="B4226" t="str">
        <f>"1552382869623514"</f>
        <v>1552382869623514</v>
      </c>
      <c r="C4226" t="s">
        <v>40</v>
      </c>
      <c r="D4226">
        <v>3.3468110000000002</v>
      </c>
      <c r="E4226">
        <v>0.47427269999999999</v>
      </c>
      <c r="F4226" t="s">
        <v>41</v>
      </c>
      <c r="G4226">
        <v>-421.57960000000003</v>
      </c>
      <c r="H4226" s="1">
        <v>-1.4967480000000001E-6</v>
      </c>
      <c r="I4226">
        <v>101.86879999999999</v>
      </c>
      <c r="J4226">
        <v>-421.3526</v>
      </c>
      <c r="K4226">
        <v>1.111683</v>
      </c>
      <c r="L4226">
        <v>116.0394</v>
      </c>
      <c r="M4226">
        <v>-0.22858629999999999</v>
      </c>
      <c r="N4226">
        <v>0</v>
      </c>
      <c r="O4226">
        <v>-0.97348009999999996</v>
      </c>
      <c r="P4226">
        <v>-9.7553570000000006E-2</v>
      </c>
      <c r="Q4226">
        <v>0.15591350000000001</v>
      </c>
      <c r="R4226">
        <v>-0.98294179999999998</v>
      </c>
      <c r="S4226">
        <v>-5.7922359999999999E-2</v>
      </c>
      <c r="T4226">
        <v>-0.23871210000000001</v>
      </c>
      <c r="U4226">
        <v>-3.0852360000000001</v>
      </c>
      <c r="V4226">
        <v>-0.13054739999999901</v>
      </c>
      <c r="W4226">
        <v>0.16428980000000001</v>
      </c>
      <c r="X4226">
        <v>0.97773529999999997</v>
      </c>
      <c r="Y4226">
        <v>-0.21032609999999999</v>
      </c>
      <c r="Z4226">
        <v>7.3214189999999998E-2</v>
      </c>
      <c r="AA4226">
        <v>0.97488589999999997</v>
      </c>
      <c r="AB4226">
        <v>20</v>
      </c>
      <c r="AC4226">
        <v>-0.22700000000003201</v>
      </c>
      <c r="AD4226">
        <v>-1.111684496748</v>
      </c>
      <c r="AE4226">
        <v>-14.1706</v>
      </c>
      <c r="AF4226">
        <v>-2.9998951619025802</v>
      </c>
      <c r="AG4226">
        <v>-1.111684496748</v>
      </c>
      <c r="AH4226">
        <v>13.7625943637864</v>
      </c>
      <c r="AI4226">
        <v>94.512579831222695</v>
      </c>
      <c r="AJ4226">
        <v>102.296678763849</v>
      </c>
      <c r="AK4226">
        <v>14.1295511968654</v>
      </c>
      <c r="AL4226">
        <v>80.544020375047793</v>
      </c>
      <c r="AM4226">
        <v>97.605162029068694</v>
      </c>
      <c r="AN4226">
        <v>1.0000000394484401</v>
      </c>
    </row>
    <row r="4227" spans="1:40" x14ac:dyDescent="0.25">
      <c r="A4227" t="str">
        <f>"20190312172749650"</f>
        <v>20190312172749650</v>
      </c>
      <c r="B4227" t="str">
        <f>"1552382869644010"</f>
        <v>1552382869644010</v>
      </c>
      <c r="C4227" t="s">
        <v>40</v>
      </c>
      <c r="D4227">
        <v>3.368865</v>
      </c>
      <c r="E4227">
        <v>0.47438789999999997</v>
      </c>
      <c r="F4227" t="s">
        <v>41</v>
      </c>
      <c r="G4227">
        <v>-421.61649999999997</v>
      </c>
      <c r="H4227" s="1">
        <v>-1.415245E-6</v>
      </c>
      <c r="I4227">
        <v>101.6756</v>
      </c>
      <c r="J4227">
        <v>-421.39490000000001</v>
      </c>
      <c r="K4227">
        <v>1.1116969999999999</v>
      </c>
      <c r="L4227">
        <v>115.8404</v>
      </c>
      <c r="M4227">
        <v>-0.2249427</v>
      </c>
      <c r="N4227">
        <v>0</v>
      </c>
      <c r="O4227">
        <v>-0.97432859999999999</v>
      </c>
      <c r="P4227">
        <v>-9.726804E-2</v>
      </c>
      <c r="Q4227">
        <v>0.1538197</v>
      </c>
      <c r="R4227">
        <v>-0.98329999999999995</v>
      </c>
      <c r="S4227">
        <v>-5.6671140000000002E-2</v>
      </c>
      <c r="T4227">
        <v>-0.2387089</v>
      </c>
      <c r="U4227">
        <v>-3.0842900000000002</v>
      </c>
      <c r="V4227">
        <v>-0.12724179999999999</v>
      </c>
      <c r="W4227">
        <v>0.16218360000000001</v>
      </c>
      <c r="X4227">
        <v>0.97852240000000001</v>
      </c>
      <c r="Y4227">
        <v>-0.20705750000000001</v>
      </c>
      <c r="Z4227">
        <v>7.3360649999999999E-2</v>
      </c>
      <c r="AA4227">
        <v>0.97557439999999995</v>
      </c>
      <c r="AB4227">
        <v>21</v>
      </c>
      <c r="AC4227">
        <v>-0.22159999999996599</v>
      </c>
      <c r="AD4227">
        <v>-1.111698415245</v>
      </c>
      <c r="AE4227">
        <v>-14.1648</v>
      </c>
      <c r="AF4227">
        <v>-2.95230216069602</v>
      </c>
      <c r="AG4227">
        <v>-1.111698415245</v>
      </c>
      <c r="AH4227">
        <v>13.7668252215955</v>
      </c>
      <c r="AI4227">
        <v>94.514526425213404</v>
      </c>
      <c r="AJ4227">
        <v>102.103782234436</v>
      </c>
      <c r="AK4227">
        <v>14.123648186515601</v>
      </c>
      <c r="AL4227">
        <v>80.666337431855297</v>
      </c>
      <c r="AM4227">
        <v>97.408863399669002</v>
      </c>
      <c r="AN4227">
        <v>1.00000004153897</v>
      </c>
    </row>
    <row r="4228" spans="1:40" x14ac:dyDescent="0.25">
      <c r="A4228" t="str">
        <f>"20190312172749674"</f>
        <v>20190312172749674</v>
      </c>
      <c r="B4228" t="str">
        <f>"1552382869663530"</f>
        <v>1552382869663530</v>
      </c>
      <c r="C4228" t="s">
        <v>40</v>
      </c>
      <c r="D4228">
        <v>3.3537490000000001</v>
      </c>
      <c r="E4228">
        <v>0.47452569999999999</v>
      </c>
      <c r="F4228" t="s">
        <v>41</v>
      </c>
      <c r="G4228">
        <v>-421.65780000000001</v>
      </c>
      <c r="H4228" s="1">
        <v>-1.4604719999999999E-6</v>
      </c>
      <c r="I4228">
        <v>101.74809999999999</v>
      </c>
      <c r="J4228">
        <v>-421.43830000000003</v>
      </c>
      <c r="K4228">
        <v>1.111704</v>
      </c>
      <c r="L4228">
        <v>115.6324</v>
      </c>
      <c r="M4228">
        <v>-0.2211128</v>
      </c>
      <c r="N4228">
        <v>0</v>
      </c>
      <c r="O4228">
        <v>-0.97520510000000005</v>
      </c>
      <c r="P4228">
        <v>-9.7874160000000002E-2</v>
      </c>
      <c r="Q4228">
        <v>0.15239559999999999</v>
      </c>
      <c r="R4228">
        <v>-0.98346149999999999</v>
      </c>
      <c r="S4228">
        <v>-5.7525630000000001E-2</v>
      </c>
      <c r="T4228">
        <v>-0.24323110000000001</v>
      </c>
      <c r="U4228">
        <v>-3.0832980000000001</v>
      </c>
      <c r="V4228">
        <v>-0.122836</v>
      </c>
      <c r="W4228">
        <v>0.1607507</v>
      </c>
      <c r="X4228">
        <v>0.97932149999999996</v>
      </c>
      <c r="Y4228">
        <v>-0.20293800000000001</v>
      </c>
      <c r="Z4228">
        <v>7.4902850000000007E-2</v>
      </c>
      <c r="AA4228">
        <v>0.97632249999999998</v>
      </c>
      <c r="AB4228">
        <v>21</v>
      </c>
      <c r="AC4228">
        <v>-0.21949999999998199</v>
      </c>
      <c r="AD4228">
        <v>-1.111705460472</v>
      </c>
      <c r="AE4228">
        <v>-13.8843</v>
      </c>
      <c r="AF4228">
        <v>-2.8378698132075302</v>
      </c>
      <c r="AG4228">
        <v>-1.111705460472</v>
      </c>
      <c r="AH4228">
        <v>13.5026014662095</v>
      </c>
      <c r="AI4228">
        <v>94.606506311187204</v>
      </c>
      <c r="AJ4228">
        <v>101.869221723725</v>
      </c>
      <c r="AK4228">
        <v>13.8423134071889</v>
      </c>
      <c r="AL4228">
        <v>80.749528123089704</v>
      </c>
      <c r="AM4228">
        <v>97.149256180543304</v>
      </c>
      <c r="AN4228">
        <v>1.0000000354043601</v>
      </c>
    </row>
    <row r="4229" spans="1:40" x14ac:dyDescent="0.25">
      <c r="A4229" t="str">
        <f>"20190312172749694"</f>
        <v>20190312172749694</v>
      </c>
      <c r="B4229" t="str">
        <f>"1552382869684026"</f>
        <v>1552382869684026</v>
      </c>
      <c r="C4229" t="s">
        <v>40</v>
      </c>
      <c r="D4229">
        <v>3.547148</v>
      </c>
      <c r="E4229">
        <v>0.47450629999999999</v>
      </c>
      <c r="F4229" t="s">
        <v>41</v>
      </c>
      <c r="G4229">
        <v>-421.71289999999999</v>
      </c>
      <c r="H4229" s="1">
        <v>-1.4521160000000001E-6</v>
      </c>
      <c r="I4229">
        <v>101.6994</v>
      </c>
      <c r="J4229">
        <v>-421.4776</v>
      </c>
      <c r="K4229">
        <v>1.111712</v>
      </c>
      <c r="L4229">
        <v>115.4401</v>
      </c>
      <c r="M4229">
        <v>-0.2175636</v>
      </c>
      <c r="N4229">
        <v>0</v>
      </c>
      <c r="O4229">
        <v>-0.97600350000000002</v>
      </c>
      <c r="P4229">
        <v>-9.9469799999999997E-2</v>
      </c>
      <c r="Q4229">
        <v>0.1505147</v>
      </c>
      <c r="R4229">
        <v>-0.98359110000000005</v>
      </c>
      <c r="S4229">
        <v>-6.0760500000000002E-2</v>
      </c>
      <c r="T4229">
        <v>-0.245953</v>
      </c>
      <c r="U4229">
        <v>-3.0825200000000001</v>
      </c>
      <c r="V4229">
        <v>-0.1177344</v>
      </c>
      <c r="W4229">
        <v>0.1588726</v>
      </c>
      <c r="X4229">
        <v>0.98025410000000002</v>
      </c>
      <c r="Y4229">
        <v>-0.1983463</v>
      </c>
      <c r="Z4229">
        <v>7.5886609999999993E-2</v>
      </c>
      <c r="AA4229">
        <v>0.9771898</v>
      </c>
      <c r="AB4229">
        <v>21</v>
      </c>
      <c r="AC4229">
        <v>-0.23529999999999501</v>
      </c>
      <c r="AD4229">
        <v>-1.1117134521159999</v>
      </c>
      <c r="AE4229">
        <v>-13.7407</v>
      </c>
      <c r="AF4229">
        <v>-2.7419939169463801</v>
      </c>
      <c r="AG4229">
        <v>-1.1117134521159999</v>
      </c>
      <c r="AH4229">
        <v>13.3751976258803</v>
      </c>
      <c r="AI4229">
        <v>94.654989300631499</v>
      </c>
      <c r="AJ4229">
        <v>101.585448539483</v>
      </c>
      <c r="AK4229">
        <v>13.698552805736099</v>
      </c>
      <c r="AL4229">
        <v>80.858536005073802</v>
      </c>
      <c r="AM4229">
        <v>96.848760536765198</v>
      </c>
      <c r="AN4229">
        <v>0.99999999627046399</v>
      </c>
    </row>
    <row r="4230" spans="1:40" x14ac:dyDescent="0.25">
      <c r="A4230" t="str">
        <f>"20190312172749717"</f>
        <v>20190312172749717</v>
      </c>
      <c r="B4230" t="str">
        <f>"1552382869713308"</f>
        <v>1552382869713308</v>
      </c>
      <c r="C4230" t="s">
        <v>40</v>
      </c>
      <c r="D4230">
        <v>3.5814300000000001</v>
      </c>
      <c r="E4230">
        <v>0.50631749999999998</v>
      </c>
      <c r="F4230" t="s">
        <v>41</v>
      </c>
      <c r="G4230">
        <v>-421.767</v>
      </c>
      <c r="H4230" s="1">
        <v>-1.486205E-6</v>
      </c>
      <c r="I4230">
        <v>101.7411</v>
      </c>
      <c r="J4230">
        <v>-421.51749999999998</v>
      </c>
      <c r="K4230">
        <v>1.111715</v>
      </c>
      <c r="L4230">
        <v>115.2414</v>
      </c>
      <c r="M4230">
        <v>-0.2138873</v>
      </c>
      <c r="N4230">
        <v>0</v>
      </c>
      <c r="O4230">
        <v>-0.97681609999999996</v>
      </c>
      <c r="P4230">
        <v>-0.1009806</v>
      </c>
      <c r="Q4230">
        <v>0.14884249999999999</v>
      </c>
      <c r="R4230">
        <v>-0.9836916</v>
      </c>
      <c r="S4230">
        <v>-6.5093990000000004E-2</v>
      </c>
      <c r="T4230">
        <v>-0.25009009999999998</v>
      </c>
      <c r="U4230">
        <v>-3.0817260000000002</v>
      </c>
      <c r="V4230">
        <v>-0.1125785</v>
      </c>
      <c r="W4230">
        <v>0.15720479999999901</v>
      </c>
      <c r="X4230">
        <v>0.98112829999999995</v>
      </c>
      <c r="Y4230">
        <v>-0.19327739999999999</v>
      </c>
      <c r="Z4230">
        <v>7.7312980000000003E-2</v>
      </c>
      <c r="AA4230">
        <v>0.97809330000000005</v>
      </c>
      <c r="AB4230">
        <v>21</v>
      </c>
      <c r="AC4230">
        <v>-0.24950000000001099</v>
      </c>
      <c r="AD4230">
        <v>-1.111716486205</v>
      </c>
      <c r="AE4230">
        <v>-13.5002999999999</v>
      </c>
      <c r="AF4230">
        <v>-2.6261341597420298</v>
      </c>
      <c r="AG4230">
        <v>-1.111716486205</v>
      </c>
      <c r="AH4230">
        <v>13.152066430828199</v>
      </c>
      <c r="AI4230">
        <v>94.738506005705304</v>
      </c>
      <c r="AJ4230">
        <v>101.29200671404899</v>
      </c>
      <c r="AK4230">
        <v>13.4576872296684</v>
      </c>
      <c r="AL4230">
        <v>80.9553101609213</v>
      </c>
      <c r="AM4230">
        <v>96.545714772298595</v>
      </c>
      <c r="AN4230">
        <v>1.0000000044330899</v>
      </c>
    </row>
    <row r="4231" spans="1:40" x14ac:dyDescent="0.25">
      <c r="A4231" t="str">
        <f>"20190312172749739"</f>
        <v>20190312172749739</v>
      </c>
      <c r="B4231" t="str">
        <f>"1552382869733801"</f>
        <v>1552382869733801</v>
      </c>
      <c r="C4231" t="s">
        <v>40</v>
      </c>
      <c r="D4231">
        <v>3.4363100000000002</v>
      </c>
      <c r="E4231">
        <v>0.56366260000000001</v>
      </c>
      <c r="F4231" t="s">
        <v>41</v>
      </c>
      <c r="G4231">
        <v>-422.56779999999998</v>
      </c>
      <c r="H4231" s="1">
        <v>-3.2971140000000001E-6</v>
      </c>
      <c r="I4231">
        <v>105.1212</v>
      </c>
      <c r="J4231">
        <v>-421.5582</v>
      </c>
      <c r="K4231">
        <v>1.111718</v>
      </c>
      <c r="L4231">
        <v>115.03449999999999</v>
      </c>
      <c r="M4231">
        <v>-0.2100582</v>
      </c>
      <c r="N4231">
        <v>0</v>
      </c>
      <c r="O4231">
        <v>-0.97764689999999999</v>
      </c>
      <c r="P4231">
        <v>-0.10228669999999999</v>
      </c>
      <c r="Q4231">
        <v>0.14748020000000001</v>
      </c>
      <c r="R4231">
        <v>-0.98376180000000002</v>
      </c>
      <c r="S4231">
        <v>-0.31842039999999999</v>
      </c>
      <c r="T4231">
        <v>-0.33703090000000002</v>
      </c>
      <c r="U4231">
        <v>-3.0680390000000002</v>
      </c>
      <c r="V4231">
        <v>-0.1074623</v>
      </c>
      <c r="W4231">
        <v>0.15584039999999999</v>
      </c>
      <c r="X4231">
        <v>0.98191930000000005</v>
      </c>
      <c r="Y4231">
        <v>-0.1085957</v>
      </c>
      <c r="Z4231">
        <v>0.104963</v>
      </c>
      <c r="AA4231">
        <v>0.98852910000000005</v>
      </c>
      <c r="AB4231">
        <v>21</v>
      </c>
      <c r="AC4231">
        <v>-1.0095999999999701</v>
      </c>
      <c r="AD4231">
        <v>-1.111721297114</v>
      </c>
      <c r="AE4231">
        <v>-9.9132999999999907</v>
      </c>
      <c r="AF4231">
        <v>-1.08191571035017</v>
      </c>
      <c r="AG4231">
        <v>-1.111721297114</v>
      </c>
      <c r="AH4231">
        <v>9.7824238507567003</v>
      </c>
      <c r="AI4231">
        <v>96.444587748698297</v>
      </c>
      <c r="AJ4231">
        <v>96.311144892772603</v>
      </c>
      <c r="AK4231">
        <v>9.9046596227539805</v>
      </c>
      <c r="AL4231">
        <v>81.034459554406496</v>
      </c>
      <c r="AM4231">
        <v>96.245655168848401</v>
      </c>
      <c r="AN4231">
        <v>0.99999994395296798</v>
      </c>
    </row>
    <row r="4232" spans="1:40" x14ac:dyDescent="0.25">
      <c r="A4232" t="str">
        <f>"20190312172749763"</f>
        <v>20190312172749763</v>
      </c>
      <c r="B4232" t="str">
        <f>"1552382869753322"</f>
        <v>1552382869753322</v>
      </c>
      <c r="C4232" t="s">
        <v>40</v>
      </c>
      <c r="D4232">
        <v>3.4426580000000002</v>
      </c>
      <c r="E4232">
        <v>0.63355479999999997</v>
      </c>
      <c r="F4232" t="s">
        <v>44</v>
      </c>
      <c r="G4232">
        <v>-421.74869999999999</v>
      </c>
      <c r="H4232">
        <v>0.98577899999999996</v>
      </c>
      <c r="I4232">
        <v>114.28230000000001</v>
      </c>
      <c r="J4232">
        <v>-421.59769999999997</v>
      </c>
      <c r="K4232">
        <v>1.111715</v>
      </c>
      <c r="L4232">
        <v>114.8293</v>
      </c>
      <c r="M4232">
        <v>-0.2062621</v>
      </c>
      <c r="N4232">
        <v>0</v>
      </c>
      <c r="O4232">
        <v>-0.97845519999999997</v>
      </c>
      <c r="P4232">
        <v>-0.10359690000000001</v>
      </c>
      <c r="Q4232">
        <v>0.1460622</v>
      </c>
      <c r="R4232">
        <v>-0.98383609999999999</v>
      </c>
      <c r="S4232">
        <v>-0.77005000000000001</v>
      </c>
      <c r="T4232">
        <v>-0.51061579999999995</v>
      </c>
      <c r="U4232">
        <v>-3.0460210000000001</v>
      </c>
      <c r="V4232">
        <v>-0.10237300000000001</v>
      </c>
      <c r="W4232">
        <v>0.1544122</v>
      </c>
      <c r="X4232">
        <v>0.98268849999999996</v>
      </c>
      <c r="Y4232">
        <v>3.671377E-2</v>
      </c>
      <c r="Z4232">
        <v>0.1576215</v>
      </c>
      <c r="AA4232">
        <v>0.9868169</v>
      </c>
      <c r="AB4232">
        <v>21</v>
      </c>
      <c r="AC4232">
        <v>-0.15100000000000999</v>
      </c>
      <c r="AD4232">
        <v>-0.12593599999999899</v>
      </c>
      <c r="AE4232">
        <v>-0.54699999999999704</v>
      </c>
      <c r="AF4232">
        <v>3.32834843863287E-2</v>
      </c>
      <c r="AG4232">
        <v>-0.12593599999999899</v>
      </c>
      <c r="AH4232">
        <v>0.53979712502220001</v>
      </c>
      <c r="AI4232">
        <v>103.108312615998</v>
      </c>
      <c r="AJ4232">
        <v>86.471652272730793</v>
      </c>
      <c r="AK4232">
        <v>0.55529145735471896</v>
      </c>
      <c r="AL4232">
        <v>81.117292827402395</v>
      </c>
      <c r="AM4232">
        <v>95.947417615549199</v>
      </c>
      <c r="AN4232">
        <v>1.0000000233350399</v>
      </c>
    </row>
    <row r="4233" spans="1:40" x14ac:dyDescent="0.25">
      <c r="A4233" t="str">
        <f>"20190312172749786"</f>
        <v>20190312172749786</v>
      </c>
      <c r="B4233" t="str">
        <f>"1552382869773818"</f>
        <v>1552382869773818</v>
      </c>
      <c r="C4233" t="s">
        <v>40</v>
      </c>
      <c r="D4233">
        <v>3.4297759999999999</v>
      </c>
      <c r="E4233">
        <v>0.64270439999999995</v>
      </c>
      <c r="F4233" t="s">
        <v>44</v>
      </c>
      <c r="G4233">
        <v>-421.90300000000002</v>
      </c>
      <c r="H4233">
        <v>0.9603024</v>
      </c>
      <c r="I4233">
        <v>114.1357</v>
      </c>
      <c r="J4233">
        <v>-421.63780000000003</v>
      </c>
      <c r="K4233">
        <v>1.1117090000000001</v>
      </c>
      <c r="L4233">
        <v>114.6174</v>
      </c>
      <c r="M4233">
        <v>-0.20234640000000001</v>
      </c>
      <c r="N4233">
        <v>0</v>
      </c>
      <c r="O4233">
        <v>-0.97927299999999995</v>
      </c>
      <c r="P4233">
        <v>-0.10437920000000001</v>
      </c>
      <c r="Q4233">
        <v>0.14511840000000001</v>
      </c>
      <c r="R4233">
        <v>-0.98389340000000003</v>
      </c>
      <c r="S4233">
        <v>-1.322144</v>
      </c>
      <c r="T4233">
        <v>-0.65703029999999996</v>
      </c>
      <c r="U4233">
        <v>-3.0076139999999998</v>
      </c>
      <c r="V4233">
        <v>-9.767932E-2</v>
      </c>
      <c r="W4233">
        <v>0.15344820000000001</v>
      </c>
      <c r="X4233">
        <v>0.983317</v>
      </c>
      <c r="Y4233">
        <v>0.20091439999999999</v>
      </c>
      <c r="Z4233">
        <v>0.19619410000000001</v>
      </c>
      <c r="AA4233">
        <v>0.95976110000000003</v>
      </c>
      <c r="AB4233">
        <v>21</v>
      </c>
      <c r="AC4233">
        <v>-0.265199999999993</v>
      </c>
      <c r="AD4233">
        <v>-0.1514066</v>
      </c>
      <c r="AE4233">
        <v>-0.48170000000000301</v>
      </c>
      <c r="AF4233">
        <v>0.15080605141265599</v>
      </c>
      <c r="AG4233">
        <v>-0.1514066</v>
      </c>
      <c r="AH4233">
        <v>0.48837303180922298</v>
      </c>
      <c r="AI4233">
        <v>106.50040414872601</v>
      </c>
      <c r="AJ4233">
        <v>72.839691205534805</v>
      </c>
      <c r="AK4233">
        <v>0.53308033340648397</v>
      </c>
      <c r="AL4233">
        <v>81.173191629789599</v>
      </c>
      <c r="AM4233">
        <v>95.672954246748802</v>
      </c>
      <c r="AN4233">
        <v>0.99999996106394995</v>
      </c>
    </row>
    <row r="4234" spans="1:40" x14ac:dyDescent="0.25">
      <c r="A4234" t="str">
        <f>"20190312172749829"</f>
        <v>20190312172749829</v>
      </c>
      <c r="B4234" t="str">
        <f>"1552382869823594"</f>
        <v>1552382869823594</v>
      </c>
      <c r="C4234" t="s">
        <v>40</v>
      </c>
      <c r="D4234">
        <v>3.5245190000000002</v>
      </c>
      <c r="E4234">
        <v>0.64818690000000001</v>
      </c>
      <c r="F4234" t="s">
        <v>44</v>
      </c>
      <c r="G4234">
        <v>-421.947</v>
      </c>
      <c r="H4234">
        <v>0.9619335</v>
      </c>
      <c r="I4234">
        <v>113.95310000000001</v>
      </c>
      <c r="J4234">
        <v>-421.71010000000001</v>
      </c>
      <c r="K4234">
        <v>1.111702</v>
      </c>
      <c r="L4234">
        <v>114.22239999999999</v>
      </c>
      <c r="M4234">
        <v>-0.19506470000000001</v>
      </c>
      <c r="N4234">
        <v>0</v>
      </c>
      <c r="O4234">
        <v>-0.98075029999999996</v>
      </c>
      <c r="P4234">
        <v>-0.1028898</v>
      </c>
      <c r="Q4234">
        <v>0.143682</v>
      </c>
      <c r="R4234">
        <v>-0.98426089999999999</v>
      </c>
      <c r="S4234">
        <v>-1.3956299999999999</v>
      </c>
      <c r="T4234">
        <v>-0.67704310000000001</v>
      </c>
      <c r="U4234">
        <v>-3.0009160000000001</v>
      </c>
      <c r="V4234">
        <v>-9.1890159999999999E-2</v>
      </c>
      <c r="W4234">
        <v>0.1519529</v>
      </c>
      <c r="X4234">
        <v>0.98410699999999995</v>
      </c>
      <c r="Y4234">
        <v>0.2279738</v>
      </c>
      <c r="Z4234">
        <v>0.20121530000000001</v>
      </c>
      <c r="AA4234">
        <v>0.95264910000000003</v>
      </c>
      <c r="AB4234">
        <v>21</v>
      </c>
      <c r="AC4234">
        <v>-0.236899999999934</v>
      </c>
      <c r="AD4234">
        <v>-0.1497685</v>
      </c>
      <c r="AE4234">
        <v>-0.26929999999998699</v>
      </c>
      <c r="AF4234">
        <v>0.15311797956349399</v>
      </c>
      <c r="AG4234">
        <v>-0.1497685</v>
      </c>
      <c r="AH4234">
        <v>0.26426192407712301</v>
      </c>
      <c r="AI4234">
        <v>116.122130480095</v>
      </c>
      <c r="AJ4234">
        <v>59.9112474385513</v>
      </c>
      <c r="AK4234">
        <v>0.340161849381732</v>
      </c>
      <c r="AL4234">
        <v>81.2598833536168</v>
      </c>
      <c r="AM4234">
        <v>95.334477609275098</v>
      </c>
      <c r="AN4234">
        <v>1.0000000363861099</v>
      </c>
    </row>
    <row r="4235" spans="1:40" x14ac:dyDescent="0.25">
      <c r="A4235" t="str">
        <f>"20190312172749851"</f>
        <v>20190312172749851</v>
      </c>
      <c r="B4235" t="str">
        <f>"1552382869844090"</f>
        <v>1552382869844090</v>
      </c>
      <c r="C4235" t="s">
        <v>40</v>
      </c>
      <c r="D4235">
        <v>3.4353039999999999</v>
      </c>
      <c r="E4235">
        <v>0.647819699999999</v>
      </c>
      <c r="F4235" t="s">
        <v>44</v>
      </c>
      <c r="G4235">
        <v>-422.09179999999998</v>
      </c>
      <c r="H4235">
        <v>0.92437979999999997</v>
      </c>
      <c r="I4235">
        <v>113.42270000000001</v>
      </c>
      <c r="J4235">
        <v>-421.74669999999998</v>
      </c>
      <c r="K4235">
        <v>1.1117030000000001</v>
      </c>
      <c r="L4235">
        <v>114.0151</v>
      </c>
      <c r="M4235">
        <v>-0.19125139999999999</v>
      </c>
      <c r="N4235">
        <v>0</v>
      </c>
      <c r="O4235">
        <v>-0.98150130000000002</v>
      </c>
      <c r="P4235">
        <v>-0.1007117</v>
      </c>
      <c r="Q4235">
        <v>0.1430795</v>
      </c>
      <c r="R4235">
        <v>-0.98457380000000005</v>
      </c>
      <c r="S4235">
        <v>-1.4321900000000001</v>
      </c>
      <c r="T4235">
        <v>-0.70326080000000002</v>
      </c>
      <c r="U4235">
        <v>-3.000931</v>
      </c>
      <c r="V4235">
        <v>-9.0257030000000002E-2</v>
      </c>
      <c r="W4235">
        <v>0.1513138</v>
      </c>
      <c r="X4235">
        <v>0.98435649999999997</v>
      </c>
      <c r="Y4235">
        <v>0.24061009999999999</v>
      </c>
      <c r="Z4235">
        <v>0.20807320000000001</v>
      </c>
      <c r="AA4235">
        <v>0.94805709999999999</v>
      </c>
      <c r="AB4235">
        <v>21</v>
      </c>
      <c r="AC4235">
        <v>-0.34510000000000202</v>
      </c>
      <c r="AD4235">
        <v>-0.1873232</v>
      </c>
      <c r="AE4235">
        <v>-0.59239999999999704</v>
      </c>
      <c r="AF4235">
        <v>0.209767487932916</v>
      </c>
      <c r="AG4235">
        <v>-0.1873232</v>
      </c>
      <c r="AH4235">
        <v>0.60248900410380601</v>
      </c>
      <c r="AI4235">
        <v>106.36369272264299</v>
      </c>
      <c r="AJ4235">
        <v>70.803509767192693</v>
      </c>
      <c r="AK4235">
        <v>0.66489501450824695</v>
      </c>
      <c r="AL4235">
        <v>81.296928772010205</v>
      </c>
      <c r="AM4235">
        <v>95.238881625672803</v>
      </c>
      <c r="AN4235">
        <v>0.99999995831355404</v>
      </c>
    </row>
    <row r="4236" spans="1:40" x14ac:dyDescent="0.25">
      <c r="A4236" t="str">
        <f>"20190312172749873"</f>
        <v>20190312172749873</v>
      </c>
      <c r="B4236" t="str">
        <f>"1552382869863610"</f>
        <v>1552382869863610</v>
      </c>
      <c r="C4236" t="s">
        <v>40</v>
      </c>
      <c r="D4236">
        <v>3.412277</v>
      </c>
      <c r="E4236">
        <v>0.64733909999999995</v>
      </c>
      <c r="F4236" t="s">
        <v>44</v>
      </c>
      <c r="G4236">
        <v>-422.11669999999998</v>
      </c>
      <c r="H4236">
        <v>0.92759610000000003</v>
      </c>
      <c r="I4236">
        <v>113.2343</v>
      </c>
      <c r="J4236">
        <v>-421.78269999999998</v>
      </c>
      <c r="K4236">
        <v>1.1117010000000001</v>
      </c>
      <c r="L4236">
        <v>113.807</v>
      </c>
      <c r="M4236">
        <v>-0.18742500000000001</v>
      </c>
      <c r="N4236">
        <v>0</v>
      </c>
      <c r="O4236">
        <v>-0.98223950000000004</v>
      </c>
      <c r="P4236">
        <v>-9.7754229999999998E-2</v>
      </c>
      <c r="Q4236">
        <v>0.14300499999999999</v>
      </c>
      <c r="R4236">
        <v>-0.9848827</v>
      </c>
      <c r="S4236">
        <v>-1.421967</v>
      </c>
      <c r="T4236">
        <v>-0.70911619999999997</v>
      </c>
      <c r="U4236">
        <v>-3.0045929999999998</v>
      </c>
      <c r="V4236">
        <v>-8.9381779999999994E-2</v>
      </c>
      <c r="W4236">
        <v>0.15120069999999999</v>
      </c>
      <c r="X4236">
        <v>0.98445380000000005</v>
      </c>
      <c r="Y4236">
        <v>0.24114279999999999</v>
      </c>
      <c r="Z4236">
        <v>0.20986109999999999</v>
      </c>
      <c r="AA4236">
        <v>0.94752749999999997</v>
      </c>
      <c r="AB4236">
        <v>21</v>
      </c>
      <c r="AC4236">
        <v>-0.33400000000000302</v>
      </c>
      <c r="AD4236">
        <v>-0.18410489999999999</v>
      </c>
      <c r="AE4236">
        <v>-0.57269999999999699</v>
      </c>
      <c r="AF4236">
        <v>0.20493496748956</v>
      </c>
      <c r="AG4236">
        <v>-0.18410489999999999</v>
      </c>
      <c r="AH4236">
        <v>0.58039626667173005</v>
      </c>
      <c r="AI4236">
        <v>106.652308283389</v>
      </c>
      <c r="AJ4236">
        <v>70.552132958875902</v>
      </c>
      <c r="AK4236">
        <v>0.64245838890191098</v>
      </c>
      <c r="AL4236">
        <v>81.303484885129393</v>
      </c>
      <c r="AM4236">
        <v>95.1878472028922</v>
      </c>
      <c r="AN4236">
        <v>1.0000000193054399</v>
      </c>
    </row>
    <row r="4237" spans="1:40" x14ac:dyDescent="0.25">
      <c r="A4237" t="str">
        <f>"20190312172749895"</f>
        <v>20190312172749895</v>
      </c>
      <c r="B4237" t="str">
        <f>"1552382869883131"</f>
        <v>1552382869883131</v>
      </c>
      <c r="C4237" t="s">
        <v>40</v>
      </c>
      <c r="D4237">
        <v>3.3762219999999998</v>
      </c>
      <c r="E4237">
        <v>0.64682589999999995</v>
      </c>
      <c r="F4237" t="s">
        <v>44</v>
      </c>
      <c r="G4237">
        <v>-422.13929999999999</v>
      </c>
      <c r="H4237">
        <v>0.93116310000000002</v>
      </c>
      <c r="I4237">
        <v>113.045</v>
      </c>
      <c r="J4237">
        <v>-421.81729999999999</v>
      </c>
      <c r="K4237">
        <v>1.1117030000000001</v>
      </c>
      <c r="L4237">
        <v>113.6023</v>
      </c>
      <c r="M4237">
        <v>-0.18366270000000001</v>
      </c>
      <c r="N4237">
        <v>0</v>
      </c>
      <c r="O4237">
        <v>-0.98295049999999995</v>
      </c>
      <c r="P4237">
        <v>-9.3767980000000001E-2</v>
      </c>
      <c r="Q4237">
        <v>0.1431665</v>
      </c>
      <c r="R4237">
        <v>-0.98524710000000004</v>
      </c>
      <c r="S4237">
        <v>-1.407867</v>
      </c>
      <c r="T4237">
        <v>-0.71328519999999995</v>
      </c>
      <c r="U4237">
        <v>-3.0098880000000001</v>
      </c>
      <c r="V4237">
        <v>-8.9596499999999996E-2</v>
      </c>
      <c r="W4237">
        <v>0.15132089999999901</v>
      </c>
      <c r="X4237">
        <v>0.98441579999999995</v>
      </c>
      <c r="Y4237">
        <v>0.24045610000000001</v>
      </c>
      <c r="Z4237">
        <v>0.21115</v>
      </c>
      <c r="AA4237">
        <v>0.94741569999999997</v>
      </c>
      <c r="AB4237">
        <v>21</v>
      </c>
      <c r="AC4237">
        <v>-0.32200000000000201</v>
      </c>
      <c r="AD4237">
        <v>-0.1805399</v>
      </c>
      <c r="AE4237">
        <v>-0.55729999999999702</v>
      </c>
      <c r="AF4237">
        <v>0.198541700316925</v>
      </c>
      <c r="AG4237">
        <v>-0.1805399</v>
      </c>
      <c r="AH4237">
        <v>0.56268840112225005</v>
      </c>
      <c r="AI4237">
        <v>106.834230845264</v>
      </c>
      <c r="AJ4237">
        <v>70.564873451863306</v>
      </c>
      <c r="AK4237">
        <v>0.62340331970102603</v>
      </c>
      <c r="AL4237">
        <v>81.296517664070294</v>
      </c>
      <c r="AM4237">
        <v>95.200441249779601</v>
      </c>
      <c r="AN4237">
        <v>1.00000000743935</v>
      </c>
    </row>
    <row r="4238" spans="1:40" x14ac:dyDescent="0.25">
      <c r="A4238" t="str">
        <f>"20190312172749918"</f>
        <v>20190312172749918</v>
      </c>
      <c r="B4238" t="str">
        <f>"1552382869913386"</f>
        <v>1552382869913386</v>
      </c>
      <c r="C4238" t="s">
        <v>40</v>
      </c>
      <c r="D4238">
        <v>3.373828</v>
      </c>
      <c r="E4238">
        <v>0.64549909999999999</v>
      </c>
      <c r="F4238" t="s">
        <v>44</v>
      </c>
      <c r="G4238">
        <v>-422.1617</v>
      </c>
      <c r="H4238">
        <v>0.93458240000000004</v>
      </c>
      <c r="I4238">
        <v>112.8552</v>
      </c>
      <c r="J4238">
        <v>-421.85180000000003</v>
      </c>
      <c r="K4238">
        <v>1.11171</v>
      </c>
      <c r="L4238">
        <v>113.39319999999999</v>
      </c>
      <c r="M4238">
        <v>-0.17982039999999999</v>
      </c>
      <c r="N4238">
        <v>0</v>
      </c>
      <c r="O4238">
        <v>-0.98366070000000005</v>
      </c>
      <c r="P4238">
        <v>-8.8949280000000006E-2</v>
      </c>
      <c r="Q4238">
        <v>0.14291609999999999</v>
      </c>
      <c r="R4238">
        <v>-0.98572990000000005</v>
      </c>
      <c r="S4238">
        <v>-1.3892819999999999</v>
      </c>
      <c r="T4238">
        <v>-0.71566099999999999</v>
      </c>
      <c r="U4238">
        <v>-3.0166930000000001</v>
      </c>
      <c r="V4238">
        <v>-9.0574089999999996E-2</v>
      </c>
      <c r="W4238">
        <v>0.1510291</v>
      </c>
      <c r="X4238">
        <v>0.98437110000000005</v>
      </c>
      <c r="Y4238">
        <v>0.23854729999999999</v>
      </c>
      <c r="Z4238">
        <v>0.2119317</v>
      </c>
      <c r="AA4238">
        <v>0.9477236</v>
      </c>
      <c r="AB4238">
        <v>21</v>
      </c>
      <c r="AC4238">
        <v>-0.30989999999996998</v>
      </c>
      <c r="AD4238">
        <v>-0.177127599999999</v>
      </c>
      <c r="AE4238">
        <v>-0.53799999999999604</v>
      </c>
      <c r="AF4238">
        <v>0.192438534425177</v>
      </c>
      <c r="AG4238">
        <v>-0.177127599999999</v>
      </c>
      <c r="AH4238">
        <v>0.54093192391356804</v>
      </c>
      <c r="AI4238">
        <v>107.14540907910801</v>
      </c>
      <c r="AJ4238">
        <v>70.416796007437696</v>
      </c>
      <c r="AK4238">
        <v>0.60084450777410303</v>
      </c>
      <c r="AL4238">
        <v>81.313430529773996</v>
      </c>
      <c r="AM4238">
        <v>95.257104588981605</v>
      </c>
      <c r="AN4238">
        <v>0.99999995867067304</v>
      </c>
    </row>
    <row r="4239" spans="1:40" x14ac:dyDescent="0.25">
      <c r="A4239" t="str">
        <f>"20190312172749940"</f>
        <v>20190312172749940</v>
      </c>
      <c r="B4239" t="str">
        <f>"1552382869933882"</f>
        <v>1552382869933882</v>
      </c>
      <c r="C4239" t="s">
        <v>40</v>
      </c>
      <c r="D4239">
        <v>3.4024679999999998</v>
      </c>
      <c r="E4239">
        <v>0.64498339999999998</v>
      </c>
      <c r="F4239" t="s">
        <v>44</v>
      </c>
      <c r="G4239">
        <v>-422.18029999999999</v>
      </c>
      <c r="H4239">
        <v>0.93844799999999995</v>
      </c>
      <c r="I4239">
        <v>112.66419999999999</v>
      </c>
      <c r="J4239">
        <v>-421.88549999999998</v>
      </c>
      <c r="K4239">
        <v>1.111721</v>
      </c>
      <c r="L4239">
        <v>113.18389999999999</v>
      </c>
      <c r="M4239">
        <v>-0.17597409999999999</v>
      </c>
      <c r="N4239">
        <v>0</v>
      </c>
      <c r="O4239">
        <v>-0.98435649999999997</v>
      </c>
      <c r="P4239">
        <v>-8.386805E-2</v>
      </c>
      <c r="Q4239">
        <v>0.14307500000000001</v>
      </c>
      <c r="R4239">
        <v>-0.98615220000000003</v>
      </c>
      <c r="S4239">
        <v>-1.3626100000000001</v>
      </c>
      <c r="T4239">
        <v>-0.71915269999999898</v>
      </c>
      <c r="U4239">
        <v>-3.024734</v>
      </c>
      <c r="V4239">
        <v>-9.1802599999999998E-2</v>
      </c>
      <c r="W4239">
        <v>0.1511479</v>
      </c>
      <c r="X4239">
        <v>0.98423910000000003</v>
      </c>
      <c r="Y4239">
        <v>0.23434659999999999</v>
      </c>
      <c r="Z4239">
        <v>0.21311140000000001</v>
      </c>
      <c r="AA4239">
        <v>0.94850679999999998</v>
      </c>
      <c r="AB4239">
        <v>21</v>
      </c>
      <c r="AC4239">
        <v>-0.294800000000009</v>
      </c>
      <c r="AD4239">
        <v>-0.17327300000000001</v>
      </c>
      <c r="AE4239">
        <v>-0.51970000000000005</v>
      </c>
      <c r="AF4239">
        <v>0.18332434695208799</v>
      </c>
      <c r="AG4239">
        <v>-0.17327300000000001</v>
      </c>
      <c r="AH4239">
        <v>0.51975659771675897</v>
      </c>
      <c r="AI4239">
        <v>107.452650457178</v>
      </c>
      <c r="AJ4239">
        <v>70.571646494083296</v>
      </c>
      <c r="AK4239">
        <v>0.57773546678779397</v>
      </c>
      <c r="AL4239">
        <v>81.306545154010607</v>
      </c>
      <c r="AM4239">
        <v>95.3287126191086</v>
      </c>
      <c r="AN4239">
        <v>1.00000000550499</v>
      </c>
    </row>
    <row r="4240" spans="1:40" x14ac:dyDescent="0.25">
      <c r="A4240" t="str">
        <f>"20190312172749964"</f>
        <v>20190312172749964</v>
      </c>
      <c r="B4240" t="str">
        <f>"1552382869953403"</f>
        <v>1552382869953403</v>
      </c>
      <c r="C4240" t="s">
        <v>40</v>
      </c>
      <c r="D4240">
        <v>3.4206129999999999</v>
      </c>
      <c r="E4240">
        <v>0.64524999999999999</v>
      </c>
      <c r="F4240" t="s">
        <v>44</v>
      </c>
      <c r="G4240">
        <v>-422.20049999999998</v>
      </c>
      <c r="H4240">
        <v>0.94298700000000002</v>
      </c>
      <c r="I4240">
        <v>112.4725</v>
      </c>
      <c r="J4240">
        <v>-421.92</v>
      </c>
      <c r="K4240">
        <v>1.1117250000000001</v>
      </c>
      <c r="L4240">
        <v>112.96420000000001</v>
      </c>
      <c r="M4240">
        <v>-0.17193789999999901</v>
      </c>
      <c r="N4240">
        <v>0</v>
      </c>
      <c r="O4240">
        <v>-0.9850698</v>
      </c>
      <c r="P4240">
        <v>-7.8747029999999996E-2</v>
      </c>
      <c r="Q4240">
        <v>0.1433169</v>
      </c>
      <c r="R4240">
        <v>-0.9865391</v>
      </c>
      <c r="S4240">
        <v>-1.3413090000000001</v>
      </c>
      <c r="T4240">
        <v>-0.71979199999999999</v>
      </c>
      <c r="U4240">
        <v>-3.032486</v>
      </c>
      <c r="V4240">
        <v>-9.2879519999999993E-2</v>
      </c>
      <c r="W4240">
        <v>0.15135199999999999</v>
      </c>
      <c r="X4240">
        <v>0.9841067</v>
      </c>
      <c r="Y4240">
        <v>0.23183429999999999</v>
      </c>
      <c r="Z4240">
        <v>0.21338750000000001</v>
      </c>
      <c r="AA4240">
        <v>0.94906199999999996</v>
      </c>
      <c r="AB4240">
        <v>21</v>
      </c>
      <c r="AC4240">
        <v>-0.28049999999996</v>
      </c>
      <c r="AD4240">
        <v>-0.168737999999999</v>
      </c>
      <c r="AE4240">
        <v>-0.49170000000000802</v>
      </c>
      <c r="AF4240">
        <v>0.17612807757701601</v>
      </c>
      <c r="AG4240">
        <v>-0.168737999999999</v>
      </c>
      <c r="AH4240">
        <v>0.48914580366779398</v>
      </c>
      <c r="AI4240">
        <v>107.981634225511</v>
      </c>
      <c r="AJ4240">
        <v>70.197433391476494</v>
      </c>
      <c r="AK4240">
        <v>0.54658689117173997</v>
      </c>
      <c r="AL4240">
        <v>81.294715069723495</v>
      </c>
      <c r="AM4240">
        <v>95.391577653239295</v>
      </c>
      <c r="AN4240">
        <v>1.00000001506216</v>
      </c>
    </row>
    <row r="4241" spans="1:40" x14ac:dyDescent="0.25">
      <c r="A4241" t="str">
        <f>"20190312172749988"</f>
        <v>20190312172749988</v>
      </c>
      <c r="B4241" t="str">
        <f>"1552382869983659"</f>
        <v>1552382869983659</v>
      </c>
      <c r="C4241" t="s">
        <v>40</v>
      </c>
      <c r="D4241">
        <v>3.3296739999999998</v>
      </c>
      <c r="E4241">
        <v>0.64484980000000003</v>
      </c>
      <c r="F4241" t="s">
        <v>44</v>
      </c>
      <c r="G4241">
        <v>-422.21910000000003</v>
      </c>
      <c r="H4241">
        <v>0.94997220000000004</v>
      </c>
      <c r="I4241">
        <v>112.2791</v>
      </c>
      <c r="J4241">
        <v>-421.95429999999999</v>
      </c>
      <c r="K4241">
        <v>1.1117349999999999</v>
      </c>
      <c r="L4241">
        <v>112.7406</v>
      </c>
      <c r="M4241">
        <v>-0.16782910000000001</v>
      </c>
      <c r="N4241">
        <v>0</v>
      </c>
      <c r="O4241">
        <v>-0.98577820000000005</v>
      </c>
      <c r="P4241">
        <v>-7.4279059999999994E-2</v>
      </c>
      <c r="Q4241">
        <v>0.1436521</v>
      </c>
      <c r="R4241">
        <v>-0.98683659999999995</v>
      </c>
      <c r="S4241">
        <v>-1.3269040000000001</v>
      </c>
      <c r="T4241">
        <v>-0.71786499999999998</v>
      </c>
      <c r="U4241">
        <v>-3.0393219999999999</v>
      </c>
      <c r="V4241">
        <v>-9.3231250000000002E-2</v>
      </c>
      <c r="W4241">
        <v>0.15165789999999901</v>
      </c>
      <c r="X4241">
        <v>0.98402630000000002</v>
      </c>
      <c r="Y4241">
        <v>0.2313723</v>
      </c>
      <c r="Z4241">
        <v>0.21284710000000001</v>
      </c>
      <c r="AA4241">
        <v>0.94929609999999998</v>
      </c>
      <c r="AB4241">
        <v>21</v>
      </c>
      <c r="AC4241">
        <v>-0.26480000000003601</v>
      </c>
      <c r="AD4241">
        <v>-0.16176280000000001</v>
      </c>
      <c r="AE4241">
        <v>-0.46150000000000002</v>
      </c>
      <c r="AF4241">
        <v>0.168054436580823</v>
      </c>
      <c r="AG4241">
        <v>-0.16176280000000001</v>
      </c>
      <c r="AH4241">
        <v>0.457142518949052</v>
      </c>
      <c r="AI4241">
        <v>108.372616876517</v>
      </c>
      <c r="AJ4241">
        <v>69.815595465694102</v>
      </c>
      <c r="AK4241">
        <v>0.51321416557751298</v>
      </c>
      <c r="AL4241">
        <v>81.276983227937805</v>
      </c>
      <c r="AM4241">
        <v>95.412313837144197</v>
      </c>
      <c r="AN4241">
        <v>0.99999997185033096</v>
      </c>
    </row>
    <row r="4242" spans="1:40" x14ac:dyDescent="0.25">
      <c r="A4242" t="str">
        <f>"20190312172750010"</f>
        <v>20190312172750010</v>
      </c>
      <c r="B4242" t="str">
        <f>"1552382870003178"</f>
        <v>1552382870003178</v>
      </c>
      <c r="C4242" t="s">
        <v>40</v>
      </c>
      <c r="D4242">
        <v>3.3111139999999999</v>
      </c>
      <c r="E4242">
        <v>0.64450339999999995</v>
      </c>
      <c r="F4242" t="s">
        <v>44</v>
      </c>
      <c r="G4242">
        <v>-422.23660000000001</v>
      </c>
      <c r="H4242">
        <v>0.95758189999999999</v>
      </c>
      <c r="I4242">
        <v>112.0848</v>
      </c>
      <c r="J4242">
        <v>-421.98570000000001</v>
      </c>
      <c r="K4242">
        <v>1.111745</v>
      </c>
      <c r="L4242">
        <v>112.52889999999999</v>
      </c>
      <c r="M4242">
        <v>-0.1639388</v>
      </c>
      <c r="N4242">
        <v>0</v>
      </c>
      <c r="O4242">
        <v>-0.98643289999999995</v>
      </c>
      <c r="P4242">
        <v>-6.9911219999999996E-2</v>
      </c>
      <c r="Q4242">
        <v>0.14438989999999999</v>
      </c>
      <c r="R4242">
        <v>-0.98704840000000005</v>
      </c>
      <c r="S4242">
        <v>-1.3096920000000001</v>
      </c>
      <c r="T4242">
        <v>-0.71661560000000002</v>
      </c>
      <c r="U4242">
        <v>-3.0457459999999998</v>
      </c>
      <c r="V4242">
        <v>-9.3696650000000006E-2</v>
      </c>
      <c r="W4242">
        <v>0.15237000000000001</v>
      </c>
      <c r="X4242">
        <v>0.98387210000000003</v>
      </c>
      <c r="Y4242">
        <v>0.2299775</v>
      </c>
      <c r="Z4242">
        <v>0.2125629</v>
      </c>
      <c r="AA4242">
        <v>0.94969859999999995</v>
      </c>
      <c r="AB4242">
        <v>21</v>
      </c>
      <c r="AC4242">
        <v>-0.25090000000000101</v>
      </c>
      <c r="AD4242">
        <v>-0.1541631</v>
      </c>
      <c r="AE4242">
        <v>-0.444099999999991</v>
      </c>
      <c r="AF4242">
        <v>0.16007491277101599</v>
      </c>
      <c r="AG4242">
        <v>-0.1541631</v>
      </c>
      <c r="AH4242">
        <v>0.43911320402733101</v>
      </c>
      <c r="AI4242">
        <v>108.25488432901599</v>
      </c>
      <c r="AJ4242">
        <v>69.971111447370205</v>
      </c>
      <c r="AK4242">
        <v>0.492149006959688</v>
      </c>
      <c r="AL4242">
        <v>81.235703355519902</v>
      </c>
      <c r="AM4242">
        <v>95.440017228201796</v>
      </c>
      <c r="AN4242">
        <v>0.999999994139816</v>
      </c>
    </row>
    <row r="4243" spans="1:40" x14ac:dyDescent="0.25">
      <c r="A4243" t="str">
        <f>"20190312172750033"</f>
        <v>20190312172750033</v>
      </c>
      <c r="B4243" t="str">
        <f>"1552382870023676"</f>
        <v>1552382870023676</v>
      </c>
      <c r="C4243" t="s">
        <v>40</v>
      </c>
      <c r="D4243">
        <v>3.3392390000000001</v>
      </c>
      <c r="E4243">
        <v>0.64432590000000001</v>
      </c>
      <c r="F4243" t="s">
        <v>44</v>
      </c>
      <c r="G4243">
        <v>-422.32729999999998</v>
      </c>
      <c r="H4243">
        <v>0.92318529999999999</v>
      </c>
      <c r="I4243">
        <v>111.72329999999999</v>
      </c>
      <c r="J4243">
        <v>-422.01769999999999</v>
      </c>
      <c r="K4243">
        <v>1.1117629999999901</v>
      </c>
      <c r="L4243">
        <v>112.30759999999999</v>
      </c>
      <c r="M4243">
        <v>-0.15986420000000001</v>
      </c>
      <c r="N4243">
        <v>0</v>
      </c>
      <c r="O4243">
        <v>-0.98710160000000002</v>
      </c>
      <c r="P4243">
        <v>-6.5607799999999994E-2</v>
      </c>
      <c r="Q4243">
        <v>0.144783299999999</v>
      </c>
      <c r="R4243">
        <v>-0.98728590000000005</v>
      </c>
      <c r="S4243">
        <v>-1.2932129999999999</v>
      </c>
      <c r="T4243">
        <v>-0.71475630000000001</v>
      </c>
      <c r="U4243">
        <v>-3.0523220000000002</v>
      </c>
      <c r="V4243">
        <v>-9.3922030000000004E-2</v>
      </c>
      <c r="W4243">
        <v>0.15274090000000001</v>
      </c>
      <c r="X4243">
        <v>0.98379309999999998</v>
      </c>
      <c r="Y4243">
        <v>0.22895109999999999</v>
      </c>
      <c r="Z4243">
        <v>0.2120792</v>
      </c>
      <c r="AA4243">
        <v>0.95005459999999997</v>
      </c>
      <c r="AB4243">
        <v>22</v>
      </c>
      <c r="AC4243">
        <v>-0.309599999999989</v>
      </c>
      <c r="AD4243">
        <v>-0.18857769999999899</v>
      </c>
      <c r="AE4243">
        <v>-0.58429999999999804</v>
      </c>
      <c r="AF4243">
        <v>0.19624550691630999</v>
      </c>
      <c r="AG4243">
        <v>-0.18857769999999899</v>
      </c>
      <c r="AH4243">
        <v>0.57917701001996502</v>
      </c>
      <c r="AI4243">
        <v>107.138438904883</v>
      </c>
      <c r="AJ4243">
        <v>71.281815163547407</v>
      </c>
      <c r="AK4243">
        <v>0.63993738510716502</v>
      </c>
      <c r="AL4243">
        <v>81.214200684414706</v>
      </c>
      <c r="AM4243">
        <v>95.453459230256101</v>
      </c>
      <c r="AN4243">
        <v>0.99999999692986996</v>
      </c>
    </row>
    <row r="4244" spans="1:40" x14ac:dyDescent="0.25">
      <c r="A4244" t="str">
        <f>"20190312172750052"</f>
        <v>20190312172750052</v>
      </c>
      <c r="B4244" t="str">
        <f>"1552382870043196"</f>
        <v>1552382870043196</v>
      </c>
      <c r="C4244" t="s">
        <v>40</v>
      </c>
      <c r="D4244">
        <v>3.2547969999999999</v>
      </c>
      <c r="E4244">
        <v>0.64364929999999998</v>
      </c>
      <c r="F4244" t="s">
        <v>44</v>
      </c>
      <c r="G4244">
        <v>-422.34370000000001</v>
      </c>
      <c r="H4244">
        <v>0.92990289999999998</v>
      </c>
      <c r="I4244">
        <v>111.5278</v>
      </c>
      <c r="J4244">
        <v>-422.04419999999999</v>
      </c>
      <c r="K4244">
        <v>1.1117779999999999</v>
      </c>
      <c r="L4244">
        <v>112.11960000000001</v>
      </c>
      <c r="M4244">
        <v>-0.15640019999999999</v>
      </c>
      <c r="N4244">
        <v>0</v>
      </c>
      <c r="O4244">
        <v>-0.98765639999999999</v>
      </c>
      <c r="P4244">
        <v>-6.2615740000000003E-2</v>
      </c>
      <c r="Q4244">
        <v>0.14519570000000001</v>
      </c>
      <c r="R4244">
        <v>-0.98741950000000001</v>
      </c>
      <c r="S4244">
        <v>-1.2786869999999999</v>
      </c>
      <c r="T4244">
        <v>-0.71307919999999902</v>
      </c>
      <c r="U4244">
        <v>-3.0582280000000002</v>
      </c>
      <c r="V4244">
        <v>-9.3449879999999999E-2</v>
      </c>
      <c r="W4244">
        <v>0.15314</v>
      </c>
      <c r="X4244">
        <v>0.98377599999999998</v>
      </c>
      <c r="Y4244">
        <v>0.22790640000000001</v>
      </c>
      <c r="Z4244">
        <v>0.21162520000000001</v>
      </c>
      <c r="AA4244">
        <v>0.950407</v>
      </c>
      <c r="AB4244">
        <v>22</v>
      </c>
      <c r="AC4244">
        <v>-0.29950000000002303</v>
      </c>
      <c r="AD4244">
        <v>-0.18187510000000001</v>
      </c>
      <c r="AE4244">
        <v>-0.59180000000000599</v>
      </c>
      <c r="AF4244">
        <v>0.189038943181397</v>
      </c>
      <c r="AG4244">
        <v>-0.18187510000000001</v>
      </c>
      <c r="AH4244">
        <v>0.58720754457466495</v>
      </c>
      <c r="AI4244">
        <v>106.42697699225</v>
      </c>
      <c r="AJ4244">
        <v>72.155144554688704</v>
      </c>
      <c r="AK4244">
        <v>0.64313837892366299</v>
      </c>
      <c r="AL4244">
        <v>81.191061558166098</v>
      </c>
      <c r="AM4244">
        <v>95.426302255502904</v>
      </c>
      <c r="AN4244">
        <v>0.99999997892400605</v>
      </c>
    </row>
    <row r="4245" spans="1:40" x14ac:dyDescent="0.25">
      <c r="A4245" t="str">
        <f>"20190312172750075"</f>
        <v>20190312172750075</v>
      </c>
      <c r="B4245" t="str">
        <f>"1552382870063691"</f>
        <v>1552382870063691</v>
      </c>
      <c r="C4245" t="s">
        <v>40</v>
      </c>
      <c r="D4245">
        <v>3.2523029999999999</v>
      </c>
      <c r="E4245">
        <v>0.64287950000000005</v>
      </c>
      <c r="F4245" t="s">
        <v>44</v>
      </c>
      <c r="G4245">
        <v>-422.3682</v>
      </c>
      <c r="H4245">
        <v>0.92977200000000004</v>
      </c>
      <c r="I4245">
        <v>111.3356</v>
      </c>
      <c r="J4245">
        <v>-422.07319999999999</v>
      </c>
      <c r="K4245">
        <v>1.1117950000000001</v>
      </c>
      <c r="L4245">
        <v>111.90770000000001</v>
      </c>
      <c r="M4245">
        <v>-0.15248539999999999</v>
      </c>
      <c r="N4245">
        <v>0</v>
      </c>
      <c r="O4245">
        <v>-0.98826860000000005</v>
      </c>
      <c r="P4245">
        <v>-5.9106989999999998E-2</v>
      </c>
      <c r="Q4245">
        <v>0.14537900000000001</v>
      </c>
      <c r="R4245">
        <v>-0.98760910000000002</v>
      </c>
      <c r="S4245">
        <v>-1.263855</v>
      </c>
      <c r="T4245">
        <v>-0.71164349999999998</v>
      </c>
      <c r="U4245">
        <v>-3.0626980000000001</v>
      </c>
      <c r="V4245">
        <v>-9.3050549999999996E-2</v>
      </c>
      <c r="W4245">
        <v>0.1533101</v>
      </c>
      <c r="X4245">
        <v>0.98378739999999998</v>
      </c>
      <c r="Y4245">
        <v>0.2273646</v>
      </c>
      <c r="Z4245">
        <v>0.21133299999999999</v>
      </c>
      <c r="AA4245">
        <v>0.95060180000000005</v>
      </c>
      <c r="AB4245">
        <v>22</v>
      </c>
      <c r="AC4245">
        <v>-0.29500000000001497</v>
      </c>
      <c r="AD4245">
        <v>-0.18202299999999999</v>
      </c>
      <c r="AE4245">
        <v>-0.57210000000000505</v>
      </c>
      <c r="AF4245">
        <v>0.189181481382282</v>
      </c>
      <c r="AG4245">
        <v>-0.18202299999999999</v>
      </c>
      <c r="AH4245">
        <v>0.56519673170112705</v>
      </c>
      <c r="AI4245">
        <v>106.98260320449801</v>
      </c>
      <c r="AJ4245">
        <v>71.493682349352596</v>
      </c>
      <c r="AK4245">
        <v>0.62319286818177799</v>
      </c>
      <c r="AL4245">
        <v>81.181199448230799</v>
      </c>
      <c r="AM4245">
        <v>95.403189865351294</v>
      </c>
      <c r="AN4245">
        <v>1.0000000200080299</v>
      </c>
    </row>
    <row r="4246" spans="1:40" x14ac:dyDescent="0.25">
      <c r="A4246" t="str">
        <f>"20190312172750096"</f>
        <v>20190312172750096</v>
      </c>
      <c r="B4246" t="str">
        <f>"1552382870093946"</f>
        <v>1552382870093946</v>
      </c>
      <c r="C4246" t="s">
        <v>40</v>
      </c>
      <c r="D4246">
        <v>3.2658779999999998</v>
      </c>
      <c r="E4246">
        <v>0.64263890000000001</v>
      </c>
      <c r="F4246" t="s">
        <v>44</v>
      </c>
      <c r="G4246">
        <v>-422.3854</v>
      </c>
      <c r="H4246">
        <v>0.93437919999999997</v>
      </c>
      <c r="I4246">
        <v>111.14</v>
      </c>
      <c r="J4246">
        <v>-422.10120000000001</v>
      </c>
      <c r="K4246">
        <v>1.1118170000000001</v>
      </c>
      <c r="L4246">
        <v>111.6964</v>
      </c>
      <c r="M4246">
        <v>-0.1485688</v>
      </c>
      <c r="N4246">
        <v>0</v>
      </c>
      <c r="O4246">
        <v>-0.98886490000000005</v>
      </c>
      <c r="P4246">
        <v>-5.5655919999999998E-2</v>
      </c>
      <c r="Q4246">
        <v>0.14518320000000001</v>
      </c>
      <c r="R4246">
        <v>-0.9878382</v>
      </c>
      <c r="S4246">
        <v>-1.246796</v>
      </c>
      <c r="T4246">
        <v>-0.70899919999999905</v>
      </c>
      <c r="U4246">
        <v>-3.0673979999999998</v>
      </c>
      <c r="V4246">
        <v>-9.2600840000000004E-2</v>
      </c>
      <c r="W4246">
        <v>0.1531033</v>
      </c>
      <c r="X4246">
        <v>0.98386200000000001</v>
      </c>
      <c r="Y4246">
        <v>0.22622619999999999</v>
      </c>
      <c r="Z4246">
        <v>0.21071809999999999</v>
      </c>
      <c r="AA4246">
        <v>0.95100980000000002</v>
      </c>
      <c r="AB4246">
        <v>22</v>
      </c>
      <c r="AC4246">
        <v>-0.28419999999999801</v>
      </c>
      <c r="AD4246">
        <v>-0.17743780000000001</v>
      </c>
      <c r="AE4246">
        <v>-0.55639999999999601</v>
      </c>
      <c r="AF4246">
        <v>0.18357274759094</v>
      </c>
      <c r="AG4246">
        <v>-0.17743780000000001</v>
      </c>
      <c r="AH4246">
        <v>0.54823124606936102</v>
      </c>
      <c r="AI4246">
        <v>107.061596179104</v>
      </c>
      <c r="AJ4246">
        <v>71.487111594426096</v>
      </c>
      <c r="AK4246">
        <v>0.604764934246102</v>
      </c>
      <c r="AL4246">
        <v>81.193189465039694</v>
      </c>
      <c r="AM4246">
        <v>95.376824543728105</v>
      </c>
      <c r="AN4246">
        <v>0.99999998554179703</v>
      </c>
    </row>
    <row r="4247" spans="1:40" x14ac:dyDescent="0.25">
      <c r="A4247" t="str">
        <f>"20190312172750120"</f>
        <v>20190312172750120</v>
      </c>
      <c r="B4247" t="str">
        <f>"1552382870113466"</f>
        <v>1552382870113466</v>
      </c>
      <c r="C4247" t="s">
        <v>40</v>
      </c>
      <c r="D4247">
        <v>3.263379</v>
      </c>
      <c r="E4247">
        <v>0.64221189999999995</v>
      </c>
      <c r="F4247" t="s">
        <v>44</v>
      </c>
      <c r="G4247">
        <v>-422.404</v>
      </c>
      <c r="H4247">
        <v>0.93833390000000005</v>
      </c>
      <c r="I4247">
        <v>110.9443</v>
      </c>
      <c r="J4247">
        <v>-422.12950000000001</v>
      </c>
      <c r="K4247">
        <v>1.111839</v>
      </c>
      <c r="L4247">
        <v>111.4764</v>
      </c>
      <c r="M4247">
        <v>-0.14447489999999999</v>
      </c>
      <c r="N4247">
        <v>0</v>
      </c>
      <c r="O4247">
        <v>-0.98947149999999995</v>
      </c>
      <c r="P4247">
        <v>-5.1776759999999998E-2</v>
      </c>
      <c r="Q4247">
        <v>0.1448729</v>
      </c>
      <c r="R4247">
        <v>-0.98809469999999999</v>
      </c>
      <c r="S4247">
        <v>-1.2348939999999999</v>
      </c>
      <c r="T4247">
        <v>-0.70925799999999894</v>
      </c>
      <c r="U4247">
        <v>-3.071609</v>
      </c>
      <c r="V4247">
        <v>-9.2406119999999994E-2</v>
      </c>
      <c r="W4247">
        <v>0.1527809</v>
      </c>
      <c r="X4247">
        <v>0.98393039999999998</v>
      </c>
      <c r="Y4247">
        <v>0.2266193</v>
      </c>
      <c r="Z4247">
        <v>0.21085660000000001</v>
      </c>
      <c r="AA4247">
        <v>0.95088550000000005</v>
      </c>
      <c r="AB4247">
        <v>22</v>
      </c>
      <c r="AC4247">
        <v>-0.27449999999998898</v>
      </c>
      <c r="AD4247">
        <v>-0.1735051</v>
      </c>
      <c r="AE4247">
        <v>-0.53209999999999902</v>
      </c>
      <c r="AF4247">
        <v>0.179655113641807</v>
      </c>
      <c r="AG4247">
        <v>-0.1735051</v>
      </c>
      <c r="AH4247">
        <v>0.52231460247776296</v>
      </c>
      <c r="AI4247">
        <v>107.438687690951</v>
      </c>
      <c r="AJ4247">
        <v>71.018853576863705</v>
      </c>
      <c r="AK4247">
        <v>0.57895813626303205</v>
      </c>
      <c r="AL4247">
        <v>81.211881336462</v>
      </c>
      <c r="AM4247">
        <v>95.365213450317</v>
      </c>
      <c r="AN4247">
        <v>0.99999996323121099</v>
      </c>
    </row>
    <row r="4248" spans="1:40" x14ac:dyDescent="0.25">
      <c r="A4248" t="str">
        <f>"20190312172750142"</f>
        <v>20190312172750142</v>
      </c>
      <c r="B4248" t="str">
        <f>"1552382870133966"</f>
        <v>1552382870133966</v>
      </c>
      <c r="C4248" t="s">
        <v>40</v>
      </c>
      <c r="D4248">
        <v>3.1800989999999998</v>
      </c>
      <c r="E4248">
        <v>0.64173019999999903</v>
      </c>
      <c r="F4248" t="s">
        <v>44</v>
      </c>
      <c r="G4248">
        <v>-422.41910000000001</v>
      </c>
      <c r="H4248">
        <v>0.94399310000000003</v>
      </c>
      <c r="I4248">
        <v>110.7471</v>
      </c>
      <c r="J4248">
        <v>-422.15629999999999</v>
      </c>
      <c r="K4248">
        <v>1.1118589999999999</v>
      </c>
      <c r="L4248">
        <v>111.2615</v>
      </c>
      <c r="M4248">
        <v>-0.14045969999999999</v>
      </c>
      <c r="N4248">
        <v>0</v>
      </c>
      <c r="O4248">
        <v>-0.99004939999999997</v>
      </c>
      <c r="P4248">
        <v>-4.7576769999999997E-2</v>
      </c>
      <c r="Q4248">
        <v>0.1453401</v>
      </c>
      <c r="R4248">
        <v>-0.98823709999999998</v>
      </c>
      <c r="S4248">
        <v>-1.221222</v>
      </c>
      <c r="T4248">
        <v>-0.70815729999999999</v>
      </c>
      <c r="U4248">
        <v>-3.0759889999999999</v>
      </c>
      <c r="V4248">
        <v>-9.2598929999999996E-2</v>
      </c>
      <c r="W4248">
        <v>0.15323519999999999</v>
      </c>
      <c r="X4248">
        <v>0.98384170000000004</v>
      </c>
      <c r="Y4248">
        <v>0.2264708</v>
      </c>
      <c r="Z4248">
        <v>0.2106229</v>
      </c>
      <c r="AA4248">
        <v>0.9509727</v>
      </c>
      <c r="AB4248">
        <v>22</v>
      </c>
      <c r="AC4248">
        <v>-0.26280000000002601</v>
      </c>
      <c r="AD4248">
        <v>-0.16786589999999901</v>
      </c>
      <c r="AE4248">
        <v>-0.51439999999999397</v>
      </c>
      <c r="AF4248">
        <v>0.17330367906428501</v>
      </c>
      <c r="AG4248">
        <v>-0.16786589999999901</v>
      </c>
      <c r="AH4248">
        <v>0.50367797764230304</v>
      </c>
      <c r="AI4248">
        <v>107.49208884228</v>
      </c>
      <c r="AJ4248">
        <v>71.012871495869902</v>
      </c>
      <c r="AK4248">
        <v>0.55848422602779701</v>
      </c>
      <c r="AL4248">
        <v>81.185542389695698</v>
      </c>
      <c r="AM4248">
        <v>95.376824580141999</v>
      </c>
      <c r="AN4248">
        <v>1.0000000395075299</v>
      </c>
    </row>
    <row r="4249" spans="1:40" x14ac:dyDescent="0.25">
      <c r="A4249" t="str">
        <f>"20190312172750275"</f>
        <v>20190312172750275</v>
      </c>
      <c r="B4249" t="str">
        <f>"1552382870263770"</f>
        <v>1552382870263770</v>
      </c>
      <c r="C4249" t="s">
        <v>40</v>
      </c>
      <c r="D4249">
        <v>3.8877950000000001</v>
      </c>
      <c r="E4249">
        <v>0.47130739999999999</v>
      </c>
      <c r="F4249" t="s">
        <v>44</v>
      </c>
      <c r="G4249">
        <v>-422.56830000000002</v>
      </c>
      <c r="H4249">
        <v>0.93231790000000003</v>
      </c>
      <c r="I4249">
        <v>109.3784</v>
      </c>
      <c r="J4249">
        <v>-422.29919999999998</v>
      </c>
      <c r="K4249">
        <v>1.111936</v>
      </c>
      <c r="L4249">
        <v>109.9588</v>
      </c>
      <c r="M4249">
        <v>-0.11598020000000001</v>
      </c>
      <c r="N4249">
        <v>0</v>
      </c>
      <c r="O4249">
        <v>-0.99321530000000002</v>
      </c>
      <c r="P4249">
        <v>-2.0643640000000001E-2</v>
      </c>
      <c r="Q4249">
        <v>0.14587410000000001</v>
      </c>
      <c r="R4249">
        <v>-0.98908790000000002</v>
      </c>
      <c r="S4249">
        <v>-1.1362920000000001</v>
      </c>
      <c r="T4249">
        <v>-0.70484239999999998</v>
      </c>
      <c r="U4249">
        <v>-3.1079249999999998</v>
      </c>
      <c r="V4249">
        <v>-9.5144000000000006E-2</v>
      </c>
      <c r="W4249">
        <v>0.1536814</v>
      </c>
      <c r="X4249">
        <v>0.98352919999999999</v>
      </c>
      <c r="Y4249">
        <v>0.2244756</v>
      </c>
      <c r="Z4249">
        <v>0.20973120000000001</v>
      </c>
      <c r="AA4249">
        <v>0.95164249999999995</v>
      </c>
      <c r="AB4249">
        <v>22</v>
      </c>
      <c r="AC4249">
        <v>-0.26910000000003698</v>
      </c>
      <c r="AD4249">
        <v>-0.1796181</v>
      </c>
      <c r="AE4249">
        <v>-0.58039999999999703</v>
      </c>
      <c r="AF4249">
        <v>0.185355325858098</v>
      </c>
      <c r="AG4249">
        <v>-0.1796181</v>
      </c>
      <c r="AH4249">
        <v>0.563291155836531</v>
      </c>
      <c r="AI4249">
        <v>106.85131678117401</v>
      </c>
      <c r="AJ4249">
        <v>71.785808331418806</v>
      </c>
      <c r="AK4249">
        <v>0.61960970369679202</v>
      </c>
      <c r="AL4249">
        <v>81.159670394398802</v>
      </c>
      <c r="AM4249">
        <v>95.5254482628375</v>
      </c>
      <c r="AN4249">
        <v>1.0000000203472901</v>
      </c>
    </row>
    <row r="4250" spans="1:40" x14ac:dyDescent="0.25">
      <c r="A4250" t="str">
        <f>"20190312172750298"</f>
        <v>20190312172750298</v>
      </c>
      <c r="B4250" t="str">
        <f>"1552382870294027"</f>
        <v>1552382870294027</v>
      </c>
      <c r="C4250" t="s">
        <v>40</v>
      </c>
      <c r="D4250">
        <v>3.3248120000000001</v>
      </c>
      <c r="E4250">
        <v>0.4734293</v>
      </c>
      <c r="F4250" t="s">
        <v>41</v>
      </c>
      <c r="G4250">
        <v>-421.6268</v>
      </c>
      <c r="H4250" s="1">
        <v>-7.7469719999999998E-7</v>
      </c>
      <c r="I4250">
        <v>100.31480000000001</v>
      </c>
      <c r="J4250">
        <v>-422.32100000000003</v>
      </c>
      <c r="K4250">
        <v>1.1119520000000001</v>
      </c>
      <c r="L4250">
        <v>109.73050000000001</v>
      </c>
      <c r="M4250">
        <v>-0.111694</v>
      </c>
      <c r="N4250">
        <v>0</v>
      </c>
      <c r="O4250">
        <v>-0.99370630000000004</v>
      </c>
      <c r="P4250">
        <v>-1.7093000000000001E-2</v>
      </c>
      <c r="Q4250">
        <v>0.14705699999999999</v>
      </c>
      <c r="R4250">
        <v>-0.98898039999999998</v>
      </c>
      <c r="S4250">
        <v>0.21545410000000001</v>
      </c>
      <c r="T4250">
        <v>-0.35628589999999999</v>
      </c>
      <c r="U4250">
        <v>-3.0901339999999999</v>
      </c>
      <c r="V4250">
        <v>-9.4422510000000001E-2</v>
      </c>
      <c r="W4250">
        <v>0.15485639999999901</v>
      </c>
      <c r="X4250">
        <v>0.98341440000000002</v>
      </c>
      <c r="Y4250">
        <v>-0.18009710000000001</v>
      </c>
      <c r="Z4250">
        <v>0.1123924</v>
      </c>
      <c r="AA4250">
        <v>0.97720669999999998</v>
      </c>
      <c r="AB4250">
        <v>22</v>
      </c>
      <c r="AC4250">
        <v>0.69419999999996596</v>
      </c>
      <c r="AD4250">
        <v>-1.1119527746972</v>
      </c>
      <c r="AE4250">
        <v>-9.4156999999999993</v>
      </c>
      <c r="AF4250">
        <v>-1.71774389706339</v>
      </c>
      <c r="AG4250">
        <v>-1.1119527746972</v>
      </c>
      <c r="AH4250">
        <v>9.1522847024882008</v>
      </c>
      <c r="AI4250">
        <v>96.809425208410602</v>
      </c>
      <c r="AJ4250">
        <v>100.62987859217201</v>
      </c>
      <c r="AK4250">
        <v>9.3782406849288602</v>
      </c>
      <c r="AL4250">
        <v>81.091531965417801</v>
      </c>
      <c r="AM4250">
        <v>95.484440668353798</v>
      </c>
      <c r="AN4250">
        <v>0.99999999857151001</v>
      </c>
    </row>
    <row r="4251" spans="1:40" x14ac:dyDescent="0.25">
      <c r="A4251" t="str">
        <f>"20190312172750320"</f>
        <v>20190312172750320</v>
      </c>
      <c r="B4251" t="str">
        <f>"1552382870313546"</f>
        <v>1552382870313546</v>
      </c>
      <c r="C4251" t="s">
        <v>40</v>
      </c>
      <c r="D4251">
        <v>3.2574920000000001</v>
      </c>
      <c r="E4251">
        <v>0.47355910000000001</v>
      </c>
      <c r="F4251" t="s">
        <v>41</v>
      </c>
      <c r="G4251">
        <v>-421.36919999999998</v>
      </c>
      <c r="H4251" s="1">
        <v>-2.7868179999999998E-6</v>
      </c>
      <c r="I4251">
        <v>95.236050000000006</v>
      </c>
      <c r="J4251">
        <v>-422.34109999999998</v>
      </c>
      <c r="K4251">
        <v>1.111969</v>
      </c>
      <c r="L4251">
        <v>109.5095</v>
      </c>
      <c r="M4251">
        <v>-0.1075525</v>
      </c>
      <c r="N4251">
        <v>0</v>
      </c>
      <c r="O4251">
        <v>-0.99416320000000002</v>
      </c>
      <c r="P4251">
        <v>-1.30565E-2</v>
      </c>
      <c r="Q4251">
        <v>0.1473517</v>
      </c>
      <c r="R4251">
        <v>-0.98899820000000005</v>
      </c>
      <c r="S4251">
        <v>0.20172119999999999</v>
      </c>
      <c r="T4251">
        <v>-0.23566809999999999</v>
      </c>
      <c r="U4251">
        <v>-3.0719599999999998</v>
      </c>
      <c r="V4251">
        <v>-9.4339000000000006E-2</v>
      </c>
      <c r="W4251">
        <v>0.1551419</v>
      </c>
      <c r="X4251">
        <v>0.98337739999999996</v>
      </c>
      <c r="Y4251">
        <v>-0.1722805</v>
      </c>
      <c r="Z4251">
        <v>7.5172660000000002E-2</v>
      </c>
      <c r="AA4251">
        <v>0.98217540000000003</v>
      </c>
      <c r="AB4251">
        <v>22</v>
      </c>
      <c r="AC4251">
        <v>0.97190000000000498</v>
      </c>
      <c r="AD4251">
        <v>-1.1119717868179999</v>
      </c>
      <c r="AE4251">
        <v>-14.273449999999899</v>
      </c>
      <c r="AF4251">
        <v>-2.4864414858017598</v>
      </c>
      <c r="AG4251">
        <v>-1.1119717868179999</v>
      </c>
      <c r="AH4251">
        <v>14.0015299503563</v>
      </c>
      <c r="AI4251">
        <v>94.471115811781502</v>
      </c>
      <c r="AJ4251">
        <v>100.069810496846</v>
      </c>
      <c r="AK4251">
        <v>14.264000612300901</v>
      </c>
      <c r="AL4251">
        <v>81.074973773490498</v>
      </c>
      <c r="AM4251">
        <v>95.479824524693996</v>
      </c>
      <c r="AN4251">
        <v>0.99999998344368402</v>
      </c>
    </row>
    <row r="4252" spans="1:40" x14ac:dyDescent="0.25">
      <c r="A4252" t="str">
        <f>"20190312172750342"</f>
        <v>20190312172750342</v>
      </c>
      <c r="B4252" t="str">
        <f>"1552382870334043"</f>
        <v>1552382870334043</v>
      </c>
      <c r="C4252" t="s">
        <v>40</v>
      </c>
      <c r="D4252">
        <v>3.2811430000000001</v>
      </c>
      <c r="E4252">
        <v>0.4741245</v>
      </c>
      <c r="F4252" t="s">
        <v>41</v>
      </c>
      <c r="G4252">
        <v>-421.22629999999998</v>
      </c>
      <c r="H4252" s="1">
        <v>-1.882372E-6</v>
      </c>
      <c r="I4252">
        <v>93.216380000000001</v>
      </c>
      <c r="J4252">
        <v>-422.36070000000001</v>
      </c>
      <c r="K4252">
        <v>1.1119829999999999</v>
      </c>
      <c r="L4252">
        <v>109.2838</v>
      </c>
      <c r="M4252">
        <v>-0.1033347</v>
      </c>
      <c r="N4252">
        <v>0</v>
      </c>
      <c r="O4252">
        <v>-0.99461060000000001</v>
      </c>
      <c r="P4252">
        <v>-9.3833819999999991E-3</v>
      </c>
      <c r="Q4252">
        <v>0.14862149999999999</v>
      </c>
      <c r="R4252">
        <v>-0.98885009999999995</v>
      </c>
      <c r="S4252">
        <v>0.20986940000000001</v>
      </c>
      <c r="T4252">
        <v>-0.20934050000000001</v>
      </c>
      <c r="U4252">
        <v>-3.0673520000000001</v>
      </c>
      <c r="V4252">
        <v>-9.3811290000000006E-2</v>
      </c>
      <c r="W4252">
        <v>0.15640470000000001</v>
      </c>
      <c r="X4252">
        <v>0.98322779999999999</v>
      </c>
      <c r="Y4252">
        <v>-0.17083690000000001</v>
      </c>
      <c r="Z4252">
        <v>6.6963850000000005E-2</v>
      </c>
      <c r="AA4252">
        <v>0.98302109999999998</v>
      </c>
      <c r="AB4252">
        <v>22</v>
      </c>
      <c r="AC4252">
        <v>1.1344000000000201</v>
      </c>
      <c r="AD4252">
        <v>-1.111984882372</v>
      </c>
      <c r="AE4252">
        <v>-16.067419999999998</v>
      </c>
      <c r="AF4252">
        <v>-2.7754805628464201</v>
      </c>
      <c r="AG4252">
        <v>-1.111984882372</v>
      </c>
      <c r="AH4252">
        <v>15.7889234378033</v>
      </c>
      <c r="AI4252">
        <v>93.967943261956606</v>
      </c>
      <c r="AJ4252">
        <v>99.969967165175404</v>
      </c>
      <c r="AK4252">
        <v>16.069533473569599</v>
      </c>
      <c r="AL4252">
        <v>81.001726188923598</v>
      </c>
      <c r="AM4252">
        <v>95.450180855434596</v>
      </c>
      <c r="AN4252">
        <v>0.99999994750319499</v>
      </c>
    </row>
    <row r="4253" spans="1:40" x14ac:dyDescent="0.25">
      <c r="A4253" t="str">
        <f>"20190312172750365"</f>
        <v>20190312172750365</v>
      </c>
      <c r="B4253" t="str">
        <f>"1552382870353563"</f>
        <v>1552382870353563</v>
      </c>
      <c r="C4253" t="s">
        <v>40</v>
      </c>
      <c r="D4253">
        <v>3.2749350000000002</v>
      </c>
      <c r="E4253">
        <v>0.47475040000000002</v>
      </c>
      <c r="F4253" t="s">
        <v>41</v>
      </c>
      <c r="G4253">
        <v>-421.12569999999999</v>
      </c>
      <c r="H4253" s="1">
        <v>-1.1978190000000001E-6</v>
      </c>
      <c r="I4253">
        <v>91.683049999999994</v>
      </c>
      <c r="J4253">
        <v>-422.37909999999999</v>
      </c>
      <c r="K4253">
        <v>1.1119939999999999</v>
      </c>
      <c r="L4253">
        <v>109.06100000000001</v>
      </c>
      <c r="M4253">
        <v>-9.9185750000000003E-2</v>
      </c>
      <c r="N4253">
        <v>0</v>
      </c>
      <c r="O4253">
        <v>-0.99503299999999995</v>
      </c>
      <c r="P4253">
        <v>-6.3681800000000002E-3</v>
      </c>
      <c r="Q4253">
        <v>0.15040899999999999</v>
      </c>
      <c r="R4253">
        <v>-0.98860369999999997</v>
      </c>
      <c r="S4253">
        <v>0.21505740000000001</v>
      </c>
      <c r="T4253">
        <v>-0.19363939999999999</v>
      </c>
      <c r="U4253">
        <v>-3.064972</v>
      </c>
      <c r="V4253">
        <v>-9.2693079999999997E-2</v>
      </c>
      <c r="W4253">
        <v>0.15819040000000001</v>
      </c>
      <c r="X4253">
        <v>0.98304820000000004</v>
      </c>
      <c r="Y4253">
        <v>-0.168458</v>
      </c>
      <c r="Z4253">
        <v>6.2059089999999997E-2</v>
      </c>
      <c r="AA4253">
        <v>0.98375330000000005</v>
      </c>
      <c r="AB4253">
        <v>23</v>
      </c>
      <c r="AC4253">
        <v>1.2533999999999901</v>
      </c>
      <c r="AD4253">
        <v>-1.1119951978189999</v>
      </c>
      <c r="AE4253">
        <v>-17.377949999999998</v>
      </c>
      <c r="AF4253">
        <v>-2.9588729773053899</v>
      </c>
      <c r="AG4253">
        <v>-1.1119951978189999</v>
      </c>
      <c r="AH4253">
        <v>17.098280346234201</v>
      </c>
      <c r="AI4253">
        <v>93.666674105564596</v>
      </c>
      <c r="AJ4253">
        <v>99.817853554288803</v>
      </c>
      <c r="AK4253">
        <v>17.388003146256299</v>
      </c>
      <c r="AL4253">
        <v>80.898123728970603</v>
      </c>
      <c r="AM4253">
        <v>95.386578305978304</v>
      </c>
      <c r="AN4253">
        <v>0.999999986627643</v>
      </c>
    </row>
    <row r="4254" spans="1:40" x14ac:dyDescent="0.25">
      <c r="A4254" t="str">
        <f>"20190312172750388"</f>
        <v>20190312172750388</v>
      </c>
      <c r="B4254" t="str">
        <f>"1552382870383818"</f>
        <v>1552382870383818</v>
      </c>
      <c r="C4254" t="s">
        <v>40</v>
      </c>
      <c r="D4254">
        <v>3.2111499999999999</v>
      </c>
      <c r="E4254">
        <v>0.47515639999999998</v>
      </c>
      <c r="F4254" t="s">
        <v>41</v>
      </c>
      <c r="G4254">
        <v>-421.03919999999999</v>
      </c>
      <c r="H4254" s="1">
        <v>-5.9389819999999997E-7</v>
      </c>
      <c r="I4254">
        <v>90.328959999999995</v>
      </c>
      <c r="J4254">
        <v>-422.39699999999999</v>
      </c>
      <c r="K4254">
        <v>1.111993</v>
      </c>
      <c r="L4254">
        <v>108.8342</v>
      </c>
      <c r="M4254">
        <v>-9.4986849999999998E-2</v>
      </c>
      <c r="N4254">
        <v>0</v>
      </c>
      <c r="O4254">
        <v>-0.99544270000000001</v>
      </c>
      <c r="P4254">
        <v>-3.0778149999999998E-3</v>
      </c>
      <c r="Q4254">
        <v>0.15139810000000001</v>
      </c>
      <c r="R4254">
        <v>-0.98846849999999997</v>
      </c>
      <c r="S4254">
        <v>0.2191467</v>
      </c>
      <c r="T4254">
        <v>-0.18186869999999999</v>
      </c>
      <c r="U4254">
        <v>-3.06366</v>
      </c>
      <c r="V4254">
        <v>-9.1807319999999998E-2</v>
      </c>
      <c r="W4254">
        <v>0.1591795</v>
      </c>
      <c r="X4254">
        <v>0.9829717</v>
      </c>
      <c r="Y4254">
        <v>-0.16565089999999999</v>
      </c>
      <c r="Z4254">
        <v>5.8372899999999998E-2</v>
      </c>
      <c r="AA4254">
        <v>0.98445530000000003</v>
      </c>
      <c r="AB4254">
        <v>23</v>
      </c>
      <c r="AC4254">
        <v>1.3577999999999899</v>
      </c>
      <c r="AD4254">
        <v>-1.1119935938982</v>
      </c>
      <c r="AE4254">
        <v>-18.505240000000001</v>
      </c>
      <c r="AF4254">
        <v>-3.0983495424029699</v>
      </c>
      <c r="AG4254">
        <v>-1.1119935938982</v>
      </c>
      <c r="AH4254">
        <v>18.227121511794799</v>
      </c>
      <c r="AI4254">
        <v>93.441901353429202</v>
      </c>
      <c r="AJ4254">
        <v>99.647247572066703</v>
      </c>
      <c r="AK4254">
        <v>18.521993905773499</v>
      </c>
      <c r="AL4254">
        <v>80.840725590420803</v>
      </c>
      <c r="AM4254">
        <v>95.335816339613004</v>
      </c>
      <c r="AN4254">
        <v>1.00000003011336</v>
      </c>
    </row>
    <row r="4255" spans="1:40" x14ac:dyDescent="0.25">
      <c r="A4255" t="str">
        <f>"20190312172750412"</f>
        <v>20190312172750412</v>
      </c>
      <c r="B4255" t="str">
        <f>"1552382870403340"</f>
        <v>1552382870403340</v>
      </c>
      <c r="C4255" t="s">
        <v>40</v>
      </c>
      <c r="D4255">
        <v>3.2722449999999998</v>
      </c>
      <c r="E4255">
        <v>0.47544989999999998</v>
      </c>
      <c r="F4255" t="s">
        <v>41</v>
      </c>
      <c r="G4255">
        <v>-420.9323</v>
      </c>
      <c r="H4255" s="1">
        <v>-4.2394819999999997E-6</v>
      </c>
      <c r="I4255">
        <v>88.958749999999995</v>
      </c>
      <c r="J4255">
        <v>-422.41419999999999</v>
      </c>
      <c r="K4255">
        <v>1.1119760000000001</v>
      </c>
      <c r="L4255">
        <v>108.60120000000001</v>
      </c>
      <c r="M4255">
        <v>-9.0713150000000006E-2</v>
      </c>
      <c r="N4255">
        <v>0</v>
      </c>
      <c r="O4255">
        <v>-0.99584099999999998</v>
      </c>
      <c r="P4255">
        <v>5.9387269999999998E-4</v>
      </c>
      <c r="Q4255">
        <v>0.1509568</v>
      </c>
      <c r="R4255">
        <v>-0.98854039999999999</v>
      </c>
      <c r="S4255">
        <v>0.22564699999999999</v>
      </c>
      <c r="T4255">
        <v>-0.17130970000000001</v>
      </c>
      <c r="U4255">
        <v>-3.0619350000000001</v>
      </c>
      <c r="V4255">
        <v>-9.1237890000000002E-2</v>
      </c>
      <c r="W4255">
        <v>0.15873409999999999</v>
      </c>
      <c r="X4255">
        <v>0.98309669999999905</v>
      </c>
      <c r="Y4255">
        <v>-0.16355</v>
      </c>
      <c r="Z4255">
        <v>5.5064469999999997E-2</v>
      </c>
      <c r="AA4255">
        <v>0.98499709999999996</v>
      </c>
      <c r="AB4255">
        <v>23</v>
      </c>
      <c r="AC4255">
        <v>1.48189999999999</v>
      </c>
      <c r="AD4255">
        <v>-1.111980239482</v>
      </c>
      <c r="AE4255">
        <v>-19.64245</v>
      </c>
      <c r="AF4255">
        <v>-3.2473340860008899</v>
      </c>
      <c r="AG4255">
        <v>-1.111980239482</v>
      </c>
      <c r="AH4255">
        <v>19.365315948607002</v>
      </c>
      <c r="AI4255">
        <v>93.241229149603598</v>
      </c>
      <c r="AJ4255">
        <v>99.519257871146095</v>
      </c>
      <c r="AK4255">
        <v>19.667158933320199</v>
      </c>
      <c r="AL4255">
        <v>80.866573446021803</v>
      </c>
      <c r="AM4255">
        <v>95.302240063155807</v>
      </c>
      <c r="AN4255">
        <v>0.99999999431267494</v>
      </c>
    </row>
    <row r="4256" spans="1:40" x14ac:dyDescent="0.25">
      <c r="A4256" t="str">
        <f>"20190312172750432"</f>
        <v>20190312172750432</v>
      </c>
      <c r="B4256" t="str">
        <f>"1552382870423834"</f>
        <v>1552382870423834</v>
      </c>
      <c r="C4256" t="s">
        <v>40</v>
      </c>
      <c r="D4256">
        <v>3.2337940000000001</v>
      </c>
      <c r="E4256">
        <v>0.4757979</v>
      </c>
      <c r="F4256" t="s">
        <v>41</v>
      </c>
      <c r="G4256">
        <v>-420.89210000000003</v>
      </c>
      <c r="H4256" s="1">
        <v>-4.144143E-6</v>
      </c>
      <c r="I4256">
        <v>88.699550000000002</v>
      </c>
      <c r="J4256">
        <v>-422.42950000000002</v>
      </c>
      <c r="K4256">
        <v>1.1119570000000001</v>
      </c>
      <c r="L4256">
        <v>108.38460000000001</v>
      </c>
      <c r="M4256">
        <v>-8.6780330000000003E-2</v>
      </c>
      <c r="N4256">
        <v>0</v>
      </c>
      <c r="O4256">
        <v>-0.99619170000000001</v>
      </c>
      <c r="P4256">
        <v>3.909961E-3</v>
      </c>
      <c r="Q4256">
        <v>0.15041289999999999</v>
      </c>
      <c r="R4256">
        <v>-0.98861589999999999</v>
      </c>
      <c r="S4256">
        <v>0.23410030000000001</v>
      </c>
      <c r="T4256">
        <v>-0.1710149</v>
      </c>
      <c r="U4256">
        <v>-3.0607449999999998</v>
      </c>
      <c r="V4256">
        <v>-9.065107E-2</v>
      </c>
      <c r="W4256">
        <v>0.1581852</v>
      </c>
      <c r="X4256">
        <v>0.98323950000000004</v>
      </c>
      <c r="Y4256">
        <v>-0.16238820000000001</v>
      </c>
      <c r="Z4256">
        <v>5.502025E-2</v>
      </c>
      <c r="AA4256">
        <v>0.98519179999999995</v>
      </c>
      <c r="AB4256">
        <v>23</v>
      </c>
      <c r="AC4256">
        <v>1.5373999999999901</v>
      </c>
      <c r="AD4256">
        <v>-1.111961144143</v>
      </c>
      <c r="AE4256">
        <v>-19.68505</v>
      </c>
      <c r="AF4256">
        <v>-3.22969273164346</v>
      </c>
      <c r="AG4256">
        <v>-1.111961144143</v>
      </c>
      <c r="AH4256">
        <v>19.415784215108499</v>
      </c>
      <c r="AI4256">
        <v>93.233471380974393</v>
      </c>
      <c r="AJ4256">
        <v>99.444314888351599</v>
      </c>
      <c r="AK4256">
        <v>19.713955701851699</v>
      </c>
      <c r="AL4256">
        <v>80.898425994416897</v>
      </c>
      <c r="AM4256">
        <v>95.267569013395203</v>
      </c>
      <c r="AN4256">
        <v>1.00000004417571</v>
      </c>
    </row>
    <row r="4257" spans="1:40" x14ac:dyDescent="0.25">
      <c r="A4257" t="str">
        <f>"20190312172750455"</f>
        <v>20190312172750455</v>
      </c>
      <c r="B4257" t="str">
        <f>"1552382870443355"</f>
        <v>1552382870443355</v>
      </c>
      <c r="C4257" t="s">
        <v>40</v>
      </c>
      <c r="D4257">
        <v>3.3120470000000002</v>
      </c>
      <c r="E4257">
        <v>0.47604350000000001</v>
      </c>
      <c r="F4257" t="s">
        <v>41</v>
      </c>
      <c r="G4257">
        <v>-420.8784</v>
      </c>
      <c r="H4257" s="1">
        <v>-4.1495590000000004E-6</v>
      </c>
      <c r="I4257">
        <v>88.722569999999905</v>
      </c>
      <c r="J4257">
        <v>-422.44470000000001</v>
      </c>
      <c r="K4257">
        <v>1.1119289999999999</v>
      </c>
      <c r="L4257">
        <v>108.1562</v>
      </c>
      <c r="M4257">
        <v>-8.2676429999999995E-2</v>
      </c>
      <c r="N4257">
        <v>0</v>
      </c>
      <c r="O4257">
        <v>-0.9965408</v>
      </c>
      <c r="P4257">
        <v>7.2463269999999899E-3</v>
      </c>
      <c r="Q4257">
        <v>0.14974789999999999</v>
      </c>
      <c r="R4257">
        <v>-0.98869790000000002</v>
      </c>
      <c r="S4257">
        <v>0.241394</v>
      </c>
      <c r="T4257">
        <v>-0.1730497</v>
      </c>
      <c r="U4257">
        <v>-3.0599210000000001</v>
      </c>
      <c r="V4257">
        <v>-8.9915800000000004E-2</v>
      </c>
      <c r="W4257">
        <v>0.15751509999999999</v>
      </c>
      <c r="X4257">
        <v>0.98341449999999997</v>
      </c>
      <c r="Y4257">
        <v>-0.16067519999999999</v>
      </c>
      <c r="Z4257">
        <v>5.572005E-2</v>
      </c>
      <c r="AA4257">
        <v>0.98543329999999996</v>
      </c>
      <c r="AB4257">
        <v>23</v>
      </c>
      <c r="AC4257">
        <v>1.56630000000001</v>
      </c>
      <c r="AD4257">
        <v>-1.1119331495589999</v>
      </c>
      <c r="AE4257">
        <v>-19.433630000000001</v>
      </c>
      <c r="AF4257">
        <v>-3.1574275171401198</v>
      </c>
      <c r="AG4257">
        <v>-1.1119331495589999</v>
      </c>
      <c r="AH4257">
        <v>19.175222138458299</v>
      </c>
      <c r="AI4257">
        <v>93.274751999735898</v>
      </c>
      <c r="AJ4257">
        <v>99.350522897683703</v>
      </c>
      <c r="AK4257">
        <v>19.465222524140401</v>
      </c>
      <c r="AL4257">
        <v>80.937306654519105</v>
      </c>
      <c r="AM4257">
        <v>95.224156591454701</v>
      </c>
      <c r="AN4257">
        <v>0.99999996831394899</v>
      </c>
    </row>
    <row r="4258" spans="1:40" x14ac:dyDescent="0.25">
      <c r="A4258" t="str">
        <f>"20190312172750476"</f>
        <v>20190312172750476</v>
      </c>
      <c r="B4258" t="str">
        <f>"1552382870473611"</f>
        <v>1552382870473611</v>
      </c>
      <c r="C4258" t="s">
        <v>40</v>
      </c>
      <c r="D4258">
        <v>3.295185</v>
      </c>
      <c r="E4258">
        <v>0.47650330000000002</v>
      </c>
      <c r="F4258" t="s">
        <v>41</v>
      </c>
      <c r="G4258">
        <v>-420.84559999999999</v>
      </c>
      <c r="H4258" s="1">
        <v>-4.0642E-6</v>
      </c>
      <c r="I4258">
        <v>88.538390000000007</v>
      </c>
      <c r="J4258">
        <v>-422.45850000000002</v>
      </c>
      <c r="K4258">
        <v>1.1118939999999999</v>
      </c>
      <c r="L4258">
        <v>107.9366</v>
      </c>
      <c r="M4258">
        <v>-7.8782130000000006E-2</v>
      </c>
      <c r="N4258">
        <v>0</v>
      </c>
      <c r="O4258">
        <v>-0.99685630000000003</v>
      </c>
      <c r="P4258">
        <v>1.0009270000000001E-2</v>
      </c>
      <c r="Q4258">
        <v>0.14933750000000001</v>
      </c>
      <c r="R4258">
        <v>-0.98873580000000005</v>
      </c>
      <c r="S4258">
        <v>0.24932860000000001</v>
      </c>
      <c r="T4258">
        <v>-0.17336750000000001</v>
      </c>
      <c r="U4258">
        <v>-3.058716</v>
      </c>
      <c r="V4258">
        <v>-8.8815050000000006E-2</v>
      </c>
      <c r="W4258">
        <v>0.15709699999999999</v>
      </c>
      <c r="X4258">
        <v>0.98358140000000005</v>
      </c>
      <c r="Y4258">
        <v>-0.15938849999999999</v>
      </c>
      <c r="Z4258">
        <v>5.5870799999999998E-2</v>
      </c>
      <c r="AA4258">
        <v>0.98563369999999995</v>
      </c>
      <c r="AB4258">
        <v>23</v>
      </c>
      <c r="AC4258">
        <v>1.61290000000002</v>
      </c>
      <c r="AD4258">
        <v>-1.1118980642</v>
      </c>
      <c r="AE4258">
        <v>-19.398209999999899</v>
      </c>
      <c r="AF4258">
        <v>-3.1259730069734899</v>
      </c>
      <c r="AG4258">
        <v>-1.1118980642</v>
      </c>
      <c r="AH4258">
        <v>19.148360388389801</v>
      </c>
      <c r="AI4258">
        <v>93.279970219037295</v>
      </c>
      <c r="AJ4258">
        <v>99.271756817724693</v>
      </c>
      <c r="AK4258">
        <v>19.433675157034902</v>
      </c>
      <c r="AL4258">
        <v>80.961564092832901</v>
      </c>
      <c r="AM4258">
        <v>95.159678914768406</v>
      </c>
      <c r="AN4258">
        <v>0.99999997547073105</v>
      </c>
    </row>
    <row r="4259" spans="1:40" x14ac:dyDescent="0.25">
      <c r="A4259" t="str">
        <f>"20190312172750499"</f>
        <v>20190312172750499</v>
      </c>
      <c r="B4259" t="str">
        <f>"1552382870494107"</f>
        <v>1552382870494107</v>
      </c>
      <c r="C4259" t="s">
        <v>40</v>
      </c>
      <c r="D4259">
        <v>3.3023280000000002</v>
      </c>
      <c r="E4259">
        <v>0.47682190000000002</v>
      </c>
      <c r="F4259" t="s">
        <v>41</v>
      </c>
      <c r="G4259">
        <v>-420.8048</v>
      </c>
      <c r="H4259" s="1">
        <v>-3.8396940000000001E-6</v>
      </c>
      <c r="I4259">
        <v>88.04034</v>
      </c>
      <c r="J4259">
        <v>-422.47219999999999</v>
      </c>
      <c r="K4259">
        <v>1.111861</v>
      </c>
      <c r="L4259">
        <v>107.705</v>
      </c>
      <c r="M4259">
        <v>-7.4738070000000004E-2</v>
      </c>
      <c r="N4259">
        <v>0</v>
      </c>
      <c r="O4259">
        <v>-0.9971679</v>
      </c>
      <c r="P4259">
        <v>1.324109E-2</v>
      </c>
      <c r="Q4259">
        <v>0.14903920000000001</v>
      </c>
      <c r="R4259">
        <v>-0.98874269999999997</v>
      </c>
      <c r="S4259">
        <v>0.25411990000000001</v>
      </c>
      <c r="T4259">
        <v>-0.1708636</v>
      </c>
      <c r="U4259">
        <v>-3.0574340000000002</v>
      </c>
      <c r="V4259">
        <v>-8.8031139999999994E-2</v>
      </c>
      <c r="W4259">
        <v>0.1567791</v>
      </c>
      <c r="X4259">
        <v>0.98370259999999998</v>
      </c>
      <c r="Y4259">
        <v>-0.15695499999999901</v>
      </c>
      <c r="Z4259">
        <v>5.5122709999999998E-2</v>
      </c>
      <c r="AA4259">
        <v>0.9860662</v>
      </c>
      <c r="AB4259">
        <v>23</v>
      </c>
      <c r="AC4259">
        <v>1.66739999999998</v>
      </c>
      <c r="AD4259">
        <v>-1.1118648396940001</v>
      </c>
      <c r="AE4259">
        <v>-19.664660000000001</v>
      </c>
      <c r="AF4259">
        <v>-3.1225754080337</v>
      </c>
      <c r="AG4259">
        <v>-1.1118648396940001</v>
      </c>
      <c r="AH4259">
        <v>19.423383687987599</v>
      </c>
      <c r="AI4259">
        <v>93.234797453284202</v>
      </c>
      <c r="AJ4259">
        <v>99.132937496347495</v>
      </c>
      <c r="AK4259">
        <v>19.704176067305799</v>
      </c>
      <c r="AL4259">
        <v>80.980007057936405</v>
      </c>
      <c r="AM4259">
        <v>95.113753739297906</v>
      </c>
      <c r="AN4259">
        <v>0.99999998652663402</v>
      </c>
    </row>
    <row r="4260" spans="1:40" x14ac:dyDescent="0.25">
      <c r="A4260" t="str">
        <f>"20190312172750522"</f>
        <v>20190312172750522</v>
      </c>
      <c r="B4260" t="str">
        <f>"1552382870513626"</f>
        <v>1552382870513626</v>
      </c>
      <c r="C4260" t="s">
        <v>40</v>
      </c>
      <c r="D4260">
        <v>3.3264040000000001</v>
      </c>
      <c r="E4260">
        <v>0.47717609999999999</v>
      </c>
      <c r="F4260" t="s">
        <v>41</v>
      </c>
      <c r="G4260">
        <v>-420.75790000000001</v>
      </c>
      <c r="H4260" s="1">
        <v>-3.677987E-6</v>
      </c>
      <c r="I4260">
        <v>87.692530000000005</v>
      </c>
      <c r="J4260">
        <v>-422.48500000000001</v>
      </c>
      <c r="K4260">
        <v>1.11182</v>
      </c>
      <c r="L4260">
        <v>107.4757</v>
      </c>
      <c r="M4260">
        <v>-7.0810490000000004E-2</v>
      </c>
      <c r="N4260">
        <v>0</v>
      </c>
      <c r="O4260">
        <v>-0.99745490000000003</v>
      </c>
      <c r="P4260">
        <v>1.5517100000000001E-2</v>
      </c>
      <c r="Q4260">
        <v>0.14933569999999999</v>
      </c>
      <c r="R4260">
        <v>-0.98866469999999995</v>
      </c>
      <c r="S4260">
        <v>0.2618103</v>
      </c>
      <c r="T4260">
        <v>-0.169800799999999</v>
      </c>
      <c r="U4260">
        <v>-3.056244</v>
      </c>
      <c r="V4260">
        <v>-8.6405179999999998E-2</v>
      </c>
      <c r="W4260">
        <v>0.15705179999999999</v>
      </c>
      <c r="X4260">
        <v>0.98380330000000005</v>
      </c>
      <c r="Y4260">
        <v>-0.15556239999999999</v>
      </c>
      <c r="Z4260">
        <v>5.4826220000000002E-2</v>
      </c>
      <c r="AA4260">
        <v>0.98630340000000005</v>
      </c>
      <c r="AB4260">
        <v>23</v>
      </c>
      <c r="AC4260">
        <v>1.7271000000000001</v>
      </c>
      <c r="AD4260">
        <v>-1.1118236779870001</v>
      </c>
      <c r="AE4260">
        <v>-19.783169999999998</v>
      </c>
      <c r="AF4260">
        <v>-3.1139081524469101</v>
      </c>
      <c r="AG4260">
        <v>-1.1118236779870001</v>
      </c>
      <c r="AH4260">
        <v>19.5499242463701</v>
      </c>
      <c r="AI4260">
        <v>93.214527534620203</v>
      </c>
      <c r="AJ4260">
        <v>99.050038354288304</v>
      </c>
      <c r="AK4260">
        <v>19.827559454244899</v>
      </c>
      <c r="AL4260">
        <v>80.9641868926943</v>
      </c>
      <c r="AM4260">
        <v>95.019277170380704</v>
      </c>
      <c r="AN4260">
        <v>1.0000000280524799</v>
      </c>
    </row>
    <row r="4261" spans="1:40" x14ac:dyDescent="0.25">
      <c r="A4261" t="str">
        <f>"20190312172750543"</f>
        <v>20190312172750543</v>
      </c>
      <c r="B4261" t="str">
        <f>"1552382870534123"</f>
        <v>1552382870534123</v>
      </c>
      <c r="C4261" t="s">
        <v>40</v>
      </c>
      <c r="D4261">
        <v>3.2995700000000001</v>
      </c>
      <c r="E4261">
        <v>0.4775354</v>
      </c>
      <c r="F4261" t="s">
        <v>41</v>
      </c>
      <c r="G4261">
        <v>-420.7131</v>
      </c>
      <c r="H4261" s="1">
        <v>-3.4474389999999998E-6</v>
      </c>
      <c r="I4261">
        <v>87.182879999999997</v>
      </c>
      <c r="J4261">
        <v>-422.49689999999998</v>
      </c>
      <c r="K4261">
        <v>1.111774</v>
      </c>
      <c r="L4261">
        <v>107.2453</v>
      </c>
      <c r="M4261">
        <v>-6.6946889999999995E-2</v>
      </c>
      <c r="N4261">
        <v>0</v>
      </c>
      <c r="O4261">
        <v>-0.99772209999999995</v>
      </c>
      <c r="P4261">
        <v>1.743716E-2</v>
      </c>
      <c r="Q4261">
        <v>0.14979310000000001</v>
      </c>
      <c r="R4261">
        <v>-0.98856359999999999</v>
      </c>
      <c r="S4261">
        <v>0.26678469999999999</v>
      </c>
      <c r="T4261">
        <v>-0.1674061</v>
      </c>
      <c r="U4261">
        <v>-3.055466</v>
      </c>
      <c r="V4261">
        <v>-8.4486119999999998E-2</v>
      </c>
      <c r="W4261">
        <v>0.1574817</v>
      </c>
      <c r="X4261">
        <v>0.98390120000000003</v>
      </c>
      <c r="Y4261">
        <v>-0.15335499999999999</v>
      </c>
      <c r="Z4261">
        <v>5.4096529999999997E-2</v>
      </c>
      <c r="AA4261">
        <v>0.98668929999999999</v>
      </c>
      <c r="AB4261">
        <v>23</v>
      </c>
      <c r="AC4261">
        <v>1.7837999999999801</v>
      </c>
      <c r="AD4261">
        <v>-1.1117774474390001</v>
      </c>
      <c r="AE4261">
        <v>-20.0624199999999</v>
      </c>
      <c r="AF4261">
        <v>-3.11347437098269</v>
      </c>
      <c r="AG4261">
        <v>-1.1117774474390001</v>
      </c>
      <c r="AH4261">
        <v>19.8375419407446</v>
      </c>
      <c r="AI4261">
        <v>93.169022450470493</v>
      </c>
      <c r="AJ4261">
        <v>98.919727704199303</v>
      </c>
      <c r="AK4261">
        <v>20.1111372627756</v>
      </c>
      <c r="AL4261">
        <v>80.939244634042893</v>
      </c>
      <c r="AM4261">
        <v>94.907863712396804</v>
      </c>
      <c r="AN4261">
        <v>0.99999998083449204</v>
      </c>
    </row>
    <row r="4262" spans="1:40" x14ac:dyDescent="0.25">
      <c r="A4262" t="str">
        <f>"20190312172750566"</f>
        <v>20190312172750566</v>
      </c>
      <c r="B4262" t="str">
        <f>"1552382870553643"</f>
        <v>1552382870553643</v>
      </c>
      <c r="C4262" t="s">
        <v>40</v>
      </c>
      <c r="D4262">
        <v>3.2993079999999999</v>
      </c>
      <c r="E4262">
        <v>0.47796169999999999</v>
      </c>
      <c r="F4262" t="s">
        <v>41</v>
      </c>
      <c r="G4262">
        <v>-420.67500000000001</v>
      </c>
      <c r="H4262" s="1">
        <v>-3.2091989999999999E-6</v>
      </c>
      <c r="I4262">
        <v>86.651179999999997</v>
      </c>
      <c r="J4262">
        <v>-422.50779999999997</v>
      </c>
      <c r="K4262">
        <v>1.11172</v>
      </c>
      <c r="L4262">
        <v>107.0215</v>
      </c>
      <c r="M4262">
        <v>-6.3279810000000006E-2</v>
      </c>
      <c r="N4262">
        <v>0</v>
      </c>
      <c r="O4262">
        <v>-0.99796189999999996</v>
      </c>
      <c r="P4262">
        <v>1.887047E-2</v>
      </c>
      <c r="Q4262">
        <v>0.15002499999999999</v>
      </c>
      <c r="R4262">
        <v>-0.9885024</v>
      </c>
      <c r="S4262">
        <v>0.2702637</v>
      </c>
      <c r="T4262">
        <v>-0.16492119999999999</v>
      </c>
      <c r="U4262">
        <v>-3.054932</v>
      </c>
      <c r="V4262">
        <v>-8.2275769999999998E-2</v>
      </c>
      <c r="W4262">
        <v>0.15768789999999999</v>
      </c>
      <c r="X4262">
        <v>0.98405549999999997</v>
      </c>
      <c r="Y4262">
        <v>-0.15085670000000001</v>
      </c>
      <c r="Z4262">
        <v>5.3332160000000003E-2</v>
      </c>
      <c r="AA4262">
        <v>0.98711599999999999</v>
      </c>
      <c r="AB4262">
        <v>23</v>
      </c>
      <c r="AC4262">
        <v>1.83279999999996</v>
      </c>
      <c r="AD4262">
        <v>-1.1117232091989999</v>
      </c>
      <c r="AE4262">
        <v>-20.3703199999999</v>
      </c>
      <c r="AF4262">
        <v>-3.1090142833336798</v>
      </c>
      <c r="AG4262">
        <v>-1.1117232091989999</v>
      </c>
      <c r="AH4262">
        <v>20.153961841264199</v>
      </c>
      <c r="AI4262">
        <v>93.120485878192099</v>
      </c>
      <c r="AJ4262">
        <v>98.769502289669603</v>
      </c>
      <c r="AK4262">
        <v>20.422636367692</v>
      </c>
      <c r="AL4262">
        <v>80.927280951006907</v>
      </c>
      <c r="AM4262">
        <v>94.779319638578002</v>
      </c>
      <c r="AN4262">
        <v>1.0000000016078701</v>
      </c>
    </row>
    <row r="4263" spans="1:40" x14ac:dyDescent="0.25">
      <c r="A4263" t="str">
        <f>"20190312172750589"</f>
        <v>20190312172750589</v>
      </c>
      <c r="B4263" t="str">
        <f>"1552382870583898"</f>
        <v>1552382870583898</v>
      </c>
      <c r="C4263" t="s">
        <v>40</v>
      </c>
      <c r="D4263">
        <v>3.2851330000000001</v>
      </c>
      <c r="E4263">
        <v>0.47856599999999999</v>
      </c>
      <c r="F4263" t="s">
        <v>41</v>
      </c>
      <c r="G4263">
        <v>-420.6653</v>
      </c>
      <c r="H4263" s="1">
        <v>-3.0379970000000001E-6</v>
      </c>
      <c r="I4263">
        <v>86.258129999999994</v>
      </c>
      <c r="J4263">
        <v>-422.51889999999997</v>
      </c>
      <c r="K4263">
        <v>1.111656</v>
      </c>
      <c r="L4263">
        <v>106.77809999999999</v>
      </c>
      <c r="M4263">
        <v>-5.9390159999999997E-2</v>
      </c>
      <c r="N4263">
        <v>0</v>
      </c>
      <c r="O4263">
        <v>-0.99820129999999996</v>
      </c>
      <c r="P4263">
        <v>2.0528520000000001E-2</v>
      </c>
      <c r="Q4263">
        <v>0.14968779999999901</v>
      </c>
      <c r="R4263">
        <v>-0.98852030000000002</v>
      </c>
      <c r="S4263">
        <v>0.2710571</v>
      </c>
      <c r="T4263">
        <v>-0.16354730000000001</v>
      </c>
      <c r="U4263">
        <v>-3.054535</v>
      </c>
      <c r="V4263">
        <v>-8.0070260000000004E-2</v>
      </c>
      <c r="W4263">
        <v>0.15731689999999901</v>
      </c>
      <c r="X4263">
        <v>0.98429679999999997</v>
      </c>
      <c r="Y4263">
        <v>-0.14727100000000001</v>
      </c>
      <c r="Z4263">
        <v>5.2928950000000002E-2</v>
      </c>
      <c r="AA4263">
        <v>0.98767899999999997</v>
      </c>
      <c r="AB4263">
        <v>23</v>
      </c>
      <c r="AC4263">
        <v>1.8535999999999699</v>
      </c>
      <c r="AD4263">
        <v>-1.1116590379969999</v>
      </c>
      <c r="AE4263">
        <v>-20.519969999999901</v>
      </c>
      <c r="AF4263">
        <v>-3.0601445517294801</v>
      </c>
      <c r="AG4263">
        <v>-1.1116590379969999</v>
      </c>
      <c r="AH4263">
        <v>20.314519346517599</v>
      </c>
      <c r="AI4263">
        <v>93.097361735952404</v>
      </c>
      <c r="AJ4263">
        <v>98.566529094260702</v>
      </c>
      <c r="AK4263">
        <v>20.573768900575299</v>
      </c>
      <c r="AL4263">
        <v>80.9488065387185</v>
      </c>
      <c r="AM4263">
        <v>94.650638265169405</v>
      </c>
      <c r="AN4263">
        <v>1.00000002202615</v>
      </c>
    </row>
    <row r="4264" spans="1:40" x14ac:dyDescent="0.25">
      <c r="A4264" t="str">
        <f>"20190312172750613"</f>
        <v>20190312172750613</v>
      </c>
      <c r="B4264" t="str">
        <f>"1552382870603928"</f>
        <v>1552382870603928</v>
      </c>
      <c r="C4264" t="s">
        <v>40</v>
      </c>
      <c r="D4264">
        <v>3.2830170000000001</v>
      </c>
      <c r="E4264">
        <v>0.479018</v>
      </c>
      <c r="F4264" t="s">
        <v>41</v>
      </c>
      <c r="G4264">
        <v>-420.70429999999999</v>
      </c>
      <c r="H4264" s="1">
        <v>-3.0817359999999998E-6</v>
      </c>
      <c r="I4264">
        <v>86.335859999999997</v>
      </c>
      <c r="J4264">
        <v>-422.529</v>
      </c>
      <c r="K4264">
        <v>1.1115889999999999</v>
      </c>
      <c r="L4264">
        <v>106.5339</v>
      </c>
      <c r="M4264">
        <v>-5.5594650000000002E-2</v>
      </c>
      <c r="N4264">
        <v>0</v>
      </c>
      <c r="O4264">
        <v>-0.99842039999999999</v>
      </c>
      <c r="P4264">
        <v>2.207077E-2</v>
      </c>
      <c r="Q4264">
        <v>0.1500358</v>
      </c>
      <c r="R4264">
        <v>-0.98843429999999999</v>
      </c>
      <c r="S4264">
        <v>0.27111819999999998</v>
      </c>
      <c r="T4264">
        <v>-0.16609860000000001</v>
      </c>
      <c r="U4264">
        <v>-3.0543819999999999</v>
      </c>
      <c r="V4264">
        <v>-7.7840599999999996E-2</v>
      </c>
      <c r="W4264">
        <v>0.15762019999999999</v>
      </c>
      <c r="X4264">
        <v>0.9844271</v>
      </c>
      <c r="Y4264">
        <v>-0.143529399999999</v>
      </c>
      <c r="Z4264">
        <v>5.378753E-2</v>
      </c>
      <c r="AA4264">
        <v>0.98818329999999999</v>
      </c>
      <c r="AB4264">
        <v>23</v>
      </c>
      <c r="AC4264">
        <v>1.8247</v>
      </c>
      <c r="AD4264">
        <v>-1.1115920817360001</v>
      </c>
      <c r="AE4264">
        <v>-20.198039999999999</v>
      </c>
      <c r="AF4264">
        <v>-2.9359971628322099</v>
      </c>
      <c r="AG4264">
        <v>-1.1115920817360001</v>
      </c>
      <c r="AH4264">
        <v>20.005251532639399</v>
      </c>
      <c r="AI4264">
        <v>93.146731212125701</v>
      </c>
      <c r="AJ4264">
        <v>98.349200660045298</v>
      </c>
      <c r="AK4264">
        <v>20.250081609230801</v>
      </c>
      <c r="AL4264">
        <v>80.931208990771395</v>
      </c>
      <c r="AM4264">
        <v>94.5210838843159</v>
      </c>
      <c r="AN4264">
        <v>1.0000000008354</v>
      </c>
    </row>
    <row r="4265" spans="1:40" x14ac:dyDescent="0.25">
      <c r="A4265" t="str">
        <f>"20190312172750633"</f>
        <v>20190312172750633</v>
      </c>
      <c r="B4265" t="str">
        <f>"1552382870623448"</f>
        <v>1552382870623448</v>
      </c>
      <c r="C4265" t="s">
        <v>40</v>
      </c>
      <c r="D4265">
        <v>3.2605360000000001</v>
      </c>
      <c r="E4265">
        <v>0.47943859999999999</v>
      </c>
      <c r="F4265" t="s">
        <v>41</v>
      </c>
      <c r="G4265">
        <v>-420.71300000000002</v>
      </c>
      <c r="H4265" s="1">
        <v>-3.0151729999999998E-6</v>
      </c>
      <c r="I4265">
        <v>86.175349999999995</v>
      </c>
      <c r="J4265">
        <v>-422.53730000000002</v>
      </c>
      <c r="K4265">
        <v>1.111545</v>
      </c>
      <c r="L4265">
        <v>106.31910000000001</v>
      </c>
      <c r="M4265">
        <v>-5.232705E-2</v>
      </c>
      <c r="N4265">
        <v>0</v>
      </c>
      <c r="O4265">
        <v>-0.99859759999999997</v>
      </c>
      <c r="P4265">
        <v>2.295436E-2</v>
      </c>
      <c r="Q4265">
        <v>0.15088660000000001</v>
      </c>
      <c r="R4265">
        <v>-0.98828490000000002</v>
      </c>
      <c r="S4265">
        <v>0.27246090000000001</v>
      </c>
      <c r="T4265">
        <v>-0.16676939999999901</v>
      </c>
      <c r="U4265">
        <v>-3.0543369999999999</v>
      </c>
      <c r="V4265">
        <v>-7.5480130000000006E-2</v>
      </c>
      <c r="W4265">
        <v>0.1584305</v>
      </c>
      <c r="X4265">
        <v>0.98448089999999999</v>
      </c>
      <c r="Y4265">
        <v>-0.1407215</v>
      </c>
      <c r="Z4265">
        <v>5.4029269999999997E-2</v>
      </c>
      <c r="AA4265">
        <v>0.98857379999999995</v>
      </c>
      <c r="AB4265">
        <v>23</v>
      </c>
      <c r="AC4265">
        <v>1.82429999999999</v>
      </c>
      <c r="AD4265">
        <v>-1.1115480151729999</v>
      </c>
      <c r="AE4265">
        <v>-20.143750000000001</v>
      </c>
      <c r="AF4265">
        <v>-2.8672381852393101</v>
      </c>
      <c r="AG4265">
        <v>-1.1115480151729999</v>
      </c>
      <c r="AH4265">
        <v>19.960404589748499</v>
      </c>
      <c r="AI4265">
        <v>93.155056718448606</v>
      </c>
      <c r="AJ4265">
        <v>98.174408289845999</v>
      </c>
      <c r="AK4265">
        <v>20.195899217103101</v>
      </c>
      <c r="AL4265">
        <v>80.884191971147501</v>
      </c>
      <c r="AM4265">
        <v>94.384288940198999</v>
      </c>
      <c r="AN4265">
        <v>1.00000005790993</v>
      </c>
    </row>
    <row r="4266" spans="1:40" x14ac:dyDescent="0.25">
      <c r="A4266" t="str">
        <f>"20190312172750656"</f>
        <v>20190312172750656</v>
      </c>
      <c r="B4266" t="str">
        <f>"1552382870653704"</f>
        <v>1552382870653704</v>
      </c>
      <c r="C4266" t="s">
        <v>40</v>
      </c>
      <c r="D4266">
        <v>3.2539829999999998</v>
      </c>
      <c r="E4266">
        <v>0.48006369999999998</v>
      </c>
      <c r="F4266" t="s">
        <v>41</v>
      </c>
      <c r="G4266">
        <v>-420.71260000000001</v>
      </c>
      <c r="H4266" s="1">
        <v>-2.8652550000000001E-6</v>
      </c>
      <c r="I4266">
        <v>85.826080000000005</v>
      </c>
      <c r="J4266">
        <v>-422.54579999999999</v>
      </c>
      <c r="K4266">
        <v>1.1115010000000001</v>
      </c>
      <c r="L4266">
        <v>106.0797</v>
      </c>
      <c r="M4266">
        <v>-4.8762470000000002E-2</v>
      </c>
      <c r="N4266">
        <v>0</v>
      </c>
      <c r="O4266">
        <v>-0.99877850000000001</v>
      </c>
      <c r="P4266">
        <v>2.391455E-2</v>
      </c>
      <c r="Q4266">
        <v>0.1517491</v>
      </c>
      <c r="R4266">
        <v>-0.98812960000000005</v>
      </c>
      <c r="S4266">
        <v>0.27197270000000001</v>
      </c>
      <c r="T4266">
        <v>-0.16567870000000001</v>
      </c>
      <c r="U4266">
        <v>-3.054535</v>
      </c>
      <c r="V4266">
        <v>-7.2904209999999997E-2</v>
      </c>
      <c r="W4266">
        <v>0.15924679999999999</v>
      </c>
      <c r="X4266">
        <v>0.98454330000000001</v>
      </c>
      <c r="Y4266">
        <v>-0.13702600000000001</v>
      </c>
      <c r="Z4266">
        <v>5.3702519999999997E-2</v>
      </c>
      <c r="AA4266">
        <v>0.98911059999999995</v>
      </c>
      <c r="AB4266">
        <v>24</v>
      </c>
      <c r="AC4266">
        <v>1.83319999999997</v>
      </c>
      <c r="AD4266">
        <v>-1.111503865255</v>
      </c>
      <c r="AE4266">
        <v>-20.253620000000002</v>
      </c>
      <c r="AF4266">
        <v>-2.81027208465142</v>
      </c>
      <c r="AG4266">
        <v>-1.111503865255</v>
      </c>
      <c r="AH4266">
        <v>20.080145972780599</v>
      </c>
      <c r="AI4266">
        <v>93.137763264540993</v>
      </c>
      <c r="AJ4266">
        <v>97.966956411491395</v>
      </c>
      <c r="AK4266">
        <v>20.306287999544001</v>
      </c>
      <c r="AL4266">
        <v>80.836819838964999</v>
      </c>
      <c r="AM4266">
        <v>94.234952290825007</v>
      </c>
      <c r="AN4266">
        <v>1.00000003836042</v>
      </c>
    </row>
    <row r="4267" spans="1:40" x14ac:dyDescent="0.25">
      <c r="A4267" t="str">
        <f>"20190312172750678"</f>
        <v>20190312172750678</v>
      </c>
      <c r="B4267" t="str">
        <f>"1552382870673223"</f>
        <v>1552382870673223</v>
      </c>
      <c r="C4267" t="s">
        <v>40</v>
      </c>
      <c r="D4267">
        <v>3.210804</v>
      </c>
      <c r="E4267">
        <v>0.48043570000000002</v>
      </c>
      <c r="F4267" t="s">
        <v>41</v>
      </c>
      <c r="G4267">
        <v>-420.72070000000002</v>
      </c>
      <c r="H4267" s="1">
        <v>-2.704372E-6</v>
      </c>
      <c r="I4267">
        <v>85.446039999999996</v>
      </c>
      <c r="J4267">
        <v>-422.5532</v>
      </c>
      <c r="K4267">
        <v>1.111461</v>
      </c>
      <c r="L4267">
        <v>105.8549</v>
      </c>
      <c r="M4267">
        <v>-4.5491370000000003E-2</v>
      </c>
      <c r="N4267">
        <v>0</v>
      </c>
      <c r="O4267">
        <v>-0.99893339999999997</v>
      </c>
      <c r="P4267">
        <v>2.5087950000000001E-2</v>
      </c>
      <c r="Q4267">
        <v>0.150979</v>
      </c>
      <c r="R4267">
        <v>-0.98821879999999995</v>
      </c>
      <c r="S4267">
        <v>0.27020260000000001</v>
      </c>
      <c r="T4267">
        <v>-0.16455639999999999</v>
      </c>
      <c r="U4267">
        <v>-3.0547789999999999</v>
      </c>
      <c r="V4267">
        <v>-7.0837010000000006E-2</v>
      </c>
      <c r="W4267">
        <v>0.1584323</v>
      </c>
      <c r="X4267">
        <v>0.98482559999999997</v>
      </c>
      <c r="Y4267">
        <v>-0.13320709999999999</v>
      </c>
      <c r="Z4267">
        <v>5.336333E-2</v>
      </c>
      <c r="AA4267">
        <v>0.98965049999999999</v>
      </c>
      <c r="AB4267">
        <v>24</v>
      </c>
      <c r="AC4267">
        <v>1.83249999999998</v>
      </c>
      <c r="AD4267">
        <v>-1.1114637043719999</v>
      </c>
      <c r="AE4267">
        <v>-20.408860000000001</v>
      </c>
      <c r="AF4267">
        <v>-2.7509650439301399</v>
      </c>
      <c r="AG4267">
        <v>-1.1114637043719999</v>
      </c>
      <c r="AH4267">
        <v>20.2448011133698</v>
      </c>
      <c r="AI4267">
        <v>93.113891832520196</v>
      </c>
      <c r="AJ4267">
        <v>97.738241769510694</v>
      </c>
      <c r="AK4267">
        <v>20.461063812982999</v>
      </c>
      <c r="AL4267">
        <v>80.884087621870805</v>
      </c>
      <c r="AM4267">
        <v>94.114113110746203</v>
      </c>
      <c r="AN4267">
        <v>1.00000006904219</v>
      </c>
    </row>
    <row r="4268" spans="1:40" x14ac:dyDescent="0.25">
      <c r="A4268" t="str">
        <f>"20190312172750700"</f>
        <v>20190312172750700</v>
      </c>
      <c r="B4268" t="str">
        <f>"1552382870693719"</f>
        <v>1552382870693719</v>
      </c>
      <c r="C4268" t="s">
        <v>40</v>
      </c>
      <c r="D4268">
        <v>3.2053919999999998</v>
      </c>
      <c r="E4268">
        <v>0.48076229999999998</v>
      </c>
      <c r="F4268" t="s">
        <v>41</v>
      </c>
      <c r="G4268">
        <v>-420.76369999999997</v>
      </c>
      <c r="H4268" s="1">
        <v>-2.8035849999999999E-6</v>
      </c>
      <c r="I4268">
        <v>85.650669999999906</v>
      </c>
      <c r="J4268">
        <v>-422.56020000000001</v>
      </c>
      <c r="K4268">
        <v>1.1114200000000001</v>
      </c>
      <c r="L4268">
        <v>105.6151</v>
      </c>
      <c r="M4268">
        <v>-4.2083170000000003E-2</v>
      </c>
      <c r="N4268">
        <v>0</v>
      </c>
      <c r="O4268">
        <v>-0.99908330000000001</v>
      </c>
      <c r="P4268">
        <v>2.6480130000000001E-2</v>
      </c>
      <c r="Q4268">
        <v>0.1498004</v>
      </c>
      <c r="R4268">
        <v>-0.98836170000000001</v>
      </c>
      <c r="S4268">
        <v>0.27053829999999901</v>
      </c>
      <c r="T4268">
        <v>-0.16803589999999999</v>
      </c>
      <c r="U4268">
        <v>-3.0545650000000002</v>
      </c>
      <c r="V4268">
        <v>-6.8850529999999993E-2</v>
      </c>
      <c r="W4268">
        <v>0.15720339999999999</v>
      </c>
      <c r="X4268">
        <v>0.98516329999999996</v>
      </c>
      <c r="Y4268">
        <v>-0.12993379999999999</v>
      </c>
      <c r="Z4268">
        <v>5.4516050000000003E-2</v>
      </c>
      <c r="AA4268">
        <v>0.99002279999999998</v>
      </c>
      <c r="AB4268">
        <v>24</v>
      </c>
      <c r="AC4268">
        <v>1.79650000000003</v>
      </c>
      <c r="AD4268">
        <v>-1.111422803585</v>
      </c>
      <c r="AE4268">
        <v>-19.96443</v>
      </c>
      <c r="AF4268">
        <v>-2.6270245795645999</v>
      </c>
      <c r="AG4268">
        <v>-1.111422803585</v>
      </c>
      <c r="AH4268">
        <v>19.8102358415887</v>
      </c>
      <c r="AI4268">
        <v>93.183315591272205</v>
      </c>
      <c r="AJ4268">
        <v>97.553888797836294</v>
      </c>
      <c r="AK4268">
        <v>20.014543784191801</v>
      </c>
      <c r="AL4268">
        <v>80.955391490982606</v>
      </c>
      <c r="AM4268">
        <v>93.997754486793696</v>
      </c>
      <c r="AN4268">
        <v>1.0000000160598601</v>
      </c>
    </row>
    <row r="4269" spans="1:40" x14ac:dyDescent="0.25">
      <c r="A4269" t="str">
        <f>"20190312172750722"</f>
        <v>20190312172750722</v>
      </c>
      <c r="B4269" t="str">
        <f>"1552382870713746"</f>
        <v>1552382870713746</v>
      </c>
      <c r="C4269" t="s">
        <v>40</v>
      </c>
      <c r="D4269">
        <v>3.1636220000000002</v>
      </c>
      <c r="E4269">
        <v>0.48106120000000002</v>
      </c>
      <c r="F4269" t="s">
        <v>41</v>
      </c>
      <c r="G4269">
        <v>-420.80790000000002</v>
      </c>
      <c r="H4269" s="1">
        <v>-2.9410880000000002E-6</v>
      </c>
      <c r="I4269">
        <v>85.943759999999997</v>
      </c>
      <c r="J4269">
        <v>-422.56650000000002</v>
      </c>
      <c r="K4269">
        <v>1.1113630000000001</v>
      </c>
      <c r="L4269">
        <v>105.3768</v>
      </c>
      <c r="M4269">
        <v>-3.8781870000000003E-2</v>
      </c>
      <c r="N4269">
        <v>0</v>
      </c>
      <c r="O4269">
        <v>-0.99921749999999998</v>
      </c>
      <c r="P4269">
        <v>2.7525790000000001E-2</v>
      </c>
      <c r="Q4269">
        <v>0.14944549999999901</v>
      </c>
      <c r="R4269">
        <v>-0.98838689999999996</v>
      </c>
      <c r="S4269">
        <v>0.27206419999999998</v>
      </c>
      <c r="T4269">
        <v>-0.17256089999999999</v>
      </c>
      <c r="U4269">
        <v>-3.0541990000000001</v>
      </c>
      <c r="V4269">
        <v>-6.6619639999999994E-2</v>
      </c>
      <c r="W4269">
        <v>0.156791299999999</v>
      </c>
      <c r="X4269">
        <v>0.98538230000000004</v>
      </c>
      <c r="Y4269">
        <v>-0.12715109999999999</v>
      </c>
      <c r="Z4269">
        <v>5.600641E-2</v>
      </c>
      <c r="AA4269">
        <v>0.99030090000000004</v>
      </c>
      <c r="AB4269">
        <v>24</v>
      </c>
      <c r="AC4269">
        <v>1.7585999999999999</v>
      </c>
      <c r="AD4269">
        <v>-1.1113659410879999</v>
      </c>
      <c r="AE4269">
        <v>-19.433039999999998</v>
      </c>
      <c r="AF4269">
        <v>-2.50282993919167</v>
      </c>
      <c r="AG4269">
        <v>-1.1113659410879999</v>
      </c>
      <c r="AH4269">
        <v>19.287645273539699</v>
      </c>
      <c r="AI4269">
        <v>93.270412210678202</v>
      </c>
      <c r="AJ4269">
        <v>97.393579406087298</v>
      </c>
      <c r="AK4269">
        <v>19.481081904181401</v>
      </c>
      <c r="AL4269">
        <v>80.9792992612673</v>
      </c>
      <c r="AM4269">
        <v>93.867762234248005</v>
      </c>
      <c r="AN4269">
        <v>0.99999998267135404</v>
      </c>
    </row>
    <row r="4270" spans="1:40" x14ac:dyDescent="0.25">
      <c r="A4270" t="str">
        <f>"20190312172750744"</f>
        <v>20190312172750744</v>
      </c>
      <c r="B4270" t="str">
        <f>"1552382870733266"</f>
        <v>1552382870733266</v>
      </c>
      <c r="C4270" t="s">
        <v>40</v>
      </c>
      <c r="D4270">
        <v>3.1720860000000002</v>
      </c>
      <c r="E4270">
        <v>0.48132510000000001</v>
      </c>
      <c r="F4270" t="s">
        <v>41</v>
      </c>
      <c r="G4270">
        <v>-420.82909999999998</v>
      </c>
      <c r="H4270" s="1">
        <v>-2.9361869999999998E-6</v>
      </c>
      <c r="I4270">
        <v>85.919200000000004</v>
      </c>
      <c r="J4270">
        <v>-422.57220000000001</v>
      </c>
      <c r="K4270">
        <v>1.1113</v>
      </c>
      <c r="L4270">
        <v>105.1399</v>
      </c>
      <c r="M4270">
        <v>-3.5593119999999999E-2</v>
      </c>
      <c r="N4270">
        <v>0</v>
      </c>
      <c r="O4270">
        <v>-0.99933680000000003</v>
      </c>
      <c r="P4270">
        <v>2.862897E-2</v>
      </c>
      <c r="Q4270">
        <v>0.14967449999999999</v>
      </c>
      <c r="R4270">
        <v>-0.9883208</v>
      </c>
      <c r="S4270">
        <v>0.27270509999999998</v>
      </c>
      <c r="T4270">
        <v>-0.1744387</v>
      </c>
      <c r="U4270">
        <v>-3.0540470000000002</v>
      </c>
      <c r="V4270">
        <v>-6.4553689999999997E-2</v>
      </c>
      <c r="W4270">
        <v>0.15695290000000001</v>
      </c>
      <c r="X4270">
        <v>0.98549410000000004</v>
      </c>
      <c r="Y4270">
        <v>-0.124192899999999</v>
      </c>
      <c r="Z4270">
        <v>5.6636989999999998E-2</v>
      </c>
      <c r="AA4270">
        <v>0.99064039999999998</v>
      </c>
      <c r="AB4270">
        <v>24</v>
      </c>
      <c r="AC4270">
        <v>1.7431000000000201</v>
      </c>
      <c r="AD4270">
        <v>-1.1113029361869999</v>
      </c>
      <c r="AE4270">
        <v>-19.220699999999901</v>
      </c>
      <c r="AF4270">
        <v>-2.4181226790412902</v>
      </c>
      <c r="AG4270">
        <v>-1.1113029361869999</v>
      </c>
      <c r="AH4270">
        <v>19.0832028427285</v>
      </c>
      <c r="AI4270">
        <v>93.306453289019103</v>
      </c>
      <c r="AJ4270">
        <v>97.221730508500499</v>
      </c>
      <c r="AK4270">
        <v>19.267873319170299</v>
      </c>
      <c r="AL4270">
        <v>80.969924405945207</v>
      </c>
      <c r="AM4270">
        <v>93.747741925342496</v>
      </c>
      <c r="AN4270">
        <v>1.00000000642291</v>
      </c>
    </row>
    <row r="4271" spans="1:40" x14ac:dyDescent="0.25">
      <c r="A4271" t="str">
        <f>"20190312172750767"</f>
        <v>20190312172750767</v>
      </c>
      <c r="B4271" t="str">
        <f>"1552382870763524"</f>
        <v>1552382870763524</v>
      </c>
      <c r="C4271" t="s">
        <v>40</v>
      </c>
      <c r="D4271">
        <v>3.162636</v>
      </c>
      <c r="E4271">
        <v>0.48170489999999999</v>
      </c>
      <c r="F4271" t="s">
        <v>41</v>
      </c>
      <c r="G4271">
        <v>-420.82400000000001</v>
      </c>
      <c r="H4271" s="1">
        <v>-2.816528E-6</v>
      </c>
      <c r="I4271">
        <v>85.643450000000001</v>
      </c>
      <c r="J4271">
        <v>-422.5772</v>
      </c>
      <c r="K4271">
        <v>1.111221</v>
      </c>
      <c r="L4271">
        <v>104.9016</v>
      </c>
      <c r="M4271">
        <v>-3.2493040000000001E-2</v>
      </c>
      <c r="N4271">
        <v>0</v>
      </c>
      <c r="O4271">
        <v>-0.99944310000000003</v>
      </c>
      <c r="P4271">
        <v>2.9071550000000002E-2</v>
      </c>
      <c r="Q4271">
        <v>0.15012890000000001</v>
      </c>
      <c r="R4271">
        <v>-0.98823919999999998</v>
      </c>
      <c r="S4271">
        <v>0.27383420000000003</v>
      </c>
      <c r="T4271">
        <v>-0.1740727</v>
      </c>
      <c r="U4271">
        <v>-3.0538940000000001</v>
      </c>
      <c r="V4271">
        <v>-6.1911979999999998E-2</v>
      </c>
      <c r="W4271">
        <v>0.1573367</v>
      </c>
      <c r="X4271">
        <v>0.98560239999999999</v>
      </c>
      <c r="Y4271">
        <v>-0.1214828</v>
      </c>
      <c r="Z4271">
        <v>5.6538949999999998E-2</v>
      </c>
      <c r="AA4271">
        <v>0.99098200000000003</v>
      </c>
      <c r="AB4271">
        <v>24</v>
      </c>
      <c r="AC4271">
        <v>1.7531999999999901</v>
      </c>
      <c r="AD4271">
        <v>-1.111223816528</v>
      </c>
      <c r="AE4271">
        <v>-19.258150000000001</v>
      </c>
      <c r="AF4271">
        <v>-2.37022138485968</v>
      </c>
      <c r="AG4271">
        <v>-1.111223816528</v>
      </c>
      <c r="AH4271">
        <v>19.127849966301</v>
      </c>
      <c r="AI4271">
        <v>93.299655469357802</v>
      </c>
      <c r="AJ4271">
        <v>97.063780550638796</v>
      </c>
      <c r="AK4271">
        <v>19.306149593251</v>
      </c>
      <c r="AL4271">
        <v>80.947657672552296</v>
      </c>
      <c r="AM4271">
        <v>93.594391019513097</v>
      </c>
      <c r="AN4271">
        <v>1.0000000106600799</v>
      </c>
    </row>
    <row r="4272" spans="1:40" x14ac:dyDescent="0.25">
      <c r="A4272" t="str">
        <f>"20190312172750790"</f>
        <v>20190312172750790</v>
      </c>
      <c r="B4272" t="str">
        <f>"1552382870784018"</f>
        <v>1552382870784018</v>
      </c>
      <c r="C4272" t="s">
        <v>40</v>
      </c>
      <c r="D4272">
        <v>3.1713360000000002</v>
      </c>
      <c r="E4272">
        <v>0.48192190000000001</v>
      </c>
      <c r="F4272" t="s">
        <v>41</v>
      </c>
      <c r="G4272">
        <v>-420.82940000000002</v>
      </c>
      <c r="H4272" s="1">
        <v>-2.6604809999999999E-6</v>
      </c>
      <c r="I4272">
        <v>85.276309999999995</v>
      </c>
      <c r="J4272">
        <v>-422.58179999999999</v>
      </c>
      <c r="K4272">
        <v>1.111138</v>
      </c>
      <c r="L4272">
        <v>104.654</v>
      </c>
      <c r="M4272">
        <v>-2.94086E-2</v>
      </c>
      <c r="N4272">
        <v>0</v>
      </c>
      <c r="O4272">
        <v>-0.99953930000000002</v>
      </c>
      <c r="P4272">
        <v>2.9517580000000002E-2</v>
      </c>
      <c r="Q4272">
        <v>0.15045210000000001</v>
      </c>
      <c r="R4272">
        <v>-0.98817690000000002</v>
      </c>
      <c r="S4272">
        <v>0.27197270000000001</v>
      </c>
      <c r="T4272">
        <v>-0.17292109999999999</v>
      </c>
      <c r="U4272">
        <v>-3.0539550000000002</v>
      </c>
      <c r="V4272">
        <v>-5.9285030000000002E-2</v>
      </c>
      <c r="W4272">
        <v>0.1575886</v>
      </c>
      <c r="X4272">
        <v>0.98572369999999998</v>
      </c>
      <c r="Y4272">
        <v>-0.1178196</v>
      </c>
      <c r="Z4272">
        <v>5.6187019999999997E-2</v>
      </c>
      <c r="AA4272">
        <v>0.9914442</v>
      </c>
      <c r="AB4272">
        <v>24</v>
      </c>
      <c r="AC4272">
        <v>1.75239999999996</v>
      </c>
      <c r="AD4272">
        <v>-1.1111406604809999</v>
      </c>
      <c r="AE4272">
        <v>-19.377690000000001</v>
      </c>
      <c r="AF4272">
        <v>-2.3139820872318699</v>
      </c>
      <c r="AG4272">
        <v>-1.1111406604809999</v>
      </c>
      <c r="AH4272">
        <v>19.254973971529299</v>
      </c>
      <c r="AI4272">
        <v>93.279144385851893</v>
      </c>
      <c r="AJ4272">
        <v>96.852703363911402</v>
      </c>
      <c r="AK4272">
        <v>19.4253228882218</v>
      </c>
      <c r="AL4272">
        <v>80.933042875197501</v>
      </c>
      <c r="AM4272">
        <v>93.441831816148095</v>
      </c>
      <c r="AN4272">
        <v>1.00000004718687</v>
      </c>
    </row>
    <row r="4273" spans="1:40" x14ac:dyDescent="0.25">
      <c r="A4273" t="str">
        <f>"20190312172750812"</f>
        <v>20190312172750812</v>
      </c>
      <c r="B4273" t="str">
        <f>"1552382870804045"</f>
        <v>1552382870804045</v>
      </c>
      <c r="C4273" t="s">
        <v>40</v>
      </c>
      <c r="D4273">
        <v>3.1625990000000002</v>
      </c>
      <c r="E4273">
        <v>0.48214190000000001</v>
      </c>
      <c r="F4273" t="s">
        <v>41</v>
      </c>
      <c r="G4273">
        <v>-420.82580000000002</v>
      </c>
      <c r="H4273" s="1">
        <v>-2.5107150000000002E-6</v>
      </c>
      <c r="I4273">
        <v>84.929450000000003</v>
      </c>
      <c r="J4273">
        <v>-422.58580000000001</v>
      </c>
      <c r="K4273">
        <v>1.1110549999999999</v>
      </c>
      <c r="L4273">
        <v>104.4089</v>
      </c>
      <c r="M4273">
        <v>-2.6500889999999999E-2</v>
      </c>
      <c r="N4273">
        <v>0</v>
      </c>
      <c r="O4273">
        <v>-0.9996216</v>
      </c>
      <c r="P4273">
        <v>2.9790190000000001E-2</v>
      </c>
      <c r="Q4273">
        <v>0.1504363</v>
      </c>
      <c r="R4273">
        <v>-0.98817109999999997</v>
      </c>
      <c r="S4273">
        <v>0.27188109999999999</v>
      </c>
      <c r="T4273">
        <v>-0.1720402</v>
      </c>
      <c r="U4273">
        <v>-3.0539860000000001</v>
      </c>
      <c r="V4273">
        <v>-5.6656699999999997E-2</v>
      </c>
      <c r="W4273">
        <v>0.157504799999999</v>
      </c>
      <c r="X4273">
        <v>0.98589159999999998</v>
      </c>
      <c r="Y4273">
        <v>-0.1149015</v>
      </c>
      <c r="Z4273">
        <v>5.5917689999999999E-2</v>
      </c>
      <c r="AA4273">
        <v>0.99180190000000001</v>
      </c>
      <c r="AB4273">
        <v>24</v>
      </c>
      <c r="AC4273">
        <v>1.75999999999999</v>
      </c>
      <c r="AD4273">
        <v>-1.11105751071499</v>
      </c>
      <c r="AE4273">
        <v>-19.47945</v>
      </c>
      <c r="AF4273">
        <v>-2.26829900051926</v>
      </c>
      <c r="AG4273">
        <v>-1.11105751071499</v>
      </c>
      <c r="AH4273">
        <v>19.363480925951801</v>
      </c>
      <c r="AI4273">
        <v>93.261720093399603</v>
      </c>
      <c r="AJ4273">
        <v>96.681357012722202</v>
      </c>
      <c r="AK4273">
        <v>19.527519625328001</v>
      </c>
      <c r="AL4273">
        <v>80.937904507486806</v>
      </c>
      <c r="AM4273">
        <v>93.289026227694606</v>
      </c>
      <c r="AN4273">
        <v>0.99999999531424499</v>
      </c>
    </row>
    <row r="4274" spans="1:40" x14ac:dyDescent="0.25">
      <c r="A4274" t="str">
        <f>"20190312172750835"</f>
        <v>20190312172750835</v>
      </c>
      <c r="B4274" t="str">
        <f>"1552382870823565"</f>
        <v>1552382870823565</v>
      </c>
      <c r="C4274" t="s">
        <v>40</v>
      </c>
      <c r="D4274">
        <v>3.1572100000000001</v>
      </c>
      <c r="E4274">
        <v>0.48224990000000001</v>
      </c>
      <c r="F4274" t="s">
        <v>41</v>
      </c>
      <c r="G4274">
        <v>-420.84249999999997</v>
      </c>
      <c r="H4274" s="1">
        <v>-2.4211640000000001E-6</v>
      </c>
      <c r="I4274">
        <v>84.710340000000002</v>
      </c>
      <c r="J4274">
        <v>-422.58909999999997</v>
      </c>
      <c r="K4274">
        <v>1.1109629999999999</v>
      </c>
      <c r="L4274">
        <v>104.16800000000001</v>
      </c>
      <c r="M4274">
        <v>-2.3765060000000001E-2</v>
      </c>
      <c r="N4274">
        <v>0</v>
      </c>
      <c r="O4274">
        <v>-0.99969090000000005</v>
      </c>
      <c r="P4274">
        <v>2.94892E-2</v>
      </c>
      <c r="Q4274">
        <v>0.1504471</v>
      </c>
      <c r="R4274">
        <v>-0.98817820000000001</v>
      </c>
      <c r="S4274">
        <v>0.2702637</v>
      </c>
      <c r="T4274">
        <v>-0.17225379999999901</v>
      </c>
      <c r="U4274">
        <v>-3.0539860000000001</v>
      </c>
      <c r="V4274">
        <v>-5.362749E-2</v>
      </c>
      <c r="W4274">
        <v>0.15745439999999999</v>
      </c>
      <c r="X4274">
        <v>0.98606910000000003</v>
      </c>
      <c r="Y4274">
        <v>-0.1116607</v>
      </c>
      <c r="Z4274">
        <v>5.6004400000000003E-2</v>
      </c>
      <c r="AA4274">
        <v>0.99216700000000002</v>
      </c>
      <c r="AB4274">
        <v>24</v>
      </c>
      <c r="AC4274">
        <v>1.7465999999999999</v>
      </c>
      <c r="AD4274">
        <v>-1.1109654211640001</v>
      </c>
      <c r="AE4274">
        <v>-19.457659999999901</v>
      </c>
      <c r="AF4274">
        <v>-2.20141219372046</v>
      </c>
      <c r="AG4274">
        <v>-1.1109654211640001</v>
      </c>
      <c r="AH4274">
        <v>19.348084228541001</v>
      </c>
      <c r="AI4274">
        <v>93.265288666805603</v>
      </c>
      <c r="AJ4274">
        <v>96.491160893946798</v>
      </c>
      <c r="AK4274">
        <v>19.504584669466901</v>
      </c>
      <c r="AL4274">
        <v>80.940829045264607</v>
      </c>
      <c r="AM4274">
        <v>93.112971352714794</v>
      </c>
      <c r="AN4274">
        <v>1.00000003286893</v>
      </c>
    </row>
    <row r="4275" spans="1:40" x14ac:dyDescent="0.25">
      <c r="A4275" t="str">
        <f>"20190312172750856"</f>
        <v>20190312172750856</v>
      </c>
      <c r="B4275" t="str">
        <f>"1552382870853821"</f>
        <v>1552382870853821</v>
      </c>
      <c r="C4275" t="s">
        <v>40</v>
      </c>
      <c r="D4275">
        <v>3.1588769999999999</v>
      </c>
      <c r="E4275">
        <v>0.51635690000000001</v>
      </c>
      <c r="F4275" t="s">
        <v>41</v>
      </c>
      <c r="G4275">
        <v>-420.85899999999998</v>
      </c>
      <c r="H4275" s="1">
        <v>-2.3277249999999998E-6</v>
      </c>
      <c r="I4275">
        <v>84.482299999999995</v>
      </c>
      <c r="J4275">
        <v>-422.5917</v>
      </c>
      <c r="K4275">
        <v>1.1108849999999999</v>
      </c>
      <c r="L4275">
        <v>103.93770000000001</v>
      </c>
      <c r="M4275">
        <v>-2.1270589999999999E-2</v>
      </c>
      <c r="N4275">
        <v>0</v>
      </c>
      <c r="O4275">
        <v>-0.99974739999999995</v>
      </c>
      <c r="P4275">
        <v>2.8739649999999999E-2</v>
      </c>
      <c r="Q4275">
        <v>0.15107709999999999</v>
      </c>
      <c r="R4275">
        <v>-0.98810410000000004</v>
      </c>
      <c r="S4275">
        <v>0.26840209999999998</v>
      </c>
      <c r="T4275">
        <v>-0.17235899999999901</v>
      </c>
      <c r="U4275">
        <v>-3.0541079999999998</v>
      </c>
      <c r="V4275">
        <v>-5.0390409999999997E-2</v>
      </c>
      <c r="W4275">
        <v>0.158029799999999</v>
      </c>
      <c r="X4275">
        <v>0.98614780000000002</v>
      </c>
      <c r="Y4275">
        <v>-0.1085768</v>
      </c>
      <c r="Z4275">
        <v>5.6052100000000001E-2</v>
      </c>
      <c r="AA4275">
        <v>0.99250660000000002</v>
      </c>
      <c r="AB4275">
        <v>24</v>
      </c>
      <c r="AC4275">
        <v>1.7326999999999599</v>
      </c>
      <c r="AD4275">
        <v>-1.110887327725</v>
      </c>
      <c r="AE4275">
        <v>-19.455400000000001</v>
      </c>
      <c r="AF4275">
        <v>-2.1392270350604399</v>
      </c>
      <c r="AG4275">
        <v>-1.110887327725</v>
      </c>
      <c r="AH4275">
        <v>19.351545901759899</v>
      </c>
      <c r="AI4275">
        <v>93.265643859285305</v>
      </c>
      <c r="AJ4275">
        <v>96.308179940168799</v>
      </c>
      <c r="AK4275">
        <v>19.501094629541999</v>
      </c>
      <c r="AL4275">
        <v>80.907443205573202</v>
      </c>
      <c r="AM4275">
        <v>92.925168957673506</v>
      </c>
      <c r="AN4275">
        <v>1.0000000472764199</v>
      </c>
    </row>
    <row r="4276" spans="1:40" x14ac:dyDescent="0.25">
      <c r="A4276" t="str">
        <f>"20190312172750879"</f>
        <v>20190312172750879</v>
      </c>
      <c r="B4276" t="str">
        <f>"1552382870873341"</f>
        <v>1552382870873341</v>
      </c>
      <c r="C4276" t="s">
        <v>40</v>
      </c>
      <c r="D4276">
        <v>3.1889980000000002</v>
      </c>
      <c r="E4276">
        <v>0.516791</v>
      </c>
      <c r="F4276" t="s">
        <v>41</v>
      </c>
      <c r="G4276">
        <v>-422.64499999999998</v>
      </c>
      <c r="H4276" s="1">
        <v>-1.7572450000000001E-6</v>
      </c>
      <c r="I4276">
        <v>82.044780000000003</v>
      </c>
      <c r="J4276">
        <v>-422.5942</v>
      </c>
      <c r="K4276">
        <v>1.1107990000000001</v>
      </c>
      <c r="L4276">
        <v>103.6902</v>
      </c>
      <c r="M4276">
        <v>-1.8742769999999999E-2</v>
      </c>
      <c r="N4276">
        <v>0</v>
      </c>
      <c r="O4276">
        <v>-0.99979859999999998</v>
      </c>
      <c r="P4276">
        <v>2.77045E-2</v>
      </c>
      <c r="Q4276">
        <v>0.15112619999999999</v>
      </c>
      <c r="R4276">
        <v>-0.98812610000000001</v>
      </c>
      <c r="S4276">
        <v>-7.446289E-3</v>
      </c>
      <c r="T4276">
        <v>-0.15527279999999999</v>
      </c>
      <c r="U4276">
        <v>-3.0600589999999999</v>
      </c>
      <c r="V4276">
        <v>-4.6829990000000002E-2</v>
      </c>
      <c r="W4276">
        <v>0.1580241</v>
      </c>
      <c r="X4276">
        <v>0.98632410000000004</v>
      </c>
      <c r="Y4276">
        <v>-1.6313370000000001E-2</v>
      </c>
      <c r="Z4276">
        <v>5.065981E-2</v>
      </c>
      <c r="AA4276">
        <v>0.99858270000000005</v>
      </c>
      <c r="AB4276">
        <v>24</v>
      </c>
      <c r="AC4276">
        <v>-5.0799999999980999E-2</v>
      </c>
      <c r="AD4276">
        <v>-1.1108007572449901</v>
      </c>
      <c r="AE4276">
        <v>-21.645420000000001</v>
      </c>
      <c r="AF4276">
        <v>-0.35398227106929298</v>
      </c>
      <c r="AG4276">
        <v>-1.1108007572449901</v>
      </c>
      <c r="AH4276">
        <v>21.5857231003367</v>
      </c>
      <c r="AI4276">
        <v>92.945445529524704</v>
      </c>
      <c r="AJ4276">
        <v>90.939503961712802</v>
      </c>
      <c r="AK4276">
        <v>21.617183524569899</v>
      </c>
      <c r="AL4276">
        <v>80.907773029635393</v>
      </c>
      <c r="AM4276">
        <v>92.718322812138098</v>
      </c>
      <c r="AN4276">
        <v>0.99999994719250795</v>
      </c>
    </row>
    <row r="4277" spans="1:40" x14ac:dyDescent="0.25">
      <c r="A4277" t="str">
        <f>"20190312172750901"</f>
        <v>20190312172750901</v>
      </c>
      <c r="B4277" t="str">
        <f>"1552382870893837"</f>
        <v>1552382870893837</v>
      </c>
      <c r="C4277" t="s">
        <v>40</v>
      </c>
      <c r="D4277">
        <v>3.182617</v>
      </c>
      <c r="E4277">
        <v>0.51744979999999996</v>
      </c>
      <c r="F4277" t="s">
        <v>41</v>
      </c>
      <c r="G4277">
        <v>-422.69549999999998</v>
      </c>
      <c r="H4277" s="1">
        <v>-1.699248E-6</v>
      </c>
      <c r="I4277">
        <v>81.878249999999994</v>
      </c>
      <c r="J4277">
        <v>-422.59620000000001</v>
      </c>
      <c r="K4277">
        <v>1.110703</v>
      </c>
      <c r="L4277">
        <v>103.4419</v>
      </c>
      <c r="M4277">
        <v>-1.6382560000000001E-2</v>
      </c>
      <c r="N4277">
        <v>0</v>
      </c>
      <c r="O4277">
        <v>-0.99984059999999997</v>
      </c>
      <c r="P4277">
        <v>2.6646039999999999E-2</v>
      </c>
      <c r="Q4277">
        <v>0.151229799999999</v>
      </c>
      <c r="R4277">
        <v>-0.98813960000000001</v>
      </c>
      <c r="S4277">
        <v>-1.422119E-2</v>
      </c>
      <c r="T4277">
        <v>-0.1558496</v>
      </c>
      <c r="U4277">
        <v>-3.0603030000000002</v>
      </c>
      <c r="V4277">
        <v>-4.3405010000000001E-2</v>
      </c>
      <c r="W4277">
        <v>0.1580741</v>
      </c>
      <c r="X4277">
        <v>0.98647280000000004</v>
      </c>
      <c r="Y4277">
        <v>-1.174249E-2</v>
      </c>
      <c r="Z4277">
        <v>5.0848020000000001E-2</v>
      </c>
      <c r="AA4277">
        <v>0.99863740000000001</v>
      </c>
      <c r="AB4277">
        <v>25</v>
      </c>
      <c r="AC4277">
        <v>-9.9299999999970995E-2</v>
      </c>
      <c r="AD4277">
        <v>-1.1107046992479901</v>
      </c>
      <c r="AE4277">
        <v>-21.563649999999999</v>
      </c>
      <c r="AF4277">
        <v>-0.25331795510969901</v>
      </c>
      <c r="AG4277">
        <v>-1.1107046992479901</v>
      </c>
      <c r="AH4277">
        <v>21.505328321825601</v>
      </c>
      <c r="AI4277">
        <v>92.956374006824205</v>
      </c>
      <c r="AJ4277">
        <v>90.674873606022004</v>
      </c>
      <c r="AK4277">
        <v>21.535481911135101</v>
      </c>
      <c r="AL4277">
        <v>80.904872264897094</v>
      </c>
      <c r="AM4277">
        <v>92.519401279242999</v>
      </c>
      <c r="AN4277">
        <v>1.0000000005618701</v>
      </c>
    </row>
    <row r="4278" spans="1:40" x14ac:dyDescent="0.25">
      <c r="A4278" t="str">
        <f>"20190312172750924"</f>
        <v>20190312172750924</v>
      </c>
      <c r="B4278" t="str">
        <f>"1552382870913357"</f>
        <v>1552382870913357</v>
      </c>
      <c r="C4278" t="s">
        <v>40</v>
      </c>
      <c r="D4278">
        <v>3.1788240000000001</v>
      </c>
      <c r="E4278">
        <v>0.51759179999999905</v>
      </c>
      <c r="F4278" t="s">
        <v>41</v>
      </c>
      <c r="G4278">
        <v>-422.75569999999999</v>
      </c>
      <c r="H4278" s="1">
        <v>-1.875629E-6</v>
      </c>
      <c r="I4278">
        <v>82.252089999999995</v>
      </c>
      <c r="J4278">
        <v>-422.59780000000001</v>
      </c>
      <c r="K4278">
        <v>1.110581</v>
      </c>
      <c r="L4278">
        <v>103.18559999999999</v>
      </c>
      <c r="M4278">
        <v>-1.4143019999999999E-2</v>
      </c>
      <c r="N4278">
        <v>0</v>
      </c>
      <c r="O4278">
        <v>-0.99987559999999998</v>
      </c>
      <c r="P4278">
        <v>2.6012420000000001E-2</v>
      </c>
      <c r="Q4278">
        <v>0.15130969999999999</v>
      </c>
      <c r="R4278">
        <v>-0.98814429999999998</v>
      </c>
      <c r="S4278">
        <v>-2.3040769999999999E-2</v>
      </c>
      <c r="T4278">
        <v>-0.16045799999999999</v>
      </c>
      <c r="U4278">
        <v>-3.061188</v>
      </c>
      <c r="V4278">
        <v>-4.0516009999999998E-2</v>
      </c>
      <c r="W4278">
        <v>0.158099499999999</v>
      </c>
      <c r="X4278">
        <v>0.98659160000000001</v>
      </c>
      <c r="Y4278">
        <v>-6.6275070000000004E-3</v>
      </c>
      <c r="Z4278">
        <v>5.2335890000000003E-2</v>
      </c>
      <c r="AA4278">
        <v>0.99860749999999998</v>
      </c>
      <c r="AB4278">
        <v>25</v>
      </c>
      <c r="AC4278">
        <v>-0.157899999999983</v>
      </c>
      <c r="AD4278">
        <v>-1.1105828756289999</v>
      </c>
      <c r="AE4278">
        <v>-20.933509999999998</v>
      </c>
      <c r="AF4278">
        <v>-0.13779823646271999</v>
      </c>
      <c r="AG4278">
        <v>-1.1105828756289999</v>
      </c>
      <c r="AH4278">
        <v>20.8748981160767</v>
      </c>
      <c r="AI4278">
        <v>93.045303282544893</v>
      </c>
      <c r="AJ4278">
        <v>90.378212274561903</v>
      </c>
      <c r="AK4278">
        <v>20.904873930119599</v>
      </c>
      <c r="AL4278">
        <v>80.903398340982605</v>
      </c>
      <c r="AM4278">
        <v>92.351624224745194</v>
      </c>
      <c r="AN4278">
        <v>0.99999999207856505</v>
      </c>
    </row>
    <row r="4279" spans="1:40" x14ac:dyDescent="0.25">
      <c r="A4279" t="str">
        <f>"20190312172750945"</f>
        <v>20190312172750945</v>
      </c>
      <c r="B4279" t="str">
        <f>"1552382870933854"</f>
        <v>1552382870933854</v>
      </c>
      <c r="C4279" t="s">
        <v>40</v>
      </c>
      <c r="D4279">
        <v>3.1874289999999998</v>
      </c>
      <c r="E4279">
        <v>0.51757339999999996</v>
      </c>
      <c r="F4279" t="s">
        <v>41</v>
      </c>
      <c r="G4279">
        <v>-422.79169999999999</v>
      </c>
      <c r="H4279" s="1">
        <v>-1.793015E-6</v>
      </c>
      <c r="I4279">
        <v>82.03716</v>
      </c>
      <c r="J4279">
        <v>-422.59899999999999</v>
      </c>
      <c r="K4279">
        <v>1.1104560000000001</v>
      </c>
      <c r="L4279">
        <v>102.9543</v>
      </c>
      <c r="M4279">
        <v>-1.231602E-2</v>
      </c>
      <c r="N4279">
        <v>0</v>
      </c>
      <c r="O4279">
        <v>-0.99990020000000002</v>
      </c>
      <c r="P4279">
        <v>2.487317E-2</v>
      </c>
      <c r="Q4279">
        <v>0.15190979999999901</v>
      </c>
      <c r="R4279">
        <v>-0.98808149999999995</v>
      </c>
      <c r="S4279">
        <v>-2.8076170000000001E-2</v>
      </c>
      <c r="T4279">
        <v>-0.16076360000000001</v>
      </c>
      <c r="U4279">
        <v>-3.0613709999999998</v>
      </c>
      <c r="V4279">
        <v>-3.7526089999999998E-2</v>
      </c>
      <c r="W4279">
        <v>0.15865270000000001</v>
      </c>
      <c r="X4279">
        <v>0.98662110000000003</v>
      </c>
      <c r="Y4279">
        <v>-3.1583819999999999E-3</v>
      </c>
      <c r="Z4279">
        <v>5.2434149999999999E-2</v>
      </c>
      <c r="AA4279">
        <v>0.99861940000000005</v>
      </c>
      <c r="AB4279">
        <v>25</v>
      </c>
      <c r="AC4279">
        <v>-0.19270000000000201</v>
      </c>
      <c r="AD4279">
        <v>-1.1104577930149999</v>
      </c>
      <c r="AE4279">
        <v>-20.91714</v>
      </c>
      <c r="AF4279">
        <v>-6.4754215001248006E-2</v>
      </c>
      <c r="AG4279">
        <v>-1.1104577930149999</v>
      </c>
      <c r="AH4279">
        <v>20.859142820171499</v>
      </c>
      <c r="AI4279">
        <v>93.047308134855101</v>
      </c>
      <c r="AJ4279">
        <v>90.177865952549197</v>
      </c>
      <c r="AK4279">
        <v>20.8887804529307</v>
      </c>
      <c r="AL4279">
        <v>80.871297610161903</v>
      </c>
      <c r="AM4279">
        <v>92.178192483847695</v>
      </c>
      <c r="AN4279">
        <v>1.0000000408065901</v>
      </c>
    </row>
    <row r="4280" spans="1:40" x14ac:dyDescent="0.25">
      <c r="A4280" t="str">
        <f>"20190312172750968"</f>
        <v>20190312172750968</v>
      </c>
      <c r="B4280" t="str">
        <f>"1552382870964110"</f>
        <v>1552382870964110</v>
      </c>
      <c r="C4280" t="s">
        <v>40</v>
      </c>
      <c r="D4280">
        <v>3.1895669999999998</v>
      </c>
      <c r="E4280">
        <v>0.51799200000000001</v>
      </c>
      <c r="F4280" t="s">
        <v>41</v>
      </c>
      <c r="G4280">
        <v>-422.82260000000002</v>
      </c>
      <c r="H4280" s="1">
        <v>-1.635144E-6</v>
      </c>
      <c r="I4280">
        <v>81.650000000000006</v>
      </c>
      <c r="J4280">
        <v>-422.6001</v>
      </c>
      <c r="K4280">
        <v>1.1103019999999999</v>
      </c>
      <c r="L4280">
        <v>102.7009</v>
      </c>
      <c r="M4280">
        <v>-1.0540229999999999E-2</v>
      </c>
      <c r="N4280">
        <v>0</v>
      </c>
      <c r="O4280">
        <v>-0.99992099999999995</v>
      </c>
      <c r="P4280">
        <v>2.3660549999999999E-2</v>
      </c>
      <c r="Q4280">
        <v>0.15246709999999999</v>
      </c>
      <c r="R4280">
        <v>-0.98802540000000005</v>
      </c>
      <c r="S4280">
        <v>-3.2135009999999999E-2</v>
      </c>
      <c r="T4280">
        <v>-0.1595781</v>
      </c>
      <c r="U4280">
        <v>-3.0615230000000002</v>
      </c>
      <c r="V4280">
        <v>-3.4502730000000002E-2</v>
      </c>
      <c r="W4280">
        <v>0.15915689999999999</v>
      </c>
      <c r="X4280">
        <v>0.98665020000000003</v>
      </c>
      <c r="Y4280" s="1">
        <v>-5.8870499999999998E-5</v>
      </c>
      <c r="Z4280">
        <v>5.2047330000000003E-2</v>
      </c>
      <c r="AA4280">
        <v>0.99864459999999999</v>
      </c>
      <c r="AB4280">
        <v>25</v>
      </c>
      <c r="AC4280">
        <v>-0.22250000000002401</v>
      </c>
      <c r="AD4280">
        <v>-1.1103036351440001</v>
      </c>
      <c r="AE4280">
        <v>-21.050899999999999</v>
      </c>
      <c r="AF4280">
        <v>5.9944148581056401E-4</v>
      </c>
      <c r="AG4280">
        <v>-1.1103036351440001</v>
      </c>
      <c r="AH4280">
        <v>20.993679943860901</v>
      </c>
      <c r="AI4280">
        <v>93.027411049916395</v>
      </c>
      <c r="AJ4280">
        <v>89.998364009202504</v>
      </c>
      <c r="AK4280">
        <v>21.023020052000401</v>
      </c>
      <c r="AL4280">
        <v>80.842036799440905</v>
      </c>
      <c r="AM4280">
        <v>92.002792465274396</v>
      </c>
      <c r="AN4280">
        <v>0.99999998717755101</v>
      </c>
    </row>
    <row r="4281" spans="1:40" x14ac:dyDescent="0.25">
      <c r="A4281" t="str">
        <f>"20190312172750992"</f>
        <v>20190312172750992</v>
      </c>
      <c r="B4281" t="str">
        <f>"1552382870983630"</f>
        <v>1552382870983630</v>
      </c>
      <c r="C4281" t="s">
        <v>40</v>
      </c>
      <c r="D4281">
        <v>3.1826979999999998</v>
      </c>
      <c r="E4281">
        <v>0.51820109999999997</v>
      </c>
      <c r="F4281" t="s">
        <v>41</v>
      </c>
      <c r="G4281">
        <v>-422.87220000000002</v>
      </c>
      <c r="H4281" s="1">
        <v>-1.7171869999999999E-6</v>
      </c>
      <c r="I4281">
        <v>81.810519999999997</v>
      </c>
      <c r="J4281">
        <v>-422.601</v>
      </c>
      <c r="K4281">
        <v>1.1101240000000001</v>
      </c>
      <c r="L4281">
        <v>102.43680000000001</v>
      </c>
      <c r="M4281">
        <v>-8.9826560000000003E-3</v>
      </c>
      <c r="N4281">
        <v>0</v>
      </c>
      <c r="O4281">
        <v>-0.99993659999999995</v>
      </c>
      <c r="P4281">
        <v>2.2615E-2</v>
      </c>
      <c r="Q4281">
        <v>0.15297749999999999</v>
      </c>
      <c r="R4281">
        <v>-0.98797109999999999</v>
      </c>
      <c r="S4281">
        <v>-3.988647E-2</v>
      </c>
      <c r="T4281">
        <v>-0.16276570000000001</v>
      </c>
      <c r="U4281">
        <v>-3.0624389999999999</v>
      </c>
      <c r="V4281">
        <v>-3.1854309999999997E-2</v>
      </c>
      <c r="W4281">
        <v>0.15961110000000001</v>
      </c>
      <c r="X4281">
        <v>0.98666589999999998</v>
      </c>
      <c r="Y4281">
        <v>4.0223330000000003E-3</v>
      </c>
      <c r="Z4281">
        <v>5.3068480000000001E-2</v>
      </c>
      <c r="AA4281">
        <v>0.99858279999999999</v>
      </c>
      <c r="AB4281">
        <v>25</v>
      </c>
      <c r="AC4281">
        <v>-0.27120000000002098</v>
      </c>
      <c r="AD4281">
        <v>-1.11012571718699</v>
      </c>
      <c r="AE4281">
        <v>-20.626280000000001</v>
      </c>
      <c r="AF4281">
        <v>8.5657926763035602E-2</v>
      </c>
      <c r="AG4281">
        <v>-1.11012571718699</v>
      </c>
      <c r="AH4281">
        <v>20.568314150762699</v>
      </c>
      <c r="AI4281">
        <v>93.089378825329405</v>
      </c>
      <c r="AJ4281">
        <v>89.761389811698095</v>
      </c>
      <c r="AK4281">
        <v>20.598428663197701</v>
      </c>
      <c r="AL4281">
        <v>80.815676189802502</v>
      </c>
      <c r="AM4281">
        <v>91.849140430310996</v>
      </c>
      <c r="AN4281">
        <v>0.99999999926579797</v>
      </c>
    </row>
    <row r="4282" spans="1:40" x14ac:dyDescent="0.25">
      <c r="A4282" t="str">
        <f>"20190312172751015"</f>
        <v>20190312172751015</v>
      </c>
      <c r="B4282" t="str">
        <f>"1552382871004125"</f>
        <v>1552382871004125</v>
      </c>
      <c r="C4282" t="s">
        <v>40</v>
      </c>
      <c r="D4282">
        <v>3.2526079999999999</v>
      </c>
      <c r="E4282">
        <v>0.51815639999999996</v>
      </c>
      <c r="F4282" t="s">
        <v>41</v>
      </c>
      <c r="G4282">
        <v>-422.91039999999998</v>
      </c>
      <c r="H4282" s="1">
        <v>-1.651706E-6</v>
      </c>
      <c r="I4282">
        <v>81.634140000000002</v>
      </c>
      <c r="J4282">
        <v>-422.60180000000003</v>
      </c>
      <c r="K4282">
        <v>1.1099650000000001</v>
      </c>
      <c r="L4282">
        <v>102.1768</v>
      </c>
      <c r="M4282">
        <v>-7.6705269999999999E-3</v>
      </c>
      <c r="N4282">
        <v>0</v>
      </c>
      <c r="O4282">
        <v>-0.99994799999999995</v>
      </c>
      <c r="P4282">
        <v>2.2104619999999998E-2</v>
      </c>
      <c r="Q4282">
        <v>0.1536014</v>
      </c>
      <c r="R4282">
        <v>-0.98788580000000004</v>
      </c>
      <c r="S4282">
        <v>-4.5562739999999997E-2</v>
      </c>
      <c r="T4282">
        <v>-0.16345000000000001</v>
      </c>
      <c r="U4282">
        <v>-3.062897</v>
      </c>
      <c r="V4282">
        <v>-2.999071E-2</v>
      </c>
      <c r="W4282">
        <v>0.16018070000000001</v>
      </c>
      <c r="X4282">
        <v>0.98663199999999995</v>
      </c>
      <c r="Y4282">
        <v>7.1826399999999997E-3</v>
      </c>
      <c r="Z4282">
        <v>5.3282719999999999E-2</v>
      </c>
      <c r="AA4282">
        <v>0.99855360000000004</v>
      </c>
      <c r="AB4282">
        <v>25</v>
      </c>
      <c r="AC4282">
        <v>-0.30859999999995502</v>
      </c>
      <c r="AD4282">
        <v>-1.1099666517059901</v>
      </c>
      <c r="AE4282">
        <v>-20.542660000000001</v>
      </c>
      <c r="AF4282">
        <v>0.15057483254218099</v>
      </c>
      <c r="AG4282">
        <v>-1.1099666517059901</v>
      </c>
      <c r="AH4282">
        <v>20.484631690679102</v>
      </c>
      <c r="AI4282">
        <v>93.101474371231603</v>
      </c>
      <c r="AJ4282">
        <v>89.578847832935296</v>
      </c>
      <c r="AK4282">
        <v>20.515234199269301</v>
      </c>
      <c r="AL4282">
        <v>80.782615165661099</v>
      </c>
      <c r="AM4282">
        <v>91.741087013759795</v>
      </c>
      <c r="AN4282">
        <v>1.0000000013813899</v>
      </c>
    </row>
    <row r="4283" spans="1:40" x14ac:dyDescent="0.25">
      <c r="A4283" t="str">
        <f>"20190312172751036"</f>
        <v>20190312172751036</v>
      </c>
      <c r="B4283" t="str">
        <f>"1552382871023645"</f>
        <v>1552382871023645</v>
      </c>
      <c r="C4283" t="s">
        <v>40</v>
      </c>
      <c r="D4283">
        <v>3.2647349999999999</v>
      </c>
      <c r="E4283">
        <v>0.51812760000000002</v>
      </c>
      <c r="F4283" t="s">
        <v>41</v>
      </c>
      <c r="G4283">
        <v>-422.9314</v>
      </c>
      <c r="H4283" s="1">
        <v>-1.453171E-6</v>
      </c>
      <c r="I4283">
        <v>81.158330000000007</v>
      </c>
      <c r="J4283">
        <v>-422.60239999999999</v>
      </c>
      <c r="K4283">
        <v>1.1098269999999999</v>
      </c>
      <c r="L4283">
        <v>101.9355</v>
      </c>
      <c r="M4283">
        <v>-6.654905E-3</v>
      </c>
      <c r="N4283">
        <v>0</v>
      </c>
      <c r="O4283">
        <v>-0.99995579999999995</v>
      </c>
      <c r="P4283">
        <v>2.0142009999999998E-2</v>
      </c>
      <c r="Q4283">
        <v>0.1543515</v>
      </c>
      <c r="R4283">
        <v>-0.98781099999999999</v>
      </c>
      <c r="S4283">
        <v>-4.8034670000000002E-2</v>
      </c>
      <c r="T4283">
        <v>-0.16175499999999901</v>
      </c>
      <c r="U4283">
        <v>-3.0630190000000002</v>
      </c>
      <c r="V4283">
        <v>-2.6976489999999999E-2</v>
      </c>
      <c r="W4283">
        <v>0.1608829</v>
      </c>
      <c r="X4283">
        <v>0.98660479999999995</v>
      </c>
      <c r="Y4283">
        <v>9.0038099999999992E-3</v>
      </c>
      <c r="Z4283">
        <v>5.2729470000000001E-2</v>
      </c>
      <c r="AA4283">
        <v>0.99856820000000002</v>
      </c>
      <c r="AB4283">
        <v>25</v>
      </c>
      <c r="AC4283">
        <v>-0.32900000000000701</v>
      </c>
      <c r="AD4283">
        <v>-1.1098284531710001</v>
      </c>
      <c r="AE4283">
        <v>-20.777170000000002</v>
      </c>
      <c r="AF4283">
        <v>0.190177086452336</v>
      </c>
      <c r="AG4283">
        <v>-1.1098284531710001</v>
      </c>
      <c r="AH4283">
        <v>20.719795585144301</v>
      </c>
      <c r="AI4283">
        <v>93.065913785552496</v>
      </c>
      <c r="AJ4283">
        <v>89.474124230807703</v>
      </c>
      <c r="AK4283">
        <v>20.7503690475578</v>
      </c>
      <c r="AL4283">
        <v>80.741853729349302</v>
      </c>
      <c r="AM4283">
        <v>91.566234027135906</v>
      </c>
      <c r="AN4283">
        <v>1.0000000349540801</v>
      </c>
    </row>
    <row r="4284" spans="1:40" x14ac:dyDescent="0.25">
      <c r="A4284" t="str">
        <f>"20190312172751057"</f>
        <v>20190312172751057</v>
      </c>
      <c r="B4284" t="str">
        <f>"1552382871053902"</f>
        <v>1552382871053902</v>
      </c>
      <c r="C4284" t="s">
        <v>40</v>
      </c>
      <c r="D4284">
        <v>3.217759</v>
      </c>
      <c r="E4284">
        <v>0.51816430000000002</v>
      </c>
      <c r="F4284" t="s">
        <v>41</v>
      </c>
      <c r="G4284">
        <v>-422.97699999999998</v>
      </c>
      <c r="H4284" s="1">
        <v>-1.2606460000000001E-6</v>
      </c>
      <c r="I4284">
        <v>80.681280000000001</v>
      </c>
      <c r="J4284">
        <v>-422.60300000000001</v>
      </c>
      <c r="K4284">
        <v>1.109696</v>
      </c>
      <c r="L4284">
        <v>101.6981</v>
      </c>
      <c r="M4284">
        <v>-5.8669269999999897E-3</v>
      </c>
      <c r="N4284">
        <v>0</v>
      </c>
      <c r="O4284">
        <v>-0.99996079999999998</v>
      </c>
      <c r="P4284">
        <v>1.8446859999999999E-2</v>
      </c>
      <c r="Q4284">
        <v>0.15471589999999999</v>
      </c>
      <c r="R4284">
        <v>-0.98778690000000002</v>
      </c>
      <c r="S4284">
        <v>-5.3985600000000002E-2</v>
      </c>
      <c r="T4284">
        <v>-0.15994630000000001</v>
      </c>
      <c r="U4284">
        <v>-3.06311</v>
      </c>
      <c r="V4284">
        <v>-2.4453519999999999E-2</v>
      </c>
      <c r="W4284">
        <v>0.16120019999999999</v>
      </c>
      <c r="X4284">
        <v>0.98661880000000002</v>
      </c>
      <c r="Y4284">
        <v>1.173129E-2</v>
      </c>
      <c r="Z4284">
        <v>5.2138749999999998E-2</v>
      </c>
      <c r="AA4284">
        <v>0.99857090000000004</v>
      </c>
      <c r="AB4284">
        <v>25</v>
      </c>
      <c r="AC4284">
        <v>-0.37399999999996603</v>
      </c>
      <c r="AD4284">
        <v>-1.109697260646</v>
      </c>
      <c r="AE4284">
        <v>-21.016819999999999</v>
      </c>
      <c r="AF4284">
        <v>0.24998997990727201</v>
      </c>
      <c r="AG4284">
        <v>-1.109697260646</v>
      </c>
      <c r="AH4284">
        <v>20.960236300127001</v>
      </c>
      <c r="AI4284">
        <v>93.030364464668295</v>
      </c>
      <c r="AJ4284">
        <v>89.316673177977606</v>
      </c>
      <c r="AK4284">
        <v>20.991079742535899</v>
      </c>
      <c r="AL4284">
        <v>80.723433656961205</v>
      </c>
      <c r="AM4284">
        <v>91.419795262815299</v>
      </c>
      <c r="AN4284">
        <v>1.0000000678169301</v>
      </c>
    </row>
    <row r="4285" spans="1:40" x14ac:dyDescent="0.25">
      <c r="A4285" t="str">
        <f>"20190312172751080"</f>
        <v>20190312172751080</v>
      </c>
      <c r="B4285" t="str">
        <f>"1552382871073424"</f>
        <v>1552382871073424</v>
      </c>
      <c r="C4285" t="s">
        <v>40</v>
      </c>
      <c r="D4285">
        <v>3.2260209999999998</v>
      </c>
      <c r="E4285">
        <v>0.51812740000000002</v>
      </c>
      <c r="F4285" t="s">
        <v>41</v>
      </c>
      <c r="G4285">
        <v>-423.02109999999999</v>
      </c>
      <c r="H4285" s="1">
        <v>-1.196114E-6</v>
      </c>
      <c r="I4285">
        <v>80.503509999999906</v>
      </c>
      <c r="J4285">
        <v>-422.60379999999998</v>
      </c>
      <c r="K4285">
        <v>1.109534</v>
      </c>
      <c r="L4285">
        <v>101.4331</v>
      </c>
      <c r="M4285">
        <v>-5.2418719999999999E-3</v>
      </c>
      <c r="N4285">
        <v>0</v>
      </c>
      <c r="O4285">
        <v>-0.99996499999999999</v>
      </c>
      <c r="P4285">
        <v>1.6473990000000001E-2</v>
      </c>
      <c r="Q4285">
        <v>0.1545589</v>
      </c>
      <c r="R4285">
        <v>-0.98784640000000001</v>
      </c>
      <c r="S4285">
        <v>-6.0424800000000001E-2</v>
      </c>
      <c r="T4285">
        <v>-0.16038820000000001</v>
      </c>
      <c r="U4285">
        <v>-3.0633240000000002</v>
      </c>
      <c r="V4285">
        <v>-2.180269E-2</v>
      </c>
      <c r="W4285">
        <v>0.1609912</v>
      </c>
      <c r="X4285">
        <v>0.98671500000000001</v>
      </c>
      <c r="Y4285">
        <v>1.4453209999999999E-2</v>
      </c>
      <c r="Z4285">
        <v>5.2277089999999998E-2</v>
      </c>
      <c r="AA4285">
        <v>0.99852799999999997</v>
      </c>
      <c r="AB4285">
        <v>25</v>
      </c>
      <c r="AC4285">
        <v>-0.417300000000011</v>
      </c>
      <c r="AD4285">
        <v>-1.1095351961139901</v>
      </c>
      <c r="AE4285">
        <v>-20.929590000000001</v>
      </c>
      <c r="AF4285">
        <v>0.30672005341160302</v>
      </c>
      <c r="AG4285">
        <v>-1.1095351961139901</v>
      </c>
      <c r="AH4285">
        <v>20.8728531667475</v>
      </c>
      <c r="AI4285">
        <v>93.042471694531898</v>
      </c>
      <c r="AJ4285">
        <v>89.158117021544399</v>
      </c>
      <c r="AK4285">
        <v>20.9045723434655</v>
      </c>
      <c r="AL4285">
        <v>80.735566385797696</v>
      </c>
      <c r="AM4285">
        <v>91.265815228838505</v>
      </c>
      <c r="AN4285">
        <v>1.00000000749683</v>
      </c>
    </row>
    <row r="4286" spans="1:40" x14ac:dyDescent="0.25">
      <c r="A4286" t="str">
        <f>"20190312172751101"</f>
        <v>20190312172751101</v>
      </c>
      <c r="B4286" t="str">
        <f>"1552382871093917"</f>
        <v>1552382871093917</v>
      </c>
      <c r="C4286" t="s">
        <v>40</v>
      </c>
      <c r="D4286">
        <v>3.2276280000000002</v>
      </c>
      <c r="E4286">
        <v>0.51807970000000003</v>
      </c>
      <c r="F4286" t="s">
        <v>41</v>
      </c>
      <c r="G4286">
        <v>-423.06509999999997</v>
      </c>
      <c r="H4286" s="1">
        <v>-1.159849E-6</v>
      </c>
      <c r="I4286">
        <v>80.391660000000002</v>
      </c>
      <c r="J4286">
        <v>-422.6046</v>
      </c>
      <c r="K4286">
        <v>1.109372</v>
      </c>
      <c r="L4286">
        <v>101.18470000000001</v>
      </c>
      <c r="M4286">
        <v>-4.8859799999999998E-3</v>
      </c>
      <c r="N4286">
        <v>0</v>
      </c>
      <c r="O4286">
        <v>-0.9999673</v>
      </c>
      <c r="P4286">
        <v>1.4089040000000001E-2</v>
      </c>
      <c r="Q4286">
        <v>0.15484690000000001</v>
      </c>
      <c r="R4286">
        <v>-0.98783810000000005</v>
      </c>
      <c r="S4286">
        <v>-6.7169190000000004E-2</v>
      </c>
      <c r="T4286">
        <v>-0.16153010000000001</v>
      </c>
      <c r="U4286">
        <v>-3.0632929999999998</v>
      </c>
      <c r="V4286">
        <v>-1.9005660000000001E-2</v>
      </c>
      <c r="W4286">
        <v>0.16123119999999999</v>
      </c>
      <c r="X4286">
        <v>0.98673370000000005</v>
      </c>
      <c r="Y4286">
        <v>1.7006279999999999E-2</v>
      </c>
      <c r="Z4286">
        <v>5.2646659999999998E-2</v>
      </c>
      <c r="AA4286">
        <v>0.99846840000000003</v>
      </c>
      <c r="AB4286">
        <v>25</v>
      </c>
      <c r="AC4286">
        <v>-0.46049999999996699</v>
      </c>
      <c r="AD4286">
        <v>-1.109373159849</v>
      </c>
      <c r="AE4286">
        <v>-20.793040000000001</v>
      </c>
      <c r="AF4286">
        <v>0.35787979146592602</v>
      </c>
      <c r="AG4286">
        <v>-1.109373159849</v>
      </c>
      <c r="AH4286">
        <v>20.736044514436401</v>
      </c>
      <c r="AI4286">
        <v>93.061935131643494</v>
      </c>
      <c r="AJ4286">
        <v>89.011240255979004</v>
      </c>
      <c r="AK4286">
        <v>20.768782555981002</v>
      </c>
      <c r="AL4286">
        <v>80.721633824792704</v>
      </c>
      <c r="AM4286">
        <v>91.103448145326794</v>
      </c>
      <c r="AN4286">
        <v>1.0000000548405801</v>
      </c>
    </row>
    <row r="4287" spans="1:40" x14ac:dyDescent="0.25">
      <c r="A4287" t="str">
        <f>"20190312172751124"</f>
        <v>20190312172751124</v>
      </c>
      <c r="B4287" t="str">
        <f>"1552382871113439"</f>
        <v>1552382871113439</v>
      </c>
      <c r="C4287" t="s">
        <v>40</v>
      </c>
      <c r="D4287">
        <v>3.2256269999999998</v>
      </c>
      <c r="E4287">
        <v>0.51812429999999998</v>
      </c>
      <c r="F4287" t="s">
        <v>41</v>
      </c>
      <c r="G4287">
        <v>-423.12389999999999</v>
      </c>
      <c r="H4287" s="1">
        <v>-1.0671990000000001E-6</v>
      </c>
      <c r="I4287">
        <v>80.139259999999993</v>
      </c>
      <c r="J4287">
        <v>-422.60550000000001</v>
      </c>
      <c r="K4287">
        <v>1.1091979999999999</v>
      </c>
      <c r="L4287">
        <v>100.9255</v>
      </c>
      <c r="M4287">
        <v>-4.7357320000000003E-3</v>
      </c>
      <c r="N4287">
        <v>0</v>
      </c>
      <c r="O4287">
        <v>-0.99996830000000003</v>
      </c>
      <c r="P4287">
        <v>1.143892E-2</v>
      </c>
      <c r="Q4287">
        <v>0.1549365</v>
      </c>
      <c r="R4287">
        <v>-0.98785840000000003</v>
      </c>
      <c r="S4287">
        <v>-7.5592039999999999E-2</v>
      </c>
      <c r="T4287">
        <v>-0.16147739999999999</v>
      </c>
      <c r="U4287">
        <v>-3.0633240000000002</v>
      </c>
      <c r="V4287">
        <v>-1.6142900000000002E-2</v>
      </c>
      <c r="W4287">
        <v>0.16126699999999999</v>
      </c>
      <c r="X4287">
        <v>0.98677879999999996</v>
      </c>
      <c r="Y4287">
        <v>1.990012E-2</v>
      </c>
      <c r="Z4287">
        <v>5.2625980000000003E-2</v>
      </c>
      <c r="AA4287">
        <v>0.99841599999999997</v>
      </c>
      <c r="AB4287">
        <v>26</v>
      </c>
      <c r="AC4287">
        <v>-0.51839999999998498</v>
      </c>
      <c r="AD4287">
        <v>-1.109199067199</v>
      </c>
      <c r="AE4287">
        <v>-20.786239999999999</v>
      </c>
      <c r="AF4287">
        <v>0.41876241397423603</v>
      </c>
      <c r="AG4287">
        <v>-1.109199067199</v>
      </c>
      <c r="AH4287">
        <v>20.729471017454198</v>
      </c>
      <c r="AI4287">
        <v>93.062256112915094</v>
      </c>
      <c r="AJ4287">
        <v>88.842707762080806</v>
      </c>
      <c r="AK4287">
        <v>20.763348795257102</v>
      </c>
      <c r="AL4287">
        <v>80.719555105119298</v>
      </c>
      <c r="AM4287">
        <v>90.937228832215197</v>
      </c>
      <c r="AN4287">
        <v>1.0000000193194201</v>
      </c>
    </row>
    <row r="4288" spans="1:40" x14ac:dyDescent="0.25">
      <c r="A4288" t="str">
        <f>"20190312172751146"</f>
        <v>20190312172751146</v>
      </c>
      <c r="B4288" t="str">
        <f>"1552382871143693"</f>
        <v>1552382871143693</v>
      </c>
      <c r="C4288" t="s">
        <v>40</v>
      </c>
      <c r="D4288">
        <v>3.24274</v>
      </c>
      <c r="E4288">
        <v>0.51812669999999905</v>
      </c>
      <c r="F4288" t="s">
        <v>41</v>
      </c>
      <c r="G4288">
        <v>-423.18549999999999</v>
      </c>
      <c r="H4288" s="1">
        <v>-1.038206E-6</v>
      </c>
      <c r="I4288">
        <v>80.033419999999893</v>
      </c>
      <c r="J4288">
        <v>-422.60660000000001</v>
      </c>
      <c r="K4288">
        <v>1.109032</v>
      </c>
      <c r="L4288">
        <v>100.6743</v>
      </c>
      <c r="M4288">
        <v>-4.8099029999999999E-3</v>
      </c>
      <c r="N4288">
        <v>0</v>
      </c>
      <c r="O4288">
        <v>-0.99996830000000003</v>
      </c>
      <c r="P4288">
        <v>8.5293859999999999E-3</v>
      </c>
      <c r="Q4288">
        <v>0.15522520000000001</v>
      </c>
      <c r="R4288">
        <v>-0.98784260000000002</v>
      </c>
      <c r="S4288">
        <v>-8.5052489999999994E-2</v>
      </c>
      <c r="T4288">
        <v>-0.16263939999999999</v>
      </c>
      <c r="U4288">
        <v>-3.0633539999999999</v>
      </c>
      <c r="V4288">
        <v>-1.324525E-2</v>
      </c>
      <c r="W4288">
        <v>0.161500799999999</v>
      </c>
      <c r="X4288">
        <v>0.98678370000000004</v>
      </c>
      <c r="Y4288">
        <v>2.2906329999999999E-2</v>
      </c>
      <c r="Z4288">
        <v>5.2999200000000003E-2</v>
      </c>
      <c r="AA4288">
        <v>0.99833179999999999</v>
      </c>
      <c r="AB4288">
        <v>26</v>
      </c>
      <c r="AC4288">
        <v>-0.57889999999997599</v>
      </c>
      <c r="AD4288">
        <v>-1.1090330382060001</v>
      </c>
      <c r="AE4288">
        <v>-20.640879999999999</v>
      </c>
      <c r="AF4288">
        <v>0.47823115085513701</v>
      </c>
      <c r="AG4288">
        <v>-1.1090330382060001</v>
      </c>
      <c r="AH4288">
        <v>20.5840482391637</v>
      </c>
      <c r="AI4288">
        <v>93.083185583222701</v>
      </c>
      <c r="AJ4288">
        <v>88.669081136028396</v>
      </c>
      <c r="AK4288">
        <v>20.6194495859055</v>
      </c>
      <c r="AL4288">
        <v>80.705981316432499</v>
      </c>
      <c r="AM4288">
        <v>90.769014883749705</v>
      </c>
      <c r="AN4288">
        <v>1.00000000781694</v>
      </c>
    </row>
    <row r="4289" spans="1:40" x14ac:dyDescent="0.25">
      <c r="A4289" t="str">
        <f>"20190312172751170"</f>
        <v>20190312172751170</v>
      </c>
      <c r="B4289" t="str">
        <f>"1552382871163213"</f>
        <v>1552382871163213</v>
      </c>
      <c r="C4289" t="s">
        <v>40</v>
      </c>
      <c r="D4289">
        <v>3.2544759999999999</v>
      </c>
      <c r="E4289">
        <v>0.51818039999999999</v>
      </c>
      <c r="F4289" t="s">
        <v>41</v>
      </c>
      <c r="G4289">
        <v>-423.24959999999999</v>
      </c>
      <c r="H4289" s="1">
        <v>-1.0121499999999999E-6</v>
      </c>
      <c r="I4289">
        <v>79.932950000000005</v>
      </c>
      <c r="J4289">
        <v>-422.60820000000001</v>
      </c>
      <c r="K4289">
        <v>1.108857</v>
      </c>
      <c r="L4289">
        <v>100.4019</v>
      </c>
      <c r="M4289">
        <v>-5.1412530000000001E-3</v>
      </c>
      <c r="N4289">
        <v>0</v>
      </c>
      <c r="O4289">
        <v>-0.9999673</v>
      </c>
      <c r="P4289">
        <v>4.3022009999999899E-3</v>
      </c>
      <c r="Q4289">
        <v>0.15634100000000001</v>
      </c>
      <c r="R4289">
        <v>-0.98769399999999996</v>
      </c>
      <c r="S4289">
        <v>-9.4970700000000005E-2</v>
      </c>
      <c r="T4289">
        <v>-0.16380330000000001</v>
      </c>
      <c r="U4289">
        <v>-3.0634769999999998</v>
      </c>
      <c r="V4289">
        <v>-9.2797350000000008E-3</v>
      </c>
      <c r="W4289">
        <v>0.1625539</v>
      </c>
      <c r="X4289">
        <v>0.98665599999999998</v>
      </c>
      <c r="Y4289">
        <v>2.5802619999999998E-2</v>
      </c>
      <c r="Z4289">
        <v>5.3370760000000003E-2</v>
      </c>
      <c r="AA4289">
        <v>0.99824139999999995</v>
      </c>
      <c r="AB4289">
        <v>26</v>
      </c>
      <c r="AC4289">
        <v>-0.64139999999997599</v>
      </c>
      <c r="AD4289">
        <v>-1.10885801215</v>
      </c>
      <c r="AE4289">
        <v>-20.4689499999999</v>
      </c>
      <c r="AF4289">
        <v>0.53458612147380502</v>
      </c>
      <c r="AG4289">
        <v>-1.10885801215</v>
      </c>
      <c r="AH4289">
        <v>20.412132812834699</v>
      </c>
      <c r="AI4289">
        <v>93.108385876070301</v>
      </c>
      <c r="AJ4289">
        <v>88.4997879049414</v>
      </c>
      <c r="AK4289">
        <v>20.4492179405763</v>
      </c>
      <c r="AL4289">
        <v>80.644834831866802</v>
      </c>
      <c r="AM4289">
        <v>90.538864582833497</v>
      </c>
      <c r="AN4289">
        <v>0.99999997311143896</v>
      </c>
    </row>
    <row r="4290" spans="1:40" x14ac:dyDescent="0.25">
      <c r="A4290" t="str">
        <f>"20190312172751193"</f>
        <v>20190312172751193</v>
      </c>
      <c r="B4290" t="str">
        <f>"1552382871183710"</f>
        <v>1552382871183710</v>
      </c>
      <c r="C4290" t="s">
        <v>40</v>
      </c>
      <c r="D4290">
        <v>3.2022949999999999</v>
      </c>
      <c r="E4290">
        <v>0.51821609999999996</v>
      </c>
      <c r="F4290" t="s">
        <v>41</v>
      </c>
      <c r="G4290">
        <v>-423.35520000000002</v>
      </c>
      <c r="H4290" s="1">
        <v>-4.8118960000000004E-6</v>
      </c>
      <c r="I4290">
        <v>79.377849999999995</v>
      </c>
      <c r="J4290">
        <v>-422.61</v>
      </c>
      <c r="K4290">
        <v>1.1086959999999999</v>
      </c>
      <c r="L4290">
        <v>100.1341</v>
      </c>
      <c r="M4290">
        <v>-5.7017250000000004E-3</v>
      </c>
      <c r="N4290">
        <v>0</v>
      </c>
      <c r="O4290">
        <v>-0.99996450000000003</v>
      </c>
      <c r="P4290">
        <v>1.6207179999999999E-4</v>
      </c>
      <c r="Q4290">
        <v>0.15733549999999999</v>
      </c>
      <c r="R4290">
        <v>-0.98754540000000002</v>
      </c>
      <c r="S4290">
        <v>-0.1088562</v>
      </c>
      <c r="T4290">
        <v>-0.16157439999999901</v>
      </c>
      <c r="U4290">
        <v>-3.0634459999999999</v>
      </c>
      <c r="V4290">
        <v>-5.6326240000000001E-3</v>
      </c>
      <c r="W4290">
        <v>0.1634882</v>
      </c>
      <c r="X4290">
        <v>0.9865292</v>
      </c>
      <c r="Y4290">
        <v>2.976345E-2</v>
      </c>
      <c r="Z4290">
        <v>5.263996E-2</v>
      </c>
      <c r="AA4290">
        <v>0.99816990000000005</v>
      </c>
      <c r="AB4290">
        <v>26</v>
      </c>
      <c r="AC4290">
        <v>-0.74520000000001096</v>
      </c>
      <c r="AD4290">
        <v>-1.108700811896</v>
      </c>
      <c r="AE4290">
        <v>-20.756250000000001</v>
      </c>
      <c r="AF4290">
        <v>0.62505806458995905</v>
      </c>
      <c r="AG4290">
        <v>-1.108700811896</v>
      </c>
      <c r="AH4290">
        <v>20.701173222556299</v>
      </c>
      <c r="AI4290">
        <v>93.064289591733797</v>
      </c>
      <c r="AJ4290">
        <v>88.270517761627104</v>
      </c>
      <c r="AK4290">
        <v>20.740262483022999</v>
      </c>
      <c r="AL4290">
        <v>80.590577722177798</v>
      </c>
      <c r="AM4290">
        <v>90.327128762159504</v>
      </c>
      <c r="AN4290">
        <v>0.99999999022250197</v>
      </c>
    </row>
    <row r="4291" spans="1:40" x14ac:dyDescent="0.25">
      <c r="A4291" t="str">
        <f>"20190312172751214"</f>
        <v>20190312172751214</v>
      </c>
      <c r="B4291" t="str">
        <f>"1552382871203230"</f>
        <v>1552382871203230</v>
      </c>
      <c r="C4291" t="s">
        <v>40</v>
      </c>
      <c r="D4291">
        <v>3.2391030000000001</v>
      </c>
      <c r="E4291">
        <v>0.5181673</v>
      </c>
      <c r="F4291" t="s">
        <v>41</v>
      </c>
      <c r="G4291">
        <v>-423.4658</v>
      </c>
      <c r="H4291" s="1">
        <v>-4.66071E-6</v>
      </c>
      <c r="I4291">
        <v>78.875929999999997</v>
      </c>
      <c r="J4291">
        <v>-422.61219999999997</v>
      </c>
      <c r="K4291">
        <v>1.1085670000000001</v>
      </c>
      <c r="L4291">
        <v>99.874049999999997</v>
      </c>
      <c r="M4291">
        <v>-6.4094629999999998E-3</v>
      </c>
      <c r="N4291">
        <v>0</v>
      </c>
      <c r="O4291">
        <v>-0.99996050000000003</v>
      </c>
      <c r="P4291">
        <v>-4.923251E-3</v>
      </c>
      <c r="Q4291">
        <v>0.15821779999999999</v>
      </c>
      <c r="R4291">
        <v>-0.98739219999999905</v>
      </c>
      <c r="S4291">
        <v>-0.1233215</v>
      </c>
      <c r="T4291">
        <v>-0.15976360000000001</v>
      </c>
      <c r="U4291">
        <v>-3.0632929999999998</v>
      </c>
      <c r="V4291">
        <v>-1.1954719999999999E-3</v>
      </c>
      <c r="W4291">
        <v>0.16431189999999901</v>
      </c>
      <c r="X4291">
        <v>0.9864077</v>
      </c>
      <c r="Y4291">
        <v>3.3765499999999997E-2</v>
      </c>
      <c r="Z4291">
        <v>5.2045929999999997E-2</v>
      </c>
      <c r="AA4291">
        <v>0.99807369999999995</v>
      </c>
      <c r="AB4291">
        <v>26</v>
      </c>
      <c r="AC4291">
        <v>-0.853600000000028</v>
      </c>
      <c r="AD4291">
        <v>-1.10857166071</v>
      </c>
      <c r="AE4291">
        <v>-20.998119999999901</v>
      </c>
      <c r="AF4291">
        <v>0.71699812714205402</v>
      </c>
      <c r="AG4291">
        <v>-1.10857166071</v>
      </c>
      <c r="AH4291">
        <v>20.944878821339699</v>
      </c>
      <c r="AI4291">
        <v>93.027956672859403</v>
      </c>
      <c r="AJ4291">
        <v>88.039380842896804</v>
      </c>
      <c r="AK4291">
        <v>20.9864472048477</v>
      </c>
      <c r="AL4291">
        <v>80.542736222764901</v>
      </c>
      <c r="AM4291">
        <v>90.0694393064758</v>
      </c>
      <c r="AN4291">
        <v>0.99999999012710095</v>
      </c>
    </row>
    <row r="4292" spans="1:40" x14ac:dyDescent="0.25">
      <c r="A4292" t="str">
        <f>"20190312172751238"</f>
        <v>20190312172751238</v>
      </c>
      <c r="B4292" t="str">
        <f>"1552382871233485"</f>
        <v>1552382871233485</v>
      </c>
      <c r="C4292" t="s">
        <v>40</v>
      </c>
      <c r="D4292">
        <v>3.2313860000000001</v>
      </c>
      <c r="E4292">
        <v>0.51800449999999998</v>
      </c>
      <c r="F4292" t="s">
        <v>41</v>
      </c>
      <c r="G4292">
        <v>-423.58699999999999</v>
      </c>
      <c r="H4292" s="1">
        <v>-4.5195979999999901E-6</v>
      </c>
      <c r="I4292">
        <v>78.398099999999999</v>
      </c>
      <c r="J4292">
        <v>-422.6148</v>
      </c>
      <c r="K4292">
        <v>1.1084499999999999</v>
      </c>
      <c r="L4292">
        <v>99.595889999999997</v>
      </c>
      <c r="M4292">
        <v>-7.3267690000000003E-3</v>
      </c>
      <c r="N4292">
        <v>0</v>
      </c>
      <c r="O4292">
        <v>-0.99995469999999997</v>
      </c>
      <c r="P4292">
        <v>-9.5153419999999996E-3</v>
      </c>
      <c r="Q4292">
        <v>0.15973979999999999</v>
      </c>
      <c r="R4292">
        <v>-0.98711369999999998</v>
      </c>
      <c r="S4292">
        <v>-0.1390381</v>
      </c>
      <c r="T4292">
        <v>-0.15810739999999901</v>
      </c>
      <c r="U4292">
        <v>-3.0629580000000001</v>
      </c>
      <c r="V4292">
        <v>2.5391720000000001E-3</v>
      </c>
      <c r="W4292">
        <v>0.16577120000000001</v>
      </c>
      <c r="X4292">
        <v>0.98616099999999995</v>
      </c>
      <c r="Y4292">
        <v>3.7965949999999998E-2</v>
      </c>
      <c r="Z4292">
        <v>5.1503460000000001E-2</v>
      </c>
      <c r="AA4292">
        <v>0.99795089999999997</v>
      </c>
      <c r="AB4292">
        <v>26</v>
      </c>
      <c r="AC4292">
        <v>-0.97219999999998596</v>
      </c>
      <c r="AD4292">
        <v>-1.108454519598</v>
      </c>
      <c r="AE4292">
        <v>-21.197790000000001</v>
      </c>
      <c r="AF4292">
        <v>0.81463689731439703</v>
      </c>
      <c r="AG4292">
        <v>-1.108454519598</v>
      </c>
      <c r="AH4292">
        <v>21.146643205176701</v>
      </c>
      <c r="AI4292">
        <v>92.998336437794904</v>
      </c>
      <c r="AJ4292">
        <v>87.793872680481201</v>
      </c>
      <c r="AK4292">
        <v>21.191338408499099</v>
      </c>
      <c r="AL4292">
        <v>80.457962305299901</v>
      </c>
      <c r="AM4292">
        <v>89.852474882338399</v>
      </c>
      <c r="AN4292">
        <v>1.0000000280324399</v>
      </c>
    </row>
    <row r="4293" spans="1:40" x14ac:dyDescent="0.25">
      <c r="A4293" t="str">
        <f>"20190312172751258"</f>
        <v>20190312172751258</v>
      </c>
      <c r="B4293" t="str">
        <f>"1552382871253981"</f>
        <v>1552382871253981</v>
      </c>
      <c r="C4293" t="s">
        <v>40</v>
      </c>
      <c r="D4293">
        <v>3.2354039999999999</v>
      </c>
      <c r="E4293">
        <v>0.51791319999999996</v>
      </c>
      <c r="F4293" t="s">
        <v>41</v>
      </c>
      <c r="G4293">
        <v>-423.70699999999999</v>
      </c>
      <c r="H4293" s="1">
        <v>-4.3014199999999997E-6</v>
      </c>
      <c r="I4293">
        <v>77.694409999999905</v>
      </c>
      <c r="J4293">
        <v>-422.61750000000001</v>
      </c>
      <c r="K4293">
        <v>1.1083639999999999</v>
      </c>
      <c r="L4293">
        <v>99.356319999999997</v>
      </c>
      <c r="M4293">
        <v>-8.2340039999999996E-3</v>
      </c>
      <c r="N4293">
        <v>0</v>
      </c>
      <c r="O4293">
        <v>-0.99994780000000005</v>
      </c>
      <c r="P4293">
        <v>-1.4669059999999999E-2</v>
      </c>
      <c r="Q4293">
        <v>0.16160869999999999</v>
      </c>
      <c r="R4293">
        <v>-0.98674620000000002</v>
      </c>
      <c r="S4293">
        <v>-0.1527405</v>
      </c>
      <c r="T4293">
        <v>-0.15500990000000001</v>
      </c>
      <c r="U4293">
        <v>-3.0627749999999998</v>
      </c>
      <c r="V4293">
        <v>6.8365179999999998E-3</v>
      </c>
      <c r="W4293">
        <v>0.16758229999999999</v>
      </c>
      <c r="X4293">
        <v>0.9858344</v>
      </c>
      <c r="Y4293">
        <v>4.1518930000000003E-2</v>
      </c>
      <c r="Z4293">
        <v>5.0490590000000002E-2</v>
      </c>
      <c r="AA4293">
        <v>0.99786109999999995</v>
      </c>
      <c r="AB4293">
        <v>26</v>
      </c>
      <c r="AC4293">
        <v>-1.0894999999999799</v>
      </c>
      <c r="AD4293">
        <v>-1.1083683014200001</v>
      </c>
      <c r="AE4293">
        <v>-21.661909999999999</v>
      </c>
      <c r="AF4293">
        <v>0.90872248685477497</v>
      </c>
      <c r="AG4293">
        <v>-1.1083683014200001</v>
      </c>
      <c r="AH4293">
        <v>21.613704189835602</v>
      </c>
      <c r="AI4293">
        <v>92.933015982833098</v>
      </c>
      <c r="AJ4293">
        <v>87.592484999493905</v>
      </c>
      <c r="AK4293">
        <v>21.661174152280498</v>
      </c>
      <c r="AL4293">
        <v>80.352721629063396</v>
      </c>
      <c r="AM4293">
        <v>89.602674293945299</v>
      </c>
      <c r="AN4293">
        <v>1.0000000147375001</v>
      </c>
    </row>
    <row r="4294" spans="1:40" x14ac:dyDescent="0.25">
      <c r="A4294" t="str">
        <f>"20190312172751281"</f>
        <v>20190312172751281</v>
      </c>
      <c r="B4294" t="str">
        <f>"1552382871273502"</f>
        <v>1552382871273502</v>
      </c>
      <c r="C4294" t="s">
        <v>40</v>
      </c>
      <c r="D4294">
        <v>3.2872409999999999</v>
      </c>
      <c r="E4294">
        <v>0.51782490000000003</v>
      </c>
      <c r="F4294" t="s">
        <v>41</v>
      </c>
      <c r="G4294">
        <v>-423.85719999999998</v>
      </c>
      <c r="H4294" s="1">
        <v>-4.0201059999999996E-6</v>
      </c>
      <c r="I4294">
        <v>76.789469999999994</v>
      </c>
      <c r="J4294">
        <v>-422.6207</v>
      </c>
      <c r="K4294">
        <v>1.1082809999999901</v>
      </c>
      <c r="L4294">
        <v>99.094729999999998</v>
      </c>
      <c r="M4294">
        <v>-9.3265420000000002E-3</v>
      </c>
      <c r="N4294">
        <v>0</v>
      </c>
      <c r="O4294">
        <v>-0.99993869999999896</v>
      </c>
      <c r="P4294">
        <v>-1.9145349999999998E-2</v>
      </c>
      <c r="Q4294">
        <v>0.16325609999999999</v>
      </c>
      <c r="R4294">
        <v>-0.98639840000000001</v>
      </c>
      <c r="S4294">
        <v>-0.16824339999999999</v>
      </c>
      <c r="T4294">
        <v>-0.15041119999999999</v>
      </c>
      <c r="U4294">
        <v>-3.0624389999999999</v>
      </c>
      <c r="V4294">
        <v>1.027292E-2</v>
      </c>
      <c r="W4294">
        <v>0.16916909999999999</v>
      </c>
      <c r="X4294">
        <v>0.98553349999999995</v>
      </c>
      <c r="Y4294">
        <v>4.5474090000000002E-2</v>
      </c>
      <c r="Z4294">
        <v>4.8990310000000002E-2</v>
      </c>
      <c r="AA4294">
        <v>0.99776350000000003</v>
      </c>
      <c r="AB4294">
        <v>26</v>
      </c>
      <c r="AC4294">
        <v>-1.23649999999997</v>
      </c>
      <c r="AD4294">
        <v>-1.1082850201059999</v>
      </c>
      <c r="AE4294">
        <v>-22.305260000000001</v>
      </c>
      <c r="AF4294">
        <v>1.0258866066648</v>
      </c>
      <c r="AG4294">
        <v>-1.1082850201059999</v>
      </c>
      <c r="AH4294">
        <v>22.261032342950699</v>
      </c>
      <c r="AI4294">
        <v>92.847150583344202</v>
      </c>
      <c r="AJ4294">
        <v>87.361424493178504</v>
      </c>
      <c r="AK4294">
        <v>22.312200698035699</v>
      </c>
      <c r="AL4294">
        <v>80.260487685156306</v>
      </c>
      <c r="AM4294">
        <v>89.402786771868406</v>
      </c>
      <c r="AN4294">
        <v>0.99999999845119303</v>
      </c>
    </row>
    <row r="4295" spans="1:40" x14ac:dyDescent="0.25">
      <c r="A4295" t="str">
        <f>"20190312172751303"</f>
        <v>20190312172751303</v>
      </c>
      <c r="B4295" t="str">
        <f>"1552382871293998"</f>
        <v>1552382871293998</v>
      </c>
      <c r="C4295" t="s">
        <v>40</v>
      </c>
      <c r="D4295">
        <v>3.2367360000000001</v>
      </c>
      <c r="E4295">
        <v>0.51195190000000002</v>
      </c>
      <c r="F4295" t="s">
        <v>41</v>
      </c>
      <c r="G4295">
        <v>-424.01780000000002</v>
      </c>
      <c r="H4295" s="1">
        <v>-3.6650800000000002E-6</v>
      </c>
      <c r="I4295">
        <v>75.662520000000001</v>
      </c>
      <c r="J4295">
        <v>-422.62439999999998</v>
      </c>
      <c r="K4295">
        <v>1.1082110000000001</v>
      </c>
      <c r="L4295">
        <v>98.822299999999998</v>
      </c>
      <c r="M4295">
        <v>-1.0545830000000001E-2</v>
      </c>
      <c r="N4295">
        <v>0</v>
      </c>
      <c r="O4295">
        <v>-0.9999266</v>
      </c>
      <c r="P4295">
        <v>-2.427064E-2</v>
      </c>
      <c r="Q4295">
        <v>0.1659195</v>
      </c>
      <c r="R4295">
        <v>-0.98584070000000001</v>
      </c>
      <c r="S4295">
        <v>-0.1825562</v>
      </c>
      <c r="T4295">
        <v>-0.14481529999999901</v>
      </c>
      <c r="U4295">
        <v>-3.061798</v>
      </c>
      <c r="V4295">
        <v>1.4234409999999999E-2</v>
      </c>
      <c r="W4295">
        <v>0.171767</v>
      </c>
      <c r="X4295">
        <v>0.98503479999999999</v>
      </c>
      <c r="Y4295">
        <v>4.8921249999999999E-2</v>
      </c>
      <c r="Z4295">
        <v>4.7170650000000001E-2</v>
      </c>
      <c r="AA4295">
        <v>0.99768820000000003</v>
      </c>
      <c r="AB4295">
        <v>27</v>
      </c>
      <c r="AC4295">
        <v>-1.3934000000000399</v>
      </c>
      <c r="AD4295">
        <v>-1.10821466507999</v>
      </c>
      <c r="AE4295">
        <v>-23.159780000000001</v>
      </c>
      <c r="AF4295">
        <v>1.1464634724640801</v>
      </c>
      <c r="AG4295">
        <v>-1.10821466507999</v>
      </c>
      <c r="AH4295">
        <v>23.1204389128761</v>
      </c>
      <c r="AI4295">
        <v>92.740852888181806</v>
      </c>
      <c r="AJ4295">
        <v>87.1612234632628</v>
      </c>
      <c r="AK4295">
        <v>23.175357899321199</v>
      </c>
      <c r="AL4295">
        <v>80.109428305830704</v>
      </c>
      <c r="AM4295">
        <v>89.172095387629994</v>
      </c>
      <c r="AN4295">
        <v>1.00000003896404</v>
      </c>
    </row>
    <row r="4296" spans="1:40" x14ac:dyDescent="0.25">
      <c r="A4296" t="str">
        <f>"20190312172751325"</f>
        <v>20190312172751325</v>
      </c>
      <c r="B4296" t="str">
        <f>"1552382871313518"</f>
        <v>1552382871313518</v>
      </c>
      <c r="C4296" t="s">
        <v>40</v>
      </c>
      <c r="D4296">
        <v>3.2433000000000001</v>
      </c>
      <c r="E4296">
        <v>0.50423689999999999</v>
      </c>
      <c r="F4296" t="s">
        <v>41</v>
      </c>
      <c r="G4296">
        <v>-423.90300000000002</v>
      </c>
      <c r="H4296" s="1">
        <v>-2.5149229999999998E-6</v>
      </c>
      <c r="I4296">
        <v>73.030739999999994</v>
      </c>
      <c r="J4296">
        <v>-422.6284</v>
      </c>
      <c r="K4296">
        <v>1.10816</v>
      </c>
      <c r="L4296">
        <v>98.560670000000002</v>
      </c>
      <c r="M4296">
        <v>-1.176632E-2</v>
      </c>
      <c r="N4296">
        <v>0</v>
      </c>
      <c r="O4296">
        <v>-0.99991350000000001</v>
      </c>
      <c r="P4296">
        <v>-2.9417720000000001E-2</v>
      </c>
      <c r="Q4296">
        <v>0.1675989</v>
      </c>
      <c r="R4296">
        <v>-0.98541639999999997</v>
      </c>
      <c r="S4296">
        <v>-0.15176389999999901</v>
      </c>
      <c r="T4296">
        <v>-0.13154640000000001</v>
      </c>
      <c r="U4296">
        <v>-3.061493</v>
      </c>
      <c r="V4296">
        <v>1.8206380000000001E-2</v>
      </c>
      <c r="W4296">
        <v>0.1733845</v>
      </c>
      <c r="X4296">
        <v>0.9846859</v>
      </c>
      <c r="Y4296">
        <v>3.7710010000000002E-2</v>
      </c>
      <c r="Z4296">
        <v>4.2882450000000003E-2</v>
      </c>
      <c r="AA4296">
        <v>0.99836820000000004</v>
      </c>
      <c r="AB4296">
        <v>27</v>
      </c>
      <c r="AC4296">
        <v>-1.2746000000000199</v>
      </c>
      <c r="AD4296">
        <v>-1.1081625149230001</v>
      </c>
      <c r="AE4296">
        <v>-25.52993</v>
      </c>
      <c r="AF4296">
        <v>0.97228590252382396</v>
      </c>
      <c r="AG4296">
        <v>-1.1081625149230001</v>
      </c>
      <c r="AH4296">
        <v>25.495243662717598</v>
      </c>
      <c r="AI4296">
        <v>92.487015348595605</v>
      </c>
      <c r="AJ4296">
        <v>87.816028092232997</v>
      </c>
      <c r="AK4296">
        <v>25.537831024914201</v>
      </c>
      <c r="AL4296">
        <v>80.015340207831898</v>
      </c>
      <c r="AM4296">
        <v>88.940748631253598</v>
      </c>
      <c r="AN4296">
        <v>0.99999998938588197</v>
      </c>
    </row>
    <row r="4297" spans="1:40" x14ac:dyDescent="0.25">
      <c r="A4297" t="str">
        <f>"20190312172751347"</f>
        <v>20190312172751347</v>
      </c>
      <c r="B4297" t="str">
        <f>"1552382871343774"</f>
        <v>1552382871343774</v>
      </c>
      <c r="C4297" t="s">
        <v>40</v>
      </c>
      <c r="D4297">
        <v>3.2028449999999999</v>
      </c>
      <c r="E4297">
        <v>0.50168840000000003</v>
      </c>
      <c r="F4297" t="s">
        <v>41</v>
      </c>
      <c r="G4297">
        <v>-423.59440000000001</v>
      </c>
      <c r="H4297" s="1">
        <v>-1.450417E-6</v>
      </c>
      <c r="I4297">
        <v>70.740700000000004</v>
      </c>
      <c r="J4297">
        <v>-422.63290000000001</v>
      </c>
      <c r="K4297">
        <v>1.1081259999999999</v>
      </c>
      <c r="L4297">
        <v>98.291899999999998</v>
      </c>
      <c r="M4297">
        <v>-1.304755E-2</v>
      </c>
      <c r="N4297">
        <v>0</v>
      </c>
      <c r="O4297">
        <v>-0.99989790000000001</v>
      </c>
      <c r="P4297">
        <v>-3.3552650000000003E-2</v>
      </c>
      <c r="Q4297">
        <v>0.16765039999999901</v>
      </c>
      <c r="R4297">
        <v>-0.98527569999999998</v>
      </c>
      <c r="S4297">
        <v>-0.10632320000000001</v>
      </c>
      <c r="T4297">
        <v>-0.12196890000000001</v>
      </c>
      <c r="U4297">
        <v>-3.0619809999999998</v>
      </c>
      <c r="V4297">
        <v>2.109312E-2</v>
      </c>
      <c r="W4297">
        <v>0.173377</v>
      </c>
      <c r="X4297">
        <v>0.98462959999999999</v>
      </c>
      <c r="Y4297">
        <v>2.1632430000000001E-2</v>
      </c>
      <c r="Z4297">
        <v>3.9780049999999997E-2</v>
      </c>
      <c r="AA4297">
        <v>0.99897429999999998</v>
      </c>
      <c r="AB4297">
        <v>27</v>
      </c>
      <c r="AC4297">
        <v>-0.96150000000000002</v>
      </c>
      <c r="AD4297">
        <v>-1.108127450417</v>
      </c>
      <c r="AE4297">
        <v>-27.551199999999898</v>
      </c>
      <c r="AF4297">
        <v>0.60096538953810497</v>
      </c>
      <c r="AG4297">
        <v>-1.108127450417</v>
      </c>
      <c r="AH4297">
        <v>27.516940067970001</v>
      </c>
      <c r="AI4297">
        <v>92.305547980722395</v>
      </c>
      <c r="AJ4297">
        <v>88.748868610688405</v>
      </c>
      <c r="AK4297">
        <v>27.545799980215602</v>
      </c>
      <c r="AL4297">
        <v>80.015776404615806</v>
      </c>
      <c r="AM4297">
        <v>88.772775134222599</v>
      </c>
      <c r="AN4297">
        <v>0.99999997651824601</v>
      </c>
    </row>
    <row r="4298" spans="1:40" x14ac:dyDescent="0.25">
      <c r="A4298" t="str">
        <f>"20190312172751371"</f>
        <v>20190312172751371</v>
      </c>
      <c r="B4298" t="str">
        <f>"1552382871363293"</f>
        <v>1552382871363293</v>
      </c>
      <c r="C4298" t="s">
        <v>40</v>
      </c>
      <c r="D4298">
        <v>3.2483979999999999</v>
      </c>
      <c r="E4298">
        <v>0.50007860000000004</v>
      </c>
      <c r="F4298" t="s">
        <v>41</v>
      </c>
      <c r="G4298">
        <v>-423.49119999999999</v>
      </c>
      <c r="H4298" s="1">
        <v>-1.955947E-6</v>
      </c>
      <c r="I4298">
        <v>71.98312</v>
      </c>
      <c r="J4298">
        <v>-422.63780000000003</v>
      </c>
      <c r="K4298">
        <v>1.108098</v>
      </c>
      <c r="L4298">
        <v>98.019350000000003</v>
      </c>
      <c r="M4298">
        <v>-1.436045E-2</v>
      </c>
      <c r="N4298">
        <v>0</v>
      </c>
      <c r="O4298">
        <v>-0.99988030000000006</v>
      </c>
      <c r="P4298">
        <v>-3.6080939999999999E-2</v>
      </c>
      <c r="Q4298">
        <v>0.16782429999999901</v>
      </c>
      <c r="R4298">
        <v>-0.98515680000000005</v>
      </c>
      <c r="S4298">
        <v>-9.9945069999999997E-2</v>
      </c>
      <c r="T4298">
        <v>-0.12903000000000001</v>
      </c>
      <c r="U4298">
        <v>-3.0633849999999998</v>
      </c>
      <c r="V4298">
        <v>2.2335600000000001E-2</v>
      </c>
      <c r="W4298">
        <v>0.17349210000000001</v>
      </c>
      <c r="X4298">
        <v>0.98458190000000001</v>
      </c>
      <c r="Y4298">
        <v>1.8223079999999999E-2</v>
      </c>
      <c r="Z4298">
        <v>4.2061599999999998E-2</v>
      </c>
      <c r="AA4298">
        <v>0.99894879999999997</v>
      </c>
      <c r="AB4298">
        <v>27</v>
      </c>
      <c r="AC4298">
        <v>-0.85339999999996496</v>
      </c>
      <c r="AD4298">
        <v>-1.1080999559469999</v>
      </c>
      <c r="AE4298">
        <v>-26.03623</v>
      </c>
      <c r="AF4298">
        <v>0.47854793228773901</v>
      </c>
      <c r="AG4298">
        <v>-1.1080999559469999</v>
      </c>
      <c r="AH4298">
        <v>25.998758320361301</v>
      </c>
      <c r="AI4298">
        <v>92.440128658727801</v>
      </c>
      <c r="AJ4298">
        <v>88.945500373663094</v>
      </c>
      <c r="AK4298">
        <v>26.026761762394202</v>
      </c>
      <c r="AL4298">
        <v>80.009079942220396</v>
      </c>
      <c r="AM4298">
        <v>88.700447212839094</v>
      </c>
      <c r="AN4298">
        <v>0.99999995279868803</v>
      </c>
    </row>
    <row r="4299" spans="1:40" x14ac:dyDescent="0.25">
      <c r="A4299" t="str">
        <f>"20190312172751393"</f>
        <v>20190312172751393</v>
      </c>
      <c r="B4299" t="str">
        <f>"1552382871383789"</f>
        <v>1552382871383789</v>
      </c>
      <c r="C4299" t="s">
        <v>40</v>
      </c>
      <c r="D4299">
        <v>3.2601209999999998</v>
      </c>
      <c r="E4299">
        <v>0.49889319999999998</v>
      </c>
      <c r="F4299" t="s">
        <v>41</v>
      </c>
      <c r="G4299">
        <v>-423.45339999999999</v>
      </c>
      <c r="H4299" s="1">
        <v>-1.9842660000000001E-6</v>
      </c>
      <c r="I4299">
        <v>72.072599999999994</v>
      </c>
      <c r="J4299">
        <v>-422.64319999999998</v>
      </c>
      <c r="K4299">
        <v>1.1080829999999999</v>
      </c>
      <c r="L4299">
        <v>97.738190000000003</v>
      </c>
      <c r="M4299">
        <v>-1.5715440000000001E-2</v>
      </c>
      <c r="N4299">
        <v>0</v>
      </c>
      <c r="O4299">
        <v>-0.99986010000000003</v>
      </c>
      <c r="P4299">
        <v>-3.863436E-2</v>
      </c>
      <c r="Q4299">
        <v>0.1696011</v>
      </c>
      <c r="R4299">
        <v>-0.98475520000000005</v>
      </c>
      <c r="S4299">
        <v>-9.6313480000000007E-2</v>
      </c>
      <c r="T4299">
        <v>-0.13085189999999999</v>
      </c>
      <c r="U4299">
        <v>-3.063965</v>
      </c>
      <c r="V4299">
        <v>2.3566119999999999E-2</v>
      </c>
      <c r="W4299">
        <v>0.17520820000000001</v>
      </c>
      <c r="X4299">
        <v>0.98424929999999999</v>
      </c>
      <c r="Y4299">
        <v>1.5678339999999999E-2</v>
      </c>
      <c r="Z4299">
        <v>4.2646789999999997E-2</v>
      </c>
      <c r="AA4299">
        <v>0.99896719999999894</v>
      </c>
      <c r="AB4299">
        <v>27</v>
      </c>
      <c r="AC4299">
        <v>-0.81020000000000802</v>
      </c>
      <c r="AD4299">
        <v>-1.1080849842660001</v>
      </c>
      <c r="AE4299">
        <v>-25.665590000000002</v>
      </c>
      <c r="AF4299">
        <v>0.40599127471063201</v>
      </c>
      <c r="AG4299">
        <v>-1.1080849842660001</v>
      </c>
      <c r="AH4299">
        <v>25.627431451400401</v>
      </c>
      <c r="AI4299">
        <v>92.475516202989198</v>
      </c>
      <c r="AJ4299">
        <v>89.092392817284406</v>
      </c>
      <c r="AK4299">
        <v>25.654588752184701</v>
      </c>
      <c r="AL4299">
        <v>79.909225510654096</v>
      </c>
      <c r="AM4299">
        <v>88.628415297825299</v>
      </c>
      <c r="AN4299">
        <v>0.99999997995479195</v>
      </c>
    </row>
    <row r="4300" spans="1:40" x14ac:dyDescent="0.25">
      <c r="A4300" t="str">
        <f>"20190312172751416"</f>
        <v>20190312172751416</v>
      </c>
      <c r="B4300" t="str">
        <f>"1552382871414046"</f>
        <v>1552382871414046</v>
      </c>
      <c r="C4300" t="s">
        <v>40</v>
      </c>
      <c r="D4300">
        <v>3.2269019999999999</v>
      </c>
      <c r="E4300">
        <v>0.4976198</v>
      </c>
      <c r="F4300" t="s">
        <v>41</v>
      </c>
      <c r="G4300">
        <v>-423.48090000000002</v>
      </c>
      <c r="H4300" s="1">
        <v>-1.4324780000000001E-6</v>
      </c>
      <c r="I4300">
        <v>70.769310000000004</v>
      </c>
      <c r="J4300">
        <v>-422.64909999999998</v>
      </c>
      <c r="K4300">
        <v>1.108074</v>
      </c>
      <c r="L4300">
        <v>97.455929999999995</v>
      </c>
      <c r="M4300">
        <v>-1.7068059999999999E-2</v>
      </c>
      <c r="N4300">
        <v>0</v>
      </c>
      <c r="O4300">
        <v>-0.99983840000000002</v>
      </c>
      <c r="P4300">
        <v>-4.0085830000000003E-2</v>
      </c>
      <c r="Q4300">
        <v>0.17084199999999999</v>
      </c>
      <c r="R4300">
        <v>-0.9844832</v>
      </c>
      <c r="S4300">
        <v>-9.5184329999999998E-2</v>
      </c>
      <c r="T4300">
        <v>-0.1259083</v>
      </c>
      <c r="U4300">
        <v>-3.0643919999999998</v>
      </c>
      <c r="V4300">
        <v>2.3692850000000001E-2</v>
      </c>
      <c r="W4300">
        <v>0.17639440000000001</v>
      </c>
      <c r="X4300">
        <v>0.98403439999999998</v>
      </c>
      <c r="Y4300">
        <v>1.395566E-2</v>
      </c>
      <c r="Z4300">
        <v>4.1032039999999999E-2</v>
      </c>
      <c r="AA4300">
        <v>0.99906039999999996</v>
      </c>
      <c r="AB4300">
        <v>27</v>
      </c>
      <c r="AC4300">
        <v>-0.83180000000004295</v>
      </c>
      <c r="AD4300">
        <v>-1.108075432478</v>
      </c>
      <c r="AE4300">
        <v>-26.686620000000001</v>
      </c>
      <c r="AF4300">
        <v>0.37553592472121</v>
      </c>
      <c r="AG4300">
        <v>-1.108075432478</v>
      </c>
      <c r="AH4300">
        <v>26.6510265947542</v>
      </c>
      <c r="AI4300">
        <v>92.380591573634604</v>
      </c>
      <c r="AJ4300">
        <v>89.192706533225802</v>
      </c>
      <c r="AK4300">
        <v>26.676695390342399</v>
      </c>
      <c r="AL4300">
        <v>79.840186397183402</v>
      </c>
      <c r="AM4300">
        <v>88.620741226079204</v>
      </c>
      <c r="AN4300">
        <v>1.00000001793792</v>
      </c>
    </row>
    <row r="4301" spans="1:40" x14ac:dyDescent="0.25">
      <c r="A4301" t="str">
        <f>"20190312172751438"</f>
        <v>20190312172751438</v>
      </c>
      <c r="B4301" t="str">
        <f>"1552382871433566"</f>
        <v>1552382871433566</v>
      </c>
      <c r="C4301" t="s">
        <v>40</v>
      </c>
      <c r="D4301">
        <v>3.2250779999999999</v>
      </c>
      <c r="E4301">
        <v>0.49682520000000002</v>
      </c>
      <c r="F4301" t="s">
        <v>41</v>
      </c>
      <c r="G4301">
        <v>-423.44889999999998</v>
      </c>
      <c r="H4301" s="1">
        <v>-1.209751E-6</v>
      </c>
      <c r="I4301">
        <v>70.269980000000004</v>
      </c>
      <c r="J4301">
        <v>-422.6549</v>
      </c>
      <c r="K4301">
        <v>1.1080620000000001</v>
      </c>
      <c r="L4301">
        <v>97.189359999999994</v>
      </c>
      <c r="M4301">
        <v>-1.8335959999999998E-2</v>
      </c>
      <c r="N4301">
        <v>0</v>
      </c>
      <c r="O4301">
        <v>-0.99981620000000004</v>
      </c>
      <c r="P4301">
        <v>-4.0077740000000001E-2</v>
      </c>
      <c r="Q4301">
        <v>0.1712042</v>
      </c>
      <c r="R4301">
        <v>-0.98442059999999998</v>
      </c>
      <c r="S4301">
        <v>-9.017944E-2</v>
      </c>
      <c r="T4301">
        <v>-0.1249392</v>
      </c>
      <c r="U4301">
        <v>-3.0653079999999999</v>
      </c>
      <c r="V4301">
        <v>2.2438019999999999E-2</v>
      </c>
      <c r="W4301">
        <v>0.1767117</v>
      </c>
      <c r="X4301">
        <v>0.98400690000000002</v>
      </c>
      <c r="Y4301">
        <v>1.104902E-2</v>
      </c>
      <c r="Z4301">
        <v>4.0704999999999998E-2</v>
      </c>
      <c r="AA4301">
        <v>0.9991101</v>
      </c>
      <c r="AB4301">
        <v>27</v>
      </c>
      <c r="AC4301">
        <v>-0.79399999999998205</v>
      </c>
      <c r="AD4301">
        <v>-1.1080632097509999</v>
      </c>
      <c r="AE4301">
        <v>-26.919379999999901</v>
      </c>
      <c r="AF4301">
        <v>0.29975864620064302</v>
      </c>
      <c r="AG4301">
        <v>-1.1080632097509999</v>
      </c>
      <c r="AH4301">
        <v>26.883902500288102</v>
      </c>
      <c r="AI4301">
        <v>92.360055112057097</v>
      </c>
      <c r="AJ4301">
        <v>89.361171853844894</v>
      </c>
      <c r="AK4301">
        <v>26.908397814953101</v>
      </c>
      <c r="AL4301">
        <v>79.821716472083594</v>
      </c>
      <c r="AM4301">
        <v>88.693727560442099</v>
      </c>
      <c r="AN4301">
        <v>1.000000034453</v>
      </c>
    </row>
    <row r="4302" spans="1:40" x14ac:dyDescent="0.25">
      <c r="A4302" t="str">
        <f>"20190312172751459"</f>
        <v>20190312172751459</v>
      </c>
      <c r="B4302" t="str">
        <f>"1552382871454071"</f>
        <v>1552382871454071</v>
      </c>
      <c r="C4302" t="s">
        <v>40</v>
      </c>
      <c r="D4302">
        <v>3.247681</v>
      </c>
      <c r="E4302">
        <v>0.4961661</v>
      </c>
      <c r="F4302" t="s">
        <v>41</v>
      </c>
      <c r="G4302">
        <v>-423.39850000000001</v>
      </c>
      <c r="H4302" s="1">
        <v>-1.154257E-6</v>
      </c>
      <c r="I4302">
        <v>70.171850000000006</v>
      </c>
      <c r="J4302">
        <v>-422.66120000000001</v>
      </c>
      <c r="K4302">
        <v>1.108055</v>
      </c>
      <c r="L4302">
        <v>96.919370000000001</v>
      </c>
      <c r="M4302">
        <v>-1.9610019999999999E-2</v>
      </c>
      <c r="N4302">
        <v>0</v>
      </c>
      <c r="O4302">
        <v>-0.99979220000000002</v>
      </c>
      <c r="P4302">
        <v>-3.9387699999999998E-2</v>
      </c>
      <c r="Q4302">
        <v>0.17147660000000001</v>
      </c>
      <c r="R4302">
        <v>-0.98440079999999996</v>
      </c>
      <c r="S4302">
        <v>-8.4381100000000001E-2</v>
      </c>
      <c r="T4302">
        <v>-0.12574179999999999</v>
      </c>
      <c r="U4302">
        <v>-3.0659179999999999</v>
      </c>
      <c r="V4302">
        <v>2.0494700000000001E-2</v>
      </c>
      <c r="W4302">
        <v>0.17694309999999999</v>
      </c>
      <c r="X4302">
        <v>0.98400770000000004</v>
      </c>
      <c r="Y4302">
        <v>7.8805990000000003E-3</v>
      </c>
      <c r="Z4302">
        <v>4.0958149999999999E-2</v>
      </c>
      <c r="AA4302">
        <v>0.99912979999999996</v>
      </c>
      <c r="AB4302">
        <v>27</v>
      </c>
      <c r="AC4302">
        <v>-0.73730000000000395</v>
      </c>
      <c r="AD4302">
        <v>-1.108056154257</v>
      </c>
      <c r="AE4302">
        <v>-26.747519999999898</v>
      </c>
      <c r="AF4302">
        <v>0.212266677205034</v>
      </c>
      <c r="AG4302">
        <v>-1.108056154257</v>
      </c>
      <c r="AH4302">
        <v>26.711029658755901</v>
      </c>
      <c r="AI4302">
        <v>92.375369323402495</v>
      </c>
      <c r="AJ4302">
        <v>89.544692627536804</v>
      </c>
      <c r="AK4302">
        <v>26.734845258840998</v>
      </c>
      <c r="AL4302">
        <v>79.808245846435597</v>
      </c>
      <c r="AM4302">
        <v>88.806828381595096</v>
      </c>
      <c r="AN4302">
        <v>1.00000002351249</v>
      </c>
    </row>
    <row r="4303" spans="1:40" x14ac:dyDescent="0.25">
      <c r="A4303" t="str">
        <f>"20190312172751482"</f>
        <v>20190312172751482</v>
      </c>
      <c r="B4303" t="str">
        <f>"1552382871473582"</f>
        <v>1552382871473582</v>
      </c>
      <c r="C4303" t="s">
        <v>40</v>
      </c>
      <c r="D4303">
        <v>3.2646229999999998</v>
      </c>
      <c r="E4303">
        <v>0.49537039999999999</v>
      </c>
      <c r="F4303" t="s">
        <v>41</v>
      </c>
      <c r="G4303">
        <v>-423.34469999999999</v>
      </c>
      <c r="H4303" s="1">
        <v>-1.078418E-6</v>
      </c>
      <c r="I4303">
        <v>70.028469999999999</v>
      </c>
      <c r="J4303">
        <v>-422.66789999999997</v>
      </c>
      <c r="K4303">
        <v>1.1080490000000001</v>
      </c>
      <c r="L4303">
        <v>96.641720000000007</v>
      </c>
      <c r="M4303">
        <v>-2.0910290000000002E-2</v>
      </c>
      <c r="N4303">
        <v>0</v>
      </c>
      <c r="O4303">
        <v>-0.99976589999999999</v>
      </c>
      <c r="P4303">
        <v>-3.9458489999999999E-2</v>
      </c>
      <c r="Q4303">
        <v>0.17287920000000001</v>
      </c>
      <c r="R4303">
        <v>-0.98415240000000004</v>
      </c>
      <c r="S4303">
        <v>-7.794189E-2</v>
      </c>
      <c r="T4303">
        <v>-0.1263543</v>
      </c>
      <c r="U4303">
        <v>-3.0664370000000001</v>
      </c>
      <c r="V4303">
        <v>1.929403E-2</v>
      </c>
      <c r="W4303">
        <v>0.17830199999999999</v>
      </c>
      <c r="X4303">
        <v>0.98378659999999996</v>
      </c>
      <c r="Y4303">
        <v>4.4785859999999997E-3</v>
      </c>
      <c r="Z4303">
        <v>4.1150319999999997E-2</v>
      </c>
      <c r="AA4303">
        <v>0.99914289999999994</v>
      </c>
      <c r="AB4303">
        <v>28</v>
      </c>
      <c r="AC4303">
        <v>-0.67680000000001395</v>
      </c>
      <c r="AD4303">
        <v>-1.1080500784180001</v>
      </c>
      <c r="AE4303">
        <v>-26.613249999999901</v>
      </c>
      <c r="AF4303">
        <v>0.11994485285945899</v>
      </c>
      <c r="AG4303">
        <v>-1.1080500784180001</v>
      </c>
      <c r="AH4303">
        <v>26.575544458751502</v>
      </c>
      <c r="AI4303">
        <v>92.387503185525702</v>
      </c>
      <c r="AJ4303">
        <v>89.741405592257493</v>
      </c>
      <c r="AK4303">
        <v>26.598904583141898</v>
      </c>
      <c r="AL4303">
        <v>79.729127967381999</v>
      </c>
      <c r="AM4303">
        <v>88.876458787572602</v>
      </c>
      <c r="AN4303">
        <v>0.99999996856859896</v>
      </c>
    </row>
    <row r="4304" spans="1:40" x14ac:dyDescent="0.25">
      <c r="A4304" t="str">
        <f>"20190312172751503"</f>
        <v>20190312172751503</v>
      </c>
      <c r="B4304" t="str">
        <f>"1552382871494078"</f>
        <v>1552382871494078</v>
      </c>
      <c r="C4304" t="s">
        <v>40</v>
      </c>
      <c r="D4304">
        <v>3.2449210000000002</v>
      </c>
      <c r="E4304">
        <v>0.49492540000000002</v>
      </c>
      <c r="F4304" t="s">
        <v>41</v>
      </c>
      <c r="G4304">
        <v>-423.3184</v>
      </c>
      <c r="H4304" s="1">
        <v>-4.5817440000000001E-6</v>
      </c>
      <c r="I4304">
        <v>68.720759999999999</v>
      </c>
      <c r="J4304">
        <v>-422.67500000000001</v>
      </c>
      <c r="K4304">
        <v>1.1080479999999999</v>
      </c>
      <c r="L4304">
        <v>96.368260000000006</v>
      </c>
      <c r="M4304">
        <v>-2.2180149999999999E-2</v>
      </c>
      <c r="N4304">
        <v>0</v>
      </c>
      <c r="O4304">
        <v>-0.99973880000000004</v>
      </c>
      <c r="P4304">
        <v>-3.9427459999999998E-2</v>
      </c>
      <c r="Q4304">
        <v>0.17446789999999901</v>
      </c>
      <c r="R4304">
        <v>-0.98387340000000001</v>
      </c>
      <c r="S4304">
        <v>-7.1441649999999995E-2</v>
      </c>
      <c r="T4304">
        <v>-0.1217072</v>
      </c>
      <c r="U4304">
        <v>-3.0668030000000002</v>
      </c>
      <c r="V4304">
        <v>1.8022679999999999E-2</v>
      </c>
      <c r="W4304">
        <v>0.17984919999999999</v>
      </c>
      <c r="X4304">
        <v>0.98352910000000004</v>
      </c>
      <c r="Y4304">
        <v>1.090328E-3</v>
      </c>
      <c r="Z4304">
        <v>3.963415E-2</v>
      </c>
      <c r="AA4304">
        <v>0.99921360000000004</v>
      </c>
      <c r="AB4304">
        <v>28</v>
      </c>
      <c r="AC4304">
        <v>-0.64339999999998498</v>
      </c>
      <c r="AD4304">
        <v>-1.1080525817439999</v>
      </c>
      <c r="AE4304">
        <v>-27.647499999999901</v>
      </c>
      <c r="AF4304">
        <v>2.99586079813382E-2</v>
      </c>
      <c r="AG4304">
        <v>-1.1080525817439999</v>
      </c>
      <c r="AH4304">
        <v>27.610643993234799</v>
      </c>
      <c r="AI4304">
        <v>92.298122770047598</v>
      </c>
      <c r="AJ4304">
        <v>89.937831905542595</v>
      </c>
      <c r="AK4304">
        <v>27.632885114718899</v>
      </c>
      <c r="AL4304">
        <v>79.639023963483893</v>
      </c>
      <c r="AM4304">
        <v>88.950200922205894</v>
      </c>
      <c r="AN4304">
        <v>1.0000000211409099</v>
      </c>
    </row>
    <row r="4305" spans="1:40" x14ac:dyDescent="0.25">
      <c r="A4305" t="str">
        <f>"20190312172751526"</f>
        <v>20190312172751526</v>
      </c>
      <c r="B4305" t="str">
        <f>"1552382871523357"</f>
        <v>1552382871523357</v>
      </c>
      <c r="C4305" t="s">
        <v>40</v>
      </c>
      <c r="D4305">
        <v>3.2549779999999999</v>
      </c>
      <c r="E4305">
        <v>0.49440909999999899</v>
      </c>
      <c r="F4305" t="s">
        <v>41</v>
      </c>
      <c r="G4305">
        <v>-423.29880000000003</v>
      </c>
      <c r="H4305" s="1">
        <v>-4.2071970000000003E-6</v>
      </c>
      <c r="I4305">
        <v>67.630309999999994</v>
      </c>
      <c r="J4305">
        <v>-422.6823</v>
      </c>
      <c r="K4305">
        <v>1.1080490000000001</v>
      </c>
      <c r="L4305">
        <v>96.095249999999993</v>
      </c>
      <c r="M4305">
        <v>-2.3430719999999999E-2</v>
      </c>
      <c r="N4305">
        <v>0</v>
      </c>
      <c r="O4305">
        <v>-0.9997104</v>
      </c>
      <c r="P4305">
        <v>-3.8940160000000001E-2</v>
      </c>
      <c r="Q4305">
        <v>0.17461199999999999</v>
      </c>
      <c r="R4305">
        <v>-0.98386669999999998</v>
      </c>
      <c r="S4305">
        <v>-6.658936E-2</v>
      </c>
      <c r="T4305">
        <v>-0.1182729</v>
      </c>
      <c r="U4305">
        <v>-3.0674739999999998</v>
      </c>
      <c r="V4305">
        <v>1.6302980000000002E-2</v>
      </c>
      <c r="W4305">
        <v>0.17995799999999901</v>
      </c>
      <c r="X4305">
        <v>0.98353919999999995</v>
      </c>
      <c r="Y4305">
        <v>-1.7445200000000001E-3</v>
      </c>
      <c r="Z4305">
        <v>3.8508050000000002E-2</v>
      </c>
      <c r="AA4305">
        <v>0.99925679999999995</v>
      </c>
      <c r="AB4305">
        <v>28</v>
      </c>
      <c r="AC4305">
        <v>-0.61650000000003002</v>
      </c>
      <c r="AD4305">
        <v>-1.108053207197</v>
      </c>
      <c r="AE4305">
        <v>-28.464939999999999</v>
      </c>
      <c r="AF4305">
        <v>-5.0556766723652002E-2</v>
      </c>
      <c r="AG4305">
        <v>-1.108053207197</v>
      </c>
      <c r="AH4305">
        <v>28.428512609447498</v>
      </c>
      <c r="AI4305">
        <v>92.232074276941503</v>
      </c>
      <c r="AJ4305">
        <v>90.101893698948004</v>
      </c>
      <c r="AK4305">
        <v>28.450143533595</v>
      </c>
      <c r="AL4305">
        <v>79.632686706150807</v>
      </c>
      <c r="AM4305">
        <v>89.050361783462094</v>
      </c>
      <c r="AN4305">
        <v>1.0000000134287601</v>
      </c>
    </row>
    <row r="4306" spans="1:40" x14ac:dyDescent="0.25">
      <c r="A4306" t="str">
        <f>"20190312172751549"</f>
        <v>20190312172751549</v>
      </c>
      <c r="B4306" t="str">
        <f>"1552382871543853"</f>
        <v>1552382871543853</v>
      </c>
      <c r="C4306" t="s">
        <v>40</v>
      </c>
      <c r="D4306">
        <v>3.257031</v>
      </c>
      <c r="E4306">
        <v>0.49415100000000001</v>
      </c>
      <c r="F4306" t="s">
        <v>41</v>
      </c>
      <c r="G4306">
        <v>-423.2448</v>
      </c>
      <c r="H4306" s="1">
        <v>-4.3438319999999999E-6</v>
      </c>
      <c r="I4306">
        <v>68.060009999999906</v>
      </c>
      <c r="J4306">
        <v>-422.69049999999999</v>
      </c>
      <c r="K4306">
        <v>1.108052</v>
      </c>
      <c r="L4306">
        <v>95.804659999999998</v>
      </c>
      <c r="M4306">
        <v>-2.4727579999999999E-2</v>
      </c>
      <c r="N4306">
        <v>0</v>
      </c>
      <c r="O4306">
        <v>-0.99967950000000005</v>
      </c>
      <c r="P4306">
        <v>-3.8318650000000003E-2</v>
      </c>
      <c r="Q4306">
        <v>0.1744945</v>
      </c>
      <c r="R4306">
        <v>-0.98391260000000003</v>
      </c>
      <c r="S4306">
        <v>-6.1553959999999998E-2</v>
      </c>
      <c r="T4306">
        <v>-0.121269</v>
      </c>
      <c r="U4306">
        <v>-3.0682680000000002</v>
      </c>
      <c r="V4306">
        <v>1.4396900000000001E-2</v>
      </c>
      <c r="W4306">
        <v>0.17980889999999999</v>
      </c>
      <c r="X4306">
        <v>0.98359620000000003</v>
      </c>
      <c r="Y4306">
        <v>-4.6873069999999999E-3</v>
      </c>
      <c r="Z4306">
        <v>3.9470480000000002E-2</v>
      </c>
      <c r="AA4306">
        <v>0.99920980000000004</v>
      </c>
      <c r="AB4306">
        <v>28</v>
      </c>
      <c r="AC4306">
        <v>-0.55430000000001201</v>
      </c>
      <c r="AD4306">
        <v>-1.1080563438319999</v>
      </c>
      <c r="AE4306">
        <v>-27.74465</v>
      </c>
      <c r="AF4306">
        <v>-0.13172762409413299</v>
      </c>
      <c r="AG4306">
        <v>-1.1080563438319999</v>
      </c>
      <c r="AH4306">
        <v>27.705699457878701</v>
      </c>
      <c r="AI4306">
        <v>92.290229808740506</v>
      </c>
      <c r="AJ4306">
        <v>90.272412542652106</v>
      </c>
      <c r="AK4306">
        <v>27.7281611990113</v>
      </c>
      <c r="AL4306">
        <v>79.641371006226194</v>
      </c>
      <c r="AM4306">
        <v>89.161421417049297</v>
      </c>
      <c r="AN4306">
        <v>0.99999999795162997</v>
      </c>
    </row>
    <row r="4307" spans="1:40" x14ac:dyDescent="0.25">
      <c r="A4307" t="str">
        <f>"20190312172751571"</f>
        <v>20190312172751571</v>
      </c>
      <c r="B4307" t="str">
        <f>"1552382871563373"</f>
        <v>1552382871563373</v>
      </c>
      <c r="C4307" t="s">
        <v>40</v>
      </c>
      <c r="D4307">
        <v>3.254292</v>
      </c>
      <c r="E4307">
        <v>0.49393419999999999</v>
      </c>
      <c r="F4307" t="s">
        <v>41</v>
      </c>
      <c r="G4307">
        <v>-423.21530000000001</v>
      </c>
      <c r="H4307" s="1">
        <v>-4.4456049999999998E-6</v>
      </c>
      <c r="I4307">
        <v>68.374430000000004</v>
      </c>
      <c r="J4307">
        <v>-422.69850000000002</v>
      </c>
      <c r="K4307">
        <v>1.108069</v>
      </c>
      <c r="L4307">
        <v>95.527770000000004</v>
      </c>
      <c r="M4307">
        <v>-2.5911440000000001E-2</v>
      </c>
      <c r="N4307">
        <v>0</v>
      </c>
      <c r="O4307">
        <v>-0.99964960000000003</v>
      </c>
      <c r="P4307">
        <v>-3.8606469999999997E-2</v>
      </c>
      <c r="Q4307">
        <v>0.1759435</v>
      </c>
      <c r="R4307">
        <v>-0.98364280000000004</v>
      </c>
      <c r="S4307">
        <v>-5.8715820000000002E-2</v>
      </c>
      <c r="T4307">
        <v>-0.1239638</v>
      </c>
      <c r="U4307">
        <v>-3.068756</v>
      </c>
      <c r="V4307">
        <v>1.351685E-2</v>
      </c>
      <c r="W4307">
        <v>0.181229</v>
      </c>
      <c r="X4307">
        <v>0.983348</v>
      </c>
      <c r="Y4307">
        <v>-6.7991500000000003E-3</v>
      </c>
      <c r="Z4307">
        <v>4.0338079999999998E-2</v>
      </c>
      <c r="AA4307">
        <v>0.99916300000000002</v>
      </c>
      <c r="AB4307">
        <v>28</v>
      </c>
      <c r="AC4307">
        <v>-0.51679999999998905</v>
      </c>
      <c r="AD4307">
        <v>-1.1080734456050001</v>
      </c>
      <c r="AE4307">
        <v>-27.153339999999901</v>
      </c>
      <c r="AF4307">
        <v>-0.186655240563428</v>
      </c>
      <c r="AG4307">
        <v>-1.1080734456050001</v>
      </c>
      <c r="AH4307">
        <v>27.112480151486999</v>
      </c>
      <c r="AI4307">
        <v>92.3402918721454</v>
      </c>
      <c r="AJ4307">
        <v>90.394445233099702</v>
      </c>
      <c r="AK4307">
        <v>27.135755874942198</v>
      </c>
      <c r="AL4307">
        <v>79.558645948256896</v>
      </c>
      <c r="AM4307">
        <v>89.212476472183198</v>
      </c>
      <c r="AN4307">
        <v>0.99999997238946003</v>
      </c>
    </row>
    <row r="4308" spans="1:40" x14ac:dyDescent="0.25">
      <c r="A4308" t="str">
        <f>"20190312172751594"</f>
        <v>20190312172751594</v>
      </c>
      <c r="B4308" t="str">
        <f>"1552382871583870"</f>
        <v>1552382871583870</v>
      </c>
      <c r="C4308" t="s">
        <v>40</v>
      </c>
      <c r="D4308">
        <v>3.2787700000000002</v>
      </c>
      <c r="E4308">
        <v>0.49373139999999999</v>
      </c>
      <c r="F4308" t="s">
        <v>41</v>
      </c>
      <c r="G4308">
        <v>-423.21480000000003</v>
      </c>
      <c r="H4308" s="1">
        <v>-4.1656350000000003E-6</v>
      </c>
      <c r="I4308">
        <v>67.551990000000004</v>
      </c>
      <c r="J4308">
        <v>-422.70740000000001</v>
      </c>
      <c r="K4308">
        <v>1.1081030000000001</v>
      </c>
      <c r="L4308">
        <v>95.232879999999994</v>
      </c>
      <c r="M4308">
        <v>-2.7115489999999999E-2</v>
      </c>
      <c r="N4308">
        <v>0</v>
      </c>
      <c r="O4308">
        <v>-0.99961789999999995</v>
      </c>
      <c r="P4308">
        <v>-3.9330730000000001E-2</v>
      </c>
      <c r="Q4308">
        <v>0.17660010000000001</v>
      </c>
      <c r="R4308">
        <v>-0.98349679999999995</v>
      </c>
      <c r="S4308">
        <v>-5.6640629999999997E-2</v>
      </c>
      <c r="T4308">
        <v>-0.1215736</v>
      </c>
      <c r="U4308">
        <v>-3.0693969999999999</v>
      </c>
      <c r="V4308">
        <v>1.3044470000000001E-2</v>
      </c>
      <c r="W4308">
        <v>0.1818602</v>
      </c>
      <c r="X4308">
        <v>0.9832379</v>
      </c>
      <c r="Y4308">
        <v>-8.6822900000000005E-3</v>
      </c>
      <c r="Z4308">
        <v>3.9551330000000003E-2</v>
      </c>
      <c r="AA4308">
        <v>0.99917979999999995</v>
      </c>
      <c r="AB4308">
        <v>28</v>
      </c>
      <c r="AC4308">
        <v>-0.50740000000001795</v>
      </c>
      <c r="AD4308">
        <v>-1.1081071656349999</v>
      </c>
      <c r="AE4308">
        <v>-27.680890000000002</v>
      </c>
      <c r="AF4308">
        <v>-0.242989014774672</v>
      </c>
      <c r="AG4308">
        <v>-1.1081071656349999</v>
      </c>
      <c r="AH4308">
        <v>27.640191170773399</v>
      </c>
      <c r="AI4308">
        <v>92.295694424363006</v>
      </c>
      <c r="AJ4308">
        <v>90.503682709295504</v>
      </c>
      <c r="AK4308">
        <v>27.663461697855801</v>
      </c>
      <c r="AL4308">
        <v>79.521870332217304</v>
      </c>
      <c r="AM4308">
        <v>89.239910064254303</v>
      </c>
      <c r="AN4308">
        <v>1.0000000292690101</v>
      </c>
    </row>
    <row r="4309" spans="1:40" x14ac:dyDescent="0.25">
      <c r="A4309" t="str">
        <f>"20190312172751617"</f>
        <v>20190312172751617</v>
      </c>
      <c r="B4309" t="str">
        <f>"1552382871614126"</f>
        <v>1552382871614126</v>
      </c>
      <c r="C4309" t="s">
        <v>40</v>
      </c>
      <c r="D4309">
        <v>3.261657</v>
      </c>
      <c r="E4309">
        <v>0.49347429999999898</v>
      </c>
      <c r="F4309" t="s">
        <v>41</v>
      </c>
      <c r="G4309">
        <v>-423.21269999999998</v>
      </c>
      <c r="H4309" s="1">
        <v>-4.0347560000000004E-6</v>
      </c>
      <c r="I4309">
        <v>67.168499999999995</v>
      </c>
      <c r="J4309">
        <v>-422.71620000000001</v>
      </c>
      <c r="K4309">
        <v>1.108144</v>
      </c>
      <c r="L4309">
        <v>94.952849999999998</v>
      </c>
      <c r="M4309">
        <v>-2.8181979999999999E-2</v>
      </c>
      <c r="N4309">
        <v>0</v>
      </c>
      <c r="O4309">
        <v>-0.99958880000000006</v>
      </c>
      <c r="P4309">
        <v>-3.9901329999999999E-2</v>
      </c>
      <c r="Q4309">
        <v>0.1762222</v>
      </c>
      <c r="R4309">
        <v>-0.98354189999999997</v>
      </c>
      <c r="S4309">
        <v>-5.5267330000000003E-2</v>
      </c>
      <c r="T4309">
        <v>-0.1212139</v>
      </c>
      <c r="U4309">
        <v>-3.0699160000000001</v>
      </c>
      <c r="V4309">
        <v>1.25422E-2</v>
      </c>
      <c r="W4309">
        <v>0.1814635</v>
      </c>
      <c r="X4309">
        <v>0.98331769999999996</v>
      </c>
      <c r="Y4309">
        <v>-1.019899E-2</v>
      </c>
      <c r="Z4309">
        <v>3.9426000000000003E-2</v>
      </c>
      <c r="AA4309">
        <v>0.99917040000000001</v>
      </c>
      <c r="AB4309">
        <v>28</v>
      </c>
      <c r="AC4309">
        <v>-0.49649999999996902</v>
      </c>
      <c r="AD4309">
        <v>-1.108148034756</v>
      </c>
      <c r="AE4309">
        <v>-27.78435</v>
      </c>
      <c r="AF4309">
        <v>-0.28627093905775503</v>
      </c>
      <c r="AG4309">
        <v>-1.108148034756</v>
      </c>
      <c r="AH4309">
        <v>27.743188856245901</v>
      </c>
      <c r="AI4309">
        <v>92.287231559175794</v>
      </c>
      <c r="AJ4309">
        <v>90.5911913946466</v>
      </c>
      <c r="AK4309">
        <v>27.766787193170298</v>
      </c>
      <c r="AL4309">
        <v>79.544983888499701</v>
      </c>
      <c r="AM4309">
        <v>89.269232965891206</v>
      </c>
      <c r="AN4309">
        <v>1.00000000387319</v>
      </c>
    </row>
    <row r="4310" spans="1:40" x14ac:dyDescent="0.25">
      <c r="A4310" t="str">
        <f>"20190312172751639"</f>
        <v>20190312172751639</v>
      </c>
      <c r="B4310" t="str">
        <f>"1552382871633645"</f>
        <v>1552382871633645</v>
      </c>
      <c r="C4310" t="s">
        <v>40</v>
      </c>
      <c r="D4310">
        <v>3.2457050000000001</v>
      </c>
      <c r="E4310">
        <v>0.493344</v>
      </c>
      <c r="F4310" t="s">
        <v>41</v>
      </c>
      <c r="G4310">
        <v>-423.19799999999998</v>
      </c>
      <c r="H4310" s="1">
        <v>-4.2342470000000003E-6</v>
      </c>
      <c r="I4310">
        <v>67.762339999999995</v>
      </c>
      <c r="J4310">
        <v>-422.7253</v>
      </c>
      <c r="K4310">
        <v>1.108204</v>
      </c>
      <c r="L4310">
        <v>94.666470000000004</v>
      </c>
      <c r="M4310">
        <v>-2.916384E-2</v>
      </c>
      <c r="N4310">
        <v>0</v>
      </c>
      <c r="O4310">
        <v>-0.99956060000000002</v>
      </c>
      <c r="P4310">
        <v>-4.0156289999999997E-2</v>
      </c>
      <c r="Q4310">
        <v>0.1757591</v>
      </c>
      <c r="R4310">
        <v>-0.98361410000000005</v>
      </c>
      <c r="S4310">
        <v>-5.4412839999999997E-2</v>
      </c>
      <c r="T4310">
        <v>-0.12513550000000001</v>
      </c>
      <c r="U4310">
        <v>-3.0704349999999998</v>
      </c>
      <c r="V4310">
        <v>1.179828E-2</v>
      </c>
      <c r="W4310">
        <v>0.1809856</v>
      </c>
      <c r="X4310">
        <v>0.98341489999999998</v>
      </c>
      <c r="Y4310">
        <v>-1.146313E-2</v>
      </c>
      <c r="Z4310">
        <v>4.0690690000000002E-2</v>
      </c>
      <c r="AA4310">
        <v>0.99910600000000005</v>
      </c>
      <c r="AB4310">
        <v>28</v>
      </c>
      <c r="AC4310">
        <v>-0.47270000000003098</v>
      </c>
      <c r="AD4310">
        <v>-1.1082082342470001</v>
      </c>
      <c r="AE4310">
        <v>-26.904129999999899</v>
      </c>
      <c r="AF4310">
        <v>-0.31161128166926699</v>
      </c>
      <c r="AG4310">
        <v>-1.1082082342470001</v>
      </c>
      <c r="AH4310">
        <v>26.8609109864305</v>
      </c>
      <c r="AI4310">
        <v>92.3623696079691</v>
      </c>
      <c r="AJ4310">
        <v>90.664653943532898</v>
      </c>
      <c r="AK4310">
        <v>26.885567989206699</v>
      </c>
      <c r="AL4310">
        <v>79.572825748767102</v>
      </c>
      <c r="AM4310">
        <v>89.312640860379005</v>
      </c>
      <c r="AN4310">
        <v>0.99999992618016098</v>
      </c>
    </row>
    <row r="4311" spans="1:40" x14ac:dyDescent="0.25">
      <c r="A4311" t="str">
        <f>"20190312172751660"</f>
        <v>20190312172751660</v>
      </c>
      <c r="B4311" t="str">
        <f>"1552382871654141"</f>
        <v>1552382871654141</v>
      </c>
      <c r="C4311" t="s">
        <v>40</v>
      </c>
      <c r="D4311">
        <v>3.2763740000000001</v>
      </c>
      <c r="E4311">
        <v>0.4932628</v>
      </c>
      <c r="F4311" t="s">
        <v>41</v>
      </c>
      <c r="G4311">
        <v>-423.19760000000002</v>
      </c>
      <c r="H4311" s="1">
        <v>-4.3648449999999999E-6</v>
      </c>
      <c r="I4311">
        <v>68.146339999999995</v>
      </c>
      <c r="J4311">
        <v>-422.73450000000003</v>
      </c>
      <c r="K4311">
        <v>1.108284</v>
      </c>
      <c r="L4311">
        <v>94.382419999999996</v>
      </c>
      <c r="M4311">
        <v>-2.9999410000000001E-2</v>
      </c>
      <c r="N4311">
        <v>0</v>
      </c>
      <c r="O4311">
        <v>-0.99953590000000003</v>
      </c>
      <c r="P4311">
        <v>-4.0741779999999998E-2</v>
      </c>
      <c r="Q4311">
        <v>0.17652579999999901</v>
      </c>
      <c r="R4311">
        <v>-0.98345260000000001</v>
      </c>
      <c r="S4311">
        <v>-5.46875E-2</v>
      </c>
      <c r="T4311">
        <v>-0.12831580000000001</v>
      </c>
      <c r="U4311">
        <v>-3.0706790000000002</v>
      </c>
      <c r="V4311">
        <v>1.1528210000000001E-2</v>
      </c>
      <c r="W4311">
        <v>0.1817406</v>
      </c>
      <c r="X4311">
        <v>0.98327889999999996</v>
      </c>
      <c r="Y4311">
        <v>-1.221184E-2</v>
      </c>
      <c r="Z4311">
        <v>4.171797E-2</v>
      </c>
      <c r="AA4311">
        <v>0.99905480000000002</v>
      </c>
      <c r="AB4311">
        <v>29</v>
      </c>
      <c r="AC4311">
        <v>-0.46309999999999701</v>
      </c>
      <c r="AD4311">
        <v>-1.1082883648449999</v>
      </c>
      <c r="AE4311">
        <v>-26.236079999999902</v>
      </c>
      <c r="AF4311">
        <v>-0.32360909856632902</v>
      </c>
      <c r="AG4311">
        <v>-1.1082883648449999</v>
      </c>
      <c r="AH4311">
        <v>26.1914410498085</v>
      </c>
      <c r="AI4311">
        <v>92.422835324594999</v>
      </c>
      <c r="AJ4311">
        <v>90.707883621402502</v>
      </c>
      <c r="AK4311">
        <v>26.2168764389261</v>
      </c>
      <c r="AL4311">
        <v>79.528838412582502</v>
      </c>
      <c r="AM4311">
        <v>89.328280596348193</v>
      </c>
      <c r="AN4311">
        <v>0.99999997024968601</v>
      </c>
    </row>
    <row r="4312" spans="1:40" x14ac:dyDescent="0.25">
      <c r="A4312" t="str">
        <f>"20190312172751683"</f>
        <v>20190312172751683</v>
      </c>
      <c r="B4312" t="str">
        <f>"1552382871673662"</f>
        <v>1552382871673662</v>
      </c>
      <c r="C4312" t="s">
        <v>40</v>
      </c>
      <c r="D4312">
        <v>3.2574540000000001</v>
      </c>
      <c r="E4312">
        <v>0.49318909999999999</v>
      </c>
      <c r="F4312" t="s">
        <v>41</v>
      </c>
      <c r="G4312">
        <v>-423.2226</v>
      </c>
      <c r="H4312" s="1">
        <v>-4.2322340000000004E-6</v>
      </c>
      <c r="I4312">
        <v>67.743619999999893</v>
      </c>
      <c r="J4312">
        <v>-422.74400000000003</v>
      </c>
      <c r="K4312">
        <v>1.108392</v>
      </c>
      <c r="L4312">
        <v>94.090850000000003</v>
      </c>
      <c r="M4312">
        <v>-3.0686149999999999E-2</v>
      </c>
      <c r="N4312">
        <v>0</v>
      </c>
      <c r="O4312">
        <v>-0.99951520000000005</v>
      </c>
      <c r="P4312">
        <v>-4.1601359999999997E-2</v>
      </c>
      <c r="Q4312">
        <v>0.17750279999999999</v>
      </c>
      <c r="R4312">
        <v>-0.98324100000000003</v>
      </c>
      <c r="S4312">
        <v>-5.6274409999999997E-2</v>
      </c>
      <c r="T4312">
        <v>-0.12776989999999999</v>
      </c>
      <c r="U4312">
        <v>-3.071075</v>
      </c>
      <c r="V4312">
        <v>1.1668059999999999E-2</v>
      </c>
      <c r="W4312">
        <v>0.18270829999999999</v>
      </c>
      <c r="X4312">
        <v>0.98309789999999997</v>
      </c>
      <c r="Y4312">
        <v>-1.2384940000000001E-2</v>
      </c>
      <c r="Z4312">
        <v>4.1533920000000002E-2</v>
      </c>
      <c r="AA4312">
        <v>0.99906030000000001</v>
      </c>
      <c r="AB4312">
        <v>29</v>
      </c>
      <c r="AC4312">
        <v>-0.47859999999997099</v>
      </c>
      <c r="AD4312">
        <v>-1.108396232234</v>
      </c>
      <c r="AE4312">
        <v>-26.34723</v>
      </c>
      <c r="AF4312">
        <v>-0.32954861631604898</v>
      </c>
      <c r="AG4312">
        <v>-1.108396232234</v>
      </c>
      <c r="AH4312">
        <v>26.302973314611702</v>
      </c>
      <c r="AI4312">
        <v>92.412803296463693</v>
      </c>
      <c r="AJ4312">
        <v>90.717818352393607</v>
      </c>
      <c r="AK4312">
        <v>26.3283791693929</v>
      </c>
      <c r="AL4312">
        <v>79.472449192246799</v>
      </c>
      <c r="AM4312">
        <v>89.320007493805207</v>
      </c>
      <c r="AN4312">
        <v>0.99999997374873095</v>
      </c>
    </row>
    <row r="4313" spans="1:40" x14ac:dyDescent="0.25">
      <c r="A4313" t="str">
        <f>"20190312172751705"</f>
        <v>20190312172751705</v>
      </c>
      <c r="B4313" t="str">
        <f>"1552382871694158"</f>
        <v>1552382871694158</v>
      </c>
      <c r="C4313" t="s">
        <v>40</v>
      </c>
      <c r="D4313">
        <v>3.2537430000000001</v>
      </c>
      <c r="E4313">
        <v>0.49311769999999999</v>
      </c>
      <c r="F4313" t="s">
        <v>41</v>
      </c>
      <c r="G4313">
        <v>-423.23430000000002</v>
      </c>
      <c r="H4313" s="1">
        <v>-4.0250049999999999E-6</v>
      </c>
      <c r="I4313">
        <v>67.128590000000003</v>
      </c>
      <c r="J4313">
        <v>-422.75330000000002</v>
      </c>
      <c r="K4313">
        <v>1.1085240000000001</v>
      </c>
      <c r="L4313">
        <v>93.805760000000006</v>
      </c>
      <c r="M4313">
        <v>-3.1164440000000002E-2</v>
      </c>
      <c r="N4313">
        <v>0</v>
      </c>
      <c r="O4313">
        <v>-0.99950000000000006</v>
      </c>
      <c r="P4313">
        <v>-4.1851699999999999E-2</v>
      </c>
      <c r="Q4313">
        <v>0.17799200000000001</v>
      </c>
      <c r="R4313">
        <v>-0.98314140000000005</v>
      </c>
      <c r="S4313">
        <v>-5.5847170000000002E-2</v>
      </c>
      <c r="T4313">
        <v>-0.12626950000000001</v>
      </c>
      <c r="U4313">
        <v>-3.071564</v>
      </c>
      <c r="V4313">
        <v>1.139095E-2</v>
      </c>
      <c r="W4313">
        <v>0.183194</v>
      </c>
      <c r="X4313">
        <v>0.98301079999999996</v>
      </c>
      <c r="Y4313">
        <v>-1.300489E-2</v>
      </c>
      <c r="Z4313">
        <v>4.1039440000000003E-2</v>
      </c>
      <c r="AA4313">
        <v>0.99907290000000004</v>
      </c>
      <c r="AB4313">
        <v>29</v>
      </c>
      <c r="AC4313">
        <v>-0.48099999999999399</v>
      </c>
      <c r="AD4313">
        <v>-1.108528025005</v>
      </c>
      <c r="AE4313">
        <v>-26.677169999999901</v>
      </c>
      <c r="AF4313">
        <v>-0.35002038558014298</v>
      </c>
      <c r="AG4313">
        <v>-1.108528025005</v>
      </c>
      <c r="AH4313">
        <v>26.633229731520899</v>
      </c>
      <c r="AI4313">
        <v>92.383183121207395</v>
      </c>
      <c r="AJ4313">
        <v>90.752951728096903</v>
      </c>
      <c r="AK4313">
        <v>26.658587257851998</v>
      </c>
      <c r="AL4313">
        <v>79.444143308558097</v>
      </c>
      <c r="AM4313">
        <v>89.336096663665401</v>
      </c>
      <c r="AN4313">
        <v>1.00000001414727</v>
      </c>
    </row>
    <row r="4314" spans="1:40" x14ac:dyDescent="0.25">
      <c r="A4314" t="str">
        <f>"20190312172751727"</f>
        <v>20190312172751727</v>
      </c>
      <c r="B4314" t="str">
        <f>"1552382871723438"</f>
        <v>1552382871723438</v>
      </c>
      <c r="C4314" t="s">
        <v>40</v>
      </c>
      <c r="D4314">
        <v>3.264948</v>
      </c>
      <c r="E4314">
        <v>0.49299939999999998</v>
      </c>
      <c r="F4314" t="s">
        <v>41</v>
      </c>
      <c r="G4314">
        <v>-423.24579999999997</v>
      </c>
      <c r="H4314" s="1">
        <v>-3.9127130000000004E-6</v>
      </c>
      <c r="I4314">
        <v>66.792630000000003</v>
      </c>
      <c r="J4314">
        <v>-422.76249999999999</v>
      </c>
      <c r="K4314">
        <v>1.1086720000000001</v>
      </c>
      <c r="L4314">
        <v>93.521420000000006</v>
      </c>
      <c r="M4314">
        <v>-3.1451220000000002E-2</v>
      </c>
      <c r="N4314">
        <v>0</v>
      </c>
      <c r="O4314">
        <v>-0.99949149999999998</v>
      </c>
      <c r="P4314">
        <v>-4.1354349999999998E-2</v>
      </c>
      <c r="Q4314">
        <v>0.1789589</v>
      </c>
      <c r="R4314">
        <v>-0.98298719999999995</v>
      </c>
      <c r="S4314">
        <v>-5.5999760000000003E-2</v>
      </c>
      <c r="T4314">
        <v>-0.12605919999999901</v>
      </c>
      <c r="U4314">
        <v>-3.071869</v>
      </c>
      <c r="V4314">
        <v>1.055305E-2</v>
      </c>
      <c r="W4314">
        <v>0.18416009999999999</v>
      </c>
      <c r="X4314">
        <v>0.98283960000000004</v>
      </c>
      <c r="Y4314">
        <v>-1.3243919999999999E-2</v>
      </c>
      <c r="Z4314">
        <v>4.0966530000000001E-2</v>
      </c>
      <c r="AA4314">
        <v>0.99907270000000004</v>
      </c>
      <c r="AB4314">
        <v>29</v>
      </c>
      <c r="AC4314">
        <v>-0.48329999999998502</v>
      </c>
      <c r="AD4314">
        <v>-1.1086759127129999</v>
      </c>
      <c r="AE4314">
        <v>-26.728789999999901</v>
      </c>
      <c r="AF4314">
        <v>-0.35698974649080101</v>
      </c>
      <c r="AG4314">
        <v>-1.1086759127129999</v>
      </c>
      <c r="AH4314">
        <v>26.684871279277999</v>
      </c>
      <c r="AI4314">
        <v>92.378885932286806</v>
      </c>
      <c r="AJ4314">
        <v>90.766456225313902</v>
      </c>
      <c r="AK4314">
        <v>26.710278155612102</v>
      </c>
      <c r="AL4314">
        <v>79.3878315937298</v>
      </c>
      <c r="AM4314">
        <v>89.384821296239906</v>
      </c>
      <c r="AN4314">
        <v>0.99999999431223596</v>
      </c>
    </row>
    <row r="4315" spans="1:40" x14ac:dyDescent="0.25">
      <c r="A4315" t="str">
        <f>"20190312172751750"</f>
        <v>20190312172751750</v>
      </c>
      <c r="B4315" t="str">
        <f>"1552382871743934"</f>
        <v>1552382871743934</v>
      </c>
      <c r="C4315" t="s">
        <v>40</v>
      </c>
      <c r="D4315">
        <v>3.2488939999999999</v>
      </c>
      <c r="E4315">
        <v>0.4929482</v>
      </c>
      <c r="F4315" t="s">
        <v>41</v>
      </c>
      <c r="G4315">
        <v>-423.23970000000003</v>
      </c>
      <c r="H4315" s="1">
        <v>-3.7292889999999999E-6</v>
      </c>
      <c r="I4315">
        <v>66.272840000000002</v>
      </c>
      <c r="J4315">
        <v>-422.77210000000002</v>
      </c>
      <c r="K4315">
        <v>1.108824</v>
      </c>
      <c r="L4315">
        <v>93.222989999999996</v>
      </c>
      <c r="M4315">
        <v>-3.1528019999999997E-2</v>
      </c>
      <c r="N4315">
        <v>0</v>
      </c>
      <c r="O4315">
        <v>-0.99948910000000002</v>
      </c>
      <c r="P4315">
        <v>-4.1358529999999998E-2</v>
      </c>
      <c r="Q4315">
        <v>0.1805755</v>
      </c>
      <c r="R4315">
        <v>-0.98269150000000005</v>
      </c>
      <c r="S4315">
        <v>-5.3802490000000001E-2</v>
      </c>
      <c r="T4315">
        <v>-0.12500890000000001</v>
      </c>
      <c r="U4315">
        <v>-3.0724179999999999</v>
      </c>
      <c r="V4315">
        <v>1.042271E-2</v>
      </c>
      <c r="W4315">
        <v>0.18577679999999999</v>
      </c>
      <c r="X4315">
        <v>0.98253670000000004</v>
      </c>
      <c r="Y4315">
        <v>-1.403802E-2</v>
      </c>
      <c r="Z4315">
        <v>4.0618429999999997E-2</v>
      </c>
      <c r="AA4315">
        <v>0.99907610000000002</v>
      </c>
      <c r="AB4315">
        <v>29</v>
      </c>
      <c r="AC4315">
        <v>-0.46760000000000401</v>
      </c>
      <c r="AD4315">
        <v>-1.1088277292890001</v>
      </c>
      <c r="AE4315">
        <v>-26.950149999999901</v>
      </c>
      <c r="AF4315">
        <v>-0.38168310757486701</v>
      </c>
      <c r="AG4315">
        <v>-1.1088277292890001</v>
      </c>
      <c r="AH4315">
        <v>26.905961846344098</v>
      </c>
      <c r="AI4315">
        <v>92.359656907035301</v>
      </c>
      <c r="AJ4315">
        <v>90.812733049082098</v>
      </c>
      <c r="AK4315">
        <v>26.931505041582302</v>
      </c>
      <c r="AL4315">
        <v>79.293575212558693</v>
      </c>
      <c r="AM4315">
        <v>89.392231459937705</v>
      </c>
      <c r="AN4315">
        <v>1.0000000095744299</v>
      </c>
    </row>
    <row r="4316" spans="1:40" x14ac:dyDescent="0.25">
      <c r="A4316" t="str">
        <f>"20190312172751773"</f>
        <v>20190312172751773</v>
      </c>
      <c r="B4316" t="str">
        <f>"1552382871763454"</f>
        <v>1552382871763454</v>
      </c>
      <c r="C4316" t="s">
        <v>40</v>
      </c>
      <c r="D4316">
        <v>3.2621030000000002</v>
      </c>
      <c r="E4316">
        <v>0.49290070000000002</v>
      </c>
      <c r="F4316" t="s">
        <v>41</v>
      </c>
      <c r="G4316">
        <v>-423.25940000000003</v>
      </c>
      <c r="H4316" s="1">
        <v>-3.2189779999999998E-6</v>
      </c>
      <c r="I4316">
        <v>65.071039999999996</v>
      </c>
      <c r="J4316">
        <v>-422.78140000000002</v>
      </c>
      <c r="K4316">
        <v>1.108978</v>
      </c>
      <c r="L4316">
        <v>92.926940000000002</v>
      </c>
      <c r="M4316">
        <v>-3.1387560000000002E-2</v>
      </c>
      <c r="N4316">
        <v>0</v>
      </c>
      <c r="O4316">
        <v>-0.99949339999999998</v>
      </c>
      <c r="P4316">
        <v>-3.9904490000000001E-2</v>
      </c>
      <c r="Q4316">
        <v>0.18138779999999999</v>
      </c>
      <c r="R4316">
        <v>-0.98260190000000003</v>
      </c>
      <c r="S4316">
        <v>-5.3192139999999999E-2</v>
      </c>
      <c r="T4316">
        <v>-0.1210309</v>
      </c>
      <c r="U4316">
        <v>-3.072845</v>
      </c>
      <c r="V4316">
        <v>9.0420499999999994E-3</v>
      </c>
      <c r="W4316">
        <v>0.18659290000000001</v>
      </c>
      <c r="X4316">
        <v>0.98239569999999998</v>
      </c>
      <c r="Y4316">
        <v>-1.4097429999999999E-2</v>
      </c>
      <c r="Z4316">
        <v>3.9322759999999998E-2</v>
      </c>
      <c r="AA4316">
        <v>0.99912710000000005</v>
      </c>
      <c r="AB4316">
        <v>29</v>
      </c>
      <c r="AC4316">
        <v>-0.47800000000000797</v>
      </c>
      <c r="AD4316">
        <v>-1.1089812189779999</v>
      </c>
      <c r="AE4316">
        <v>-27.855899999999998</v>
      </c>
      <c r="AF4316">
        <v>-0.39594902040886099</v>
      </c>
      <c r="AG4316">
        <v>-1.1089812189779999</v>
      </c>
      <c r="AH4316">
        <v>27.813108925976099</v>
      </c>
      <c r="AI4316">
        <v>92.283091606940104</v>
      </c>
      <c r="AJ4316">
        <v>90.815610921064902</v>
      </c>
      <c r="AK4316">
        <v>27.838025129290699</v>
      </c>
      <c r="AL4316">
        <v>79.245983769540103</v>
      </c>
      <c r="AM4316">
        <v>89.472659871780905</v>
      </c>
      <c r="AN4316">
        <v>0.99999999018855101</v>
      </c>
    </row>
    <row r="4317" spans="1:40" x14ac:dyDescent="0.25">
      <c r="A4317" t="str">
        <f>"20190312172751794"</f>
        <v>20190312172751794</v>
      </c>
      <c r="B4317" t="str">
        <f>"1552382871783950"</f>
        <v>1552382871783950</v>
      </c>
      <c r="C4317" t="s">
        <v>40</v>
      </c>
      <c r="D4317">
        <v>3.2541769999999999</v>
      </c>
      <c r="E4317">
        <v>0.49282530000000002</v>
      </c>
      <c r="F4317" t="s">
        <v>41</v>
      </c>
      <c r="G4317">
        <v>-423.23419999999999</v>
      </c>
      <c r="H4317" s="1">
        <v>-2.9652259999999999E-6</v>
      </c>
      <c r="I4317">
        <v>64.495170000000002</v>
      </c>
      <c r="J4317">
        <v>-422.79020000000003</v>
      </c>
      <c r="K4317">
        <v>1.10911</v>
      </c>
      <c r="L4317">
        <v>92.638149999999996</v>
      </c>
      <c r="M4317">
        <v>-3.1082789999999999E-2</v>
      </c>
      <c r="N4317">
        <v>0</v>
      </c>
      <c r="O4317">
        <v>-0.99950300000000003</v>
      </c>
      <c r="P4317">
        <v>-3.8297560000000001E-2</v>
      </c>
      <c r="Q4317">
        <v>0.18184049999999999</v>
      </c>
      <c r="R4317">
        <v>-0.98258230000000002</v>
      </c>
      <c r="S4317">
        <v>-4.8950199999999902E-2</v>
      </c>
      <c r="T4317">
        <v>-0.1198729</v>
      </c>
      <c r="U4317">
        <v>-3.0732729999999999</v>
      </c>
      <c r="V4317">
        <v>7.6758809999999998E-3</v>
      </c>
      <c r="W4317">
        <v>0.1870501</v>
      </c>
      <c r="X4317">
        <v>0.98232039999999998</v>
      </c>
      <c r="Y4317">
        <v>-1.517337E-2</v>
      </c>
      <c r="Z4317">
        <v>3.8942400000000002E-2</v>
      </c>
      <c r="AA4317">
        <v>0.99912630000000002</v>
      </c>
      <c r="AB4317">
        <v>29</v>
      </c>
      <c r="AC4317">
        <v>-0.44399999999995998</v>
      </c>
      <c r="AD4317">
        <v>-1.1091129652259999</v>
      </c>
      <c r="AE4317">
        <v>-28.142979999999898</v>
      </c>
      <c r="AF4317">
        <v>-0.430320772520706</v>
      </c>
      <c r="AG4317">
        <v>-1.1091129652259999</v>
      </c>
      <c r="AH4317">
        <v>28.0995505056054</v>
      </c>
      <c r="AI4317">
        <v>92.260074683761701</v>
      </c>
      <c r="AJ4317">
        <v>90.877367662314697</v>
      </c>
      <c r="AK4317">
        <v>28.1247230413735</v>
      </c>
      <c r="AL4317">
        <v>79.219318925596795</v>
      </c>
      <c r="AM4317">
        <v>89.552298176334602</v>
      </c>
      <c r="AN4317">
        <v>1.0000000136576399</v>
      </c>
    </row>
    <row r="4318" spans="1:40" x14ac:dyDescent="0.25">
      <c r="A4318" t="str">
        <f>"20190312172751818"</f>
        <v>20190312172751818</v>
      </c>
      <c r="B4318" t="str">
        <f>"1552382871814206"</f>
        <v>1552382871814206</v>
      </c>
      <c r="C4318" t="s">
        <v>40</v>
      </c>
      <c r="D4318">
        <v>3.2473130000000001</v>
      </c>
      <c r="E4318">
        <v>0.492813</v>
      </c>
      <c r="F4318" t="s">
        <v>41</v>
      </c>
      <c r="G4318">
        <v>-423.20850000000002</v>
      </c>
      <c r="H4318" s="1">
        <v>-2.8108369999999998E-6</v>
      </c>
      <c r="I4318">
        <v>64.151219999999995</v>
      </c>
      <c r="J4318">
        <v>-422.79910000000001</v>
      </c>
      <c r="K4318">
        <v>1.109245</v>
      </c>
      <c r="L4318">
        <v>92.340059999999994</v>
      </c>
      <c r="M4318">
        <v>-3.0598940000000002E-2</v>
      </c>
      <c r="N4318">
        <v>0</v>
      </c>
      <c r="O4318">
        <v>-0.99951769999999995</v>
      </c>
      <c r="P4318">
        <v>-3.6979449999999997E-2</v>
      </c>
      <c r="Q4318">
        <v>0.1841988</v>
      </c>
      <c r="R4318">
        <v>-0.98219310000000004</v>
      </c>
      <c r="S4318">
        <v>-4.5135500000000002E-2</v>
      </c>
      <c r="T4318">
        <v>-0.11966690000000001</v>
      </c>
      <c r="U4318">
        <v>-3.0735779999999999</v>
      </c>
      <c r="V4318">
        <v>6.7865490000000002E-3</v>
      </c>
      <c r="W4318">
        <v>0.18941179999999999</v>
      </c>
      <c r="X4318">
        <v>0.98187429999999998</v>
      </c>
      <c r="Y4318">
        <v>-1.5930630000000001E-2</v>
      </c>
      <c r="Z4318">
        <v>3.8872730000000001E-2</v>
      </c>
      <c r="AA4318">
        <v>0.99911719999999904</v>
      </c>
      <c r="AB4318">
        <v>29</v>
      </c>
      <c r="AC4318">
        <v>-0.40940000000000498</v>
      </c>
      <c r="AD4318">
        <v>-1.1092478108370001</v>
      </c>
      <c r="AE4318">
        <v>-28.188839999999999</v>
      </c>
      <c r="AF4318">
        <v>-0.45265167116015698</v>
      </c>
      <c r="AG4318">
        <v>-1.1092478108370001</v>
      </c>
      <c r="AH4318">
        <v>28.144595517332998</v>
      </c>
      <c r="AI4318">
        <v>92.256708059546796</v>
      </c>
      <c r="AJ4318">
        <v>90.921412941024002</v>
      </c>
      <c r="AK4318">
        <v>28.170083086060099</v>
      </c>
      <c r="AL4318">
        <v>79.081540638417195</v>
      </c>
      <c r="AM4318">
        <v>89.603987574319603</v>
      </c>
      <c r="AN4318">
        <v>1.0000000141135199</v>
      </c>
    </row>
    <row r="4319" spans="1:40" x14ac:dyDescent="0.25">
      <c r="A4319" t="str">
        <f>"20190312172751843"</f>
        <v>20190312172751843</v>
      </c>
      <c r="B4319" t="str">
        <f>"1552382871833726"</f>
        <v>1552382871833726</v>
      </c>
      <c r="C4319" t="s">
        <v>40</v>
      </c>
      <c r="D4319">
        <v>3.2488980000000001</v>
      </c>
      <c r="E4319">
        <v>0.49277660000000001</v>
      </c>
      <c r="F4319" t="s">
        <v>41</v>
      </c>
      <c r="G4319">
        <v>-423.18889999999999</v>
      </c>
      <c r="H4319" s="1">
        <v>-2.1077249999999998E-6</v>
      </c>
      <c r="I4319">
        <v>62.524439999999998</v>
      </c>
      <c r="J4319">
        <v>-422.80889999999999</v>
      </c>
      <c r="K4319">
        <v>1.1093930000000001</v>
      </c>
      <c r="L4319">
        <v>91.998320000000007</v>
      </c>
      <c r="M4319">
        <v>-2.9839560000000001E-2</v>
      </c>
      <c r="N4319">
        <v>0</v>
      </c>
      <c r="O4319">
        <v>-0.99954069999999995</v>
      </c>
      <c r="P4319">
        <v>-3.5689930000000002E-2</v>
      </c>
      <c r="Q4319">
        <v>0.186086</v>
      </c>
      <c r="R4319">
        <v>-0.98188500000000001</v>
      </c>
      <c r="S4319">
        <v>-4.0191650000000002E-2</v>
      </c>
      <c r="T4319">
        <v>-0.1143764</v>
      </c>
      <c r="U4319">
        <v>-3.074341</v>
      </c>
      <c r="V4319">
        <v>6.1849060000000004E-3</v>
      </c>
      <c r="W4319">
        <v>0.1913058</v>
      </c>
      <c r="X4319">
        <v>0.98151100000000002</v>
      </c>
      <c r="Y4319">
        <v>-1.6780130000000001E-2</v>
      </c>
      <c r="Z4319">
        <v>3.7148809999999997E-2</v>
      </c>
      <c r="AA4319">
        <v>0.99916890000000003</v>
      </c>
      <c r="AB4319">
        <v>30</v>
      </c>
      <c r="AC4319">
        <v>-0.37999999999999501</v>
      </c>
      <c r="AD4319">
        <v>-1.1093951077249999</v>
      </c>
      <c r="AE4319">
        <v>-29.473879999999902</v>
      </c>
      <c r="AF4319">
        <v>-0.49896234255620098</v>
      </c>
      <c r="AG4319">
        <v>-1.1093951077249999</v>
      </c>
      <c r="AH4319">
        <v>29.4304050970734</v>
      </c>
      <c r="AI4319">
        <v>92.158463519350903</v>
      </c>
      <c r="AJ4319">
        <v>90.971298139295001</v>
      </c>
      <c r="AK4319">
        <v>29.455533692367201</v>
      </c>
      <c r="AL4319">
        <v>78.971001026559406</v>
      </c>
      <c r="AM4319">
        <v>89.638960418994898</v>
      </c>
      <c r="AN4319">
        <v>1.0000000026484299</v>
      </c>
    </row>
    <row r="4320" spans="1:40" x14ac:dyDescent="0.25">
      <c r="A4320" t="str">
        <f>"20190312172751863"</f>
        <v>20190312172751863</v>
      </c>
      <c r="B4320" t="str">
        <f>"1552382871853246"</f>
        <v>1552382871853246</v>
      </c>
      <c r="C4320" t="s">
        <v>40</v>
      </c>
      <c r="D4320">
        <v>3.263566</v>
      </c>
      <c r="E4320">
        <v>0.4927242</v>
      </c>
      <c r="F4320" t="s">
        <v>41</v>
      </c>
      <c r="G4320">
        <v>-423.16899999999998</v>
      </c>
      <c r="H4320" s="1">
        <v>-1.4303150000000001E-6</v>
      </c>
      <c r="I4320">
        <v>60.957680000000003</v>
      </c>
      <c r="J4320">
        <v>-422.81610000000001</v>
      </c>
      <c r="K4320">
        <v>1.1095029999999999</v>
      </c>
      <c r="L4320">
        <v>91.735079999999996</v>
      </c>
      <c r="M4320">
        <v>-2.9104330000000001E-2</v>
      </c>
      <c r="N4320">
        <v>0</v>
      </c>
      <c r="O4320">
        <v>-0.99956219999999996</v>
      </c>
      <c r="P4320">
        <v>-3.3273730000000001E-2</v>
      </c>
      <c r="Q4320">
        <v>0.18591679999999999</v>
      </c>
      <c r="R4320">
        <v>-0.98200209999999999</v>
      </c>
      <c r="S4320">
        <v>-3.567505E-2</v>
      </c>
      <c r="T4320">
        <v>-0.1098968</v>
      </c>
      <c r="U4320">
        <v>-3.0748899999999999</v>
      </c>
      <c r="V4320">
        <v>4.4359890000000004E-3</v>
      </c>
      <c r="W4320">
        <v>0.19114239999999999</v>
      </c>
      <c r="X4320">
        <v>0.98155230000000004</v>
      </c>
      <c r="Y4320">
        <v>-1.7513810000000001E-2</v>
      </c>
      <c r="Z4320">
        <v>3.5690630000000001E-2</v>
      </c>
      <c r="AA4320">
        <v>0.99920940000000003</v>
      </c>
      <c r="AB4320">
        <v>30</v>
      </c>
      <c r="AC4320">
        <v>-0.35290000000003302</v>
      </c>
      <c r="AD4320">
        <v>-1.1095044303149999</v>
      </c>
      <c r="AE4320">
        <v>-30.7774</v>
      </c>
      <c r="AF4320">
        <v>-0.54231312971313705</v>
      </c>
      <c r="AG4320">
        <v>-1.1095044303149999</v>
      </c>
      <c r="AH4320">
        <v>30.734696611460901</v>
      </c>
      <c r="AI4320">
        <v>92.067124611119695</v>
      </c>
      <c r="AJ4320">
        <v>91.010878023892502</v>
      </c>
      <c r="AK4320">
        <v>30.7594973855246</v>
      </c>
      <c r="AL4320">
        <v>78.980539211324896</v>
      </c>
      <c r="AM4320">
        <v>89.741061462246904</v>
      </c>
      <c r="AN4320">
        <v>1.00000000635572</v>
      </c>
    </row>
    <row r="4321" spans="1:40" x14ac:dyDescent="0.25">
      <c r="A4321" t="str">
        <f>"20190312172751884"</f>
        <v>20190312172751884</v>
      </c>
      <c r="B4321" t="str">
        <f>"1552382871873742"</f>
        <v>1552382871873742</v>
      </c>
      <c r="C4321" t="s">
        <v>40</v>
      </c>
      <c r="D4321">
        <v>3.2958229999999999</v>
      </c>
      <c r="E4321">
        <v>0.49264409999999997</v>
      </c>
      <c r="F4321" t="s">
        <v>41</v>
      </c>
      <c r="G4321">
        <v>-423.10730000000001</v>
      </c>
      <c r="H4321" s="1">
        <v>-1.4626749999999999E-6</v>
      </c>
      <c r="I4321">
        <v>61.071379999999998</v>
      </c>
      <c r="J4321">
        <v>-422.82369999999997</v>
      </c>
      <c r="K4321">
        <v>1.109629</v>
      </c>
      <c r="L4321">
        <v>91.44641</v>
      </c>
      <c r="M4321">
        <v>-2.816219E-2</v>
      </c>
      <c r="N4321">
        <v>0</v>
      </c>
      <c r="O4321">
        <v>-0.99958939999999996</v>
      </c>
      <c r="P4321">
        <v>-3.063915E-2</v>
      </c>
      <c r="Q4321">
        <v>0.18596789999999999</v>
      </c>
      <c r="R4321">
        <v>-0.98207809999999995</v>
      </c>
      <c r="S4321">
        <v>-2.920532E-2</v>
      </c>
      <c r="T4321">
        <v>-0.1112654</v>
      </c>
      <c r="U4321">
        <v>-3.0750730000000002</v>
      </c>
      <c r="V4321">
        <v>2.667258E-3</v>
      </c>
      <c r="W4321">
        <v>0.1912005</v>
      </c>
      <c r="X4321">
        <v>0.98154739999999996</v>
      </c>
      <c r="Y4321">
        <v>-1.867427E-2</v>
      </c>
      <c r="Z4321">
        <v>3.613388E-2</v>
      </c>
      <c r="AA4321">
        <v>0.99917239999999996</v>
      </c>
      <c r="AB4321">
        <v>30</v>
      </c>
      <c r="AC4321">
        <v>-0.28360000000003499</v>
      </c>
      <c r="AD4321">
        <v>-1.109630462675</v>
      </c>
      <c r="AE4321">
        <v>-30.375029999999899</v>
      </c>
      <c r="AF4321">
        <v>-0.57118960309306199</v>
      </c>
      <c r="AG4321">
        <v>-1.109630462675</v>
      </c>
      <c r="AH4321">
        <v>30.330495869145299</v>
      </c>
      <c r="AI4321">
        <v>92.094840285853294</v>
      </c>
      <c r="AJ4321">
        <v>91.078877366898993</v>
      </c>
      <c r="AK4321">
        <v>30.3561611043725</v>
      </c>
      <c r="AL4321">
        <v>78.977147951297795</v>
      </c>
      <c r="AM4321">
        <v>89.844304768049795</v>
      </c>
      <c r="AN4321">
        <v>1.00000002195612</v>
      </c>
    </row>
    <row r="4322" spans="1:40" x14ac:dyDescent="0.25">
      <c r="A4322" t="str">
        <f>"20190312172751906"</f>
        <v>20190312172751906</v>
      </c>
      <c r="B4322" t="str">
        <f>"1552382871903998"</f>
        <v>1552382871903998</v>
      </c>
      <c r="C4322" t="s">
        <v>40</v>
      </c>
      <c r="D4322">
        <v>3.2939690000000001</v>
      </c>
      <c r="E4322">
        <v>0.49258580000000002</v>
      </c>
      <c r="F4322" t="s">
        <v>41</v>
      </c>
      <c r="G4322">
        <v>-423.03399999999999</v>
      </c>
      <c r="H4322" s="1">
        <v>-1.2964899999999999E-6</v>
      </c>
      <c r="I4322">
        <v>60.729460000000003</v>
      </c>
      <c r="J4322">
        <v>-422.83100000000002</v>
      </c>
      <c r="K4322">
        <v>1.109756</v>
      </c>
      <c r="L4322">
        <v>91.152709999999999</v>
      </c>
      <c r="M4322">
        <v>-2.7072209999999999E-2</v>
      </c>
      <c r="N4322">
        <v>0</v>
      </c>
      <c r="O4322">
        <v>-0.99961920000000004</v>
      </c>
      <c r="P4322">
        <v>-2.8646359999999999E-2</v>
      </c>
      <c r="Q4322">
        <v>0.18684519999999999</v>
      </c>
      <c r="R4322">
        <v>-0.98197199999999996</v>
      </c>
      <c r="S4322">
        <v>-2.105713E-2</v>
      </c>
      <c r="T4322">
        <v>-0.1110873</v>
      </c>
      <c r="U4322">
        <v>-3.0751339999999998</v>
      </c>
      <c r="V4322">
        <v>1.6902729999999999E-3</v>
      </c>
      <c r="W4322">
        <v>0.19208539999999999</v>
      </c>
      <c r="X4322">
        <v>0.98137680000000005</v>
      </c>
      <c r="Y4322">
        <v>-2.0231539999999999E-2</v>
      </c>
      <c r="Z4322">
        <v>3.6076869999999997E-2</v>
      </c>
      <c r="AA4322">
        <v>0.99914420000000004</v>
      </c>
      <c r="AB4322">
        <v>30</v>
      </c>
      <c r="AC4322">
        <v>-0.20300000000003099</v>
      </c>
      <c r="AD4322">
        <v>-1.10975729649</v>
      </c>
      <c r="AE4322">
        <v>-30.423249999999999</v>
      </c>
      <c r="AF4322">
        <v>-0.61988599769359698</v>
      </c>
      <c r="AG4322">
        <v>-1.10975729649</v>
      </c>
      <c r="AH4322">
        <v>30.377176886410101</v>
      </c>
      <c r="AI4322">
        <v>92.091798324224101</v>
      </c>
      <c r="AJ4322">
        <v>91.169033016685404</v>
      </c>
      <c r="AK4322">
        <v>30.403761206395099</v>
      </c>
      <c r="AL4322">
        <v>78.925489619994906</v>
      </c>
      <c r="AM4322">
        <v>89.901316789472105</v>
      </c>
      <c r="AN4322">
        <v>1.0000000407470999</v>
      </c>
    </row>
    <row r="4323" spans="1:40" x14ac:dyDescent="0.25">
      <c r="A4323" t="str">
        <f>"20190312172751929"</f>
        <v>20190312172751929</v>
      </c>
      <c r="B4323" t="str">
        <f>"1552382871923518"</f>
        <v>1552382871923518</v>
      </c>
      <c r="C4323" t="s">
        <v>40</v>
      </c>
      <c r="D4323">
        <v>3.29453</v>
      </c>
      <c r="E4323">
        <v>0.4925678</v>
      </c>
      <c r="F4323" t="s">
        <v>41</v>
      </c>
      <c r="G4323">
        <v>-422.9785</v>
      </c>
      <c r="H4323" s="1">
        <v>-8.774123E-7</v>
      </c>
      <c r="I4323">
        <v>59.787010000000002</v>
      </c>
      <c r="J4323">
        <v>-422.83789999999999</v>
      </c>
      <c r="K4323">
        <v>1.1098680000000001</v>
      </c>
      <c r="L4323">
        <v>90.85284</v>
      </c>
      <c r="M4323">
        <v>-2.5844880000000001E-2</v>
      </c>
      <c r="N4323">
        <v>0</v>
      </c>
      <c r="O4323">
        <v>-0.99965170000000003</v>
      </c>
      <c r="P4323">
        <v>-2.6070679999999999E-2</v>
      </c>
      <c r="Q4323">
        <v>0.18759319999999999</v>
      </c>
      <c r="R4323">
        <v>-0.98190089999999997</v>
      </c>
      <c r="S4323">
        <v>-1.446533E-2</v>
      </c>
      <c r="T4323">
        <v>-0.1088107</v>
      </c>
      <c r="U4323">
        <v>-3.0753780000000002</v>
      </c>
      <c r="V4323">
        <v>2.6997670000000003E-4</v>
      </c>
      <c r="W4323">
        <v>0.19284119999999999</v>
      </c>
      <c r="X4323">
        <v>0.98123000000000005</v>
      </c>
      <c r="Y4323">
        <v>-2.114593E-2</v>
      </c>
      <c r="Z4323">
        <v>3.5337239999999999E-2</v>
      </c>
      <c r="AA4323">
        <v>0.99915169999999998</v>
      </c>
      <c r="AB4323">
        <v>30</v>
      </c>
      <c r="AC4323">
        <v>-0.140600000000006</v>
      </c>
      <c r="AD4323">
        <v>-1.1098688774123</v>
      </c>
      <c r="AE4323">
        <v>-31.065829999999998</v>
      </c>
      <c r="AF4323">
        <v>-0.66150675320529395</v>
      </c>
      <c r="AG4323">
        <v>-1.1098688774123</v>
      </c>
      <c r="AH4323">
        <v>31.019494862821801</v>
      </c>
      <c r="AI4323">
        <v>92.048687481634005</v>
      </c>
      <c r="AJ4323">
        <v>91.221676923526402</v>
      </c>
      <c r="AK4323">
        <v>31.046392087555201</v>
      </c>
      <c r="AL4323">
        <v>78.881360623068204</v>
      </c>
      <c r="AM4323">
        <v>89.984235576687894</v>
      </c>
      <c r="AN4323">
        <v>1.0000000571024199</v>
      </c>
    </row>
    <row r="4324" spans="1:40" x14ac:dyDescent="0.25">
      <c r="A4324" t="str">
        <f>"20190312172751950"</f>
        <v>20190312172751950</v>
      </c>
      <c r="B4324" t="str">
        <f>"1552382871944014"</f>
        <v>1552382871944014</v>
      </c>
      <c r="C4324" t="s">
        <v>40</v>
      </c>
      <c r="D4324">
        <v>3.2997839999999998</v>
      </c>
      <c r="E4324">
        <v>0.4925908</v>
      </c>
      <c r="F4324" t="s">
        <v>41</v>
      </c>
      <c r="G4324">
        <v>-422.90559999999999</v>
      </c>
      <c r="H4324" s="1">
        <v>-4.5903379999999997E-6</v>
      </c>
      <c r="I4324">
        <v>58.96114</v>
      </c>
      <c r="J4324">
        <v>-422.84449999999998</v>
      </c>
      <c r="K4324">
        <v>1.1099540000000001</v>
      </c>
      <c r="L4324">
        <v>90.552430000000001</v>
      </c>
      <c r="M4324">
        <v>-2.4524270000000001E-2</v>
      </c>
      <c r="N4324">
        <v>0</v>
      </c>
      <c r="O4324">
        <v>-0.99968489999999999</v>
      </c>
      <c r="P4324">
        <v>-2.3104400000000001E-2</v>
      </c>
      <c r="Q4324">
        <v>0.18756030000000001</v>
      </c>
      <c r="R4324">
        <v>-0.98198149999999995</v>
      </c>
      <c r="S4324">
        <v>-6.5307619999999999E-3</v>
      </c>
      <c r="T4324">
        <v>-0.1070335</v>
      </c>
      <c r="U4324">
        <v>-3.0755620000000001</v>
      </c>
      <c r="V4324">
        <v>-1.44046E-3</v>
      </c>
      <c r="W4324">
        <v>0.19281490000000001</v>
      </c>
      <c r="X4324">
        <v>0.9812341</v>
      </c>
      <c r="Y4324">
        <v>-2.2403050000000001E-2</v>
      </c>
      <c r="Z4324">
        <v>3.4760140000000002E-2</v>
      </c>
      <c r="AA4324">
        <v>0.99914460000000005</v>
      </c>
      <c r="AB4324">
        <v>30</v>
      </c>
      <c r="AC4324">
        <v>-6.1100000000010299E-2</v>
      </c>
      <c r="AD4324">
        <v>-1.109958590338</v>
      </c>
      <c r="AE4324">
        <v>-31.591290000000001</v>
      </c>
      <c r="AF4324">
        <v>-0.71280287866598502</v>
      </c>
      <c r="AG4324">
        <v>-1.109958590338</v>
      </c>
      <c r="AH4324">
        <v>31.544346372742002</v>
      </c>
      <c r="AI4324">
        <v>92.014735196240906</v>
      </c>
      <c r="AJ4324">
        <v>91.294483864363102</v>
      </c>
      <c r="AK4324">
        <v>31.571916066333699</v>
      </c>
      <c r="AL4324">
        <v>78.882895790510602</v>
      </c>
      <c r="AM4324">
        <v>90.084110630959998</v>
      </c>
      <c r="AN4324">
        <v>1.00000000979491</v>
      </c>
    </row>
    <row r="4325" spans="1:40" x14ac:dyDescent="0.25">
      <c r="A4325" t="str">
        <f>"20190312172751974"</f>
        <v>20190312172751974</v>
      </c>
      <c r="B4325" t="str">
        <f>"1552382871963534"</f>
        <v>1552382871963534</v>
      </c>
      <c r="C4325" t="s">
        <v>40</v>
      </c>
      <c r="D4325">
        <v>3.3148810000000002</v>
      </c>
      <c r="E4325">
        <v>0.49262440000000002</v>
      </c>
      <c r="F4325" t="s">
        <v>41</v>
      </c>
      <c r="G4325">
        <v>-422.82749999999999</v>
      </c>
      <c r="H4325" s="1">
        <v>-4.5411579999999999E-6</v>
      </c>
      <c r="I4325">
        <v>58.857370000000003</v>
      </c>
      <c r="J4325">
        <v>-422.85070000000002</v>
      </c>
      <c r="K4325">
        <v>1.110015</v>
      </c>
      <c r="L4325">
        <v>90.241669999999999</v>
      </c>
      <c r="M4325">
        <v>-2.3099310000000001E-2</v>
      </c>
      <c r="N4325">
        <v>0</v>
      </c>
      <c r="O4325">
        <v>-0.99971889999999997</v>
      </c>
      <c r="P4325">
        <v>-1.990157E-2</v>
      </c>
      <c r="Q4325">
        <v>0.18822259999999999</v>
      </c>
      <c r="R4325">
        <v>-0.9819251</v>
      </c>
      <c r="S4325">
        <v>1.6479489999999999E-3</v>
      </c>
      <c r="T4325">
        <v>-0.1077092</v>
      </c>
      <c r="U4325">
        <v>-3.075653</v>
      </c>
      <c r="V4325">
        <v>-3.2722699999999999E-3</v>
      </c>
      <c r="W4325">
        <v>0.19348309999999999</v>
      </c>
      <c r="X4325">
        <v>0.98109820000000003</v>
      </c>
      <c r="Y4325">
        <v>-2.3634970000000002E-2</v>
      </c>
      <c r="Z4325">
        <v>3.4979589999999998E-2</v>
      </c>
      <c r="AA4325">
        <v>0.99910849999999995</v>
      </c>
      <c r="AB4325">
        <v>30</v>
      </c>
      <c r="AC4325">
        <v>2.3200000000031199E-2</v>
      </c>
      <c r="AD4325">
        <v>-1.1100195411579901</v>
      </c>
      <c r="AE4325">
        <v>-31.3843</v>
      </c>
      <c r="AF4325">
        <v>-0.74722509771422196</v>
      </c>
      <c r="AG4325">
        <v>-1.1100195411579901</v>
      </c>
      <c r="AH4325">
        <v>31.336190083159199</v>
      </c>
      <c r="AI4325">
        <v>92.028159850565203</v>
      </c>
      <c r="AJ4325">
        <v>91.365983949211298</v>
      </c>
      <c r="AK4325">
        <v>31.364746095836601</v>
      </c>
      <c r="AL4325">
        <v>78.843876415743196</v>
      </c>
      <c r="AM4325">
        <v>90.191098674128</v>
      </c>
      <c r="AN4325">
        <v>1.0000000478899</v>
      </c>
    </row>
    <row r="4326" spans="1:40" x14ac:dyDescent="0.25">
      <c r="A4326" t="str">
        <f>"20190312172751996"</f>
        <v>20190312172751996</v>
      </c>
      <c r="B4326" t="str">
        <f>"1552382871993790"</f>
        <v>1552382871993790</v>
      </c>
      <c r="C4326" t="s">
        <v>40</v>
      </c>
      <c r="D4326">
        <v>3.182194</v>
      </c>
      <c r="E4326">
        <v>0.49227589999999999</v>
      </c>
      <c r="F4326" t="s">
        <v>41</v>
      </c>
      <c r="G4326">
        <v>-422.738</v>
      </c>
      <c r="H4326" s="1">
        <v>-4.2875650000000003E-6</v>
      </c>
      <c r="I4326">
        <v>58.158799999999999</v>
      </c>
      <c r="J4326">
        <v>-422.85640000000001</v>
      </c>
      <c r="K4326">
        <v>1.1100570000000001</v>
      </c>
      <c r="L4326">
        <v>89.933199999999999</v>
      </c>
      <c r="M4326">
        <v>-2.1651420000000001E-2</v>
      </c>
      <c r="N4326">
        <v>0</v>
      </c>
      <c r="O4326">
        <v>-0.99975130000000001</v>
      </c>
      <c r="P4326">
        <v>-1.6511979999999999E-2</v>
      </c>
      <c r="Q4326">
        <v>0.1888611</v>
      </c>
      <c r="R4326">
        <v>-0.9818654</v>
      </c>
      <c r="S4326">
        <v>1.0803220000000001E-2</v>
      </c>
      <c r="T4326">
        <v>-0.10641929999999999</v>
      </c>
      <c r="U4326">
        <v>-3.0758359999999998</v>
      </c>
      <c r="V4326">
        <v>-5.2588959999999999E-3</v>
      </c>
      <c r="W4326">
        <v>0.1941272</v>
      </c>
      <c r="X4326">
        <v>0.98096229999999995</v>
      </c>
      <c r="Y4326">
        <v>-2.5160930000000001E-2</v>
      </c>
      <c r="Z4326">
        <v>3.456008E-2</v>
      </c>
      <c r="AA4326">
        <v>0.99908580000000002</v>
      </c>
      <c r="AB4326">
        <v>30</v>
      </c>
      <c r="AC4326">
        <v>0.118399999999951</v>
      </c>
      <c r="AD4326">
        <v>-1.110061287565</v>
      </c>
      <c r="AE4326">
        <v>-31.7744</v>
      </c>
      <c r="AF4326">
        <v>-0.80536001442349103</v>
      </c>
      <c r="AG4326">
        <v>-1.110061287565</v>
      </c>
      <c r="AH4326">
        <v>31.725666919646201</v>
      </c>
      <c r="AI4326">
        <v>92.003281232473498</v>
      </c>
      <c r="AJ4326">
        <v>91.454148214413294</v>
      </c>
      <c r="AK4326">
        <v>31.755295342844999</v>
      </c>
      <c r="AL4326">
        <v>78.806258776211905</v>
      </c>
      <c r="AM4326">
        <v>90.307157226316093</v>
      </c>
      <c r="AN4326">
        <v>1.0000000298941301</v>
      </c>
    </row>
    <row r="4327" spans="1:40" x14ac:dyDescent="0.25">
      <c r="A4327" t="str">
        <f>"20190312172752019"</f>
        <v>20190312172752019</v>
      </c>
      <c r="B4327" t="str">
        <f>"1552382872013312"</f>
        <v>1552382872013312</v>
      </c>
      <c r="C4327" t="s">
        <v>40</v>
      </c>
      <c r="D4327">
        <v>3.223681</v>
      </c>
      <c r="E4327">
        <v>0.46061590000000002</v>
      </c>
      <c r="F4327" t="s">
        <v>41</v>
      </c>
      <c r="G4327">
        <v>-422.59710000000001</v>
      </c>
      <c r="H4327" s="1">
        <v>-4.0689850000000001E-6</v>
      </c>
      <c r="I4327">
        <v>57.5899199999999</v>
      </c>
      <c r="J4327">
        <v>-422.86180000000002</v>
      </c>
      <c r="K4327">
        <v>1.1100840000000001</v>
      </c>
      <c r="L4327">
        <v>89.621949999999998</v>
      </c>
      <c r="M4327">
        <v>-2.017497E-2</v>
      </c>
      <c r="N4327">
        <v>0</v>
      </c>
      <c r="O4327">
        <v>-0.99978199999999995</v>
      </c>
      <c r="P4327">
        <v>-1.357181E-2</v>
      </c>
      <c r="Q4327">
        <v>0.18943309999999999</v>
      </c>
      <c r="R4327">
        <v>-0.98180009999999995</v>
      </c>
      <c r="S4327">
        <v>2.4658200000000002E-2</v>
      </c>
      <c r="T4327">
        <v>-0.105577</v>
      </c>
      <c r="U4327">
        <v>-3.0761409999999998</v>
      </c>
      <c r="V4327">
        <v>-6.7624139999999996E-3</v>
      </c>
      <c r="W4327">
        <v>0.19470580000000001</v>
      </c>
      <c r="X4327">
        <v>0.9808384</v>
      </c>
      <c r="Y4327">
        <v>-2.8183969999999999E-2</v>
      </c>
      <c r="Z4327">
        <v>3.4283210000000001E-2</v>
      </c>
      <c r="AA4327">
        <v>0.99901470000000003</v>
      </c>
      <c r="AB4327">
        <v>31</v>
      </c>
      <c r="AC4327">
        <v>0.26470000000000399</v>
      </c>
      <c r="AD4327">
        <v>-1.1100880689849999</v>
      </c>
      <c r="AE4327">
        <v>-32.032029999999999</v>
      </c>
      <c r="AF4327">
        <v>-0.90980810049512195</v>
      </c>
      <c r="AG4327">
        <v>-1.1100880689849999</v>
      </c>
      <c r="AH4327">
        <v>31.9817620336757</v>
      </c>
      <c r="AI4327">
        <v>91.987137141428505</v>
      </c>
      <c r="AJ4327">
        <v>91.629494620394496</v>
      </c>
      <c r="AK4327">
        <v>32.013952412648003</v>
      </c>
      <c r="AL4327">
        <v>78.772462495737201</v>
      </c>
      <c r="AM4327">
        <v>90.395020874484601</v>
      </c>
      <c r="AN4327">
        <v>1.00000002285565</v>
      </c>
    </row>
    <row r="4328" spans="1:40" x14ac:dyDescent="0.25">
      <c r="A4328" t="str">
        <f>"20190312172752042"</f>
        <v>20190312172752042</v>
      </c>
      <c r="B4328" t="str">
        <f>"1552382872033806"</f>
        <v>1552382872033806</v>
      </c>
      <c r="C4328" t="s">
        <v>40</v>
      </c>
      <c r="D4328">
        <v>3.236278</v>
      </c>
      <c r="E4328">
        <v>0.46081610000000001</v>
      </c>
      <c r="F4328" t="s">
        <v>41</v>
      </c>
      <c r="G4328">
        <v>-420.35939999999999</v>
      </c>
      <c r="H4328" s="1">
        <v>-1.47934E-6</v>
      </c>
      <c r="I4328">
        <v>62.814590000000003</v>
      </c>
      <c r="J4328">
        <v>-422.86660000000001</v>
      </c>
      <c r="K4328">
        <v>1.110101</v>
      </c>
      <c r="L4328">
        <v>89.309049999999999</v>
      </c>
      <c r="M4328">
        <v>-1.8688610000000001E-2</v>
      </c>
      <c r="N4328">
        <v>0</v>
      </c>
      <c r="O4328">
        <v>-0.99981100000000001</v>
      </c>
      <c r="P4328">
        <v>-1.023903E-2</v>
      </c>
      <c r="Q4328">
        <v>0.18933839999999999</v>
      </c>
      <c r="R4328">
        <v>-0.98185869999999997</v>
      </c>
      <c r="S4328">
        <v>0.28790280000000001</v>
      </c>
      <c r="T4328">
        <v>-0.127717</v>
      </c>
      <c r="U4328">
        <v>-3.0842290000000001</v>
      </c>
      <c r="V4328">
        <v>-8.645514E-3</v>
      </c>
      <c r="W4328">
        <v>0.19461880000000001</v>
      </c>
      <c r="X4328">
        <v>0.98084090000000002</v>
      </c>
      <c r="Y4328">
        <v>-0.1114557</v>
      </c>
      <c r="Z4328">
        <v>4.1145229999999998E-2</v>
      </c>
      <c r="AA4328">
        <v>0.99291719999999895</v>
      </c>
      <c r="AB4328">
        <v>31</v>
      </c>
      <c r="AC4328">
        <v>2.5072000000000099</v>
      </c>
      <c r="AD4328">
        <v>-1.1101024793400001</v>
      </c>
      <c r="AE4328">
        <v>-26.49446</v>
      </c>
      <c r="AF4328">
        <v>-2.9966996506869701</v>
      </c>
      <c r="AG4328">
        <v>-1.1101024793400001</v>
      </c>
      <c r="AH4328">
        <v>26.397045601530301</v>
      </c>
      <c r="AI4328">
        <v>92.392749076036097</v>
      </c>
      <c r="AJ4328">
        <v>96.476720823930194</v>
      </c>
      <c r="AK4328">
        <v>26.589782864858702</v>
      </c>
      <c r="AL4328">
        <v>78.777544715198601</v>
      </c>
      <c r="AM4328">
        <v>90.505014254600297</v>
      </c>
      <c r="AN4328">
        <v>1.00000004666928</v>
      </c>
    </row>
    <row r="4329" spans="1:40" x14ac:dyDescent="0.25">
      <c r="A4329" t="str">
        <f>"20190312172752063"</f>
        <v>20190312172752063</v>
      </c>
      <c r="B4329" t="str">
        <f>"1552382872053326"</f>
        <v>1552382872053326</v>
      </c>
      <c r="C4329" t="s">
        <v>40</v>
      </c>
      <c r="D4329">
        <v>3.229279</v>
      </c>
      <c r="E4329">
        <v>0.460984</v>
      </c>
      <c r="F4329" t="s">
        <v>41</v>
      </c>
      <c r="G4329">
        <v>-420.23259999999999</v>
      </c>
      <c r="H4329" s="1">
        <v>-1.0841510000000001E-6</v>
      </c>
      <c r="I4329">
        <v>61.972029999999997</v>
      </c>
      <c r="J4329">
        <v>-422.8707</v>
      </c>
      <c r="K4329">
        <v>1.110106</v>
      </c>
      <c r="L4329">
        <v>89.019840000000002</v>
      </c>
      <c r="M4329">
        <v>-1.7319299999999999E-2</v>
      </c>
      <c r="N4329">
        <v>0</v>
      </c>
      <c r="O4329">
        <v>-0.99983540000000004</v>
      </c>
      <c r="P4329">
        <v>-7.0642619999999904E-3</v>
      </c>
      <c r="Q4329">
        <v>0.1887423</v>
      </c>
      <c r="R4329">
        <v>-0.98200140000000002</v>
      </c>
      <c r="S4329">
        <v>0.2970276</v>
      </c>
      <c r="T4329">
        <v>-0.12517990000000001</v>
      </c>
      <c r="U4329">
        <v>-3.0826419999999999</v>
      </c>
      <c r="V4329">
        <v>-1.048341E-2</v>
      </c>
      <c r="W4329">
        <v>0.19402990000000001</v>
      </c>
      <c r="X4329">
        <v>0.98093960000000002</v>
      </c>
      <c r="Y4329">
        <v>-0.1130579</v>
      </c>
      <c r="Z4329">
        <v>4.0342070000000001E-2</v>
      </c>
      <c r="AA4329">
        <v>0.99276909999999896</v>
      </c>
      <c r="AB4329">
        <v>31</v>
      </c>
      <c r="AC4329">
        <v>2.6381000000000001</v>
      </c>
      <c r="AD4329">
        <v>-1.1101070841509999</v>
      </c>
      <c r="AE4329">
        <v>-27.047809999999998</v>
      </c>
      <c r="AF4329">
        <v>-3.1009859561524999</v>
      </c>
      <c r="AG4329">
        <v>-1.1101070841509999</v>
      </c>
      <c r="AH4329">
        <v>26.953088193916901</v>
      </c>
      <c r="AI4329">
        <v>92.343048689010104</v>
      </c>
      <c r="AJ4329">
        <v>96.563093349324802</v>
      </c>
      <c r="AK4329">
        <v>27.153589354404001</v>
      </c>
      <c r="AL4329">
        <v>78.811941387997507</v>
      </c>
      <c r="AM4329">
        <v>90.612303022187206</v>
      </c>
      <c r="AN4329">
        <v>1.0000000014136901</v>
      </c>
    </row>
    <row r="4330" spans="1:40" x14ac:dyDescent="0.25">
      <c r="A4330" t="str">
        <f>"20190312172752085"</f>
        <v>20190312172752085</v>
      </c>
      <c r="B4330" t="str">
        <f>"1552382872073822"</f>
        <v>1552382872073822</v>
      </c>
      <c r="C4330" t="s">
        <v>40</v>
      </c>
      <c r="D4330">
        <v>3.2394609999999999</v>
      </c>
      <c r="E4330">
        <v>0.46129100000000001</v>
      </c>
      <c r="F4330" t="s">
        <v>41</v>
      </c>
      <c r="G4330">
        <v>-420.14510000000001</v>
      </c>
      <c r="H4330" s="1">
        <v>-8.9174599999999997E-7</v>
      </c>
      <c r="I4330">
        <v>61.577800000000003</v>
      </c>
      <c r="J4330">
        <v>-422.87479999999999</v>
      </c>
      <c r="K4330">
        <v>1.110117</v>
      </c>
      <c r="L4330">
        <v>88.711519999999993</v>
      </c>
      <c r="M4330">
        <v>-1.58663E-2</v>
      </c>
      <c r="N4330">
        <v>0</v>
      </c>
      <c r="O4330">
        <v>-0.99985930000000001</v>
      </c>
      <c r="P4330">
        <v>-3.5532530000000001E-3</v>
      </c>
      <c r="Q4330">
        <v>0.188052</v>
      </c>
      <c r="R4330">
        <v>-0.98215280000000005</v>
      </c>
      <c r="S4330">
        <v>0.30603029999999998</v>
      </c>
      <c r="T4330">
        <v>-0.1246409</v>
      </c>
      <c r="U4330">
        <v>-3.0811459999999999</v>
      </c>
      <c r="V4330">
        <v>-1.257454E-2</v>
      </c>
      <c r="W4330">
        <v>0.19334689999999999</v>
      </c>
      <c r="X4330">
        <v>0.98104990000000003</v>
      </c>
      <c r="Y4330">
        <v>-0.1145337</v>
      </c>
      <c r="Z4330">
        <v>4.0180399999999998E-2</v>
      </c>
      <c r="AA4330">
        <v>0.99260649999999995</v>
      </c>
      <c r="AB4330">
        <v>31</v>
      </c>
      <c r="AC4330">
        <v>2.7296999999999798</v>
      </c>
      <c r="AD4330">
        <v>-1.110117891746</v>
      </c>
      <c r="AE4330">
        <v>-27.133719999999901</v>
      </c>
      <c r="AF4330">
        <v>-3.15464696790165</v>
      </c>
      <c r="AG4330">
        <v>-1.110117891746</v>
      </c>
      <c r="AH4330">
        <v>27.0421821432036</v>
      </c>
      <c r="AI4330">
        <v>92.3349324225251</v>
      </c>
      <c r="AJ4330">
        <v>96.653851712173903</v>
      </c>
      <c r="AK4330">
        <v>27.248188458902401</v>
      </c>
      <c r="AL4330">
        <v>78.851830029706605</v>
      </c>
      <c r="AM4330">
        <v>90.734344522946003</v>
      </c>
      <c r="AN4330">
        <v>1.0000000245429099</v>
      </c>
    </row>
    <row r="4331" spans="1:40" x14ac:dyDescent="0.25">
      <c r="A4331" t="str">
        <f>"20190312172752107"</f>
        <v>20190312172752107</v>
      </c>
      <c r="B4331" t="str">
        <f>"1552382872104077"</f>
        <v>1552382872104077</v>
      </c>
      <c r="C4331" t="s">
        <v>40</v>
      </c>
      <c r="D4331">
        <v>3.2502659999999999</v>
      </c>
      <c r="E4331">
        <v>0.4619219</v>
      </c>
      <c r="F4331" t="s">
        <v>41</v>
      </c>
      <c r="G4331">
        <v>-420.11219999999997</v>
      </c>
      <c r="H4331" s="1">
        <v>-8.8772870000000002E-7</v>
      </c>
      <c r="I4331">
        <v>61.588830000000002</v>
      </c>
      <c r="J4331">
        <v>-422.87830000000002</v>
      </c>
      <c r="K4331">
        <v>1.1101270000000001</v>
      </c>
      <c r="L4331">
        <v>88.400599999999997</v>
      </c>
      <c r="M4331">
        <v>-1.4407730000000001E-2</v>
      </c>
      <c r="N4331">
        <v>0</v>
      </c>
      <c r="O4331">
        <v>-0.99988160000000004</v>
      </c>
      <c r="P4331" s="1">
        <v>-1.372839E-5</v>
      </c>
      <c r="Q4331">
        <v>0.187888</v>
      </c>
      <c r="R4331">
        <v>-0.98219060000000002</v>
      </c>
      <c r="S4331">
        <v>0.31369019999999997</v>
      </c>
      <c r="T4331">
        <v>-0.12605479999999999</v>
      </c>
      <c r="U4331">
        <v>-3.0798030000000001</v>
      </c>
      <c r="V4331">
        <v>-1.4687560000000001E-2</v>
      </c>
      <c r="W4331">
        <v>0.19319059999999999</v>
      </c>
      <c r="X4331">
        <v>0.98105129999999996</v>
      </c>
      <c r="Y4331">
        <v>-0.1155692</v>
      </c>
      <c r="Z4331">
        <v>4.0646889999999998E-2</v>
      </c>
      <c r="AA4331">
        <v>0.9924674</v>
      </c>
      <c r="AB4331">
        <v>31</v>
      </c>
      <c r="AC4331">
        <v>2.76610000000005</v>
      </c>
      <c r="AD4331">
        <v>-1.1101278877287</v>
      </c>
      <c r="AE4331">
        <v>-26.811769999999999</v>
      </c>
      <c r="AF4331">
        <v>-3.14677745336183</v>
      </c>
      <c r="AG4331">
        <v>-1.1101278877287</v>
      </c>
      <c r="AH4331">
        <v>26.723802139504599</v>
      </c>
      <c r="AI4331">
        <v>92.362441217664596</v>
      </c>
      <c r="AJ4331">
        <v>96.715759521364703</v>
      </c>
      <c r="AK4331">
        <v>26.9313236410595</v>
      </c>
      <c r="AL4331">
        <v>78.860957091288</v>
      </c>
      <c r="AM4331">
        <v>90.857725110201002</v>
      </c>
      <c r="AN4331">
        <v>0.99999999278940099</v>
      </c>
    </row>
    <row r="4332" spans="1:40" x14ac:dyDescent="0.25">
      <c r="A4332" t="str">
        <f>"20190312172752130"</f>
        <v>20190312172752130</v>
      </c>
      <c r="B4332" t="str">
        <f>"1552382872123601"</f>
        <v>1552382872123601</v>
      </c>
      <c r="C4332" t="s">
        <v>40</v>
      </c>
      <c r="D4332">
        <v>3.2310319999999999</v>
      </c>
      <c r="E4332">
        <v>0.46231220000000001</v>
      </c>
      <c r="F4332" t="s">
        <v>41</v>
      </c>
      <c r="G4332">
        <v>-420.06580000000002</v>
      </c>
      <c r="H4332" s="1">
        <v>-7.2605249999999998E-7</v>
      </c>
      <c r="I4332">
        <v>61.240729999999999</v>
      </c>
      <c r="J4332">
        <v>-422.88139999999999</v>
      </c>
      <c r="K4332">
        <v>1.110134</v>
      </c>
      <c r="L4332">
        <v>88.085909999999998</v>
      </c>
      <c r="M4332">
        <v>-1.293616E-2</v>
      </c>
      <c r="N4332">
        <v>0</v>
      </c>
      <c r="O4332">
        <v>-0.9999017</v>
      </c>
      <c r="P4332">
        <v>2.5562570000000001E-3</v>
      </c>
      <c r="Q4332">
        <v>0.18818299999999999</v>
      </c>
      <c r="R4332">
        <v>-0.98213110000000003</v>
      </c>
      <c r="S4332">
        <v>0.31878659999999998</v>
      </c>
      <c r="T4332">
        <v>-0.12582969999999999</v>
      </c>
      <c r="U4332">
        <v>-3.0784910000000001</v>
      </c>
      <c r="V4332">
        <v>-1.5818189999999999E-2</v>
      </c>
      <c r="W4332">
        <v>0.19349520000000001</v>
      </c>
      <c r="X4332">
        <v>0.98097369999999995</v>
      </c>
      <c r="Y4332">
        <v>-0.11577610000000001</v>
      </c>
      <c r="Z4332">
        <v>4.0588930000000002E-2</v>
      </c>
      <c r="AA4332">
        <v>0.99244569999999999</v>
      </c>
      <c r="AB4332">
        <v>31</v>
      </c>
      <c r="AC4332">
        <v>2.8155999999999599</v>
      </c>
      <c r="AD4332">
        <v>-1.1101347260525001</v>
      </c>
      <c r="AE4332">
        <v>-26.8451799999999</v>
      </c>
      <c r="AF4332">
        <v>-3.1573024974827302</v>
      </c>
      <c r="AG4332">
        <v>-1.1101347260525001</v>
      </c>
      <c r="AH4332">
        <v>26.761243898228098</v>
      </c>
      <c r="AI4332">
        <v>92.359091561584094</v>
      </c>
      <c r="AJ4332">
        <v>96.728674885477403</v>
      </c>
      <c r="AK4332">
        <v>26.969707694950099</v>
      </c>
      <c r="AL4332">
        <v>78.843169285260799</v>
      </c>
      <c r="AM4332">
        <v>90.923813744273602</v>
      </c>
      <c r="AN4332">
        <v>1.0000000038248</v>
      </c>
    </row>
    <row r="4333" spans="1:40" x14ac:dyDescent="0.25">
      <c r="A4333" t="str">
        <f>"20190312172752151"</f>
        <v>20190312172752151</v>
      </c>
      <c r="B4333" t="str">
        <f>"1552382872144094"</f>
        <v>1552382872144094</v>
      </c>
      <c r="C4333" t="s">
        <v>40</v>
      </c>
      <c r="D4333">
        <v>3.2267100000000002</v>
      </c>
      <c r="E4333">
        <v>0.46268799999999999</v>
      </c>
      <c r="F4333" t="s">
        <v>41</v>
      </c>
      <c r="G4333">
        <v>-420.0077</v>
      </c>
      <c r="H4333" s="1">
        <v>-4.9990119999999998E-7</v>
      </c>
      <c r="I4333">
        <v>60.749650000000003</v>
      </c>
      <c r="J4333">
        <v>-422.88400000000001</v>
      </c>
      <c r="K4333">
        <v>1.1101449999999999</v>
      </c>
      <c r="L4333">
        <v>87.776820000000001</v>
      </c>
      <c r="M4333">
        <v>-1.149609E-2</v>
      </c>
      <c r="N4333">
        <v>0</v>
      </c>
      <c r="O4333">
        <v>-0.99991920000000001</v>
      </c>
      <c r="P4333">
        <v>5.5303619999999996E-3</v>
      </c>
      <c r="Q4333">
        <v>0.188278</v>
      </c>
      <c r="R4333">
        <v>-0.98210070000000005</v>
      </c>
      <c r="S4333">
        <v>0.32354739999999999</v>
      </c>
      <c r="T4333">
        <v>-0.12498629999999999</v>
      </c>
      <c r="U4333">
        <v>-3.0776979999999998</v>
      </c>
      <c r="V4333">
        <v>-1.7382020000000001E-2</v>
      </c>
      <c r="W4333">
        <v>0.1935991</v>
      </c>
      <c r="X4333">
        <v>0.98092679999999999</v>
      </c>
      <c r="Y4333">
        <v>-0.1158916</v>
      </c>
      <c r="Z4333">
        <v>4.032521E-2</v>
      </c>
      <c r="AA4333">
        <v>0.99244299999999996</v>
      </c>
      <c r="AB4333">
        <v>31</v>
      </c>
      <c r="AC4333">
        <v>2.8763000000000098</v>
      </c>
      <c r="AD4333">
        <v>-1.1101454999011999</v>
      </c>
      <c r="AE4333">
        <v>-27.027170000000002</v>
      </c>
      <c r="AF4333">
        <v>-3.1815136345025099</v>
      </c>
      <c r="AG4333">
        <v>-1.1101454999011999</v>
      </c>
      <c r="AH4333">
        <v>26.947361637085599</v>
      </c>
      <c r="AI4333">
        <v>92.342816145696901</v>
      </c>
      <c r="AJ4333">
        <v>96.7333991992828</v>
      </c>
      <c r="AK4333">
        <v>27.157222818936201</v>
      </c>
      <c r="AL4333">
        <v>78.837102227411506</v>
      </c>
      <c r="AM4333">
        <v>91.015174798326996</v>
      </c>
      <c r="AN4333">
        <v>1.00000006654916</v>
      </c>
    </row>
    <row r="4334" spans="1:40" x14ac:dyDescent="0.25">
      <c r="A4334" t="str">
        <f>"20190312172752175"</f>
        <v>20190312172752175</v>
      </c>
      <c r="B4334" t="str">
        <f>"1552382872163614"</f>
        <v>1552382872163614</v>
      </c>
      <c r="C4334" t="s">
        <v>40</v>
      </c>
      <c r="D4334">
        <v>3.2406459999999999</v>
      </c>
      <c r="E4334">
        <v>0.46306009999999997</v>
      </c>
      <c r="F4334" t="s">
        <v>41</v>
      </c>
      <c r="G4334">
        <v>-419.93389999999999</v>
      </c>
      <c r="H4334" s="1">
        <v>-2.8161100000000002E-7</v>
      </c>
      <c r="I4334">
        <v>60.261890000000001</v>
      </c>
      <c r="J4334">
        <v>-422.88619999999997</v>
      </c>
      <c r="K4334">
        <v>1.1101510000000001</v>
      </c>
      <c r="L4334">
        <v>87.450230000000005</v>
      </c>
      <c r="M4334">
        <v>-9.9776919999999998E-3</v>
      </c>
      <c r="N4334">
        <v>0</v>
      </c>
      <c r="O4334">
        <v>-0.99993540000000003</v>
      </c>
      <c r="P4334">
        <v>8.0665149999999998E-3</v>
      </c>
      <c r="Q4334">
        <v>0.1882645</v>
      </c>
      <c r="R4334">
        <v>-0.98208549999999994</v>
      </c>
      <c r="S4334">
        <v>0.3298645</v>
      </c>
      <c r="T4334">
        <v>-0.1241328</v>
      </c>
      <c r="U4334">
        <v>-3.0766300000000002</v>
      </c>
      <c r="V4334">
        <v>-1.843069E-2</v>
      </c>
      <c r="W4334">
        <v>0.1935972</v>
      </c>
      <c r="X4334">
        <v>0.980908</v>
      </c>
      <c r="Y4334">
        <v>-0.11643530000000001</v>
      </c>
      <c r="Z4334">
        <v>4.0059459999999998E-2</v>
      </c>
      <c r="AA4334">
        <v>0.99239010000000005</v>
      </c>
      <c r="AB4334">
        <v>31</v>
      </c>
      <c r="AC4334">
        <v>2.9522999999999802</v>
      </c>
      <c r="AD4334">
        <v>-1.110151281611</v>
      </c>
      <c r="AE4334">
        <v>-27.18834</v>
      </c>
      <c r="AF4334">
        <v>-3.2181310579490598</v>
      </c>
      <c r="AG4334">
        <v>-1.110151281611</v>
      </c>
      <c r="AH4334">
        <v>27.1128520653733</v>
      </c>
      <c r="AI4334">
        <v>92.328373009623803</v>
      </c>
      <c r="AJ4334">
        <v>96.768992236713899</v>
      </c>
      <c r="AK4334">
        <v>27.325730557352198</v>
      </c>
      <c r="AL4334">
        <v>78.837212835619894</v>
      </c>
      <c r="AM4334">
        <v>91.076427662822596</v>
      </c>
      <c r="AN4334">
        <v>1.00000003532285</v>
      </c>
    </row>
    <row r="4335" spans="1:40" x14ac:dyDescent="0.25">
      <c r="A4335" t="str">
        <f>"20190312172752197"</f>
        <v>20190312172752197</v>
      </c>
      <c r="B4335" t="str">
        <f>"1552382872193870"</f>
        <v>1552382872193870</v>
      </c>
      <c r="C4335" t="s">
        <v>40</v>
      </c>
      <c r="D4335">
        <v>3.2925339999999998</v>
      </c>
      <c r="E4335">
        <v>0.46742980000000001</v>
      </c>
      <c r="F4335" t="s">
        <v>41</v>
      </c>
      <c r="G4335">
        <v>-419.88889999999998</v>
      </c>
      <c r="H4335" s="1">
        <v>-1.38734299999999E-7</v>
      </c>
      <c r="I4335">
        <v>59.910229999999999</v>
      </c>
      <c r="J4335">
        <v>-422.88799999999998</v>
      </c>
      <c r="K4335">
        <v>1.1101540000000001</v>
      </c>
      <c r="L4335">
        <v>87.129490000000004</v>
      </c>
      <c r="M4335">
        <v>-8.4913409999999995E-3</v>
      </c>
      <c r="N4335">
        <v>0</v>
      </c>
      <c r="O4335">
        <v>-0.99994899999999998</v>
      </c>
      <c r="P4335">
        <v>1.055526E-2</v>
      </c>
      <c r="Q4335">
        <v>0.18800529999999999</v>
      </c>
      <c r="R4335">
        <v>-0.98211159999999997</v>
      </c>
      <c r="S4335">
        <v>0.33474730000000003</v>
      </c>
      <c r="T4335">
        <v>-0.12398480000000001</v>
      </c>
      <c r="U4335">
        <v>-3.075745</v>
      </c>
      <c r="V4335">
        <v>-1.946254E-2</v>
      </c>
      <c r="W4335">
        <v>0.1933493</v>
      </c>
      <c r="X4335">
        <v>0.9809369</v>
      </c>
      <c r="Y4335">
        <v>-0.1165467</v>
      </c>
      <c r="Z4335">
        <v>4.0020399999999998E-2</v>
      </c>
      <c r="AA4335">
        <v>0.9923786</v>
      </c>
      <c r="AB4335">
        <v>32</v>
      </c>
      <c r="AC4335">
        <v>2.9991000000000501</v>
      </c>
      <c r="AD4335">
        <v>-1.1101541387342999</v>
      </c>
      <c r="AE4335">
        <v>-27.219259999999998</v>
      </c>
      <c r="AF4335">
        <v>-3.22482330622113</v>
      </c>
      <c r="AG4335">
        <v>-1.1101541387342999</v>
      </c>
      <c r="AH4335">
        <v>27.148193481234699</v>
      </c>
      <c r="AI4335">
        <v>92.325326230369498</v>
      </c>
      <c r="AJ4335">
        <v>96.774189751609796</v>
      </c>
      <c r="AK4335">
        <v>27.361585057570199</v>
      </c>
      <c r="AL4335">
        <v>78.851689282195807</v>
      </c>
      <c r="AM4335">
        <v>91.136643050543299</v>
      </c>
      <c r="AN4335">
        <v>0.99999997202767499</v>
      </c>
    </row>
    <row r="4336" spans="1:40" x14ac:dyDescent="0.25">
      <c r="A4336" t="str">
        <f>"20190312172752221"</f>
        <v>20190312172752221</v>
      </c>
      <c r="B4336" t="str">
        <f>"1552382872213390"</f>
        <v>1552382872213390</v>
      </c>
      <c r="C4336" t="s">
        <v>40</v>
      </c>
      <c r="D4336">
        <v>3.2704810000000002</v>
      </c>
      <c r="E4336">
        <v>0.46994669999999999</v>
      </c>
      <c r="F4336" t="s">
        <v>41</v>
      </c>
      <c r="G4336">
        <v>-420.01150000000001</v>
      </c>
      <c r="H4336" s="1">
        <v>-3.7687149999999998E-6</v>
      </c>
      <c r="I4336">
        <v>58.366970000000002</v>
      </c>
      <c r="J4336">
        <v>-422.88929999999999</v>
      </c>
      <c r="K4336">
        <v>1.11016</v>
      </c>
      <c r="L4336">
        <v>86.803960000000004</v>
      </c>
      <c r="M4336">
        <v>-6.9909660000000004E-3</v>
      </c>
      <c r="N4336">
        <v>0</v>
      </c>
      <c r="O4336">
        <v>-0.99996050000000003</v>
      </c>
      <c r="P4336">
        <v>1.278139E-2</v>
      </c>
      <c r="Q4336">
        <v>0.18797169999999999</v>
      </c>
      <c r="R4336">
        <v>-0.98209170000000001</v>
      </c>
      <c r="S4336">
        <v>0.30743409999999999</v>
      </c>
      <c r="T4336">
        <v>-0.1186509</v>
      </c>
      <c r="U4336">
        <v>-3.0740660000000002</v>
      </c>
      <c r="V4336">
        <v>-2.0216620000000001E-2</v>
      </c>
      <c r="W4336">
        <v>0.193331</v>
      </c>
      <c r="X4336">
        <v>0.9809253</v>
      </c>
      <c r="Y4336">
        <v>-0.10639319999999999</v>
      </c>
      <c r="Z4336">
        <v>3.8362250000000001E-2</v>
      </c>
      <c r="AA4336">
        <v>0.99358389999999996</v>
      </c>
      <c r="AB4336">
        <v>32</v>
      </c>
      <c r="AC4336">
        <v>2.8777999999999699</v>
      </c>
      <c r="AD4336">
        <v>-1.1101637687150001</v>
      </c>
      <c r="AE4336">
        <v>-28.436990000000002</v>
      </c>
      <c r="AF4336">
        <v>-3.0719003471663799</v>
      </c>
      <c r="AG4336">
        <v>-1.1101637687150001</v>
      </c>
      <c r="AH4336">
        <v>28.373371335695499</v>
      </c>
      <c r="AI4336">
        <v>92.227661942197997</v>
      </c>
      <c r="AJ4336">
        <v>96.1791747096118</v>
      </c>
      <c r="AK4336">
        <v>28.560763930426599</v>
      </c>
      <c r="AL4336">
        <v>78.852758452443098</v>
      </c>
      <c r="AM4336">
        <v>91.180684237155305</v>
      </c>
      <c r="AN4336">
        <v>1.0000000157326501</v>
      </c>
    </row>
    <row r="4337" spans="1:40" x14ac:dyDescent="0.25">
      <c r="A4337" t="str">
        <f>"20190312172752245"</f>
        <v>20190312172752245</v>
      </c>
      <c r="B4337" t="str">
        <f>"1552382872233886"</f>
        <v>1552382872233886</v>
      </c>
      <c r="C4337" t="s">
        <v>40</v>
      </c>
      <c r="D4337">
        <v>3.2447539999999999</v>
      </c>
      <c r="E4337">
        <v>0.46978320000000001</v>
      </c>
      <c r="F4337" t="s">
        <v>41</v>
      </c>
      <c r="G4337">
        <v>-420.48509999999999</v>
      </c>
      <c r="H4337" s="1">
        <v>-1.0257669999999999E-6</v>
      </c>
      <c r="I4337">
        <v>61.679340000000003</v>
      </c>
      <c r="J4337">
        <v>-422.89019999999999</v>
      </c>
      <c r="K4337">
        <v>1.110155</v>
      </c>
      <c r="L4337">
        <v>86.458439999999996</v>
      </c>
      <c r="M4337">
        <v>-5.4137999999999999E-3</v>
      </c>
      <c r="N4337">
        <v>0</v>
      </c>
      <c r="O4337">
        <v>-0.99997009999999997</v>
      </c>
      <c r="P4337">
        <v>1.4572460000000001E-2</v>
      </c>
      <c r="Q4337">
        <v>0.18756529999999999</v>
      </c>
      <c r="R4337">
        <v>-0.98214420000000002</v>
      </c>
      <c r="S4337">
        <v>0.29443360000000002</v>
      </c>
      <c r="T4337">
        <v>-0.13595660000000001</v>
      </c>
      <c r="U4337">
        <v>-3.0769039999999999</v>
      </c>
      <c r="V4337">
        <v>-2.045814E-2</v>
      </c>
      <c r="W4337">
        <v>0.19294739999999999</v>
      </c>
      <c r="X4337">
        <v>0.98099579999999997</v>
      </c>
      <c r="Y4337">
        <v>-0.1005523</v>
      </c>
      <c r="Z4337">
        <v>4.3930139999999999E-2</v>
      </c>
      <c r="AA4337">
        <v>0.99396150000000005</v>
      </c>
      <c r="AB4337">
        <v>32</v>
      </c>
      <c r="AC4337">
        <v>2.4051</v>
      </c>
      <c r="AD4337">
        <v>-1.110156025767</v>
      </c>
      <c r="AE4337">
        <v>-24.7791</v>
      </c>
      <c r="AF4337">
        <v>-2.53417669001391</v>
      </c>
      <c r="AG4337">
        <v>-1.110156025767</v>
      </c>
      <c r="AH4337">
        <v>24.716567140672201</v>
      </c>
      <c r="AI4337">
        <v>92.558343998521906</v>
      </c>
      <c r="AJ4337">
        <v>95.854050304127</v>
      </c>
      <c r="AK4337">
        <v>24.870930604163402</v>
      </c>
      <c r="AL4337">
        <v>78.875158673267507</v>
      </c>
      <c r="AM4337">
        <v>91.194699503087705</v>
      </c>
      <c r="AN4337">
        <v>0.99999999713832899</v>
      </c>
    </row>
    <row r="4338" spans="1:40" x14ac:dyDescent="0.25">
      <c r="A4338" t="str">
        <f>"20190312172752270"</f>
        <v>20190312172752270</v>
      </c>
      <c r="B4338" t="str">
        <f>"1552382872264142"</f>
        <v>1552382872264142</v>
      </c>
      <c r="C4338" t="s">
        <v>40</v>
      </c>
      <c r="D4338">
        <v>3.228002</v>
      </c>
      <c r="E4338">
        <v>0.4704797</v>
      </c>
      <c r="F4338" t="s">
        <v>41</v>
      </c>
      <c r="G4338">
        <v>-420.44110000000001</v>
      </c>
      <c r="H4338" s="1">
        <v>-9.3466880000000003E-7</v>
      </c>
      <c r="I4338">
        <v>61.494280000000003</v>
      </c>
      <c r="J4338">
        <v>-422.89060000000001</v>
      </c>
      <c r="K4338">
        <v>1.110152</v>
      </c>
      <c r="L4338">
        <v>86.104100000000003</v>
      </c>
      <c r="M4338">
        <v>-3.8230830000000001E-3</v>
      </c>
      <c r="N4338">
        <v>0</v>
      </c>
      <c r="O4338">
        <v>-0.99997720000000001</v>
      </c>
      <c r="P4338">
        <v>1.646326E-2</v>
      </c>
      <c r="Q4338">
        <v>0.1870849</v>
      </c>
      <c r="R4338">
        <v>-0.98220589999999997</v>
      </c>
      <c r="S4338">
        <v>0.30178829999999901</v>
      </c>
      <c r="T4338">
        <v>-0.13679740000000001</v>
      </c>
      <c r="U4338">
        <v>-3.0761720000000001</v>
      </c>
      <c r="V4338">
        <v>-2.0783240000000001E-2</v>
      </c>
      <c r="W4338">
        <v>0.19249769999999999</v>
      </c>
      <c r="X4338">
        <v>0.98107730000000004</v>
      </c>
      <c r="Y4338">
        <v>-0.10134509999999999</v>
      </c>
      <c r="Z4338">
        <v>4.4205359999999999E-2</v>
      </c>
      <c r="AA4338">
        <v>0.99386870000000005</v>
      </c>
      <c r="AB4338">
        <v>32</v>
      </c>
      <c r="AC4338">
        <v>2.4495</v>
      </c>
      <c r="AD4338">
        <v>-1.1101529346687999</v>
      </c>
      <c r="AE4338">
        <v>-24.609819999999999</v>
      </c>
      <c r="AF4338">
        <v>-2.5384540456615401</v>
      </c>
      <c r="AG4338">
        <v>-1.1101529346687999</v>
      </c>
      <c r="AH4338">
        <v>24.550806354674101</v>
      </c>
      <c r="AI4338">
        <v>92.575359886589894</v>
      </c>
      <c r="AJ4338">
        <v>95.903175020316496</v>
      </c>
      <c r="AK4338">
        <v>24.706644473602498</v>
      </c>
      <c r="AL4338">
        <v>78.901416737990104</v>
      </c>
      <c r="AM4338">
        <v>91.213578028493501</v>
      </c>
      <c r="AN4338">
        <v>0.99999998807273804</v>
      </c>
    </row>
    <row r="4339" spans="1:40" x14ac:dyDescent="0.25">
      <c r="A4339" t="str">
        <f>"20190312172752288"</f>
        <v>20190312172752288</v>
      </c>
      <c r="B4339" t="str">
        <f>"1552382872283662"</f>
        <v>1552382872283662</v>
      </c>
      <c r="C4339" t="s">
        <v>40</v>
      </c>
      <c r="D4339">
        <v>3.242502</v>
      </c>
      <c r="E4339">
        <v>0.470831</v>
      </c>
      <c r="F4339" t="s">
        <v>41</v>
      </c>
      <c r="G4339">
        <v>-420.56819999999999</v>
      </c>
      <c r="H4339" s="1">
        <v>-1.3809810000000001E-6</v>
      </c>
      <c r="I4339">
        <v>62.455779999999997</v>
      </c>
      <c r="J4339">
        <v>-422.89049999999997</v>
      </c>
      <c r="K4339">
        <v>1.1101430000000001</v>
      </c>
      <c r="L4339">
        <v>85.840609999999998</v>
      </c>
      <c r="M4339">
        <v>-2.6646869999999998E-3</v>
      </c>
      <c r="N4339">
        <v>0</v>
      </c>
      <c r="O4339">
        <v>-0.99998089999999995</v>
      </c>
      <c r="P4339">
        <v>1.8604949999999999E-2</v>
      </c>
      <c r="Q4339">
        <v>0.18653700000000001</v>
      </c>
      <c r="R4339">
        <v>-0.98227189999999998</v>
      </c>
      <c r="S4339">
        <v>0.30215449999999999</v>
      </c>
      <c r="T4339">
        <v>-0.14443889999999901</v>
      </c>
      <c r="U4339">
        <v>-3.076813</v>
      </c>
      <c r="V4339">
        <v>-2.1780549999999999E-2</v>
      </c>
      <c r="W4339">
        <v>0.19197310000000001</v>
      </c>
      <c r="X4339">
        <v>0.98115839999999999</v>
      </c>
      <c r="Y4339">
        <v>-0.1002788</v>
      </c>
      <c r="Z4339">
        <v>4.6662250000000002E-2</v>
      </c>
      <c r="AA4339">
        <v>0.99386459999999999</v>
      </c>
      <c r="AB4339">
        <v>32</v>
      </c>
      <c r="AC4339">
        <v>2.3222999999999798</v>
      </c>
      <c r="AD4339">
        <v>-1.1101443809810001</v>
      </c>
      <c r="AE4339">
        <v>-23.384829999999901</v>
      </c>
      <c r="AF4339">
        <v>-2.3792961912919499</v>
      </c>
      <c r="AG4339">
        <v>-1.1101443809810001</v>
      </c>
      <c r="AH4339">
        <v>23.326501806213699</v>
      </c>
      <c r="AI4339">
        <v>92.710695739703496</v>
      </c>
      <c r="AJ4339">
        <v>95.824010516576806</v>
      </c>
      <c r="AK4339">
        <v>23.473797251995901</v>
      </c>
      <c r="AL4339">
        <v>78.932044765676693</v>
      </c>
      <c r="AM4339">
        <v>91.271689324056993</v>
      </c>
      <c r="AN4339">
        <v>0.99999993468623405</v>
      </c>
    </row>
    <row r="4340" spans="1:40" x14ac:dyDescent="0.25">
      <c r="A4340" t="str">
        <f>"20190312172752320"</f>
        <v>20190312172752320</v>
      </c>
      <c r="B4340" t="str">
        <f>"1552382872313443"</f>
        <v>1552382872313443</v>
      </c>
      <c r="C4340" t="s">
        <v>40</v>
      </c>
      <c r="D4340">
        <v>3.3031069999999998</v>
      </c>
      <c r="E4340">
        <v>0.47097559999999999</v>
      </c>
      <c r="F4340" t="s">
        <v>41</v>
      </c>
      <c r="G4340">
        <v>-420.6354</v>
      </c>
      <c r="H4340" s="1">
        <v>-1.6788280000000001E-6</v>
      </c>
      <c r="I4340">
        <v>63.10839</v>
      </c>
      <c r="J4340">
        <v>-422.88959999999997</v>
      </c>
      <c r="K4340">
        <v>1.110117</v>
      </c>
      <c r="L4340">
        <v>85.382540000000006</v>
      </c>
      <c r="M4340">
        <v>-7.0597179999999995E-4</v>
      </c>
      <c r="N4340">
        <v>0</v>
      </c>
      <c r="O4340">
        <v>-0.99998399999999998</v>
      </c>
      <c r="P4340">
        <v>2.1963219999999999E-2</v>
      </c>
      <c r="Q4340">
        <v>0.18633069999999999</v>
      </c>
      <c r="R4340">
        <v>-0.9822417</v>
      </c>
      <c r="S4340">
        <v>0.30523679999999997</v>
      </c>
      <c r="T4340">
        <v>-0.15026300000000001</v>
      </c>
      <c r="U4340">
        <v>-3.0769039999999999</v>
      </c>
      <c r="V4340">
        <v>-2.3204010000000001E-2</v>
      </c>
      <c r="W4340">
        <v>0.1918117</v>
      </c>
      <c r="X4340">
        <v>0.98115739999999996</v>
      </c>
      <c r="Y4340">
        <v>-9.9304180000000006E-2</v>
      </c>
      <c r="Z4340">
        <v>4.853822E-2</v>
      </c>
      <c r="AA4340">
        <v>0.99387259999999999</v>
      </c>
      <c r="AB4340">
        <v>32</v>
      </c>
      <c r="AC4340">
        <v>2.25419999999996</v>
      </c>
      <c r="AD4340">
        <v>-1.110118678828</v>
      </c>
      <c r="AE4340">
        <v>-22.274149999999999</v>
      </c>
      <c r="AF4340">
        <v>-2.26435716093965</v>
      </c>
      <c r="AG4340">
        <v>-1.110118678828</v>
      </c>
      <c r="AH4340">
        <v>22.2179251054757</v>
      </c>
      <c r="AI4340">
        <v>92.845688760805899</v>
      </c>
      <c r="AJ4340">
        <v>95.819251696306495</v>
      </c>
      <c r="AK4340">
        <v>22.3605874883892</v>
      </c>
      <c r="AL4340">
        <v>78.941468135627602</v>
      </c>
      <c r="AM4340">
        <v>91.354771477138101</v>
      </c>
      <c r="AN4340">
        <v>0.999999998955865</v>
      </c>
    </row>
    <row r="4341" spans="1:40" x14ac:dyDescent="0.25">
      <c r="A4341" t="str">
        <f>"20190312172752342"</f>
        <v>20190312172752342</v>
      </c>
      <c r="B4341" t="str">
        <f>"1552382872333935"</f>
        <v>1552382872333935</v>
      </c>
      <c r="C4341" t="s">
        <v>40</v>
      </c>
      <c r="D4341">
        <v>3.2766660000000001</v>
      </c>
      <c r="E4341">
        <v>0.47131079999999997</v>
      </c>
      <c r="F4341" t="s">
        <v>41</v>
      </c>
      <c r="G4341">
        <v>-420.49400000000003</v>
      </c>
      <c r="H4341" s="1">
        <v>-1.1037239999999999E-6</v>
      </c>
      <c r="I4341">
        <v>61.855510000000002</v>
      </c>
      <c r="J4341">
        <v>-422.8886</v>
      </c>
      <c r="K4341">
        <v>1.1100939999999999</v>
      </c>
      <c r="L4341">
        <v>85.054900000000004</v>
      </c>
      <c r="M4341">
        <v>6.4238179999999998E-4</v>
      </c>
      <c r="N4341">
        <v>0</v>
      </c>
      <c r="O4341">
        <v>-0.99998379999999998</v>
      </c>
      <c r="P4341">
        <v>2.3685089999999999E-2</v>
      </c>
      <c r="Q4341">
        <v>0.18617790000000001</v>
      </c>
      <c r="R4341">
        <v>-0.98223059999999995</v>
      </c>
      <c r="S4341">
        <v>0.31307980000000002</v>
      </c>
      <c r="T4341">
        <v>-0.14508089999999901</v>
      </c>
      <c r="U4341">
        <v>-3.074738</v>
      </c>
      <c r="V4341">
        <v>-2.3589590000000001E-2</v>
      </c>
      <c r="W4341">
        <v>0.19169749999999999</v>
      </c>
      <c r="X4341">
        <v>0.98117049999999995</v>
      </c>
      <c r="Y4341">
        <v>-0.100549</v>
      </c>
      <c r="Z4341">
        <v>4.689198E-2</v>
      </c>
      <c r="AA4341">
        <v>0.9938264</v>
      </c>
      <c r="AB4341">
        <v>32</v>
      </c>
      <c r="AC4341">
        <v>2.3945999999999601</v>
      </c>
      <c r="AD4341">
        <v>-1.1100951037240001</v>
      </c>
      <c r="AE4341">
        <v>-23.199390000000001</v>
      </c>
      <c r="AF4341">
        <v>-2.3743173772652502</v>
      </c>
      <c r="AG4341">
        <v>-1.1100951037240001</v>
      </c>
      <c r="AH4341">
        <v>23.1484805210461</v>
      </c>
      <c r="AI4341">
        <v>92.731232413052396</v>
      </c>
      <c r="AJ4341">
        <v>95.856293418928004</v>
      </c>
      <c r="AK4341">
        <v>23.2963912351365</v>
      </c>
      <c r="AL4341">
        <v>78.948134765667007</v>
      </c>
      <c r="AM4341">
        <v>91.377256672689199</v>
      </c>
      <c r="AN4341">
        <v>0.99999997516643302</v>
      </c>
    </row>
    <row r="4342" spans="1:40" x14ac:dyDescent="0.25">
      <c r="A4342" t="str">
        <f>"20190312172752364"</f>
        <v>20190312172752364</v>
      </c>
      <c r="B4342" t="str">
        <f>"1552382872353456"</f>
        <v>1552382872353456</v>
      </c>
      <c r="C4342" t="s">
        <v>40</v>
      </c>
      <c r="D4342">
        <v>3.3205740000000001</v>
      </c>
      <c r="E4342">
        <v>0.47164699999999998</v>
      </c>
      <c r="F4342" t="s">
        <v>41</v>
      </c>
      <c r="G4342">
        <v>-420.48469999999998</v>
      </c>
      <c r="H4342" s="1">
        <v>-9.9126850000000002E-7</v>
      </c>
      <c r="I4342">
        <v>61.599139999999998</v>
      </c>
      <c r="J4342">
        <v>-422.88720000000001</v>
      </c>
      <c r="K4342">
        <v>1.1100620000000001</v>
      </c>
      <c r="L4342">
        <v>84.739779999999996</v>
      </c>
      <c r="M4342">
        <v>1.872854E-3</v>
      </c>
      <c r="N4342">
        <v>0</v>
      </c>
      <c r="O4342">
        <v>-0.99998189999999998</v>
      </c>
      <c r="P4342">
        <v>2.5850350000000001E-2</v>
      </c>
      <c r="Q4342">
        <v>0.1865697</v>
      </c>
      <c r="R4342">
        <v>-0.98210160000000002</v>
      </c>
      <c r="S4342">
        <v>0.3150635</v>
      </c>
      <c r="T4342">
        <v>-0.1454955</v>
      </c>
      <c r="U4342">
        <v>-3.074249</v>
      </c>
      <c r="V4342">
        <v>-2.4530690000000001E-2</v>
      </c>
      <c r="W4342">
        <v>0.1921252</v>
      </c>
      <c r="X4342">
        <v>0.98106380000000004</v>
      </c>
      <c r="Y4342">
        <v>-9.9974569999999999E-2</v>
      </c>
      <c r="Z4342">
        <v>4.7032820000000003E-2</v>
      </c>
      <c r="AA4342">
        <v>0.99387780000000003</v>
      </c>
      <c r="AB4342">
        <v>32</v>
      </c>
      <c r="AC4342">
        <v>2.4025000000000301</v>
      </c>
      <c r="AD4342">
        <v>-1.1100629912684901</v>
      </c>
      <c r="AE4342">
        <v>-23.140640000000001</v>
      </c>
      <c r="AF4342">
        <v>-2.35379736293965</v>
      </c>
      <c r="AG4342">
        <v>-1.1100629912684901</v>
      </c>
      <c r="AH4342">
        <v>23.092526380915999</v>
      </c>
      <c r="AI4342">
        <v>92.737938224561603</v>
      </c>
      <c r="AJ4342">
        <v>95.819999511932494</v>
      </c>
      <c r="AK4342">
        <v>23.238704278071701</v>
      </c>
      <c r="AL4342">
        <v>78.923165662269696</v>
      </c>
      <c r="AM4342">
        <v>91.432335189663405</v>
      </c>
      <c r="AN4342">
        <v>1.00000001344867</v>
      </c>
    </row>
    <row r="4343" spans="1:40" x14ac:dyDescent="0.25">
      <c r="A4343" t="str">
        <f>"20190312172752386"</f>
        <v>20190312172752386</v>
      </c>
      <c r="B4343" t="str">
        <f>"1552382872383712"</f>
        <v>1552382872383712</v>
      </c>
      <c r="C4343" t="s">
        <v>40</v>
      </c>
      <c r="D4343">
        <v>3.31576</v>
      </c>
      <c r="E4343">
        <v>0.47575109999999898</v>
      </c>
      <c r="F4343" t="s">
        <v>41</v>
      </c>
      <c r="G4343">
        <v>-420.4248</v>
      </c>
      <c r="H4343" s="1">
        <v>-7.262755E-7</v>
      </c>
      <c r="I4343">
        <v>61.018610000000002</v>
      </c>
      <c r="J4343">
        <v>-422.88549999999998</v>
      </c>
      <c r="K4343">
        <v>1.1100159999999999</v>
      </c>
      <c r="L4343">
        <v>84.418729999999996</v>
      </c>
      <c r="M4343">
        <v>3.0409669999999999E-3</v>
      </c>
      <c r="N4343">
        <v>0</v>
      </c>
      <c r="O4343">
        <v>-0.99997899999999995</v>
      </c>
      <c r="P4343">
        <v>2.7326650000000001E-2</v>
      </c>
      <c r="Q4343">
        <v>0.18726709999999999</v>
      </c>
      <c r="R4343">
        <v>-0.98192900000000005</v>
      </c>
      <c r="S4343">
        <v>0.31906129999999999</v>
      </c>
      <c r="T4343">
        <v>-0.1438335</v>
      </c>
      <c r="U4343">
        <v>-3.0736080000000001</v>
      </c>
      <c r="V4343">
        <v>-2.483811E-2</v>
      </c>
      <c r="W4343">
        <v>0.19286500000000001</v>
      </c>
      <c r="X4343">
        <v>0.98091090000000003</v>
      </c>
      <c r="Y4343">
        <v>-0.100115</v>
      </c>
      <c r="Z4343">
        <v>4.6502740000000001E-2</v>
      </c>
      <c r="AA4343">
        <v>0.99388860000000001</v>
      </c>
      <c r="AB4343">
        <v>32</v>
      </c>
      <c r="AC4343">
        <v>2.4606999999999699</v>
      </c>
      <c r="AD4343">
        <v>-1.1100167262755001</v>
      </c>
      <c r="AE4343">
        <v>-23.400120000000001</v>
      </c>
      <c r="AF4343">
        <v>-2.3842221434611202</v>
      </c>
      <c r="AG4343">
        <v>-1.1100167262755001</v>
      </c>
      <c r="AH4343">
        <v>23.355514838930201</v>
      </c>
      <c r="AI4343">
        <v>92.706999595437196</v>
      </c>
      <c r="AJ4343">
        <v>95.828785341605894</v>
      </c>
      <c r="AK4343">
        <v>23.503121617212301</v>
      </c>
      <c r="AL4343">
        <v>78.879970441652702</v>
      </c>
      <c r="AM4343">
        <v>91.4505036430769</v>
      </c>
      <c r="AN4343">
        <v>1.0000000168360901</v>
      </c>
    </row>
    <row r="4344" spans="1:40" x14ac:dyDescent="0.25">
      <c r="A4344" t="str">
        <f>"20190312172752410"</f>
        <v>20190312172752410</v>
      </c>
      <c r="B4344" t="str">
        <f>"1552382872404208"</f>
        <v>1552382872404208</v>
      </c>
      <c r="C4344" t="s">
        <v>40</v>
      </c>
      <c r="D4344">
        <v>3.122995</v>
      </c>
      <c r="E4344">
        <v>0.47522969999999998</v>
      </c>
      <c r="F4344" t="s">
        <v>41</v>
      </c>
      <c r="G4344">
        <v>-420.82459999999998</v>
      </c>
      <c r="H4344" s="1">
        <v>-1.5077420000000001E-6</v>
      </c>
      <c r="I4344">
        <v>62.592230000000001</v>
      </c>
      <c r="J4344">
        <v>-422.88339999999999</v>
      </c>
      <c r="K4344">
        <v>1.1099570000000001</v>
      </c>
      <c r="L4344">
        <v>84.088619999999906</v>
      </c>
      <c r="M4344">
        <v>4.1335319999999997E-3</v>
      </c>
      <c r="N4344">
        <v>0</v>
      </c>
      <c r="O4344">
        <v>-0.99997469999999999</v>
      </c>
      <c r="P4344">
        <v>2.8598470000000001E-2</v>
      </c>
      <c r="Q4344">
        <v>0.18726490000000001</v>
      </c>
      <c r="R4344">
        <v>-0.98189349999999997</v>
      </c>
      <c r="S4344">
        <v>0.29052729999999999</v>
      </c>
      <c r="T4344">
        <v>-0.15648500000000001</v>
      </c>
      <c r="U4344">
        <v>-3.0769959999999998</v>
      </c>
      <c r="V4344">
        <v>-2.5003460000000002E-2</v>
      </c>
      <c r="W4344">
        <v>0.1929099</v>
      </c>
      <c r="X4344">
        <v>0.98089780000000004</v>
      </c>
      <c r="Y4344">
        <v>-8.9764679999999999E-2</v>
      </c>
      <c r="Z4344">
        <v>5.0575420000000003E-2</v>
      </c>
      <c r="AA4344">
        <v>0.99467810000000001</v>
      </c>
      <c r="AB4344">
        <v>33</v>
      </c>
      <c r="AC4344">
        <v>2.0588000000000202</v>
      </c>
      <c r="AD4344">
        <v>-1.10995850774199</v>
      </c>
      <c r="AE4344">
        <v>-21.496389999999899</v>
      </c>
      <c r="AF4344">
        <v>-1.9647342679151001</v>
      </c>
      <c r="AG4344">
        <v>-1.10995850774199</v>
      </c>
      <c r="AH4344">
        <v>21.4480529234107</v>
      </c>
      <c r="AI4344">
        <v>92.950141940352694</v>
      </c>
      <c r="AJ4344">
        <v>95.233933518230799</v>
      </c>
      <c r="AK4344">
        <v>21.566436025404201</v>
      </c>
      <c r="AL4344">
        <v>78.877347853657696</v>
      </c>
      <c r="AM4344">
        <v>91.460175129194994</v>
      </c>
      <c r="AN4344">
        <v>0.99999994828740901</v>
      </c>
    </row>
    <row r="4345" spans="1:40" x14ac:dyDescent="0.25">
      <c r="A4345" t="str">
        <f>"20190312172752543"</f>
        <v>20190312172752543</v>
      </c>
      <c r="B4345" t="str">
        <f>"1552382872534016"</f>
        <v>1552382872534016</v>
      </c>
      <c r="C4345" t="s">
        <v>40</v>
      </c>
      <c r="D4345">
        <v>3.3895339999999998</v>
      </c>
      <c r="E4345">
        <v>0.48358099999999998</v>
      </c>
      <c r="F4345" t="s">
        <v>41</v>
      </c>
      <c r="G4345">
        <v>-420.7079</v>
      </c>
      <c r="H4345" s="1">
        <v>-1.0623950000000001E-6</v>
      </c>
      <c r="I4345">
        <v>61.626510000000003</v>
      </c>
      <c r="J4345">
        <v>-422.86700000000002</v>
      </c>
      <c r="K4345">
        <v>1.1094580000000001</v>
      </c>
      <c r="L4345">
        <v>82.097530000000006</v>
      </c>
      <c r="M4345">
        <v>8.3107979999999994E-3</v>
      </c>
      <c r="N4345">
        <v>0</v>
      </c>
      <c r="O4345">
        <v>-0.99994720000000004</v>
      </c>
      <c r="P4345">
        <v>3.3559840000000001E-2</v>
      </c>
      <c r="Q4345">
        <v>0.18751880000000001</v>
      </c>
      <c r="R4345">
        <v>-0.9816878</v>
      </c>
      <c r="S4345">
        <v>0.29788209999999998</v>
      </c>
      <c r="T4345">
        <v>-0.1519809</v>
      </c>
      <c r="U4345">
        <v>-3.0756230000000002</v>
      </c>
      <c r="V4345">
        <v>-2.5625720000000001E-2</v>
      </c>
      <c r="W4345">
        <v>0.19341990000000001</v>
      </c>
      <c r="X4345">
        <v>0.98078140000000003</v>
      </c>
      <c r="Y4345">
        <v>-8.8009519999999994E-2</v>
      </c>
      <c r="Z4345">
        <v>4.914147E-2</v>
      </c>
      <c r="AA4345">
        <v>0.99490670000000003</v>
      </c>
      <c r="AB4345">
        <v>33</v>
      </c>
      <c r="AC4345">
        <v>2.1590999999999601</v>
      </c>
      <c r="AD4345">
        <v>-1.109459062395</v>
      </c>
      <c r="AE4345">
        <v>-20.471019999999999</v>
      </c>
      <c r="AF4345">
        <v>-1.98313091054883</v>
      </c>
      <c r="AG4345">
        <v>-1.109459062395</v>
      </c>
      <c r="AH4345">
        <v>20.428912142747802</v>
      </c>
      <c r="AI4345">
        <v>93.094065623433593</v>
      </c>
      <c r="AJ4345">
        <v>95.544598750599903</v>
      </c>
      <c r="AK4345">
        <v>20.554905958325701</v>
      </c>
      <c r="AL4345">
        <v>78.847567195264503</v>
      </c>
      <c r="AM4345">
        <v>91.496675643606494</v>
      </c>
      <c r="AN4345">
        <v>1.0000000449137401</v>
      </c>
    </row>
    <row r="4346" spans="1:40" x14ac:dyDescent="0.25">
      <c r="A4346" t="str">
        <f>"20190312172752565"</f>
        <v>20190312172752565</v>
      </c>
      <c r="B4346" t="str">
        <f>"1552382872553536"</f>
        <v>1552382872553536</v>
      </c>
      <c r="C4346" t="s">
        <v>40</v>
      </c>
      <c r="D4346">
        <v>3.3927939999999999</v>
      </c>
      <c r="E4346">
        <v>0.4900042</v>
      </c>
      <c r="F4346" t="s">
        <v>44</v>
      </c>
      <c r="G4346">
        <v>-422.80459999999999</v>
      </c>
      <c r="H4346">
        <v>0.99375860000000005</v>
      </c>
      <c r="I4346">
        <v>81.324110000000005</v>
      </c>
      <c r="J4346">
        <v>-422.86399999999998</v>
      </c>
      <c r="K4346">
        <v>1.109369</v>
      </c>
      <c r="L4346">
        <v>81.775599999999997</v>
      </c>
      <c r="M4346">
        <v>8.6255640000000005E-3</v>
      </c>
      <c r="N4346">
        <v>0</v>
      </c>
      <c r="O4346">
        <v>-0.99994439999999996</v>
      </c>
      <c r="P4346">
        <v>3.3471580000000001E-2</v>
      </c>
      <c r="Q4346">
        <v>0.18781059999999999</v>
      </c>
      <c r="R4346">
        <v>-0.98163489999999998</v>
      </c>
      <c r="S4346">
        <v>0.254303</v>
      </c>
      <c r="T4346">
        <v>-0.46931210000000001</v>
      </c>
      <c r="U4346">
        <v>-3.1369319999999998</v>
      </c>
      <c r="V4346">
        <v>-2.5191000000000002E-2</v>
      </c>
      <c r="W4346">
        <v>0.19374640000000001</v>
      </c>
      <c r="X4346">
        <v>0.98072809999999999</v>
      </c>
      <c r="Y4346">
        <v>-7.1317740000000004E-2</v>
      </c>
      <c r="Z4346">
        <v>0.14752889999999999</v>
      </c>
      <c r="AA4346">
        <v>0.9864832</v>
      </c>
      <c r="AB4346">
        <v>33</v>
      </c>
      <c r="AC4346">
        <v>5.9400000000039199E-2</v>
      </c>
      <c r="AD4346">
        <v>-0.1156104</v>
      </c>
      <c r="AE4346">
        <v>-0.45148999999999201</v>
      </c>
      <c r="AF4346">
        <v>-5.2142604274251797E-2</v>
      </c>
      <c r="AG4346">
        <v>-0.1156104</v>
      </c>
      <c r="AH4346">
        <v>0.42461760276529797</v>
      </c>
      <c r="AI4346">
        <v>105.12236542671801</v>
      </c>
      <c r="AJ4346">
        <v>97.000813318834901</v>
      </c>
      <c r="AK4346">
        <v>0.44315316127362703</v>
      </c>
      <c r="AL4346">
        <v>78.828498136274305</v>
      </c>
      <c r="AM4346">
        <v>91.471376911572506</v>
      </c>
      <c r="AN4346">
        <v>0.99999993006178201</v>
      </c>
    </row>
    <row r="4347" spans="1:40" x14ac:dyDescent="0.25">
      <c r="A4347" t="str">
        <f>"20190312172752587"</f>
        <v>20190312172752587</v>
      </c>
      <c r="B4347" t="str">
        <f>"1552382872583792"</f>
        <v>1552382872583792</v>
      </c>
      <c r="C4347" t="s">
        <v>40</v>
      </c>
      <c r="D4347">
        <v>3.439797</v>
      </c>
      <c r="E4347">
        <v>0.49153370000000002</v>
      </c>
      <c r="F4347" t="s">
        <v>51</v>
      </c>
      <c r="G4347">
        <v>-417.7176</v>
      </c>
      <c r="H4347">
        <v>0.19644519999999999</v>
      </c>
      <c r="I4347">
        <v>0.50059889999999996</v>
      </c>
      <c r="J4347">
        <v>-422.86070000000001</v>
      </c>
      <c r="K4347">
        <v>1.1092930000000001</v>
      </c>
      <c r="L4347">
        <v>81.432369999999906</v>
      </c>
      <c r="M4347">
        <v>8.8839309999999994E-3</v>
      </c>
      <c r="N4347">
        <v>0</v>
      </c>
      <c r="O4347">
        <v>-0.99994190000000005</v>
      </c>
      <c r="P4347">
        <v>3.317026E-2</v>
      </c>
      <c r="Q4347">
        <v>0.1880134</v>
      </c>
      <c r="R4347">
        <v>-0.98160610000000004</v>
      </c>
      <c r="S4347">
        <v>0.19351199999999999</v>
      </c>
      <c r="T4347">
        <v>-3.4328820000000003E-2</v>
      </c>
      <c r="U4347">
        <v>-3.0560909999999999</v>
      </c>
      <c r="V4347">
        <v>-2.460058E-2</v>
      </c>
      <c r="W4347">
        <v>0.19398360000000001</v>
      </c>
      <c r="X4347">
        <v>0.98069629999999997</v>
      </c>
      <c r="Y4347">
        <v>-5.4320729999999998E-2</v>
      </c>
      <c r="Z4347">
        <v>1.121203E-2</v>
      </c>
      <c r="AA4347">
        <v>0.99846060000000003</v>
      </c>
      <c r="AB4347">
        <v>33</v>
      </c>
      <c r="AC4347">
        <v>5.1430999999999996</v>
      </c>
      <c r="AD4347">
        <v>-0.91284779999999999</v>
      </c>
      <c r="AE4347">
        <v>-80.931771099999906</v>
      </c>
      <c r="AF4347">
        <v>-4.4233308840658099</v>
      </c>
      <c r="AG4347">
        <v>-0.91284779999999999</v>
      </c>
      <c r="AH4347">
        <v>80.964010087041103</v>
      </c>
      <c r="AI4347">
        <v>90.645005582600206</v>
      </c>
      <c r="AJ4347">
        <v>93.127148562920993</v>
      </c>
      <c r="AK4347">
        <v>81.089888867789099</v>
      </c>
      <c r="AL4347">
        <v>78.814645876383906</v>
      </c>
      <c r="AM4347">
        <v>91.436952373163706</v>
      </c>
      <c r="AN4347">
        <v>1.0000000292194899</v>
      </c>
    </row>
    <row r="4348" spans="1:40" x14ac:dyDescent="0.25">
      <c r="A4348" t="str">
        <f>"20190312172752610"</f>
        <v>20190312172752610</v>
      </c>
      <c r="B4348" t="str">
        <f>"1552382872603312"</f>
        <v>1552382872603312</v>
      </c>
      <c r="C4348" t="s">
        <v>40</v>
      </c>
      <c r="D4348">
        <v>3.4089299999999998</v>
      </c>
      <c r="E4348">
        <v>0.49166589999999999</v>
      </c>
      <c r="F4348" t="s">
        <v>41</v>
      </c>
      <c r="G4348">
        <v>-420.62790000000001</v>
      </c>
      <c r="H4348" s="1">
        <v>-2.0394919999999999E-6</v>
      </c>
      <c r="I4348">
        <v>43.953749999999999</v>
      </c>
      <c r="J4348">
        <v>-422.85750000000002</v>
      </c>
      <c r="K4348">
        <v>1.1092310000000001</v>
      </c>
      <c r="L4348">
        <v>81.095209999999994</v>
      </c>
      <c r="M4348">
        <v>9.0754430000000007E-3</v>
      </c>
      <c r="N4348">
        <v>0</v>
      </c>
      <c r="O4348">
        <v>-0.9999401</v>
      </c>
      <c r="P4348">
        <v>3.2864740000000003E-2</v>
      </c>
      <c r="Q4348">
        <v>0.18801129999999999</v>
      </c>
      <c r="R4348">
        <v>-0.98161690000000001</v>
      </c>
      <c r="S4348">
        <v>0.18273929999999999</v>
      </c>
      <c r="T4348">
        <v>-9.0789560000000005E-2</v>
      </c>
      <c r="U4348">
        <v>-3.0674130000000002</v>
      </c>
      <c r="V4348">
        <v>-2.40795E-2</v>
      </c>
      <c r="W4348">
        <v>0.19401260000000001</v>
      </c>
      <c r="X4348">
        <v>0.98070349999999995</v>
      </c>
      <c r="Y4348">
        <v>-5.0381000000000002E-2</v>
      </c>
      <c r="Z4348">
        <v>2.953836E-2</v>
      </c>
      <c r="AA4348">
        <v>0.99829319999999999</v>
      </c>
      <c r="AB4348">
        <v>34</v>
      </c>
      <c r="AC4348">
        <v>2.2296</v>
      </c>
      <c r="AD4348">
        <v>-1.10923303949199</v>
      </c>
      <c r="AE4348">
        <v>-37.141460000000002</v>
      </c>
      <c r="AF4348">
        <v>-1.89074631752963</v>
      </c>
      <c r="AG4348">
        <v>-1.10923303949199</v>
      </c>
      <c r="AH4348">
        <v>37.127169648939201</v>
      </c>
      <c r="AI4348">
        <v>91.709079694221202</v>
      </c>
      <c r="AJ4348">
        <v>92.915338780667099</v>
      </c>
      <c r="AK4348">
        <v>37.191827673754702</v>
      </c>
      <c r="AL4348">
        <v>78.812952164618693</v>
      </c>
      <c r="AM4348">
        <v>91.406517438850699</v>
      </c>
      <c r="AN4348">
        <v>1.00000003309562</v>
      </c>
    </row>
    <row r="4349" spans="1:40" x14ac:dyDescent="0.25">
      <c r="A4349" t="str">
        <f>"20190312172752633"</f>
        <v>20190312172752633</v>
      </c>
      <c r="B4349" t="str">
        <f>"1552382872623809"</f>
        <v>1552382872623809</v>
      </c>
      <c r="C4349" t="s">
        <v>40</v>
      </c>
      <c r="D4349">
        <v>3.438739</v>
      </c>
      <c r="E4349">
        <v>0.49180669999999999</v>
      </c>
      <c r="F4349" t="s">
        <v>41</v>
      </c>
      <c r="G4349">
        <v>-420.81400000000002</v>
      </c>
      <c r="H4349" s="1">
        <v>-3.2305499999999999E-6</v>
      </c>
      <c r="I4349">
        <v>46.614730000000002</v>
      </c>
      <c r="J4349">
        <v>-422.85419999999999</v>
      </c>
      <c r="K4349">
        <v>1.1091899999999999</v>
      </c>
      <c r="L4349">
        <v>80.755340000000004</v>
      </c>
      <c r="M4349">
        <v>9.2304780000000003E-3</v>
      </c>
      <c r="N4349">
        <v>0</v>
      </c>
      <c r="O4349">
        <v>-0.99993860000000001</v>
      </c>
      <c r="P4349">
        <v>3.2681630000000003E-2</v>
      </c>
      <c r="Q4349">
        <v>0.18853200000000001</v>
      </c>
      <c r="R4349">
        <v>-0.98152320000000004</v>
      </c>
      <c r="S4349">
        <v>0.18188480000000001</v>
      </c>
      <c r="T4349">
        <v>-9.8729490000000003E-2</v>
      </c>
      <c r="U4349">
        <v>-3.069</v>
      </c>
      <c r="V4349">
        <v>-2.3725199999999998E-2</v>
      </c>
      <c r="W4349">
        <v>0.19456080000000001</v>
      </c>
      <c r="X4349">
        <v>0.98060349999999996</v>
      </c>
      <c r="Y4349">
        <v>-4.9913859999999997E-2</v>
      </c>
      <c r="Z4349">
        <v>3.2103060000000003E-2</v>
      </c>
      <c r="AA4349">
        <v>0.99823740000000005</v>
      </c>
      <c r="AB4349">
        <v>34</v>
      </c>
      <c r="AC4349">
        <v>2.0401999999999698</v>
      </c>
      <c r="AD4349">
        <v>-1.1091932305500001</v>
      </c>
      <c r="AE4349">
        <v>-34.140609999999903</v>
      </c>
      <c r="AF4349">
        <v>-1.7231606263502699</v>
      </c>
      <c r="AG4349">
        <v>-1.1091932305500001</v>
      </c>
      <c r="AH4349">
        <v>34.122099027171899</v>
      </c>
      <c r="AI4349">
        <v>91.859467196710497</v>
      </c>
      <c r="AJ4349">
        <v>92.890971958147404</v>
      </c>
      <c r="AK4349">
        <v>34.183581354021797</v>
      </c>
      <c r="AL4349">
        <v>78.780932181699001</v>
      </c>
      <c r="AM4349">
        <v>91.385971677740599</v>
      </c>
      <c r="AN4349">
        <v>1.0000000071119599</v>
      </c>
    </row>
    <row r="4350" spans="1:40" x14ac:dyDescent="0.25">
      <c r="A4350" t="str">
        <f>"20190312172752656"</f>
        <v>20190312172752656</v>
      </c>
      <c r="B4350" t="str">
        <f>"1552382872644304"</f>
        <v>1552382872644304</v>
      </c>
      <c r="C4350" t="s">
        <v>40</v>
      </c>
      <c r="D4350">
        <v>3.3789560000000001</v>
      </c>
      <c r="E4350">
        <v>0.49181940000000002</v>
      </c>
      <c r="F4350" t="s">
        <v>41</v>
      </c>
      <c r="G4350">
        <v>-420.87150000000003</v>
      </c>
      <c r="H4350" s="1">
        <v>-3.4552660000000001E-6</v>
      </c>
      <c r="I4350">
        <v>47.102919999999997</v>
      </c>
      <c r="J4350">
        <v>-422.85079999999999</v>
      </c>
      <c r="K4350">
        <v>1.1091599999999999</v>
      </c>
      <c r="L4350">
        <v>80.402979999999999</v>
      </c>
      <c r="M4350">
        <v>9.3671740000000007E-3</v>
      </c>
      <c r="N4350">
        <v>0</v>
      </c>
      <c r="O4350">
        <v>-0.99993719999999997</v>
      </c>
      <c r="P4350">
        <v>3.2932530000000002E-2</v>
      </c>
      <c r="Q4350">
        <v>0.18875120000000001</v>
      </c>
      <c r="R4350">
        <v>-0.98147289999999998</v>
      </c>
      <c r="S4350">
        <v>0.1808777</v>
      </c>
      <c r="T4350">
        <v>-0.1011842</v>
      </c>
      <c r="U4350">
        <v>-3.0698850000000002</v>
      </c>
      <c r="V4350">
        <v>-2.3827830000000001E-2</v>
      </c>
      <c r="W4350">
        <v>0.19480639999999999</v>
      </c>
      <c r="X4350">
        <v>0.98055230000000004</v>
      </c>
      <c r="Y4350">
        <v>-4.9432480000000001E-2</v>
      </c>
      <c r="Z4350">
        <v>3.28916E-2</v>
      </c>
      <c r="AA4350">
        <v>0.99823569999999995</v>
      </c>
      <c r="AB4350">
        <v>34</v>
      </c>
      <c r="AC4350">
        <v>1.9792999999999601</v>
      </c>
      <c r="AD4350">
        <v>-1.1091634552659999</v>
      </c>
      <c r="AE4350">
        <v>-33.300059999999903</v>
      </c>
      <c r="AF4350">
        <v>-1.6654386112938999</v>
      </c>
      <c r="AG4350">
        <v>-1.1091634552659999</v>
      </c>
      <c r="AH4350">
        <v>33.280347440823199</v>
      </c>
      <c r="AI4350">
        <v>91.906456490596199</v>
      </c>
      <c r="AJ4350">
        <v>92.864845938850493</v>
      </c>
      <c r="AK4350">
        <v>33.340447734252002</v>
      </c>
      <c r="AL4350">
        <v>78.766586393027296</v>
      </c>
      <c r="AM4350">
        <v>91.392037386351205</v>
      </c>
      <c r="AN4350">
        <v>1.00000005599937</v>
      </c>
    </row>
    <row r="4351" spans="1:40" x14ac:dyDescent="0.25">
      <c r="A4351" t="str">
        <f>"20190312172752678"</f>
        <v>20190312172752678</v>
      </c>
      <c r="B4351" t="str">
        <f>"1552382872673584"</f>
        <v>1552382872673584</v>
      </c>
      <c r="C4351" t="s">
        <v>40</v>
      </c>
      <c r="D4351">
        <v>3.4176890000000002</v>
      </c>
      <c r="E4351">
        <v>0.49182049999999999</v>
      </c>
      <c r="F4351" t="s">
        <v>41</v>
      </c>
      <c r="G4351">
        <v>-420.92329999999998</v>
      </c>
      <c r="H4351" s="1">
        <v>-3.726577E-6</v>
      </c>
      <c r="I4351">
        <v>47.703209999999999</v>
      </c>
      <c r="J4351">
        <v>-422.8476</v>
      </c>
      <c r="K4351">
        <v>1.109137</v>
      </c>
      <c r="L4351">
        <v>80.070800000000006</v>
      </c>
      <c r="M4351">
        <v>9.4847669999999999E-3</v>
      </c>
      <c r="N4351">
        <v>0</v>
      </c>
      <c r="O4351">
        <v>-0.99993589999999999</v>
      </c>
      <c r="P4351">
        <v>3.3373489999999999E-2</v>
      </c>
      <c r="Q4351">
        <v>0.18950890000000001</v>
      </c>
      <c r="R4351">
        <v>-0.98131190000000001</v>
      </c>
      <c r="S4351">
        <v>0.18099979999999999</v>
      </c>
      <c r="T4351">
        <v>-0.1041532</v>
      </c>
      <c r="U4351">
        <v>-3.0705870000000002</v>
      </c>
      <c r="V4351">
        <v>-2.4145219999999998E-2</v>
      </c>
      <c r="W4351">
        <v>0.19558639999999999</v>
      </c>
      <c r="X4351">
        <v>0.98038919999999996</v>
      </c>
      <c r="Y4351">
        <v>-4.9339279999999999E-2</v>
      </c>
      <c r="Z4351">
        <v>3.384786E-2</v>
      </c>
      <c r="AA4351">
        <v>0.9982084</v>
      </c>
      <c r="AB4351">
        <v>34</v>
      </c>
      <c r="AC4351">
        <v>1.9243000000000099</v>
      </c>
      <c r="AD4351">
        <v>-1.1091407265769999</v>
      </c>
      <c r="AE4351">
        <v>-32.36759</v>
      </c>
      <c r="AF4351">
        <v>-1.6153184478492499</v>
      </c>
      <c r="AG4351">
        <v>-1.1091407265769999</v>
      </c>
      <c r="AH4351">
        <v>32.346537442210703</v>
      </c>
      <c r="AI4351">
        <v>91.961421545262198</v>
      </c>
      <c r="AJ4351">
        <v>92.858856542701304</v>
      </c>
      <c r="AK4351">
        <v>32.405831748925301</v>
      </c>
      <c r="AL4351">
        <v>78.721018608737296</v>
      </c>
      <c r="AM4351">
        <v>91.410806646688101</v>
      </c>
      <c r="AN4351">
        <v>1.00000000749522</v>
      </c>
    </row>
    <row r="4352" spans="1:40" x14ac:dyDescent="0.25">
      <c r="A4352" t="str">
        <f>"20190312172752699"</f>
        <v>20190312172752699</v>
      </c>
      <c r="B4352" t="str">
        <f>"1552382872694083"</f>
        <v>1552382872694083</v>
      </c>
      <c r="C4352" t="s">
        <v>40</v>
      </c>
      <c r="D4352">
        <v>3.4306390000000002</v>
      </c>
      <c r="E4352">
        <v>0.49176389999999998</v>
      </c>
      <c r="F4352" t="s">
        <v>41</v>
      </c>
      <c r="G4352">
        <v>-420.97449999999998</v>
      </c>
      <c r="H4352" s="1">
        <v>-4.07787E-6</v>
      </c>
      <c r="I4352">
        <v>48.490310000000001</v>
      </c>
      <c r="J4352">
        <v>-422.84429999999998</v>
      </c>
      <c r="K4352">
        <v>1.109132</v>
      </c>
      <c r="L4352">
        <v>79.740390000000005</v>
      </c>
      <c r="M4352">
        <v>9.5983330000000006E-3</v>
      </c>
      <c r="N4352">
        <v>0</v>
      </c>
      <c r="O4352">
        <v>-0.99993469999999995</v>
      </c>
      <c r="P4352">
        <v>3.4117399999999999E-2</v>
      </c>
      <c r="Q4352">
        <v>0.19054409999999999</v>
      </c>
      <c r="R4352">
        <v>-0.98108569999999995</v>
      </c>
      <c r="S4352">
        <v>0.18218989999999999</v>
      </c>
      <c r="T4352">
        <v>-0.1078842</v>
      </c>
      <c r="U4352">
        <v>-3.071777</v>
      </c>
      <c r="V4352">
        <v>-2.4773320000000001E-2</v>
      </c>
      <c r="W4352">
        <v>0.1966427</v>
      </c>
      <c r="X4352">
        <v>0.98016219999999998</v>
      </c>
      <c r="Y4352">
        <v>-4.9586100000000001E-2</v>
      </c>
      <c r="Z4352">
        <v>3.5044690000000003E-2</v>
      </c>
      <c r="AA4352">
        <v>0.99815480000000001</v>
      </c>
      <c r="AB4352">
        <v>34</v>
      </c>
      <c r="AC4352">
        <v>1.8697999999999899</v>
      </c>
      <c r="AD4352">
        <v>-1.1091360778699999</v>
      </c>
      <c r="AE4352">
        <v>-31.250080000000001</v>
      </c>
      <c r="AF4352">
        <v>-1.5677915177619901</v>
      </c>
      <c r="AG4352">
        <v>-1.1091360778699999</v>
      </c>
      <c r="AH4352">
        <v>31.227390873826199</v>
      </c>
      <c r="AI4352">
        <v>92.031622640232101</v>
      </c>
      <c r="AJ4352">
        <v>92.874158710610303</v>
      </c>
      <c r="AK4352">
        <v>31.286388316153101</v>
      </c>
      <c r="AL4352">
        <v>78.659298486387002</v>
      </c>
      <c r="AM4352">
        <v>91.447826239394999</v>
      </c>
      <c r="AN4352">
        <v>1.0000000035779699</v>
      </c>
    </row>
    <row r="4353" spans="1:40" x14ac:dyDescent="0.25">
      <c r="A4353" t="str">
        <f>"20190312172752722"</f>
        <v>20190312172752722</v>
      </c>
      <c r="B4353" t="str">
        <f>"1552382872713600"</f>
        <v>1552382872713600</v>
      </c>
      <c r="C4353" t="s">
        <v>40</v>
      </c>
      <c r="D4353">
        <v>3.4078889999999999</v>
      </c>
      <c r="E4353">
        <v>0.49178929999999998</v>
      </c>
      <c r="F4353" t="s">
        <v>41</v>
      </c>
      <c r="G4353">
        <v>-420.91849999999999</v>
      </c>
      <c r="H4353" s="1">
        <v>-3.7636919999999998E-6</v>
      </c>
      <c r="I4353">
        <v>47.792650000000002</v>
      </c>
      <c r="J4353">
        <v>-422.8408</v>
      </c>
      <c r="K4353">
        <v>1.1091230000000001</v>
      </c>
      <c r="L4353">
        <v>79.389919999999904</v>
      </c>
      <c r="M4353">
        <v>9.7194699999999992E-3</v>
      </c>
      <c r="N4353">
        <v>0</v>
      </c>
      <c r="O4353">
        <v>-0.99993350000000003</v>
      </c>
      <c r="P4353">
        <v>3.4942470000000003E-2</v>
      </c>
      <c r="Q4353">
        <v>0.1914759</v>
      </c>
      <c r="R4353">
        <v>-0.98087570000000002</v>
      </c>
      <c r="S4353">
        <v>0.1851807</v>
      </c>
      <c r="T4353">
        <v>-0.1066551</v>
      </c>
      <c r="U4353">
        <v>-3.0721129999999999</v>
      </c>
      <c r="V4353">
        <v>-2.5475480000000002E-2</v>
      </c>
      <c r="W4353">
        <v>0.19759579999999999</v>
      </c>
      <c r="X4353">
        <v>0.9799525</v>
      </c>
      <c r="Y4353">
        <v>-5.0427729999999997E-2</v>
      </c>
      <c r="Z4353">
        <v>3.464035E-2</v>
      </c>
      <c r="AA4353">
        <v>0.99812679999999998</v>
      </c>
      <c r="AB4353">
        <v>34</v>
      </c>
      <c r="AC4353">
        <v>1.9222999999999999</v>
      </c>
      <c r="AD4353">
        <v>-1.1091267636919999</v>
      </c>
      <c r="AE4353">
        <v>-31.597269999999899</v>
      </c>
      <c r="AF4353">
        <v>-1.6131142943926</v>
      </c>
      <c r="AG4353">
        <v>-1.1091267636919999</v>
      </c>
      <c r="AH4353">
        <v>31.575699037668802</v>
      </c>
      <c r="AI4353">
        <v>92.009124237632406</v>
      </c>
      <c r="AJ4353">
        <v>92.924538901437899</v>
      </c>
      <c r="AK4353">
        <v>31.6363251598878</v>
      </c>
      <c r="AL4353">
        <v>78.603596959706394</v>
      </c>
      <c r="AM4353">
        <v>91.489162789183396</v>
      </c>
      <c r="AN4353">
        <v>1.0000000012575601</v>
      </c>
    </row>
    <row r="4354" spans="1:40" x14ac:dyDescent="0.25">
      <c r="A4354" t="str">
        <f>"20190312172752744"</f>
        <v>20190312172752744</v>
      </c>
      <c r="B4354" t="str">
        <f>"1552382872734096"</f>
        <v>1552382872734096</v>
      </c>
      <c r="C4354" t="s">
        <v>40</v>
      </c>
      <c r="D4354">
        <v>3.4030230000000001</v>
      </c>
      <c r="E4354">
        <v>0.49181799999999998</v>
      </c>
      <c r="F4354" t="s">
        <v>41</v>
      </c>
      <c r="G4354">
        <v>-420.86759999999998</v>
      </c>
      <c r="H4354" s="1">
        <v>-3.4369449999999998E-6</v>
      </c>
      <c r="I4354">
        <v>47.062570000000001</v>
      </c>
      <c r="J4354">
        <v>-422.8374</v>
      </c>
      <c r="K4354">
        <v>1.1091089999999999</v>
      </c>
      <c r="L4354">
        <v>79.049130000000005</v>
      </c>
      <c r="M4354">
        <v>9.8397310000000009E-3</v>
      </c>
      <c r="N4354">
        <v>0</v>
      </c>
      <c r="O4354">
        <v>-0.99993209999999999</v>
      </c>
      <c r="P4354">
        <v>3.57653E-2</v>
      </c>
      <c r="Q4354">
        <v>0.19207440000000001</v>
      </c>
      <c r="R4354">
        <v>-0.9807285</v>
      </c>
      <c r="S4354">
        <v>0.18753049999999999</v>
      </c>
      <c r="T4354">
        <v>-0.1054113</v>
      </c>
      <c r="U4354">
        <v>-3.0723880000000001</v>
      </c>
      <c r="V4354">
        <v>-2.6176769999999999E-2</v>
      </c>
      <c r="W4354">
        <v>0.19821749999999999</v>
      </c>
      <c r="X4354">
        <v>0.97980840000000002</v>
      </c>
      <c r="Y4354">
        <v>-5.1063709999999998E-2</v>
      </c>
      <c r="Z4354">
        <v>3.4232400000000003E-2</v>
      </c>
      <c r="AA4354">
        <v>0.99810849999999995</v>
      </c>
      <c r="AB4354">
        <v>34</v>
      </c>
      <c r="AC4354">
        <v>1.96980000000002</v>
      </c>
      <c r="AD4354">
        <v>-1.1091124369450001</v>
      </c>
      <c r="AE4354">
        <v>-31.986560000000001</v>
      </c>
      <c r="AF4354">
        <v>-1.65297947238948</v>
      </c>
      <c r="AG4354">
        <v>-1.1091124369450001</v>
      </c>
      <c r="AH4354">
        <v>31.966106173891401</v>
      </c>
      <c r="AI4354">
        <v>91.984517264680406</v>
      </c>
      <c r="AJ4354">
        <v>92.960149920866598</v>
      </c>
      <c r="AK4354">
        <v>32.028025469179703</v>
      </c>
      <c r="AL4354">
        <v>78.5672568219602</v>
      </c>
      <c r="AM4354">
        <v>91.530362222040196</v>
      </c>
      <c r="AN4354">
        <v>0.99999995065222003</v>
      </c>
    </row>
    <row r="4355" spans="1:40" x14ac:dyDescent="0.25">
      <c r="A4355" t="str">
        <f>"20190312172752766"</f>
        <v>20190312172752766</v>
      </c>
      <c r="B4355" t="str">
        <f>"1552382872763376"</f>
        <v>1552382872763376</v>
      </c>
      <c r="C4355" t="s">
        <v>40</v>
      </c>
      <c r="D4355">
        <v>3.4157449999999998</v>
      </c>
      <c r="E4355">
        <v>0.49189690000000003</v>
      </c>
      <c r="F4355" t="s">
        <v>41</v>
      </c>
      <c r="G4355">
        <v>-420.83069999999998</v>
      </c>
      <c r="H4355" s="1">
        <v>-3.1965549999999998E-6</v>
      </c>
      <c r="I4355">
        <v>46.52514</v>
      </c>
      <c r="J4355">
        <v>-422.83390000000003</v>
      </c>
      <c r="K4355">
        <v>1.109102</v>
      </c>
      <c r="L4355">
        <v>78.710210000000004</v>
      </c>
      <c r="M4355">
        <v>9.9616960000000008E-3</v>
      </c>
      <c r="N4355">
        <v>0</v>
      </c>
      <c r="O4355">
        <v>-0.99993069999999895</v>
      </c>
      <c r="P4355">
        <v>3.6538809999999998E-2</v>
      </c>
      <c r="Q4355">
        <v>0.19239239999999999</v>
      </c>
      <c r="R4355">
        <v>-0.9806376</v>
      </c>
      <c r="S4355">
        <v>0.1895752</v>
      </c>
      <c r="T4355">
        <v>-0.1047778</v>
      </c>
      <c r="U4355">
        <v>-3.07254</v>
      </c>
      <c r="V4355">
        <v>-2.6828020000000001E-2</v>
      </c>
      <c r="W4355">
        <v>0.1985615</v>
      </c>
      <c r="X4355">
        <v>0.97972119999999996</v>
      </c>
      <c r="Y4355">
        <v>-5.1601019999999997E-2</v>
      </c>
      <c r="Z4355">
        <v>3.4023999999999999E-2</v>
      </c>
      <c r="AA4355">
        <v>0.99808799999999998</v>
      </c>
      <c r="AB4355">
        <v>34</v>
      </c>
      <c r="AC4355">
        <v>2.0032000000000401</v>
      </c>
      <c r="AD4355">
        <v>-1.1091051965549901</v>
      </c>
      <c r="AE4355">
        <v>-32.185070000000003</v>
      </c>
      <c r="AF4355">
        <v>-1.6804885135610099</v>
      </c>
      <c r="AG4355">
        <v>-1.1091051965549901</v>
      </c>
      <c r="AH4355">
        <v>32.165379359690498</v>
      </c>
      <c r="AI4355">
        <v>91.9721648812084</v>
      </c>
      <c r="AJ4355">
        <v>92.990713590209694</v>
      </c>
      <c r="AK4355">
        <v>32.228338234138597</v>
      </c>
      <c r="AL4355">
        <v>78.547148176859196</v>
      </c>
      <c r="AM4355">
        <v>91.568556735475596</v>
      </c>
      <c r="AN4355">
        <v>1.0000000208344</v>
      </c>
    </row>
    <row r="4356" spans="1:40" x14ac:dyDescent="0.25">
      <c r="A4356" t="str">
        <f>"20190312172752788"</f>
        <v>20190312172752788</v>
      </c>
      <c r="B4356" t="str">
        <f>"1552382872783872"</f>
        <v>1552382872783872</v>
      </c>
      <c r="C4356" t="s">
        <v>40</v>
      </c>
      <c r="D4356">
        <v>3.427686</v>
      </c>
      <c r="E4356">
        <v>0.4919114</v>
      </c>
      <c r="F4356" t="s">
        <v>41</v>
      </c>
      <c r="G4356">
        <v>-420.82459999999998</v>
      </c>
      <c r="H4356" s="1">
        <v>-3.1615320000000002E-6</v>
      </c>
      <c r="I4356">
        <v>46.447299999999998</v>
      </c>
      <c r="J4356">
        <v>-422.8304</v>
      </c>
      <c r="K4356">
        <v>1.1091</v>
      </c>
      <c r="L4356">
        <v>78.367890000000003</v>
      </c>
      <c r="M4356">
        <v>1.0086400000000001E-2</v>
      </c>
      <c r="N4356">
        <v>0</v>
      </c>
      <c r="O4356">
        <v>-0.99992950000000003</v>
      </c>
      <c r="P4356">
        <v>3.7660550000000001E-2</v>
      </c>
      <c r="Q4356">
        <v>0.1923088</v>
      </c>
      <c r="R4356">
        <v>-0.98061229999999999</v>
      </c>
      <c r="S4356">
        <v>0.19137570000000001</v>
      </c>
      <c r="T4356">
        <v>-0.10563549999999999</v>
      </c>
      <c r="U4356">
        <v>-3.072845</v>
      </c>
      <c r="V4356">
        <v>-2.782432E-2</v>
      </c>
      <c r="W4356">
        <v>0.1985064</v>
      </c>
      <c r="X4356">
        <v>0.97970460000000004</v>
      </c>
      <c r="Y4356">
        <v>-5.2052389999999997E-2</v>
      </c>
      <c r="Z4356">
        <v>3.4297719999999997E-2</v>
      </c>
      <c r="AA4356">
        <v>0.99805520000000003</v>
      </c>
      <c r="AB4356">
        <v>34</v>
      </c>
      <c r="AC4356">
        <v>2.0058000000000198</v>
      </c>
      <c r="AD4356">
        <v>-1.1091031615319999</v>
      </c>
      <c r="AE4356">
        <v>-31.920590000000001</v>
      </c>
      <c r="AF4356">
        <v>-1.6817055269601</v>
      </c>
      <c r="AG4356">
        <v>-1.1091031615319999</v>
      </c>
      <c r="AH4356">
        <v>31.9008366196902</v>
      </c>
      <c r="AI4356">
        <v>91.988453629857503</v>
      </c>
      <c r="AJ4356">
        <v>93.017648746208707</v>
      </c>
      <c r="AK4356">
        <v>31.964380493582201</v>
      </c>
      <c r="AL4356">
        <v>78.550369556118696</v>
      </c>
      <c r="AM4356">
        <v>91.626804323440496</v>
      </c>
      <c r="AN4356">
        <v>1.00000004344279</v>
      </c>
    </row>
    <row r="4357" spans="1:40" x14ac:dyDescent="0.25">
      <c r="A4357" t="str">
        <f>"20190312172752812"</f>
        <v>20190312172752812</v>
      </c>
      <c r="B4357" t="str">
        <f>"1552382872803393"</f>
        <v>1552382872803393</v>
      </c>
      <c r="C4357" t="s">
        <v>40</v>
      </c>
      <c r="D4357">
        <v>3.440458</v>
      </c>
      <c r="E4357">
        <v>0.49192839999999999</v>
      </c>
      <c r="F4357" t="s">
        <v>41</v>
      </c>
      <c r="G4357">
        <v>-420.81420000000003</v>
      </c>
      <c r="H4357" s="1">
        <v>-3.2015129999999999E-6</v>
      </c>
      <c r="I4357">
        <v>46.546939999999999</v>
      </c>
      <c r="J4357">
        <v>-422.82659999999998</v>
      </c>
      <c r="K4357">
        <v>1.1091</v>
      </c>
      <c r="L4357">
        <v>78.008420000000001</v>
      </c>
      <c r="M4357">
        <v>1.0217270000000001E-2</v>
      </c>
      <c r="N4357">
        <v>0</v>
      </c>
      <c r="O4357">
        <v>-0.99992780000000003</v>
      </c>
      <c r="P4357">
        <v>3.8385879999999997E-2</v>
      </c>
      <c r="Q4357">
        <v>0.1922567</v>
      </c>
      <c r="R4357">
        <v>-0.98059419999999997</v>
      </c>
      <c r="S4357">
        <v>0.19470209999999999</v>
      </c>
      <c r="T4357">
        <v>-0.1071025</v>
      </c>
      <c r="U4357">
        <v>-3.072845</v>
      </c>
      <c r="V4357">
        <v>-2.8419130000000001E-2</v>
      </c>
      <c r="W4357">
        <v>0.19848669999999999</v>
      </c>
      <c r="X4357">
        <v>0.97969139999999999</v>
      </c>
      <c r="Y4357">
        <v>-5.2996809999999998E-2</v>
      </c>
      <c r="Z4357">
        <v>3.4771339999999998E-2</v>
      </c>
      <c r="AA4357">
        <v>0.99798909999999996</v>
      </c>
      <c r="AB4357">
        <v>35</v>
      </c>
      <c r="AC4357">
        <v>2.0123999999999498</v>
      </c>
      <c r="AD4357">
        <v>-1.109103201513</v>
      </c>
      <c r="AE4357">
        <v>-31.461479999999899</v>
      </c>
      <c r="AF4357">
        <v>-1.68874793907245</v>
      </c>
      <c r="AG4357">
        <v>-1.109103201513</v>
      </c>
      <c r="AH4357">
        <v>31.441484508353401</v>
      </c>
      <c r="AI4357">
        <v>92.017374332692597</v>
      </c>
      <c r="AJ4357">
        <v>93.074449171181598</v>
      </c>
      <c r="AK4357">
        <v>31.506331547839</v>
      </c>
      <c r="AL4357">
        <v>78.551519860780303</v>
      </c>
      <c r="AM4357">
        <v>91.661584159598206</v>
      </c>
      <c r="AN4357">
        <v>0.99999992813039995</v>
      </c>
    </row>
    <row r="4358" spans="1:40" x14ac:dyDescent="0.25">
      <c r="A4358" t="str">
        <f>"20190312172752834"</f>
        <v>20190312172752834</v>
      </c>
      <c r="B4358" t="str">
        <f>"1552382872823888"</f>
        <v>1552382872823888</v>
      </c>
      <c r="C4358" t="s">
        <v>40</v>
      </c>
      <c r="D4358">
        <v>3.4353030000000002</v>
      </c>
      <c r="E4358">
        <v>0.49193110000000001</v>
      </c>
      <c r="F4358" t="s">
        <v>41</v>
      </c>
      <c r="G4358">
        <v>-420.81599999999997</v>
      </c>
      <c r="H4358" s="1">
        <v>-3.2169320000000001E-6</v>
      </c>
      <c r="I4358">
        <v>46.58173</v>
      </c>
      <c r="J4358">
        <v>-422.8229</v>
      </c>
      <c r="K4358">
        <v>1.109103</v>
      </c>
      <c r="L4358">
        <v>77.659180000000006</v>
      </c>
      <c r="M4358">
        <v>1.034449E-2</v>
      </c>
      <c r="N4358">
        <v>0</v>
      </c>
      <c r="O4358">
        <v>-0.99992610000000004</v>
      </c>
      <c r="P4358">
        <v>3.9049889999999997E-2</v>
      </c>
      <c r="Q4358">
        <v>0.19223129999999999</v>
      </c>
      <c r="R4358">
        <v>-0.98057269999999996</v>
      </c>
      <c r="S4358">
        <v>0.1965942</v>
      </c>
      <c r="T4358">
        <v>-0.1084493</v>
      </c>
      <c r="U4358">
        <v>-3.072937</v>
      </c>
      <c r="V4358">
        <v>-2.895723E-2</v>
      </c>
      <c r="W4358">
        <v>0.19849610000000001</v>
      </c>
      <c r="X4358">
        <v>0.97967380000000004</v>
      </c>
      <c r="Y4358">
        <v>-5.3478890000000001E-2</v>
      </c>
      <c r="Z4358">
        <v>3.5205800000000002E-2</v>
      </c>
      <c r="AA4358">
        <v>0.99794819999999995</v>
      </c>
      <c r="AB4358">
        <v>35</v>
      </c>
      <c r="AC4358">
        <v>2.0069000000000301</v>
      </c>
      <c r="AD4358">
        <v>-1.1091062169320001</v>
      </c>
      <c r="AE4358">
        <v>-31.077449999999999</v>
      </c>
      <c r="AF4358">
        <v>-1.68317079392973</v>
      </c>
      <c r="AG4358">
        <v>-1.1091062169320001</v>
      </c>
      <c r="AH4358">
        <v>31.057155726814099</v>
      </c>
      <c r="AI4358">
        <v>92.042270396202895</v>
      </c>
      <c r="AJ4358">
        <v>93.1021620233589</v>
      </c>
      <c r="AK4358">
        <v>31.122501544084699</v>
      </c>
      <c r="AL4358">
        <v>78.5509710487337</v>
      </c>
      <c r="AM4358">
        <v>91.693057564645599</v>
      </c>
      <c r="AN4358">
        <v>0.99999998864546102</v>
      </c>
    </row>
    <row r="4359" spans="1:40" x14ac:dyDescent="0.25">
      <c r="A4359" t="str">
        <f>"20190312172752858"</f>
        <v>20190312172752858</v>
      </c>
      <c r="B4359" t="str">
        <f>"1552382872854144"</f>
        <v>1552382872854144</v>
      </c>
      <c r="C4359" t="s">
        <v>40</v>
      </c>
      <c r="D4359">
        <v>3.4513419999999999</v>
      </c>
      <c r="E4359">
        <v>0.49201630000000002</v>
      </c>
      <c r="F4359" t="s">
        <v>41</v>
      </c>
      <c r="G4359">
        <v>-420.81169999999997</v>
      </c>
      <c r="H4359" s="1">
        <v>-3.222367E-6</v>
      </c>
      <c r="I4359">
        <v>46.597099999999998</v>
      </c>
      <c r="J4359">
        <v>-422.81900000000002</v>
      </c>
      <c r="K4359">
        <v>1.1091070000000001</v>
      </c>
      <c r="L4359">
        <v>77.296049999999994</v>
      </c>
      <c r="M4359">
        <v>1.0476350000000001E-2</v>
      </c>
      <c r="N4359">
        <v>0</v>
      </c>
      <c r="O4359">
        <v>-0.9999247</v>
      </c>
      <c r="P4359">
        <v>3.9545650000000002E-2</v>
      </c>
      <c r="Q4359">
        <v>0.1930656</v>
      </c>
      <c r="R4359">
        <v>-0.98038899999999995</v>
      </c>
      <c r="S4359">
        <v>0.1989746</v>
      </c>
      <c r="T4359">
        <v>-0.109726</v>
      </c>
      <c r="U4359">
        <v>-3.073029</v>
      </c>
      <c r="V4359">
        <v>-2.9325179999999999E-2</v>
      </c>
      <c r="W4359">
        <v>0.19936709999999999</v>
      </c>
      <c r="X4359">
        <v>0.97948599999999997</v>
      </c>
      <c r="Y4359">
        <v>-5.4114200000000001E-2</v>
      </c>
      <c r="Z4359">
        <v>3.5617070000000001E-2</v>
      </c>
      <c r="AA4359">
        <v>0.99789939999999999</v>
      </c>
      <c r="AB4359">
        <v>35</v>
      </c>
      <c r="AC4359">
        <v>2.0073000000000398</v>
      </c>
      <c r="AD4359">
        <v>-1.109110222367</v>
      </c>
      <c r="AE4359">
        <v>-30.69895</v>
      </c>
      <c r="AF4359">
        <v>-1.6833824010482701</v>
      </c>
      <c r="AG4359">
        <v>-1.109110222367</v>
      </c>
      <c r="AH4359">
        <v>30.678421492448098</v>
      </c>
      <c r="AI4359">
        <v>92.067392625544301</v>
      </c>
      <c r="AJ4359">
        <v>93.140776964426493</v>
      </c>
      <c r="AK4359">
        <v>30.7445840281149</v>
      </c>
      <c r="AL4359">
        <v>78.500048968348295</v>
      </c>
      <c r="AM4359">
        <v>91.714886471483993</v>
      </c>
      <c r="AN4359">
        <v>1.00000001547022</v>
      </c>
    </row>
    <row r="4360" spans="1:40" x14ac:dyDescent="0.25">
      <c r="A4360" t="str">
        <f>"20190312172752878"</f>
        <v>20190312172752878</v>
      </c>
      <c r="B4360" t="str">
        <f>"1552382872873664"</f>
        <v>1552382872873664</v>
      </c>
      <c r="C4360" t="s">
        <v>40</v>
      </c>
      <c r="D4360">
        <v>3.4727299999999999</v>
      </c>
      <c r="E4360">
        <v>0.49213380000000001</v>
      </c>
      <c r="F4360" t="s">
        <v>41</v>
      </c>
      <c r="G4360">
        <v>-420.78840000000002</v>
      </c>
      <c r="H4360" s="1">
        <v>-2.9873709999999998E-6</v>
      </c>
      <c r="I4360">
        <v>46.063769999999998</v>
      </c>
      <c r="J4360">
        <v>-422.81560000000002</v>
      </c>
      <c r="K4360">
        <v>1.109111</v>
      </c>
      <c r="L4360">
        <v>76.974429999999998</v>
      </c>
      <c r="M4360">
        <v>1.0592849999999999E-2</v>
      </c>
      <c r="N4360">
        <v>0</v>
      </c>
      <c r="O4360">
        <v>-0.99992320000000001</v>
      </c>
      <c r="P4360">
        <v>3.993712E-2</v>
      </c>
      <c r="Q4360">
        <v>0.19352240000000001</v>
      </c>
      <c r="R4360">
        <v>-0.98028320000000002</v>
      </c>
      <c r="S4360">
        <v>0.19982910000000001</v>
      </c>
      <c r="T4360">
        <v>-0.1091435</v>
      </c>
      <c r="U4360">
        <v>-3.0734560000000002</v>
      </c>
      <c r="V4360">
        <v>-2.9603310000000001E-2</v>
      </c>
      <c r="W4360">
        <v>0.1998605</v>
      </c>
      <c r="X4360">
        <v>0.97937700000000005</v>
      </c>
      <c r="Y4360">
        <v>-5.4265630000000002E-2</v>
      </c>
      <c r="Z4360">
        <v>3.5422809999999999E-2</v>
      </c>
      <c r="AA4360">
        <v>0.99789799999999995</v>
      </c>
      <c r="AB4360">
        <v>35</v>
      </c>
      <c r="AC4360">
        <v>2.0271999999999899</v>
      </c>
      <c r="AD4360">
        <v>-1.1091139873710001</v>
      </c>
      <c r="AE4360">
        <v>-30.910659999999901</v>
      </c>
      <c r="AF4360">
        <v>-1.6974714196410901</v>
      </c>
      <c r="AG4360">
        <v>-1.1091139873710001</v>
      </c>
      <c r="AH4360">
        <v>30.890799397661102</v>
      </c>
      <c r="AI4360">
        <v>92.053189372822303</v>
      </c>
      <c r="AJ4360">
        <v>93.145280611603198</v>
      </c>
      <c r="AK4360">
        <v>30.957277504393399</v>
      </c>
      <c r="AL4360">
        <v>78.471197745998495</v>
      </c>
      <c r="AM4360">
        <v>91.731333739385505</v>
      </c>
      <c r="AN4360">
        <v>0.99999994177610096</v>
      </c>
    </row>
    <row r="4361" spans="1:40" x14ac:dyDescent="0.25">
      <c r="A4361" t="str">
        <f>"20190312172752900"</f>
        <v>20190312172752900</v>
      </c>
      <c r="B4361" t="str">
        <f>"1552382872894160"</f>
        <v>1552382872894160</v>
      </c>
      <c r="C4361" t="s">
        <v>40</v>
      </c>
      <c r="D4361">
        <v>3.4666480000000002</v>
      </c>
      <c r="E4361">
        <v>0.49210599999999999</v>
      </c>
      <c r="F4361" t="s">
        <v>41</v>
      </c>
      <c r="G4361">
        <v>-420.77690000000001</v>
      </c>
      <c r="H4361" s="1">
        <v>-2.8539240000000001E-6</v>
      </c>
      <c r="I4361">
        <v>45.759799999999998</v>
      </c>
      <c r="J4361">
        <v>-422.81169999999997</v>
      </c>
      <c r="K4361">
        <v>1.109118</v>
      </c>
      <c r="L4361">
        <v>76.623379999999997</v>
      </c>
      <c r="M4361">
        <v>1.0719859999999999E-2</v>
      </c>
      <c r="N4361">
        <v>0</v>
      </c>
      <c r="O4361">
        <v>-0.99992110000000001</v>
      </c>
      <c r="P4361">
        <v>4.0586320000000002E-2</v>
      </c>
      <c r="Q4361">
        <v>0.19345970000000001</v>
      </c>
      <c r="R4361">
        <v>-0.98026840000000004</v>
      </c>
      <c r="S4361">
        <v>0.2007446</v>
      </c>
      <c r="T4361">
        <v>-0.1092154</v>
      </c>
      <c r="U4361">
        <v>-3.0737299999999999</v>
      </c>
      <c r="V4361">
        <v>-3.012739E-2</v>
      </c>
      <c r="W4361">
        <v>0.1998442</v>
      </c>
      <c r="X4361">
        <v>0.97936440000000002</v>
      </c>
      <c r="Y4361">
        <v>-5.4428949999999997E-2</v>
      </c>
      <c r="Z4361">
        <v>3.5442370000000001E-2</v>
      </c>
      <c r="AA4361">
        <v>0.99788840000000001</v>
      </c>
      <c r="AB4361">
        <v>35</v>
      </c>
      <c r="AC4361">
        <v>2.0347999999999602</v>
      </c>
      <c r="AD4361">
        <v>-1.1091208539240001</v>
      </c>
      <c r="AE4361">
        <v>-30.863579999999999</v>
      </c>
      <c r="AF4361">
        <v>-1.7016347238069101</v>
      </c>
      <c r="AG4361">
        <v>-1.1091208539240001</v>
      </c>
      <c r="AH4361">
        <v>30.843959858115898</v>
      </c>
      <c r="AI4361">
        <v>92.056292750275404</v>
      </c>
      <c r="AJ4361">
        <v>93.157757761934207</v>
      </c>
      <c r="AK4361">
        <v>30.910767857349398</v>
      </c>
      <c r="AL4361">
        <v>78.472151529098895</v>
      </c>
      <c r="AM4361">
        <v>91.761987779475803</v>
      </c>
      <c r="AN4361">
        <v>0.99999999594460598</v>
      </c>
    </row>
    <row r="4362" spans="1:40" x14ac:dyDescent="0.25">
      <c r="A4362" t="str">
        <f>"20190312172752922"</f>
        <v>20190312172752922</v>
      </c>
      <c r="B4362" t="str">
        <f>"1552382872913680"</f>
        <v>1552382872913680</v>
      </c>
      <c r="C4362" t="s">
        <v>40</v>
      </c>
      <c r="D4362">
        <v>3.4644750000000002</v>
      </c>
      <c r="E4362">
        <v>0.49203079999999999</v>
      </c>
      <c r="F4362" t="s">
        <v>41</v>
      </c>
      <c r="G4362">
        <v>-420.76569999999998</v>
      </c>
      <c r="H4362" s="1">
        <v>-2.8332400000000001E-6</v>
      </c>
      <c r="I4362">
        <v>45.71855</v>
      </c>
      <c r="J4362">
        <v>-422.80790000000002</v>
      </c>
      <c r="K4362">
        <v>1.1091249999999999</v>
      </c>
      <c r="L4362">
        <v>76.27167</v>
      </c>
      <c r="M4362">
        <v>1.084734E-2</v>
      </c>
      <c r="N4362">
        <v>0</v>
      </c>
      <c r="O4362">
        <v>-0.99991989999999997</v>
      </c>
      <c r="P4362">
        <v>4.128101E-2</v>
      </c>
      <c r="Q4362">
        <v>0.19382869999999999</v>
      </c>
      <c r="R4362">
        <v>-0.98016700000000001</v>
      </c>
      <c r="S4362">
        <v>0.20349120000000001</v>
      </c>
      <c r="T4362">
        <v>-0.1103108</v>
      </c>
      <c r="U4362">
        <v>-3.0737299999999999</v>
      </c>
      <c r="V4362">
        <v>-3.0698179999999999E-2</v>
      </c>
      <c r="W4362">
        <v>0.2002623</v>
      </c>
      <c r="X4362">
        <v>0.9792613</v>
      </c>
      <c r="Y4362">
        <v>-5.5188639999999997E-2</v>
      </c>
      <c r="Z4362">
        <v>3.5795540000000001E-2</v>
      </c>
      <c r="AA4362">
        <v>0.99783409999999995</v>
      </c>
      <c r="AB4362">
        <v>35</v>
      </c>
      <c r="AC4362">
        <v>2.04220000000003</v>
      </c>
      <c r="AD4362">
        <v>-1.1091278332400001</v>
      </c>
      <c r="AE4362">
        <v>-30.55312</v>
      </c>
      <c r="AF4362">
        <v>-1.70841137131084</v>
      </c>
      <c r="AG4362">
        <v>-1.1091278332400001</v>
      </c>
      <c r="AH4362">
        <v>30.533417059578099</v>
      </c>
      <c r="AI4362">
        <v>92.077111274899295</v>
      </c>
      <c r="AJ4362">
        <v>93.202484836881894</v>
      </c>
      <c r="AK4362">
        <v>30.601280876757802</v>
      </c>
      <c r="AL4362">
        <v>78.447702318203895</v>
      </c>
      <c r="AM4362">
        <v>91.795537446006094</v>
      </c>
      <c r="AN4362">
        <v>1.0000000303671399</v>
      </c>
    </row>
    <row r="4363" spans="1:40" x14ac:dyDescent="0.25">
      <c r="A4363" t="str">
        <f>"20190312172752956"</f>
        <v>20190312172752956</v>
      </c>
      <c r="B4363" t="str">
        <f>"1552382872953696"</f>
        <v>1552382872953696</v>
      </c>
      <c r="C4363" t="s">
        <v>40</v>
      </c>
      <c r="D4363">
        <v>3.4469219999999998</v>
      </c>
      <c r="E4363">
        <v>0.49193239999999999</v>
      </c>
      <c r="F4363" t="s">
        <v>41</v>
      </c>
      <c r="G4363">
        <v>-420.76130000000001</v>
      </c>
      <c r="H4363" s="1">
        <v>-2.8157049999999999E-6</v>
      </c>
      <c r="I4363">
        <v>45.680410000000002</v>
      </c>
      <c r="J4363">
        <v>-422.80200000000002</v>
      </c>
      <c r="K4363">
        <v>1.1091329999999999</v>
      </c>
      <c r="L4363">
        <v>75.748440000000002</v>
      </c>
      <c r="M4363">
        <v>1.1036509999999999E-2</v>
      </c>
      <c r="N4363">
        <v>0</v>
      </c>
      <c r="O4363">
        <v>-0.99991680000000005</v>
      </c>
      <c r="P4363">
        <v>4.2366580000000001E-2</v>
      </c>
      <c r="Q4363">
        <v>0.1944544</v>
      </c>
      <c r="R4363">
        <v>-0.97999619999999998</v>
      </c>
      <c r="S4363">
        <v>0.20565800000000001</v>
      </c>
      <c r="T4363">
        <v>-0.1114556</v>
      </c>
      <c r="U4363">
        <v>-3.0740970000000001</v>
      </c>
      <c r="V4363">
        <v>-3.159986E-2</v>
      </c>
      <c r="W4363">
        <v>0.2009668</v>
      </c>
      <c r="X4363">
        <v>0.97908819999999996</v>
      </c>
      <c r="Y4363">
        <v>-5.5691240000000003E-2</v>
      </c>
      <c r="Z4363">
        <v>3.6160779999999997E-2</v>
      </c>
      <c r="AA4363">
        <v>0.99779300000000004</v>
      </c>
      <c r="AB4363">
        <v>35</v>
      </c>
      <c r="AC4363">
        <v>2.04069999999995</v>
      </c>
      <c r="AD4363">
        <v>-1.109135815705</v>
      </c>
      <c r="AE4363">
        <v>-30.06803</v>
      </c>
      <c r="AF4363">
        <v>-1.7064109433378201</v>
      </c>
      <c r="AG4363">
        <v>-1.109135815705</v>
      </c>
      <c r="AH4363">
        <v>30.048022753661499</v>
      </c>
      <c r="AI4363">
        <v>92.110550690402505</v>
      </c>
      <c r="AJ4363">
        <v>93.250305172705694</v>
      </c>
      <c r="AK4363">
        <v>30.116867233657999</v>
      </c>
      <c r="AL4363">
        <v>78.406498914722604</v>
      </c>
      <c r="AM4363">
        <v>91.848567215492295</v>
      </c>
      <c r="AN4363">
        <v>0.99999995461674795</v>
      </c>
    </row>
    <row r="4364" spans="1:40" x14ac:dyDescent="0.25">
      <c r="A4364" t="str">
        <f>"20190312172752979"</f>
        <v>20190312172752979</v>
      </c>
      <c r="B4364" t="str">
        <f>"1552382872974192"</f>
        <v>1552382872974192</v>
      </c>
      <c r="C4364" t="s">
        <v>40</v>
      </c>
      <c r="D4364">
        <v>3.44977</v>
      </c>
      <c r="E4364">
        <v>0.49190519999999999</v>
      </c>
      <c r="F4364" t="s">
        <v>41</v>
      </c>
      <c r="G4364">
        <v>-420.75310000000002</v>
      </c>
      <c r="H4364" s="1">
        <v>-2.8535969999999998E-6</v>
      </c>
      <c r="I4364">
        <v>45.773829999999997</v>
      </c>
      <c r="J4364">
        <v>-422.79790000000003</v>
      </c>
      <c r="K4364">
        <v>1.1091329999999999</v>
      </c>
      <c r="L4364">
        <v>75.392240000000001</v>
      </c>
      <c r="M4364">
        <v>1.116499E-2</v>
      </c>
      <c r="N4364">
        <v>0</v>
      </c>
      <c r="O4364">
        <v>-0.99991509999999995</v>
      </c>
      <c r="P4364">
        <v>4.3089339999999997E-2</v>
      </c>
      <c r="Q4364">
        <v>0.19485140000000001</v>
      </c>
      <c r="R4364">
        <v>-0.97988589999999998</v>
      </c>
      <c r="S4364">
        <v>0.21017459999999999</v>
      </c>
      <c r="T4364">
        <v>-0.113773</v>
      </c>
      <c r="U4364">
        <v>-3.074738</v>
      </c>
      <c r="V4364">
        <v>-3.2198119999999997E-2</v>
      </c>
      <c r="W4364">
        <v>0.2014203</v>
      </c>
      <c r="X4364">
        <v>0.9789755</v>
      </c>
      <c r="Y4364">
        <v>-5.70062E-2</v>
      </c>
      <c r="Z4364">
        <v>3.6900679999999998E-2</v>
      </c>
      <c r="AA4364">
        <v>0.99769160000000001</v>
      </c>
      <c r="AB4364">
        <v>35</v>
      </c>
      <c r="AC4364">
        <v>2.0448</v>
      </c>
      <c r="AD4364">
        <v>-1.109135853597</v>
      </c>
      <c r="AE4364">
        <v>-29.618410000000001</v>
      </c>
      <c r="AF4364">
        <v>-1.7115870254108201</v>
      </c>
      <c r="AG4364">
        <v>-1.109135853597</v>
      </c>
      <c r="AH4364">
        <v>29.598085484291499</v>
      </c>
      <c r="AI4364">
        <v>92.142477824750998</v>
      </c>
      <c r="AJ4364">
        <v>93.309593077001395</v>
      </c>
      <c r="AK4364">
        <v>29.668272225101301</v>
      </c>
      <c r="AL4364">
        <v>78.379972721231795</v>
      </c>
      <c r="AM4364">
        <v>91.883756662143298</v>
      </c>
      <c r="AN4364">
        <v>0.99999994289193495</v>
      </c>
    </row>
    <row r="4365" spans="1:40" x14ac:dyDescent="0.25">
      <c r="A4365" t="str">
        <f>"20190312172753001"</f>
        <v>20190312172753001</v>
      </c>
      <c r="B4365" t="str">
        <f>"1552382872993712"</f>
        <v>1552382872993712</v>
      </c>
      <c r="C4365" t="s">
        <v>40</v>
      </c>
      <c r="D4365">
        <v>3.457233</v>
      </c>
      <c r="E4365">
        <v>0.49188280000000001</v>
      </c>
      <c r="F4365" t="s">
        <v>41</v>
      </c>
      <c r="G4365">
        <v>-420.73489999999998</v>
      </c>
      <c r="H4365" s="1">
        <v>-2.7641969999999999E-6</v>
      </c>
      <c r="I4365">
        <v>45.576720000000002</v>
      </c>
      <c r="J4365">
        <v>-422.79379999999998</v>
      </c>
      <c r="K4365">
        <v>1.109135</v>
      </c>
      <c r="L4365">
        <v>75.034210000000002</v>
      </c>
      <c r="M4365">
        <v>1.1293920000000001E-2</v>
      </c>
      <c r="N4365">
        <v>0</v>
      </c>
      <c r="O4365">
        <v>-0.99991319999999995</v>
      </c>
      <c r="P4365">
        <v>4.4151179999999998E-2</v>
      </c>
      <c r="Q4365">
        <v>0.19471730000000001</v>
      </c>
      <c r="R4365">
        <v>-0.97986530000000005</v>
      </c>
      <c r="S4365">
        <v>0.2127686</v>
      </c>
      <c r="T4365">
        <v>-0.114388</v>
      </c>
      <c r="U4365">
        <v>-3.074951</v>
      </c>
      <c r="V4365">
        <v>-3.3134129999999998E-2</v>
      </c>
      <c r="W4365">
        <v>0.2013432</v>
      </c>
      <c r="X4365">
        <v>0.97896019999999995</v>
      </c>
      <c r="Y4365">
        <v>-5.7709919999999998E-2</v>
      </c>
      <c r="Z4365">
        <v>3.7095410000000002E-2</v>
      </c>
      <c r="AA4365">
        <v>0.99764390000000003</v>
      </c>
      <c r="AB4365">
        <v>35</v>
      </c>
      <c r="AC4365">
        <v>2.0588999999999902</v>
      </c>
      <c r="AD4365">
        <v>-1.1091377641969999</v>
      </c>
      <c r="AE4365">
        <v>-29.45749</v>
      </c>
      <c r="AF4365">
        <v>-1.72363879018601</v>
      </c>
      <c r="AG4365">
        <v>-1.1091377641969999</v>
      </c>
      <c r="AH4365">
        <v>29.437334786077599</v>
      </c>
      <c r="AI4365">
        <v>92.154079622216599</v>
      </c>
      <c r="AJ4365">
        <v>93.351003057141696</v>
      </c>
      <c r="AK4365">
        <v>29.508605466314599</v>
      </c>
      <c r="AL4365">
        <v>78.384483458282702</v>
      </c>
      <c r="AM4365">
        <v>91.938507174707894</v>
      </c>
      <c r="AN4365">
        <v>1.00000001397056</v>
      </c>
    </row>
    <row r="4366" spans="1:40" x14ac:dyDescent="0.25">
      <c r="A4366" t="str">
        <f>"20190312172753024"</f>
        <v>20190312172753024</v>
      </c>
      <c r="B4366" t="str">
        <f>"1552382873014208"</f>
        <v>1552382873014208</v>
      </c>
      <c r="C4366" t="s">
        <v>40</v>
      </c>
      <c r="D4366">
        <v>3.456102</v>
      </c>
      <c r="E4366">
        <v>0.49189830000000001</v>
      </c>
      <c r="F4366" t="s">
        <v>41</v>
      </c>
      <c r="G4366">
        <v>-420.73340000000002</v>
      </c>
      <c r="H4366" s="1">
        <v>-2.8526570000000001E-6</v>
      </c>
      <c r="I4366">
        <v>45.78387</v>
      </c>
      <c r="J4366">
        <v>-422.78960000000001</v>
      </c>
      <c r="K4366">
        <v>1.109138</v>
      </c>
      <c r="L4366">
        <v>74.666989999999998</v>
      </c>
      <c r="M4366">
        <v>1.142601E-2</v>
      </c>
      <c r="N4366">
        <v>0</v>
      </c>
      <c r="O4366">
        <v>-0.99991129999999995</v>
      </c>
      <c r="P4366">
        <v>4.4505000000000003E-2</v>
      </c>
      <c r="Q4366">
        <v>0.194795</v>
      </c>
      <c r="R4366">
        <v>-0.97983370000000003</v>
      </c>
      <c r="S4366">
        <v>0.2166138</v>
      </c>
      <c r="T4366">
        <v>-0.11660189999999999</v>
      </c>
      <c r="U4366">
        <v>-3.075043</v>
      </c>
      <c r="V4366">
        <v>-3.3359119999999999E-2</v>
      </c>
      <c r="W4366">
        <v>0.20147680000000001</v>
      </c>
      <c r="X4366">
        <v>0.97892500000000005</v>
      </c>
      <c r="Y4366">
        <v>-5.8815550000000001E-2</v>
      </c>
      <c r="Z4366">
        <v>3.7808300000000003E-2</v>
      </c>
      <c r="AA4366">
        <v>0.99755260000000001</v>
      </c>
      <c r="AB4366">
        <v>35</v>
      </c>
      <c r="AC4366">
        <v>2.0561999999999898</v>
      </c>
      <c r="AD4366">
        <v>-1.1091408526569999</v>
      </c>
      <c r="AE4366">
        <v>-28.883120000000002</v>
      </c>
      <c r="AF4366">
        <v>-1.72351048315075</v>
      </c>
      <c r="AG4366">
        <v>-1.1091408526569999</v>
      </c>
      <c r="AH4366">
        <v>28.862382236706399</v>
      </c>
      <c r="AI4366">
        <v>92.196804123791296</v>
      </c>
      <c r="AJ4366">
        <v>93.417346165094202</v>
      </c>
      <c r="AK4366">
        <v>28.9350616068863</v>
      </c>
      <c r="AL4366">
        <v>78.376667764519397</v>
      </c>
      <c r="AM4366">
        <v>91.951730157963397</v>
      </c>
      <c r="AN4366">
        <v>0.99999994372520495</v>
      </c>
    </row>
    <row r="4367" spans="1:40" x14ac:dyDescent="0.25">
      <c r="A4367" t="str">
        <f>"20190312172753048"</f>
        <v>20190312172753048</v>
      </c>
      <c r="B4367" t="str">
        <f>"1552382873043488"</f>
        <v>1552382873043488</v>
      </c>
      <c r="C4367" t="s">
        <v>40</v>
      </c>
      <c r="D4367">
        <v>3.4236610000000001</v>
      </c>
      <c r="E4367">
        <v>0.49190220000000001</v>
      </c>
      <c r="F4367" t="s">
        <v>41</v>
      </c>
      <c r="G4367">
        <v>-420.73719999999997</v>
      </c>
      <c r="H4367" s="1">
        <v>-2.8287640000000002E-6</v>
      </c>
      <c r="I4367">
        <v>45.725769999999997</v>
      </c>
      <c r="J4367">
        <v>-422.78519999999997</v>
      </c>
      <c r="K4367">
        <v>1.1091299999999999</v>
      </c>
      <c r="L4367">
        <v>74.293909999999997</v>
      </c>
      <c r="M4367">
        <v>1.156013E-2</v>
      </c>
      <c r="N4367">
        <v>0</v>
      </c>
      <c r="O4367">
        <v>-0.99990959999999995</v>
      </c>
      <c r="P4367">
        <v>4.4856559999999997E-2</v>
      </c>
      <c r="Q4367">
        <v>0.1949825</v>
      </c>
      <c r="R4367">
        <v>-0.97978089999999995</v>
      </c>
      <c r="S4367">
        <v>0.21807860000000001</v>
      </c>
      <c r="T4367">
        <v>-0.117857</v>
      </c>
      <c r="U4367">
        <v>-3.0752869999999999</v>
      </c>
      <c r="V4367">
        <v>-3.3580079999999998E-2</v>
      </c>
      <c r="W4367">
        <v>0.20171739999999999</v>
      </c>
      <c r="X4367">
        <v>0.97886790000000001</v>
      </c>
      <c r="Y4367">
        <v>-5.9147810000000002E-2</v>
      </c>
      <c r="Z4367">
        <v>3.8210529999999999E-2</v>
      </c>
      <c r="AA4367">
        <v>0.9975176</v>
      </c>
      <c r="AB4367">
        <v>36</v>
      </c>
      <c r="AC4367">
        <v>2.048</v>
      </c>
      <c r="AD4367">
        <v>-1.1091328287640001</v>
      </c>
      <c r="AE4367">
        <v>-28.56814</v>
      </c>
      <c r="AF4367">
        <v>-1.71503207477237</v>
      </c>
      <c r="AG4367">
        <v>-1.1091328287640001</v>
      </c>
      <c r="AH4367">
        <v>28.547097296698599</v>
      </c>
      <c r="AI4367">
        <v>92.220978237186301</v>
      </c>
      <c r="AJ4367">
        <v>93.438042511497599</v>
      </c>
      <c r="AK4367">
        <v>28.620067692381799</v>
      </c>
      <c r="AL4367">
        <v>78.362593488122201</v>
      </c>
      <c r="AM4367">
        <v>91.964762201745998</v>
      </c>
      <c r="AN4367">
        <v>0.99999994844298601</v>
      </c>
    </row>
    <row r="4368" spans="1:40" x14ac:dyDescent="0.25">
      <c r="A4368" t="str">
        <f>"20190312172753071"</f>
        <v>20190312172753071</v>
      </c>
      <c r="B4368" t="str">
        <f>"1552382873063984"</f>
        <v>1552382873063984</v>
      </c>
      <c r="C4368" t="s">
        <v>40</v>
      </c>
      <c r="D4368">
        <v>3.44936</v>
      </c>
      <c r="E4368">
        <v>0.49194399999999999</v>
      </c>
      <c r="F4368" t="s">
        <v>41</v>
      </c>
      <c r="G4368">
        <v>-420.75380000000001</v>
      </c>
      <c r="H4368" s="1">
        <v>-2.832868E-6</v>
      </c>
      <c r="I4368">
        <v>45.725029999999997</v>
      </c>
      <c r="J4368">
        <v>-422.78070000000002</v>
      </c>
      <c r="K4368">
        <v>1.10914</v>
      </c>
      <c r="L4368">
        <v>73.919650000000004</v>
      </c>
      <c r="M4368">
        <v>1.1694649999999999E-2</v>
      </c>
      <c r="N4368">
        <v>0</v>
      </c>
      <c r="O4368">
        <v>-0.99990769999999995</v>
      </c>
      <c r="P4368">
        <v>4.5600549999999997E-2</v>
      </c>
      <c r="Q4368">
        <v>0.19489980000000001</v>
      </c>
      <c r="R4368">
        <v>-0.97976269999999999</v>
      </c>
      <c r="S4368">
        <v>0.21868899999999999</v>
      </c>
      <c r="T4368">
        <v>-0.1194065</v>
      </c>
      <c r="U4368">
        <v>-3.075653</v>
      </c>
      <c r="V4368">
        <v>-3.4192210000000001E-2</v>
      </c>
      <c r="W4368">
        <v>0.20168839999999999</v>
      </c>
      <c r="X4368">
        <v>0.97885270000000002</v>
      </c>
      <c r="Y4368">
        <v>-5.920073E-2</v>
      </c>
      <c r="Z4368">
        <v>3.8707119999999998E-2</v>
      </c>
      <c r="AA4368">
        <v>0.99749540000000003</v>
      </c>
      <c r="AB4368">
        <v>36</v>
      </c>
      <c r="AC4368">
        <v>2.0269000000000101</v>
      </c>
      <c r="AD4368">
        <v>-1.109142832868</v>
      </c>
      <c r="AE4368">
        <v>-28.19462</v>
      </c>
      <c r="AF4368">
        <v>-1.6944185844247699</v>
      </c>
      <c r="AG4368">
        <v>-1.109142832868</v>
      </c>
      <c r="AH4368">
        <v>28.173021508347201</v>
      </c>
      <c r="AI4368">
        <v>92.2504492114589</v>
      </c>
      <c r="AJ4368">
        <v>93.441811528311106</v>
      </c>
      <c r="AK4368">
        <v>28.245714596602799</v>
      </c>
      <c r="AL4368">
        <v>78.364290106301496</v>
      </c>
      <c r="AM4368">
        <v>92.000579975009202</v>
      </c>
      <c r="AN4368">
        <v>0.999999963108266</v>
      </c>
    </row>
    <row r="4369" spans="1:40" x14ac:dyDescent="0.25">
      <c r="A4369" t="str">
        <f>"20190312172753090"</f>
        <v>20190312172753090</v>
      </c>
      <c r="B4369" t="str">
        <f>"1552382873083505"</f>
        <v>1552382873083505</v>
      </c>
      <c r="C4369" t="s">
        <v>40</v>
      </c>
      <c r="D4369">
        <v>3.4445649999999999</v>
      </c>
      <c r="E4369">
        <v>0.49201220000000001</v>
      </c>
      <c r="F4369" t="s">
        <v>41</v>
      </c>
      <c r="G4369">
        <v>-420.75549999999998</v>
      </c>
      <c r="H4369" s="1">
        <v>-2.8372929999999999E-6</v>
      </c>
      <c r="I4369">
        <v>45.73433</v>
      </c>
      <c r="J4369">
        <v>-422.77690000000001</v>
      </c>
      <c r="K4369">
        <v>1.1091489999999999</v>
      </c>
      <c r="L4369">
        <v>73.604060000000004</v>
      </c>
      <c r="M4369">
        <v>1.180839E-2</v>
      </c>
      <c r="N4369">
        <v>0</v>
      </c>
      <c r="O4369">
        <v>-0.99990610000000002</v>
      </c>
      <c r="P4369">
        <v>4.6122389999999999E-2</v>
      </c>
      <c r="Q4369">
        <v>0.1950749</v>
      </c>
      <c r="R4369">
        <v>-0.9797034</v>
      </c>
      <c r="S4369">
        <v>0.22100829999999999</v>
      </c>
      <c r="T4369">
        <v>-0.1210372</v>
      </c>
      <c r="U4369">
        <v>-3.0757750000000001</v>
      </c>
      <c r="V4369">
        <v>-3.4603660000000001E-2</v>
      </c>
      <c r="W4369">
        <v>0.2019117</v>
      </c>
      <c r="X4369">
        <v>0.97879229999999995</v>
      </c>
      <c r="Y4369">
        <v>-5.9831250000000002E-2</v>
      </c>
      <c r="Z4369">
        <v>3.9231530000000001E-2</v>
      </c>
      <c r="AA4369">
        <v>0.99743729999999997</v>
      </c>
      <c r="AB4369">
        <v>36</v>
      </c>
      <c r="AC4369">
        <v>2.0214000000000198</v>
      </c>
      <c r="AD4369">
        <v>-1.109151837293</v>
      </c>
      <c r="AE4369">
        <v>-27.869730000000001</v>
      </c>
      <c r="AF4369">
        <v>-1.6894925460824599</v>
      </c>
      <c r="AG4369">
        <v>-1.109151837293</v>
      </c>
      <c r="AH4369">
        <v>27.8477807062919</v>
      </c>
      <c r="AI4369">
        <v>92.276651767482505</v>
      </c>
      <c r="AJ4369">
        <v>93.471813063709106</v>
      </c>
      <c r="AK4369">
        <v>27.921022422668599</v>
      </c>
      <c r="AL4369">
        <v>78.3512283234314</v>
      </c>
      <c r="AM4369">
        <v>92.024758756803294</v>
      </c>
      <c r="AN4369">
        <v>1.0000000572107799</v>
      </c>
    </row>
    <row r="4370" spans="1:40" x14ac:dyDescent="0.25">
      <c r="A4370" t="str">
        <f>"20190312172753112"</f>
        <v>20190312172753112</v>
      </c>
      <c r="B4370" t="str">
        <f>"1552382873104001"</f>
        <v>1552382873104001</v>
      </c>
      <c r="C4370" t="s">
        <v>40</v>
      </c>
      <c r="D4370">
        <v>3.417478</v>
      </c>
      <c r="E4370">
        <v>0.49206420000000001</v>
      </c>
      <c r="F4370" t="s">
        <v>41</v>
      </c>
      <c r="G4370">
        <v>-420.76319999999998</v>
      </c>
      <c r="H4370" s="1">
        <v>-2.7983E-6</v>
      </c>
      <c r="I4370">
        <v>45.638640000000002</v>
      </c>
      <c r="J4370">
        <v>-422.77260000000001</v>
      </c>
      <c r="K4370">
        <v>1.1091610000000001</v>
      </c>
      <c r="L4370">
        <v>73.250730000000004</v>
      </c>
      <c r="M4370">
        <v>1.1935289999999999E-2</v>
      </c>
      <c r="N4370">
        <v>0</v>
      </c>
      <c r="O4370">
        <v>-0.99990389999999996</v>
      </c>
      <c r="P4370">
        <v>4.6673399999999997E-2</v>
      </c>
      <c r="Q4370">
        <v>0.19515879999999999</v>
      </c>
      <c r="R4370">
        <v>-0.97966059999999999</v>
      </c>
      <c r="S4370">
        <v>0.22149659999999999</v>
      </c>
      <c r="T4370">
        <v>-0.1219996</v>
      </c>
      <c r="U4370">
        <v>-3.0760190000000001</v>
      </c>
      <c r="V4370">
        <v>-3.5030609999999997E-2</v>
      </c>
      <c r="W4370">
        <v>0.2020518</v>
      </c>
      <c r="X4370">
        <v>0.97874810000000001</v>
      </c>
      <c r="Y4370">
        <v>-5.9855539999999999E-2</v>
      </c>
      <c r="Z4370">
        <v>3.9539499999999998E-2</v>
      </c>
      <c r="AA4370">
        <v>0.99742359999999997</v>
      </c>
      <c r="AB4370">
        <v>36</v>
      </c>
      <c r="AC4370">
        <v>2.0094000000000198</v>
      </c>
      <c r="AD4370">
        <v>-1.1091637983</v>
      </c>
      <c r="AE4370">
        <v>-27.612089999999998</v>
      </c>
      <c r="AF4370">
        <v>-1.67699863820273</v>
      </c>
      <c r="AG4370">
        <v>-1.1091637983</v>
      </c>
      <c r="AH4370">
        <v>27.5898224121221</v>
      </c>
      <c r="AI4370">
        <v>92.297924074885699</v>
      </c>
      <c r="AJ4370">
        <v>93.478343301604198</v>
      </c>
      <c r="AK4370">
        <v>27.662987356690699</v>
      </c>
      <c r="AL4370">
        <v>78.343031090288406</v>
      </c>
      <c r="AM4370">
        <v>92.049812124175702</v>
      </c>
      <c r="AN4370">
        <v>0.99999995838691003</v>
      </c>
    </row>
    <row r="4371" spans="1:40" x14ac:dyDescent="0.25">
      <c r="A4371" t="str">
        <f>"20190312172753135"</f>
        <v>20190312172753135</v>
      </c>
      <c r="B4371" t="str">
        <f>"1552382873123521"</f>
        <v>1552382873123521</v>
      </c>
      <c r="C4371" t="s">
        <v>40</v>
      </c>
      <c r="D4371">
        <v>3.4296859999999998</v>
      </c>
      <c r="E4371">
        <v>0.49213499999999999</v>
      </c>
      <c r="F4371" t="s">
        <v>41</v>
      </c>
      <c r="G4371">
        <v>-420.77109999999999</v>
      </c>
      <c r="H4371" s="1">
        <v>-2.779453E-6</v>
      </c>
      <c r="I4371">
        <v>45.589829999999999</v>
      </c>
      <c r="J4371">
        <v>-422.76819999999998</v>
      </c>
      <c r="K4371">
        <v>1.109165</v>
      </c>
      <c r="L4371">
        <v>72.88794</v>
      </c>
      <c r="M4371">
        <v>1.206546E-2</v>
      </c>
      <c r="N4371">
        <v>0</v>
      </c>
      <c r="O4371">
        <v>-0.99990199999999996</v>
      </c>
      <c r="P4371">
        <v>4.6986779999999999E-2</v>
      </c>
      <c r="Q4371">
        <v>0.195988</v>
      </c>
      <c r="R4371">
        <v>-0.97948000000000002</v>
      </c>
      <c r="S4371">
        <v>0.22259519999999999</v>
      </c>
      <c r="T4371">
        <v>-0.12335260000000001</v>
      </c>
      <c r="U4371">
        <v>-3.0762330000000002</v>
      </c>
      <c r="V4371">
        <v>-3.5219109999999998E-2</v>
      </c>
      <c r="W4371">
        <v>0.2029357</v>
      </c>
      <c r="X4371">
        <v>0.9785585</v>
      </c>
      <c r="Y4371">
        <v>-6.0073759999999997E-2</v>
      </c>
      <c r="Z4371">
        <v>3.9973689999999999E-2</v>
      </c>
      <c r="AA4371">
        <v>0.99739330000000004</v>
      </c>
      <c r="AB4371">
        <v>36</v>
      </c>
      <c r="AC4371">
        <v>1.9970999999999799</v>
      </c>
      <c r="AD4371">
        <v>-1.1091677794529999</v>
      </c>
      <c r="AE4371">
        <v>-27.298109999999902</v>
      </c>
      <c r="AF4371">
        <v>-1.6648481466354901</v>
      </c>
      <c r="AG4371">
        <v>-1.1091677794529999</v>
      </c>
      <c r="AH4371">
        <v>27.2754292325208</v>
      </c>
      <c r="AI4371">
        <v>92.324354841005402</v>
      </c>
      <c r="AJ4371">
        <v>93.492908317204495</v>
      </c>
      <c r="AK4371">
        <v>27.348693064433299</v>
      </c>
      <c r="AL4371">
        <v>78.291316618237204</v>
      </c>
      <c r="AM4371">
        <v>92.061231645697006</v>
      </c>
      <c r="AN4371">
        <v>1.0000000109829601</v>
      </c>
    </row>
    <row r="4372" spans="1:40" x14ac:dyDescent="0.25">
      <c r="A4372" t="str">
        <f>"20190312172753157"</f>
        <v>20190312172753157</v>
      </c>
      <c r="B4372" t="str">
        <f>"1552382873153776"</f>
        <v>1552382873153776</v>
      </c>
      <c r="C4372" t="s">
        <v>40</v>
      </c>
      <c r="D4372">
        <v>3.4422980000000001</v>
      </c>
      <c r="E4372">
        <v>0.49221540000000003</v>
      </c>
      <c r="F4372" t="s">
        <v>41</v>
      </c>
      <c r="G4372">
        <v>-420.73180000000002</v>
      </c>
      <c r="H4372" s="1">
        <v>-2.4945579999999999E-6</v>
      </c>
      <c r="I4372">
        <v>44.950069999999997</v>
      </c>
      <c r="J4372">
        <v>-422.7638</v>
      </c>
      <c r="K4372">
        <v>1.1091770000000001</v>
      </c>
      <c r="L4372">
        <v>72.532439999999994</v>
      </c>
      <c r="M4372">
        <v>1.219285E-2</v>
      </c>
      <c r="N4372">
        <v>0</v>
      </c>
      <c r="O4372">
        <v>-0.99990009999999996</v>
      </c>
      <c r="P4372">
        <v>4.7354359999999998E-2</v>
      </c>
      <c r="Q4372">
        <v>0.19646839999999999</v>
      </c>
      <c r="R4372">
        <v>-0.97936590000000001</v>
      </c>
      <c r="S4372">
        <v>0.2242432</v>
      </c>
      <c r="T4372">
        <v>-0.1221423</v>
      </c>
      <c r="U4372">
        <v>-3.0765380000000002</v>
      </c>
      <c r="V4372">
        <v>-3.546332E-2</v>
      </c>
      <c r="W4372">
        <v>0.20347219999999999</v>
      </c>
      <c r="X4372">
        <v>0.97843829999999998</v>
      </c>
      <c r="Y4372">
        <v>-6.0472039999999998E-2</v>
      </c>
      <c r="Z4372">
        <v>3.9576840000000002E-2</v>
      </c>
      <c r="AA4372">
        <v>0.99738499999999997</v>
      </c>
      <c r="AB4372">
        <v>36</v>
      </c>
      <c r="AC4372">
        <v>2.03199999999998</v>
      </c>
      <c r="AD4372">
        <v>-1.109179494558</v>
      </c>
      <c r="AE4372">
        <v>-27.582370000000001</v>
      </c>
      <c r="AF4372">
        <v>-1.69280995628871</v>
      </c>
      <c r="AG4372">
        <v>-1.109179494558</v>
      </c>
      <c r="AH4372">
        <v>27.5607677423301</v>
      </c>
      <c r="AI4372">
        <v>92.300287260583502</v>
      </c>
      <c r="AJ4372">
        <v>93.514748753163801</v>
      </c>
      <c r="AK4372">
        <v>27.634974276194299</v>
      </c>
      <c r="AL4372">
        <v>78.259922843776494</v>
      </c>
      <c r="AM4372">
        <v>92.075766560473596</v>
      </c>
      <c r="AN4372">
        <v>1.0000000450725699</v>
      </c>
    </row>
    <row r="4373" spans="1:40" x14ac:dyDescent="0.25">
      <c r="A4373" t="str">
        <f>"20190312172753180"</f>
        <v>20190312172753180</v>
      </c>
      <c r="B4373" t="str">
        <f>"1552382873173297"</f>
        <v>1552382873173297</v>
      </c>
      <c r="C4373" t="s">
        <v>40</v>
      </c>
      <c r="D4373">
        <v>3.4065500000000002</v>
      </c>
      <c r="E4373">
        <v>0.49223790000000001</v>
      </c>
      <c r="F4373" t="s">
        <v>41</v>
      </c>
      <c r="G4373">
        <v>-420.71800000000002</v>
      </c>
      <c r="H4373" s="1">
        <v>-2.3569490000000001E-6</v>
      </c>
      <c r="I4373">
        <v>44.63785</v>
      </c>
      <c r="J4373">
        <v>-422.75909999999999</v>
      </c>
      <c r="K4373">
        <v>1.1091879999999901</v>
      </c>
      <c r="L4373">
        <v>72.159669999999906</v>
      </c>
      <c r="M4373">
        <v>1.232629E-2</v>
      </c>
      <c r="N4373">
        <v>0</v>
      </c>
      <c r="O4373">
        <v>-0.99989799999999995</v>
      </c>
      <c r="P4373">
        <v>4.7781690000000002E-2</v>
      </c>
      <c r="Q4373">
        <v>0.19709550000000001</v>
      </c>
      <c r="R4373">
        <v>-0.97921939999999996</v>
      </c>
      <c r="S4373">
        <v>0.22564699999999999</v>
      </c>
      <c r="T4373">
        <v>-0.12234399999999999</v>
      </c>
      <c r="U4373">
        <v>-3.076813</v>
      </c>
      <c r="V4373">
        <v>-3.576273E-2</v>
      </c>
      <c r="W4373">
        <v>0.20416210000000001</v>
      </c>
      <c r="X4373">
        <v>0.97828360000000003</v>
      </c>
      <c r="Y4373">
        <v>-6.078484E-2</v>
      </c>
      <c r="Z4373">
        <v>3.9637440000000003E-2</v>
      </c>
      <c r="AA4373">
        <v>0.99736360000000002</v>
      </c>
      <c r="AB4373">
        <v>36</v>
      </c>
      <c r="AC4373">
        <v>2.0410999999999699</v>
      </c>
      <c r="AD4373">
        <v>-1.10919035694899</v>
      </c>
      <c r="AE4373">
        <v>-27.521819999999899</v>
      </c>
      <c r="AF4373">
        <v>-1.69894970627788</v>
      </c>
      <c r="AG4373">
        <v>-1.10919035694899</v>
      </c>
      <c r="AH4373">
        <v>27.5004650531971</v>
      </c>
      <c r="AI4373">
        <v>92.305297834845703</v>
      </c>
      <c r="AJ4373">
        <v>93.535179854568895</v>
      </c>
      <c r="AK4373">
        <v>27.575211902985</v>
      </c>
      <c r="AL4373">
        <v>78.219546045818404</v>
      </c>
      <c r="AM4373">
        <v>92.093607057174196</v>
      </c>
      <c r="AN4373">
        <v>0.99999996898121102</v>
      </c>
    </row>
    <row r="4374" spans="1:40" x14ac:dyDescent="0.25">
      <c r="A4374" t="str">
        <f>"20190312172753202"</f>
        <v>20190312172753202</v>
      </c>
      <c r="B4374" t="str">
        <f>"1552382873193792"</f>
        <v>1552382873193792</v>
      </c>
      <c r="C4374" t="s">
        <v>40</v>
      </c>
      <c r="D4374">
        <v>3.4297810000000002</v>
      </c>
      <c r="E4374">
        <v>0.49227979999999999</v>
      </c>
      <c r="F4374" t="s">
        <v>41</v>
      </c>
      <c r="G4374">
        <v>-420.68150000000003</v>
      </c>
      <c r="H4374" s="1">
        <v>-2.0991279999999999E-6</v>
      </c>
      <c r="I4374">
        <v>44.059559999999998</v>
      </c>
      <c r="J4374">
        <v>-422.75450000000001</v>
      </c>
      <c r="K4374">
        <v>1.109189</v>
      </c>
      <c r="L4374">
        <v>71.798249999999996</v>
      </c>
      <c r="M4374">
        <v>1.2455529999999999E-2</v>
      </c>
      <c r="N4374">
        <v>0</v>
      </c>
      <c r="O4374">
        <v>-0.99989600000000001</v>
      </c>
      <c r="P4374">
        <v>4.8637970000000003E-2</v>
      </c>
      <c r="Q4374">
        <v>0.1965171</v>
      </c>
      <c r="R4374">
        <v>-0.97929350000000004</v>
      </c>
      <c r="S4374">
        <v>0.2275085</v>
      </c>
      <c r="T4374">
        <v>-0.12145889999999999</v>
      </c>
      <c r="U4374">
        <v>-3.077026</v>
      </c>
      <c r="V4374">
        <v>-3.6491629999999997E-2</v>
      </c>
      <c r="W4374">
        <v>0.20364769999999999</v>
      </c>
      <c r="X4374">
        <v>0.97836389999999995</v>
      </c>
      <c r="Y4374">
        <v>-6.1251750000000001E-2</v>
      </c>
      <c r="Z4374">
        <v>3.9346869999999999E-2</v>
      </c>
      <c r="AA4374">
        <v>0.99734650000000002</v>
      </c>
      <c r="AB4374">
        <v>36</v>
      </c>
      <c r="AC4374">
        <v>2.0729999999999702</v>
      </c>
      <c r="AD4374">
        <v>-1.1091910991280001</v>
      </c>
      <c r="AE4374">
        <v>-27.738689999999998</v>
      </c>
      <c r="AF4374">
        <v>-1.72458771508081</v>
      </c>
      <c r="AG4374">
        <v>-1.1091910991280001</v>
      </c>
      <c r="AH4374">
        <v>27.718284503436301</v>
      </c>
      <c r="AI4374">
        <v>92.2871408729753</v>
      </c>
      <c r="AJ4374">
        <v>93.560263211119903</v>
      </c>
      <c r="AK4374">
        <v>27.794024600529301</v>
      </c>
      <c r="AL4374">
        <v>78.249651535941496</v>
      </c>
      <c r="AM4374">
        <v>92.136063710527097</v>
      </c>
      <c r="AN4374">
        <v>0.99999997279927799</v>
      </c>
    </row>
    <row r="4375" spans="1:40" x14ac:dyDescent="0.25">
      <c r="A4375" t="str">
        <f>"20190312172753226"</f>
        <v>20190312172753226</v>
      </c>
      <c r="B4375" t="str">
        <f>"1552382873213313"</f>
        <v>1552382873213313</v>
      </c>
      <c r="C4375" t="s">
        <v>40</v>
      </c>
      <c r="D4375">
        <v>3.4244720000000002</v>
      </c>
      <c r="E4375">
        <v>0.49231540000000001</v>
      </c>
      <c r="F4375" t="s">
        <v>41</v>
      </c>
      <c r="G4375">
        <v>-420.71260000000001</v>
      </c>
      <c r="H4375" s="1">
        <v>-2.2646840000000001E-6</v>
      </c>
      <c r="I4375">
        <v>44.426200000000001</v>
      </c>
      <c r="J4375">
        <v>-422.74979999999999</v>
      </c>
      <c r="K4375">
        <v>1.1091959999999901</v>
      </c>
      <c r="L4375">
        <v>71.429079999999999</v>
      </c>
      <c r="M4375">
        <v>1.258752E-2</v>
      </c>
      <c r="N4375">
        <v>0</v>
      </c>
      <c r="O4375">
        <v>-0.9998937</v>
      </c>
      <c r="P4375">
        <v>4.9689150000000001E-2</v>
      </c>
      <c r="Q4375">
        <v>0.1961435</v>
      </c>
      <c r="R4375">
        <v>-0.97931550000000001</v>
      </c>
      <c r="S4375">
        <v>0.22955320000000001</v>
      </c>
      <c r="T4375">
        <v>-0.12469089999999999</v>
      </c>
      <c r="U4375">
        <v>-3.0770569999999999</v>
      </c>
      <c r="V4375">
        <v>-3.7413080000000001E-2</v>
      </c>
      <c r="W4375">
        <v>0.20334240000000001</v>
      </c>
      <c r="X4375">
        <v>0.9783927</v>
      </c>
      <c r="Y4375">
        <v>-6.1775259999999999E-2</v>
      </c>
      <c r="Z4375">
        <v>4.0390059999999998E-2</v>
      </c>
      <c r="AA4375">
        <v>0.99727250000000001</v>
      </c>
      <c r="AB4375">
        <v>36</v>
      </c>
      <c r="AC4375">
        <v>2.0371999999999799</v>
      </c>
      <c r="AD4375">
        <v>-1.109198264684</v>
      </c>
      <c r="AE4375">
        <v>-27.002880000000001</v>
      </c>
      <c r="AF4375">
        <v>-1.69428746771442</v>
      </c>
      <c r="AG4375">
        <v>-1.109198264684</v>
      </c>
      <c r="AH4375">
        <v>26.981116346524601</v>
      </c>
      <c r="AI4375">
        <v>92.349491057405601</v>
      </c>
      <c r="AJ4375">
        <v>93.593188038612993</v>
      </c>
      <c r="AK4375">
        <v>27.057005934107501</v>
      </c>
      <c r="AL4375">
        <v>78.267518961537405</v>
      </c>
      <c r="AM4375">
        <v>92.189885174910998</v>
      </c>
      <c r="AN4375">
        <v>1.00000007280306</v>
      </c>
    </row>
    <row r="4376" spans="1:40" x14ac:dyDescent="0.25">
      <c r="A4376" t="str">
        <f>"20190312172753269"</f>
        <v>20190312172753269</v>
      </c>
      <c r="B4376" t="str">
        <f>"1552382873264065"</f>
        <v>1552382873264065</v>
      </c>
      <c r="C4376" t="s">
        <v>40</v>
      </c>
      <c r="D4376">
        <v>3.3889649999999998</v>
      </c>
      <c r="E4376">
        <v>0.49246050000000002</v>
      </c>
      <c r="F4376" t="s">
        <v>41</v>
      </c>
      <c r="G4376">
        <v>-420.73309999999998</v>
      </c>
      <c r="H4376" s="1">
        <v>-2.3484560000000001E-6</v>
      </c>
      <c r="I4376">
        <v>44.608750000000001</v>
      </c>
      <c r="J4376">
        <v>-422.7405</v>
      </c>
      <c r="K4376">
        <v>1.1092120000000001</v>
      </c>
      <c r="L4376">
        <v>70.710419999999999</v>
      </c>
      <c r="M4376">
        <v>1.284443E-2</v>
      </c>
      <c r="N4376">
        <v>0</v>
      </c>
      <c r="O4376">
        <v>-0.99988960000000005</v>
      </c>
      <c r="P4376">
        <v>5.1394559999999999E-2</v>
      </c>
      <c r="Q4376">
        <v>0.1966253</v>
      </c>
      <c r="R4376">
        <v>-0.97913150000000004</v>
      </c>
      <c r="S4376">
        <v>0.23138429999999999</v>
      </c>
      <c r="T4376">
        <v>-0.12725929999999999</v>
      </c>
      <c r="U4376">
        <v>-3.077118</v>
      </c>
      <c r="V4376">
        <v>-3.8869580000000001E-2</v>
      </c>
      <c r="W4376">
        <v>0.2039609</v>
      </c>
      <c r="X4376">
        <v>0.9782071</v>
      </c>
      <c r="Y4376">
        <v>-6.2104920000000001E-2</v>
      </c>
      <c r="Z4376">
        <v>4.121826E-2</v>
      </c>
      <c r="AA4376">
        <v>0.9972181</v>
      </c>
      <c r="AB4376">
        <v>36</v>
      </c>
      <c r="AC4376">
        <v>2.0074000000000098</v>
      </c>
      <c r="AD4376">
        <v>-1.109214348456</v>
      </c>
      <c r="AE4376">
        <v>-26.101669999999999</v>
      </c>
      <c r="AF4376">
        <v>-1.6689676939102001</v>
      </c>
      <c r="AG4376">
        <v>-1.109214348456</v>
      </c>
      <c r="AH4376">
        <v>26.078483010640898</v>
      </c>
      <c r="AI4376">
        <v>92.430567026813804</v>
      </c>
      <c r="AJ4376">
        <v>93.661814751893999</v>
      </c>
      <c r="AK4376">
        <v>26.155364378467802</v>
      </c>
      <c r="AL4376">
        <v>78.231322250729605</v>
      </c>
      <c r="AM4376">
        <v>92.275481216693294</v>
      </c>
      <c r="AN4376">
        <v>1.00000001173429</v>
      </c>
    </row>
    <row r="4377" spans="1:40" x14ac:dyDescent="0.25">
      <c r="A4377" t="str">
        <f>"20190312172753291"</f>
        <v>20190312172753291</v>
      </c>
      <c r="B4377" t="str">
        <f>"1552382873283585"</f>
        <v>1552382873283585</v>
      </c>
      <c r="C4377" t="s">
        <v>40</v>
      </c>
      <c r="D4377">
        <v>3.3717440000000001</v>
      </c>
      <c r="E4377">
        <v>0.49249090000000001</v>
      </c>
      <c r="F4377" t="s">
        <v>41</v>
      </c>
      <c r="G4377">
        <v>-420.70089999999999</v>
      </c>
      <c r="H4377" s="1">
        <v>-2.1687110000000002E-6</v>
      </c>
      <c r="I4377">
        <v>44.209719999999997</v>
      </c>
      <c r="J4377">
        <v>-422.73570000000001</v>
      </c>
      <c r="K4377">
        <v>1.109219</v>
      </c>
      <c r="L4377">
        <v>70.345460000000003</v>
      </c>
      <c r="M4377">
        <v>1.2975250000000001E-2</v>
      </c>
      <c r="N4377">
        <v>0</v>
      </c>
      <c r="O4377">
        <v>-0.99988719999999998</v>
      </c>
      <c r="P4377">
        <v>5.2259430000000003E-2</v>
      </c>
      <c r="Q4377">
        <v>0.19678319999999999</v>
      </c>
      <c r="R4377">
        <v>-0.97905359999999997</v>
      </c>
      <c r="S4377">
        <v>0.2368469</v>
      </c>
      <c r="T4377">
        <v>-0.12880619999999901</v>
      </c>
      <c r="U4377">
        <v>-3.0773619999999999</v>
      </c>
      <c r="V4377">
        <v>-3.9606969999999998E-2</v>
      </c>
      <c r="W4377">
        <v>0.2041878</v>
      </c>
      <c r="X4377">
        <v>0.97813019999999995</v>
      </c>
      <c r="Y4377">
        <v>-6.3726729999999995E-2</v>
      </c>
      <c r="Z4377">
        <v>4.17101E-2</v>
      </c>
      <c r="AA4377">
        <v>0.99709530000000002</v>
      </c>
      <c r="AB4377">
        <v>37</v>
      </c>
      <c r="AC4377">
        <v>2.0348000000000099</v>
      </c>
      <c r="AD4377">
        <v>-1.1092211687109901</v>
      </c>
      <c r="AE4377">
        <v>-26.135739999999998</v>
      </c>
      <c r="AF4377">
        <v>-1.6924710863688099</v>
      </c>
      <c r="AG4377">
        <v>-1.1092211687109901</v>
      </c>
      <c r="AH4377">
        <v>26.113190297611101</v>
      </c>
      <c r="AI4377">
        <v>92.427228579979499</v>
      </c>
      <c r="AJ4377">
        <v>93.708317801714998</v>
      </c>
      <c r="AK4377">
        <v>26.1914783374013</v>
      </c>
      <c r="AL4377">
        <v>78.218042574274804</v>
      </c>
      <c r="AM4377">
        <v>92.318784503363801</v>
      </c>
      <c r="AN4377">
        <v>1.0000000289467299</v>
      </c>
    </row>
    <row r="4378" spans="1:40" x14ac:dyDescent="0.25">
      <c r="A4378" t="str">
        <f>"20190312172753324"</f>
        <v>20190312172753324</v>
      </c>
      <c r="B4378" t="str">
        <f>"1552382873313840"</f>
        <v>1552382873313840</v>
      </c>
      <c r="C4378" t="s">
        <v>40</v>
      </c>
      <c r="D4378">
        <v>3.3826589999999999</v>
      </c>
      <c r="E4378">
        <v>0.49529030000000002</v>
      </c>
      <c r="F4378" t="s">
        <v>41</v>
      </c>
      <c r="G4378">
        <v>-420.67840000000001</v>
      </c>
      <c r="H4378" s="1">
        <v>-2.0131970000000002E-6</v>
      </c>
      <c r="I4378">
        <v>43.861170000000001</v>
      </c>
      <c r="J4378">
        <v>-422.7285</v>
      </c>
      <c r="K4378">
        <v>1.1092329999999999</v>
      </c>
      <c r="L4378">
        <v>69.805449999999993</v>
      </c>
      <c r="M4378">
        <v>1.316816E-2</v>
      </c>
      <c r="N4378">
        <v>0</v>
      </c>
      <c r="O4378">
        <v>-0.99988390000000005</v>
      </c>
      <c r="P4378">
        <v>5.3358719999999998E-2</v>
      </c>
      <c r="Q4378">
        <v>0.19715009999999999</v>
      </c>
      <c r="R4378">
        <v>-0.97892040000000002</v>
      </c>
      <c r="S4378">
        <v>0.23904420000000001</v>
      </c>
      <c r="T4378">
        <v>-0.12888549999999999</v>
      </c>
      <c r="U4378">
        <v>-3.0773320000000002</v>
      </c>
      <c r="V4378">
        <v>-4.0519869999999999E-2</v>
      </c>
      <c r="W4378">
        <v>0.204656</v>
      </c>
      <c r="X4378">
        <v>0.9779949</v>
      </c>
      <c r="Y4378">
        <v>-6.4242569999999999E-2</v>
      </c>
      <c r="Z4378">
        <v>4.1734140000000003E-2</v>
      </c>
      <c r="AA4378">
        <v>0.99706130000000004</v>
      </c>
      <c r="AB4378">
        <v>37</v>
      </c>
      <c r="AC4378">
        <v>2.05009999999998</v>
      </c>
      <c r="AD4378">
        <v>-1.1092350131969999</v>
      </c>
      <c r="AE4378">
        <v>-25.9442799999999</v>
      </c>
      <c r="AF4378">
        <v>-1.70517613344415</v>
      </c>
      <c r="AG4378">
        <v>-1.1092350131969999</v>
      </c>
      <c r="AH4378">
        <v>25.9219373063525</v>
      </c>
      <c r="AI4378">
        <v>92.4449918315334</v>
      </c>
      <c r="AJ4378">
        <v>93.763562840847598</v>
      </c>
      <c r="AK4378">
        <v>26.001631904075499</v>
      </c>
      <c r="AL4378">
        <v>78.190637414116296</v>
      </c>
      <c r="AM4378">
        <v>92.372497538942397</v>
      </c>
      <c r="AN4378">
        <v>0.99999998131341306</v>
      </c>
    </row>
    <row r="4379" spans="1:40" x14ac:dyDescent="0.25">
      <c r="A4379" t="str">
        <f>"20190312172753347"</f>
        <v>20190312172753347</v>
      </c>
      <c r="B4379" t="str">
        <f>"1552382873344099"</f>
        <v>1552382873344099</v>
      </c>
      <c r="C4379" t="s">
        <v>40</v>
      </c>
      <c r="D4379">
        <v>3.3758439999999998</v>
      </c>
      <c r="E4379">
        <v>0.49554209999999899</v>
      </c>
      <c r="F4379" t="s">
        <v>41</v>
      </c>
      <c r="G4379">
        <v>-421.2799</v>
      </c>
      <c r="H4379" s="1">
        <v>-3.7590059999999998E-7</v>
      </c>
      <c r="I4379">
        <v>49.671480000000003</v>
      </c>
      <c r="J4379">
        <v>-422.7235</v>
      </c>
      <c r="K4379">
        <v>1.109245</v>
      </c>
      <c r="L4379">
        <v>69.436000000000007</v>
      </c>
      <c r="M4379">
        <v>1.3299979999999999E-2</v>
      </c>
      <c r="N4379">
        <v>0</v>
      </c>
      <c r="O4379">
        <v>-0.99988149999999998</v>
      </c>
      <c r="P4379">
        <v>5.3936449999999997E-2</v>
      </c>
      <c r="Q4379">
        <v>0.19801389999999999</v>
      </c>
      <c r="R4379">
        <v>-0.97871450000000004</v>
      </c>
      <c r="S4379">
        <v>0.22207640000000001</v>
      </c>
      <c r="T4379">
        <v>-0.17005780000000001</v>
      </c>
      <c r="U4379">
        <v>-3.0867610000000001</v>
      </c>
      <c r="V4379">
        <v>-4.097141E-2</v>
      </c>
      <c r="W4379">
        <v>0.20559920000000001</v>
      </c>
      <c r="X4379">
        <v>0.97777829999999999</v>
      </c>
      <c r="Y4379">
        <v>-5.8378729999999997E-2</v>
      </c>
      <c r="Z4379">
        <v>5.4884299999999997E-2</v>
      </c>
      <c r="AA4379">
        <v>0.99678460000000002</v>
      </c>
      <c r="AB4379">
        <v>37</v>
      </c>
      <c r="AC4379">
        <v>1.4436</v>
      </c>
      <c r="AD4379">
        <v>-1.1092453759006</v>
      </c>
      <c r="AE4379">
        <v>-19.764520000000001</v>
      </c>
      <c r="AF4379">
        <v>-1.1769093327934299</v>
      </c>
      <c r="AG4379">
        <v>-1.1092453759006</v>
      </c>
      <c r="AH4379">
        <v>19.720187183614598</v>
      </c>
      <c r="AI4379">
        <v>93.213744829537603</v>
      </c>
      <c r="AJ4379">
        <v>93.415385919218807</v>
      </c>
      <c r="AK4379">
        <v>19.786392380582399</v>
      </c>
      <c r="AL4379">
        <v>78.135422661652996</v>
      </c>
      <c r="AM4379">
        <v>92.399435938990194</v>
      </c>
      <c r="AN4379">
        <v>1.00000004571445</v>
      </c>
    </row>
    <row r="4380" spans="1:40" x14ac:dyDescent="0.25">
      <c r="A4380" t="str">
        <f>"20190312172753370"</f>
        <v>20190312172753370</v>
      </c>
      <c r="B4380" t="str">
        <f>"1552382873363620"</f>
        <v>1552382873363620</v>
      </c>
      <c r="C4380" t="s">
        <v>40</v>
      </c>
      <c r="D4380">
        <v>3.383483</v>
      </c>
      <c r="E4380">
        <v>0.49560169999999998</v>
      </c>
      <c r="F4380" t="s">
        <v>41</v>
      </c>
      <c r="G4380">
        <v>-421.24610000000001</v>
      </c>
      <c r="H4380" s="1">
        <v>-4.2621899999999998E-6</v>
      </c>
      <c r="I4380">
        <v>48.861890000000002</v>
      </c>
      <c r="J4380">
        <v>-422.71839999999997</v>
      </c>
      <c r="K4380">
        <v>1.1092599999999999</v>
      </c>
      <c r="L4380">
        <v>69.064359999999994</v>
      </c>
      <c r="M4380">
        <v>1.3432370000000001E-2</v>
      </c>
      <c r="N4380">
        <v>0</v>
      </c>
      <c r="O4380">
        <v>-0.99987890000000001</v>
      </c>
      <c r="P4380">
        <v>5.4608900000000002E-2</v>
      </c>
      <c r="Q4380">
        <v>0.1985594</v>
      </c>
      <c r="R4380">
        <v>-0.9785663</v>
      </c>
      <c r="S4380">
        <v>0.22164919999999999</v>
      </c>
      <c r="T4380">
        <v>-0.16641889999999901</v>
      </c>
      <c r="U4380">
        <v>-3.0867</v>
      </c>
      <c r="V4380">
        <v>-4.1516780000000003E-2</v>
      </c>
      <c r="W4380">
        <v>0.20623839999999999</v>
      </c>
      <c r="X4380">
        <v>0.97762059999999995</v>
      </c>
      <c r="Y4380">
        <v>-5.8115260000000002E-2</v>
      </c>
      <c r="Z4380">
        <v>5.3714930000000001E-2</v>
      </c>
      <c r="AA4380">
        <v>0.99686370000000002</v>
      </c>
      <c r="AB4380">
        <v>37</v>
      </c>
      <c r="AC4380">
        <v>1.47229999999996</v>
      </c>
      <c r="AD4380">
        <v>-1.10926426219</v>
      </c>
      <c r="AE4380">
        <v>-20.202469999999899</v>
      </c>
      <c r="AF4380">
        <v>-1.19720145536599</v>
      </c>
      <c r="AG4380">
        <v>-1.10926426219</v>
      </c>
      <c r="AH4380">
        <v>20.1599668072745</v>
      </c>
      <c r="AI4380">
        <v>93.143889167662294</v>
      </c>
      <c r="AJ4380">
        <v>93.398523742111806</v>
      </c>
      <c r="AK4380">
        <v>20.225924458439799</v>
      </c>
      <c r="AL4380">
        <v>78.097996332594505</v>
      </c>
      <c r="AM4380">
        <v>92.431728456512602</v>
      </c>
      <c r="AN4380">
        <v>0.99999997910024296</v>
      </c>
    </row>
    <row r="4381" spans="1:40" x14ac:dyDescent="0.25">
      <c r="A4381" t="str">
        <f>"20190312172753391"</f>
        <v>20190312172753391</v>
      </c>
      <c r="B4381" t="str">
        <f>"1552382873384113"</f>
        <v>1552382873384113</v>
      </c>
      <c r="C4381" t="s">
        <v>40</v>
      </c>
      <c r="D4381">
        <v>3.3473519999999999</v>
      </c>
      <c r="E4381">
        <v>0.49561379999999999</v>
      </c>
      <c r="F4381" t="s">
        <v>41</v>
      </c>
      <c r="G4381">
        <v>-421.22890000000001</v>
      </c>
      <c r="H4381" s="1">
        <v>-4.1268519999999998E-6</v>
      </c>
      <c r="I4381">
        <v>48.473129999999998</v>
      </c>
      <c r="J4381">
        <v>-422.71339999999998</v>
      </c>
      <c r="K4381">
        <v>1.1092770000000001</v>
      </c>
      <c r="L4381">
        <v>68.697999999999993</v>
      </c>
      <c r="M4381">
        <v>1.3562670000000001E-2</v>
      </c>
      <c r="N4381">
        <v>0</v>
      </c>
      <c r="O4381">
        <v>-0.99987649999999995</v>
      </c>
      <c r="P4381">
        <v>5.5660359999999999E-2</v>
      </c>
      <c r="Q4381">
        <v>0.19916980000000001</v>
      </c>
      <c r="R4381">
        <v>-0.97838340000000001</v>
      </c>
      <c r="S4381">
        <v>0.2232971</v>
      </c>
      <c r="T4381">
        <v>-0.16629920000000001</v>
      </c>
      <c r="U4381">
        <v>-3.0870060000000001</v>
      </c>
      <c r="V4381">
        <v>-4.2443509999999997E-2</v>
      </c>
      <c r="W4381">
        <v>0.20695040000000001</v>
      </c>
      <c r="X4381">
        <v>0.97743029999999997</v>
      </c>
      <c r="Y4381">
        <v>-5.8507679999999999E-2</v>
      </c>
      <c r="Z4381">
        <v>5.3669349999999998E-2</v>
      </c>
      <c r="AA4381">
        <v>0.99684320000000004</v>
      </c>
      <c r="AB4381">
        <v>37</v>
      </c>
      <c r="AC4381">
        <v>1.48449999999996</v>
      </c>
      <c r="AD4381">
        <v>-1.109281126852</v>
      </c>
      <c r="AE4381">
        <v>-20.224869999999999</v>
      </c>
      <c r="AF4381">
        <v>-1.2064417548419499</v>
      </c>
      <c r="AG4381">
        <v>-1.109281126852</v>
      </c>
      <c r="AH4381">
        <v>20.182754949581501</v>
      </c>
      <c r="AI4381">
        <v>93.140321479847699</v>
      </c>
      <c r="AJ4381">
        <v>93.420834605435701</v>
      </c>
      <c r="AK4381">
        <v>20.249187728920699</v>
      </c>
      <c r="AL4381">
        <v>78.056301969428105</v>
      </c>
      <c r="AM4381">
        <v>92.486425092367099</v>
      </c>
      <c r="AN4381">
        <v>0.99999995547968401</v>
      </c>
    </row>
    <row r="4382" spans="1:40" x14ac:dyDescent="0.25">
      <c r="A4382" t="str">
        <f>"20190312172753414"</f>
        <v>20190312172753414</v>
      </c>
      <c r="B4382" t="str">
        <f>"1552382873403633"</f>
        <v>1552382873403633</v>
      </c>
      <c r="C4382" t="s">
        <v>40</v>
      </c>
      <c r="D4382">
        <v>3.3385069999999999</v>
      </c>
      <c r="E4382">
        <v>0.49568010000000001</v>
      </c>
      <c r="F4382" t="s">
        <v>41</v>
      </c>
      <c r="G4382">
        <v>-421.20370000000003</v>
      </c>
      <c r="H4382" s="1">
        <v>-3.971928E-6</v>
      </c>
      <c r="I4382">
        <v>48.101210000000002</v>
      </c>
      <c r="J4382">
        <v>-422.70819999999998</v>
      </c>
      <c r="K4382">
        <v>1.109286</v>
      </c>
      <c r="L4382">
        <v>68.327060000000003</v>
      </c>
      <c r="M4382">
        <v>1.369456E-2</v>
      </c>
      <c r="N4382">
        <v>0</v>
      </c>
      <c r="O4382">
        <v>-0.99987389999999998</v>
      </c>
      <c r="P4382">
        <v>5.6413039999999998E-2</v>
      </c>
      <c r="Q4382">
        <v>0.19976669999999999</v>
      </c>
      <c r="R4382">
        <v>-0.97821860000000005</v>
      </c>
      <c r="S4382">
        <v>0.22628780000000001</v>
      </c>
      <c r="T4382">
        <v>-0.16627</v>
      </c>
      <c r="U4382">
        <v>-3.08725</v>
      </c>
      <c r="V4382">
        <v>-4.3069429999999999E-2</v>
      </c>
      <c r="W4382">
        <v>0.207651</v>
      </c>
      <c r="X4382">
        <v>0.97725430000000002</v>
      </c>
      <c r="Y4382">
        <v>-5.9330939999999999E-2</v>
      </c>
      <c r="Z4382">
        <v>5.3652400000000003E-2</v>
      </c>
      <c r="AA4382">
        <v>0.99679549999999995</v>
      </c>
      <c r="AB4382">
        <v>37</v>
      </c>
      <c r="AC4382">
        <v>1.50449999999995</v>
      </c>
      <c r="AD4382">
        <v>-1.1092899719280001</v>
      </c>
      <c r="AE4382">
        <v>-20.225850000000001</v>
      </c>
      <c r="AF4382">
        <v>-1.2237051971174899</v>
      </c>
      <c r="AG4382">
        <v>-1.1092899719280001</v>
      </c>
      <c r="AH4382">
        <v>20.184177585762999</v>
      </c>
      <c r="AI4382">
        <v>93.139965589685701</v>
      </c>
      <c r="AJ4382">
        <v>93.469421954544501</v>
      </c>
      <c r="AK4382">
        <v>20.251641994290001</v>
      </c>
      <c r="AL4382">
        <v>78.015269014326293</v>
      </c>
      <c r="AM4382">
        <v>92.523499492946698</v>
      </c>
      <c r="AN4382">
        <v>0.99999994023500505</v>
      </c>
    </row>
    <row r="4383" spans="1:40" x14ac:dyDescent="0.25">
      <c r="A4383" t="str">
        <f>"20190312172753438"</f>
        <v>20190312172753438</v>
      </c>
      <c r="B4383" t="str">
        <f>"1552382873433888"</f>
        <v>1552382873433888</v>
      </c>
      <c r="C4383" t="s">
        <v>40</v>
      </c>
      <c r="D4383">
        <v>3.34592</v>
      </c>
      <c r="E4383">
        <v>0.49585309999999999</v>
      </c>
      <c r="F4383" t="s">
        <v>41</v>
      </c>
      <c r="G4383">
        <v>-421.18220000000002</v>
      </c>
      <c r="H4383" s="1">
        <v>-3.8048239999999998E-6</v>
      </c>
      <c r="I4383">
        <v>47.725009999999997</v>
      </c>
      <c r="J4383">
        <v>-422.70269999999999</v>
      </c>
      <c r="K4383">
        <v>1.109305</v>
      </c>
      <c r="L4383">
        <v>67.932369999999906</v>
      </c>
      <c r="M4383">
        <v>1.3834819999999999E-2</v>
      </c>
      <c r="N4383">
        <v>0</v>
      </c>
      <c r="O4383">
        <v>-0.99987079999999995</v>
      </c>
      <c r="P4383">
        <v>5.7662789999999998E-2</v>
      </c>
      <c r="Q4383">
        <v>0.2001463</v>
      </c>
      <c r="R4383">
        <v>-0.97806769999999998</v>
      </c>
      <c r="S4383">
        <v>0.2286987</v>
      </c>
      <c r="T4383">
        <v>-0.16624529999999901</v>
      </c>
      <c r="U4383">
        <v>-3.087555</v>
      </c>
      <c r="V4383">
        <v>-4.4184460000000002E-2</v>
      </c>
      <c r="W4383">
        <v>0.20814170000000001</v>
      </c>
      <c r="X4383">
        <v>0.97710019999999997</v>
      </c>
      <c r="Y4383">
        <v>-5.9957910000000003E-2</v>
      </c>
      <c r="Z4383">
        <v>5.3636499999999997E-2</v>
      </c>
      <c r="AA4383">
        <v>0.99675879999999994</v>
      </c>
      <c r="AB4383">
        <v>37</v>
      </c>
      <c r="AC4383">
        <v>1.52049999999997</v>
      </c>
      <c r="AD4383">
        <v>-1.1093088048240001</v>
      </c>
      <c r="AE4383">
        <v>-20.207359999999898</v>
      </c>
      <c r="AF4383">
        <v>-1.2370728626504699</v>
      </c>
      <c r="AG4383">
        <v>-1.1093088048240001</v>
      </c>
      <c r="AH4383">
        <v>20.1660322259461</v>
      </c>
      <c r="AI4383">
        <v>93.142701791661196</v>
      </c>
      <c r="AJ4383">
        <v>93.510375480738801</v>
      </c>
      <c r="AK4383">
        <v>20.234371031239402</v>
      </c>
      <c r="AL4383">
        <v>77.986526902078197</v>
      </c>
      <c r="AM4383">
        <v>92.589150657305794</v>
      </c>
      <c r="AN4383">
        <v>1.0000000173122101</v>
      </c>
    </row>
    <row r="4384" spans="1:40" x14ac:dyDescent="0.25">
      <c r="A4384" t="str">
        <f>"20190312172753463"</f>
        <v>20190312172753463</v>
      </c>
      <c r="B4384" t="str">
        <f>"1552382873453410"</f>
        <v>1552382873453410</v>
      </c>
      <c r="C4384" t="s">
        <v>40</v>
      </c>
      <c r="D4384">
        <v>3.3216329999999998</v>
      </c>
      <c r="E4384">
        <v>0.49596000000000001</v>
      </c>
      <c r="F4384" t="s">
        <v>41</v>
      </c>
      <c r="G4384">
        <v>-421.16930000000002</v>
      </c>
      <c r="H4384" s="1">
        <v>-3.6823580000000002E-6</v>
      </c>
      <c r="I4384">
        <v>47.44755</v>
      </c>
      <c r="J4384">
        <v>-422.6968</v>
      </c>
      <c r="K4384">
        <v>1.1093189999999999</v>
      </c>
      <c r="L4384">
        <v>67.522919999999999</v>
      </c>
      <c r="M4384">
        <v>1.3980319999999999E-2</v>
      </c>
      <c r="N4384">
        <v>0</v>
      </c>
      <c r="O4384">
        <v>-0.99986770000000003</v>
      </c>
      <c r="P4384">
        <v>5.8644670000000003E-2</v>
      </c>
      <c r="Q4384">
        <v>0.2006877</v>
      </c>
      <c r="R4384">
        <v>-0.97789820000000005</v>
      </c>
      <c r="S4384">
        <v>0.23114009999999999</v>
      </c>
      <c r="T4384">
        <v>-0.1672159</v>
      </c>
      <c r="U4384">
        <v>-3.08786</v>
      </c>
      <c r="V4384">
        <v>-4.502689E-2</v>
      </c>
      <c r="W4384">
        <v>0.2087997</v>
      </c>
      <c r="X4384">
        <v>0.97692129999999999</v>
      </c>
      <c r="Y4384">
        <v>-6.0587889999999998E-2</v>
      </c>
      <c r="Z4384">
        <v>5.3940670000000003E-2</v>
      </c>
      <c r="AA4384">
        <v>0.99670429999999999</v>
      </c>
      <c r="AB4384">
        <v>37</v>
      </c>
      <c r="AC4384">
        <v>1.5274999999999701</v>
      </c>
      <c r="AD4384">
        <v>-1.109322682358</v>
      </c>
      <c r="AE4384">
        <v>-20.075369999999999</v>
      </c>
      <c r="AF4384">
        <v>-1.24290761691879</v>
      </c>
      <c r="AG4384">
        <v>-1.109322682358</v>
      </c>
      <c r="AH4384">
        <v>20.0339433581013</v>
      </c>
      <c r="AI4384">
        <v>93.163284989836598</v>
      </c>
      <c r="AJ4384">
        <v>93.5500851646174</v>
      </c>
      <c r="AK4384">
        <v>20.103091867506301</v>
      </c>
      <c r="AL4384">
        <v>77.947978890925697</v>
      </c>
      <c r="AM4384">
        <v>92.638929314793003</v>
      </c>
      <c r="AN4384">
        <v>0.99999998096842502</v>
      </c>
    </row>
    <row r="4385" spans="1:40" x14ac:dyDescent="0.25">
      <c r="A4385" t="str">
        <f>"20190312172753484"</f>
        <v>20190312172753484</v>
      </c>
      <c r="B4385" t="str">
        <f>"1552382873473906"</f>
        <v>1552382873473906</v>
      </c>
      <c r="C4385" t="s">
        <v>40</v>
      </c>
      <c r="D4385">
        <v>3.317002</v>
      </c>
      <c r="E4385">
        <v>0.49598609999999999</v>
      </c>
      <c r="F4385" t="s">
        <v>41</v>
      </c>
      <c r="G4385">
        <v>-421.13920000000002</v>
      </c>
      <c r="H4385" s="1">
        <v>-3.4813999999999998E-6</v>
      </c>
      <c r="I4385">
        <v>46.99776</v>
      </c>
      <c r="J4385">
        <v>-422.69170000000003</v>
      </c>
      <c r="K4385">
        <v>1.109327</v>
      </c>
      <c r="L4385">
        <v>67.161799999999999</v>
      </c>
      <c r="M4385">
        <v>1.4108580000000001E-2</v>
      </c>
      <c r="N4385">
        <v>0</v>
      </c>
      <c r="O4385">
        <v>-0.9998648</v>
      </c>
      <c r="P4385">
        <v>6.0107479999999998E-2</v>
      </c>
      <c r="Q4385">
        <v>0.2006782</v>
      </c>
      <c r="R4385">
        <v>-0.97781149999999994</v>
      </c>
      <c r="S4385">
        <v>0.23434450000000001</v>
      </c>
      <c r="T4385">
        <v>-0.16689780000000001</v>
      </c>
      <c r="U4385">
        <v>-3.0880130000000001</v>
      </c>
      <c r="V4385">
        <v>-4.6365089999999998E-2</v>
      </c>
      <c r="W4385">
        <v>0.20890139999999999</v>
      </c>
      <c r="X4385">
        <v>0.97683699999999996</v>
      </c>
      <c r="Y4385">
        <v>-6.1484990000000003E-2</v>
      </c>
      <c r="Z4385">
        <v>5.3831959999999998E-2</v>
      </c>
      <c r="AA4385">
        <v>0.99665530000000002</v>
      </c>
      <c r="AB4385">
        <v>37</v>
      </c>
      <c r="AC4385">
        <v>1.5525</v>
      </c>
      <c r="AD4385">
        <v>-1.1093304814</v>
      </c>
      <c r="AE4385">
        <v>-20.16404</v>
      </c>
      <c r="AF4385">
        <v>-1.2640460297174101</v>
      </c>
      <c r="AG4385">
        <v>-1.1093304814</v>
      </c>
      <c r="AH4385">
        <v>20.123389092276</v>
      </c>
      <c r="AI4385">
        <v>93.149123675325797</v>
      </c>
      <c r="AJ4385">
        <v>93.594298761160104</v>
      </c>
      <c r="AK4385">
        <v>20.193543895050698</v>
      </c>
      <c r="AL4385">
        <v>77.942020997531799</v>
      </c>
      <c r="AM4385">
        <v>92.717476634288005</v>
      </c>
      <c r="AN4385">
        <v>1.0000000205308299</v>
      </c>
    </row>
    <row r="4386" spans="1:40" x14ac:dyDescent="0.25">
      <c r="A4386" t="str">
        <f>"20190312172753503"</f>
        <v>20190312172753503</v>
      </c>
      <c r="B4386" t="str">
        <f>"1552382873493425"</f>
        <v>1552382873493425</v>
      </c>
      <c r="C4386" t="s">
        <v>40</v>
      </c>
      <c r="D4386">
        <v>3.3344640000000001</v>
      </c>
      <c r="E4386">
        <v>0.49607960000000001</v>
      </c>
      <c r="F4386" t="s">
        <v>41</v>
      </c>
      <c r="G4386">
        <v>-421.11750000000001</v>
      </c>
      <c r="H4386" s="1">
        <v>-3.3888149999999998E-6</v>
      </c>
      <c r="I4386">
        <v>46.795430000000003</v>
      </c>
      <c r="J4386">
        <v>-422.68720000000002</v>
      </c>
      <c r="K4386">
        <v>1.1093470000000001</v>
      </c>
      <c r="L4386">
        <v>66.846620000000001</v>
      </c>
      <c r="M4386">
        <v>1.4220440000000001E-2</v>
      </c>
      <c r="N4386">
        <v>0</v>
      </c>
      <c r="O4386">
        <v>-0.99986240000000004</v>
      </c>
      <c r="P4386">
        <v>6.1522649999999998E-2</v>
      </c>
      <c r="Q4386">
        <v>0.20052049999999999</v>
      </c>
      <c r="R4386">
        <v>-0.97775579999999995</v>
      </c>
      <c r="S4386">
        <v>0.238678</v>
      </c>
      <c r="T4386">
        <v>-0.16819500000000001</v>
      </c>
      <c r="U4386">
        <v>-3.0879210000000001</v>
      </c>
      <c r="V4386">
        <v>-4.7671650000000003E-2</v>
      </c>
      <c r="W4386">
        <v>0.2088515</v>
      </c>
      <c r="X4386">
        <v>0.97678480000000001</v>
      </c>
      <c r="Y4386">
        <v>-6.2764280000000006E-2</v>
      </c>
      <c r="Z4386">
        <v>5.424557E-2</v>
      </c>
      <c r="AA4386">
        <v>0.99655309999999997</v>
      </c>
      <c r="AB4386">
        <v>37</v>
      </c>
      <c r="AC4386">
        <v>1.5697000000000101</v>
      </c>
      <c r="AD4386">
        <v>-1.10935038881499</v>
      </c>
      <c r="AE4386">
        <v>-20.051189999999998</v>
      </c>
      <c r="AF4386">
        <v>-1.28049844499312</v>
      </c>
      <c r="AG4386">
        <v>-1.10935038881499</v>
      </c>
      <c r="AH4386">
        <v>20.010606497991599</v>
      </c>
      <c r="AI4386">
        <v>93.166658529157402</v>
      </c>
      <c r="AJ4386">
        <v>93.661421231359597</v>
      </c>
      <c r="AK4386">
        <v>20.0821987583595</v>
      </c>
      <c r="AL4386">
        <v>77.944944787336198</v>
      </c>
      <c r="AM4386">
        <v>92.794084037754203</v>
      </c>
      <c r="AN4386">
        <v>1.0000000403885001</v>
      </c>
    </row>
    <row r="4387" spans="1:40" x14ac:dyDescent="0.25">
      <c r="A4387" t="str">
        <f>"20190312172753526"</f>
        <v>20190312172753526</v>
      </c>
      <c r="B4387" t="str">
        <f>"1552382873523681"</f>
        <v>1552382873523681</v>
      </c>
      <c r="C4387" t="s">
        <v>40</v>
      </c>
      <c r="D4387">
        <v>3.3188230000000001</v>
      </c>
      <c r="E4387">
        <v>0.49727850000000001</v>
      </c>
      <c r="F4387" t="s">
        <v>41</v>
      </c>
      <c r="G4387">
        <v>-421.10860000000002</v>
      </c>
      <c r="H4387" s="1">
        <v>-3.3454549999999998E-6</v>
      </c>
      <c r="I4387">
        <v>46.699840000000002</v>
      </c>
      <c r="J4387">
        <v>-422.68150000000003</v>
      </c>
      <c r="K4387">
        <v>1.1093679999999999</v>
      </c>
      <c r="L4387">
        <v>66.463130000000007</v>
      </c>
      <c r="M4387">
        <v>1.435639E-2</v>
      </c>
      <c r="N4387">
        <v>0</v>
      </c>
      <c r="O4387">
        <v>-0.99985930000000001</v>
      </c>
      <c r="P4387">
        <v>6.2704839999999998E-2</v>
      </c>
      <c r="Q4387">
        <v>0.20127980000000001</v>
      </c>
      <c r="R4387">
        <v>-0.97752510000000004</v>
      </c>
      <c r="S4387">
        <v>0.2419434</v>
      </c>
      <c r="T4387">
        <v>-0.17002990000000001</v>
      </c>
      <c r="U4387">
        <v>-3.0878909999999999</v>
      </c>
      <c r="V4387">
        <v>-4.8723919999999997E-2</v>
      </c>
      <c r="W4387">
        <v>0.20975559999999999</v>
      </c>
      <c r="X4387">
        <v>0.97653909999999999</v>
      </c>
      <c r="Y4387">
        <v>-6.367428E-2</v>
      </c>
      <c r="Z4387">
        <v>5.483213E-2</v>
      </c>
      <c r="AA4387">
        <v>0.99646319999999999</v>
      </c>
      <c r="AB4387">
        <v>37</v>
      </c>
      <c r="AC4387">
        <v>1.5729</v>
      </c>
      <c r="AD4387">
        <v>-1.109371345455</v>
      </c>
      <c r="AE4387">
        <v>-19.763290000000001</v>
      </c>
      <c r="AF4387">
        <v>-1.2849743603702299</v>
      </c>
      <c r="AG4387">
        <v>-1.109371345455</v>
      </c>
      <c r="AH4387">
        <v>19.722083803950301</v>
      </c>
      <c r="AI4387">
        <v>93.2127093335978</v>
      </c>
      <c r="AJ4387">
        <v>93.727785266105201</v>
      </c>
      <c r="AK4387">
        <v>19.795010822400801</v>
      </c>
      <c r="AL4387">
        <v>77.891970112730704</v>
      </c>
      <c r="AM4387">
        <v>92.856374971166105</v>
      </c>
      <c r="AN4387">
        <v>1.00000002297016</v>
      </c>
    </row>
    <row r="4388" spans="1:40" x14ac:dyDescent="0.25">
      <c r="A4388" t="str">
        <f>"20190312172753549"</f>
        <v>20190312172753549</v>
      </c>
      <c r="B4388" t="str">
        <f>"1552382873544176"</f>
        <v>1552382873544176</v>
      </c>
      <c r="C4388" t="s">
        <v>40</v>
      </c>
      <c r="D4388">
        <v>3.3357929999999998</v>
      </c>
      <c r="E4388">
        <v>0.49716290000000002</v>
      </c>
      <c r="F4388" t="s">
        <v>41</v>
      </c>
      <c r="G4388">
        <v>-421.24020000000002</v>
      </c>
      <c r="H4388" s="1">
        <v>-3.7812260000000002E-6</v>
      </c>
      <c r="I4388">
        <v>47.63402</v>
      </c>
      <c r="J4388">
        <v>-422.67630000000003</v>
      </c>
      <c r="K4388">
        <v>1.109399</v>
      </c>
      <c r="L4388">
        <v>66.100560000000002</v>
      </c>
      <c r="M4388">
        <v>1.448471E-2</v>
      </c>
      <c r="N4388">
        <v>0</v>
      </c>
      <c r="O4388">
        <v>-0.99985599999999997</v>
      </c>
      <c r="P4388">
        <v>6.4029489999999994E-2</v>
      </c>
      <c r="Q4388">
        <v>0.20176769999999999</v>
      </c>
      <c r="R4388">
        <v>-0.97733829999999999</v>
      </c>
      <c r="S4388">
        <v>0.23663329999999999</v>
      </c>
      <c r="T4388">
        <v>-0.1821334</v>
      </c>
      <c r="U4388">
        <v>-3.0913089999999999</v>
      </c>
      <c r="V4388">
        <v>-4.9926110000000003E-2</v>
      </c>
      <c r="W4388">
        <v>0.21039939999999999</v>
      </c>
      <c r="X4388">
        <v>0.97633979999999998</v>
      </c>
      <c r="Y4388">
        <v>-6.1742169999999999E-2</v>
      </c>
      <c r="Z4388">
        <v>5.866507E-2</v>
      </c>
      <c r="AA4388">
        <v>0.99636659999999999</v>
      </c>
      <c r="AB4388">
        <v>37</v>
      </c>
      <c r="AC4388">
        <v>1.4361000000000099</v>
      </c>
      <c r="AD4388">
        <v>-1.1094027812259999</v>
      </c>
      <c r="AE4388">
        <v>-18.466539999999998</v>
      </c>
      <c r="AF4388">
        <v>-1.16427957320446</v>
      </c>
      <c r="AG4388">
        <v>-1.1094027812259999</v>
      </c>
      <c r="AH4388">
        <v>18.419325987515901</v>
      </c>
      <c r="AI4388">
        <v>93.439933267560406</v>
      </c>
      <c r="AJ4388">
        <v>93.616835633534095</v>
      </c>
      <c r="AK4388">
        <v>18.4893994302127</v>
      </c>
      <c r="AL4388">
        <v>77.854240437726901</v>
      </c>
      <c r="AM4388">
        <v>92.927327093439402</v>
      </c>
      <c r="AN4388">
        <v>0.99999996452206497</v>
      </c>
    </row>
    <row r="4389" spans="1:40" x14ac:dyDescent="0.25">
      <c r="A4389" t="str">
        <f>"20190312172753570"</f>
        <v>20190312172753570</v>
      </c>
      <c r="B4389" t="str">
        <f>"1552382873563696"</f>
        <v>1552382873563696</v>
      </c>
      <c r="C4389" t="s">
        <v>40</v>
      </c>
      <c r="D4389">
        <v>3.303893</v>
      </c>
      <c r="E4389">
        <v>0.49709969999999998</v>
      </c>
      <c r="F4389" t="s">
        <v>41</v>
      </c>
      <c r="G4389">
        <v>-421.18700000000001</v>
      </c>
      <c r="H4389" s="1">
        <v>-3.5231129999999999E-6</v>
      </c>
      <c r="I4389">
        <v>47.065339999999999</v>
      </c>
      <c r="J4389">
        <v>-422.67079999999999</v>
      </c>
      <c r="K4389">
        <v>1.109432</v>
      </c>
      <c r="L4389">
        <v>65.73151</v>
      </c>
      <c r="M4389">
        <v>1.4615100000000001E-2</v>
      </c>
      <c r="N4389">
        <v>0</v>
      </c>
      <c r="O4389">
        <v>-0.99985239999999997</v>
      </c>
      <c r="P4389">
        <v>6.5251599999999896E-2</v>
      </c>
      <c r="Q4389">
        <v>0.20174739999999999</v>
      </c>
      <c r="R4389">
        <v>-0.97726190000000002</v>
      </c>
      <c r="S4389">
        <v>0.24182129999999999</v>
      </c>
      <c r="T4389">
        <v>-0.1801432</v>
      </c>
      <c r="U4389">
        <v>-3.0909119999999999</v>
      </c>
      <c r="V4389">
        <v>-5.1022089999999999E-2</v>
      </c>
      <c r="W4389">
        <v>0.21055750000000001</v>
      </c>
      <c r="X4389">
        <v>0.97624909999999998</v>
      </c>
      <c r="Y4389">
        <v>-6.3286969999999998E-2</v>
      </c>
      <c r="Z4389">
        <v>5.8026889999999998E-2</v>
      </c>
      <c r="AA4389">
        <v>0.99630700000000005</v>
      </c>
      <c r="AB4389">
        <v>37</v>
      </c>
      <c r="AC4389">
        <v>1.48380000000003</v>
      </c>
      <c r="AD4389">
        <v>-1.109435523113</v>
      </c>
      <c r="AE4389">
        <v>-18.666170000000001</v>
      </c>
      <c r="AF4389">
        <v>-1.20658682188105</v>
      </c>
      <c r="AG4389">
        <v>-1.109435523113</v>
      </c>
      <c r="AH4389">
        <v>18.620497327576999</v>
      </c>
      <c r="AI4389">
        <v>93.402613172245495</v>
      </c>
      <c r="AJ4389">
        <v>93.707517292725996</v>
      </c>
      <c r="AK4389">
        <v>18.692501696268</v>
      </c>
      <c r="AL4389">
        <v>77.844974961037295</v>
      </c>
      <c r="AM4389">
        <v>92.991749850393006</v>
      </c>
      <c r="AN4389">
        <v>1.0000000098625099</v>
      </c>
    </row>
    <row r="4390" spans="1:40" x14ac:dyDescent="0.25">
      <c r="A4390" t="str">
        <f>"20190312172753592"</f>
        <v>20190312172753592</v>
      </c>
      <c r="B4390" t="str">
        <f>"1552382873584193"</f>
        <v>1552382873584193</v>
      </c>
      <c r="C4390" t="s">
        <v>40</v>
      </c>
      <c r="D4390">
        <v>3.414237</v>
      </c>
      <c r="E4390">
        <v>0.49718630000000003</v>
      </c>
      <c r="F4390" t="s">
        <v>41</v>
      </c>
      <c r="G4390">
        <v>-421.15230000000003</v>
      </c>
      <c r="H4390" s="1">
        <v>-3.358252E-6</v>
      </c>
      <c r="I4390">
        <v>46.702559999999998</v>
      </c>
      <c r="J4390">
        <v>-422.66520000000003</v>
      </c>
      <c r="K4390">
        <v>1.109459</v>
      </c>
      <c r="L4390">
        <v>65.358090000000004</v>
      </c>
      <c r="M4390">
        <v>1.474717E-2</v>
      </c>
      <c r="N4390">
        <v>0</v>
      </c>
      <c r="O4390">
        <v>-0.99984879999999998</v>
      </c>
      <c r="P4390">
        <v>6.6217799999999993E-2</v>
      </c>
      <c r="Q4390">
        <v>0.20211680000000001</v>
      </c>
      <c r="R4390">
        <v>-0.97712060000000001</v>
      </c>
      <c r="S4390">
        <v>0.24661250000000001</v>
      </c>
      <c r="T4390">
        <v>-0.1801865</v>
      </c>
      <c r="U4390">
        <v>-3.0905459999999998</v>
      </c>
      <c r="V4390">
        <v>-5.1861539999999998E-2</v>
      </c>
      <c r="W4390">
        <v>0.21111350000000001</v>
      </c>
      <c r="X4390">
        <v>0.97608479999999997</v>
      </c>
      <c r="Y4390">
        <v>-6.469917E-2</v>
      </c>
      <c r="Z4390">
        <v>5.8041299999999997E-2</v>
      </c>
      <c r="AA4390">
        <v>0.99621550000000003</v>
      </c>
      <c r="AB4390">
        <v>37</v>
      </c>
      <c r="AC4390">
        <v>1.5128999999999999</v>
      </c>
      <c r="AD4390">
        <v>-1.109462358252</v>
      </c>
      <c r="AE4390">
        <v>-18.655529999999999</v>
      </c>
      <c r="AF4390">
        <v>-1.23327417378969</v>
      </c>
      <c r="AG4390">
        <v>-1.109462358252</v>
      </c>
      <c r="AH4390">
        <v>18.610421862414999</v>
      </c>
      <c r="AI4390">
        <v>93.404207546399306</v>
      </c>
      <c r="AJ4390">
        <v>93.791329517838193</v>
      </c>
      <c r="AK4390">
        <v>18.684209210163701</v>
      </c>
      <c r="AL4390">
        <v>77.812386243714897</v>
      </c>
      <c r="AM4390">
        <v>93.041391408396606</v>
      </c>
      <c r="AN4390">
        <v>1.0000000330022301</v>
      </c>
    </row>
    <row r="4391" spans="1:40" x14ac:dyDescent="0.25">
      <c r="A4391" t="str">
        <f>"20190312172753615"</f>
        <v>20190312172753615</v>
      </c>
      <c r="B4391" t="str">
        <f>"1552382873603713"</f>
        <v>1552382873603713</v>
      </c>
      <c r="C4391" t="s">
        <v>40</v>
      </c>
      <c r="D4391">
        <v>3.318336</v>
      </c>
      <c r="E4391">
        <v>0.49493429999999999</v>
      </c>
      <c r="F4391" t="s">
        <v>41</v>
      </c>
      <c r="G4391">
        <v>-421.12970000000001</v>
      </c>
      <c r="H4391" s="1">
        <v>-3.1483150000000002E-6</v>
      </c>
      <c r="I4391">
        <v>46.227229999999999</v>
      </c>
      <c r="J4391">
        <v>-422.65949999999998</v>
      </c>
      <c r="K4391">
        <v>1.1094919999999999</v>
      </c>
      <c r="L4391">
        <v>64.984769999999997</v>
      </c>
      <c r="M4391">
        <v>1.487871E-2</v>
      </c>
      <c r="N4391">
        <v>0</v>
      </c>
      <c r="O4391">
        <v>-0.99984499999999998</v>
      </c>
      <c r="P4391">
        <v>6.7609909999999995E-2</v>
      </c>
      <c r="Q4391">
        <v>0.20225389999999999</v>
      </c>
      <c r="R4391">
        <v>-0.97699689999999995</v>
      </c>
      <c r="S4391">
        <v>0.24804689999999999</v>
      </c>
      <c r="T4391">
        <v>-0.17922929999999901</v>
      </c>
      <c r="U4391">
        <v>-3.0905149999999999</v>
      </c>
      <c r="V4391">
        <v>-5.3126779999999998E-2</v>
      </c>
      <c r="W4391">
        <v>0.21145050000000001</v>
      </c>
      <c r="X4391">
        <v>0.97594369999999997</v>
      </c>
      <c r="Y4391">
        <v>-6.5029470000000006E-2</v>
      </c>
      <c r="Z4391">
        <v>5.7732699999999998E-2</v>
      </c>
      <c r="AA4391">
        <v>0.99621190000000004</v>
      </c>
      <c r="AB4391">
        <v>37</v>
      </c>
      <c r="AC4391">
        <v>1.5297999999999601</v>
      </c>
      <c r="AD4391">
        <v>-1.109495148315</v>
      </c>
      <c r="AE4391">
        <v>-18.757539999999999</v>
      </c>
      <c r="AF4391">
        <v>-1.2461990915702299</v>
      </c>
      <c r="AG4391">
        <v>-1.109495148315</v>
      </c>
      <c r="AH4391">
        <v>18.713187847420802</v>
      </c>
      <c r="AI4391">
        <v>93.3855833147189</v>
      </c>
      <c r="AJ4391">
        <v>93.809969554087203</v>
      </c>
      <c r="AK4391">
        <v>18.787426408979599</v>
      </c>
      <c r="AL4391">
        <v>77.792630420274406</v>
      </c>
      <c r="AM4391">
        <v>93.115895816811801</v>
      </c>
      <c r="AN4391">
        <v>0.999999937136552</v>
      </c>
    </row>
    <row r="4392" spans="1:40" x14ac:dyDescent="0.25">
      <c r="A4392" t="str">
        <f>"20190312172753637"</f>
        <v>20190312172753637</v>
      </c>
      <c r="B4392" t="str">
        <f>"1552382873633969"</f>
        <v>1552382873633969</v>
      </c>
      <c r="C4392" t="s">
        <v>40</v>
      </c>
      <c r="D4392">
        <v>3.3391510000000002</v>
      </c>
      <c r="E4392">
        <v>0.49709609999999899</v>
      </c>
      <c r="F4392" t="s">
        <v>41</v>
      </c>
      <c r="G4392">
        <v>-420.7747</v>
      </c>
      <c r="H4392" s="1">
        <v>-1.83694E-6</v>
      </c>
      <c r="I4392">
        <v>43.39058</v>
      </c>
      <c r="J4392">
        <v>-422.65370000000001</v>
      </c>
      <c r="K4392">
        <v>1.1095280000000001</v>
      </c>
      <c r="L4392">
        <v>64.607569999999996</v>
      </c>
      <c r="M4392">
        <v>1.501181E-2</v>
      </c>
      <c r="N4392">
        <v>0</v>
      </c>
      <c r="O4392">
        <v>-0.99984070000000003</v>
      </c>
      <c r="P4392">
        <v>6.8120269999999997E-2</v>
      </c>
      <c r="Q4392">
        <v>0.20251130000000001</v>
      </c>
      <c r="R4392">
        <v>-0.97690779999999999</v>
      </c>
      <c r="S4392">
        <v>0.26925660000000001</v>
      </c>
      <c r="T4392">
        <v>-0.15849530000000001</v>
      </c>
      <c r="U4392">
        <v>-3.0848080000000002</v>
      </c>
      <c r="V4392">
        <v>-5.350916E-2</v>
      </c>
      <c r="W4392">
        <v>0.21193239999999999</v>
      </c>
      <c r="X4392">
        <v>0.97581830000000003</v>
      </c>
      <c r="Y4392">
        <v>-7.1874889999999997E-2</v>
      </c>
      <c r="Z4392">
        <v>5.1139660000000003E-2</v>
      </c>
      <c r="AA4392">
        <v>0.99610180000000004</v>
      </c>
      <c r="AB4392">
        <v>37</v>
      </c>
      <c r="AC4392">
        <v>1.87900000000001</v>
      </c>
      <c r="AD4392">
        <v>-1.10952983694</v>
      </c>
      <c r="AE4392">
        <v>-21.216989999999999</v>
      </c>
      <c r="AF4392">
        <v>-1.5560457680795801</v>
      </c>
      <c r="AG4392">
        <v>-1.10952983694</v>
      </c>
      <c r="AH4392">
        <v>21.185322733151501</v>
      </c>
      <c r="AI4392">
        <v>92.989948732346406</v>
      </c>
      <c r="AJ4392">
        <v>94.2007879418762</v>
      </c>
      <c r="AK4392">
        <v>21.271347728792399</v>
      </c>
      <c r="AL4392">
        <v>77.764379641934497</v>
      </c>
      <c r="AM4392">
        <v>93.138680294625701</v>
      </c>
      <c r="AN4392">
        <v>0.999999963494277</v>
      </c>
    </row>
    <row r="4393" spans="1:40" x14ac:dyDescent="0.25">
      <c r="A4393" t="str">
        <f>"20190312172753662"</f>
        <v>20190312172753662</v>
      </c>
      <c r="B4393" t="str">
        <f>"1552382873653489"</f>
        <v>1552382873653489</v>
      </c>
      <c r="C4393" t="s">
        <v>40</v>
      </c>
      <c r="D4393">
        <v>3.349507</v>
      </c>
      <c r="E4393">
        <v>0.49759690000000001</v>
      </c>
      <c r="F4393" t="s">
        <v>41</v>
      </c>
      <c r="G4393">
        <v>-421.05489999999998</v>
      </c>
      <c r="H4393" s="1">
        <v>-2.6719600000000002E-6</v>
      </c>
      <c r="I4393">
        <v>45.163220000000003</v>
      </c>
      <c r="J4393">
        <v>-422.64769999999999</v>
      </c>
      <c r="K4393">
        <v>1.109577</v>
      </c>
      <c r="L4393">
        <v>64.211179999999999</v>
      </c>
      <c r="M4393">
        <v>1.5156380000000001E-2</v>
      </c>
      <c r="N4393">
        <v>0</v>
      </c>
      <c r="O4393">
        <v>-0.99983599999999995</v>
      </c>
      <c r="P4393">
        <v>6.8564769999999997E-2</v>
      </c>
      <c r="Q4393">
        <v>0.2037484</v>
      </c>
      <c r="R4393">
        <v>-0.97661960000000003</v>
      </c>
      <c r="S4393">
        <v>0.25405879999999997</v>
      </c>
      <c r="T4393">
        <v>-0.17630699999999999</v>
      </c>
      <c r="U4393">
        <v>-3.0897519999999998</v>
      </c>
      <c r="V4393">
        <v>-5.3819209999999999E-2</v>
      </c>
      <c r="W4393">
        <v>0.21343309999999999</v>
      </c>
      <c r="X4393">
        <v>0.97547410000000001</v>
      </c>
      <c r="Y4393">
        <v>-6.6701869999999996E-2</v>
      </c>
      <c r="Z4393">
        <v>5.6800419999999997E-2</v>
      </c>
      <c r="AA4393">
        <v>0.99615489999999995</v>
      </c>
      <c r="AB4393">
        <v>37</v>
      </c>
      <c r="AC4393">
        <v>1.59280000000001</v>
      </c>
      <c r="AD4393">
        <v>-1.10957967196</v>
      </c>
      <c r="AE4393">
        <v>-19.04796</v>
      </c>
      <c r="AF4393">
        <v>-1.2995256833550899</v>
      </c>
      <c r="AG4393">
        <v>-1.10957967196</v>
      </c>
      <c r="AH4393">
        <v>19.005869653445401</v>
      </c>
      <c r="AI4393">
        <v>93.333420951805607</v>
      </c>
      <c r="AJ4393">
        <v>93.911508920947796</v>
      </c>
      <c r="AK4393">
        <v>19.082531680410799</v>
      </c>
      <c r="AL4393">
        <v>77.676382522147307</v>
      </c>
      <c r="AM4393">
        <v>93.157941828149802</v>
      </c>
      <c r="AN4393">
        <v>0.99999995765572103</v>
      </c>
    </row>
    <row r="4394" spans="1:40" x14ac:dyDescent="0.25">
      <c r="A4394" t="str">
        <f>"20190312172753682"</f>
        <v>20190312172753682</v>
      </c>
      <c r="B4394" t="str">
        <f>"1552382873673985"</f>
        <v>1552382873673985</v>
      </c>
      <c r="C4394" t="s">
        <v>40</v>
      </c>
      <c r="D4394">
        <v>3.3326129999999998</v>
      </c>
      <c r="E4394">
        <v>0.49769000000000002</v>
      </c>
      <c r="F4394" t="s">
        <v>41</v>
      </c>
      <c r="G4394">
        <v>-421.07350000000002</v>
      </c>
      <c r="H4394" s="1">
        <v>-2.5728799999999998E-6</v>
      </c>
      <c r="I4394">
        <v>44.920740000000002</v>
      </c>
      <c r="J4394">
        <v>-422.6422</v>
      </c>
      <c r="K4394">
        <v>1.109626</v>
      </c>
      <c r="L4394">
        <v>63.8572699999999</v>
      </c>
      <c r="M4394">
        <v>1.528176E-2</v>
      </c>
      <c r="N4394">
        <v>0</v>
      </c>
      <c r="O4394">
        <v>-0.99983120000000003</v>
      </c>
      <c r="P4394">
        <v>6.9819899999999893E-2</v>
      </c>
      <c r="Q4394">
        <v>0.20361670000000001</v>
      </c>
      <c r="R4394">
        <v>-0.97655800000000004</v>
      </c>
      <c r="S4394">
        <v>0.25225829999999999</v>
      </c>
      <c r="T4394">
        <v>-0.17780399999999999</v>
      </c>
      <c r="U4394">
        <v>-3.0911870000000001</v>
      </c>
      <c r="V4394">
        <v>-5.4954360000000001E-2</v>
      </c>
      <c r="W4394">
        <v>0.2135649</v>
      </c>
      <c r="X4394">
        <v>0.97538199999999997</v>
      </c>
      <c r="Y4394">
        <v>-6.5960439999999995E-2</v>
      </c>
      <c r="Z4394">
        <v>5.7257339999999997E-2</v>
      </c>
      <c r="AA4394">
        <v>0.99617809999999996</v>
      </c>
      <c r="AB4394">
        <v>37</v>
      </c>
      <c r="AC4394">
        <v>1.56869999999997</v>
      </c>
      <c r="AD4394">
        <v>-1.1096285728799999</v>
      </c>
      <c r="AE4394">
        <v>-18.936529999999902</v>
      </c>
      <c r="AF4394">
        <v>-1.2747709690809499</v>
      </c>
      <c r="AG4394">
        <v>-1.1096285728799999</v>
      </c>
      <c r="AH4394">
        <v>18.893859736722199</v>
      </c>
      <c r="AI4394">
        <v>93.353489891163605</v>
      </c>
      <c r="AJ4394">
        <v>93.859903129142594</v>
      </c>
      <c r="AK4394">
        <v>18.969297623905199</v>
      </c>
      <c r="AL4394">
        <v>77.668653207609594</v>
      </c>
      <c r="AM4394">
        <v>93.2247135816216</v>
      </c>
      <c r="AN4394">
        <v>0.99999999705950904</v>
      </c>
    </row>
    <row r="4395" spans="1:40" x14ac:dyDescent="0.25">
      <c r="A4395" t="str">
        <f>"20190312172753705"</f>
        <v>20190312172753705</v>
      </c>
      <c r="B4395" t="str">
        <f>"1552382873693506"</f>
        <v>1552382873693506</v>
      </c>
      <c r="C4395" t="s">
        <v>40</v>
      </c>
      <c r="D4395">
        <v>3.347032</v>
      </c>
      <c r="E4395">
        <v>0.49797730000000001</v>
      </c>
      <c r="F4395" t="s">
        <v>41</v>
      </c>
      <c r="G4395">
        <v>-421.07240000000002</v>
      </c>
      <c r="H4395" s="1">
        <v>-2.5409009999999999E-6</v>
      </c>
      <c r="I4395">
        <v>44.846870000000003</v>
      </c>
      <c r="J4395">
        <v>-422.63650000000001</v>
      </c>
      <c r="K4395">
        <v>1.1096760000000001</v>
      </c>
      <c r="L4395">
        <v>63.491269999999901</v>
      </c>
      <c r="M4395">
        <v>1.540328E-2</v>
      </c>
      <c r="N4395">
        <v>0</v>
      </c>
      <c r="O4395">
        <v>-0.99982599999999999</v>
      </c>
      <c r="P4395">
        <v>7.0884249999999996E-2</v>
      </c>
      <c r="Q4395">
        <v>0.20284440000000001</v>
      </c>
      <c r="R4395">
        <v>-0.97664200000000001</v>
      </c>
      <c r="S4395">
        <v>0.25527949999999999</v>
      </c>
      <c r="T4395">
        <v>-0.18044350000000001</v>
      </c>
      <c r="U4395">
        <v>-3.0914000000000001</v>
      </c>
      <c r="V4395">
        <v>-5.5899129999999998E-2</v>
      </c>
      <c r="W4395">
        <v>0.21310380000000001</v>
      </c>
      <c r="X4395">
        <v>0.9754292</v>
      </c>
      <c r="Y4395">
        <v>-6.679657E-2</v>
      </c>
      <c r="Z4395">
        <v>5.8096410000000001E-2</v>
      </c>
      <c r="AA4395">
        <v>0.99607380000000001</v>
      </c>
      <c r="AB4395">
        <v>37</v>
      </c>
      <c r="AC4395">
        <v>1.5640999999999901</v>
      </c>
      <c r="AD4395">
        <v>-1.1096785409009999</v>
      </c>
      <c r="AE4395">
        <v>-18.644399999999901</v>
      </c>
      <c r="AF4395">
        <v>-1.2722383258049701</v>
      </c>
      <c r="AG4395">
        <v>-1.1096785409009999</v>
      </c>
      <c r="AH4395">
        <v>18.600850274613599</v>
      </c>
      <c r="AI4395">
        <v>93.406132330446297</v>
      </c>
      <c r="AJ4395">
        <v>93.912753166560293</v>
      </c>
      <c r="AK4395">
        <v>18.6773019400656</v>
      </c>
      <c r="AL4395">
        <v>77.6956952622768</v>
      </c>
      <c r="AM4395">
        <v>93.279874145810496</v>
      </c>
      <c r="AN4395">
        <v>1.00000003326091</v>
      </c>
    </row>
    <row r="4396" spans="1:40" x14ac:dyDescent="0.25">
      <c r="A4396" t="str">
        <f>"20190312172753726"</f>
        <v>20190312172753726</v>
      </c>
      <c r="B4396" t="str">
        <f>"1552382873723761"</f>
        <v>1552382873723761</v>
      </c>
      <c r="C4396" t="s">
        <v>40</v>
      </c>
      <c r="D4396">
        <v>3.3624640000000001</v>
      </c>
      <c r="E4396">
        <v>0.49839309999999998</v>
      </c>
      <c r="F4396" t="s">
        <v>41</v>
      </c>
      <c r="G4396">
        <v>-421.11579999999998</v>
      </c>
      <c r="H4396" s="1">
        <v>-2.67476E-6</v>
      </c>
      <c r="I4396">
        <v>45.131979999999999</v>
      </c>
      <c r="J4396">
        <v>-422.63069999999999</v>
      </c>
      <c r="K4396">
        <v>1.1097300000000001</v>
      </c>
      <c r="L4396">
        <v>63.127290000000002</v>
      </c>
      <c r="M4396">
        <v>1.5528299999999899E-2</v>
      </c>
      <c r="N4396">
        <v>0</v>
      </c>
      <c r="O4396">
        <v>-0.9998205</v>
      </c>
      <c r="P4396">
        <v>7.1842740000000002E-2</v>
      </c>
      <c r="Q4396">
        <v>0.20241909999999999</v>
      </c>
      <c r="R4396">
        <v>-0.97666070000000005</v>
      </c>
      <c r="S4396">
        <v>0.25610349999999998</v>
      </c>
      <c r="T4396">
        <v>-0.18688650000000001</v>
      </c>
      <c r="U4396">
        <v>-3.09198</v>
      </c>
      <c r="V4396">
        <v>-5.6733489999999998E-2</v>
      </c>
      <c r="W4396">
        <v>0.21303340000000001</v>
      </c>
      <c r="X4396">
        <v>0.97539640000000005</v>
      </c>
      <c r="Y4396">
        <v>-6.6910040000000004E-2</v>
      </c>
      <c r="Z4396">
        <v>6.0151169999999997E-2</v>
      </c>
      <c r="AA4396">
        <v>0.99594419999999995</v>
      </c>
      <c r="AB4396">
        <v>37</v>
      </c>
      <c r="AC4396">
        <v>1.5149000000000099</v>
      </c>
      <c r="AD4396">
        <v>-1.10973267475999</v>
      </c>
      <c r="AE4396">
        <v>-17.99531</v>
      </c>
      <c r="AF4396">
        <v>-1.230617270652</v>
      </c>
      <c r="AG4396">
        <v>-1.10973267475999</v>
      </c>
      <c r="AH4396">
        <v>17.948887239372699</v>
      </c>
      <c r="AI4396">
        <v>93.529679057140001</v>
      </c>
      <c r="AJ4396">
        <v>93.922193196063205</v>
      </c>
      <c r="AK4396">
        <v>18.025217851886602</v>
      </c>
      <c r="AL4396">
        <v>77.699823616367098</v>
      </c>
      <c r="AM4396">
        <v>93.328832515092401</v>
      </c>
      <c r="AN4396">
        <v>1.0000000277680401</v>
      </c>
    </row>
    <row r="4397" spans="1:40" x14ac:dyDescent="0.25">
      <c r="A4397" t="str">
        <f>"20190312172753750"</f>
        <v>20190312172753750</v>
      </c>
      <c r="B4397" t="str">
        <f>"1552382873744257"</f>
        <v>1552382873744257</v>
      </c>
      <c r="C4397" t="s">
        <v>40</v>
      </c>
      <c r="D4397">
        <v>3.3448359999999999</v>
      </c>
      <c r="E4397">
        <v>0.49849500000000002</v>
      </c>
      <c r="F4397" t="s">
        <v>41</v>
      </c>
      <c r="G4397">
        <v>-421.16629999999998</v>
      </c>
      <c r="H4397" s="1">
        <v>-2.790874E-6</v>
      </c>
      <c r="I4397">
        <v>45.37133</v>
      </c>
      <c r="J4397">
        <v>-422.62479999999999</v>
      </c>
      <c r="K4397">
        <v>1.109788</v>
      </c>
      <c r="L4397">
        <v>62.752040000000001</v>
      </c>
      <c r="M4397">
        <v>1.5667190000000001E-2</v>
      </c>
      <c r="N4397">
        <v>0</v>
      </c>
      <c r="O4397">
        <v>-0.99981359999999997</v>
      </c>
      <c r="P4397">
        <v>7.1915370000000006E-2</v>
      </c>
      <c r="Q4397">
        <v>0.2023143</v>
      </c>
      <c r="R4397">
        <v>-0.97667689999999996</v>
      </c>
      <c r="S4397">
        <v>0.2550964</v>
      </c>
      <c r="T4397">
        <v>-0.19330919999999999</v>
      </c>
      <c r="U4397">
        <v>-3.0929869999999999</v>
      </c>
      <c r="V4397">
        <v>-5.6667460000000003E-2</v>
      </c>
      <c r="W4397">
        <v>0.21332690000000001</v>
      </c>
      <c r="X4397">
        <v>0.97533610000000004</v>
      </c>
      <c r="Y4397">
        <v>-6.6412299999999994E-2</v>
      </c>
      <c r="Z4397">
        <v>6.2192020000000001E-2</v>
      </c>
      <c r="AA4397">
        <v>0.99585219999999997</v>
      </c>
      <c r="AB4397">
        <v>37</v>
      </c>
      <c r="AC4397">
        <v>1.4585000000000099</v>
      </c>
      <c r="AD4397">
        <v>-1.1097907908739999</v>
      </c>
      <c r="AE4397">
        <v>-17.380710000000001</v>
      </c>
      <c r="AF4397">
        <v>-1.1812145346292799</v>
      </c>
      <c r="AG4397">
        <v>-1.1097907908739999</v>
      </c>
      <c r="AH4397">
        <v>17.331261986894301</v>
      </c>
      <c r="AI4397">
        <v>93.655421154800607</v>
      </c>
      <c r="AJ4397">
        <v>93.898972092732905</v>
      </c>
      <c r="AK4397">
        <v>17.4068821284771</v>
      </c>
      <c r="AL4397">
        <v>77.6826117758267</v>
      </c>
      <c r="AM4397">
        <v>93.325172012416303</v>
      </c>
      <c r="AN4397">
        <v>1.0000000376248299</v>
      </c>
    </row>
    <row r="4398" spans="1:40" x14ac:dyDescent="0.25">
      <c r="A4398" t="str">
        <f>"20190312172753772"</f>
        <v>20190312172753772</v>
      </c>
      <c r="B4398" t="str">
        <f>"1552382873763777"</f>
        <v>1552382873763777</v>
      </c>
      <c r="C4398" t="s">
        <v>40</v>
      </c>
      <c r="D4398">
        <v>3.42537</v>
      </c>
      <c r="E4398">
        <v>0.49861860000000002</v>
      </c>
      <c r="F4398" t="s">
        <v>41</v>
      </c>
      <c r="G4398">
        <v>-421.1789</v>
      </c>
      <c r="H4398" s="1">
        <v>-2.7043730000000002E-6</v>
      </c>
      <c r="I4398">
        <v>45.161909999999999</v>
      </c>
      <c r="J4398">
        <v>-422.61869999999999</v>
      </c>
      <c r="K4398">
        <v>1.1098410000000001</v>
      </c>
      <c r="L4398">
        <v>62.374630000000003</v>
      </c>
      <c r="M4398">
        <v>1.581606E-2</v>
      </c>
      <c r="N4398">
        <v>0</v>
      </c>
      <c r="O4398">
        <v>-0.99980659999999999</v>
      </c>
      <c r="P4398">
        <v>7.0576150000000004E-2</v>
      </c>
      <c r="Q4398">
        <v>0.20195579999999999</v>
      </c>
      <c r="R4398">
        <v>-0.97684879999999996</v>
      </c>
      <c r="S4398">
        <v>0.25427250000000001</v>
      </c>
      <c r="T4398">
        <v>-0.1951648</v>
      </c>
      <c r="U4398">
        <v>-3.093353</v>
      </c>
      <c r="V4398">
        <v>-5.5179150000000003E-2</v>
      </c>
      <c r="W4398">
        <v>0.2133642</v>
      </c>
      <c r="X4398">
        <v>0.97541330000000004</v>
      </c>
      <c r="Y4398">
        <v>-6.5987509999999999E-2</v>
      </c>
      <c r="Z4398">
        <v>6.2780639999999999E-2</v>
      </c>
      <c r="AA4398">
        <v>0.99584349999999999</v>
      </c>
      <c r="AB4398">
        <v>37</v>
      </c>
      <c r="AC4398">
        <v>1.43979999999999</v>
      </c>
      <c r="AD4398">
        <v>-1.1098437043730001</v>
      </c>
      <c r="AE4398">
        <v>-17.212720000000001</v>
      </c>
      <c r="AF4398">
        <v>-1.1625641799121</v>
      </c>
      <c r="AG4398">
        <v>-1.1098437043730001</v>
      </c>
      <c r="AH4398">
        <v>17.162484224212399</v>
      </c>
      <c r="AI4398">
        <v>93.691549262096402</v>
      </c>
      <c r="AJ4398">
        <v>93.875221030599704</v>
      </c>
      <c r="AK4398">
        <v>17.237580261361799</v>
      </c>
      <c r="AL4398">
        <v>77.680424599299201</v>
      </c>
      <c r="AM4398">
        <v>93.2377725374796</v>
      </c>
      <c r="AN4398">
        <v>1.0000000631266199</v>
      </c>
    </row>
    <row r="4399" spans="1:40" x14ac:dyDescent="0.25">
      <c r="A4399" t="str">
        <f>"20190312172753795"</f>
        <v>20190312172753795</v>
      </c>
      <c r="B4399" t="str">
        <f>"1552382873784273"</f>
        <v>1552382873784273</v>
      </c>
      <c r="C4399" t="s">
        <v>40</v>
      </c>
      <c r="D4399">
        <v>3.6027770000000001</v>
      </c>
      <c r="E4399">
        <v>0.52551979999999998</v>
      </c>
      <c r="F4399" t="s">
        <v>41</v>
      </c>
      <c r="G4399">
        <v>-421.22210000000001</v>
      </c>
      <c r="H4399" s="1">
        <v>-2.6571170000000002E-6</v>
      </c>
      <c r="I4399">
        <v>45.024920000000002</v>
      </c>
      <c r="J4399">
        <v>-422.61270000000002</v>
      </c>
      <c r="K4399">
        <v>1.1098870000000001</v>
      </c>
      <c r="L4399">
        <v>62.002009999999999</v>
      </c>
      <c r="M4399">
        <v>1.5966770000000002E-2</v>
      </c>
      <c r="N4399">
        <v>0</v>
      </c>
      <c r="O4399">
        <v>-0.99980000000000002</v>
      </c>
      <c r="P4399">
        <v>6.9078269999999997E-2</v>
      </c>
      <c r="Q4399">
        <v>0.2006163</v>
      </c>
      <c r="R4399">
        <v>-0.97723170000000004</v>
      </c>
      <c r="S4399">
        <v>0.249054</v>
      </c>
      <c r="T4399">
        <v>-0.1979216</v>
      </c>
      <c r="U4399">
        <v>-3.0940249999999998</v>
      </c>
      <c r="V4399">
        <v>-5.352838E-2</v>
      </c>
      <c r="W4399">
        <v>0.21239089999999999</v>
      </c>
      <c r="X4399">
        <v>0.97571759999999996</v>
      </c>
      <c r="Y4399">
        <v>-6.4146239999999993E-2</v>
      </c>
      <c r="Z4399">
        <v>6.3658090000000001E-2</v>
      </c>
      <c r="AA4399">
        <v>0.99590809999999996</v>
      </c>
      <c r="AB4399">
        <v>37</v>
      </c>
      <c r="AC4399">
        <v>1.3906000000000001</v>
      </c>
      <c r="AD4399">
        <v>-1.1098896571170001</v>
      </c>
      <c r="AE4399">
        <v>-16.977089999999901</v>
      </c>
      <c r="AF4399">
        <v>-1.1146017123108001</v>
      </c>
      <c r="AG4399">
        <v>-1.1098896571170001</v>
      </c>
      <c r="AH4399">
        <v>16.925274217364301</v>
      </c>
      <c r="AI4399">
        <v>93.743763071381593</v>
      </c>
      <c r="AJ4399">
        <v>93.767731857253196</v>
      </c>
      <c r="AK4399">
        <v>16.998208710362402</v>
      </c>
      <c r="AL4399">
        <v>77.737498102959705</v>
      </c>
      <c r="AM4399">
        <v>93.1401288231243</v>
      </c>
      <c r="AN4399">
        <v>1.0000000084089899</v>
      </c>
    </row>
    <row r="4400" spans="1:40" x14ac:dyDescent="0.25">
      <c r="A4400" t="str">
        <f>"20190312172753816"</f>
        <v>20190312172753816</v>
      </c>
      <c r="B4400" t="str">
        <f>"1552382873803794"</f>
        <v>1552382873803794</v>
      </c>
      <c r="C4400" t="s">
        <v>40</v>
      </c>
      <c r="D4400">
        <v>3.4062739999999998</v>
      </c>
      <c r="E4400">
        <v>0.59731040000000002</v>
      </c>
      <c r="F4400" t="s">
        <v>44</v>
      </c>
      <c r="G4400">
        <v>-422.60239999999999</v>
      </c>
      <c r="H4400">
        <v>1.009018</v>
      </c>
      <c r="I4400">
        <v>61.06476</v>
      </c>
      <c r="J4400">
        <v>-422.6069</v>
      </c>
      <c r="K4400">
        <v>1.1099270000000001</v>
      </c>
      <c r="L4400">
        <v>61.64828</v>
      </c>
      <c r="M4400">
        <v>1.6114650000000001E-2</v>
      </c>
      <c r="N4400">
        <v>0</v>
      </c>
      <c r="O4400">
        <v>-0.9997935</v>
      </c>
      <c r="P4400">
        <v>6.6762349999999998E-2</v>
      </c>
      <c r="Q4400">
        <v>0.1993113</v>
      </c>
      <c r="R4400">
        <v>-0.97765950000000001</v>
      </c>
      <c r="S4400">
        <v>3.4606930000000001E-2</v>
      </c>
      <c r="T4400">
        <v>-0.33758500000000002</v>
      </c>
      <c r="U4400">
        <v>-3.136749</v>
      </c>
      <c r="V4400">
        <v>-5.106467E-2</v>
      </c>
      <c r="W4400">
        <v>0.21140439999999999</v>
      </c>
      <c r="X4400">
        <v>0.97606380000000004</v>
      </c>
      <c r="Y4400">
        <v>5.1475840000000002E-3</v>
      </c>
      <c r="Z4400">
        <v>0.1069799</v>
      </c>
      <c r="AA4400">
        <v>0.99424789999999996</v>
      </c>
      <c r="AB4400">
        <v>37</v>
      </c>
      <c r="AC4400">
        <v>4.5000000000072699E-3</v>
      </c>
      <c r="AD4400">
        <v>-0.100909</v>
      </c>
      <c r="AE4400">
        <v>-0.58352000000000703</v>
      </c>
      <c r="AF4400">
        <v>4.7621214534126202E-3</v>
      </c>
      <c r="AG4400">
        <v>-0.100909</v>
      </c>
      <c r="AH4400">
        <v>0.56657417136114596</v>
      </c>
      <c r="AI4400">
        <v>100.098353762643</v>
      </c>
      <c r="AJ4400">
        <v>89.518433685058596</v>
      </c>
      <c r="AK4400">
        <v>0.57550985720081804</v>
      </c>
      <c r="AL4400">
        <v>77.795333394668702</v>
      </c>
      <c r="AM4400">
        <v>92.994809449999195</v>
      </c>
      <c r="AN4400">
        <v>0.99999998126600398</v>
      </c>
    </row>
    <row r="4401" spans="1:40" x14ac:dyDescent="0.25">
      <c r="A4401" t="str">
        <f>"20190312172753839"</f>
        <v>20190312172753839</v>
      </c>
      <c r="B4401" t="str">
        <f>"1552382873834154"</f>
        <v>1552382873834154</v>
      </c>
      <c r="C4401" t="s">
        <v>40</v>
      </c>
      <c r="D4401">
        <v>3.381691</v>
      </c>
      <c r="E4401">
        <v>0.61167280000000002</v>
      </c>
      <c r="F4401" t="s">
        <v>44</v>
      </c>
      <c r="G4401">
        <v>-422.75400000000002</v>
      </c>
      <c r="H4401">
        <v>0.9426175</v>
      </c>
      <c r="I4401">
        <v>60.762070000000001</v>
      </c>
      <c r="J4401">
        <v>-422.60070000000002</v>
      </c>
      <c r="K4401">
        <v>1.1099669999999999</v>
      </c>
      <c r="L4401">
        <v>61.272460000000002</v>
      </c>
      <c r="M4401">
        <v>1.6285709999999998E-2</v>
      </c>
      <c r="N4401">
        <v>0</v>
      </c>
      <c r="O4401">
        <v>-0.99978659999999997</v>
      </c>
      <c r="P4401">
        <v>6.4826980000000006E-2</v>
      </c>
      <c r="Q4401">
        <v>0.19862759999999999</v>
      </c>
      <c r="R4401">
        <v>-0.97792869999999998</v>
      </c>
      <c r="S4401">
        <v>-0.53527829999999998</v>
      </c>
      <c r="T4401">
        <v>-0.60971140000000001</v>
      </c>
      <c r="U4401">
        <v>-3.2294010000000002</v>
      </c>
      <c r="V4401">
        <v>-4.8963569999999998E-2</v>
      </c>
      <c r="W4401">
        <v>0.21102409999999999</v>
      </c>
      <c r="X4401">
        <v>0.9762537</v>
      </c>
      <c r="Y4401">
        <v>0.1768082</v>
      </c>
      <c r="Z4401">
        <v>0.1828178</v>
      </c>
      <c r="AA4401">
        <v>0.96711760000000002</v>
      </c>
      <c r="AB4401">
        <v>37</v>
      </c>
      <c r="AC4401">
        <v>-0.15330000000000099</v>
      </c>
      <c r="AD4401">
        <v>-0.16734950000000001</v>
      </c>
      <c r="AE4401">
        <v>-0.51039000000000101</v>
      </c>
      <c r="AF4401">
        <v>0.14708770457273501</v>
      </c>
      <c r="AG4401">
        <v>-0.16734950000000001</v>
      </c>
      <c r="AH4401">
        <v>0.46224257249393302</v>
      </c>
      <c r="AI4401">
        <v>109.034092792444</v>
      </c>
      <c r="AJ4401">
        <v>72.348691420872399</v>
      </c>
      <c r="AK4401">
        <v>0.51313628191011296</v>
      </c>
      <c r="AL4401">
        <v>77.817625447488993</v>
      </c>
      <c r="AM4401">
        <v>92.871238430393106</v>
      </c>
      <c r="AN4401">
        <v>0.99999994436582096</v>
      </c>
    </row>
    <row r="4402" spans="1:40" x14ac:dyDescent="0.25">
      <c r="A4402" t="str">
        <f>"20190312172753862"</f>
        <v>20190312172753862</v>
      </c>
      <c r="B4402" t="str">
        <f>"1552382873853674"</f>
        <v>1552382873853674</v>
      </c>
      <c r="C4402" t="s">
        <v>40</v>
      </c>
      <c r="D4402">
        <v>3.3883869999999998</v>
      </c>
      <c r="E4402">
        <v>0.61570979999999997</v>
      </c>
      <c r="F4402" t="s">
        <v>44</v>
      </c>
      <c r="G4402">
        <v>-422.76949999999999</v>
      </c>
      <c r="H4402">
        <v>0.93532720000000003</v>
      </c>
      <c r="I4402">
        <v>60.433160000000001</v>
      </c>
      <c r="J4402">
        <v>-422.59410000000003</v>
      </c>
      <c r="K4402">
        <v>1.1100099999999999</v>
      </c>
      <c r="L4402">
        <v>60.877659999999999</v>
      </c>
      <c r="M4402">
        <v>1.64930999999999E-2</v>
      </c>
      <c r="N4402">
        <v>0</v>
      </c>
      <c r="O4402">
        <v>-0.9997798</v>
      </c>
      <c r="P4402">
        <v>6.3276899999999997E-2</v>
      </c>
      <c r="Q4402">
        <v>0.19857739999999999</v>
      </c>
      <c r="R4402">
        <v>-0.97804060000000004</v>
      </c>
      <c r="S4402">
        <v>-0.65298459999999903</v>
      </c>
      <c r="T4402">
        <v>-0.67589279999999996</v>
      </c>
      <c r="U4402">
        <v>-3.248291</v>
      </c>
      <c r="V4402">
        <v>-4.7220039999999998E-2</v>
      </c>
      <c r="W4402">
        <v>0.21125569999999999</v>
      </c>
      <c r="X4402">
        <v>0.97628959999999998</v>
      </c>
      <c r="Y4402">
        <v>0.20925940000000001</v>
      </c>
      <c r="Z4402">
        <v>0.19949990000000001</v>
      </c>
      <c r="AA4402">
        <v>0.95729319999999896</v>
      </c>
      <c r="AB4402">
        <v>37</v>
      </c>
      <c r="AC4402">
        <v>-0.175399999999967</v>
      </c>
      <c r="AD4402">
        <v>-0.1746828</v>
      </c>
      <c r="AE4402">
        <v>-0.44449999999999701</v>
      </c>
      <c r="AF4402">
        <v>0.161170521219961</v>
      </c>
      <c r="AG4402">
        <v>-0.1746828</v>
      </c>
      <c r="AH4402">
        <v>0.38949737741023899</v>
      </c>
      <c r="AI4402">
        <v>112.509399921938</v>
      </c>
      <c r="AJ4402">
        <v>67.520667005087105</v>
      </c>
      <c r="AK4402">
        <v>0.45628743631137603</v>
      </c>
      <c r="AL4402">
        <v>77.804050911881603</v>
      </c>
      <c r="AM4402">
        <v>92.769057711002006</v>
      </c>
      <c r="AN4402">
        <v>1.00000004301412</v>
      </c>
    </row>
    <row r="4403" spans="1:40" x14ac:dyDescent="0.25">
      <c r="A4403" t="str">
        <f>"20190312172753886"</f>
        <v>20190312172753886</v>
      </c>
      <c r="B4403" t="str">
        <f>"1552382873883930"</f>
        <v>1552382873883930</v>
      </c>
      <c r="C4403" t="s">
        <v>40</v>
      </c>
      <c r="D4403">
        <v>3.379359</v>
      </c>
      <c r="E4403">
        <v>0.61929940000000006</v>
      </c>
      <c r="F4403" t="s">
        <v>44</v>
      </c>
      <c r="G4403">
        <v>-422.7586</v>
      </c>
      <c r="H4403">
        <v>0.94360580000000005</v>
      </c>
      <c r="I4403">
        <v>60.0997699999999</v>
      </c>
      <c r="J4403">
        <v>-422.5872</v>
      </c>
      <c r="K4403">
        <v>1.1100570000000001</v>
      </c>
      <c r="L4403">
        <v>60.474429999999998</v>
      </c>
      <c r="M4403">
        <v>1.6748079999999999E-2</v>
      </c>
      <c r="N4403">
        <v>0</v>
      </c>
      <c r="O4403">
        <v>-0.99977210000000005</v>
      </c>
      <c r="P4403">
        <v>6.2907879999999999E-2</v>
      </c>
      <c r="Q4403">
        <v>0.1982729</v>
      </c>
      <c r="R4403">
        <v>-0.97812650000000001</v>
      </c>
      <c r="S4403">
        <v>-0.68658450000000004</v>
      </c>
      <c r="T4403">
        <v>-0.695938099999999</v>
      </c>
      <c r="U4403">
        <v>-3.253082</v>
      </c>
      <c r="V4403">
        <v>-4.6614460000000003E-2</v>
      </c>
      <c r="W4403">
        <v>0.211203</v>
      </c>
      <c r="X4403">
        <v>0.97633000000000003</v>
      </c>
      <c r="Y4403">
        <v>0.2184989</v>
      </c>
      <c r="Z4403">
        <v>0.2044685</v>
      </c>
      <c r="AA4403">
        <v>0.95417549999999995</v>
      </c>
      <c r="AB4403">
        <v>37</v>
      </c>
      <c r="AC4403">
        <v>-0.17140000000000499</v>
      </c>
      <c r="AD4403">
        <v>-0.16645119999999999</v>
      </c>
      <c r="AE4403">
        <v>-0.37466000000001198</v>
      </c>
      <c r="AF4403">
        <v>0.152723983346229</v>
      </c>
      <c r="AG4403">
        <v>-0.16645119999999999</v>
      </c>
      <c r="AH4403">
        <v>0.319575913412665</v>
      </c>
      <c r="AI4403">
        <v>115.170878094645</v>
      </c>
      <c r="AJ4403">
        <v>64.457060926691398</v>
      </c>
      <c r="AK4403">
        <v>0.39135582467125601</v>
      </c>
      <c r="AL4403">
        <v>77.807138851544906</v>
      </c>
      <c r="AM4403">
        <v>92.733486815025699</v>
      </c>
      <c r="AN4403">
        <v>0.99999994199504405</v>
      </c>
    </row>
    <row r="4404" spans="1:40" x14ac:dyDescent="0.25">
      <c r="A4404" t="str">
        <f>"20190312172753907"</f>
        <v>20190312172753907</v>
      </c>
      <c r="B4404" t="str">
        <f>"1552382873903450"</f>
        <v>1552382873903450</v>
      </c>
      <c r="C4404" t="s">
        <v>40</v>
      </c>
      <c r="D4404">
        <v>3.3690509999999998</v>
      </c>
      <c r="E4404">
        <v>0.62079649999999997</v>
      </c>
      <c r="F4404" t="s">
        <v>44</v>
      </c>
      <c r="G4404">
        <v>-422.74239999999998</v>
      </c>
      <c r="H4404">
        <v>0.95458869999999896</v>
      </c>
      <c r="I4404">
        <v>59.765669999999901</v>
      </c>
      <c r="J4404">
        <v>-422.5813</v>
      </c>
      <c r="K4404">
        <v>1.110101</v>
      </c>
      <c r="L4404">
        <v>60.138979999999997</v>
      </c>
      <c r="M4404">
        <v>1.701103E-2</v>
      </c>
      <c r="N4404">
        <v>0</v>
      </c>
      <c r="O4404">
        <v>-0.99976529999999997</v>
      </c>
      <c r="P4404">
        <v>6.4168580000000003E-2</v>
      </c>
      <c r="Q4404">
        <v>0.19707849999999999</v>
      </c>
      <c r="R4404">
        <v>-0.97828579999999998</v>
      </c>
      <c r="S4404">
        <v>-0.71347050000000001</v>
      </c>
      <c r="T4404">
        <v>-0.71463199999999905</v>
      </c>
      <c r="U4404">
        <v>-3.2578429999999998</v>
      </c>
      <c r="V4404">
        <v>-4.7632500000000001E-2</v>
      </c>
      <c r="W4404">
        <v>0.21019199999999999</v>
      </c>
      <c r="X4404">
        <v>0.97649909999999995</v>
      </c>
      <c r="Y4404">
        <v>0.2257845</v>
      </c>
      <c r="Z4404">
        <v>0.20908080000000001</v>
      </c>
      <c r="AA4404">
        <v>0.95147599999999999</v>
      </c>
      <c r="AB4404">
        <v>37</v>
      </c>
      <c r="AC4404">
        <v>-0.16109999999997601</v>
      </c>
      <c r="AD4404">
        <v>-0.15551229999999999</v>
      </c>
      <c r="AE4404">
        <v>-0.37331000000001002</v>
      </c>
      <c r="AF4404">
        <v>0.146060186708143</v>
      </c>
      <c r="AG4404">
        <v>-0.15551229999999999</v>
      </c>
      <c r="AH4404">
        <v>0.32322933776412799</v>
      </c>
      <c r="AI4404">
        <v>113.67435616683299</v>
      </c>
      <c r="AJ4404">
        <v>65.682842007055797</v>
      </c>
      <c r="AK4404">
        <v>0.387291696766074</v>
      </c>
      <c r="AL4404">
        <v>77.866395980324995</v>
      </c>
      <c r="AM4404">
        <v>92.792608566295897</v>
      </c>
      <c r="AN4404">
        <v>1.0000000121105299</v>
      </c>
    </row>
    <row r="4405" spans="1:40" x14ac:dyDescent="0.25">
      <c r="A4405" t="str">
        <f>"20190312172753927"</f>
        <v>20190312172753927</v>
      </c>
      <c r="B4405" t="str">
        <f>"1552382873923879"</f>
        <v>1552382873923879</v>
      </c>
      <c r="C4405" t="s">
        <v>40</v>
      </c>
      <c r="D4405">
        <v>3.359877</v>
      </c>
      <c r="E4405">
        <v>0.62205549999999998</v>
      </c>
      <c r="F4405" t="s">
        <v>44</v>
      </c>
      <c r="G4405">
        <v>-422.73669999999998</v>
      </c>
      <c r="H4405">
        <v>0.95363010000000004</v>
      </c>
      <c r="I4405">
        <v>59.436790000000002</v>
      </c>
      <c r="J4405">
        <v>-422.57530000000003</v>
      </c>
      <c r="K4405">
        <v>1.110161</v>
      </c>
      <c r="L4405">
        <v>59.80133</v>
      </c>
      <c r="M4405">
        <v>1.7333299999999999E-2</v>
      </c>
      <c r="N4405">
        <v>0</v>
      </c>
      <c r="O4405">
        <v>-0.99975720000000001</v>
      </c>
      <c r="P4405">
        <v>6.5944059999999999E-2</v>
      </c>
      <c r="Q4405">
        <v>0.19608400000000001</v>
      </c>
      <c r="R4405">
        <v>-0.97836730000000005</v>
      </c>
      <c r="S4405">
        <v>-0.72039790000000004</v>
      </c>
      <c r="T4405">
        <v>-0.72653279999999998</v>
      </c>
      <c r="U4405">
        <v>-3.2601930000000001</v>
      </c>
      <c r="V4405">
        <v>-4.9113289999999997E-2</v>
      </c>
      <c r="W4405">
        <v>0.2093584</v>
      </c>
      <c r="X4405">
        <v>0.97660480000000005</v>
      </c>
      <c r="Y4405">
        <v>0.2277392</v>
      </c>
      <c r="Z4405">
        <v>0.2121634</v>
      </c>
      <c r="AA4405">
        <v>0.95032709999999998</v>
      </c>
      <c r="AB4405">
        <v>37</v>
      </c>
      <c r="AC4405">
        <v>-0.16139999999995699</v>
      </c>
      <c r="AD4405">
        <v>-0.1565309</v>
      </c>
      <c r="AE4405">
        <v>-0.36454000000000503</v>
      </c>
      <c r="AF4405">
        <v>0.14529629355517201</v>
      </c>
      <c r="AG4405">
        <v>-0.1565309</v>
      </c>
      <c r="AH4405">
        <v>0.31337744097950598</v>
      </c>
      <c r="AI4405">
        <v>114.37805212174101</v>
      </c>
      <c r="AJ4405">
        <v>65.125377119948595</v>
      </c>
      <c r="AK4405">
        <v>0.37923390683131702</v>
      </c>
      <c r="AL4405">
        <v>77.9152444352017</v>
      </c>
      <c r="AM4405">
        <v>92.878969647337399</v>
      </c>
      <c r="AN4405">
        <v>0.99999999514411197</v>
      </c>
    </row>
    <row r="4406" spans="1:40" x14ac:dyDescent="0.25">
      <c r="A4406" t="str">
        <f>"20190312172753950"</f>
        <v>20190312172753950</v>
      </c>
      <c r="B4406" t="str">
        <f>"1552382873943398"</f>
        <v>1552382873943398</v>
      </c>
      <c r="C4406" t="s">
        <v>40</v>
      </c>
      <c r="D4406">
        <v>3.3197179999999999</v>
      </c>
      <c r="E4406">
        <v>0.62285579999999996</v>
      </c>
      <c r="F4406" t="s">
        <v>44</v>
      </c>
      <c r="G4406">
        <v>-422.72980000000001</v>
      </c>
      <c r="H4406">
        <v>0.95416179999999995</v>
      </c>
      <c r="I4406">
        <v>59.107640000000004</v>
      </c>
      <c r="J4406">
        <v>-422.5686</v>
      </c>
      <c r="K4406">
        <v>1.110236</v>
      </c>
      <c r="L4406">
        <v>59.437989999999999</v>
      </c>
      <c r="M4406">
        <v>1.7762650000000001E-2</v>
      </c>
      <c r="N4406">
        <v>0</v>
      </c>
      <c r="O4406">
        <v>-0.99974779999999996</v>
      </c>
      <c r="P4406">
        <v>6.8379830000000003E-2</v>
      </c>
      <c r="Q4406">
        <v>0.19624820000000001</v>
      </c>
      <c r="R4406">
        <v>-0.97816709999999996</v>
      </c>
      <c r="S4406">
        <v>-0.72616579999999997</v>
      </c>
      <c r="T4406">
        <v>-0.73370950000000001</v>
      </c>
      <c r="U4406">
        <v>-3.2623289999999998</v>
      </c>
      <c r="V4406">
        <v>-5.1163840000000002E-2</v>
      </c>
      <c r="W4406">
        <v>0.20966699999999999</v>
      </c>
      <c r="X4406">
        <v>0.97643329999999995</v>
      </c>
      <c r="Y4406">
        <v>0.229542</v>
      </c>
      <c r="Z4406">
        <v>0.2139431</v>
      </c>
      <c r="AA4406">
        <v>0.9494939</v>
      </c>
      <c r="AB4406">
        <v>37</v>
      </c>
      <c r="AC4406">
        <v>-0.161200000000008</v>
      </c>
      <c r="AD4406">
        <v>-0.156074199999999</v>
      </c>
      <c r="AE4406">
        <v>-0.33034999999999498</v>
      </c>
      <c r="AF4406">
        <v>0.14152798505816599</v>
      </c>
      <c r="AG4406">
        <v>-0.156074199999999</v>
      </c>
      <c r="AH4406">
        <v>0.27742023893666601</v>
      </c>
      <c r="AI4406">
        <v>116.617478434315</v>
      </c>
      <c r="AJ4406">
        <v>62.9712624574763</v>
      </c>
      <c r="AK4406">
        <v>0.348355157033653</v>
      </c>
      <c r="AL4406">
        <v>77.897161555457799</v>
      </c>
      <c r="AM4406">
        <v>92.999481480034504</v>
      </c>
      <c r="AN4406">
        <v>0.99999998938071699</v>
      </c>
    </row>
    <row r="4407" spans="1:40" x14ac:dyDescent="0.25">
      <c r="A4407" t="str">
        <f>"20190312172753972"</f>
        <v>20190312172753972</v>
      </c>
      <c r="B4407" t="str">
        <f>"1552382873963894"</f>
        <v>1552382873963894</v>
      </c>
      <c r="C4407" t="s">
        <v>40</v>
      </c>
      <c r="D4407">
        <v>3.2852269999999999</v>
      </c>
      <c r="E4407">
        <v>0.62348340000000002</v>
      </c>
      <c r="F4407" t="s">
        <v>44</v>
      </c>
      <c r="G4407">
        <v>-422.78300000000002</v>
      </c>
      <c r="H4407">
        <v>0.89279219999999904</v>
      </c>
      <c r="I4407">
        <v>58.472810000000003</v>
      </c>
      <c r="J4407">
        <v>-422.56150000000002</v>
      </c>
      <c r="K4407">
        <v>1.1103289999999999</v>
      </c>
      <c r="L4407">
        <v>59.067079999999997</v>
      </c>
      <c r="M4407">
        <v>1.829362E-2</v>
      </c>
      <c r="N4407">
        <v>0</v>
      </c>
      <c r="O4407">
        <v>-0.99973619999999996</v>
      </c>
      <c r="P4407">
        <v>6.9977079999999997E-2</v>
      </c>
      <c r="Q4407">
        <v>0.19771349999999999</v>
      </c>
      <c r="R4407">
        <v>-0.97775939999999995</v>
      </c>
      <c r="S4407">
        <v>-0.72448729999999995</v>
      </c>
      <c r="T4407">
        <v>-0.73566229999999999</v>
      </c>
      <c r="U4407">
        <v>-3.2651979999999998</v>
      </c>
      <c r="V4407">
        <v>-5.2288099999999997E-2</v>
      </c>
      <c r="W4407">
        <v>0.21125479999999999</v>
      </c>
      <c r="X4407">
        <v>0.97603139999999999</v>
      </c>
      <c r="Y4407">
        <v>0.22939809999999999</v>
      </c>
      <c r="Z4407">
        <v>0.21432209999999999</v>
      </c>
      <c r="AA4407">
        <v>0.94944329999999999</v>
      </c>
      <c r="AB4407">
        <v>37</v>
      </c>
      <c r="AC4407">
        <v>-0.22149999999999101</v>
      </c>
      <c r="AD4407">
        <v>-0.2175368</v>
      </c>
      <c r="AE4407">
        <v>-0.59427000000000796</v>
      </c>
      <c r="AF4407">
        <v>0.207877880008732</v>
      </c>
      <c r="AG4407">
        <v>-0.2175368</v>
      </c>
      <c r="AH4407">
        <v>0.52799763082525197</v>
      </c>
      <c r="AI4407">
        <v>110.97489478364299</v>
      </c>
      <c r="AJ4407">
        <v>68.509950511802899</v>
      </c>
      <c r="AK4407">
        <v>0.60771454689536897</v>
      </c>
      <c r="AL4407">
        <v>77.804102700875504</v>
      </c>
      <c r="AM4407">
        <v>93.066526684547398</v>
      </c>
      <c r="AN4407">
        <v>0.99999996485530396</v>
      </c>
    </row>
    <row r="4408" spans="1:40" x14ac:dyDescent="0.25">
      <c r="A4408" t="str">
        <f>"20190312172753996"</f>
        <v>20190312172753996</v>
      </c>
      <c r="B4408" t="str">
        <f>"1552382873994150"</f>
        <v>1552382873994150</v>
      </c>
      <c r="C4408" t="s">
        <v>40</v>
      </c>
      <c r="D4408">
        <v>3.2350099999999999</v>
      </c>
      <c r="E4408">
        <v>0.62435830000000003</v>
      </c>
      <c r="F4408" t="s">
        <v>44</v>
      </c>
      <c r="G4408">
        <v>-422.76639999999998</v>
      </c>
      <c r="H4408">
        <v>0.90256429999999999</v>
      </c>
      <c r="I4408">
        <v>58.141620000000003</v>
      </c>
      <c r="J4408">
        <v>-422.5539</v>
      </c>
      <c r="K4408">
        <v>1.1104320000000001</v>
      </c>
      <c r="L4408">
        <v>58.682679999999998</v>
      </c>
      <c r="M4408">
        <v>1.8933990000000001E-2</v>
      </c>
      <c r="N4408">
        <v>0</v>
      </c>
      <c r="O4408">
        <v>-0.99972229999999995</v>
      </c>
      <c r="P4408">
        <v>7.1841080000000002E-2</v>
      </c>
      <c r="Q4408">
        <v>0.19850909999999999</v>
      </c>
      <c r="R4408">
        <v>-0.97746279999999997</v>
      </c>
      <c r="S4408">
        <v>-0.72235109999999902</v>
      </c>
      <c r="T4408">
        <v>-0.73382069999999999</v>
      </c>
      <c r="U4408">
        <v>-3.2683409999999999</v>
      </c>
      <c r="V4408">
        <v>-5.3572069999999999E-2</v>
      </c>
      <c r="W4408">
        <v>0.21216019999999999</v>
      </c>
      <c r="X4408">
        <v>0.97576529999999995</v>
      </c>
      <c r="Y4408">
        <v>0.22926849999999999</v>
      </c>
      <c r="Z4408">
        <v>0.21363299999999999</v>
      </c>
      <c r="AA4408">
        <v>0.94962990000000003</v>
      </c>
      <c r="AB4408">
        <v>37</v>
      </c>
      <c r="AC4408">
        <v>-0.21249999999997701</v>
      </c>
      <c r="AD4408">
        <v>-0.20786769999999899</v>
      </c>
      <c r="AE4408">
        <v>-0.54106000000000798</v>
      </c>
      <c r="AF4408">
        <v>0.197457593830279</v>
      </c>
      <c r="AG4408">
        <v>-0.20786769999999899</v>
      </c>
      <c r="AH4408">
        <v>0.47606293724590998</v>
      </c>
      <c r="AI4408">
        <v>111.965317379552</v>
      </c>
      <c r="AJ4408">
        <v>67.472693228541502</v>
      </c>
      <c r="AK4408">
        <v>0.55572871284803804</v>
      </c>
      <c r="AL4408">
        <v>77.751023394805003</v>
      </c>
      <c r="AM4408">
        <v>93.142533347487003</v>
      </c>
      <c r="AN4408">
        <v>0.99999991891610396</v>
      </c>
    </row>
    <row r="4409" spans="1:40" x14ac:dyDescent="0.25">
      <c r="A4409" t="str">
        <f>"20190312172754017"</f>
        <v>20190312172754017</v>
      </c>
      <c r="B4409" t="str">
        <f>"1552382874013670"</f>
        <v>1552382874013670</v>
      </c>
      <c r="C4409" t="s">
        <v>40</v>
      </c>
      <c r="D4409">
        <v>3.2131189999999998</v>
      </c>
      <c r="E4409">
        <v>0.62477959999999999</v>
      </c>
      <c r="F4409" t="s">
        <v>44</v>
      </c>
      <c r="G4409">
        <v>-422.74630000000002</v>
      </c>
      <c r="H4409">
        <v>0.91480479999999997</v>
      </c>
      <c r="I4409">
        <v>57.810049999999997</v>
      </c>
      <c r="J4409">
        <v>-422.54669999999999</v>
      </c>
      <c r="K4409">
        <v>1.110517</v>
      </c>
      <c r="L4409">
        <v>58.338839999999998</v>
      </c>
      <c r="M4409">
        <v>1.9597920000000001E-2</v>
      </c>
      <c r="N4409">
        <v>0</v>
      </c>
      <c r="O4409">
        <v>-0.99970820000000005</v>
      </c>
      <c r="P4409">
        <v>7.4095620000000001E-2</v>
      </c>
      <c r="Q4409">
        <v>0.19899140000000001</v>
      </c>
      <c r="R4409">
        <v>-0.97719630000000002</v>
      </c>
      <c r="S4409">
        <v>-0.72125240000000002</v>
      </c>
      <c r="T4409">
        <v>-0.73333179999999998</v>
      </c>
      <c r="U4409">
        <v>-3.271118</v>
      </c>
      <c r="V4409">
        <v>-5.5220539999999999E-2</v>
      </c>
      <c r="W4409">
        <v>0.21272360000000001</v>
      </c>
      <c r="X4409">
        <v>0.97555080000000005</v>
      </c>
      <c r="Y4409">
        <v>0.2294542</v>
      </c>
      <c r="Z4409">
        <v>0.21332690000000001</v>
      </c>
      <c r="AA4409">
        <v>0.94965379999999999</v>
      </c>
      <c r="AB4409">
        <v>37</v>
      </c>
      <c r="AC4409">
        <v>-0.199600000000032</v>
      </c>
      <c r="AD4409">
        <v>-0.195712199999999</v>
      </c>
      <c r="AE4409">
        <v>-0.52879000000000698</v>
      </c>
      <c r="AF4409">
        <v>0.18745048670585901</v>
      </c>
      <c r="AG4409">
        <v>-0.195712199999999</v>
      </c>
      <c r="AH4409">
        <v>0.46859192650494202</v>
      </c>
      <c r="AI4409">
        <v>111.195488354472</v>
      </c>
      <c r="AJ4409">
        <v>68.197144753586102</v>
      </c>
      <c r="AK4409">
        <v>0.54131261188034097</v>
      </c>
      <c r="AL4409">
        <v>77.717989914175007</v>
      </c>
      <c r="AM4409">
        <v>93.239740304950601</v>
      </c>
      <c r="AN4409">
        <v>1.0000000007077401</v>
      </c>
    </row>
    <row r="4410" spans="1:40" x14ac:dyDescent="0.25">
      <c r="A4410" t="str">
        <f>"20190312172754040"</f>
        <v>20190312172754040</v>
      </c>
      <c r="B4410" t="str">
        <f>"1552382874034166"</f>
        <v>1552382874034166</v>
      </c>
      <c r="C4410" t="s">
        <v>40</v>
      </c>
      <c r="D4410">
        <v>3.2275290000000001</v>
      </c>
      <c r="E4410">
        <v>0.62519060000000004</v>
      </c>
      <c r="F4410" t="s">
        <v>44</v>
      </c>
      <c r="G4410">
        <v>-422.73469999999998</v>
      </c>
      <c r="H4410">
        <v>0.91868150000000004</v>
      </c>
      <c r="I4410">
        <v>57.481780000000001</v>
      </c>
      <c r="J4410">
        <v>-422.53859999999997</v>
      </c>
      <c r="K4410">
        <v>1.110616</v>
      </c>
      <c r="L4410">
        <v>57.96649</v>
      </c>
      <c r="M4410">
        <v>2.0439880000000001E-2</v>
      </c>
      <c r="N4410">
        <v>0</v>
      </c>
      <c r="O4410">
        <v>-0.99968990000000002</v>
      </c>
      <c r="P4410">
        <v>7.7283420000000005E-2</v>
      </c>
      <c r="Q4410">
        <v>0.19868420000000001</v>
      </c>
      <c r="R4410">
        <v>-0.97701190000000004</v>
      </c>
      <c r="S4410">
        <v>-0.71728519999999996</v>
      </c>
      <c r="T4410">
        <v>-0.73281409999999902</v>
      </c>
      <c r="U4410">
        <v>-3.2736209999999999</v>
      </c>
      <c r="V4410">
        <v>-5.7636260000000002E-2</v>
      </c>
      <c r="W4410">
        <v>0.2124897</v>
      </c>
      <c r="X4410">
        <v>0.97546200000000005</v>
      </c>
      <c r="Y4410">
        <v>0.2290345</v>
      </c>
      <c r="Z4410">
        <v>0.2130628</v>
      </c>
      <c r="AA4410">
        <v>0.94981439999999995</v>
      </c>
      <c r="AB4410">
        <v>37</v>
      </c>
      <c r="AC4410">
        <v>-0.196100000000001</v>
      </c>
      <c r="AD4410">
        <v>-0.19193450000000001</v>
      </c>
      <c r="AE4410">
        <v>-0.48470999999999198</v>
      </c>
      <c r="AF4410">
        <v>0.18151006244443799</v>
      </c>
      <c r="AG4410">
        <v>-0.19193450000000001</v>
      </c>
      <c r="AH4410">
        <v>0.42353172475911499</v>
      </c>
      <c r="AI4410">
        <v>112.613481370888</v>
      </c>
      <c r="AJ4410">
        <v>66.801813371601298</v>
      </c>
      <c r="AK4410">
        <v>0.499163176662968</v>
      </c>
      <c r="AL4410">
        <v>77.731704472989605</v>
      </c>
      <c r="AM4410">
        <v>93.381453604060397</v>
      </c>
      <c r="AN4410">
        <v>0.99999996225843801</v>
      </c>
    </row>
    <row r="4411" spans="1:40" x14ac:dyDescent="0.25">
      <c r="A4411" t="str">
        <f>"20190312172754064"</f>
        <v>20190312172754064</v>
      </c>
      <c r="B4411" t="str">
        <f>"1552382874053686"</f>
        <v>1552382874053686</v>
      </c>
      <c r="C4411" t="s">
        <v>40</v>
      </c>
      <c r="D4411">
        <v>3.1832910000000001</v>
      </c>
      <c r="E4411">
        <v>0.62570939999999997</v>
      </c>
      <c r="F4411" t="s">
        <v>44</v>
      </c>
      <c r="G4411">
        <v>-422.71539999999999</v>
      </c>
      <c r="H4411">
        <v>0.92811869999999996</v>
      </c>
      <c r="I4411">
        <v>57.151980000000002</v>
      </c>
      <c r="J4411">
        <v>-422.52969999999999</v>
      </c>
      <c r="K4411">
        <v>1.110746</v>
      </c>
      <c r="L4411">
        <v>57.575650000000003</v>
      </c>
      <c r="M4411">
        <v>2.148458E-2</v>
      </c>
      <c r="N4411">
        <v>0</v>
      </c>
      <c r="O4411">
        <v>-0.99966679999999997</v>
      </c>
      <c r="P4411">
        <v>8.0266160000000003E-2</v>
      </c>
      <c r="Q4411">
        <v>0.19982220000000001</v>
      </c>
      <c r="R4411">
        <v>-0.97653909999999999</v>
      </c>
      <c r="S4411">
        <v>-0.71087650000000002</v>
      </c>
      <c r="T4411">
        <v>-0.73403219999999902</v>
      </c>
      <c r="U4411">
        <v>-3.276062</v>
      </c>
      <c r="V4411">
        <v>-5.9671479999999999E-2</v>
      </c>
      <c r="W4411">
        <v>0.21368329999999999</v>
      </c>
      <c r="X4411">
        <v>0.97507889999999997</v>
      </c>
      <c r="Y4411">
        <v>0.22811690000000001</v>
      </c>
      <c r="Z4411">
        <v>0.21331020000000001</v>
      </c>
      <c r="AA4411">
        <v>0.94997969999999998</v>
      </c>
      <c r="AB4411">
        <v>37</v>
      </c>
      <c r="AC4411">
        <v>-0.18569999999999701</v>
      </c>
      <c r="AD4411">
        <v>-0.18262729999999999</v>
      </c>
      <c r="AE4411">
        <v>-0.42367000000000099</v>
      </c>
      <c r="AF4411">
        <v>0.16849713738379801</v>
      </c>
      <c r="AG4411">
        <v>-0.18262729999999999</v>
      </c>
      <c r="AH4411">
        <v>0.36300177109523502</v>
      </c>
      <c r="AI4411">
        <v>114.529011240457</v>
      </c>
      <c r="AJ4411">
        <v>65.100347331840894</v>
      </c>
      <c r="AK4411">
        <v>0.43990260493670902</v>
      </c>
      <c r="AL4411">
        <v>77.661709748832294</v>
      </c>
      <c r="AM4411">
        <v>93.501937686039099</v>
      </c>
      <c r="AN4411">
        <v>1.0000000497247401</v>
      </c>
    </row>
    <row r="4412" spans="1:40" x14ac:dyDescent="0.25">
      <c r="A4412" t="str">
        <f>"20190312172754087"</f>
        <v>20190312172754087</v>
      </c>
      <c r="B4412" t="str">
        <f>"1552382874083942"</f>
        <v>1552382874083942</v>
      </c>
      <c r="C4412" t="s">
        <v>40</v>
      </c>
      <c r="D4412">
        <v>3.2328800000000002</v>
      </c>
      <c r="E4412">
        <v>0.62574669999999999</v>
      </c>
      <c r="F4412" t="s">
        <v>44</v>
      </c>
      <c r="G4412">
        <v>-422.69159999999999</v>
      </c>
      <c r="H4412">
        <v>0.94200280000000003</v>
      </c>
      <c r="I4412">
        <v>56.820950000000003</v>
      </c>
      <c r="J4412">
        <v>-422.52030000000002</v>
      </c>
      <c r="K4412">
        <v>1.1109180000000001</v>
      </c>
      <c r="L4412">
        <v>57.190950000000001</v>
      </c>
      <c r="M4412">
        <v>2.2703109999999999E-2</v>
      </c>
      <c r="N4412">
        <v>0</v>
      </c>
      <c r="O4412">
        <v>-0.9996391</v>
      </c>
      <c r="P4412">
        <v>8.3954399999999998E-2</v>
      </c>
      <c r="Q4412">
        <v>0.2005683</v>
      </c>
      <c r="R4412">
        <v>-0.97607630000000001</v>
      </c>
      <c r="S4412">
        <v>-0.70211789999999996</v>
      </c>
      <c r="T4412">
        <v>-0.733514</v>
      </c>
      <c r="U4412">
        <v>-3.2798769999999902</v>
      </c>
      <c r="V4412">
        <v>-6.2257079999999999E-2</v>
      </c>
      <c r="W4412">
        <v>0.21446670000000001</v>
      </c>
      <c r="X4412">
        <v>0.97474519999999998</v>
      </c>
      <c r="Y4412">
        <v>0.22666149999999999</v>
      </c>
      <c r="Z4412">
        <v>0.21301990000000001</v>
      </c>
      <c r="AA4412">
        <v>0.95039309999999999</v>
      </c>
      <c r="AB4412">
        <v>37</v>
      </c>
      <c r="AC4412">
        <v>-0.171299999999973</v>
      </c>
      <c r="AD4412">
        <v>-0.16891519999999999</v>
      </c>
      <c r="AE4412">
        <v>-0.369999999999997</v>
      </c>
      <c r="AF4412">
        <v>0.15333928856161599</v>
      </c>
      <c r="AG4412">
        <v>-0.16891519999999999</v>
      </c>
      <c r="AH4412">
        <v>0.31239835242520198</v>
      </c>
      <c r="AI4412">
        <v>115.89124827138301</v>
      </c>
      <c r="AJ4412">
        <v>63.856100247801997</v>
      </c>
      <c r="AK4412">
        <v>0.38683072887970399</v>
      </c>
      <c r="AL4412">
        <v>77.615759063307294</v>
      </c>
      <c r="AM4412">
        <v>93.654523539919595</v>
      </c>
      <c r="AN4412">
        <v>1.0000000571710199</v>
      </c>
    </row>
    <row r="4413" spans="1:40" x14ac:dyDescent="0.25">
      <c r="A4413" t="str">
        <f>"20190312172754109"</f>
        <v>20190312172754109</v>
      </c>
      <c r="B4413" t="str">
        <f>"1552382874103462"</f>
        <v>1552382874103462</v>
      </c>
      <c r="C4413" t="s">
        <v>40</v>
      </c>
      <c r="D4413">
        <v>3.1920989999999998</v>
      </c>
      <c r="E4413">
        <v>0.62593219999999905</v>
      </c>
      <c r="F4413" t="s">
        <v>44</v>
      </c>
      <c r="G4413">
        <v>-422.6669</v>
      </c>
      <c r="H4413">
        <v>0.95488139999999999</v>
      </c>
      <c r="I4413">
        <v>56.490839999999999</v>
      </c>
      <c r="J4413">
        <v>-422.51119999999997</v>
      </c>
      <c r="K4413">
        <v>1.1111040000000001</v>
      </c>
      <c r="L4413">
        <v>56.842770000000002</v>
      </c>
      <c r="M4413">
        <v>2.4021130000000002E-2</v>
      </c>
      <c r="N4413">
        <v>0</v>
      </c>
      <c r="O4413">
        <v>-0.99960729999999998</v>
      </c>
      <c r="P4413">
        <v>8.9476379999999994E-2</v>
      </c>
      <c r="Q4413">
        <v>0.2004831</v>
      </c>
      <c r="R4413">
        <v>-0.97560279999999999</v>
      </c>
      <c r="S4413">
        <v>-0.68704219999999905</v>
      </c>
      <c r="T4413">
        <v>-0.73183299999999996</v>
      </c>
      <c r="U4413">
        <v>-3.28302</v>
      </c>
      <c r="V4413">
        <v>-6.6586619999999999E-2</v>
      </c>
      <c r="W4413">
        <v>0.21439549999999999</v>
      </c>
      <c r="X4413">
        <v>0.97447459999999997</v>
      </c>
      <c r="Y4413">
        <v>0.2236013</v>
      </c>
      <c r="Z4413">
        <v>0.21252589999999999</v>
      </c>
      <c r="AA4413">
        <v>0.95122830000000003</v>
      </c>
      <c r="AB4413">
        <v>37</v>
      </c>
      <c r="AC4413">
        <v>-0.15570000000002401</v>
      </c>
      <c r="AD4413">
        <v>-0.15622259999999999</v>
      </c>
      <c r="AE4413">
        <v>-0.35192999999998797</v>
      </c>
      <c r="AF4413">
        <v>0.140891634308069</v>
      </c>
      <c r="AG4413">
        <v>-0.15622259999999999</v>
      </c>
      <c r="AH4413">
        <v>0.29884083737754802</v>
      </c>
      <c r="AI4413">
        <v>115.30692524553</v>
      </c>
      <c r="AJ4413">
        <v>64.757976579385797</v>
      </c>
      <c r="AK4413">
        <v>0.365461077891029</v>
      </c>
      <c r="AL4413">
        <v>77.619934668653002</v>
      </c>
      <c r="AM4413">
        <v>93.908989660908503</v>
      </c>
      <c r="AN4413">
        <v>0.99999997721421696</v>
      </c>
    </row>
    <row r="4414" spans="1:40" x14ac:dyDescent="0.25">
      <c r="A4414" t="str">
        <f>"20190312172754129"</f>
        <v>20190312172754129</v>
      </c>
      <c r="B4414" t="str">
        <f>"1552382874123491"</f>
        <v>1552382874123491</v>
      </c>
      <c r="C4414" t="s">
        <v>40</v>
      </c>
      <c r="D4414">
        <v>3.2311019999999999</v>
      </c>
      <c r="E4414">
        <v>0.6261409</v>
      </c>
      <c r="F4414" t="s">
        <v>44</v>
      </c>
      <c r="G4414">
        <v>-422.71069999999997</v>
      </c>
      <c r="H4414">
        <v>0.89293419999999901</v>
      </c>
      <c r="I4414">
        <v>55.863050000000001</v>
      </c>
      <c r="J4414">
        <v>-422.50200000000001</v>
      </c>
      <c r="K4414">
        <v>1.111305</v>
      </c>
      <c r="L4414">
        <v>56.520049999999998</v>
      </c>
      <c r="M4414">
        <v>2.5443730000000001E-2</v>
      </c>
      <c r="N4414">
        <v>0</v>
      </c>
      <c r="O4414">
        <v>-0.9995716</v>
      </c>
      <c r="P4414">
        <v>9.6155779999999996E-2</v>
      </c>
      <c r="Q4414">
        <v>0.2001791</v>
      </c>
      <c r="R4414">
        <v>-0.97502979999999995</v>
      </c>
      <c r="S4414">
        <v>-0.66894529999999996</v>
      </c>
      <c r="T4414">
        <v>-0.73203280000000004</v>
      </c>
      <c r="U4414">
        <v>-3.2868040000000001</v>
      </c>
      <c r="V4414">
        <v>-7.1979760000000004E-2</v>
      </c>
      <c r="W4414">
        <v>0.21408669999999999</v>
      </c>
      <c r="X4414">
        <v>0.974159</v>
      </c>
      <c r="Y4414">
        <v>0.21974060000000001</v>
      </c>
      <c r="Z4414">
        <v>0.21254729999999999</v>
      </c>
      <c r="AA4414">
        <v>0.95212269999999999</v>
      </c>
      <c r="AB4414">
        <v>36</v>
      </c>
      <c r="AC4414">
        <v>-0.20870000000002101</v>
      </c>
      <c r="AD4414">
        <v>-0.2183708</v>
      </c>
      <c r="AE4414">
        <v>-0.65699999999999603</v>
      </c>
      <c r="AF4414">
        <v>0.204799495069278</v>
      </c>
      <c r="AG4414">
        <v>-0.2183708</v>
      </c>
      <c r="AH4414">
        <v>0.59206417953801505</v>
      </c>
      <c r="AI4414">
        <v>109.21678559281401</v>
      </c>
      <c r="AJ4414">
        <v>70.919108529964603</v>
      </c>
      <c r="AK4414">
        <v>0.66345205717165001</v>
      </c>
      <c r="AL4414">
        <v>77.638048211076196</v>
      </c>
      <c r="AM4414">
        <v>94.225855908145206</v>
      </c>
      <c r="AN4414">
        <v>0.99999997912377303</v>
      </c>
    </row>
    <row r="4415" spans="1:40" x14ac:dyDescent="0.25">
      <c r="A4415" t="str">
        <f>"20190312172754302"</f>
        <v>20190312172754302</v>
      </c>
      <c r="B4415" t="str">
        <f>"1552382874294291"</f>
        <v>1552382874294291</v>
      </c>
      <c r="C4415" t="s">
        <v>40</v>
      </c>
      <c r="D4415">
        <v>3.131256</v>
      </c>
      <c r="E4415">
        <v>0.43788529999999998</v>
      </c>
      <c r="F4415" t="s">
        <v>41</v>
      </c>
      <c r="G4415">
        <v>-417.82049999999998</v>
      </c>
      <c r="H4415" s="1">
        <v>-1.0265649999999999E-6</v>
      </c>
      <c r="I4415">
        <v>40.960599999999999</v>
      </c>
      <c r="J4415">
        <v>-422.39010000000002</v>
      </c>
      <c r="K4415">
        <v>1.1131930000000001</v>
      </c>
      <c r="L4415">
        <v>53.740540000000003</v>
      </c>
      <c r="M4415">
        <v>4.619906E-2</v>
      </c>
      <c r="N4415">
        <v>0</v>
      </c>
      <c r="O4415">
        <v>-0.99882369999999998</v>
      </c>
      <c r="P4415">
        <v>0.164603</v>
      </c>
      <c r="Q4415">
        <v>0.2043267</v>
      </c>
      <c r="R4415">
        <v>-0.96496470000000001</v>
      </c>
      <c r="S4415">
        <v>1.042206</v>
      </c>
      <c r="T4415">
        <v>-0.25274530000000001</v>
      </c>
      <c r="U4415">
        <v>-2.9880680000000002</v>
      </c>
      <c r="V4415">
        <v>-0.1214541</v>
      </c>
      <c r="W4415">
        <v>0.21772759999999999</v>
      </c>
      <c r="X4415">
        <v>0.96842320000000004</v>
      </c>
      <c r="Y4415">
        <v>-0.2842982</v>
      </c>
      <c r="Z4415">
        <v>8.0062809999999998E-2</v>
      </c>
      <c r="AA4415">
        <v>0.95538710000000004</v>
      </c>
      <c r="AB4415">
        <v>36</v>
      </c>
      <c r="AC4415">
        <v>4.5696000000000296</v>
      </c>
      <c r="AD4415">
        <v>-1.113194026565</v>
      </c>
      <c r="AE4415">
        <v>-12.77994</v>
      </c>
      <c r="AF4415">
        <v>-3.94767778532192</v>
      </c>
      <c r="AG4415">
        <v>-1.113194026565</v>
      </c>
      <c r="AH4415">
        <v>12.890707324132901</v>
      </c>
      <c r="AI4415">
        <v>94.720269744827306</v>
      </c>
      <c r="AJ4415">
        <v>107.02679555732099</v>
      </c>
      <c r="AK4415">
        <v>13.5275162596079</v>
      </c>
      <c r="AL4415">
        <v>77.424400384828601</v>
      </c>
      <c r="AM4415">
        <v>97.148386570019198</v>
      </c>
      <c r="AN4415">
        <v>0.99999995025340305</v>
      </c>
    </row>
    <row r="4416" spans="1:40" x14ac:dyDescent="0.25">
      <c r="A4416" t="str">
        <f>"20190312172754320"</f>
        <v>20190312172754320</v>
      </c>
      <c r="B4416" t="str">
        <f>"1552382874313811"</f>
        <v>1552382874313811</v>
      </c>
      <c r="C4416" t="s">
        <v>40</v>
      </c>
      <c r="D4416">
        <v>3.145248</v>
      </c>
      <c r="E4416">
        <v>0.43982690000000002</v>
      </c>
      <c r="F4416" t="s">
        <v>52</v>
      </c>
      <c r="G4416">
        <v>-416.58049999999997</v>
      </c>
      <c r="H4416" s="1">
        <v>-2.6205199999999999E-6</v>
      </c>
      <c r="I4416">
        <v>36.904850000000003</v>
      </c>
      <c r="J4416">
        <v>-422.37299999999999</v>
      </c>
      <c r="K4416">
        <v>1.1133959999999901</v>
      </c>
      <c r="L4416">
        <v>53.436160000000001</v>
      </c>
      <c r="M4416">
        <v>4.9416219999999997E-2</v>
      </c>
      <c r="N4416">
        <v>0</v>
      </c>
      <c r="O4416">
        <v>-0.99866940000000004</v>
      </c>
      <c r="P4416">
        <v>0.1727899</v>
      </c>
      <c r="Q4416">
        <v>0.20634820000000001</v>
      </c>
      <c r="R4416">
        <v>-0.9631014</v>
      </c>
      <c r="S4416">
        <v>1.026764</v>
      </c>
      <c r="T4416">
        <v>-0.1967392</v>
      </c>
      <c r="U4416">
        <v>-2.9754330000000002</v>
      </c>
      <c r="V4416">
        <v>-0.1267056</v>
      </c>
      <c r="W4416">
        <v>0.21965480000000001</v>
      </c>
      <c r="X4416">
        <v>0.96731449999999997</v>
      </c>
      <c r="Y4416">
        <v>-0.27844590000000002</v>
      </c>
      <c r="Z4416">
        <v>6.274486E-2</v>
      </c>
      <c r="AA4416">
        <v>0.95840020000000004</v>
      </c>
      <c r="AB4416">
        <v>36</v>
      </c>
      <c r="AC4416">
        <v>5.7925000000000697</v>
      </c>
      <c r="AD4416">
        <v>-1.1133986205199999</v>
      </c>
      <c r="AE4416">
        <v>-16.531309999999898</v>
      </c>
      <c r="AF4416">
        <v>-4.9484257226251396</v>
      </c>
      <c r="AG4416">
        <v>-1.1133986205199999</v>
      </c>
      <c r="AH4416">
        <v>16.729793213752998</v>
      </c>
      <c r="AI4416">
        <v>93.651587890963</v>
      </c>
      <c r="AJ4416">
        <v>106.477438893274</v>
      </c>
      <c r="AK4416">
        <v>17.481777787040102</v>
      </c>
      <c r="AL4416">
        <v>77.311240686148395</v>
      </c>
      <c r="AM4416">
        <v>97.462514780177997</v>
      </c>
      <c r="AN4416">
        <v>0.99999994107232304</v>
      </c>
    </row>
    <row r="4417" spans="1:40" x14ac:dyDescent="0.25">
      <c r="A4417" t="str">
        <f>"20190312172754342"</f>
        <v>20190312172754342</v>
      </c>
      <c r="B4417" t="str">
        <f>"1552382874333332"</f>
        <v>1552382874333332</v>
      </c>
      <c r="C4417" t="s">
        <v>40</v>
      </c>
      <c r="D4417">
        <v>3.0982539999999998</v>
      </c>
      <c r="E4417">
        <v>0.44130130000000001</v>
      </c>
      <c r="F4417" t="s">
        <v>52</v>
      </c>
      <c r="G4417">
        <v>-415.22550000000001</v>
      </c>
      <c r="H4417" s="1">
        <v>-5.065659E-6</v>
      </c>
      <c r="I4417">
        <v>32.968110000000003</v>
      </c>
      <c r="J4417">
        <v>-422.35320000000002</v>
      </c>
      <c r="K4417">
        <v>1.113602</v>
      </c>
      <c r="L4417">
        <v>53.104550000000003</v>
      </c>
      <c r="M4417">
        <v>5.3111239999999997E-2</v>
      </c>
      <c r="N4417">
        <v>0</v>
      </c>
      <c r="O4417">
        <v>-0.99847929999999996</v>
      </c>
      <c r="P4417">
        <v>0.18118999999999999</v>
      </c>
      <c r="Q4417">
        <v>0.207873</v>
      </c>
      <c r="R4417">
        <v>-0.96122770000000002</v>
      </c>
      <c r="S4417">
        <v>1.0349729999999999</v>
      </c>
      <c r="T4417">
        <v>-0.16122220000000001</v>
      </c>
      <c r="U4417">
        <v>-2.9638059999999999</v>
      </c>
      <c r="V4417">
        <v>-0.131718</v>
      </c>
      <c r="W4417">
        <v>0.2210809</v>
      </c>
      <c r="X4417">
        <v>0.96631959999999995</v>
      </c>
      <c r="Y4417">
        <v>-0.27862959999999998</v>
      </c>
      <c r="Z4417">
        <v>5.1603389999999999E-2</v>
      </c>
      <c r="AA4417">
        <v>0.95901130000000001</v>
      </c>
      <c r="AB4417">
        <v>36</v>
      </c>
      <c r="AC4417">
        <v>7.1276999999999999</v>
      </c>
      <c r="AD4417">
        <v>-1.113607065659</v>
      </c>
      <c r="AE4417">
        <v>-20.13644</v>
      </c>
      <c r="AF4417">
        <v>-6.0316563489725104</v>
      </c>
      <c r="AG4417">
        <v>-1.113607065659</v>
      </c>
      <c r="AH4417">
        <v>20.4310860818082</v>
      </c>
      <c r="AI4417">
        <v>92.992418804588795</v>
      </c>
      <c r="AJ4417">
        <v>106.447631550662</v>
      </c>
      <c r="AK4417">
        <v>21.331907497714401</v>
      </c>
      <c r="AL4417">
        <v>77.227472398467796</v>
      </c>
      <c r="AM4417">
        <v>97.762089313772705</v>
      </c>
      <c r="AN4417">
        <v>0.99999998260648404</v>
      </c>
    </row>
    <row r="4418" spans="1:40" x14ac:dyDescent="0.25">
      <c r="A4418" t="str">
        <f>"20190312172754363"</f>
        <v>20190312172754363</v>
      </c>
      <c r="B4418" t="str">
        <f>"1552382874353827"</f>
        <v>1552382874353827</v>
      </c>
      <c r="C4418" t="s">
        <v>40</v>
      </c>
      <c r="D4418">
        <v>3.061744</v>
      </c>
      <c r="E4418">
        <v>0.44242609999999899</v>
      </c>
      <c r="F4418" t="s">
        <v>52</v>
      </c>
      <c r="G4418">
        <v>-414.47489999999999</v>
      </c>
      <c r="H4418" s="1">
        <v>-6.1028479999999999E-6</v>
      </c>
      <c r="I4418">
        <v>30.878699999999998</v>
      </c>
      <c r="J4418">
        <v>-422.33010000000002</v>
      </c>
      <c r="K4418">
        <v>1.113812</v>
      </c>
      <c r="L4418">
        <v>52.7436199999999</v>
      </c>
      <c r="M4418">
        <v>5.73375E-2</v>
      </c>
      <c r="N4418">
        <v>0</v>
      </c>
      <c r="O4418">
        <v>-0.99824539999999995</v>
      </c>
      <c r="P4418">
        <v>0.1894497</v>
      </c>
      <c r="Q4418">
        <v>0.208429</v>
      </c>
      <c r="R4418">
        <v>-0.95951370000000002</v>
      </c>
      <c r="S4418">
        <v>1.0476379999999901</v>
      </c>
      <c r="T4418">
        <v>-0.14808460000000001</v>
      </c>
      <c r="U4418">
        <v>-2.9555359999999999</v>
      </c>
      <c r="V4418">
        <v>-0.136073</v>
      </c>
      <c r="W4418">
        <v>0.22154080000000001</v>
      </c>
      <c r="X4418">
        <v>0.96561059999999999</v>
      </c>
      <c r="Y4418">
        <v>-0.27912350000000002</v>
      </c>
      <c r="Z4418">
        <v>4.7480389999999997E-2</v>
      </c>
      <c r="AA4418">
        <v>0.95908059999999995</v>
      </c>
      <c r="AB4418">
        <v>36</v>
      </c>
      <c r="AC4418">
        <v>7.8552000000000204</v>
      </c>
      <c r="AD4418">
        <v>-1.1138181028479901</v>
      </c>
      <c r="AE4418">
        <v>-21.864919999999898</v>
      </c>
      <c r="AF4418">
        <v>-6.5733496152000201</v>
      </c>
      <c r="AG4418">
        <v>-1.1138181028479901</v>
      </c>
      <c r="AH4418">
        <v>22.228299860281702</v>
      </c>
      <c r="AI4418">
        <v>92.751009231735196</v>
      </c>
      <c r="AJ4418">
        <v>106.47399450748</v>
      </c>
      <c r="AK4418">
        <v>23.206611786481901</v>
      </c>
      <c r="AL4418">
        <v>77.200452398788599</v>
      </c>
      <c r="AM4418">
        <v>98.021253463941605</v>
      </c>
      <c r="AN4418">
        <v>1.0000000091129999</v>
      </c>
    </row>
    <row r="4419" spans="1:40" x14ac:dyDescent="0.25">
      <c r="A4419" t="str">
        <f>"20190312172754386"</f>
        <v>20190312172754386</v>
      </c>
      <c r="B4419" t="str">
        <f>"1552382874384083"</f>
        <v>1552382874384083</v>
      </c>
      <c r="C4419" t="s">
        <v>40</v>
      </c>
      <c r="D4419">
        <v>3.156193</v>
      </c>
      <c r="E4419">
        <v>0.444019</v>
      </c>
      <c r="F4419" t="s">
        <v>52</v>
      </c>
      <c r="G4419">
        <v>-413.97480000000002</v>
      </c>
      <c r="H4419" s="1">
        <v>-9.383482E-6</v>
      </c>
      <c r="I4419">
        <v>29.58494</v>
      </c>
      <c r="J4419">
        <v>-422.30549999999999</v>
      </c>
      <c r="K4419">
        <v>1.1140159999999999</v>
      </c>
      <c r="L4419">
        <v>52.386719999999997</v>
      </c>
      <c r="M4419">
        <v>6.1708840000000001E-2</v>
      </c>
      <c r="N4419">
        <v>0</v>
      </c>
      <c r="O4419">
        <v>-0.99798450000000005</v>
      </c>
      <c r="P4419">
        <v>0.19783880000000001</v>
      </c>
      <c r="Q4419">
        <v>0.2086327</v>
      </c>
      <c r="R4419">
        <v>-0.95777480000000004</v>
      </c>
      <c r="S4419">
        <v>1.063385</v>
      </c>
      <c r="T4419">
        <v>-0.14175670000000001</v>
      </c>
      <c r="U4419">
        <v>-2.9474179999999999</v>
      </c>
      <c r="V4419">
        <v>-0.14041609999999999</v>
      </c>
      <c r="W4419">
        <v>0.22164629999999999</v>
      </c>
      <c r="X4419">
        <v>0.96496440000000006</v>
      </c>
      <c r="Y4419">
        <v>-0.28032249999999997</v>
      </c>
      <c r="Z4419">
        <v>4.550771E-2</v>
      </c>
      <c r="AA4419">
        <v>0.95882650000000003</v>
      </c>
      <c r="AB4419">
        <v>36</v>
      </c>
      <c r="AC4419">
        <v>8.33069999999997</v>
      </c>
      <c r="AD4419">
        <v>-1.114025383482</v>
      </c>
      <c r="AE4419">
        <v>-22.801779999999901</v>
      </c>
      <c r="AF4419">
        <v>-6.8930782218346804</v>
      </c>
      <c r="AG4419">
        <v>-1.114025383482</v>
      </c>
      <c r="AH4419">
        <v>23.223542361483801</v>
      </c>
      <c r="AI4419">
        <v>92.632990206029106</v>
      </c>
      <c r="AJ4419">
        <v>106.53163881445199</v>
      </c>
      <c r="AK4419">
        <v>24.250536071250199</v>
      </c>
      <c r="AL4419">
        <v>77.1942538367488</v>
      </c>
      <c r="AM4419">
        <v>98.279244431747202</v>
      </c>
      <c r="AN4419">
        <v>1.00000002835512</v>
      </c>
    </row>
    <row r="4420" spans="1:40" x14ac:dyDescent="0.25">
      <c r="A4420" t="str">
        <f>"20190312172754408"</f>
        <v>20190312172754408</v>
      </c>
      <c r="B4420" t="str">
        <f>"1552382874403603"</f>
        <v>1552382874403603</v>
      </c>
      <c r="C4420" t="s">
        <v>40</v>
      </c>
      <c r="D4420">
        <v>3.2447810000000001</v>
      </c>
      <c r="E4420">
        <v>0.44534689999999999</v>
      </c>
      <c r="F4420" t="s">
        <v>52</v>
      </c>
      <c r="G4420">
        <v>-413.5548</v>
      </c>
      <c r="H4420" s="1">
        <v>-9.4069320000000006E-6</v>
      </c>
      <c r="I4420">
        <v>28.482759999999999</v>
      </c>
      <c r="J4420">
        <v>-422.2799</v>
      </c>
      <c r="K4420">
        <v>1.1141989999999999</v>
      </c>
      <c r="L4420">
        <v>52.039949999999997</v>
      </c>
      <c r="M4420">
        <v>6.6130820000000007E-2</v>
      </c>
      <c r="N4420">
        <v>0</v>
      </c>
      <c r="O4420">
        <v>-0.99770099999999995</v>
      </c>
      <c r="P4420">
        <v>0.20569009999999999</v>
      </c>
      <c r="Q4420">
        <v>0.208092</v>
      </c>
      <c r="R4420">
        <v>-0.95623729999999996</v>
      </c>
      <c r="S4420">
        <v>1.0762020000000001</v>
      </c>
      <c r="T4420">
        <v>-0.13700799999999999</v>
      </c>
      <c r="U4420">
        <v>-2.939819</v>
      </c>
      <c r="V4420">
        <v>-0.14415210000000001</v>
      </c>
      <c r="W4420">
        <v>0.2210172</v>
      </c>
      <c r="X4420">
        <v>0.96455769999999996</v>
      </c>
      <c r="Y4420">
        <v>-0.28057409999999999</v>
      </c>
      <c r="Z4420">
        <v>4.4040620000000003E-2</v>
      </c>
      <c r="AA4420">
        <v>0.95882149999999999</v>
      </c>
      <c r="AB4420">
        <v>36</v>
      </c>
      <c r="AC4420">
        <v>8.7250999999999905</v>
      </c>
      <c r="AD4420">
        <v>-1.114208406932</v>
      </c>
      <c r="AE4420">
        <v>-23.557189999999999</v>
      </c>
      <c r="AF4420">
        <v>-7.1339348547177703</v>
      </c>
      <c r="AG4420">
        <v>-1.114208406932</v>
      </c>
      <c r="AH4420">
        <v>24.035389137892</v>
      </c>
      <c r="AI4420">
        <v>92.544594851777404</v>
      </c>
      <c r="AJ4420">
        <v>106.53139551208599</v>
      </c>
      <c r="AK4420">
        <v>25.0965021047821</v>
      </c>
      <c r="AL4420">
        <v>77.231214857648098</v>
      </c>
      <c r="AM4420">
        <v>98.499882972675906</v>
      </c>
      <c r="AN4420">
        <v>0.99999999362976999</v>
      </c>
    </row>
    <row r="4421" spans="1:40" x14ac:dyDescent="0.25">
      <c r="A4421" t="str">
        <f>"20190312172754430"</f>
        <v>20190312172754430</v>
      </c>
      <c r="B4421" t="str">
        <f>"1552382874424100"</f>
        <v>1552382874424100</v>
      </c>
      <c r="C4421" t="s">
        <v>40</v>
      </c>
      <c r="D4421">
        <v>3.2477299999999998</v>
      </c>
      <c r="E4421">
        <v>0.44634689999999999</v>
      </c>
      <c r="F4421" t="s">
        <v>52</v>
      </c>
      <c r="G4421">
        <v>-413.44929999999999</v>
      </c>
      <c r="H4421" s="1">
        <v>-9.4193930000000008E-6</v>
      </c>
      <c r="I4421">
        <v>28.264330000000001</v>
      </c>
      <c r="J4421">
        <v>-422.25200000000001</v>
      </c>
      <c r="K4421">
        <v>1.114371</v>
      </c>
      <c r="L4421">
        <v>51.686070000000001</v>
      </c>
      <c r="M4421">
        <v>7.0818450000000005E-2</v>
      </c>
      <c r="N4421">
        <v>0</v>
      </c>
      <c r="O4421">
        <v>-0.99737909999999996</v>
      </c>
      <c r="P4421">
        <v>0.2136507</v>
      </c>
      <c r="Q4421">
        <v>0.20784649999999999</v>
      </c>
      <c r="R4421">
        <v>-0.95454349999999999</v>
      </c>
      <c r="S4421">
        <v>1.0893250000000001</v>
      </c>
      <c r="T4421">
        <v>-0.1374456</v>
      </c>
      <c r="U4421">
        <v>-2.9328919999999998</v>
      </c>
      <c r="V4421">
        <v>-0.14775199999999999</v>
      </c>
      <c r="W4421">
        <v>0.2206823</v>
      </c>
      <c r="X4421">
        <v>0.96408959999999999</v>
      </c>
      <c r="Y4421">
        <v>-0.28056759999999997</v>
      </c>
      <c r="Z4421">
        <v>4.4223999999999999E-2</v>
      </c>
      <c r="AA4421">
        <v>0.95881490000000003</v>
      </c>
      <c r="AB4421">
        <v>36</v>
      </c>
      <c r="AC4421">
        <v>8.80269999999995</v>
      </c>
      <c r="AD4421">
        <v>-1.114380419393</v>
      </c>
      <c r="AE4421">
        <v>-23.42174</v>
      </c>
      <c r="AF4421">
        <v>-7.1076215114113603</v>
      </c>
      <c r="AG4421">
        <v>-1.114380419393</v>
      </c>
      <c r="AH4421">
        <v>23.938897871046599</v>
      </c>
      <c r="AI4421">
        <v>92.555164113782396</v>
      </c>
      <c r="AJ4421">
        <v>106.536512160893</v>
      </c>
      <c r="AK4421">
        <v>24.996618942348999</v>
      </c>
      <c r="AL4421">
        <v>77.2508896638696</v>
      </c>
      <c r="AM4421">
        <v>98.713097875718404</v>
      </c>
      <c r="AN4421">
        <v>1.0000000439327199</v>
      </c>
    </row>
    <row r="4422" spans="1:40" x14ac:dyDescent="0.25">
      <c r="A4422" t="str">
        <f>"20190312172754453"</f>
        <v>20190312172754453</v>
      </c>
      <c r="B4422" t="str">
        <f>"1552382874443619"</f>
        <v>1552382874443619</v>
      </c>
      <c r="C4422" t="s">
        <v>40</v>
      </c>
      <c r="D4422">
        <v>3.2851910000000002</v>
      </c>
      <c r="E4422">
        <v>0.44752370000000002</v>
      </c>
      <c r="F4422" t="s">
        <v>52</v>
      </c>
      <c r="G4422">
        <v>-413.41129999999998</v>
      </c>
      <c r="H4422" s="1">
        <v>-9.4375030000000006E-6</v>
      </c>
      <c r="I4422">
        <v>28.306719999999999</v>
      </c>
      <c r="J4422">
        <v>-422.22140000000002</v>
      </c>
      <c r="K4422">
        <v>1.114522</v>
      </c>
      <c r="L4422">
        <v>51.323390000000003</v>
      </c>
      <c r="M4422">
        <v>7.5761430000000005E-2</v>
      </c>
      <c r="N4422">
        <v>0</v>
      </c>
      <c r="O4422">
        <v>-0.99701550000000005</v>
      </c>
      <c r="P4422">
        <v>0.22122539999999999</v>
      </c>
      <c r="Q4422">
        <v>0.20679790000000001</v>
      </c>
      <c r="R4422">
        <v>-0.95304449999999996</v>
      </c>
      <c r="S4422">
        <v>1.106293</v>
      </c>
      <c r="T4422">
        <v>-0.13944909999999999</v>
      </c>
      <c r="U4422">
        <v>-2.9255979999999999</v>
      </c>
      <c r="V4422">
        <v>-0.15069360000000001</v>
      </c>
      <c r="W4422">
        <v>0.21955810000000001</v>
      </c>
      <c r="X4422">
        <v>0.96389089999999999</v>
      </c>
      <c r="Y4422">
        <v>-0.28145409999999998</v>
      </c>
      <c r="Z4422">
        <v>4.4896890000000002E-2</v>
      </c>
      <c r="AA4422">
        <v>0.95852380000000004</v>
      </c>
      <c r="AB4422">
        <v>36</v>
      </c>
      <c r="AC4422">
        <v>8.8101000000000305</v>
      </c>
      <c r="AD4422">
        <v>-1.114531437503</v>
      </c>
      <c r="AE4422">
        <v>-23.016670000000001</v>
      </c>
      <c r="AF4422">
        <v>-7.0264360406895801</v>
      </c>
      <c r="AG4422">
        <v>-1.114531437503</v>
      </c>
      <c r="AH4422">
        <v>23.569840821292299</v>
      </c>
      <c r="AI4422">
        <v>92.5946166998027</v>
      </c>
      <c r="AJ4422">
        <v>106.599913646139</v>
      </c>
      <c r="AK4422">
        <v>24.6201214477131</v>
      </c>
      <c r="AL4422">
        <v>77.316920503391103</v>
      </c>
      <c r="AM4422">
        <v>98.885628789668701</v>
      </c>
      <c r="AN4422">
        <v>0.99999999372968995</v>
      </c>
    </row>
    <row r="4423" spans="1:40" x14ac:dyDescent="0.25">
      <c r="A4423" t="str">
        <f>"20190312172754477"</f>
        <v>20190312172754477</v>
      </c>
      <c r="B4423" t="str">
        <f>"1552382874473876"</f>
        <v>1552382874473876</v>
      </c>
      <c r="C4423" t="s">
        <v>40</v>
      </c>
      <c r="D4423">
        <v>3.294305</v>
      </c>
      <c r="E4423">
        <v>0.44919199999999998</v>
      </c>
      <c r="F4423" t="s">
        <v>52</v>
      </c>
      <c r="G4423">
        <v>-413.51220000000001</v>
      </c>
      <c r="H4423" s="1">
        <v>-9.4385779999999995E-6</v>
      </c>
      <c r="I4423">
        <v>28.631409999999999</v>
      </c>
      <c r="J4423">
        <v>-422.18770000000001</v>
      </c>
      <c r="K4423">
        <v>1.1146560000000001</v>
      </c>
      <c r="L4423">
        <v>50.946719999999999</v>
      </c>
      <c r="M4423">
        <v>8.1030889999999994E-2</v>
      </c>
      <c r="N4423">
        <v>0</v>
      </c>
      <c r="O4423">
        <v>-0.99660090000000001</v>
      </c>
      <c r="P4423">
        <v>0.22940840000000001</v>
      </c>
      <c r="Q4423">
        <v>0.20611570000000001</v>
      </c>
      <c r="R4423">
        <v>-0.95125599999999999</v>
      </c>
      <c r="S4423">
        <v>1.1202700000000001</v>
      </c>
      <c r="T4423">
        <v>-0.14336289999999999</v>
      </c>
      <c r="U4423">
        <v>-2.9188839999999998</v>
      </c>
      <c r="V4423">
        <v>-0.15394679999999999</v>
      </c>
      <c r="W4423">
        <v>0.21879599999999999</v>
      </c>
      <c r="X4423">
        <v>0.96355000000000002</v>
      </c>
      <c r="Y4423">
        <v>-0.28109709999999899</v>
      </c>
      <c r="Z4423">
        <v>4.6188519999999997E-2</v>
      </c>
      <c r="AA4423">
        <v>0.95856719999999895</v>
      </c>
      <c r="AB4423">
        <v>36</v>
      </c>
      <c r="AC4423">
        <v>8.6754999999999995</v>
      </c>
      <c r="AD4423">
        <v>-1.1146654385779999</v>
      </c>
      <c r="AE4423">
        <v>-22.31531</v>
      </c>
      <c r="AF4423">
        <v>-6.8237458352485403</v>
      </c>
      <c r="AG4423">
        <v>-1.1146654385779999</v>
      </c>
      <c r="AH4423">
        <v>22.895347806761102</v>
      </c>
      <c r="AI4423">
        <v>92.671316764229203</v>
      </c>
      <c r="AJ4423">
        <v>106.59619909924299</v>
      </c>
      <c r="AK4423">
        <v>23.916582896739101</v>
      </c>
      <c r="AL4423">
        <v>77.361673288293005</v>
      </c>
      <c r="AM4423">
        <v>99.077451517421693</v>
      </c>
      <c r="AN4423">
        <v>0.99999995467311897</v>
      </c>
    </row>
    <row r="4424" spans="1:40" x14ac:dyDescent="0.25">
      <c r="A4424" t="str">
        <f>"20190312172754499"</f>
        <v>20190312172754499</v>
      </c>
      <c r="B4424" t="str">
        <f>"1552382874494371"</f>
        <v>1552382874494371</v>
      </c>
      <c r="C4424" t="s">
        <v>40</v>
      </c>
      <c r="D4424">
        <v>3.328999</v>
      </c>
      <c r="E4424">
        <v>0.44999929999999999</v>
      </c>
      <c r="F4424" t="s">
        <v>52</v>
      </c>
      <c r="G4424">
        <v>-413.60660000000001</v>
      </c>
      <c r="H4424" s="1">
        <v>-9.4345680000000002E-6</v>
      </c>
      <c r="I4424">
        <v>28.890329999999999</v>
      </c>
      <c r="J4424">
        <v>-422.15480000000002</v>
      </c>
      <c r="K4424">
        <v>1.1147609999999999</v>
      </c>
      <c r="L4424">
        <v>50.598909999999997</v>
      </c>
      <c r="M4424">
        <v>8.6012560000000002E-2</v>
      </c>
      <c r="N4424">
        <v>0</v>
      </c>
      <c r="O4424">
        <v>-0.99618329999999999</v>
      </c>
      <c r="P4424">
        <v>0.23613709999999999</v>
      </c>
      <c r="Q4424">
        <v>0.20598089999999999</v>
      </c>
      <c r="R4424">
        <v>-0.94963730000000002</v>
      </c>
      <c r="S4424">
        <v>1.133057</v>
      </c>
      <c r="T4424">
        <v>-0.1471819</v>
      </c>
      <c r="U4424">
        <v>-2.9123540000000001</v>
      </c>
      <c r="V4424">
        <v>-0.15601499999999999</v>
      </c>
      <c r="W4424">
        <v>0.21859960000000001</v>
      </c>
      <c r="X4424">
        <v>0.9632619</v>
      </c>
      <c r="Y4424">
        <v>-0.28065759999999901</v>
      </c>
      <c r="Z4424">
        <v>4.7451769999999997E-2</v>
      </c>
      <c r="AA4424">
        <v>0.95863430000000005</v>
      </c>
      <c r="AB4424">
        <v>36</v>
      </c>
      <c r="AC4424">
        <v>8.5481999999999996</v>
      </c>
      <c r="AD4424">
        <v>-1.1147704345680001</v>
      </c>
      <c r="AE4424">
        <v>-21.708580000000001</v>
      </c>
      <c r="AF4424">
        <v>-6.6339519311431898</v>
      </c>
      <c r="AG4424">
        <v>-1.1147704345680001</v>
      </c>
      <c r="AH4424">
        <v>22.3125056836593</v>
      </c>
      <c r="AI4424">
        <v>92.7417885600603</v>
      </c>
      <c r="AJ4424">
        <v>106.558261175311</v>
      </c>
      <c r="AK4424">
        <v>23.304504741140398</v>
      </c>
      <c r="AL4424">
        <v>77.373205622825097</v>
      </c>
      <c r="AM4424">
        <v>99.200035685439303</v>
      </c>
      <c r="AN4424">
        <v>0.99999997666838403</v>
      </c>
    </row>
    <row r="4425" spans="1:40" x14ac:dyDescent="0.25">
      <c r="A4425" t="str">
        <f>"20190312172754520"</f>
        <v>20190312172754520</v>
      </c>
      <c r="B4425" t="str">
        <f>"1552382874513891"</f>
        <v>1552382874513891</v>
      </c>
      <c r="C4425" t="s">
        <v>40</v>
      </c>
      <c r="D4425">
        <v>3.438806</v>
      </c>
      <c r="E4425">
        <v>0.45055190000000001</v>
      </c>
      <c r="F4425" t="s">
        <v>52</v>
      </c>
      <c r="G4425">
        <v>-413.40649999999999</v>
      </c>
      <c r="H4425" s="1">
        <v>-9.4565910000000006E-6</v>
      </c>
      <c r="I4425">
        <v>28.46162</v>
      </c>
      <c r="J4425">
        <v>-422.12200000000001</v>
      </c>
      <c r="K4425">
        <v>1.1148640000000001</v>
      </c>
      <c r="L4425">
        <v>50.271729999999998</v>
      </c>
      <c r="M4425">
        <v>9.0795100000000004E-2</v>
      </c>
      <c r="N4425">
        <v>0</v>
      </c>
      <c r="O4425">
        <v>-0.9957587</v>
      </c>
      <c r="P4425">
        <v>0.24230670000000001</v>
      </c>
      <c r="Q4425">
        <v>0.206978</v>
      </c>
      <c r="R4425">
        <v>-0.94786490000000001</v>
      </c>
      <c r="S4425">
        <v>1.1481319999999999</v>
      </c>
      <c r="T4425">
        <v>-0.1463042</v>
      </c>
      <c r="U4425">
        <v>-2.9053339999999999</v>
      </c>
      <c r="V4425">
        <v>-0.15774440000000001</v>
      </c>
      <c r="W4425">
        <v>0.2195395</v>
      </c>
      <c r="X4425">
        <v>0.96276640000000002</v>
      </c>
      <c r="Y4425">
        <v>-0.28114600000000001</v>
      </c>
      <c r="Z4425">
        <v>4.7198320000000002E-2</v>
      </c>
      <c r="AA4425">
        <v>0.95850369999999996</v>
      </c>
      <c r="AB4425">
        <v>36</v>
      </c>
      <c r="AC4425">
        <v>8.7154999999999596</v>
      </c>
      <c r="AD4425">
        <v>-1.1148734565909999</v>
      </c>
      <c r="AE4425">
        <v>-21.810110000000002</v>
      </c>
      <c r="AF4425">
        <v>-6.6839635162380198</v>
      </c>
      <c r="AG4425">
        <v>-1.1148734565909999</v>
      </c>
      <c r="AH4425">
        <v>22.460809447949199</v>
      </c>
      <c r="AI4425">
        <v>92.723767994893194</v>
      </c>
      <c r="AJ4425">
        <v>106.572130241819</v>
      </c>
      <c r="AK4425">
        <v>23.460738951867899</v>
      </c>
      <c r="AL4425">
        <v>77.318013122910202</v>
      </c>
      <c r="AM4425">
        <v>99.304946928420804</v>
      </c>
      <c r="AN4425">
        <v>1.0000000143802801</v>
      </c>
    </row>
    <row r="4426" spans="1:40" x14ac:dyDescent="0.25">
      <c r="A4426" t="str">
        <f>"20190312172754542"</f>
        <v>20190312172754542</v>
      </c>
      <c r="B4426" t="str">
        <f>"1552382874533412"</f>
        <v>1552382874533412</v>
      </c>
      <c r="C4426" t="s">
        <v>40</v>
      </c>
      <c r="D4426">
        <v>3.4777110000000002</v>
      </c>
      <c r="E4426">
        <v>0.45122079999999998</v>
      </c>
      <c r="F4426" t="s">
        <v>52</v>
      </c>
      <c r="G4426">
        <v>-413.01889999999997</v>
      </c>
      <c r="H4426" s="1">
        <v>-9.4969149999999999E-6</v>
      </c>
      <c r="I4426">
        <v>27.610399999999998</v>
      </c>
      <c r="J4426">
        <v>-422.08580000000001</v>
      </c>
      <c r="K4426">
        <v>1.114968</v>
      </c>
      <c r="L4426">
        <v>49.927370000000003</v>
      </c>
      <c r="M4426">
        <v>9.5921339999999994E-2</v>
      </c>
      <c r="N4426">
        <v>0</v>
      </c>
      <c r="O4426">
        <v>-0.99527779999999999</v>
      </c>
      <c r="P4426">
        <v>0.24804229999999999</v>
      </c>
      <c r="Q4426">
        <v>0.2074657</v>
      </c>
      <c r="R4426">
        <v>-0.94627349999999999</v>
      </c>
      <c r="S4426">
        <v>1.164337</v>
      </c>
      <c r="T4426">
        <v>-0.1425979</v>
      </c>
      <c r="U4426">
        <v>-2.8984990000000002</v>
      </c>
      <c r="V4426">
        <v>-0.15869079999999999</v>
      </c>
      <c r="W4426">
        <v>0.21998139999999999</v>
      </c>
      <c r="X4426">
        <v>0.96250990000000003</v>
      </c>
      <c r="Y4426">
        <v>-0.28162090000000001</v>
      </c>
      <c r="Z4426">
        <v>4.6023069999999999E-2</v>
      </c>
      <c r="AA4426">
        <v>0.95842139999999998</v>
      </c>
      <c r="AB4426">
        <v>36</v>
      </c>
      <c r="AC4426">
        <v>9.0669000000000306</v>
      </c>
      <c r="AD4426">
        <v>-1.1149774969149999</v>
      </c>
      <c r="AE4426">
        <v>-22.316970000000001</v>
      </c>
      <c r="AF4426">
        <v>-6.8694545095370598</v>
      </c>
      <c r="AG4426">
        <v>-1.1149774969149999</v>
      </c>
      <c r="AH4426">
        <v>23.034496701406901</v>
      </c>
      <c r="AI4426">
        <v>92.655811517808502</v>
      </c>
      <c r="AJ4426">
        <v>106.605877063813</v>
      </c>
      <c r="AK4426">
        <v>24.062847262207999</v>
      </c>
      <c r="AL4426">
        <v>77.292058785219297</v>
      </c>
      <c r="AM4426">
        <v>99.362237799316304</v>
      </c>
      <c r="AN4426">
        <v>0.99999994697430294</v>
      </c>
    </row>
    <row r="4427" spans="1:40" x14ac:dyDescent="0.25">
      <c r="A4427" t="str">
        <f>"20190312172754565"</f>
        <v>20190312172754565</v>
      </c>
      <c r="B4427" t="str">
        <f>"1552382874553907"</f>
        <v>1552382874553907</v>
      </c>
      <c r="C4427" t="s">
        <v>40</v>
      </c>
      <c r="D4427">
        <v>3.3834870000000001</v>
      </c>
      <c r="E4427">
        <v>0.45156760000000001</v>
      </c>
      <c r="F4427" t="s">
        <v>52</v>
      </c>
      <c r="G4427">
        <v>-412.85489999999999</v>
      </c>
      <c r="H4427" s="1">
        <v>-9.5138800000000008E-6</v>
      </c>
      <c r="I4427">
        <v>27.249700000000001</v>
      </c>
      <c r="J4427">
        <v>-422.04590000000002</v>
      </c>
      <c r="K4427">
        <v>1.1150709999999999</v>
      </c>
      <c r="L4427">
        <v>49.567599999999999</v>
      </c>
      <c r="M4427">
        <v>0.1013694</v>
      </c>
      <c r="N4427">
        <v>0</v>
      </c>
      <c r="O4427">
        <v>-0.9947376</v>
      </c>
      <c r="P4427">
        <v>0.25395319999999999</v>
      </c>
      <c r="Q4427">
        <v>0.20791009999999999</v>
      </c>
      <c r="R4427">
        <v>-0.94460650000000002</v>
      </c>
      <c r="S4427">
        <v>1.17752099999999</v>
      </c>
      <c r="T4427">
        <v>-0.14223089999999999</v>
      </c>
      <c r="U4427">
        <v>-2.8928530000000001</v>
      </c>
      <c r="V4427">
        <v>-0.15950989999999901</v>
      </c>
      <c r="W4427">
        <v>0.2203823</v>
      </c>
      <c r="X4427">
        <v>0.96228279999999999</v>
      </c>
      <c r="Y4427">
        <v>-0.28076909999999999</v>
      </c>
      <c r="Z4427">
        <v>4.5918130000000001E-2</v>
      </c>
      <c r="AA4427">
        <v>0.95867630000000004</v>
      </c>
      <c r="AB4427">
        <v>36</v>
      </c>
      <c r="AC4427">
        <v>9.1910000000000291</v>
      </c>
      <c r="AD4427">
        <v>-1.11508051388</v>
      </c>
      <c r="AE4427">
        <v>-22.317900000000002</v>
      </c>
      <c r="AF4427">
        <v>-6.8663873549372401</v>
      </c>
      <c r="AG4427">
        <v>-1.11508051388</v>
      </c>
      <c r="AH4427">
        <v>23.085428218928602</v>
      </c>
      <c r="AI4427">
        <v>92.650777648381506</v>
      </c>
      <c r="AJ4427">
        <v>106.56425863658799</v>
      </c>
      <c r="AK4427">
        <v>24.110737772033801</v>
      </c>
      <c r="AL4427">
        <v>77.268511401862497</v>
      </c>
      <c r="AM4427">
        <v>99.411880901574804</v>
      </c>
      <c r="AN4427">
        <v>0.999999976763569</v>
      </c>
    </row>
    <row r="4428" spans="1:40" x14ac:dyDescent="0.25">
      <c r="A4428" t="str">
        <f>"20190312172754587"</f>
        <v>20190312172754587</v>
      </c>
      <c r="B4428" t="str">
        <f>"1552382874584163"</f>
        <v>1552382874584163</v>
      </c>
      <c r="C4428" t="s">
        <v>40</v>
      </c>
      <c r="D4428">
        <v>3.4216799999999998</v>
      </c>
      <c r="E4428">
        <v>0.46403460000000002</v>
      </c>
      <c r="F4428" t="s">
        <v>52</v>
      </c>
      <c r="G4428">
        <v>-412.63470000000001</v>
      </c>
      <c r="H4428" s="1">
        <v>-9.5433170000000004E-6</v>
      </c>
      <c r="I4428">
        <v>26.809570000000001</v>
      </c>
      <c r="J4428">
        <v>-422.0068</v>
      </c>
      <c r="K4428">
        <v>1.115162</v>
      </c>
      <c r="L4428">
        <v>49.231200000000001</v>
      </c>
      <c r="M4428">
        <v>0.10654520000000001</v>
      </c>
      <c r="N4428">
        <v>0</v>
      </c>
      <c r="O4428">
        <v>-0.99419639999999998</v>
      </c>
      <c r="P4428">
        <v>0.25922199999999901</v>
      </c>
      <c r="Q4428">
        <v>0.2085089</v>
      </c>
      <c r="R4428">
        <v>-0.9430423</v>
      </c>
      <c r="S4428">
        <v>1.1935420000000001</v>
      </c>
      <c r="T4428">
        <v>-0.14141579999999901</v>
      </c>
      <c r="U4428">
        <v>-2.8862000000000001</v>
      </c>
      <c r="V4428">
        <v>-0.1599419</v>
      </c>
      <c r="W4428">
        <v>0.220947</v>
      </c>
      <c r="X4428">
        <v>0.96208159999999998</v>
      </c>
      <c r="Y4428">
        <v>-0.28110359999999901</v>
      </c>
      <c r="Z4428">
        <v>4.5666579999999998E-2</v>
      </c>
      <c r="AA4428">
        <v>0.95859030000000001</v>
      </c>
      <c r="AB4428">
        <v>35</v>
      </c>
      <c r="AC4428">
        <v>9.3720999999999801</v>
      </c>
      <c r="AD4428">
        <v>-1.115171543317</v>
      </c>
      <c r="AE4428">
        <v>-22.42163</v>
      </c>
      <c r="AF4428">
        <v>-6.91499746522683</v>
      </c>
      <c r="AG4428">
        <v>-1.115171543317</v>
      </c>
      <c r="AH4428">
        <v>23.2436911765368</v>
      </c>
      <c r="AI4428">
        <v>92.632921463580502</v>
      </c>
      <c r="AJ4428">
        <v>106.567740148824</v>
      </c>
      <c r="AK4428">
        <v>24.276119480372699</v>
      </c>
      <c r="AL4428">
        <v>77.235339017309101</v>
      </c>
      <c r="AM4428">
        <v>99.438851191869006</v>
      </c>
      <c r="AN4428">
        <v>0.99999999662158401</v>
      </c>
    </row>
    <row r="4429" spans="1:40" x14ac:dyDescent="0.25">
      <c r="A4429" t="str">
        <f>"20190312172754609"</f>
        <v>20190312172754609</v>
      </c>
      <c r="B4429" t="str">
        <f>"1552382874603683"</f>
        <v>1552382874603683</v>
      </c>
      <c r="C4429" t="s">
        <v>40</v>
      </c>
      <c r="D4429">
        <v>3.3934359999999999</v>
      </c>
      <c r="E4429">
        <v>0.46439599999999998</v>
      </c>
      <c r="F4429" t="s">
        <v>52</v>
      </c>
      <c r="G4429">
        <v>-414.04640000000001</v>
      </c>
      <c r="H4429" s="1">
        <v>-9.2334420000000003E-6</v>
      </c>
      <c r="I4429">
        <v>28.474430000000002</v>
      </c>
      <c r="J4429">
        <v>-421.96359999999999</v>
      </c>
      <c r="K4429">
        <v>1.1152420000000001</v>
      </c>
      <c r="L4429">
        <v>48.877290000000002</v>
      </c>
      <c r="M4429">
        <v>0.1120742</v>
      </c>
      <c r="N4429">
        <v>0</v>
      </c>
      <c r="O4429">
        <v>-0.99358800000000003</v>
      </c>
      <c r="P4429">
        <v>0.26476329999999998</v>
      </c>
      <c r="Q4429">
        <v>0.20805470000000001</v>
      </c>
      <c r="R4429">
        <v>-0.94160189999999999</v>
      </c>
      <c r="S4429">
        <v>1.1156619999999999</v>
      </c>
      <c r="T4429">
        <v>-0.15629270000000001</v>
      </c>
      <c r="U4429">
        <v>-2.9090880000000001</v>
      </c>
      <c r="V4429">
        <v>-0.16027640000000001</v>
      </c>
      <c r="W4429">
        <v>0.22046370000000001</v>
      </c>
      <c r="X4429">
        <v>0.96213680000000001</v>
      </c>
      <c r="Y4429">
        <v>-0.25071080000000001</v>
      </c>
      <c r="Z4429">
        <v>5.0500730000000001E-2</v>
      </c>
      <c r="AA4429">
        <v>0.96674389999999999</v>
      </c>
      <c r="AB4429">
        <v>35</v>
      </c>
      <c r="AC4429">
        <v>7.9171999999999798</v>
      </c>
      <c r="AD4429">
        <v>-1.1152512334419999</v>
      </c>
      <c r="AE4429">
        <v>-20.40286</v>
      </c>
      <c r="AF4429">
        <v>-5.5659668919045204</v>
      </c>
      <c r="AG4429">
        <v>-1.1152512334419999</v>
      </c>
      <c r="AH4429">
        <v>21.106891061690199</v>
      </c>
      <c r="AI4429">
        <v>92.924793195305796</v>
      </c>
      <c r="AJ4429">
        <v>104.772809953616</v>
      </c>
      <c r="AK4429">
        <v>21.856912477418401</v>
      </c>
      <c r="AL4429">
        <v>77.263730153641305</v>
      </c>
      <c r="AM4429">
        <v>99.457702310536007</v>
      </c>
      <c r="AN4429">
        <v>0.999999994664445</v>
      </c>
    </row>
    <row r="4430" spans="1:40" x14ac:dyDescent="0.25">
      <c r="A4430" t="str">
        <f>"20190312172754631"</f>
        <v>20190312172754631</v>
      </c>
      <c r="B4430" t="str">
        <f>"1552382874624179"</f>
        <v>1552382874624179</v>
      </c>
      <c r="C4430" t="s">
        <v>40</v>
      </c>
      <c r="D4430">
        <v>3.4117299999999999</v>
      </c>
      <c r="E4430">
        <v>0.46493889999999999</v>
      </c>
      <c r="F4430" t="s">
        <v>52</v>
      </c>
      <c r="G4430">
        <v>-414.08409999999998</v>
      </c>
      <c r="H4430" s="1">
        <v>-9.2378429999999992E-6</v>
      </c>
      <c r="I4430">
        <v>28.631430000000002</v>
      </c>
      <c r="J4430">
        <v>-421.9194</v>
      </c>
      <c r="K4430">
        <v>1.1153230000000001</v>
      </c>
      <c r="L4430">
        <v>48.532380000000003</v>
      </c>
      <c r="M4430">
        <v>0.1175414</v>
      </c>
      <c r="N4430">
        <v>0</v>
      </c>
      <c r="O4430">
        <v>-0.99295619999999996</v>
      </c>
      <c r="P4430">
        <v>0.27044259999999998</v>
      </c>
      <c r="Q4430">
        <v>0.20774980000000001</v>
      </c>
      <c r="R4430">
        <v>-0.9400541</v>
      </c>
      <c r="S4430">
        <v>1.130066</v>
      </c>
      <c r="T4430">
        <v>-0.15994910000000001</v>
      </c>
      <c r="U4430">
        <v>-2.9036559999999998</v>
      </c>
      <c r="V4430">
        <v>-0.16081770000000001</v>
      </c>
      <c r="W4430">
        <v>0.22012979999999999</v>
      </c>
      <c r="X4430">
        <v>0.9621229</v>
      </c>
      <c r="Y4430">
        <v>-0.25013730000000001</v>
      </c>
      <c r="Z4430">
        <v>5.167865E-2</v>
      </c>
      <c r="AA4430">
        <v>0.96683019999999997</v>
      </c>
      <c r="AB4430">
        <v>35</v>
      </c>
      <c r="AC4430">
        <v>7.8353000000000099</v>
      </c>
      <c r="AD4430">
        <v>-1.115332237843</v>
      </c>
      <c r="AE4430">
        <v>-19.900950000000002</v>
      </c>
      <c r="AF4430">
        <v>-5.4267706320135396</v>
      </c>
      <c r="AG4430">
        <v>-1.115332237843</v>
      </c>
      <c r="AH4430">
        <v>20.627944090113701</v>
      </c>
      <c r="AI4430">
        <v>92.993257053127493</v>
      </c>
      <c r="AJ4430">
        <v>104.739313699788</v>
      </c>
      <c r="AK4430">
        <v>21.358976634616901</v>
      </c>
      <c r="AL4430">
        <v>77.283342702979994</v>
      </c>
      <c r="AM4430">
        <v>99.489198394179496</v>
      </c>
      <c r="AN4430">
        <v>0.99999996809286895</v>
      </c>
    </row>
    <row r="4431" spans="1:40" x14ac:dyDescent="0.25">
      <c r="A4431" t="str">
        <f>"20190312172754655"</f>
        <v>20190312172754655</v>
      </c>
      <c r="B4431" t="str">
        <f>"1552382874643700"</f>
        <v>1552382874643700</v>
      </c>
      <c r="C4431" t="s">
        <v>40</v>
      </c>
      <c r="D4431">
        <v>3.406901</v>
      </c>
      <c r="E4431">
        <v>0.46516980000000002</v>
      </c>
      <c r="F4431" t="s">
        <v>52</v>
      </c>
      <c r="G4431">
        <v>-413.97890000000001</v>
      </c>
      <c r="H4431" s="1">
        <v>-9.2499650000000005E-6</v>
      </c>
      <c r="I4431">
        <v>28.410869999999999</v>
      </c>
      <c r="J4431">
        <v>-421.87110000000001</v>
      </c>
      <c r="K4431">
        <v>1.1153959999999901</v>
      </c>
      <c r="L4431">
        <v>48.1723</v>
      </c>
      <c r="M4431">
        <v>0.12331549999999999</v>
      </c>
      <c r="N4431">
        <v>0</v>
      </c>
      <c r="O4431">
        <v>-0.99225560000000002</v>
      </c>
      <c r="P4431">
        <v>0.27596569999999998</v>
      </c>
      <c r="Q4431">
        <v>0.20841850000000001</v>
      </c>
      <c r="R4431">
        <v>-0.93829890000000005</v>
      </c>
      <c r="S4431">
        <v>1.1435550000000001</v>
      </c>
      <c r="T4431">
        <v>-0.16062609999999999</v>
      </c>
      <c r="U4431">
        <v>-2.8978269999999999</v>
      </c>
      <c r="V4431">
        <v>-0.160941</v>
      </c>
      <c r="W4431">
        <v>0.22077440000000001</v>
      </c>
      <c r="X4431">
        <v>0.96195459999999999</v>
      </c>
      <c r="Y4431">
        <v>-0.24905849999999999</v>
      </c>
      <c r="Z4431">
        <v>5.1903409999999997E-2</v>
      </c>
      <c r="AA4431">
        <v>0.96709659999999997</v>
      </c>
      <c r="AB4431">
        <v>35</v>
      </c>
      <c r="AC4431">
        <v>7.8921999999999999</v>
      </c>
      <c r="AD4431">
        <v>-1.11540524996499</v>
      </c>
      <c r="AE4431">
        <v>-19.761430000000001</v>
      </c>
      <c r="AF4431">
        <v>-5.3800059223366103</v>
      </c>
      <c r="AG4431">
        <v>-1.11540524996499</v>
      </c>
      <c r="AH4431">
        <v>20.5275043000503</v>
      </c>
      <c r="AI4431">
        <v>93.008803539883999</v>
      </c>
      <c r="AJ4431">
        <v>104.686200237254</v>
      </c>
      <c r="AK4431">
        <v>21.250106479371102</v>
      </c>
      <c r="AL4431">
        <v>77.245478666349001</v>
      </c>
      <c r="AM4431">
        <v>99.497972541368</v>
      </c>
      <c r="AN4431">
        <v>0.99999999681875995</v>
      </c>
    </row>
    <row r="4432" spans="1:40" x14ac:dyDescent="0.25">
      <c r="A4432" t="str">
        <f>"20190312172754680"</f>
        <v>20190312172754680</v>
      </c>
      <c r="B4432" t="str">
        <f>"1552382874673955"</f>
        <v>1552382874673955</v>
      </c>
      <c r="C4432" t="s">
        <v>40</v>
      </c>
      <c r="D4432">
        <v>3.424547</v>
      </c>
      <c r="E4432">
        <v>0.4653639</v>
      </c>
      <c r="F4432" t="s">
        <v>52</v>
      </c>
      <c r="G4432">
        <v>-413.75790000000001</v>
      </c>
      <c r="H4432" s="1">
        <v>-9.2753629999999998E-6</v>
      </c>
      <c r="I4432">
        <v>27.94708</v>
      </c>
      <c r="J4432">
        <v>-421.8152</v>
      </c>
      <c r="K4432">
        <v>1.1154550000000001</v>
      </c>
      <c r="L4432">
        <v>47.774659999999997</v>
      </c>
      <c r="M4432">
        <v>0.12976860000000001</v>
      </c>
      <c r="N4432">
        <v>0</v>
      </c>
      <c r="O4432">
        <v>-0.99143210000000004</v>
      </c>
      <c r="P4432">
        <v>0.2821033</v>
      </c>
      <c r="Q4432">
        <v>0.2080495</v>
      </c>
      <c r="R4432">
        <v>-0.93655379999999999</v>
      </c>
      <c r="S4432">
        <v>1.1599120000000001</v>
      </c>
      <c r="T4432">
        <v>-0.1594661</v>
      </c>
      <c r="U4432">
        <v>-2.8915410000000001</v>
      </c>
      <c r="V4432">
        <v>-0.16100039999999999</v>
      </c>
      <c r="W4432">
        <v>0.22038559999999999</v>
      </c>
      <c r="X4432">
        <v>0.96203380000000005</v>
      </c>
      <c r="Y4432">
        <v>-0.24820449999999999</v>
      </c>
      <c r="Z4432">
        <v>5.1522930000000002E-2</v>
      </c>
      <c r="AA4432">
        <v>0.96733650000000004</v>
      </c>
      <c r="AB4432">
        <v>35</v>
      </c>
      <c r="AC4432">
        <v>8.0572999999999908</v>
      </c>
      <c r="AD4432">
        <v>-1.115464275363</v>
      </c>
      <c r="AE4432">
        <v>-19.827580000000001</v>
      </c>
      <c r="AF4432">
        <v>-5.40119923404208</v>
      </c>
      <c r="AG4432">
        <v>-1.115464275363</v>
      </c>
      <c r="AH4432">
        <v>20.6494949297131</v>
      </c>
      <c r="AI4432">
        <v>92.991600773217399</v>
      </c>
      <c r="AJ4432">
        <v>104.658210897579</v>
      </c>
      <c r="AK4432">
        <v>21.3733210935427</v>
      </c>
      <c r="AL4432">
        <v>77.268317691245201</v>
      </c>
      <c r="AM4432">
        <v>99.500646194075003</v>
      </c>
      <c r="AN4432">
        <v>0.99999998691497904</v>
      </c>
    </row>
    <row r="4433" spans="1:40" x14ac:dyDescent="0.25">
      <c r="A4433" t="str">
        <f>"20190312172754700"</f>
        <v>20190312172754700</v>
      </c>
      <c r="B4433" t="str">
        <f>"1552382874693476"</f>
        <v>1552382874693476</v>
      </c>
      <c r="C4433" t="s">
        <v>40</v>
      </c>
      <c r="D4433">
        <v>3.4183509999999999</v>
      </c>
      <c r="E4433">
        <v>0.4655823</v>
      </c>
      <c r="F4433" t="s">
        <v>52</v>
      </c>
      <c r="G4433">
        <v>-413.77789999999999</v>
      </c>
      <c r="H4433" s="1">
        <v>-9.2833520000000003E-6</v>
      </c>
      <c r="I4433">
        <v>28.080290000000002</v>
      </c>
      <c r="J4433">
        <v>-421.76940000000002</v>
      </c>
      <c r="K4433">
        <v>1.115499</v>
      </c>
      <c r="L4433">
        <v>47.461730000000003</v>
      </c>
      <c r="M4433">
        <v>0.1349061</v>
      </c>
      <c r="N4433">
        <v>0</v>
      </c>
      <c r="O4433">
        <v>-0.99074600000000002</v>
      </c>
      <c r="P4433">
        <v>0.2869159</v>
      </c>
      <c r="Q4433">
        <v>0.20722750000000001</v>
      </c>
      <c r="R4433">
        <v>-0.93527349999999998</v>
      </c>
      <c r="S4433">
        <v>1.177338</v>
      </c>
      <c r="T4433">
        <v>-0.1633965</v>
      </c>
      <c r="U4433">
        <v>-2.8848880000000001</v>
      </c>
      <c r="V4433">
        <v>-0.1609525</v>
      </c>
      <c r="W4433">
        <v>0.219552</v>
      </c>
      <c r="X4433">
        <v>0.96223239999999999</v>
      </c>
      <c r="Y4433">
        <v>-0.24894839999999999</v>
      </c>
      <c r="Z4433">
        <v>5.2784020000000001E-2</v>
      </c>
      <c r="AA4433">
        <v>0.96707730000000003</v>
      </c>
      <c r="AB4433">
        <v>35</v>
      </c>
      <c r="AC4433">
        <v>7.9915000000000296</v>
      </c>
      <c r="AD4433">
        <v>-1.115508283352</v>
      </c>
      <c r="AE4433">
        <v>-19.381439999999898</v>
      </c>
      <c r="AF4433">
        <v>-5.2884895869125197</v>
      </c>
      <c r="AG4433">
        <v>-1.115508283352</v>
      </c>
      <c r="AH4433">
        <v>20.225181798167</v>
      </c>
      <c r="AI4433">
        <v>93.0544291676282</v>
      </c>
      <c r="AJ4433">
        <v>104.653639920847</v>
      </c>
      <c r="AK4433">
        <v>20.934910069308099</v>
      </c>
      <c r="AL4433">
        <v>77.317278697933205</v>
      </c>
      <c r="AM4433">
        <v>99.495946507748499</v>
      </c>
      <c r="AN4433">
        <v>0.99999998978500404</v>
      </c>
    </row>
    <row r="4434" spans="1:40" x14ac:dyDescent="0.25">
      <c r="A4434" t="str">
        <f>"20190312172754722"</f>
        <v>20190312172754722</v>
      </c>
      <c r="B4434" t="str">
        <f>"1552382874713972"</f>
        <v>1552382874713972</v>
      </c>
      <c r="C4434" t="s">
        <v>40</v>
      </c>
      <c r="D4434">
        <v>3.4919039999999999</v>
      </c>
      <c r="E4434">
        <v>0.46579300000000001</v>
      </c>
      <c r="F4434" t="s">
        <v>52</v>
      </c>
      <c r="G4434">
        <v>-413.81799999999998</v>
      </c>
      <c r="H4434" s="1">
        <v>-9.2864699999999995E-6</v>
      </c>
      <c r="I4434">
        <v>28.23312</v>
      </c>
      <c r="J4434">
        <v>-421.71879999999999</v>
      </c>
      <c r="K4434">
        <v>1.115542</v>
      </c>
      <c r="L4434">
        <v>47.129150000000003</v>
      </c>
      <c r="M4434">
        <v>0.14042689999999999</v>
      </c>
      <c r="N4434">
        <v>0</v>
      </c>
      <c r="O4434">
        <v>-0.98997860000000004</v>
      </c>
      <c r="P4434">
        <v>0.29229260000000001</v>
      </c>
      <c r="Q4434">
        <v>0.20637820000000001</v>
      </c>
      <c r="R4434">
        <v>-0.93379520000000005</v>
      </c>
      <c r="S4434">
        <v>1.190674</v>
      </c>
      <c r="T4434">
        <v>-0.167040299999999</v>
      </c>
      <c r="U4434">
        <v>-2.8793639999999998</v>
      </c>
      <c r="V4434">
        <v>-0.16111679999999901</v>
      </c>
      <c r="W4434">
        <v>0.2186862</v>
      </c>
      <c r="X4434">
        <v>0.96240199999999998</v>
      </c>
      <c r="Y4434">
        <v>-0.248006</v>
      </c>
      <c r="Z4434">
        <v>5.3951260000000001E-2</v>
      </c>
      <c r="AA4434">
        <v>0.96725510000000003</v>
      </c>
      <c r="AB4434">
        <v>35</v>
      </c>
      <c r="AC4434">
        <v>7.9007999999999399</v>
      </c>
      <c r="AD4434">
        <v>-1.1155512864699999</v>
      </c>
      <c r="AE4434">
        <v>-18.89603</v>
      </c>
      <c r="AF4434">
        <v>-5.15339917225129</v>
      </c>
      <c r="AG4434">
        <v>-1.1155512864699999</v>
      </c>
      <c r="AH4434">
        <v>19.759736585633899</v>
      </c>
      <c r="AI4434">
        <v>93.126872927831997</v>
      </c>
      <c r="AJ4434">
        <v>104.61730464041899</v>
      </c>
      <c r="AK4434">
        <v>20.451140986139201</v>
      </c>
      <c r="AL4434">
        <v>77.368120353688198</v>
      </c>
      <c r="AM4434">
        <v>99.503818604084799</v>
      </c>
      <c r="AN4434">
        <v>0.99999994345833798</v>
      </c>
    </row>
    <row r="4435" spans="1:40" x14ac:dyDescent="0.25">
      <c r="A4435" t="str">
        <f>"20190312172754744"</f>
        <v>20190312172754744</v>
      </c>
      <c r="B4435" t="str">
        <f>"1552382874733491"</f>
        <v>1552382874733491</v>
      </c>
      <c r="C4435" t="s">
        <v>40</v>
      </c>
      <c r="D4435">
        <v>3.4346209999999999</v>
      </c>
      <c r="E4435">
        <v>0.46940150000000003</v>
      </c>
      <c r="F4435" t="s">
        <v>52</v>
      </c>
      <c r="G4435">
        <v>-413.8646</v>
      </c>
      <c r="H4435" s="1">
        <v>-9.290821E-6</v>
      </c>
      <c r="I4435">
        <v>28.41733</v>
      </c>
      <c r="J4435">
        <v>-421.66570000000002</v>
      </c>
      <c r="K4435">
        <v>1.1155900000000001</v>
      </c>
      <c r="L4435">
        <v>46.792760000000001</v>
      </c>
      <c r="M4435">
        <v>0.14607609999999999</v>
      </c>
      <c r="N4435">
        <v>0</v>
      </c>
      <c r="O4435">
        <v>-0.98916079999999995</v>
      </c>
      <c r="P4435">
        <v>0.29781200000000002</v>
      </c>
      <c r="Q4435">
        <v>0.20499010000000001</v>
      </c>
      <c r="R4435">
        <v>-0.93235570000000001</v>
      </c>
      <c r="S4435">
        <v>1.2059629999999999</v>
      </c>
      <c r="T4435">
        <v>-0.17128560000000001</v>
      </c>
      <c r="U4435">
        <v>-2.8730769999999999</v>
      </c>
      <c r="V4435">
        <v>-0.1612838</v>
      </c>
      <c r="W4435">
        <v>0.21728220000000001</v>
      </c>
      <c r="X4435">
        <v>0.96269210000000005</v>
      </c>
      <c r="Y4435">
        <v>-0.24757879999999999</v>
      </c>
      <c r="Z4435">
        <v>5.5309530000000003E-2</v>
      </c>
      <c r="AA4435">
        <v>0.96728780000000003</v>
      </c>
      <c r="AB4435">
        <v>35</v>
      </c>
      <c r="AC4435">
        <v>7.8011000000000097</v>
      </c>
      <c r="AD4435">
        <v>-1.115599290821</v>
      </c>
      <c r="AE4435">
        <v>-18.375429999999898</v>
      </c>
      <c r="AF4435">
        <v>-5.0172227370161604</v>
      </c>
      <c r="AG4435">
        <v>-1.115599290821</v>
      </c>
      <c r="AH4435">
        <v>19.257817979122699</v>
      </c>
      <c r="AI4435">
        <v>93.208552685421097</v>
      </c>
      <c r="AJ4435">
        <v>104.602610280408</v>
      </c>
      <c r="AK4435">
        <v>19.931900037064601</v>
      </c>
      <c r="AL4435">
        <v>77.450547128980105</v>
      </c>
      <c r="AM4435">
        <v>99.510675044992595</v>
      </c>
      <c r="AN4435">
        <v>1.0000000489908401</v>
      </c>
    </row>
    <row r="4436" spans="1:40" x14ac:dyDescent="0.25">
      <c r="A4436" t="str">
        <f>"20190312172754765"</f>
        <v>20190312172754765</v>
      </c>
      <c r="B4436" t="str">
        <f>"1552382874753988"</f>
        <v>1552382874753988</v>
      </c>
      <c r="C4436" t="s">
        <v>40</v>
      </c>
      <c r="D4436">
        <v>3.4305569999999999</v>
      </c>
      <c r="E4436">
        <v>0.46987390000000001</v>
      </c>
      <c r="F4436" t="s">
        <v>52</v>
      </c>
      <c r="G4436">
        <v>-414.3938</v>
      </c>
      <c r="H4436" s="1">
        <v>-9.2056909999999993E-6</v>
      </c>
      <c r="I4436">
        <v>29.311910000000001</v>
      </c>
      <c r="J4436">
        <v>-421.61180000000002</v>
      </c>
      <c r="K4436">
        <v>1.115639</v>
      </c>
      <c r="L4436">
        <v>46.463990000000003</v>
      </c>
      <c r="M4436">
        <v>0.1516615</v>
      </c>
      <c r="N4436">
        <v>0</v>
      </c>
      <c r="O4436">
        <v>-0.98831979999999997</v>
      </c>
      <c r="P4436">
        <v>0.3033749</v>
      </c>
      <c r="Q4436">
        <v>0.20511499999999999</v>
      </c>
      <c r="R4436">
        <v>-0.93053319999999995</v>
      </c>
      <c r="S4436">
        <v>1.19635</v>
      </c>
      <c r="T4436">
        <v>-0.18353439999999999</v>
      </c>
      <c r="U4436">
        <v>-2.8758849999999998</v>
      </c>
      <c r="V4436">
        <v>-0.16163169999999999</v>
      </c>
      <c r="W4436">
        <v>0.2173832</v>
      </c>
      <c r="X4436">
        <v>0.96261090000000005</v>
      </c>
      <c r="Y4436">
        <v>-0.2389194</v>
      </c>
      <c r="Z4436">
        <v>5.9224449999999998E-2</v>
      </c>
      <c r="AA4436">
        <v>0.96923170000000003</v>
      </c>
      <c r="AB4436">
        <v>35</v>
      </c>
      <c r="AC4436">
        <v>7.2180000000000097</v>
      </c>
      <c r="AD4436">
        <v>-1.115648205691</v>
      </c>
      <c r="AE4436">
        <v>-17.152080000000002</v>
      </c>
      <c r="AF4436">
        <v>-4.5166529840816896</v>
      </c>
      <c r="AG4436">
        <v>-1.115648205691</v>
      </c>
      <c r="AH4436">
        <v>17.983804750915802</v>
      </c>
      <c r="AI4436">
        <v>93.443203851531806</v>
      </c>
      <c r="AJ4436">
        <v>104.098302123374</v>
      </c>
      <c r="AK4436">
        <v>18.575846102305501</v>
      </c>
      <c r="AL4436">
        <v>77.444617966947007</v>
      </c>
      <c r="AM4436">
        <v>99.531603462180598</v>
      </c>
      <c r="AN4436">
        <v>1.0000000034429699</v>
      </c>
    </row>
    <row r="4437" spans="1:40" x14ac:dyDescent="0.25">
      <c r="A4437" t="str">
        <f>"20190312172754789"</f>
        <v>20190312172754789</v>
      </c>
      <c r="B4437" t="str">
        <f>"1552382874784244"</f>
        <v>1552382874784244</v>
      </c>
      <c r="C4437" t="s">
        <v>40</v>
      </c>
      <c r="D4437">
        <v>3.4466619999999999</v>
      </c>
      <c r="E4437">
        <v>0.46971970000000002</v>
      </c>
      <c r="F4437" t="s">
        <v>52</v>
      </c>
      <c r="G4437">
        <v>-414.4905</v>
      </c>
      <c r="H4437" s="1">
        <v>-9.2024319999999994E-6</v>
      </c>
      <c r="I4437">
        <v>29.584689999999998</v>
      </c>
      <c r="J4437">
        <v>-421.5521</v>
      </c>
      <c r="K4437">
        <v>1.115704</v>
      </c>
      <c r="L4437">
        <v>46.112819999999999</v>
      </c>
      <c r="M4437">
        <v>0.15769820000000001</v>
      </c>
      <c r="N4437">
        <v>0</v>
      </c>
      <c r="O4437">
        <v>-0.98737450000000004</v>
      </c>
      <c r="P4437">
        <v>0.3087955</v>
      </c>
      <c r="Q4437">
        <v>0.20656769999999999</v>
      </c>
      <c r="R4437">
        <v>-0.92842659999999999</v>
      </c>
      <c r="S4437">
        <v>1.211212</v>
      </c>
      <c r="T4437">
        <v>-0.1897527</v>
      </c>
      <c r="U4437">
        <v>-2.8708800000000001</v>
      </c>
      <c r="V4437">
        <v>-0.16146259999999901</v>
      </c>
      <c r="W4437">
        <v>0.2188156</v>
      </c>
      <c r="X4437">
        <v>0.96231469999999997</v>
      </c>
      <c r="Y4437">
        <v>-0.23780589999999999</v>
      </c>
      <c r="Z4437">
        <v>6.1183420000000002E-2</v>
      </c>
      <c r="AA4437">
        <v>0.96938380000000002</v>
      </c>
      <c r="AB4437">
        <v>35</v>
      </c>
      <c r="AC4437">
        <v>7.0615999999999897</v>
      </c>
      <c r="AD4437">
        <v>-1.115713202432</v>
      </c>
      <c r="AE4437">
        <v>-16.528129999999901</v>
      </c>
      <c r="AF4437">
        <v>-4.3497129403179597</v>
      </c>
      <c r="AG4437">
        <v>-1.115713202432</v>
      </c>
      <c r="AH4437">
        <v>17.368072948862402</v>
      </c>
      <c r="AI4437">
        <v>93.565763993166797</v>
      </c>
      <c r="AJ4437">
        <v>104.060131954206</v>
      </c>
      <c r="AK4437">
        <v>17.939196653425</v>
      </c>
      <c r="AL4437">
        <v>77.360523113036805</v>
      </c>
      <c r="AM4437">
        <v>99.524691252099998</v>
      </c>
      <c r="AN4437">
        <v>1.0000000099191</v>
      </c>
    </row>
    <row r="4438" spans="1:40" x14ac:dyDescent="0.25">
      <c r="A4438" t="str">
        <f>"20190312172754810"</f>
        <v>20190312172754810</v>
      </c>
      <c r="B4438" t="str">
        <f>"1552382874803763"</f>
        <v>1552382874803763</v>
      </c>
      <c r="C4438" t="s">
        <v>40</v>
      </c>
      <c r="D4438">
        <v>3.4390849999999999</v>
      </c>
      <c r="E4438">
        <v>0.46992929999999999</v>
      </c>
      <c r="F4438" t="s">
        <v>52</v>
      </c>
      <c r="G4438">
        <v>-414.35309999999998</v>
      </c>
      <c r="H4438" s="1">
        <v>-9.2256720000000005E-6</v>
      </c>
      <c r="I4438">
        <v>29.36242</v>
      </c>
      <c r="J4438">
        <v>-421.49290000000002</v>
      </c>
      <c r="K4438">
        <v>1.115766</v>
      </c>
      <c r="L4438">
        <v>45.778260000000003</v>
      </c>
      <c r="M4438">
        <v>0.163525799999999</v>
      </c>
      <c r="N4438">
        <v>0</v>
      </c>
      <c r="O4438">
        <v>-0.98642589999999997</v>
      </c>
      <c r="P4438">
        <v>0.31427899999999998</v>
      </c>
      <c r="Q4438">
        <v>0.208146</v>
      </c>
      <c r="R4438">
        <v>-0.92623100000000003</v>
      </c>
      <c r="S4438">
        <v>1.2310179999999999</v>
      </c>
      <c r="T4438">
        <v>-0.1907848</v>
      </c>
      <c r="U4438">
        <v>-2.8642880000000002</v>
      </c>
      <c r="V4438">
        <v>-0.16157759999999999</v>
      </c>
      <c r="W4438">
        <v>0.2203698</v>
      </c>
      <c r="X4438">
        <v>0.96194060000000003</v>
      </c>
      <c r="Y4438">
        <v>-0.23853469999999999</v>
      </c>
      <c r="Z4438">
        <v>6.1470650000000002E-2</v>
      </c>
      <c r="AA4438">
        <v>0.96918649999999995</v>
      </c>
      <c r="AB4438">
        <v>35</v>
      </c>
      <c r="AC4438">
        <v>7.1398000000000303</v>
      </c>
      <c r="AD4438">
        <v>-1.1157752256719999</v>
      </c>
      <c r="AE4438">
        <v>-16.4158399999999</v>
      </c>
      <c r="AF4438">
        <v>-4.3420881316657702</v>
      </c>
      <c r="AG4438">
        <v>-1.1157752256719999</v>
      </c>
      <c r="AH4438">
        <v>17.295298315317499</v>
      </c>
      <c r="AI4438">
        <v>93.580411057214206</v>
      </c>
      <c r="AJ4438">
        <v>104.093173688245</v>
      </c>
      <c r="AK4438">
        <v>17.8668975346365</v>
      </c>
      <c r="AL4438">
        <v>77.269245223310094</v>
      </c>
      <c r="AM4438">
        <v>99.534989397588902</v>
      </c>
      <c r="AN4438">
        <v>0.99999994375107804</v>
      </c>
    </row>
    <row r="4439" spans="1:40" x14ac:dyDescent="0.25">
      <c r="A4439" t="str">
        <f>"20190312172754833"</f>
        <v>20190312172754833</v>
      </c>
      <c r="B4439" t="str">
        <f>"1552382874824259"</f>
        <v>1552382874824259</v>
      </c>
      <c r="C4439" t="s">
        <v>40</v>
      </c>
      <c r="D4439">
        <v>3.544044</v>
      </c>
      <c r="E4439">
        <v>0.46984379999999998</v>
      </c>
      <c r="F4439" t="s">
        <v>52</v>
      </c>
      <c r="G4439">
        <v>-414.01769999999999</v>
      </c>
      <c r="H4439" s="1">
        <v>-9.2637030000000006E-6</v>
      </c>
      <c r="I4439">
        <v>28.653980000000001</v>
      </c>
      <c r="J4439">
        <v>-421.43040000000002</v>
      </c>
      <c r="K4439">
        <v>1.115815</v>
      </c>
      <c r="L4439">
        <v>45.437649999999998</v>
      </c>
      <c r="M4439">
        <v>0.16952</v>
      </c>
      <c r="N4439">
        <v>0</v>
      </c>
      <c r="O4439">
        <v>-0.98541350000000005</v>
      </c>
      <c r="P4439">
        <v>0.31985350000000001</v>
      </c>
      <c r="Q4439">
        <v>0.20887810000000001</v>
      </c>
      <c r="R4439">
        <v>-0.92415590000000003</v>
      </c>
      <c r="S4439">
        <v>1.2473749999999999</v>
      </c>
      <c r="T4439">
        <v>-0.18618850000000001</v>
      </c>
      <c r="U4439">
        <v>-2.857513</v>
      </c>
      <c r="V4439">
        <v>-0.16158889999999901</v>
      </c>
      <c r="W4439">
        <v>0.22108369999999999</v>
      </c>
      <c r="X4439">
        <v>0.96177489999999999</v>
      </c>
      <c r="Y4439">
        <v>-0.23817070000000001</v>
      </c>
      <c r="Z4439">
        <v>5.9970559999999999E-2</v>
      </c>
      <c r="AA4439">
        <v>0.96936999999999995</v>
      </c>
      <c r="AB4439">
        <v>35</v>
      </c>
      <c r="AC4439">
        <v>7.4127000000000196</v>
      </c>
      <c r="AD4439">
        <v>-1.115824263703</v>
      </c>
      <c r="AE4439">
        <v>-16.783670000000001</v>
      </c>
      <c r="AF4439">
        <v>-4.4434704741936599</v>
      </c>
      <c r="AG4439">
        <v>-1.115824263703</v>
      </c>
      <c r="AH4439">
        <v>17.7318608539465</v>
      </c>
      <c r="AI4439">
        <v>93.493015661829602</v>
      </c>
      <c r="AJ4439">
        <v>104.068187198353</v>
      </c>
      <c r="AK4439">
        <v>18.3141579928268</v>
      </c>
      <c r="AL4439">
        <v>77.227307692398895</v>
      </c>
      <c r="AM4439">
        <v>99.537256664367206</v>
      </c>
      <c r="AN4439">
        <v>0.99999996663945401</v>
      </c>
    </row>
    <row r="4440" spans="1:40" x14ac:dyDescent="0.25">
      <c r="A4440" t="str">
        <f>"20190312172754855"</f>
        <v>20190312172754855</v>
      </c>
      <c r="B4440" t="str">
        <f>"1552382874843780"</f>
        <v>1552382874843780</v>
      </c>
      <c r="C4440" t="s">
        <v>40</v>
      </c>
      <c r="D4440">
        <v>3.4907859999999999</v>
      </c>
      <c r="E4440">
        <v>0.47002440000000001</v>
      </c>
      <c r="F4440" t="s">
        <v>52</v>
      </c>
      <c r="G4440">
        <v>-413.6918</v>
      </c>
      <c r="H4440" s="1">
        <v>-9.3068179999999996E-6</v>
      </c>
      <c r="I4440">
        <v>28.02026</v>
      </c>
      <c r="J4440">
        <v>-421.36470000000003</v>
      </c>
      <c r="K4440">
        <v>1.1158650000000001</v>
      </c>
      <c r="L4440">
        <v>45.091830000000002</v>
      </c>
      <c r="M4440">
        <v>0.17567179999999999</v>
      </c>
      <c r="N4440">
        <v>0</v>
      </c>
      <c r="O4440">
        <v>-0.98433539999999997</v>
      </c>
      <c r="P4440">
        <v>0.32566139999999999</v>
      </c>
      <c r="Q4440">
        <v>0.20886170000000001</v>
      </c>
      <c r="R4440">
        <v>-0.92212890000000003</v>
      </c>
      <c r="S4440">
        <v>1.2659609999999999</v>
      </c>
      <c r="T4440">
        <v>-0.18253720000000001</v>
      </c>
      <c r="U4440">
        <v>-2.8493040000000001</v>
      </c>
      <c r="V4440">
        <v>-0.1616571</v>
      </c>
      <c r="W4440">
        <v>0.2210511</v>
      </c>
      <c r="X4440">
        <v>0.96177100000000004</v>
      </c>
      <c r="Y4440">
        <v>-0.23845050000000001</v>
      </c>
      <c r="Z4440">
        <v>5.8780949999999998E-2</v>
      </c>
      <c r="AA4440">
        <v>0.96937410000000002</v>
      </c>
      <c r="AB4440">
        <v>35</v>
      </c>
      <c r="AC4440">
        <v>7.6729000000000198</v>
      </c>
      <c r="AD4440">
        <v>-1.1158743068179999</v>
      </c>
      <c r="AE4440">
        <v>-17.071570000000001</v>
      </c>
      <c r="AF4440">
        <v>-4.53809148789363</v>
      </c>
      <c r="AG4440">
        <v>-1.1158743068179999</v>
      </c>
      <c r="AH4440">
        <v>18.089789566973501</v>
      </c>
      <c r="AI4440">
        <v>93.424001878474499</v>
      </c>
      <c r="AJ4440">
        <v>104.082868827803</v>
      </c>
      <c r="AK4440">
        <v>18.6836810184314</v>
      </c>
      <c r="AL4440">
        <v>77.229223764254698</v>
      </c>
      <c r="AM4440">
        <v>99.541245935678006</v>
      </c>
      <c r="AN4440">
        <v>1.0000000316163</v>
      </c>
    </row>
    <row r="4441" spans="1:40" x14ac:dyDescent="0.25">
      <c r="A4441" t="str">
        <f>"20190312172754878"</f>
        <v>20190312172754878</v>
      </c>
      <c r="B4441" t="str">
        <f>"1552382874874037"</f>
        <v>1552382874874037</v>
      </c>
      <c r="C4441" t="s">
        <v>40</v>
      </c>
      <c r="D4441">
        <v>3.4191449999999999</v>
      </c>
      <c r="E4441">
        <v>0.47445979999999999</v>
      </c>
      <c r="F4441" t="s">
        <v>52</v>
      </c>
      <c r="G4441">
        <v>-413.65879999999999</v>
      </c>
      <c r="H4441" s="1">
        <v>-9.3195770000000001E-6</v>
      </c>
      <c r="I4441">
        <v>28.030930000000001</v>
      </c>
      <c r="J4441">
        <v>-421.29719999999998</v>
      </c>
      <c r="K4441">
        <v>1.115904</v>
      </c>
      <c r="L4441">
        <v>44.747770000000003</v>
      </c>
      <c r="M4441">
        <v>0.18186340000000001</v>
      </c>
      <c r="N4441">
        <v>0</v>
      </c>
      <c r="O4441">
        <v>-0.98321020000000003</v>
      </c>
      <c r="P4441">
        <v>0.33136120000000002</v>
      </c>
      <c r="Q4441">
        <v>0.20898600000000001</v>
      </c>
      <c r="R4441">
        <v>-0.92006779999999999</v>
      </c>
      <c r="S4441">
        <v>1.2836909999999999</v>
      </c>
      <c r="T4441">
        <v>-0.18588879999999999</v>
      </c>
      <c r="U4441">
        <v>-2.8421020000000001</v>
      </c>
      <c r="V4441">
        <v>-0.16158739999999999</v>
      </c>
      <c r="W4441">
        <v>0.22116089999999999</v>
      </c>
      <c r="X4441">
        <v>0.96175750000000004</v>
      </c>
      <c r="Y4441">
        <v>-0.23825879999999999</v>
      </c>
      <c r="Z4441">
        <v>5.9820310000000002E-2</v>
      </c>
      <c r="AA4441">
        <v>0.96935769999999999</v>
      </c>
      <c r="AB4441">
        <v>35</v>
      </c>
      <c r="AC4441">
        <v>7.6383999999999901</v>
      </c>
      <c r="AD4441">
        <v>-1.1159133195769999</v>
      </c>
      <c r="AE4441">
        <v>-16.716840000000001</v>
      </c>
      <c r="AF4441">
        <v>-4.4540513530583601</v>
      </c>
      <c r="AG4441">
        <v>-1.1159133195769999</v>
      </c>
      <c r="AH4441">
        <v>17.761827042622802</v>
      </c>
      <c r="AI4441">
        <v>93.487272847657707</v>
      </c>
      <c r="AJ4441">
        <v>104.077509619376</v>
      </c>
      <c r="AK4441">
        <v>18.3457443535153</v>
      </c>
      <c r="AL4441">
        <v>77.222773401776195</v>
      </c>
      <c r="AM4441">
        <v>99.537339133745903</v>
      </c>
      <c r="AN4441">
        <v>1.0000000601668999</v>
      </c>
    </row>
    <row r="4442" spans="1:40" x14ac:dyDescent="0.25">
      <c r="A4442" t="str">
        <f>"20190312172754900"</f>
        <v>20190312172754900</v>
      </c>
      <c r="B4442" t="str">
        <f>"1552382874893556"</f>
        <v>1552382874893556</v>
      </c>
      <c r="C4442" t="s">
        <v>40</v>
      </c>
      <c r="D4442">
        <v>3.5270320000000002</v>
      </c>
      <c r="E4442">
        <v>0.4746012</v>
      </c>
      <c r="F4442" t="s">
        <v>52</v>
      </c>
      <c r="G4442">
        <v>-414.17270000000002</v>
      </c>
      <c r="H4442" s="1">
        <v>-9.2236299999999996E-6</v>
      </c>
      <c r="I4442">
        <v>28.781310000000001</v>
      </c>
      <c r="J4442">
        <v>-421.23</v>
      </c>
      <c r="K4442">
        <v>1.1159589999999999</v>
      </c>
      <c r="L4442">
        <v>44.416319999999999</v>
      </c>
      <c r="M4442">
        <v>0.18789990000000001</v>
      </c>
      <c r="N4442">
        <v>0</v>
      </c>
      <c r="O4442">
        <v>-0.98207440000000001</v>
      </c>
      <c r="P4442">
        <v>0.33677259999999998</v>
      </c>
      <c r="Q4442">
        <v>0.20827680000000001</v>
      </c>
      <c r="R4442">
        <v>-0.91826209999999997</v>
      </c>
      <c r="S4442">
        <v>1.270905</v>
      </c>
      <c r="T4442">
        <v>-0.19905999999999999</v>
      </c>
      <c r="U4442">
        <v>-2.8481450000000001</v>
      </c>
      <c r="V4442">
        <v>-0.1613282</v>
      </c>
      <c r="W4442">
        <v>0.22044140000000001</v>
      </c>
      <c r="X4442">
        <v>0.96196610000000005</v>
      </c>
      <c r="Y4442">
        <v>-0.2277787</v>
      </c>
      <c r="Z4442">
        <v>6.3945940000000007E-2</v>
      </c>
      <c r="AA4442">
        <v>0.97161090000000006</v>
      </c>
      <c r="AB4442">
        <v>35</v>
      </c>
      <c r="AC4442">
        <v>7.0572999999999899</v>
      </c>
      <c r="AD4442">
        <v>-1.1159682236299999</v>
      </c>
      <c r="AE4442">
        <v>-15.635009999999999</v>
      </c>
      <c r="AF4442">
        <v>-3.97659310320268</v>
      </c>
      <c r="AG4442">
        <v>-1.1159682236299999</v>
      </c>
      <c r="AH4442">
        <v>16.612365328423799</v>
      </c>
      <c r="AI4442">
        <v>93.737894171411995</v>
      </c>
      <c r="AJ4442">
        <v>103.461895524418</v>
      </c>
      <c r="AK4442">
        <v>17.118100349910598</v>
      </c>
      <c r="AL4442">
        <v>77.265039993580203</v>
      </c>
      <c r="AM4442">
        <v>99.520293713466401</v>
      </c>
      <c r="AN4442">
        <v>0.999999988249204</v>
      </c>
    </row>
    <row r="4443" spans="1:40" x14ac:dyDescent="0.25">
      <c r="A4443" t="str">
        <f>"20190312172754921"</f>
        <v>20190312172754921</v>
      </c>
      <c r="B4443" t="str">
        <f>"1552382874914052"</f>
        <v>1552382874914052</v>
      </c>
      <c r="C4443" t="s">
        <v>40</v>
      </c>
      <c r="D4443">
        <v>3.522024</v>
      </c>
      <c r="E4443">
        <v>0.47448370000000001</v>
      </c>
      <c r="F4443" t="s">
        <v>52</v>
      </c>
      <c r="G4443">
        <v>-414.14170000000001</v>
      </c>
      <c r="H4443" s="1">
        <v>-9.2332959999999992E-6</v>
      </c>
      <c r="I4443">
        <v>28.77065</v>
      </c>
      <c r="J4443">
        <v>-421.16050000000001</v>
      </c>
      <c r="K4443">
        <v>1.1160139999999901</v>
      </c>
      <c r="L4443">
        <v>44.084319999999998</v>
      </c>
      <c r="M4443">
        <v>0.194023</v>
      </c>
      <c r="N4443">
        <v>0</v>
      </c>
      <c r="O4443">
        <v>-0.9808829</v>
      </c>
      <c r="P4443">
        <v>0.34240300000000001</v>
      </c>
      <c r="Q4443">
        <v>0.20798559999999999</v>
      </c>
      <c r="R4443">
        <v>-0.91624349999999999</v>
      </c>
      <c r="S4443">
        <v>1.2871090000000001</v>
      </c>
      <c r="T4443">
        <v>-0.20263980000000001</v>
      </c>
      <c r="U4443">
        <v>-2.840973</v>
      </c>
      <c r="V4443">
        <v>-0.1612451</v>
      </c>
      <c r="W4443">
        <v>0.22013440000000001</v>
      </c>
      <c r="X4443">
        <v>0.96205030000000002</v>
      </c>
      <c r="Y4443">
        <v>-0.2271948</v>
      </c>
      <c r="Z4443">
        <v>6.5054070000000006E-2</v>
      </c>
      <c r="AA4443">
        <v>0.97167409999999999</v>
      </c>
      <c r="AB4443">
        <v>35</v>
      </c>
      <c r="AC4443">
        <v>7.0187999999999899</v>
      </c>
      <c r="AD4443">
        <v>-1.1160232332959901</v>
      </c>
      <c r="AE4443">
        <v>-15.313669999999901</v>
      </c>
      <c r="AF4443">
        <v>-3.8967514259394598</v>
      </c>
      <c r="AG4443">
        <v>-1.1160232332959901</v>
      </c>
      <c r="AH4443">
        <v>16.312959863104702</v>
      </c>
      <c r="AI4443">
        <v>93.806916135841902</v>
      </c>
      <c r="AJ4443">
        <v>103.43474774854501</v>
      </c>
      <c r="AK4443">
        <v>16.809010649889</v>
      </c>
      <c r="AL4443">
        <v>77.283072384621406</v>
      </c>
      <c r="AM4443">
        <v>99.514661935433693</v>
      </c>
      <c r="AN4443">
        <v>0.99999995803372899</v>
      </c>
    </row>
    <row r="4444" spans="1:40" x14ac:dyDescent="0.25">
      <c r="A4444" t="str">
        <f>"20190312172754944"</f>
        <v>20190312172754944</v>
      </c>
      <c r="B4444" t="str">
        <f>"1552382874933572"</f>
        <v>1552382874933572</v>
      </c>
      <c r="C4444" t="s">
        <v>40</v>
      </c>
      <c r="D4444">
        <v>3.4397039999999999</v>
      </c>
      <c r="E4444">
        <v>0.47515109999999999</v>
      </c>
      <c r="F4444" t="s">
        <v>52</v>
      </c>
      <c r="G4444">
        <v>-414.15859999999998</v>
      </c>
      <c r="H4444" s="1">
        <v>-9.2424559999999997E-6</v>
      </c>
      <c r="I4444">
        <v>28.904789999999998</v>
      </c>
      <c r="J4444">
        <v>-421.08819999999997</v>
      </c>
      <c r="K4444">
        <v>1.116072</v>
      </c>
      <c r="L4444">
        <v>43.75018</v>
      </c>
      <c r="M4444">
        <v>0.20026869999999999</v>
      </c>
      <c r="N4444">
        <v>0</v>
      </c>
      <c r="O4444">
        <v>-0.97962680000000002</v>
      </c>
      <c r="P4444">
        <v>0.34845290000000001</v>
      </c>
      <c r="Q4444">
        <v>0.20770549999999999</v>
      </c>
      <c r="R4444">
        <v>-0.91402380000000005</v>
      </c>
      <c r="S4444">
        <v>1.306854</v>
      </c>
      <c r="T4444">
        <v>-0.2082986</v>
      </c>
      <c r="U4444">
        <v>-2.8331599999999999</v>
      </c>
      <c r="V4444">
        <v>-0.1614932</v>
      </c>
      <c r="W4444">
        <v>0.21983069999999999</v>
      </c>
      <c r="X4444">
        <v>0.96207819999999999</v>
      </c>
      <c r="Y4444">
        <v>-0.22754640000000001</v>
      </c>
      <c r="Z4444">
        <v>6.6806340000000006E-2</v>
      </c>
      <c r="AA4444">
        <v>0.97147289999999997</v>
      </c>
      <c r="AB4444">
        <v>35</v>
      </c>
      <c r="AC4444">
        <v>6.92959999999999</v>
      </c>
      <c r="AD4444">
        <v>-1.116081242456</v>
      </c>
      <c r="AE4444">
        <v>-14.845389999999901</v>
      </c>
      <c r="AF4444">
        <v>-3.7981550776701698</v>
      </c>
      <c r="AG4444">
        <v>-1.116081242456</v>
      </c>
      <c r="AH4444">
        <v>15.8589072648194</v>
      </c>
      <c r="AI4444">
        <v>93.915230245688804</v>
      </c>
      <c r="AJ4444">
        <v>103.468460748751</v>
      </c>
      <c r="AK4444">
        <v>16.345536362198001</v>
      </c>
      <c r="AL4444">
        <v>77.300910954494597</v>
      </c>
      <c r="AM4444">
        <v>99.528762144031504</v>
      </c>
      <c r="AN4444">
        <v>1.00000002661198</v>
      </c>
    </row>
    <row r="4445" spans="1:40" x14ac:dyDescent="0.25">
      <c r="A4445" t="str">
        <f>"20190312172754966"</f>
        <v>20190312172754966</v>
      </c>
      <c r="B4445" t="str">
        <f>"1552382874963828"</f>
        <v>1552382874963828</v>
      </c>
      <c r="C4445" t="s">
        <v>40</v>
      </c>
      <c r="D4445">
        <v>3.4214910000000001</v>
      </c>
      <c r="E4445">
        <v>0.47544750000000002</v>
      </c>
      <c r="F4445" t="s">
        <v>52</v>
      </c>
      <c r="G4445">
        <v>-414.08260000000001</v>
      </c>
      <c r="H4445" s="1">
        <v>-9.2515770000000001E-6</v>
      </c>
      <c r="I4445">
        <v>28.748699999999999</v>
      </c>
      <c r="J4445">
        <v>-421.01420000000002</v>
      </c>
      <c r="K4445">
        <v>1.1161430000000001</v>
      </c>
      <c r="L4445">
        <v>43.418520000000001</v>
      </c>
      <c r="M4445">
        <v>0.20655480000000001</v>
      </c>
      <c r="N4445">
        <v>0</v>
      </c>
      <c r="O4445">
        <v>-0.97832070000000004</v>
      </c>
      <c r="P4445">
        <v>0.35493950000000002</v>
      </c>
      <c r="Q4445">
        <v>0.20761109999999999</v>
      </c>
      <c r="R4445">
        <v>-0.91154590000000002</v>
      </c>
      <c r="S4445">
        <v>1.320068</v>
      </c>
      <c r="T4445">
        <v>-0.2103025</v>
      </c>
      <c r="U4445">
        <v>-2.826721</v>
      </c>
      <c r="V4445">
        <v>-0.16218369999999999</v>
      </c>
      <c r="W4445">
        <v>0.21970419999999999</v>
      </c>
      <c r="X4445">
        <v>0.96199100000000004</v>
      </c>
      <c r="Y4445">
        <v>-0.22585279999999999</v>
      </c>
      <c r="Z4445">
        <v>6.7401100000000005E-2</v>
      </c>
      <c r="AA4445">
        <v>0.971827</v>
      </c>
      <c r="AB4445">
        <v>35</v>
      </c>
      <c r="AC4445">
        <v>6.9316000000000004</v>
      </c>
      <c r="AD4445">
        <v>-1.1161522515769999</v>
      </c>
      <c r="AE4445">
        <v>-14.66982</v>
      </c>
      <c r="AF4445">
        <v>-3.73395530966939</v>
      </c>
      <c r="AG4445">
        <v>-1.1161522515769999</v>
      </c>
      <c r="AH4445">
        <v>15.7109598415717</v>
      </c>
      <c r="AI4445">
        <v>93.953862338521105</v>
      </c>
      <c r="AJ4445">
        <v>103.369201788773</v>
      </c>
      <c r="AK4445">
        <v>16.187108365819601</v>
      </c>
      <c r="AL4445">
        <v>77.308341273044306</v>
      </c>
      <c r="AM4445">
        <v>99.569604008983205</v>
      </c>
      <c r="AN4445">
        <v>1.0000000860621601</v>
      </c>
    </row>
    <row r="4446" spans="1:40" x14ac:dyDescent="0.25">
      <c r="A4446" t="str">
        <f>"20190312172754991"</f>
        <v>20190312172754991</v>
      </c>
      <c r="B4446" t="str">
        <f>"1552382874984324"</f>
        <v>1552382874984324</v>
      </c>
      <c r="C4446" t="s">
        <v>40</v>
      </c>
      <c r="D4446">
        <v>3.4440620000000002</v>
      </c>
      <c r="E4446">
        <v>0.47280460000000002</v>
      </c>
      <c r="F4446" t="s">
        <v>52</v>
      </c>
      <c r="G4446">
        <v>-413.99040000000002</v>
      </c>
      <c r="H4446" s="1">
        <v>-9.2694749999999999E-6</v>
      </c>
      <c r="I4446">
        <v>28.620090000000001</v>
      </c>
      <c r="J4446">
        <v>-420.93200000000002</v>
      </c>
      <c r="K4446">
        <v>1.116212</v>
      </c>
      <c r="L4446">
        <v>43.06223</v>
      </c>
      <c r="M4446">
        <v>0.2134133</v>
      </c>
      <c r="N4446">
        <v>0</v>
      </c>
      <c r="O4446">
        <v>-0.97684749999999998</v>
      </c>
      <c r="P4446">
        <v>0.36163830000000002</v>
      </c>
      <c r="Q4446">
        <v>0.20780309999999999</v>
      </c>
      <c r="R4446">
        <v>-0.90886520000000004</v>
      </c>
      <c r="S4446">
        <v>1.337799</v>
      </c>
      <c r="T4446">
        <v>-0.21258949999999999</v>
      </c>
      <c r="U4446">
        <v>-2.8186040000000001</v>
      </c>
      <c r="V4446">
        <v>-0.16256660000000001</v>
      </c>
      <c r="W4446">
        <v>0.21986610000000001</v>
      </c>
      <c r="X4446">
        <v>0.96188929999999995</v>
      </c>
      <c r="Y4446">
        <v>-0.22507260000000001</v>
      </c>
      <c r="Z4446">
        <v>6.8073880000000003E-2</v>
      </c>
      <c r="AA4446">
        <v>0.97196099999999996</v>
      </c>
      <c r="AB4446">
        <v>35</v>
      </c>
      <c r="AC4446">
        <v>6.94159999999993</v>
      </c>
      <c r="AD4446">
        <v>-1.116221269475</v>
      </c>
      <c r="AE4446">
        <v>-14.442139999999901</v>
      </c>
      <c r="AF4446">
        <v>-3.6812899788922602</v>
      </c>
      <c r="AG4446">
        <v>-1.116221269475</v>
      </c>
      <c r="AH4446">
        <v>15.515651584414501</v>
      </c>
      <c r="AI4446">
        <v>94.004079978559105</v>
      </c>
      <c r="AJ4446">
        <v>103.34736348894</v>
      </c>
      <c r="AK4446">
        <v>15.9854086566489</v>
      </c>
      <c r="AL4446">
        <v>77.298831645365397</v>
      </c>
      <c r="AM4446">
        <v>99.592772926661098</v>
      </c>
      <c r="AN4446">
        <v>1.0000000134096201</v>
      </c>
    </row>
    <row r="4447" spans="1:40" x14ac:dyDescent="0.25">
      <c r="A4447" t="str">
        <f>"20190312172755011"</f>
        <v>20190312172755011</v>
      </c>
      <c r="B4447" t="str">
        <f>"1552382875003843"</f>
        <v>1552382875003843</v>
      </c>
      <c r="C4447" t="s">
        <v>40</v>
      </c>
      <c r="D4447">
        <v>3.3116319999999999</v>
      </c>
      <c r="E4447">
        <v>0.47098380000000001</v>
      </c>
      <c r="F4447" t="s">
        <v>52</v>
      </c>
      <c r="G4447">
        <v>-413.471</v>
      </c>
      <c r="H4447" s="1">
        <v>-9.370909E-6</v>
      </c>
      <c r="I4447">
        <v>27.9011</v>
      </c>
      <c r="J4447">
        <v>-420.85820000000001</v>
      </c>
      <c r="K4447">
        <v>1.116276</v>
      </c>
      <c r="L4447">
        <v>42.752110000000002</v>
      </c>
      <c r="M4447">
        <v>0.21946769999999999</v>
      </c>
      <c r="N4447">
        <v>0</v>
      </c>
      <c r="O4447">
        <v>-0.97550490000000001</v>
      </c>
      <c r="P4447">
        <v>0.36811919999999998</v>
      </c>
      <c r="Q4447">
        <v>0.20741399999999999</v>
      </c>
      <c r="R4447">
        <v>-0.90634899999999996</v>
      </c>
      <c r="S4447">
        <v>1.377777</v>
      </c>
      <c r="T4447">
        <v>-0.2061259</v>
      </c>
      <c r="U4447">
        <v>-2.7997130000000001</v>
      </c>
      <c r="V4447">
        <v>-0.16348009999999999</v>
      </c>
      <c r="W4447">
        <v>0.21944269999999999</v>
      </c>
      <c r="X4447">
        <v>0.9618312</v>
      </c>
      <c r="Y4447">
        <v>-0.2328586</v>
      </c>
      <c r="Z4447">
        <v>6.6020700000000002E-2</v>
      </c>
      <c r="AA4447">
        <v>0.97026710000000005</v>
      </c>
      <c r="AB4447">
        <v>35</v>
      </c>
      <c r="AC4447">
        <v>7.3872</v>
      </c>
      <c r="AD4447">
        <v>-1.1162853709089999</v>
      </c>
      <c r="AE4447">
        <v>-14.851009999999899</v>
      </c>
      <c r="AF4447">
        <v>-3.9295772433421998</v>
      </c>
      <c r="AG4447">
        <v>-1.1162853709089999</v>
      </c>
      <c r="AH4447">
        <v>16.037652206542901</v>
      </c>
      <c r="AI4447">
        <v>93.867554986986406</v>
      </c>
      <c r="AJ4447">
        <v>103.767488543167</v>
      </c>
      <c r="AK4447">
        <v>16.5497419508199</v>
      </c>
      <c r="AL4447">
        <v>77.323698434835805</v>
      </c>
      <c r="AM4447">
        <v>99.646238711124397</v>
      </c>
      <c r="AN4447">
        <v>1.0000000494863599</v>
      </c>
    </row>
    <row r="4448" spans="1:40" x14ac:dyDescent="0.25">
      <c r="A4448" t="str">
        <f>"20190312172755034"</f>
        <v>20190312172755034</v>
      </c>
      <c r="B4448" t="str">
        <f>"1552382875024339"</f>
        <v>1552382875024339</v>
      </c>
      <c r="C4448" t="s">
        <v>40</v>
      </c>
      <c r="D4448">
        <v>3.3236769999999898</v>
      </c>
      <c r="E4448">
        <v>0.46941899999999998</v>
      </c>
      <c r="F4448" t="s">
        <v>52</v>
      </c>
      <c r="G4448">
        <v>-413.11799999999999</v>
      </c>
      <c r="H4448" s="1">
        <v>-9.4471440000000001E-6</v>
      </c>
      <c r="I4448">
        <v>27.477260000000001</v>
      </c>
      <c r="J4448">
        <v>-420.77359999999999</v>
      </c>
      <c r="K4448">
        <v>1.1163369999999999</v>
      </c>
      <c r="L4448">
        <v>42.407350000000001</v>
      </c>
      <c r="M4448">
        <v>0.22628039999999999</v>
      </c>
      <c r="N4448">
        <v>0</v>
      </c>
      <c r="O4448">
        <v>-0.97394700000000001</v>
      </c>
      <c r="P4448">
        <v>0.37511060000000002</v>
      </c>
      <c r="Q4448">
        <v>0.2071472</v>
      </c>
      <c r="R4448">
        <v>-0.90353890000000003</v>
      </c>
      <c r="S4448">
        <v>1.4105529999999999</v>
      </c>
      <c r="T4448">
        <v>-0.20342779999999999</v>
      </c>
      <c r="U4448">
        <v>-2.78363</v>
      </c>
      <c r="V4448">
        <v>-0.16420589999999999</v>
      </c>
      <c r="W4448">
        <v>0.21914449999999999</v>
      </c>
      <c r="X4448">
        <v>0.96177550000000001</v>
      </c>
      <c r="Y4448">
        <v>-0.2374377</v>
      </c>
      <c r="Z4448">
        <v>6.5141240000000003E-2</v>
      </c>
      <c r="AA4448">
        <v>0.96921619999999997</v>
      </c>
      <c r="AB4448">
        <v>35</v>
      </c>
      <c r="AC4448">
        <v>7.6555999999999296</v>
      </c>
      <c r="AD4448">
        <v>-1.1163464471439899</v>
      </c>
      <c r="AE4448">
        <v>-14.93009</v>
      </c>
      <c r="AF4448">
        <v>-4.0602454477362002</v>
      </c>
      <c r="AG4448">
        <v>-1.1163464471439899</v>
      </c>
      <c r="AH4448">
        <v>16.203524319344101</v>
      </c>
      <c r="AI4448">
        <v>93.823343030060698</v>
      </c>
      <c r="AJ4448">
        <v>104.067403907902</v>
      </c>
      <c r="AK4448">
        <v>16.7417449166295</v>
      </c>
      <c r="AL4448">
        <v>77.341209668351794</v>
      </c>
      <c r="AM4448">
        <v>99.688805479073693</v>
      </c>
      <c r="AN4448">
        <v>1.00000000093765</v>
      </c>
    </row>
    <row r="4449" spans="1:40" x14ac:dyDescent="0.25">
      <c r="A4449" t="str">
        <f>"20190312172755056"</f>
        <v>20190312172755056</v>
      </c>
      <c r="B4449" t="str">
        <f>"1552382875043860"</f>
        <v>1552382875043860</v>
      </c>
      <c r="C4449" t="s">
        <v>40</v>
      </c>
      <c r="D4449">
        <v>3.281787</v>
      </c>
      <c r="E4449">
        <v>0.4682402</v>
      </c>
      <c r="F4449" t="s">
        <v>52</v>
      </c>
      <c r="G4449">
        <v>-412.83749999999998</v>
      </c>
      <c r="H4449" s="1">
        <v>-9.5124060000000003E-6</v>
      </c>
      <c r="I4449">
        <v>27.182020000000001</v>
      </c>
      <c r="J4449">
        <v>-420.69299999999998</v>
      </c>
      <c r="K4449">
        <v>1.1163909999999999</v>
      </c>
      <c r="L4449">
        <v>42.088099999999997</v>
      </c>
      <c r="M4449">
        <v>0.2326599</v>
      </c>
      <c r="N4449">
        <v>0</v>
      </c>
      <c r="O4449">
        <v>-0.9724429</v>
      </c>
      <c r="P4449">
        <v>0.38141199999999997</v>
      </c>
      <c r="Q4449">
        <v>0.20780779999999999</v>
      </c>
      <c r="R4449">
        <v>-0.90074500000000002</v>
      </c>
      <c r="S4449">
        <v>1.4427190000000001</v>
      </c>
      <c r="T4449">
        <v>-0.20294129999999999</v>
      </c>
      <c r="U4449">
        <v>-2.7678219999999998</v>
      </c>
      <c r="V4449">
        <v>-0.1646927</v>
      </c>
      <c r="W4449">
        <v>0.21977759999999999</v>
      </c>
      <c r="X4449">
        <v>0.96154779999999995</v>
      </c>
      <c r="Y4449">
        <v>-0.24220169999999999</v>
      </c>
      <c r="Z4449">
        <v>6.4962889999999995E-2</v>
      </c>
      <c r="AA4449">
        <v>0.96804860000000004</v>
      </c>
      <c r="AB4449">
        <v>34</v>
      </c>
      <c r="AC4449">
        <v>7.8555000000000597</v>
      </c>
      <c r="AD4449">
        <v>-1.1164005124059999</v>
      </c>
      <c r="AE4449">
        <v>-14.9060799999999</v>
      </c>
      <c r="AF4449">
        <v>-4.1532126934251403</v>
      </c>
      <c r="AG4449">
        <v>-1.1164005124059999</v>
      </c>
      <c r="AH4449">
        <v>16.253447159930499</v>
      </c>
      <c r="AI4449">
        <v>93.807346580090595</v>
      </c>
      <c r="AJ4449">
        <v>104.33395949558</v>
      </c>
      <c r="AK4449">
        <v>16.8127948408818</v>
      </c>
      <c r="AL4449">
        <v>77.304029613516207</v>
      </c>
      <c r="AM4449">
        <v>99.719238970499504</v>
      </c>
      <c r="AN4449">
        <v>1.0000000252899399</v>
      </c>
    </row>
    <row r="4450" spans="1:40" x14ac:dyDescent="0.25">
      <c r="A4450" t="str">
        <f>"20190312172755079"</f>
        <v>20190312172755079</v>
      </c>
      <c r="B4450" t="str">
        <f>"1552382875074116"</f>
        <v>1552382875074116</v>
      </c>
      <c r="C4450" t="s">
        <v>40</v>
      </c>
      <c r="D4450">
        <v>3.4562430000000002</v>
      </c>
      <c r="E4450">
        <v>0.46676669999999998</v>
      </c>
      <c r="F4450" t="s">
        <v>52</v>
      </c>
      <c r="G4450">
        <v>-412.41399999999999</v>
      </c>
      <c r="H4450" s="1">
        <v>-9.6010240000000007E-6</v>
      </c>
      <c r="I4450">
        <v>26.58379</v>
      </c>
      <c r="J4450">
        <v>-420.6046</v>
      </c>
      <c r="K4450">
        <v>1.1164419999999999</v>
      </c>
      <c r="L4450">
        <v>41.748019999999997</v>
      </c>
      <c r="M4450">
        <v>0.2395284</v>
      </c>
      <c r="N4450">
        <v>0</v>
      </c>
      <c r="O4450">
        <v>-0.97077389999999997</v>
      </c>
      <c r="P4450">
        <v>0.38850370000000001</v>
      </c>
      <c r="Q4450">
        <v>0.20809520000000001</v>
      </c>
      <c r="R4450">
        <v>-0.8976421</v>
      </c>
      <c r="S4450">
        <v>1.4704280000000001</v>
      </c>
      <c r="T4450">
        <v>-0.19828190000000001</v>
      </c>
      <c r="U4450">
        <v>-2.7536930000000002</v>
      </c>
      <c r="V4450">
        <v>-0.165528799999999</v>
      </c>
      <c r="W4450">
        <v>0.22003300000000001</v>
      </c>
      <c r="X4450">
        <v>0.96134580000000003</v>
      </c>
      <c r="Y4450">
        <v>-0.24503510000000001</v>
      </c>
      <c r="Z4450">
        <v>6.3438930000000004E-2</v>
      </c>
      <c r="AA4450">
        <v>0.96743650000000003</v>
      </c>
      <c r="AB4450">
        <v>34</v>
      </c>
      <c r="AC4450">
        <v>8.1906000000000105</v>
      </c>
      <c r="AD4450">
        <v>-1.116451601024</v>
      </c>
      <c r="AE4450">
        <v>-15.1642299999999</v>
      </c>
      <c r="AF4450">
        <v>-4.3013912797074596</v>
      </c>
      <c r="AG4450">
        <v>-1.116451601024</v>
      </c>
      <c r="AH4450">
        <v>16.615068726411899</v>
      </c>
      <c r="AI4450">
        <v>93.721879937215405</v>
      </c>
      <c r="AJ4450">
        <v>104.51435778633</v>
      </c>
      <c r="AK4450">
        <v>17.199097066473101</v>
      </c>
      <c r="AL4450">
        <v>77.289029085505305</v>
      </c>
      <c r="AM4450">
        <v>99.769645617093602</v>
      </c>
      <c r="AN4450">
        <v>1.0000000259480299</v>
      </c>
    </row>
    <row r="4451" spans="1:40" x14ac:dyDescent="0.25">
      <c r="A4451" t="str">
        <f>"20190312172755101"</f>
        <v>20190312172755101</v>
      </c>
      <c r="B4451" t="str">
        <f>"1552382875093636"</f>
        <v>1552382875093636</v>
      </c>
      <c r="C4451" t="s">
        <v>40</v>
      </c>
      <c r="D4451">
        <v>3.2668689999999998</v>
      </c>
      <c r="E4451">
        <v>0.46618920000000003</v>
      </c>
      <c r="F4451" t="s">
        <v>52</v>
      </c>
      <c r="G4451">
        <v>-412.05849999999998</v>
      </c>
      <c r="H4451" s="1">
        <v>-9.6902700000000007E-6</v>
      </c>
      <c r="I4451">
        <v>26.183450000000001</v>
      </c>
      <c r="J4451">
        <v>-420.51650000000001</v>
      </c>
      <c r="K4451">
        <v>1.1164879999999999</v>
      </c>
      <c r="L4451">
        <v>41.418489999999998</v>
      </c>
      <c r="M4451">
        <v>0.24625069999999999</v>
      </c>
      <c r="N4451">
        <v>0</v>
      </c>
      <c r="O4451">
        <v>-0.96909049999999997</v>
      </c>
      <c r="P4451">
        <v>0.39522429999999997</v>
      </c>
      <c r="Q4451">
        <v>0.2081604</v>
      </c>
      <c r="R4451">
        <v>-0.89468819999999905</v>
      </c>
      <c r="S4451">
        <v>1.502899</v>
      </c>
      <c r="T4451">
        <v>-0.19633700000000001</v>
      </c>
      <c r="U4451">
        <v>-2.737152</v>
      </c>
      <c r="V4451">
        <v>-0.1661067</v>
      </c>
      <c r="W4451">
        <v>0.22007260000000001</v>
      </c>
      <c r="X4451">
        <v>0.96123700000000001</v>
      </c>
      <c r="Y4451">
        <v>-0.24962200000000001</v>
      </c>
      <c r="Z4451">
        <v>6.2784980000000004E-2</v>
      </c>
      <c r="AA4451">
        <v>0.96630579999999999</v>
      </c>
      <c r="AB4451">
        <v>34</v>
      </c>
      <c r="AC4451">
        <v>8.4580000000000197</v>
      </c>
      <c r="AD4451">
        <v>-1.1164976902699999</v>
      </c>
      <c r="AE4451">
        <v>-15.23504</v>
      </c>
      <c r="AF4451">
        <v>-4.4272510999521497</v>
      </c>
      <c r="AG4451">
        <v>-1.1164976902699999</v>
      </c>
      <c r="AH4451">
        <v>16.779922243708601</v>
      </c>
      <c r="AI4451">
        <v>93.681112710762207</v>
      </c>
      <c r="AJ4451">
        <v>104.78022349662599</v>
      </c>
      <c r="AK4451">
        <v>17.390023286336099</v>
      </c>
      <c r="AL4451">
        <v>77.286702534719495</v>
      </c>
      <c r="AM4451">
        <v>99.804181154505301</v>
      </c>
      <c r="AN4451">
        <v>0.99999997761232395</v>
      </c>
    </row>
    <row r="4452" spans="1:40" x14ac:dyDescent="0.25">
      <c r="A4452" t="str">
        <f>"20190312172755123"</f>
        <v>20190312172755123</v>
      </c>
      <c r="B4452" t="str">
        <f>"1552382875114131"</f>
        <v>1552382875114131</v>
      </c>
      <c r="C4452" t="s">
        <v>40</v>
      </c>
      <c r="D4452">
        <v>3.2729270000000001</v>
      </c>
      <c r="E4452">
        <v>0.46584890000000001</v>
      </c>
      <c r="F4452" t="s">
        <v>52</v>
      </c>
      <c r="G4452">
        <v>-411.72789999999998</v>
      </c>
      <c r="H4452" s="1">
        <v>-9.7671160000000005E-6</v>
      </c>
      <c r="I4452">
        <v>25.749289999999998</v>
      </c>
      <c r="J4452">
        <v>-420.428</v>
      </c>
      <c r="K4452">
        <v>1.1165309999999999</v>
      </c>
      <c r="L4452">
        <v>41.096559999999997</v>
      </c>
      <c r="M4452">
        <v>0.25287490000000001</v>
      </c>
      <c r="N4452">
        <v>0</v>
      </c>
      <c r="O4452">
        <v>-0.96738290000000005</v>
      </c>
      <c r="P4452">
        <v>0.40143050000000002</v>
      </c>
      <c r="Q4452">
        <v>0.2084963</v>
      </c>
      <c r="R4452">
        <v>-0.89184249999999998</v>
      </c>
      <c r="S4452">
        <v>1.5275570000000001</v>
      </c>
      <c r="T4452">
        <v>-0.1940597</v>
      </c>
      <c r="U4452">
        <v>-2.7234799999999999</v>
      </c>
      <c r="V4452">
        <v>-0.16625719999999999</v>
      </c>
      <c r="W4452">
        <v>0.22039020000000001</v>
      </c>
      <c r="X4452">
        <v>0.96113820000000005</v>
      </c>
      <c r="Y4452">
        <v>-0.25174570000000002</v>
      </c>
      <c r="Z4452">
        <v>6.2023170000000002E-2</v>
      </c>
      <c r="AA4452">
        <v>0.96580390000000005</v>
      </c>
      <c r="AB4452">
        <v>34</v>
      </c>
      <c r="AC4452">
        <v>8.7001000000000701</v>
      </c>
      <c r="AD4452">
        <v>-1.1165407671159999</v>
      </c>
      <c r="AE4452">
        <v>-15.3472699999999</v>
      </c>
      <c r="AF4452">
        <v>-4.5178015475498601</v>
      </c>
      <c r="AG4452">
        <v>-1.1165407671159999</v>
      </c>
      <c r="AH4452">
        <v>16.980620729130099</v>
      </c>
      <c r="AI4452">
        <v>93.635873925257002</v>
      </c>
      <c r="AJ4452">
        <v>104.898763878659</v>
      </c>
      <c r="AK4452">
        <v>17.6067792186487</v>
      </c>
      <c r="AL4452">
        <v>77.268047244075902</v>
      </c>
      <c r="AM4452">
        <v>99.813880661070897</v>
      </c>
      <c r="AN4452">
        <v>0.99999996815355896</v>
      </c>
    </row>
    <row r="4453" spans="1:40" x14ac:dyDescent="0.25">
      <c r="A4453" t="str">
        <f>"20190312172755145"</f>
        <v>20190312172755145</v>
      </c>
      <c r="B4453" t="str">
        <f>"1552382875133652"</f>
        <v>1552382875133652</v>
      </c>
      <c r="C4453" t="s">
        <v>40</v>
      </c>
      <c r="D4453">
        <v>3.25393</v>
      </c>
      <c r="E4453">
        <v>0.46563749999999998</v>
      </c>
      <c r="F4453" t="s">
        <v>52</v>
      </c>
      <c r="G4453">
        <v>-411.37369999999999</v>
      </c>
      <c r="H4453" s="1">
        <v>-9.8459709999999992E-6</v>
      </c>
      <c r="I4453">
        <v>25.249639999999999</v>
      </c>
      <c r="J4453">
        <v>-420.33760000000001</v>
      </c>
      <c r="K4453">
        <v>1.116571</v>
      </c>
      <c r="L4453">
        <v>40.776820000000001</v>
      </c>
      <c r="M4453">
        <v>0.25950469999999998</v>
      </c>
      <c r="N4453">
        <v>0</v>
      </c>
      <c r="O4453">
        <v>-0.96562550000000003</v>
      </c>
      <c r="P4453">
        <v>0.40761209999999998</v>
      </c>
      <c r="Q4453">
        <v>0.2085217</v>
      </c>
      <c r="R4453">
        <v>-0.88902829999999999</v>
      </c>
      <c r="S4453">
        <v>1.549072</v>
      </c>
      <c r="T4453">
        <v>-0.19102640000000001</v>
      </c>
      <c r="U4453">
        <v>-2.7112120000000002</v>
      </c>
      <c r="V4453">
        <v>-0.16635939999999999</v>
      </c>
      <c r="W4453">
        <v>0.22040090000000001</v>
      </c>
      <c r="X4453">
        <v>0.96111809999999998</v>
      </c>
      <c r="Y4453">
        <v>-0.2527992</v>
      </c>
      <c r="Z4453">
        <v>6.1012160000000003E-2</v>
      </c>
      <c r="AA4453">
        <v>0.96559320000000004</v>
      </c>
      <c r="AB4453">
        <v>34</v>
      </c>
      <c r="AC4453">
        <v>8.9639000000000202</v>
      </c>
      <c r="AD4453">
        <v>-1.116580845971</v>
      </c>
      <c r="AE4453">
        <v>-15.52718</v>
      </c>
      <c r="AF4453">
        <v>-4.6090375364261202</v>
      </c>
      <c r="AG4453">
        <v>-1.116580845971</v>
      </c>
      <c r="AH4453">
        <v>17.254637685246699</v>
      </c>
      <c r="AI4453">
        <v>93.577469087428199</v>
      </c>
      <c r="AJ4453">
        <v>104.955598143505</v>
      </c>
      <c r="AK4453">
        <v>17.894482430260801</v>
      </c>
      <c r="AL4453">
        <v>77.267419193777002</v>
      </c>
      <c r="AM4453">
        <v>99.819997310279703</v>
      </c>
      <c r="AN4453">
        <v>1.0000000044183801</v>
      </c>
    </row>
    <row r="4454" spans="1:40" x14ac:dyDescent="0.25">
      <c r="A4454" t="str">
        <f>"20190312172755167"</f>
        <v>20190312172755167</v>
      </c>
      <c r="B4454" t="str">
        <f>"1552382875163909"</f>
        <v>1552382875163909</v>
      </c>
      <c r="C4454" t="s">
        <v>40</v>
      </c>
      <c r="D4454">
        <v>3.2634690000000002</v>
      </c>
      <c r="E4454">
        <v>0.46539079999999999</v>
      </c>
      <c r="F4454" t="s">
        <v>52</v>
      </c>
      <c r="G4454">
        <v>-411.11759999999998</v>
      </c>
      <c r="H4454" s="1">
        <v>-9.9056069999999996E-6</v>
      </c>
      <c r="I4454">
        <v>24.914390000000001</v>
      </c>
      <c r="J4454">
        <v>-420.2423</v>
      </c>
      <c r="K4454">
        <v>1.116601</v>
      </c>
      <c r="L4454">
        <v>40.447940000000003</v>
      </c>
      <c r="M4454">
        <v>0.26637189999999999</v>
      </c>
      <c r="N4454">
        <v>0</v>
      </c>
      <c r="O4454">
        <v>-0.96375359999999999</v>
      </c>
      <c r="P4454">
        <v>0.4143637</v>
      </c>
      <c r="Q4454">
        <v>0.2090572</v>
      </c>
      <c r="R4454">
        <v>-0.88577539999999999</v>
      </c>
      <c r="S4454">
        <v>1.569153</v>
      </c>
      <c r="T4454">
        <v>-0.19003010000000001</v>
      </c>
      <c r="U4454">
        <v>-2.6996150000000001</v>
      </c>
      <c r="V4454">
        <v>-0.16689319999999999</v>
      </c>
      <c r="W4454">
        <v>0.220913</v>
      </c>
      <c r="X4454">
        <v>0.96090790000000004</v>
      </c>
      <c r="Y4454">
        <v>-0.2530945</v>
      </c>
      <c r="Z4454">
        <v>6.0638110000000002E-2</v>
      </c>
      <c r="AA4454">
        <v>0.96553929999999999</v>
      </c>
      <c r="AB4454">
        <v>34</v>
      </c>
      <c r="AC4454">
        <v>9.1247000000000096</v>
      </c>
      <c r="AD4454">
        <v>-1.1166109056069999</v>
      </c>
      <c r="AE4454">
        <v>-15.53355</v>
      </c>
      <c r="AF4454">
        <v>-4.6389638064652896</v>
      </c>
      <c r="AG4454">
        <v>-1.1166109056069999</v>
      </c>
      <c r="AH4454">
        <v>17.336435534288999</v>
      </c>
      <c r="AI4454">
        <v>93.560315967982604</v>
      </c>
      <c r="AJ4454">
        <v>104.980509924412</v>
      </c>
      <c r="AK4454">
        <v>17.981067881156999</v>
      </c>
      <c r="AL4454">
        <v>77.237335735037604</v>
      </c>
      <c r="AM4454">
        <v>99.8530032228621</v>
      </c>
      <c r="AN4454">
        <v>0.999999943028823</v>
      </c>
    </row>
    <row r="4455" spans="1:40" x14ac:dyDescent="0.25">
      <c r="A4455" t="str">
        <f>"20190312172755192"</f>
        <v>20190312172755192</v>
      </c>
      <c r="B4455" t="str">
        <f>"1552382875183428"</f>
        <v>1552382875183428</v>
      </c>
      <c r="C4455" t="s">
        <v>40</v>
      </c>
      <c r="D4455">
        <v>3.3621430000000001</v>
      </c>
      <c r="E4455">
        <v>0.46541359999999898</v>
      </c>
      <c r="F4455" t="s">
        <v>52</v>
      </c>
      <c r="G4455">
        <v>-410.77449999999999</v>
      </c>
      <c r="H4455" s="1">
        <v>-9.98587E-6</v>
      </c>
      <c r="I4455">
        <v>24.469180000000001</v>
      </c>
      <c r="J4455">
        <v>-420.14069999999998</v>
      </c>
      <c r="K4455">
        <v>1.1166370000000001</v>
      </c>
      <c r="L4455">
        <v>40.108089999999997</v>
      </c>
      <c r="M4455">
        <v>0.27351900000000001</v>
      </c>
      <c r="N4455">
        <v>0</v>
      </c>
      <c r="O4455">
        <v>-0.96174979999999999</v>
      </c>
      <c r="P4455">
        <v>0.42140919999999998</v>
      </c>
      <c r="Q4455">
        <v>0.2090921</v>
      </c>
      <c r="R4455">
        <v>-0.88243700000000003</v>
      </c>
      <c r="S4455">
        <v>1.5918270000000001</v>
      </c>
      <c r="T4455">
        <v>-0.18773670000000001</v>
      </c>
      <c r="U4455">
        <v>-2.6865230000000002</v>
      </c>
      <c r="V4455">
        <v>-0.1674388</v>
      </c>
      <c r="W4455">
        <v>0.2209265</v>
      </c>
      <c r="X4455">
        <v>0.96080989999999999</v>
      </c>
      <c r="Y4455">
        <v>-0.25403350000000002</v>
      </c>
      <c r="Z4455">
        <v>5.984855E-2</v>
      </c>
      <c r="AA4455">
        <v>0.96534200000000003</v>
      </c>
      <c r="AB4455">
        <v>34</v>
      </c>
      <c r="AC4455">
        <v>9.3661999999999903</v>
      </c>
      <c r="AD4455">
        <v>-1.1166469858700001</v>
      </c>
      <c r="AE4455">
        <v>-15.638909999999999</v>
      </c>
      <c r="AF4455">
        <v>-4.7132478382224203</v>
      </c>
      <c r="AG4455">
        <v>-1.1166469858700001</v>
      </c>
      <c r="AH4455">
        <v>17.5387191286482</v>
      </c>
      <c r="AI4455">
        <v>93.518460976084498</v>
      </c>
      <c r="AJ4455">
        <v>105.041938730163</v>
      </c>
      <c r="AK4455">
        <v>18.195281650723899</v>
      </c>
      <c r="AL4455">
        <v>77.236542957997898</v>
      </c>
      <c r="AM4455">
        <v>99.885568218248096</v>
      </c>
      <c r="AN4455">
        <v>0.99999996704284899</v>
      </c>
    </row>
    <row r="4456" spans="1:40" x14ac:dyDescent="0.25">
      <c r="A4456" t="str">
        <f>"20190312172755212"</f>
        <v>20190312172755212</v>
      </c>
      <c r="B4456" t="str">
        <f>"1552382875203924"</f>
        <v>1552382875203924</v>
      </c>
      <c r="C4456" t="s">
        <v>40</v>
      </c>
      <c r="D4456">
        <v>3.309183</v>
      </c>
      <c r="E4456">
        <v>0.4652577</v>
      </c>
      <c r="F4456" t="s">
        <v>52</v>
      </c>
      <c r="G4456">
        <v>-410.50979999999998</v>
      </c>
      <c r="H4456" s="1">
        <v>-1.004997E-5</v>
      </c>
      <c r="I4456">
        <v>24.14744</v>
      </c>
      <c r="J4456">
        <v>-420.04689999999999</v>
      </c>
      <c r="K4456">
        <v>1.116657</v>
      </c>
      <c r="L4456">
        <v>39.801670000000001</v>
      </c>
      <c r="M4456">
        <v>0.27999540000000001</v>
      </c>
      <c r="N4456">
        <v>0</v>
      </c>
      <c r="O4456">
        <v>-0.95988419999999997</v>
      </c>
      <c r="P4456">
        <v>0.42778179999999999</v>
      </c>
      <c r="Q4456">
        <v>0.20910980000000001</v>
      </c>
      <c r="R4456">
        <v>-0.87936109999999901</v>
      </c>
      <c r="S4456">
        <v>1.613281</v>
      </c>
      <c r="T4456">
        <v>-0.18705060000000001</v>
      </c>
      <c r="U4456">
        <v>-2.673584</v>
      </c>
      <c r="V4456">
        <v>-0.16792899999999999</v>
      </c>
      <c r="W4456">
        <v>0.22092700000000001</v>
      </c>
      <c r="X4456">
        <v>0.96072429999999998</v>
      </c>
      <c r="Y4456">
        <v>-0.25526769999999999</v>
      </c>
      <c r="Z4456">
        <v>5.9581929999999998E-2</v>
      </c>
      <c r="AA4456">
        <v>0.96503280000000002</v>
      </c>
      <c r="AB4456">
        <v>34</v>
      </c>
      <c r="AC4456">
        <v>9.5371000000000095</v>
      </c>
      <c r="AD4456">
        <v>-1.11666704997</v>
      </c>
      <c r="AE4456">
        <v>-15.65423</v>
      </c>
      <c r="AF4456">
        <v>-4.7542925547246799</v>
      </c>
      <c r="AG4456">
        <v>-1.11666704997</v>
      </c>
      <c r="AH4456">
        <v>17.633145464196001</v>
      </c>
      <c r="AI4456">
        <v>93.498950588793804</v>
      </c>
      <c r="AJ4456">
        <v>105.089413049965</v>
      </c>
      <c r="AK4456">
        <v>18.296941327934899</v>
      </c>
      <c r="AL4456">
        <v>77.236514459687001</v>
      </c>
      <c r="AM4456">
        <v>99.914801968023795</v>
      </c>
      <c r="AN4456">
        <v>1.00000003449024</v>
      </c>
    </row>
    <row r="4457" spans="1:40" x14ac:dyDescent="0.25">
      <c r="A4457" t="str">
        <f>"20190312172755236"</f>
        <v>20190312172755236</v>
      </c>
      <c r="B4457" t="str">
        <f>"1552382875223444"</f>
        <v>1552382875223444</v>
      </c>
      <c r="C4457" t="s">
        <v>40</v>
      </c>
      <c r="D4457">
        <v>3.2452450000000002</v>
      </c>
      <c r="E4457">
        <v>0.46522750000000002</v>
      </c>
      <c r="F4457" t="s">
        <v>52</v>
      </c>
      <c r="G4457">
        <v>-410.3143</v>
      </c>
      <c r="H4457" s="1">
        <v>-1.010117E-5</v>
      </c>
      <c r="I4457">
        <v>23.94848</v>
      </c>
      <c r="J4457">
        <v>-419.94119999999998</v>
      </c>
      <c r="K4457">
        <v>1.1166780000000001</v>
      </c>
      <c r="L4457">
        <v>39.465299999999999</v>
      </c>
      <c r="M4457">
        <v>0.28713349999999999</v>
      </c>
      <c r="N4457">
        <v>0</v>
      </c>
      <c r="O4457">
        <v>-0.95777319999999999</v>
      </c>
      <c r="P4457">
        <v>0.43467850000000002</v>
      </c>
      <c r="Q4457">
        <v>0.20952999999999999</v>
      </c>
      <c r="R4457">
        <v>-0.8758724</v>
      </c>
      <c r="S4457">
        <v>1.63385</v>
      </c>
      <c r="T4457">
        <v>-0.18746009999999999</v>
      </c>
      <c r="U4457">
        <v>-2.661346</v>
      </c>
      <c r="V4457">
        <v>-0.1683731</v>
      </c>
      <c r="W4457">
        <v>0.2213311</v>
      </c>
      <c r="X4457">
        <v>0.96055349999999995</v>
      </c>
      <c r="Y4457">
        <v>-0.25546410000000003</v>
      </c>
      <c r="Z4457">
        <v>5.9638400000000001E-2</v>
      </c>
      <c r="AA4457">
        <v>0.96497739999999999</v>
      </c>
      <c r="AB4457">
        <v>34</v>
      </c>
      <c r="AC4457">
        <v>9.6268999999999707</v>
      </c>
      <c r="AD4457">
        <v>-1.1166881011700001</v>
      </c>
      <c r="AE4457">
        <v>-15.516819999999999</v>
      </c>
      <c r="AF4457">
        <v>-4.7477686420456404</v>
      </c>
      <c r="AG4457">
        <v>-1.1166881011700001</v>
      </c>
      <c r="AH4457">
        <v>17.562105097001901</v>
      </c>
      <c r="AI4457">
        <v>93.512500728461802</v>
      </c>
      <c r="AJ4457">
        <v>105.127819117768</v>
      </c>
      <c r="AK4457">
        <v>18.226788933649999</v>
      </c>
      <c r="AL4457">
        <v>77.212772959195703</v>
      </c>
      <c r="AM4457">
        <v>99.942232316803597</v>
      </c>
      <c r="AN4457">
        <v>0.99999999149653496</v>
      </c>
    </row>
    <row r="4458" spans="1:40" x14ac:dyDescent="0.25">
      <c r="A4458" t="str">
        <f>"20190312172755256"</f>
        <v>20190312172755256</v>
      </c>
      <c r="B4458" t="str">
        <f>"1552382875253700"</f>
        <v>1552382875253700</v>
      </c>
      <c r="C4458" t="s">
        <v>40</v>
      </c>
      <c r="D4458">
        <v>3.3169949999999999</v>
      </c>
      <c r="E4458">
        <v>0.46539900000000001</v>
      </c>
      <c r="F4458" t="s">
        <v>52</v>
      </c>
      <c r="G4458">
        <v>-410.05430000000001</v>
      </c>
      <c r="H4458" s="1">
        <v>-1.016446E-5</v>
      </c>
      <c r="I4458">
        <v>23.635400000000001</v>
      </c>
      <c r="J4458">
        <v>-419.84519999999998</v>
      </c>
      <c r="K4458">
        <v>1.116692</v>
      </c>
      <c r="L4458">
        <v>39.167079999999999</v>
      </c>
      <c r="M4458">
        <v>0.2934812</v>
      </c>
      <c r="N4458">
        <v>0</v>
      </c>
      <c r="O4458">
        <v>-0.95584729999999996</v>
      </c>
      <c r="P4458">
        <v>0.44094100000000003</v>
      </c>
      <c r="Q4458">
        <v>0.20963970000000001</v>
      </c>
      <c r="R4458">
        <v>-0.87271019999999899</v>
      </c>
      <c r="S4458">
        <v>1.654388</v>
      </c>
      <c r="T4458">
        <v>-0.18685650000000001</v>
      </c>
      <c r="U4458">
        <v>-2.6488339999999999</v>
      </c>
      <c r="V4458">
        <v>-0.16889789999999999</v>
      </c>
      <c r="W4458">
        <v>0.2214264</v>
      </c>
      <c r="X4458">
        <v>0.96043940000000005</v>
      </c>
      <c r="Y4458">
        <v>-0.25648919999999997</v>
      </c>
      <c r="Z4458">
        <v>5.938761E-2</v>
      </c>
      <c r="AA4458">
        <v>0.96472089999999999</v>
      </c>
      <c r="AB4458">
        <v>34</v>
      </c>
      <c r="AC4458">
        <v>9.7908999999999597</v>
      </c>
      <c r="AD4458">
        <v>-1.1167021644599999</v>
      </c>
      <c r="AE4458">
        <v>-15.5316799999999</v>
      </c>
      <c r="AF4458">
        <v>-4.7831941173324699</v>
      </c>
      <c r="AG4458">
        <v>-1.1167021644599999</v>
      </c>
      <c r="AH4458">
        <v>17.656035356659999</v>
      </c>
      <c r="AI4458">
        <v>93.4934051782257</v>
      </c>
      <c r="AJ4458">
        <v>105.15815314096</v>
      </c>
      <c r="AK4458">
        <v>18.3265259720391</v>
      </c>
      <c r="AL4458">
        <v>77.207173803701096</v>
      </c>
      <c r="AM4458">
        <v>99.973760936384096</v>
      </c>
      <c r="AN4458">
        <v>0.99999999615686497</v>
      </c>
    </row>
    <row r="4459" spans="1:40" x14ac:dyDescent="0.25">
      <c r="A4459" t="str">
        <f>"20190312172755281"</f>
        <v>20190312172755281</v>
      </c>
      <c r="B4459" t="str">
        <f>"1552382875274196"</f>
        <v>1552382875274196</v>
      </c>
      <c r="C4459" t="s">
        <v>40</v>
      </c>
      <c r="D4459">
        <v>3.2800449999999999</v>
      </c>
      <c r="E4459">
        <v>0.46548270000000003</v>
      </c>
      <c r="F4459" t="s">
        <v>52</v>
      </c>
      <c r="G4459">
        <v>-409.85219999999998</v>
      </c>
      <c r="H4459" s="1">
        <v>-1.778698E-6</v>
      </c>
      <c r="I4459">
        <v>23.407540000000001</v>
      </c>
      <c r="J4459">
        <v>-419.73430000000002</v>
      </c>
      <c r="K4459">
        <v>1.1166990000000001</v>
      </c>
      <c r="L4459">
        <v>38.830869999999997</v>
      </c>
      <c r="M4459">
        <v>0.30065609999999998</v>
      </c>
      <c r="N4459">
        <v>0</v>
      </c>
      <c r="O4459">
        <v>-0.95361479999999998</v>
      </c>
      <c r="P4459">
        <v>0.44767249999999997</v>
      </c>
      <c r="Q4459">
        <v>0.2097185</v>
      </c>
      <c r="R4459">
        <v>-0.86925699999999995</v>
      </c>
      <c r="S4459">
        <v>1.6723939999999999</v>
      </c>
      <c r="T4459">
        <v>-0.18688730000000001</v>
      </c>
      <c r="U4459">
        <v>-2.6374819999999999</v>
      </c>
      <c r="V4459">
        <v>-0.1691144</v>
      </c>
      <c r="W4459">
        <v>0.221498</v>
      </c>
      <c r="X4459">
        <v>0.96038480000000004</v>
      </c>
      <c r="Y4459">
        <v>-0.25580310000000001</v>
      </c>
      <c r="Z4459">
        <v>5.9314020000000002E-2</v>
      </c>
      <c r="AA4459">
        <v>0.96490759999999998</v>
      </c>
      <c r="AB4459">
        <v>34</v>
      </c>
      <c r="AC4459">
        <v>9.8821000000000296</v>
      </c>
      <c r="AD4459">
        <v>-1.1167007786980001</v>
      </c>
      <c r="AE4459">
        <v>-15.42333</v>
      </c>
      <c r="AF4459">
        <v>-4.7694109043178701</v>
      </c>
      <c r="AG4459">
        <v>-1.1167007786980001</v>
      </c>
      <c r="AH4459">
        <v>17.615547740474501</v>
      </c>
      <c r="AI4459">
        <v>93.501550961830304</v>
      </c>
      <c r="AJ4459">
        <v>105.14962370057999</v>
      </c>
      <c r="AK4459">
        <v>18.283922533206798</v>
      </c>
      <c r="AL4459">
        <v>77.202967070123293</v>
      </c>
      <c r="AM4459">
        <v>99.986844819198396</v>
      </c>
      <c r="AN4459">
        <v>1.0000000041812001</v>
      </c>
    </row>
    <row r="4460" spans="1:40" x14ac:dyDescent="0.25">
      <c r="A4460" t="str">
        <f>"20190312172755302"</f>
        <v>20190312172755302</v>
      </c>
      <c r="B4460" t="str">
        <f>"1552382875293716"</f>
        <v>1552382875293716</v>
      </c>
      <c r="C4460" t="s">
        <v>40</v>
      </c>
      <c r="D4460">
        <v>3.2466029999999999</v>
      </c>
      <c r="E4460">
        <v>0.46561859999999999</v>
      </c>
      <c r="F4460" t="s">
        <v>52</v>
      </c>
      <c r="G4460">
        <v>-409.62549999999999</v>
      </c>
      <c r="H4460" s="1">
        <v>-1.854226E-6</v>
      </c>
      <c r="I4460">
        <v>23.143529999999998</v>
      </c>
      <c r="J4460">
        <v>-419.62810000000002</v>
      </c>
      <c r="K4460">
        <v>1.116698</v>
      </c>
      <c r="L4460">
        <v>38.516660000000002</v>
      </c>
      <c r="M4460">
        <v>0.30737199999999998</v>
      </c>
      <c r="N4460">
        <v>0</v>
      </c>
      <c r="O4460">
        <v>-0.95147130000000002</v>
      </c>
      <c r="P4460">
        <v>0.45411810000000002</v>
      </c>
      <c r="Q4460">
        <v>0.20962649999999999</v>
      </c>
      <c r="R4460">
        <v>-0.86592950000000002</v>
      </c>
      <c r="S4460">
        <v>1.691589</v>
      </c>
      <c r="T4460">
        <v>-0.18686659999999999</v>
      </c>
      <c r="U4460">
        <v>-2.625092</v>
      </c>
      <c r="V4460">
        <v>-0.16947190000000001</v>
      </c>
      <c r="W4460">
        <v>0.22139800000000001</v>
      </c>
      <c r="X4460">
        <v>0.96034489999999995</v>
      </c>
      <c r="Y4460">
        <v>-0.25604860000000002</v>
      </c>
      <c r="Z4460">
        <v>5.9236169999999998E-2</v>
      </c>
      <c r="AA4460">
        <v>0.96484729999999996</v>
      </c>
      <c r="AB4460">
        <v>34</v>
      </c>
      <c r="AC4460">
        <v>10.002599999999999</v>
      </c>
      <c r="AD4460">
        <v>-1.116699854226</v>
      </c>
      <c r="AE4460">
        <v>-15.3731299999999</v>
      </c>
      <c r="AF4460">
        <v>-4.7747552889181799</v>
      </c>
      <c r="AG4460">
        <v>-1.116699854226</v>
      </c>
      <c r="AH4460">
        <v>17.638214417888801</v>
      </c>
      <c r="AI4460">
        <v>93.497098984443994</v>
      </c>
      <c r="AJ4460">
        <v>105.147224787043</v>
      </c>
      <c r="AK4460">
        <v>18.307154734827002</v>
      </c>
      <c r="AL4460">
        <v>77.208843289461299</v>
      </c>
      <c r="AM4460">
        <v>100.007937597812</v>
      </c>
      <c r="AN4460">
        <v>1.0000000631248001</v>
      </c>
    </row>
    <row r="4461" spans="1:40" x14ac:dyDescent="0.25">
      <c r="A4461" t="str">
        <f>"20190312172755324"</f>
        <v>20190312172755324</v>
      </c>
      <c r="B4461" t="str">
        <f>"1552382875314212"</f>
        <v>1552382875314212</v>
      </c>
      <c r="C4461" t="s">
        <v>40</v>
      </c>
      <c r="D4461">
        <v>3.2103320000000002</v>
      </c>
      <c r="E4461">
        <v>0.46539229999999998</v>
      </c>
      <c r="F4461" t="s">
        <v>52</v>
      </c>
      <c r="G4461">
        <v>-409.45359999999999</v>
      </c>
      <c r="H4461" s="1">
        <v>-1.9165880000000001E-6</v>
      </c>
      <c r="I4461">
        <v>22.9665</v>
      </c>
      <c r="J4461">
        <v>-419.51870000000002</v>
      </c>
      <c r="K4461">
        <v>1.1167</v>
      </c>
      <c r="L4461">
        <v>38.200130000000001</v>
      </c>
      <c r="M4461">
        <v>0.31414550000000002</v>
      </c>
      <c r="N4461">
        <v>0</v>
      </c>
      <c r="O4461">
        <v>-0.9492564</v>
      </c>
      <c r="P4461">
        <v>0.4610283</v>
      </c>
      <c r="Q4461">
        <v>0.20947940000000001</v>
      </c>
      <c r="R4461">
        <v>-0.86230589999999996</v>
      </c>
      <c r="S4461">
        <v>1.7098390000000001</v>
      </c>
      <c r="T4461">
        <v>-0.18766250000000001</v>
      </c>
      <c r="U4461">
        <v>-2.6132200000000001</v>
      </c>
      <c r="V4461">
        <v>-0.17029520000000001</v>
      </c>
      <c r="W4461">
        <v>0.22123570000000001</v>
      </c>
      <c r="X4461">
        <v>0.9602366</v>
      </c>
      <c r="Y4461">
        <v>-0.25587919999999997</v>
      </c>
      <c r="Z4461">
        <v>5.9406559999999997E-2</v>
      </c>
      <c r="AA4461">
        <v>0.96488169999999995</v>
      </c>
      <c r="AB4461">
        <v>34</v>
      </c>
      <c r="AC4461">
        <v>10.065099999999999</v>
      </c>
      <c r="AD4461">
        <v>-1.1167019165880001</v>
      </c>
      <c r="AE4461">
        <v>-15.23363</v>
      </c>
      <c r="AF4461">
        <v>-4.75154667325166</v>
      </c>
      <c r="AG4461">
        <v>-1.1167019165880001</v>
      </c>
      <c r="AH4461">
        <v>17.558826938608998</v>
      </c>
      <c r="AI4461">
        <v>93.512963598908797</v>
      </c>
      <c r="AJ4461">
        <v>105.14200140531101</v>
      </c>
      <c r="AK4461">
        <v>18.22461583734</v>
      </c>
      <c r="AL4461">
        <v>77.218378154306905</v>
      </c>
      <c r="AM4461">
        <v>100.056677555124</v>
      </c>
      <c r="AN4461">
        <v>1.0000000090385399</v>
      </c>
    </row>
    <row r="4462" spans="1:40" x14ac:dyDescent="0.25">
      <c r="A4462" t="str">
        <f>"20190312172755346"</f>
        <v>20190312172755346</v>
      </c>
      <c r="B4462" t="str">
        <f>"1552382875343492"</f>
        <v>1552382875343492</v>
      </c>
      <c r="C4462" t="s">
        <v>40</v>
      </c>
      <c r="D4462">
        <v>3.2820369999999999</v>
      </c>
      <c r="E4462">
        <v>0.44539089999999998</v>
      </c>
      <c r="F4462" t="s">
        <v>52</v>
      </c>
      <c r="G4462">
        <v>-409.25439999999998</v>
      </c>
      <c r="H4462" s="1">
        <v>-1.9958450000000002E-6</v>
      </c>
      <c r="I4462">
        <v>22.792760000000001</v>
      </c>
      <c r="J4462">
        <v>-419.40870000000001</v>
      </c>
      <c r="K4462">
        <v>1.1167009999999999</v>
      </c>
      <c r="L4462">
        <v>37.889220000000002</v>
      </c>
      <c r="M4462">
        <v>0.32080639999999999</v>
      </c>
      <c r="N4462">
        <v>0</v>
      </c>
      <c r="O4462">
        <v>-0.94702600000000003</v>
      </c>
      <c r="P4462">
        <v>0.46728540000000002</v>
      </c>
      <c r="Q4462">
        <v>0.2100265</v>
      </c>
      <c r="R4462">
        <v>-0.85879749999999999</v>
      </c>
      <c r="S4462">
        <v>1.73147599999999</v>
      </c>
      <c r="T4462">
        <v>-0.18837570000000001</v>
      </c>
      <c r="U4462">
        <v>-2.5990600000000001</v>
      </c>
      <c r="V4462">
        <v>-0.17058099999999901</v>
      </c>
      <c r="W4462">
        <v>0.2217761</v>
      </c>
      <c r="X4462">
        <v>0.96006119999999995</v>
      </c>
      <c r="Y4462">
        <v>-0.25707160000000001</v>
      </c>
      <c r="Z4462">
        <v>5.9559889999999997E-2</v>
      </c>
      <c r="AA4462">
        <v>0.9645553</v>
      </c>
      <c r="AB4462">
        <v>34</v>
      </c>
      <c r="AC4462">
        <v>10.154299999999999</v>
      </c>
      <c r="AD4462">
        <v>-1.1167029958450001</v>
      </c>
      <c r="AE4462">
        <v>-15.09646</v>
      </c>
      <c r="AF4462">
        <v>-4.7559650836441802</v>
      </c>
      <c r="AG4462">
        <v>-1.1167029958450001</v>
      </c>
      <c r="AH4462">
        <v>17.490388254306701</v>
      </c>
      <c r="AI4462">
        <v>93.525512848909202</v>
      </c>
      <c r="AJ4462">
        <v>105.211993777533</v>
      </c>
      <c r="AK4462">
        <v>18.159843356817898</v>
      </c>
      <c r="AL4462">
        <v>77.1866268175324</v>
      </c>
      <c r="AM4462">
        <v>100.075012576867</v>
      </c>
      <c r="AN4462">
        <v>1.0000000119188199</v>
      </c>
    </row>
    <row r="4463" spans="1:40" x14ac:dyDescent="0.25">
      <c r="A4463" t="str">
        <f>"20190312172755368"</f>
        <v>20190312172755368</v>
      </c>
      <c r="B4463" t="str">
        <f>"1552382875363988"</f>
        <v>1552382875363988</v>
      </c>
      <c r="C4463" t="s">
        <v>40</v>
      </c>
      <c r="D4463">
        <v>3.1871179999999999</v>
      </c>
      <c r="E4463">
        <v>0.44548090000000001</v>
      </c>
      <c r="F4463" t="s">
        <v>52</v>
      </c>
      <c r="G4463">
        <v>-405.36040000000003</v>
      </c>
      <c r="H4463" s="1">
        <v>-5.7804779999999998E-6</v>
      </c>
      <c r="I4463">
        <v>19.240130000000001</v>
      </c>
      <c r="J4463">
        <v>-419.29599999999999</v>
      </c>
      <c r="K4463">
        <v>1.1166929999999999</v>
      </c>
      <c r="L4463">
        <v>37.577640000000002</v>
      </c>
      <c r="M4463">
        <v>0.3274936</v>
      </c>
      <c r="N4463">
        <v>0</v>
      </c>
      <c r="O4463">
        <v>-0.94473439999999997</v>
      </c>
      <c r="P4463">
        <v>0.47370440000000003</v>
      </c>
      <c r="Q4463">
        <v>0.21049770000000001</v>
      </c>
      <c r="R4463">
        <v>-0.85515769999999902</v>
      </c>
      <c r="S4463">
        <v>1.886047</v>
      </c>
      <c r="T4463">
        <v>-0.14992279999999999</v>
      </c>
      <c r="U4463">
        <v>-2.5037229999999999</v>
      </c>
      <c r="V4463">
        <v>-0.1710295</v>
      </c>
      <c r="W4463">
        <v>0.2222364</v>
      </c>
      <c r="X4463">
        <v>0.95987489999999998</v>
      </c>
      <c r="Y4463">
        <v>-0.30617339999999998</v>
      </c>
      <c r="Z4463">
        <v>4.759729E-2</v>
      </c>
      <c r="AA4463">
        <v>0.95078510000000005</v>
      </c>
      <c r="AB4463">
        <v>34</v>
      </c>
      <c r="AC4463">
        <v>13.9355999999999</v>
      </c>
      <c r="AD4463">
        <v>-1.116698780478</v>
      </c>
      <c r="AE4463">
        <v>-18.337510000000002</v>
      </c>
      <c r="AF4463">
        <v>-7.1440344840998202</v>
      </c>
      <c r="AG4463">
        <v>-1.116698780478</v>
      </c>
      <c r="AH4463">
        <v>21.839018436719101</v>
      </c>
      <c r="AI4463">
        <v>92.782328419157693</v>
      </c>
      <c r="AJ4463">
        <v>108.11408565435801</v>
      </c>
      <c r="AK4463">
        <v>23.004933626413401</v>
      </c>
      <c r="AL4463">
        <v>77.159577982082297</v>
      </c>
      <c r="AM4463">
        <v>100.102877618023</v>
      </c>
      <c r="AN4463">
        <v>0.99999996550260895</v>
      </c>
    </row>
    <row r="4464" spans="1:40" x14ac:dyDescent="0.25">
      <c r="A4464" t="str">
        <f>"20190312172755391"</f>
        <v>20190312172755391</v>
      </c>
      <c r="B4464" t="str">
        <f>"1552382875383511"</f>
        <v>1552382875383511</v>
      </c>
      <c r="C4464" t="s">
        <v>40</v>
      </c>
      <c r="D4464">
        <v>3.1875170000000002</v>
      </c>
      <c r="E4464">
        <v>0.4458452</v>
      </c>
      <c r="F4464" t="s">
        <v>52</v>
      </c>
      <c r="G4464">
        <v>-405.90550000000002</v>
      </c>
      <c r="H4464" s="1">
        <v>-3.3742409999999999E-6</v>
      </c>
      <c r="I4464">
        <v>20.076899999999998</v>
      </c>
      <c r="J4464">
        <v>-419.17790000000002</v>
      </c>
      <c r="K4464">
        <v>1.1167009999999999</v>
      </c>
      <c r="L4464">
        <v>37.25891</v>
      </c>
      <c r="M4464">
        <v>0.33435740000000003</v>
      </c>
      <c r="N4464">
        <v>0</v>
      </c>
      <c r="O4464">
        <v>-0.94232720000000003</v>
      </c>
      <c r="P4464">
        <v>0.47986079999999998</v>
      </c>
      <c r="Q4464">
        <v>0.21088599999999999</v>
      </c>
      <c r="R4464">
        <v>-0.85162260000000001</v>
      </c>
      <c r="S4464">
        <v>1.9062190000000001</v>
      </c>
      <c r="T4464">
        <v>-0.1589682</v>
      </c>
      <c r="U4464">
        <v>-2.491333</v>
      </c>
      <c r="V4464">
        <v>-0.17100960000000001</v>
      </c>
      <c r="W4464">
        <v>0.22262129999999999</v>
      </c>
      <c r="X4464">
        <v>0.95978929999999996</v>
      </c>
      <c r="Y4464">
        <v>-0.3063052</v>
      </c>
      <c r="Z4464">
        <v>5.0359080000000001E-2</v>
      </c>
      <c r="AA4464">
        <v>0.95060040000000001</v>
      </c>
      <c r="AB4464">
        <v>34</v>
      </c>
      <c r="AC4464">
        <v>13.272399999999999</v>
      </c>
      <c r="AD4464">
        <v>-1.1167043742410001</v>
      </c>
      <c r="AE4464">
        <v>-17.182009999999998</v>
      </c>
      <c r="AF4464">
        <v>-6.7449270879631298</v>
      </c>
      <c r="AG4464">
        <v>-1.1167043742410001</v>
      </c>
      <c r="AH4464">
        <v>20.576681775524001</v>
      </c>
      <c r="AI4464">
        <v>92.952154003962207</v>
      </c>
      <c r="AJ4464">
        <v>108.14886921093699</v>
      </c>
      <c r="AK4464">
        <v>21.682732829894199</v>
      </c>
      <c r="AL4464">
        <v>77.136958812687894</v>
      </c>
      <c r="AM4464">
        <v>100.102608694579</v>
      </c>
      <c r="AN4464">
        <v>1.0000000134501601</v>
      </c>
    </row>
    <row r="4465" spans="1:40" x14ac:dyDescent="0.25">
      <c r="A4465" t="str">
        <f>"20190312172755413"</f>
        <v>20190312172755413</v>
      </c>
      <c r="B4465" t="str">
        <f>"1552382875404004"</f>
        <v>1552382875404004</v>
      </c>
      <c r="C4465" t="s">
        <v>40</v>
      </c>
      <c r="D4465">
        <v>3.214737</v>
      </c>
      <c r="E4465">
        <v>0.44604680000000002</v>
      </c>
      <c r="F4465" t="s">
        <v>52</v>
      </c>
      <c r="G4465">
        <v>-405.7054</v>
      </c>
      <c r="H4465" s="1">
        <v>-3.4505139999999998E-6</v>
      </c>
      <c r="I4465">
        <v>19.887429999999998</v>
      </c>
      <c r="J4465">
        <v>-419.06020000000001</v>
      </c>
      <c r="K4465">
        <v>1.1167129999999901</v>
      </c>
      <c r="L4465">
        <v>36.948210000000003</v>
      </c>
      <c r="M4465">
        <v>0.34106890000000001</v>
      </c>
      <c r="N4465">
        <v>0</v>
      </c>
      <c r="O4465">
        <v>-0.93991880000000005</v>
      </c>
      <c r="P4465">
        <v>0.48500850000000001</v>
      </c>
      <c r="Q4465">
        <v>0.21130599999999999</v>
      </c>
      <c r="R4465">
        <v>-0.84859689999999999</v>
      </c>
      <c r="S4465">
        <v>1.9225159999999999</v>
      </c>
      <c r="T4465">
        <v>-0.15935369999999999</v>
      </c>
      <c r="U4465">
        <v>-2.4789119999999998</v>
      </c>
      <c r="V4465">
        <v>-0.17001830000000001</v>
      </c>
      <c r="W4465">
        <v>0.223055</v>
      </c>
      <c r="X4465">
        <v>0.95986470000000002</v>
      </c>
      <c r="Y4465">
        <v>-0.3057241</v>
      </c>
      <c r="Z4465">
        <v>5.0405239999999997E-2</v>
      </c>
      <c r="AA4465">
        <v>0.95078499999999999</v>
      </c>
      <c r="AB4465">
        <v>34</v>
      </c>
      <c r="AC4465">
        <v>13.354799999999999</v>
      </c>
      <c r="AD4465">
        <v>-1.1167164505139999</v>
      </c>
      <c r="AE4465">
        <v>-17.060779999999902</v>
      </c>
      <c r="AF4465">
        <v>-6.7164398289812901</v>
      </c>
      <c r="AG4465">
        <v>-1.1167164505139999</v>
      </c>
      <c r="AH4465">
        <v>20.5384061125411</v>
      </c>
      <c r="AI4465">
        <v>92.958355540601104</v>
      </c>
      <c r="AJ4465">
        <v>108.108705011759</v>
      </c>
      <c r="AK4465">
        <v>21.637554049634101</v>
      </c>
      <c r="AL4465">
        <v>77.111468504210393</v>
      </c>
      <c r="AM4465">
        <v>100.044469445682</v>
      </c>
      <c r="AN4465">
        <v>0.99999999883298996</v>
      </c>
    </row>
    <row r="4466" spans="1:40" x14ac:dyDescent="0.25">
      <c r="A4466" t="str">
        <f>"20190312172755436"</f>
        <v>20190312172755436</v>
      </c>
      <c r="B4466" t="str">
        <f>"1552382875423524"</f>
        <v>1552382875423524</v>
      </c>
      <c r="C4466" t="s">
        <v>40</v>
      </c>
      <c r="D4466">
        <v>3.2311999999999999</v>
      </c>
      <c r="E4466">
        <v>0.44588640000000002</v>
      </c>
      <c r="F4466" t="s">
        <v>52</v>
      </c>
      <c r="G4466">
        <v>-404.99599999999998</v>
      </c>
      <c r="H4466" s="1">
        <v>-5.9264270000000002E-6</v>
      </c>
      <c r="I4466">
        <v>19.029859999999999</v>
      </c>
      <c r="J4466">
        <v>-418.94150000000002</v>
      </c>
      <c r="K4466">
        <v>1.116724</v>
      </c>
      <c r="L4466">
        <v>36.641300000000001</v>
      </c>
      <c r="M4466">
        <v>0.34773219999999999</v>
      </c>
      <c r="N4466">
        <v>0</v>
      </c>
      <c r="O4466">
        <v>-0.93747409999999998</v>
      </c>
      <c r="P4466">
        <v>0.49025030000000003</v>
      </c>
      <c r="Q4466">
        <v>0.21078259999999999</v>
      </c>
      <c r="R4466">
        <v>-0.84571039999999997</v>
      </c>
      <c r="S4466">
        <v>1.9362490000000001</v>
      </c>
      <c r="T4466">
        <v>-0.15374099999999999</v>
      </c>
      <c r="U4466">
        <v>-2.4668580000000002</v>
      </c>
      <c r="V4466">
        <v>-0.1690933</v>
      </c>
      <c r="W4466">
        <v>0.22254499999999999</v>
      </c>
      <c r="X4466">
        <v>0.96014639999999996</v>
      </c>
      <c r="Y4466">
        <v>-0.3045542</v>
      </c>
      <c r="Z4466">
        <v>4.8570990000000001E-2</v>
      </c>
      <c r="AA4466">
        <v>0.95125579999999998</v>
      </c>
      <c r="AB4466">
        <v>34</v>
      </c>
      <c r="AC4466">
        <v>13.945499999999999</v>
      </c>
      <c r="AD4466">
        <v>-1.1167299264270001</v>
      </c>
      <c r="AE4466">
        <v>-17.611439999999899</v>
      </c>
      <c r="AF4466">
        <v>-6.9331275259103204</v>
      </c>
      <c r="AG4466">
        <v>-1.1167299264270001</v>
      </c>
      <c r="AH4466">
        <v>21.309307251714198</v>
      </c>
      <c r="AI4466">
        <v>92.852941267436094</v>
      </c>
      <c r="AJ4466">
        <v>108.022648586288</v>
      </c>
      <c r="AK4466">
        <v>22.4366200343784</v>
      </c>
      <c r="AL4466">
        <v>77.141442341521199</v>
      </c>
      <c r="AM4466">
        <v>99.988053329513804</v>
      </c>
      <c r="AN4466">
        <v>0.99999996528142399</v>
      </c>
    </row>
    <row r="4467" spans="1:40" x14ac:dyDescent="0.25">
      <c r="A4467" t="str">
        <f>"20190312172755458"</f>
        <v>20190312172755458</v>
      </c>
      <c r="B4467" t="str">
        <f>"1552382875453781"</f>
        <v>1552382875453781</v>
      </c>
      <c r="C4467" t="s">
        <v>40</v>
      </c>
      <c r="D4467">
        <v>3.2094589999999998</v>
      </c>
      <c r="E4467">
        <v>0.44591360000000002</v>
      </c>
      <c r="F4467" t="s">
        <v>52</v>
      </c>
      <c r="G4467">
        <v>-404.82619999999997</v>
      </c>
      <c r="H4467" s="1">
        <v>-5.9838869999999999E-6</v>
      </c>
      <c r="I4467">
        <v>18.90025</v>
      </c>
      <c r="J4467">
        <v>-418.81830000000002</v>
      </c>
      <c r="K4467">
        <v>1.116741</v>
      </c>
      <c r="L4467">
        <v>36.329650000000001</v>
      </c>
      <c r="M4467">
        <v>0.35454829999999998</v>
      </c>
      <c r="N4467">
        <v>0</v>
      </c>
      <c r="O4467">
        <v>-0.93491769999999996</v>
      </c>
      <c r="P4467">
        <v>0.4957143</v>
      </c>
      <c r="Q4467">
        <v>0.2108834</v>
      </c>
      <c r="R4467">
        <v>-0.84249370000000001</v>
      </c>
      <c r="S4467">
        <v>1.9524840000000001</v>
      </c>
      <c r="T4467">
        <v>-0.1544703</v>
      </c>
      <c r="U4467">
        <v>-2.4540099999999998</v>
      </c>
      <c r="V4467">
        <v>-0.16833770000000001</v>
      </c>
      <c r="W4467">
        <v>0.22265099999999999</v>
      </c>
      <c r="X4467">
        <v>0.96025459999999996</v>
      </c>
      <c r="Y4467">
        <v>-0.30389490000000002</v>
      </c>
      <c r="Z4467">
        <v>4.872162E-2</v>
      </c>
      <c r="AA4467">
        <v>0.9514589</v>
      </c>
      <c r="AB4467">
        <v>34</v>
      </c>
      <c r="AC4467">
        <v>13.992100000000001</v>
      </c>
      <c r="AD4467">
        <v>-1.1167469838870001</v>
      </c>
      <c r="AE4467">
        <v>-17.429400000000001</v>
      </c>
      <c r="AF4467">
        <v>-6.8854831948933697</v>
      </c>
      <c r="AG4467">
        <v>-1.1167469838870001</v>
      </c>
      <c r="AH4467">
        <v>21.2053773692314</v>
      </c>
      <c r="AI4467">
        <v>92.867493102321504</v>
      </c>
      <c r="AJ4467">
        <v>107.988851103719</v>
      </c>
      <c r="AK4467">
        <v>22.323194933178598</v>
      </c>
      <c r="AL4467">
        <v>77.135212788773003</v>
      </c>
      <c r="AM4467">
        <v>99.943216041500904</v>
      </c>
      <c r="AN4467">
        <v>0.99999997293172405</v>
      </c>
    </row>
    <row r="4468" spans="1:40" x14ac:dyDescent="0.25">
      <c r="A4468" t="str">
        <f>"20190312172755482"</f>
        <v>20190312172755482</v>
      </c>
      <c r="B4468" t="str">
        <f>"1552382875474275"</f>
        <v>1552382875474275</v>
      </c>
      <c r="C4468" t="s">
        <v>40</v>
      </c>
      <c r="D4468">
        <v>3.2213690000000001</v>
      </c>
      <c r="E4468">
        <v>0.4460809</v>
      </c>
      <c r="F4468" t="s">
        <v>52</v>
      </c>
      <c r="G4468">
        <v>-404.43060000000003</v>
      </c>
      <c r="H4468" s="1">
        <v>-6.09334399999999E-6</v>
      </c>
      <c r="I4468">
        <v>18.48</v>
      </c>
      <c r="J4468">
        <v>-418.68790000000001</v>
      </c>
      <c r="K4468">
        <v>1.116779</v>
      </c>
      <c r="L4468">
        <v>36.006809999999902</v>
      </c>
      <c r="M4468">
        <v>0.36168</v>
      </c>
      <c r="N4468">
        <v>0</v>
      </c>
      <c r="O4468">
        <v>-0.93218179999999995</v>
      </c>
      <c r="P4468">
        <v>0.50134650000000003</v>
      </c>
      <c r="Q4468">
        <v>0.2109849</v>
      </c>
      <c r="R4468">
        <v>-0.83912889999999996</v>
      </c>
      <c r="S4468">
        <v>1.967773</v>
      </c>
      <c r="T4468">
        <v>-0.15273490000000001</v>
      </c>
      <c r="U4468">
        <v>-2.4412539999999998</v>
      </c>
      <c r="V4468">
        <v>-0.16746079999999999</v>
      </c>
      <c r="W4468">
        <v>0.22275510000000001</v>
      </c>
      <c r="X4468">
        <v>0.96038380000000001</v>
      </c>
      <c r="Y4468">
        <v>-0.30267699999999997</v>
      </c>
      <c r="Z4468">
        <v>4.809107E-2</v>
      </c>
      <c r="AA4468">
        <v>0.95187909999999998</v>
      </c>
      <c r="AB4468">
        <v>34</v>
      </c>
      <c r="AC4468">
        <v>14.257299999999899</v>
      </c>
      <c r="AD4468">
        <v>-1.116785093344</v>
      </c>
      <c r="AE4468">
        <v>-17.526809999999902</v>
      </c>
      <c r="AF4468">
        <v>-6.9351352853820902</v>
      </c>
      <c r="AG4468">
        <v>-1.116785093344</v>
      </c>
      <c r="AH4468">
        <v>21.444772439835202</v>
      </c>
      <c r="AI4468">
        <v>92.836718784463201</v>
      </c>
      <c r="AJ4468">
        <v>107.920955481276</v>
      </c>
      <c r="AK4468">
        <v>22.565938388810299</v>
      </c>
      <c r="AL4468">
        <v>77.129094986447399</v>
      </c>
      <c r="AM4468">
        <v>99.891141412788301</v>
      </c>
      <c r="AN4468">
        <v>0.99999999870754497</v>
      </c>
    </row>
    <row r="4469" spans="1:40" x14ac:dyDescent="0.25">
      <c r="A4469" t="str">
        <f>"20190312172755504"</f>
        <v>20190312172755504</v>
      </c>
      <c r="B4469" t="str">
        <f>"1552382875493796"</f>
        <v>1552382875493796</v>
      </c>
      <c r="C4469" t="s">
        <v>40</v>
      </c>
      <c r="D4469">
        <v>3.197845</v>
      </c>
      <c r="E4469">
        <v>0.44628610000000002</v>
      </c>
      <c r="F4469" t="s">
        <v>52</v>
      </c>
      <c r="G4469">
        <v>-404.18029999999999</v>
      </c>
      <c r="H4469" s="1">
        <v>-6.1557299999999998E-6</v>
      </c>
      <c r="I4469">
        <v>18.241990000000001</v>
      </c>
      <c r="J4469">
        <v>-418.5607</v>
      </c>
      <c r="K4469">
        <v>1.116814</v>
      </c>
      <c r="L4469">
        <v>35.69876</v>
      </c>
      <c r="M4469">
        <v>0.3685676</v>
      </c>
      <c r="N4469">
        <v>0</v>
      </c>
      <c r="O4469">
        <v>-0.92947999999999997</v>
      </c>
      <c r="P4469">
        <v>0.50744579999999995</v>
      </c>
      <c r="Q4469">
        <v>0.21180399999999999</v>
      </c>
      <c r="R4469">
        <v>-0.83524719999999997</v>
      </c>
      <c r="S4469">
        <v>1.983276</v>
      </c>
      <c r="T4469">
        <v>-0.15267130000000001</v>
      </c>
      <c r="U4469">
        <v>-2.4285580000000002</v>
      </c>
      <c r="V4469">
        <v>-0.16746510000000001</v>
      </c>
      <c r="W4469">
        <v>0.22355459999999999</v>
      </c>
      <c r="X4469">
        <v>0.96019730000000003</v>
      </c>
      <c r="Y4469">
        <v>-0.301710799999999</v>
      </c>
      <c r="Z4469">
        <v>4.7983869999999998E-2</v>
      </c>
      <c r="AA4469">
        <v>0.95219120000000002</v>
      </c>
      <c r="AB4469">
        <v>34</v>
      </c>
      <c r="AC4469">
        <v>14.3804</v>
      </c>
      <c r="AD4469">
        <v>-1.1168201557299999</v>
      </c>
      <c r="AE4469">
        <v>-17.456769999999999</v>
      </c>
      <c r="AF4469">
        <v>-6.91620991842463</v>
      </c>
      <c r="AG4469">
        <v>-1.1168201557299999</v>
      </c>
      <c r="AH4469">
        <v>21.4759233360212</v>
      </c>
      <c r="AI4469">
        <v>92.833815992202403</v>
      </c>
      <c r="AJ4469">
        <v>107.850885398377</v>
      </c>
      <c r="AK4469">
        <v>22.589743912462101</v>
      </c>
      <c r="AL4469">
        <v>77.082102489168804</v>
      </c>
      <c r="AM4469">
        <v>99.893273634859298</v>
      </c>
      <c r="AN4469">
        <v>1.00000003691322</v>
      </c>
    </row>
    <row r="4470" spans="1:40" x14ac:dyDescent="0.25">
      <c r="A4470" t="str">
        <f>"20190312172755526"</f>
        <v>20190312172755526</v>
      </c>
      <c r="B4470" t="str">
        <f>"1552382875514293"</f>
        <v>1552382875514293</v>
      </c>
      <c r="C4470" t="s">
        <v>40</v>
      </c>
      <c r="D4470">
        <v>3.2494290000000001</v>
      </c>
      <c r="E4470">
        <v>0.44639119999999999</v>
      </c>
      <c r="F4470" t="s">
        <v>52</v>
      </c>
      <c r="G4470">
        <v>-403.6651</v>
      </c>
      <c r="H4470" s="1">
        <v>-6.2684580000000003E-6</v>
      </c>
      <c r="I4470">
        <v>17.710889999999999</v>
      </c>
      <c r="J4470">
        <v>-418.43689999999998</v>
      </c>
      <c r="K4470">
        <v>1.1168709999999999</v>
      </c>
      <c r="L4470">
        <v>35.405180000000001</v>
      </c>
      <c r="M4470">
        <v>0.37522359999999999</v>
      </c>
      <c r="N4470">
        <v>0</v>
      </c>
      <c r="O4470">
        <v>-0.9268132</v>
      </c>
      <c r="P4470">
        <v>0.51340680000000005</v>
      </c>
      <c r="Q4470">
        <v>0.21242259999999999</v>
      </c>
      <c r="R4470">
        <v>-0.83143889999999998</v>
      </c>
      <c r="S4470">
        <v>1.999725</v>
      </c>
      <c r="T4470">
        <v>-0.14993210000000001</v>
      </c>
      <c r="U4470">
        <v>-2.4148559999999999</v>
      </c>
      <c r="V4470">
        <v>-0.1675469</v>
      </c>
      <c r="W4470">
        <v>0.22415089999999999</v>
      </c>
      <c r="X4470">
        <v>0.96004400000000001</v>
      </c>
      <c r="Y4470">
        <v>-0.30140529999999999</v>
      </c>
      <c r="Z4470">
        <v>4.7045690000000001E-2</v>
      </c>
      <c r="AA4470">
        <v>0.95233480000000004</v>
      </c>
      <c r="AB4470">
        <v>34</v>
      </c>
      <c r="AC4470">
        <v>14.771799999999899</v>
      </c>
      <c r="AD4470">
        <v>-1.1168772684579999</v>
      </c>
      <c r="AE4470">
        <v>-17.694289999999999</v>
      </c>
      <c r="AF4470">
        <v>-7.0356569521745804</v>
      </c>
      <c r="AG4470">
        <v>-1.1168772684579999</v>
      </c>
      <c r="AH4470">
        <v>21.893091018583799</v>
      </c>
      <c r="AI4470">
        <v>92.780596526443603</v>
      </c>
      <c r="AJ4470">
        <v>107.81554902674399</v>
      </c>
      <c r="AK4470">
        <v>23.022930263749501</v>
      </c>
      <c r="AL4470">
        <v>77.047047408697694</v>
      </c>
      <c r="AM4470">
        <v>99.899559803098299</v>
      </c>
      <c r="AN4470">
        <v>1.0000000358032</v>
      </c>
    </row>
    <row r="4471" spans="1:40" x14ac:dyDescent="0.25">
      <c r="A4471" t="str">
        <f>"20190312172755548"</f>
        <v>20190312172755548</v>
      </c>
      <c r="B4471" t="str">
        <f>"1552382875543572"</f>
        <v>1552382875543572</v>
      </c>
      <c r="C4471" t="s">
        <v>40</v>
      </c>
      <c r="D4471">
        <v>3.234388</v>
      </c>
      <c r="E4471">
        <v>0.45175949999999998</v>
      </c>
      <c r="F4471" t="s">
        <v>52</v>
      </c>
      <c r="G4471">
        <v>-403.24349999999998</v>
      </c>
      <c r="H4471" s="1">
        <v>-6.3649909999999996E-6</v>
      </c>
      <c r="I4471">
        <v>17.31446</v>
      </c>
      <c r="J4471">
        <v>-418.30829999999997</v>
      </c>
      <c r="K4471">
        <v>1.116946</v>
      </c>
      <c r="L4471">
        <v>35.106409999999997</v>
      </c>
      <c r="M4471">
        <v>0.3820962</v>
      </c>
      <c r="N4471">
        <v>0</v>
      </c>
      <c r="O4471">
        <v>-0.92400079999999996</v>
      </c>
      <c r="P4471">
        <v>0.52006589999999997</v>
      </c>
      <c r="Q4471">
        <v>0.21242340000000001</v>
      </c>
      <c r="R4471">
        <v>-0.82728969999999902</v>
      </c>
      <c r="S4471">
        <v>2.0164179999999998</v>
      </c>
      <c r="T4471">
        <v>-0.1482282</v>
      </c>
      <c r="U4471">
        <v>-2.4009399999999999</v>
      </c>
      <c r="V4471">
        <v>-0.1681638</v>
      </c>
      <c r="W4471">
        <v>0.22411790000000001</v>
      </c>
      <c r="X4471">
        <v>0.95994380000000001</v>
      </c>
      <c r="Y4471">
        <v>-0.30094470000000001</v>
      </c>
      <c r="Z4471">
        <v>4.6424989999999999E-2</v>
      </c>
      <c r="AA4471">
        <v>0.95251090000000005</v>
      </c>
      <c r="AB4471">
        <v>33</v>
      </c>
      <c r="AC4471">
        <v>15.0647999999999</v>
      </c>
      <c r="AD4471">
        <v>-1.116952364991</v>
      </c>
      <c r="AE4471">
        <v>-17.7919499999999</v>
      </c>
      <c r="AF4471">
        <v>-7.1061403312205202</v>
      </c>
      <c r="AG4471">
        <v>-1.116952364991</v>
      </c>
      <c r="AH4471">
        <v>22.147637647083702</v>
      </c>
      <c r="AI4471">
        <v>92.749280821781497</v>
      </c>
      <c r="AJ4471">
        <v>107.789004387907</v>
      </c>
      <c r="AK4471">
        <v>23.286534013012201</v>
      </c>
      <c r="AL4471">
        <v>77.048987030597502</v>
      </c>
      <c r="AM4471">
        <v>99.936300923519994</v>
      </c>
      <c r="AN4471">
        <v>0.999999997944644</v>
      </c>
    </row>
    <row r="4472" spans="1:40" x14ac:dyDescent="0.25">
      <c r="A4472" t="str">
        <f>"20190312172755570"</f>
        <v>20190312172755570</v>
      </c>
      <c r="B4472" t="str">
        <f>"1552382875564068"</f>
        <v>1552382875564068</v>
      </c>
      <c r="C4472" t="s">
        <v>40</v>
      </c>
      <c r="D4472">
        <v>3.3713039999999999</v>
      </c>
      <c r="E4472">
        <v>0.45560669999999998</v>
      </c>
      <c r="F4472" t="s">
        <v>52</v>
      </c>
      <c r="G4472">
        <v>-404.55200000000002</v>
      </c>
      <c r="H4472" s="1">
        <v>-6.0477609999999999E-6</v>
      </c>
      <c r="I4472">
        <v>18.541609999999999</v>
      </c>
      <c r="J4472">
        <v>-418.1746</v>
      </c>
      <c r="K4472">
        <v>1.117016</v>
      </c>
      <c r="L4472">
        <v>34.803190000000001</v>
      </c>
      <c r="M4472">
        <v>0.38919219999999999</v>
      </c>
      <c r="N4472">
        <v>0</v>
      </c>
      <c r="O4472">
        <v>-0.92103449999999998</v>
      </c>
      <c r="P4472">
        <v>0.52692799999999995</v>
      </c>
      <c r="Q4472">
        <v>0.21202109999999999</v>
      </c>
      <c r="R4472">
        <v>-0.82303950000000003</v>
      </c>
      <c r="S4472">
        <v>2.001312</v>
      </c>
      <c r="T4472">
        <v>-0.16249849999999999</v>
      </c>
      <c r="U4472">
        <v>-2.4099119999999998</v>
      </c>
      <c r="V4472">
        <v>-0.168758399999999</v>
      </c>
      <c r="W4472">
        <v>0.22368199999999999</v>
      </c>
      <c r="X4472">
        <v>0.95994109999999999</v>
      </c>
      <c r="Y4472">
        <v>-0.28816799999999998</v>
      </c>
      <c r="Z4472">
        <v>5.0694690000000001E-2</v>
      </c>
      <c r="AA4472">
        <v>0.956237</v>
      </c>
      <c r="AB4472">
        <v>33</v>
      </c>
      <c r="AC4472">
        <v>13.6226</v>
      </c>
      <c r="AD4472">
        <v>-1.117022047761</v>
      </c>
      <c r="AE4472">
        <v>-16.261579999999999</v>
      </c>
      <c r="AF4472">
        <v>-6.2015090568471001</v>
      </c>
      <c r="AG4472">
        <v>-1.117022047761</v>
      </c>
      <c r="AH4472">
        <v>20.225487984343101</v>
      </c>
      <c r="AI4472">
        <v>93.022530010681905</v>
      </c>
      <c r="AJ4472">
        <v>107.046509117515</v>
      </c>
      <c r="AK4472">
        <v>21.184353118331199</v>
      </c>
      <c r="AL4472">
        <v>77.074612545312803</v>
      </c>
      <c r="AM4472">
        <v>99.970757736969404</v>
      </c>
      <c r="AN4472">
        <v>0.99999997508188398</v>
      </c>
    </row>
    <row r="4473" spans="1:40" x14ac:dyDescent="0.25">
      <c r="A4473" t="str">
        <f>"20190312172755592"</f>
        <v>20190312172755592</v>
      </c>
      <c r="B4473" t="str">
        <f>"1552382875583592"</f>
        <v>1552382875583592</v>
      </c>
      <c r="C4473" t="s">
        <v>40</v>
      </c>
      <c r="D4473">
        <v>3.3072859999999999</v>
      </c>
      <c r="E4473">
        <v>0.45649780000000001</v>
      </c>
      <c r="F4473" t="s">
        <v>52</v>
      </c>
      <c r="G4473">
        <v>-406.04129999999998</v>
      </c>
      <c r="H4473" s="1">
        <v>-3.310773E-6</v>
      </c>
      <c r="I4473">
        <v>20.15297</v>
      </c>
      <c r="J4473">
        <v>-418.03960000000001</v>
      </c>
      <c r="K4473">
        <v>1.1170899999999999</v>
      </c>
      <c r="L4473">
        <v>34.503390000000003</v>
      </c>
      <c r="M4473">
        <v>0.39631680000000002</v>
      </c>
      <c r="N4473">
        <v>0</v>
      </c>
      <c r="O4473">
        <v>-0.91799120000000001</v>
      </c>
      <c r="P4473">
        <v>0.53395190000000003</v>
      </c>
      <c r="Q4473">
        <v>0.21212590000000001</v>
      </c>
      <c r="R4473">
        <v>-0.81847309999999995</v>
      </c>
      <c r="S4473">
        <v>1.9984440000000001</v>
      </c>
      <c r="T4473">
        <v>-0.18398110000000001</v>
      </c>
      <c r="U4473">
        <v>-2.4129939999999999</v>
      </c>
      <c r="V4473">
        <v>-0.16959109999999999</v>
      </c>
      <c r="W4473">
        <v>0.22374749999999999</v>
      </c>
      <c r="X4473">
        <v>0.9597791</v>
      </c>
      <c r="Y4473">
        <v>-0.27922219999999998</v>
      </c>
      <c r="Z4473">
        <v>5.7139990000000002E-2</v>
      </c>
      <c r="AA4473">
        <v>0.95852490000000001</v>
      </c>
      <c r="AB4473">
        <v>33</v>
      </c>
      <c r="AC4473">
        <v>11.9983</v>
      </c>
      <c r="AD4473">
        <v>-1.1170933107729999</v>
      </c>
      <c r="AE4473">
        <v>-14.35042</v>
      </c>
      <c r="AF4473">
        <v>-5.3086876192967001</v>
      </c>
      <c r="AG4473">
        <v>-1.1170933107729999</v>
      </c>
      <c r="AH4473">
        <v>17.866983141536501</v>
      </c>
      <c r="AI4473">
        <v>93.429817075187103</v>
      </c>
      <c r="AJ4473">
        <v>106.54788359956</v>
      </c>
      <c r="AK4473">
        <v>18.672416776737801</v>
      </c>
      <c r="AL4473">
        <v>77.070762445904705</v>
      </c>
      <c r="AM4473">
        <v>100.02061857262299</v>
      </c>
      <c r="AN4473">
        <v>1.00000000287613</v>
      </c>
    </row>
    <row r="4474" spans="1:40" x14ac:dyDescent="0.25">
      <c r="A4474" t="str">
        <f>"20190312172755614"</f>
        <v>20190312172755614</v>
      </c>
      <c r="B4474" t="str">
        <f>"1552382875604084"</f>
        <v>1552382875604084</v>
      </c>
      <c r="C4474" t="s">
        <v>40</v>
      </c>
      <c r="D4474">
        <v>3.3136670000000001</v>
      </c>
      <c r="E4474">
        <v>0.45720850000000002</v>
      </c>
      <c r="F4474" t="s">
        <v>52</v>
      </c>
      <c r="G4474">
        <v>-405.81560000000002</v>
      </c>
      <c r="H4474" s="1">
        <v>-3.3941190000000001E-6</v>
      </c>
      <c r="I4474">
        <v>19.927119999999999</v>
      </c>
      <c r="J4474">
        <v>-417.90339999999998</v>
      </c>
      <c r="K4474">
        <v>1.117165</v>
      </c>
      <c r="L4474">
        <v>34.207030000000003</v>
      </c>
      <c r="M4474">
        <v>0.40345170000000002</v>
      </c>
      <c r="N4474">
        <v>0</v>
      </c>
      <c r="O4474">
        <v>-0.91487759999999996</v>
      </c>
      <c r="P4474">
        <v>0.54084659999999996</v>
      </c>
      <c r="Q4474">
        <v>0.21208399999999999</v>
      </c>
      <c r="R4474">
        <v>-0.81394419999999901</v>
      </c>
      <c r="S4474">
        <v>2.0126949999999999</v>
      </c>
      <c r="T4474">
        <v>-0.18393029999999999</v>
      </c>
      <c r="U4474">
        <v>-2.399994</v>
      </c>
      <c r="V4474">
        <v>-0.17025899999999999</v>
      </c>
      <c r="W4474">
        <v>0.22367219999999999</v>
      </c>
      <c r="X4474">
        <v>0.95967840000000004</v>
      </c>
      <c r="Y4474">
        <v>-0.27764699999999998</v>
      </c>
      <c r="Z4474">
        <v>5.69975E-2</v>
      </c>
      <c r="AA4474">
        <v>0.95899080000000003</v>
      </c>
      <c r="AB4474">
        <v>33</v>
      </c>
      <c r="AC4474">
        <v>12.0877999999999</v>
      </c>
      <c r="AD4474">
        <v>-1.117168394119</v>
      </c>
      <c r="AE4474">
        <v>-14.2799099999999</v>
      </c>
      <c r="AF4474">
        <v>-5.2793773492725604</v>
      </c>
      <c r="AG4474">
        <v>-1.117168394119</v>
      </c>
      <c r="AH4474">
        <v>17.879487405421902</v>
      </c>
      <c r="AI4474">
        <v>93.429374306735397</v>
      </c>
      <c r="AJ4474">
        <v>106.45058756478601</v>
      </c>
      <c r="AK4474">
        <v>18.676079896420301</v>
      </c>
      <c r="AL4474">
        <v>77.0751890439508</v>
      </c>
      <c r="AM4474">
        <v>100.060312260457</v>
      </c>
      <c r="AN4474">
        <v>1.0000000057801901</v>
      </c>
    </row>
    <row r="4475" spans="1:40" x14ac:dyDescent="0.25">
      <c r="A4475" t="str">
        <f>"20190312172755636"</f>
        <v>20190312172755636</v>
      </c>
      <c r="B4475" t="str">
        <f>"1552382875633516"</f>
        <v>1552382875633516</v>
      </c>
      <c r="C4475" t="s">
        <v>40</v>
      </c>
      <c r="D4475">
        <v>3.2854239999999999</v>
      </c>
      <c r="E4475">
        <v>0.45762839999999999</v>
      </c>
      <c r="F4475" t="s">
        <v>52</v>
      </c>
      <c r="G4475">
        <v>-405.54109999999997</v>
      </c>
      <c r="H4475" s="1">
        <v>-3.4986179999999999E-6</v>
      </c>
      <c r="I4475">
        <v>19.666329999999999</v>
      </c>
      <c r="J4475">
        <v>-417.76510000000002</v>
      </c>
      <c r="K4475">
        <v>1.1172249999999999</v>
      </c>
      <c r="L4475">
        <v>33.912509999999997</v>
      </c>
      <c r="M4475">
        <v>0.41063270000000002</v>
      </c>
      <c r="N4475">
        <v>0</v>
      </c>
      <c r="O4475">
        <v>-0.91167710000000002</v>
      </c>
      <c r="P4475">
        <v>0.54751890000000003</v>
      </c>
      <c r="Q4475">
        <v>0.21230779999999999</v>
      </c>
      <c r="R4475">
        <v>-0.80941240000000003</v>
      </c>
      <c r="S4475">
        <v>2.0283199999999999</v>
      </c>
      <c r="T4475">
        <v>-0.1832976</v>
      </c>
      <c r="U4475">
        <v>-2.385742</v>
      </c>
      <c r="V4475">
        <v>-0.17066339999999999</v>
      </c>
      <c r="W4475">
        <v>0.22386790000000001</v>
      </c>
      <c r="X4475">
        <v>0.95956090000000005</v>
      </c>
      <c r="Y4475">
        <v>-0.27657589999999999</v>
      </c>
      <c r="Z4475">
        <v>5.6675709999999997E-2</v>
      </c>
      <c r="AA4475">
        <v>0.95931940000000004</v>
      </c>
      <c r="AB4475">
        <v>33</v>
      </c>
      <c r="AC4475">
        <v>12.224</v>
      </c>
      <c r="AD4475">
        <v>-1.1172284986180001</v>
      </c>
      <c r="AE4475">
        <v>-14.246180000000001</v>
      </c>
      <c r="AF4475">
        <v>-5.2763012460455299</v>
      </c>
      <c r="AG4475">
        <v>-1.1172284986180001</v>
      </c>
      <c r="AH4475">
        <v>17.945954097283899</v>
      </c>
      <c r="AI4475">
        <v>93.418055683641498</v>
      </c>
      <c r="AJ4475">
        <v>106.383896660852</v>
      </c>
      <c r="AK4475">
        <v>18.738858631703401</v>
      </c>
      <c r="AL4475">
        <v>77.063684146386805</v>
      </c>
      <c r="AM4475">
        <v>100.084927177422</v>
      </c>
      <c r="AN4475">
        <v>0.99999997677938901</v>
      </c>
    </row>
    <row r="4476" spans="1:40" x14ac:dyDescent="0.25">
      <c r="A4476" t="str">
        <f>"20190312172755659"</f>
        <v>20190312172755659</v>
      </c>
      <c r="B4476" t="str">
        <f>"1552382875654012"</f>
        <v>1552382875654012</v>
      </c>
      <c r="C4476" t="s">
        <v>40</v>
      </c>
      <c r="D4476">
        <v>3.2781289999999998</v>
      </c>
      <c r="E4476">
        <v>0.45885749999999997</v>
      </c>
      <c r="F4476" t="s">
        <v>52</v>
      </c>
      <c r="G4476">
        <v>-405.17140000000001</v>
      </c>
      <c r="H4476" s="1">
        <v>-5.887953E-6</v>
      </c>
      <c r="I4476">
        <v>19.309699999999999</v>
      </c>
      <c r="J4476">
        <v>-417.61689999999999</v>
      </c>
      <c r="K4476">
        <v>1.1172879999999901</v>
      </c>
      <c r="L4476">
        <v>33.603520000000003</v>
      </c>
      <c r="M4476">
        <v>0.41826390000000002</v>
      </c>
      <c r="N4476">
        <v>0</v>
      </c>
      <c r="O4476">
        <v>-0.90820129999999999</v>
      </c>
      <c r="P4476">
        <v>0.55446689999999998</v>
      </c>
      <c r="Q4476">
        <v>0.21283450000000001</v>
      </c>
      <c r="R4476">
        <v>-0.80452999999999997</v>
      </c>
      <c r="S4476">
        <v>2.0446780000000002</v>
      </c>
      <c r="T4476">
        <v>-0.1813912</v>
      </c>
      <c r="U4476">
        <v>-2.3708800000000001</v>
      </c>
      <c r="V4476">
        <v>-0.17097909999999999</v>
      </c>
      <c r="W4476">
        <v>0.22436739999999999</v>
      </c>
      <c r="X4476">
        <v>0.95938800000000002</v>
      </c>
      <c r="Y4476">
        <v>-0.27531260000000002</v>
      </c>
      <c r="Z4476">
        <v>5.5944889999999997E-2</v>
      </c>
      <c r="AA4476">
        <v>0.95972559999999996</v>
      </c>
      <c r="AB4476">
        <v>33</v>
      </c>
      <c r="AC4476">
        <v>12.4454999999999</v>
      </c>
      <c r="AD4476">
        <v>-1.1172938879530001</v>
      </c>
      <c r="AE4476">
        <v>-14.29382</v>
      </c>
      <c r="AF4476">
        <v>-5.3065893059701796</v>
      </c>
      <c r="AG4476">
        <v>-1.1172938879530001</v>
      </c>
      <c r="AH4476">
        <v>18.126227799646099</v>
      </c>
      <c r="AI4476">
        <v>93.385481706722302</v>
      </c>
      <c r="AJ4476">
        <v>106.31778843689099</v>
      </c>
      <c r="AK4476">
        <v>18.920052059625998</v>
      </c>
      <c r="AL4476">
        <v>77.034317648642897</v>
      </c>
      <c r="AM4476">
        <v>100.10498197818799</v>
      </c>
      <c r="AN4476">
        <v>0.99999995868178404</v>
      </c>
    </row>
    <row r="4477" spans="1:40" x14ac:dyDescent="0.25">
      <c r="A4477" t="str">
        <f>"20190312172755683"</f>
        <v>20190312172755683</v>
      </c>
      <c r="B4477" t="str">
        <f>"1552382875673532"</f>
        <v>1552382875673532</v>
      </c>
      <c r="C4477" t="s">
        <v>40</v>
      </c>
      <c r="D4477">
        <v>3.4041679999999999</v>
      </c>
      <c r="E4477">
        <v>0.45983410000000002</v>
      </c>
      <c r="F4477" t="s">
        <v>52</v>
      </c>
      <c r="G4477">
        <v>-402.4615</v>
      </c>
      <c r="H4477" s="1">
        <v>-6.5039380000000003E-6</v>
      </c>
      <c r="I4477">
        <v>16.222470000000001</v>
      </c>
      <c r="J4477">
        <v>-417.47089999999997</v>
      </c>
      <c r="K4477">
        <v>1.117337</v>
      </c>
      <c r="L4477">
        <v>33.305660000000003</v>
      </c>
      <c r="M4477">
        <v>0.42571150000000002</v>
      </c>
      <c r="N4477">
        <v>0</v>
      </c>
      <c r="O4477">
        <v>-0.90473400000000004</v>
      </c>
      <c r="P4477">
        <v>0.56122539999999999</v>
      </c>
      <c r="Q4477">
        <v>0.2128205</v>
      </c>
      <c r="R4477">
        <v>-0.79983349999999998</v>
      </c>
      <c r="S4477">
        <v>2.052765</v>
      </c>
      <c r="T4477">
        <v>-0.15133450000000001</v>
      </c>
      <c r="U4477">
        <v>-2.3542179999999999</v>
      </c>
      <c r="V4477">
        <v>-0.17121220000000001</v>
      </c>
      <c r="W4477">
        <v>0.22432929999999901</v>
      </c>
      <c r="X4477">
        <v>0.95935539999999997</v>
      </c>
      <c r="Y4477">
        <v>-0.27297880000000002</v>
      </c>
      <c r="Z4477">
        <v>4.6661870000000001E-2</v>
      </c>
      <c r="AA4477">
        <v>0.96088770000000001</v>
      </c>
      <c r="AB4477">
        <v>33</v>
      </c>
      <c r="AC4477">
        <v>15.0093999999999</v>
      </c>
      <c r="AD4477">
        <v>-1.117343503938</v>
      </c>
      <c r="AE4477">
        <v>-17.083189999999899</v>
      </c>
      <c r="AF4477">
        <v>-6.2925254146164002</v>
      </c>
      <c r="AG4477">
        <v>-1.117343503938</v>
      </c>
      <c r="AH4477">
        <v>21.795267676964599</v>
      </c>
      <c r="AI4477">
        <v>92.819753548128404</v>
      </c>
      <c r="AJ4477">
        <v>106.10399091477299</v>
      </c>
      <c r="AK4477">
        <v>22.712948415164501</v>
      </c>
      <c r="AL4477">
        <v>77.036558500444499</v>
      </c>
      <c r="AM4477">
        <v>100.118810612712</v>
      </c>
      <c r="AN4477">
        <v>1.00000001788824</v>
      </c>
    </row>
    <row r="4478" spans="1:40" x14ac:dyDescent="0.25">
      <c r="A4478" t="str">
        <f>"20190312172755705"</f>
        <v>20190312172755705</v>
      </c>
      <c r="B4478" t="str">
        <f>"1552382875694028"</f>
        <v>1552382875694028</v>
      </c>
      <c r="C4478" t="s">
        <v>40</v>
      </c>
      <c r="D4478">
        <v>3.2498100000000001</v>
      </c>
      <c r="E4478">
        <v>0.45675539999999998</v>
      </c>
      <c r="F4478" t="s">
        <v>52</v>
      </c>
      <c r="G4478">
        <v>-402.31330000000003</v>
      </c>
      <c r="H4478" s="1">
        <v>-6.5426879999999997E-6</v>
      </c>
      <c r="I4478">
        <v>16.125989999999899</v>
      </c>
      <c r="J4478">
        <v>-417.32369999999997</v>
      </c>
      <c r="K4478">
        <v>1.117405</v>
      </c>
      <c r="L4478">
        <v>33.01135</v>
      </c>
      <c r="M4478">
        <v>0.43316100000000002</v>
      </c>
      <c r="N4478">
        <v>0</v>
      </c>
      <c r="O4478">
        <v>-0.90119119999999997</v>
      </c>
      <c r="P4478">
        <v>0.56806290000000004</v>
      </c>
      <c r="Q4478">
        <v>0.2129173</v>
      </c>
      <c r="R4478">
        <v>-0.79496619999999996</v>
      </c>
      <c r="S4478">
        <v>2.0660099999999999</v>
      </c>
      <c r="T4478">
        <v>-0.1522956</v>
      </c>
      <c r="U4478">
        <v>-2.3416139999999999</v>
      </c>
      <c r="V4478">
        <v>-0.17157249999999999</v>
      </c>
      <c r="W4478">
        <v>0.2243986</v>
      </c>
      <c r="X4478">
        <v>0.95927479999999998</v>
      </c>
      <c r="Y4478">
        <v>-0.27065539999999999</v>
      </c>
      <c r="Z4478">
        <v>4.6820819999999999E-2</v>
      </c>
      <c r="AA4478">
        <v>0.96153699999999998</v>
      </c>
      <c r="AB4478">
        <v>33</v>
      </c>
      <c r="AC4478">
        <v>15.010399999999899</v>
      </c>
      <c r="AD4478">
        <v>-1.117411542688</v>
      </c>
      <c r="AE4478">
        <v>-16.885359999999999</v>
      </c>
      <c r="AF4478">
        <v>-6.19869980624894</v>
      </c>
      <c r="AG4478">
        <v>-1.117411542688</v>
      </c>
      <c r="AH4478">
        <v>21.668306979085301</v>
      </c>
      <c r="AI4478">
        <v>92.838404926306097</v>
      </c>
      <c r="AJ4478">
        <v>105.964352310278</v>
      </c>
      <c r="AK4478">
        <v>22.565194773890202</v>
      </c>
      <c r="AL4478">
        <v>77.032483765925704</v>
      </c>
      <c r="AM4478">
        <v>100.140497598441</v>
      </c>
      <c r="AN4478">
        <v>0.99999999817662499</v>
      </c>
    </row>
    <row r="4479" spans="1:40" x14ac:dyDescent="0.25">
      <c r="A4479" t="str">
        <f>"20190312172755726"</f>
        <v>20190312172755726</v>
      </c>
      <c r="B4479" t="str">
        <f>"1552382875713548"</f>
        <v>1552382875713548</v>
      </c>
      <c r="C4479" t="s">
        <v>40</v>
      </c>
      <c r="D4479">
        <v>3.2843689999999999</v>
      </c>
      <c r="E4479">
        <v>0.45431359999999898</v>
      </c>
      <c r="F4479" t="s">
        <v>52</v>
      </c>
      <c r="G4479">
        <v>-402.96370000000002</v>
      </c>
      <c r="H4479" s="1">
        <v>-6.4527050000000004E-6</v>
      </c>
      <c r="I4479">
        <v>17.261479999999999</v>
      </c>
      <c r="J4479">
        <v>-417.1825</v>
      </c>
      <c r="K4479">
        <v>1.11747</v>
      </c>
      <c r="L4479">
        <v>32.735050000000001</v>
      </c>
      <c r="M4479">
        <v>0.4402412</v>
      </c>
      <c r="N4479">
        <v>0</v>
      </c>
      <c r="O4479">
        <v>-0.89775339999999904</v>
      </c>
      <c r="P4479">
        <v>0.57474069999999899</v>
      </c>
      <c r="Q4479">
        <v>0.2127493</v>
      </c>
      <c r="R4479">
        <v>-0.79019709999999999</v>
      </c>
      <c r="S4479">
        <v>2.1076350000000001</v>
      </c>
      <c r="T4479">
        <v>-0.16400300000000001</v>
      </c>
      <c r="U4479">
        <v>-2.3116150000000002</v>
      </c>
      <c r="V4479">
        <v>-0.1721181</v>
      </c>
      <c r="W4479">
        <v>0.2241997</v>
      </c>
      <c r="X4479">
        <v>0.95922359999999895</v>
      </c>
      <c r="Y4479">
        <v>-0.278638</v>
      </c>
      <c r="Z4479">
        <v>5.0292969999999999E-2</v>
      </c>
      <c r="AA4479">
        <v>0.9590784</v>
      </c>
      <c r="AB4479">
        <v>33</v>
      </c>
      <c r="AC4479">
        <v>14.2187999999999</v>
      </c>
      <c r="AD4479">
        <v>-1.1174764527050001</v>
      </c>
      <c r="AE4479">
        <v>-15.47357</v>
      </c>
      <c r="AF4479">
        <v>-5.9367596356672596</v>
      </c>
      <c r="AG4479">
        <v>-1.1174764527050001</v>
      </c>
      <c r="AH4479">
        <v>20.096606019049801</v>
      </c>
      <c r="AI4479">
        <v>93.052522549285399</v>
      </c>
      <c r="AJ4479">
        <v>106.457723151498</v>
      </c>
      <c r="AK4479">
        <v>20.984933692507798</v>
      </c>
      <c r="AL4479">
        <v>77.044178281605497</v>
      </c>
      <c r="AM4479">
        <v>100.17260365833801</v>
      </c>
      <c r="AN4479">
        <v>1.00000003031232</v>
      </c>
    </row>
    <row r="4480" spans="1:40" x14ac:dyDescent="0.25">
      <c r="A4480" t="str">
        <f>"20190312172755749"</f>
        <v>20190312172755749</v>
      </c>
      <c r="B4480" t="str">
        <f>"1552382875743730"</f>
        <v>1552382875743730</v>
      </c>
      <c r="C4480" t="s">
        <v>40</v>
      </c>
      <c r="D4480">
        <v>3.355718</v>
      </c>
      <c r="E4480">
        <v>0.45262180000000002</v>
      </c>
      <c r="F4480" t="s">
        <v>52</v>
      </c>
      <c r="G4480">
        <v>-403.24810000000002</v>
      </c>
      <c r="H4480" s="1">
        <v>-6.4285560000000002E-6</v>
      </c>
      <c r="I4480">
        <v>17.893409999999999</v>
      </c>
      <c r="J4480">
        <v>-417.0292</v>
      </c>
      <c r="K4480">
        <v>1.1175440000000001</v>
      </c>
      <c r="L4480">
        <v>32.441220000000001</v>
      </c>
      <c r="M4480">
        <v>0.44786870000000001</v>
      </c>
      <c r="N4480">
        <v>0</v>
      </c>
      <c r="O4480">
        <v>-0.89397260000000001</v>
      </c>
      <c r="P4480">
        <v>0.58130969999999904</v>
      </c>
      <c r="Q4480">
        <v>0.21312719999999999</v>
      </c>
      <c r="R4480">
        <v>-0.78527460000000004</v>
      </c>
      <c r="S4480">
        <v>2.1438899999999999</v>
      </c>
      <c r="T4480">
        <v>-0.17193079999999999</v>
      </c>
      <c r="U4480">
        <v>-2.2834780000000001</v>
      </c>
      <c r="V4480">
        <v>-0.17204229999999901</v>
      </c>
      <c r="W4480">
        <v>0.22455510000000001</v>
      </c>
      <c r="X4480">
        <v>0.95915399999999995</v>
      </c>
      <c r="Y4480">
        <v>-0.28437509999999999</v>
      </c>
      <c r="Z4480">
        <v>5.257875E-2</v>
      </c>
      <c r="AA4480">
        <v>0.95727019999999996</v>
      </c>
      <c r="AB4480">
        <v>33</v>
      </c>
      <c r="AC4480">
        <v>13.781099999999901</v>
      </c>
      <c r="AD4480">
        <v>-1.1175504285560001</v>
      </c>
      <c r="AE4480">
        <v>-14.54781</v>
      </c>
      <c r="AF4480">
        <v>-5.7870759604670701</v>
      </c>
      <c r="AG4480">
        <v>-1.1175504285560001</v>
      </c>
      <c r="AH4480">
        <v>19.1201729043173</v>
      </c>
      <c r="AI4480">
        <v>93.201931953296395</v>
      </c>
      <c r="AJ4480">
        <v>106.83941577613599</v>
      </c>
      <c r="AK4480">
        <v>20.008002874439299</v>
      </c>
      <c r="AL4480">
        <v>77.023281784549496</v>
      </c>
      <c r="AM4480">
        <v>100.168939634989</v>
      </c>
      <c r="AN4480">
        <v>0.99999997082064895</v>
      </c>
    </row>
    <row r="4481" spans="1:40" x14ac:dyDescent="0.25">
      <c r="A4481" t="str">
        <f>"20190312172755772"</f>
        <v>20190312172755772</v>
      </c>
      <c r="B4481" t="str">
        <f>"1552382875764226"</f>
        <v>1552382875764226</v>
      </c>
      <c r="C4481" t="s">
        <v>40</v>
      </c>
      <c r="D4481">
        <v>3.2082090000000001</v>
      </c>
      <c r="E4481">
        <v>0.45153949999999998</v>
      </c>
      <c r="F4481" t="s">
        <v>52</v>
      </c>
      <c r="G4481">
        <v>-403.14929999999998</v>
      </c>
      <c r="H4481" s="1">
        <v>-6.4774019999999997E-6</v>
      </c>
      <c r="I4481">
        <v>18.033539999999999</v>
      </c>
      <c r="J4481">
        <v>-416.87509999999997</v>
      </c>
      <c r="K4481">
        <v>1.1176090000000001</v>
      </c>
      <c r="L4481">
        <v>32.152369999999998</v>
      </c>
      <c r="M4481">
        <v>0.45547599999999999</v>
      </c>
      <c r="N4481">
        <v>0</v>
      </c>
      <c r="O4481">
        <v>-0.89012060000000004</v>
      </c>
      <c r="P4481">
        <v>0.58765999999999996</v>
      </c>
      <c r="Q4481">
        <v>0.21269589999999999</v>
      </c>
      <c r="R4481">
        <v>-0.78065119999999999</v>
      </c>
      <c r="S4481">
        <v>2.175049</v>
      </c>
      <c r="T4481">
        <v>-0.17512539999999999</v>
      </c>
      <c r="U4481">
        <v>-2.2577509999999998</v>
      </c>
      <c r="V4481">
        <v>-0.17162259999999999</v>
      </c>
      <c r="W4481">
        <v>0.22411049999999999</v>
      </c>
      <c r="X4481">
        <v>0.9593332</v>
      </c>
      <c r="Y4481">
        <v>-0.28847519999999999</v>
      </c>
      <c r="Z4481">
        <v>5.3407509999999998E-2</v>
      </c>
      <c r="AA4481">
        <v>0.95599670000000003</v>
      </c>
      <c r="AB4481">
        <v>33</v>
      </c>
      <c r="AC4481">
        <v>13.7257999999999</v>
      </c>
      <c r="AD4481">
        <v>-1.117615477402</v>
      </c>
      <c r="AE4481">
        <v>-14.118830000000001</v>
      </c>
      <c r="AF4481">
        <v>-5.7689018633696101</v>
      </c>
      <c r="AG4481">
        <v>-1.117615477402</v>
      </c>
      <c r="AH4481">
        <v>18.760933035880001</v>
      </c>
      <c r="AI4481">
        <v>93.2589178993708</v>
      </c>
      <c r="AJ4481">
        <v>107.092425659802</v>
      </c>
      <c r="AK4481">
        <v>19.659651610374301</v>
      </c>
      <c r="AL4481">
        <v>77.0494222557125</v>
      </c>
      <c r="AM4481">
        <v>100.142792532874</v>
      </c>
      <c r="AN4481">
        <v>1.00000001083162</v>
      </c>
    </row>
    <row r="4482" spans="1:40" x14ac:dyDescent="0.25">
      <c r="A4482" t="str">
        <f>"20190312172755793"</f>
        <v>20190312172755793</v>
      </c>
      <c r="B4482" t="str">
        <f>"1552382875783746"</f>
        <v>1552382875783746</v>
      </c>
      <c r="C4482" t="s">
        <v>40</v>
      </c>
      <c r="D4482">
        <v>3.2099350000000002</v>
      </c>
      <c r="E4482">
        <v>0.4507256</v>
      </c>
      <c r="F4482" t="s">
        <v>52</v>
      </c>
      <c r="G4482">
        <v>-402.65199999999999</v>
      </c>
      <c r="H4482" s="1">
        <v>-6.6074030000000003E-6</v>
      </c>
      <c r="I4482">
        <v>17.709299999999999</v>
      </c>
      <c r="J4482">
        <v>-416.72300000000001</v>
      </c>
      <c r="K4482">
        <v>1.1176779999999999</v>
      </c>
      <c r="L4482">
        <v>31.873259999999998</v>
      </c>
      <c r="M4482">
        <v>0.46291179999999899</v>
      </c>
      <c r="N4482">
        <v>0</v>
      </c>
      <c r="O4482">
        <v>-0.88627610000000001</v>
      </c>
      <c r="P4482">
        <v>0.59374709999999997</v>
      </c>
      <c r="Q4482">
        <v>0.21313789999999999</v>
      </c>
      <c r="R4482">
        <v>-0.77591030000000005</v>
      </c>
      <c r="S4482">
        <v>2.1999209999999998</v>
      </c>
      <c r="T4482">
        <v>-0.17286460000000001</v>
      </c>
      <c r="U4482">
        <v>-2.2339479999999998</v>
      </c>
      <c r="V4482">
        <v>-0.1711945</v>
      </c>
      <c r="W4482">
        <v>0.22453890000000001</v>
      </c>
      <c r="X4482">
        <v>0.95930950000000004</v>
      </c>
      <c r="Y4482">
        <v>-0.29098790000000002</v>
      </c>
      <c r="Z4482">
        <v>5.2597970000000001E-2</v>
      </c>
      <c r="AA4482">
        <v>0.95527980000000001</v>
      </c>
      <c r="AB4482">
        <v>33</v>
      </c>
      <c r="AC4482">
        <v>14.071</v>
      </c>
      <c r="AD4482">
        <v>-1.117684607403</v>
      </c>
      <c r="AE4482">
        <v>-14.163959999999999</v>
      </c>
      <c r="AF4482">
        <v>-5.8963204943249696</v>
      </c>
      <c r="AG4482">
        <v>-1.117684607403</v>
      </c>
      <c r="AH4482">
        <v>19.0094046924061</v>
      </c>
      <c r="AI4482">
        <v>93.214181387897099</v>
      </c>
      <c r="AJ4482">
        <v>107.232798955864</v>
      </c>
      <c r="AK4482">
        <v>19.934223862821799</v>
      </c>
      <c r="AL4482">
        <v>77.024234627720503</v>
      </c>
      <c r="AM4482">
        <v>100.118260240845</v>
      </c>
      <c r="AN4482">
        <v>0.99999999561685404</v>
      </c>
    </row>
    <row r="4483" spans="1:40" x14ac:dyDescent="0.25">
      <c r="A4483" t="str">
        <f>"20190312172755815"</f>
        <v>20190312172755815</v>
      </c>
      <c r="B4483" t="str">
        <f>"1552382875804242"</f>
        <v>1552382875804242</v>
      </c>
      <c r="C4483" t="s">
        <v>40</v>
      </c>
      <c r="D4483">
        <v>3.1932040000000002</v>
      </c>
      <c r="E4483">
        <v>0.4501947</v>
      </c>
      <c r="F4483" t="s">
        <v>52</v>
      </c>
      <c r="G4483">
        <v>-402.17090000000002</v>
      </c>
      <c r="H4483" s="1">
        <v>-6.7326020000000002E-6</v>
      </c>
      <c r="I4483">
        <v>17.39067</v>
      </c>
      <c r="J4483">
        <v>-416.56319999999999</v>
      </c>
      <c r="K4483">
        <v>1.117753</v>
      </c>
      <c r="L4483">
        <v>31.585909999999998</v>
      </c>
      <c r="M4483">
        <v>0.4706651</v>
      </c>
      <c r="N4483">
        <v>0</v>
      </c>
      <c r="O4483">
        <v>-0.88218319999999995</v>
      </c>
      <c r="P4483">
        <v>0.60005129999999995</v>
      </c>
      <c r="Q4483">
        <v>0.21395510000000001</v>
      </c>
      <c r="R4483">
        <v>-0.77081889999999997</v>
      </c>
      <c r="S4483">
        <v>2.2229000000000001</v>
      </c>
      <c r="T4483">
        <v>-0.170731299999999</v>
      </c>
      <c r="U4483">
        <v>-2.2122799999999998</v>
      </c>
      <c r="V4483">
        <v>-0.17076040000000001</v>
      </c>
      <c r="W4483">
        <v>0.22534179999999901</v>
      </c>
      <c r="X4483">
        <v>0.95919860000000001</v>
      </c>
      <c r="Y4483">
        <v>-0.29224889999999998</v>
      </c>
      <c r="Z4483">
        <v>5.179429E-2</v>
      </c>
      <c r="AA4483">
        <v>0.95493870000000003</v>
      </c>
      <c r="AB4483">
        <v>33</v>
      </c>
      <c r="AC4483">
        <v>14.392299999999899</v>
      </c>
      <c r="AD4483">
        <v>-1.1177597326019999</v>
      </c>
      <c r="AE4483">
        <v>-14.195239999999901</v>
      </c>
      <c r="AF4483">
        <v>-5.9977869286717196</v>
      </c>
      <c r="AG4483">
        <v>-1.1177597326019999</v>
      </c>
      <c r="AH4483">
        <v>19.2401229041308</v>
      </c>
      <c r="AI4483">
        <v>93.174534507760299</v>
      </c>
      <c r="AJ4483">
        <v>107.31399526817199</v>
      </c>
      <c r="AK4483">
        <v>20.184280126564602</v>
      </c>
      <c r="AL4483">
        <v>76.9770219289979</v>
      </c>
      <c r="AM4483">
        <v>100.094274340827</v>
      </c>
      <c r="AN4483">
        <v>0.99999999763867997</v>
      </c>
    </row>
    <row r="4484" spans="1:40" x14ac:dyDescent="0.25">
      <c r="A4484" t="str">
        <f>"20190312172755838"</f>
        <v>20190312172755838</v>
      </c>
      <c r="B4484" t="str">
        <f>"1552382875833522"</f>
        <v>1552382875833522</v>
      </c>
      <c r="C4484" t="s">
        <v>40</v>
      </c>
      <c r="D4484">
        <v>3.282848</v>
      </c>
      <c r="E4484">
        <v>0.45005129999999999</v>
      </c>
      <c r="F4484" t="s">
        <v>52</v>
      </c>
      <c r="G4484">
        <v>-401.59820000000002</v>
      </c>
      <c r="H4484" s="1">
        <v>-6.8775639999999999E-6</v>
      </c>
      <c r="I4484">
        <v>16.975159999999999</v>
      </c>
      <c r="J4484">
        <v>-416.40640000000002</v>
      </c>
      <c r="K4484">
        <v>1.117826</v>
      </c>
      <c r="L4484">
        <v>31.309660000000001</v>
      </c>
      <c r="M4484">
        <v>0.47821920000000001</v>
      </c>
      <c r="N4484">
        <v>0</v>
      </c>
      <c r="O4484">
        <v>-0.87811099999999997</v>
      </c>
      <c r="P4484">
        <v>0.60634290000000002</v>
      </c>
      <c r="Q4484">
        <v>0.21438650000000001</v>
      </c>
      <c r="R4484">
        <v>-0.76575919999999997</v>
      </c>
      <c r="S4484">
        <v>2.2444459999999999</v>
      </c>
      <c r="T4484">
        <v>-0.16764129999999899</v>
      </c>
      <c r="U4484">
        <v>-2.1913149999999999</v>
      </c>
      <c r="V4484">
        <v>-0.17048559999999999</v>
      </c>
      <c r="W4484">
        <v>0.2257566</v>
      </c>
      <c r="X4484">
        <v>0.95914999999999995</v>
      </c>
      <c r="Y4484">
        <v>-0.29323480000000002</v>
      </c>
      <c r="Z4484">
        <v>5.0705670000000001E-2</v>
      </c>
      <c r="AA4484">
        <v>0.95469490000000001</v>
      </c>
      <c r="AB4484">
        <v>33</v>
      </c>
      <c r="AC4484">
        <v>14.808199999999999</v>
      </c>
      <c r="AD4484">
        <v>-1.1178328775640001</v>
      </c>
      <c r="AE4484">
        <v>-14.334499999999901</v>
      </c>
      <c r="AF4484">
        <v>-6.1308739173578299</v>
      </c>
      <c r="AG4484">
        <v>-1.1178328775640001</v>
      </c>
      <c r="AH4484">
        <v>19.6133869182982</v>
      </c>
      <c r="AI4484">
        <v>93.113689151048902</v>
      </c>
      <c r="AJ4484">
        <v>107.358523569867</v>
      </c>
      <c r="AK4484">
        <v>20.579652857606</v>
      </c>
      <c r="AL4484">
        <v>76.952627752906906</v>
      </c>
      <c r="AM4484">
        <v>100.07886337530999</v>
      </c>
      <c r="AN4484">
        <v>1.00000005237545</v>
      </c>
    </row>
    <row r="4485" spans="1:40" x14ac:dyDescent="0.25">
      <c r="A4485" t="str">
        <f>"20190312172755860"</f>
        <v>20190312172755860</v>
      </c>
      <c r="B4485" t="str">
        <f>"1552382875854018"</f>
        <v>1552382875854018</v>
      </c>
      <c r="C4485" t="s">
        <v>40</v>
      </c>
      <c r="D4485">
        <v>3.1852260000000001</v>
      </c>
      <c r="E4485">
        <v>0.44999270000000002</v>
      </c>
      <c r="F4485" t="s">
        <v>52</v>
      </c>
      <c r="G4485">
        <v>-401.27319999999997</v>
      </c>
      <c r="H4485" s="1">
        <v>-6.9653E-6</v>
      </c>
      <c r="I4485">
        <v>16.787949999999999</v>
      </c>
      <c r="J4485">
        <v>-416.24329999999998</v>
      </c>
      <c r="K4485">
        <v>1.117907</v>
      </c>
      <c r="L4485">
        <v>31.02826</v>
      </c>
      <c r="M4485">
        <v>0.48602600000000001</v>
      </c>
      <c r="N4485">
        <v>0</v>
      </c>
      <c r="O4485">
        <v>-0.87381399999999998</v>
      </c>
      <c r="P4485">
        <v>0.61293850000000005</v>
      </c>
      <c r="Q4485">
        <v>0.21453330000000001</v>
      </c>
      <c r="R4485">
        <v>-0.76044869999999898</v>
      </c>
      <c r="S4485">
        <v>2.2635800000000001</v>
      </c>
      <c r="T4485">
        <v>-0.16720260000000001</v>
      </c>
      <c r="U4485">
        <v>-2.1721189999999999</v>
      </c>
      <c r="V4485">
        <v>-0.17029339999999901</v>
      </c>
      <c r="W4485">
        <v>0.22588340000000001</v>
      </c>
      <c r="X4485">
        <v>0.95915419999999996</v>
      </c>
      <c r="Y4485">
        <v>-0.29297269999999997</v>
      </c>
      <c r="Z4485">
        <v>5.0397119999999997E-2</v>
      </c>
      <c r="AA4485">
        <v>0.95479170000000002</v>
      </c>
      <c r="AB4485">
        <v>33</v>
      </c>
      <c r="AC4485">
        <v>14.9701</v>
      </c>
      <c r="AD4485">
        <v>-1.1179139653000001</v>
      </c>
      <c r="AE4485">
        <v>-14.2403099999999</v>
      </c>
      <c r="AF4485">
        <v>-6.1426411233652702</v>
      </c>
      <c r="AG4485">
        <v>-1.1179139653000001</v>
      </c>
      <c r="AH4485">
        <v>19.663920078133899</v>
      </c>
      <c r="AI4485">
        <v>93.1061088032762</v>
      </c>
      <c r="AJ4485">
        <v>107.347829037407</v>
      </c>
      <c r="AK4485">
        <v>20.631323865508701</v>
      </c>
      <c r="AL4485">
        <v>76.945168859282404</v>
      </c>
      <c r="AM4485">
        <v>100.067690177326</v>
      </c>
      <c r="AN4485">
        <v>0.99999996592837903</v>
      </c>
    </row>
    <row r="4486" spans="1:40" x14ac:dyDescent="0.25">
      <c r="A4486" t="str">
        <f>"20190312172755883"</f>
        <v>20190312172755883</v>
      </c>
      <c r="B4486" t="str">
        <f>"1552382875873538"</f>
        <v>1552382875873538</v>
      </c>
      <c r="C4486" t="s">
        <v>40</v>
      </c>
      <c r="D4486">
        <v>3.166525</v>
      </c>
      <c r="E4486">
        <v>0.45012099999999999</v>
      </c>
      <c r="F4486" t="s">
        <v>52</v>
      </c>
      <c r="G4486">
        <v>-400.9896</v>
      </c>
      <c r="H4486" s="1">
        <v>-7.0438199999999898E-6</v>
      </c>
      <c r="I4486">
        <v>16.642029999999998</v>
      </c>
      <c r="J4486">
        <v>-416.07389999999998</v>
      </c>
      <c r="K4486">
        <v>1.117993</v>
      </c>
      <c r="L4486">
        <v>30.74213</v>
      </c>
      <c r="M4486">
        <v>0.49408809999999898</v>
      </c>
      <c r="N4486">
        <v>0</v>
      </c>
      <c r="O4486">
        <v>-0.86928050000000001</v>
      </c>
      <c r="P4486">
        <v>0.61984619999999901</v>
      </c>
      <c r="Q4486">
        <v>0.2148668</v>
      </c>
      <c r="R4486">
        <v>-0.75473400000000002</v>
      </c>
      <c r="S4486">
        <v>2.2823790000000002</v>
      </c>
      <c r="T4486">
        <v>-0.16727159999999999</v>
      </c>
      <c r="U4486">
        <v>-2.1525880000000002</v>
      </c>
      <c r="V4486">
        <v>-0.170269</v>
      </c>
      <c r="W4486">
        <v>0.22619040000000001</v>
      </c>
      <c r="X4486">
        <v>0.9590862</v>
      </c>
      <c r="Y4486">
        <v>-0.29238309999999901</v>
      </c>
      <c r="Z4486">
        <v>5.0230249999999997E-2</v>
      </c>
      <c r="AA4486">
        <v>0.95498110000000003</v>
      </c>
      <c r="AB4486">
        <v>33</v>
      </c>
      <c r="AC4486">
        <v>15.084299999999899</v>
      </c>
      <c r="AD4486">
        <v>-1.11800004382</v>
      </c>
      <c r="AE4486">
        <v>-14.100099999999999</v>
      </c>
      <c r="AF4486">
        <v>-6.1285311091523704</v>
      </c>
      <c r="AG4486">
        <v>-1.11800004382</v>
      </c>
      <c r="AH4486">
        <v>19.654544897153301</v>
      </c>
      <c r="AI4486">
        <v>93.108328194870694</v>
      </c>
      <c r="AJ4486">
        <v>107.318126849905</v>
      </c>
      <c r="AK4486">
        <v>20.6181947019627</v>
      </c>
      <c r="AL4486">
        <v>76.927111955934393</v>
      </c>
      <c r="AM4486">
        <v>100.066976270282</v>
      </c>
      <c r="AN4486">
        <v>0.99999998422179903</v>
      </c>
    </row>
    <row r="4487" spans="1:40" x14ac:dyDescent="0.25">
      <c r="A4487" t="str">
        <f>"20190312172755905"</f>
        <v>20190312172755905</v>
      </c>
      <c r="B4487" t="str">
        <f>"1552382875894034"</f>
        <v>1552382875894034</v>
      </c>
      <c r="C4487" t="s">
        <v>40</v>
      </c>
      <c r="D4487">
        <v>3.2359490000000002</v>
      </c>
      <c r="E4487">
        <v>0.45052569999999997</v>
      </c>
      <c r="F4487" t="s">
        <v>52</v>
      </c>
      <c r="G4487">
        <v>-400.60649999999998</v>
      </c>
      <c r="H4487" s="1">
        <v>-7.1465220000000003E-6</v>
      </c>
      <c r="I4487">
        <v>16.414839999999899</v>
      </c>
      <c r="J4487">
        <v>-415.90809999999999</v>
      </c>
      <c r="K4487">
        <v>1.118088</v>
      </c>
      <c r="L4487">
        <v>30.46808</v>
      </c>
      <c r="M4487">
        <v>0.50194039999999995</v>
      </c>
      <c r="N4487">
        <v>0</v>
      </c>
      <c r="O4487">
        <v>-0.86477019999999905</v>
      </c>
      <c r="P4487">
        <v>0.62635419999999997</v>
      </c>
      <c r="Q4487">
        <v>0.21487110000000001</v>
      </c>
      <c r="R4487">
        <v>-0.74934049999999996</v>
      </c>
      <c r="S4487">
        <v>2.3016049999999999</v>
      </c>
      <c r="T4487">
        <v>-0.16636289999999901</v>
      </c>
      <c r="U4487">
        <v>-2.131958</v>
      </c>
      <c r="V4487">
        <v>-0.1699368</v>
      </c>
      <c r="W4487">
        <v>0.2261746</v>
      </c>
      <c r="X4487">
        <v>0.95914889999999997</v>
      </c>
      <c r="Y4487">
        <v>-0.29232279999999999</v>
      </c>
      <c r="Z4487">
        <v>4.9781359999999997E-2</v>
      </c>
      <c r="AA4487">
        <v>0.95502310000000001</v>
      </c>
      <c r="AB4487">
        <v>33</v>
      </c>
      <c r="AC4487">
        <v>15.301600000000001</v>
      </c>
      <c r="AD4487">
        <v>-1.1180951465219999</v>
      </c>
      <c r="AE4487">
        <v>-14.053240000000001</v>
      </c>
      <c r="AF4487">
        <v>-6.1613392113492598</v>
      </c>
      <c r="AG4487">
        <v>-1.1180951465219999</v>
      </c>
      <c r="AH4487">
        <v>19.7782952546434</v>
      </c>
      <c r="AI4487">
        <v>93.0894357145052</v>
      </c>
      <c r="AJ4487">
        <v>107.30286839057599</v>
      </c>
      <c r="AK4487">
        <v>20.7459201004399</v>
      </c>
      <c r="AL4487">
        <v>76.928042042706295</v>
      </c>
      <c r="AM4487">
        <v>100.047092442327</v>
      </c>
      <c r="AN4487">
        <v>1.0000000390253001</v>
      </c>
    </row>
    <row r="4488" spans="1:40" x14ac:dyDescent="0.25">
      <c r="A4488" t="str">
        <f>"20190312172755928"</f>
        <v>20190312172755928</v>
      </c>
      <c r="B4488" t="str">
        <f>"1552382875924291"</f>
        <v>1552382875924291</v>
      </c>
      <c r="C4488" t="s">
        <v>40</v>
      </c>
      <c r="D4488">
        <v>3.259709</v>
      </c>
      <c r="E4488">
        <v>0.45103870000000001</v>
      </c>
      <c r="F4488" t="s">
        <v>52</v>
      </c>
      <c r="G4488">
        <v>-400.42239999999998</v>
      </c>
      <c r="H4488" s="1">
        <v>-7.2008959999999998E-6</v>
      </c>
      <c r="I4488">
        <v>16.3504</v>
      </c>
      <c r="J4488">
        <v>-415.74079999999998</v>
      </c>
      <c r="K4488">
        <v>1.11819</v>
      </c>
      <c r="L4488">
        <v>30.197479999999999</v>
      </c>
      <c r="M4488">
        <v>0.50982590000000005</v>
      </c>
      <c r="N4488">
        <v>0</v>
      </c>
      <c r="O4488">
        <v>-0.86014439999999903</v>
      </c>
      <c r="P4488">
        <v>0.6328589</v>
      </c>
      <c r="Q4488">
        <v>0.21476719999999999</v>
      </c>
      <c r="R4488">
        <v>-0.74388509999999997</v>
      </c>
      <c r="S4488">
        <v>2.3184200000000001</v>
      </c>
      <c r="T4488">
        <v>-0.1673946</v>
      </c>
      <c r="U4488">
        <v>-2.1136170000000001</v>
      </c>
      <c r="V4488">
        <v>-0.16956260000000001</v>
      </c>
      <c r="W4488">
        <v>0.22605020000000001</v>
      </c>
      <c r="X4488">
        <v>0.9592444</v>
      </c>
      <c r="Y4488">
        <v>-0.29114640000000003</v>
      </c>
      <c r="Z4488">
        <v>4.9889330000000003E-2</v>
      </c>
      <c r="AA4488">
        <v>0.95537680000000003</v>
      </c>
      <c r="AB4488">
        <v>33</v>
      </c>
      <c r="AC4488">
        <v>15.318399999999899</v>
      </c>
      <c r="AD4488">
        <v>-1.1181972008959999</v>
      </c>
      <c r="AE4488">
        <v>-13.847079999999901</v>
      </c>
      <c r="AF4488">
        <v>-6.0992513980521901</v>
      </c>
      <c r="AG4488">
        <v>-1.1181972008959999</v>
      </c>
      <c r="AH4488">
        <v>19.664800085619</v>
      </c>
      <c r="AI4488">
        <v>93.108709836956805</v>
      </c>
      <c r="AJ4488">
        <v>107.23184459099799</v>
      </c>
      <c r="AK4488">
        <v>20.619301515912099</v>
      </c>
      <c r="AL4488">
        <v>76.935358537166096</v>
      </c>
      <c r="AM4488">
        <v>100.024440225685</v>
      </c>
      <c r="AN4488">
        <v>0.99999999358507996</v>
      </c>
    </row>
    <row r="4489" spans="1:40" x14ac:dyDescent="0.25">
      <c r="A4489" t="str">
        <f>"20190312172755950"</f>
        <v>20190312172755950</v>
      </c>
      <c r="B4489" t="str">
        <f>"1552382875943813"</f>
        <v>1552382875943813</v>
      </c>
      <c r="C4489" t="s">
        <v>40</v>
      </c>
      <c r="D4489">
        <v>3.285533</v>
      </c>
      <c r="E4489">
        <v>0.45139249999999997</v>
      </c>
      <c r="F4489" t="s">
        <v>52</v>
      </c>
      <c r="G4489">
        <v>-400.29660000000001</v>
      </c>
      <c r="H4489" s="1">
        <v>-7.2402749999999999E-6</v>
      </c>
      <c r="I4489">
        <v>16.326000000000001</v>
      </c>
      <c r="J4489">
        <v>-415.5686</v>
      </c>
      <c r="K4489">
        <v>1.118293</v>
      </c>
      <c r="L4489">
        <v>29.925139999999999</v>
      </c>
      <c r="M4489">
        <v>0.51792059999999995</v>
      </c>
      <c r="N4489">
        <v>0</v>
      </c>
      <c r="O4489">
        <v>-0.85529449999999996</v>
      </c>
      <c r="P4489">
        <v>0.63959679999999997</v>
      </c>
      <c r="Q4489">
        <v>0.21460960000000001</v>
      </c>
      <c r="R4489">
        <v>-0.73814550000000001</v>
      </c>
      <c r="S4489">
        <v>2.3338320000000001</v>
      </c>
      <c r="T4489">
        <v>-0.16897419999999999</v>
      </c>
      <c r="U4489">
        <v>-2.0961609999999999</v>
      </c>
      <c r="V4489">
        <v>-0.16926659999999999</v>
      </c>
      <c r="W4489">
        <v>0.2258695</v>
      </c>
      <c r="X4489">
        <v>0.95933930000000001</v>
      </c>
      <c r="Y4489">
        <v>-0.28919470000000003</v>
      </c>
      <c r="Z4489">
        <v>5.0138670000000003E-2</v>
      </c>
      <c r="AA4489">
        <v>0.95595629999999998</v>
      </c>
      <c r="AB4489">
        <v>33</v>
      </c>
      <c r="AC4489">
        <v>15.271999999999901</v>
      </c>
      <c r="AD4489">
        <v>-1.118300240275</v>
      </c>
      <c r="AE4489">
        <v>-13.59914</v>
      </c>
      <c r="AF4489">
        <v>-6.0015254722791402</v>
      </c>
      <c r="AG4489">
        <v>-1.118300240275</v>
      </c>
      <c r="AH4489">
        <v>19.4849241604371</v>
      </c>
      <c r="AI4489">
        <v>93.139541433094806</v>
      </c>
      <c r="AJ4489">
        <v>107.119285770011</v>
      </c>
      <c r="AK4489">
        <v>20.4188925497883</v>
      </c>
      <c r="AL4489">
        <v>76.945987552116506</v>
      </c>
      <c r="AM4489">
        <v>100.006324971498</v>
      </c>
      <c r="AN4489">
        <v>1.00000005271514</v>
      </c>
    </row>
    <row r="4490" spans="1:40" x14ac:dyDescent="0.25">
      <c r="A4490" t="str">
        <f>"20190312172755973"</f>
        <v>20190312172755973</v>
      </c>
      <c r="B4490" t="str">
        <f>"1552382875964306"</f>
        <v>1552382875964306</v>
      </c>
      <c r="C4490" t="s">
        <v>40</v>
      </c>
      <c r="D4490">
        <v>3.2569949999999999</v>
      </c>
      <c r="E4490">
        <v>0.45184190000000002</v>
      </c>
      <c r="F4490" t="s">
        <v>52</v>
      </c>
      <c r="G4490">
        <v>-400.06689999999998</v>
      </c>
      <c r="H4490" s="1">
        <v>-7.30633699999999E-6</v>
      </c>
      <c r="I4490">
        <v>16.229900000000001</v>
      </c>
      <c r="J4490">
        <v>-415.39060000000001</v>
      </c>
      <c r="K4490">
        <v>1.118403</v>
      </c>
      <c r="L4490">
        <v>29.649750000000001</v>
      </c>
      <c r="M4490">
        <v>0.52625290000000002</v>
      </c>
      <c r="N4490">
        <v>0</v>
      </c>
      <c r="O4490">
        <v>-0.85019290000000003</v>
      </c>
      <c r="P4490">
        <v>0.64655439999999997</v>
      </c>
      <c r="Q4490">
        <v>0.21442559999999999</v>
      </c>
      <c r="R4490">
        <v>-0.73211300000000001</v>
      </c>
      <c r="S4490">
        <v>2.3506469999999999</v>
      </c>
      <c r="T4490">
        <v>-0.16957710000000001</v>
      </c>
      <c r="U4490">
        <v>-2.076721</v>
      </c>
      <c r="V4490">
        <v>-0.16900229999999999</v>
      </c>
      <c r="W4490">
        <v>0.2256628</v>
      </c>
      <c r="X4490">
        <v>0.95943449999999997</v>
      </c>
      <c r="Y4490">
        <v>-0.28767209999999899</v>
      </c>
      <c r="Z4490">
        <v>5.0091379999999998E-2</v>
      </c>
      <c r="AA4490">
        <v>0.95641810000000005</v>
      </c>
      <c r="AB4490">
        <v>33</v>
      </c>
      <c r="AC4490">
        <v>15.323700000000001</v>
      </c>
      <c r="AD4490">
        <v>-1.1184103063369999</v>
      </c>
      <c r="AE4490">
        <v>-13.41985</v>
      </c>
      <c r="AF4490">
        <v>-5.9486183522663802</v>
      </c>
      <c r="AG4490">
        <v>-1.1184103063369999</v>
      </c>
      <c r="AH4490">
        <v>19.417303617678201</v>
      </c>
      <c r="AI4490">
        <v>93.152220837914697</v>
      </c>
      <c r="AJ4490">
        <v>107.03278911509</v>
      </c>
      <c r="AK4490">
        <v>20.338844158293199</v>
      </c>
      <c r="AL4490">
        <v>76.958144004550306</v>
      </c>
      <c r="AM4490">
        <v>99.990044329240405</v>
      </c>
      <c r="AN4490">
        <v>1.00000001824968</v>
      </c>
    </row>
    <row r="4491" spans="1:40" x14ac:dyDescent="0.25">
      <c r="A4491" t="str">
        <f>"20190312172755987"</f>
        <v>20190312172755987</v>
      </c>
      <c r="B4491" t="str">
        <f>"1552382875983828"</f>
        <v>1552382875983828</v>
      </c>
      <c r="C4491" t="s">
        <v>40</v>
      </c>
      <c r="D4491">
        <v>3.251093</v>
      </c>
      <c r="E4491">
        <v>0.45238869999999998</v>
      </c>
      <c r="F4491" t="s">
        <v>41</v>
      </c>
      <c r="G4491">
        <v>-399.88040000000001</v>
      </c>
      <c r="H4491" s="1">
        <v>-9.4712540000000003E-7</v>
      </c>
      <c r="I4491">
        <v>16.169969999999999</v>
      </c>
      <c r="J4491">
        <v>-415.2765</v>
      </c>
      <c r="K4491">
        <v>1.118468</v>
      </c>
      <c r="L4491">
        <v>29.475950000000001</v>
      </c>
      <c r="M4491">
        <v>0.53156510000000001</v>
      </c>
      <c r="N4491">
        <v>0</v>
      </c>
      <c r="O4491">
        <v>-0.8468812</v>
      </c>
      <c r="P4491">
        <v>0.65121629999999997</v>
      </c>
      <c r="Q4491">
        <v>0.21457699999999999</v>
      </c>
      <c r="R4491">
        <v>-0.72792449999999997</v>
      </c>
      <c r="S4491">
        <v>2.3671259999999998</v>
      </c>
      <c r="T4491">
        <v>-0.17068800000000001</v>
      </c>
      <c r="U4491">
        <v>-2.0572509999999999</v>
      </c>
      <c r="V4491">
        <v>-0.16918739999999999</v>
      </c>
      <c r="W4491">
        <v>0.2257924</v>
      </c>
      <c r="X4491">
        <v>0.95937139999999999</v>
      </c>
      <c r="Y4491">
        <v>-0.28944150000000002</v>
      </c>
      <c r="Z4491">
        <v>5.0315720000000001E-2</v>
      </c>
      <c r="AA4491">
        <v>0.95587239999999996</v>
      </c>
      <c r="AB4491">
        <v>33</v>
      </c>
      <c r="AC4491">
        <v>15.396099999999899</v>
      </c>
      <c r="AD4491">
        <v>-1.1184689471253999</v>
      </c>
      <c r="AE4491">
        <v>-13.3059799999999</v>
      </c>
      <c r="AF4491">
        <v>-5.9483913122396999</v>
      </c>
      <c r="AG4491">
        <v>-1.1184689471253999</v>
      </c>
      <c r="AH4491">
        <v>19.396262174840601</v>
      </c>
      <c r="AI4491">
        <v>93.155515713264506</v>
      </c>
      <c r="AJ4491">
        <v>107.04958244019799</v>
      </c>
      <c r="AK4491">
        <v>20.318693814917498</v>
      </c>
      <c r="AL4491">
        <v>76.950521949509096</v>
      </c>
      <c r="AM4491">
        <v>100.001409664352</v>
      </c>
      <c r="AN4491">
        <v>1.0000000336772299</v>
      </c>
    </row>
    <row r="4492" spans="1:40" x14ac:dyDescent="0.25">
      <c r="A4492" t="str">
        <f>"20190312172756006"</f>
        <v>20190312172756006</v>
      </c>
      <c r="B4492" t="str">
        <f>"1552382875993587"</f>
        <v>1552382875993587</v>
      </c>
      <c r="C4492" t="s">
        <v>40</v>
      </c>
      <c r="D4492">
        <v>3.2327729999999999</v>
      </c>
      <c r="E4492">
        <v>0.45266000000000001</v>
      </c>
      <c r="F4492" t="s">
        <v>41</v>
      </c>
      <c r="G4492">
        <v>-399.64949999999999</v>
      </c>
      <c r="H4492" s="1">
        <v>-1.072549E-6</v>
      </c>
      <c r="I4492">
        <v>16.031839999999999</v>
      </c>
      <c r="J4492">
        <v>-415.1302</v>
      </c>
      <c r="K4492">
        <v>1.118547</v>
      </c>
      <c r="L4492">
        <v>29.257449999999999</v>
      </c>
      <c r="M4492">
        <v>0.53833779999999998</v>
      </c>
      <c r="N4492">
        <v>0</v>
      </c>
      <c r="O4492">
        <v>-0.84259229999999996</v>
      </c>
      <c r="P4492">
        <v>0.65689129999999996</v>
      </c>
      <c r="Q4492">
        <v>0.21427889999999999</v>
      </c>
      <c r="R4492">
        <v>-0.72289609999999904</v>
      </c>
      <c r="S4492">
        <v>2.3769840000000002</v>
      </c>
      <c r="T4492">
        <v>-0.17012759999999999</v>
      </c>
      <c r="U4492">
        <v>-2.0449519999999999</v>
      </c>
      <c r="V4492">
        <v>-0.16899129999999901</v>
      </c>
      <c r="W4492">
        <v>0.22548070000000001</v>
      </c>
      <c r="X4492">
        <v>0.95947919999999998</v>
      </c>
      <c r="Y4492">
        <v>-0.28658070000000002</v>
      </c>
      <c r="Z4492">
        <v>4.9937860000000001E-2</v>
      </c>
      <c r="AA4492">
        <v>0.95675370000000004</v>
      </c>
      <c r="AB4492">
        <v>33</v>
      </c>
      <c r="AC4492">
        <v>15.480700000000001</v>
      </c>
      <c r="AD4492">
        <v>-1.118548072549</v>
      </c>
      <c r="AE4492">
        <v>-13.22561</v>
      </c>
      <c r="AF4492">
        <v>-5.9069292349570697</v>
      </c>
      <c r="AG4492">
        <v>-1.118548072549</v>
      </c>
      <c r="AH4492">
        <v>19.4212770466306</v>
      </c>
      <c r="AI4492">
        <v>93.153905755352596</v>
      </c>
      <c r="AJ4492">
        <v>106.916997883205</v>
      </c>
      <c r="AK4492">
        <v>20.330493474074199</v>
      </c>
      <c r="AL4492">
        <v>76.968852954023603</v>
      </c>
      <c r="AM4492">
        <v>99.988951184747194</v>
      </c>
      <c r="AN4492">
        <v>0.999999970390409</v>
      </c>
    </row>
    <row r="4493" spans="1:40" x14ac:dyDescent="0.25">
      <c r="A4493" t="str">
        <f>"20190312172756028"</f>
        <v>20190312172756028</v>
      </c>
      <c r="B4493" t="str">
        <f>"1552382876023843"</f>
        <v>1552382876023843</v>
      </c>
      <c r="C4493" t="s">
        <v>40</v>
      </c>
      <c r="D4493">
        <v>3.2509260000000002</v>
      </c>
      <c r="E4493">
        <v>0.45310660000000003</v>
      </c>
      <c r="F4493" t="s">
        <v>41</v>
      </c>
      <c r="G4493">
        <v>-399.53410000000002</v>
      </c>
      <c r="H4493" s="1">
        <v>-1.117865E-6</v>
      </c>
      <c r="I4493">
        <v>16.028120000000001</v>
      </c>
      <c r="J4493">
        <v>-414.9495</v>
      </c>
      <c r="K4493">
        <v>1.118638</v>
      </c>
      <c r="L4493">
        <v>28.992280000000001</v>
      </c>
      <c r="M4493">
        <v>0.54666769999999998</v>
      </c>
      <c r="N4493">
        <v>0</v>
      </c>
      <c r="O4493">
        <v>-0.83721179999999995</v>
      </c>
      <c r="P4493">
        <v>0.66412349999999998</v>
      </c>
      <c r="Q4493">
        <v>0.21468999999999999</v>
      </c>
      <c r="R4493">
        <v>-0.7161343</v>
      </c>
      <c r="S4493">
        <v>2.3909910000000001</v>
      </c>
      <c r="T4493">
        <v>-0.17148039999999901</v>
      </c>
      <c r="U4493">
        <v>-2.0281370000000001</v>
      </c>
      <c r="V4493">
        <v>-0.1692487</v>
      </c>
      <c r="W4493">
        <v>0.2258597</v>
      </c>
      <c r="X4493">
        <v>0.95934470000000005</v>
      </c>
      <c r="Y4493">
        <v>-0.283746</v>
      </c>
      <c r="Z4493">
        <v>5.0066230000000003E-2</v>
      </c>
      <c r="AA4493">
        <v>0.95759150000000004</v>
      </c>
      <c r="AB4493">
        <v>32</v>
      </c>
      <c r="AC4493">
        <v>15.415399999999901</v>
      </c>
      <c r="AD4493">
        <v>-1.1186391178649999</v>
      </c>
      <c r="AE4493">
        <v>-12.9641599999999</v>
      </c>
      <c r="AF4493">
        <v>-5.8016443536910298</v>
      </c>
      <c r="AG4493">
        <v>-1.1186391178649999</v>
      </c>
      <c r="AH4493">
        <v>19.223780822073401</v>
      </c>
      <c r="AI4493">
        <v>93.188576176540295</v>
      </c>
      <c r="AJ4493">
        <v>106.79356096003499</v>
      </c>
      <c r="AK4493">
        <v>20.111294830961299</v>
      </c>
      <c r="AL4493">
        <v>76.946563112056594</v>
      </c>
      <c r="AM4493">
        <v>100.0052330012</v>
      </c>
      <c r="AN4493">
        <v>0.99999998997693496</v>
      </c>
    </row>
    <row r="4494" spans="1:40" x14ac:dyDescent="0.25">
      <c r="A4494" t="str">
        <f>"20190312172756051"</f>
        <v>20190312172756051</v>
      </c>
      <c r="B4494" t="str">
        <f>"1552382876044338"</f>
        <v>1552382876044338</v>
      </c>
      <c r="C4494" t="s">
        <v>40</v>
      </c>
      <c r="D4494">
        <v>3.2618839999999998</v>
      </c>
      <c r="E4494">
        <v>0.46702830000000001</v>
      </c>
      <c r="F4494" t="s">
        <v>41</v>
      </c>
      <c r="G4494">
        <v>-399.22669999999999</v>
      </c>
      <c r="H4494" s="1">
        <v>-1.271046E-6</v>
      </c>
      <c r="I4494">
        <v>15.895960000000001</v>
      </c>
      <c r="J4494">
        <v>-414.76479999999998</v>
      </c>
      <c r="K4494">
        <v>1.1187309999999999</v>
      </c>
      <c r="L4494">
        <v>28.72784</v>
      </c>
      <c r="M4494">
        <v>0.55512099999999998</v>
      </c>
      <c r="N4494">
        <v>0</v>
      </c>
      <c r="O4494">
        <v>-0.83163050000000005</v>
      </c>
      <c r="P4494">
        <v>0.67125059999999903</v>
      </c>
      <c r="Q4494">
        <v>0.21516660000000001</v>
      </c>
      <c r="R4494">
        <v>-0.70931420000000001</v>
      </c>
      <c r="S4494">
        <v>2.4089659999999999</v>
      </c>
      <c r="T4494">
        <v>-0.17139299999999999</v>
      </c>
      <c r="U4494">
        <v>-2.006561</v>
      </c>
      <c r="V4494">
        <v>-0.16926529999999901</v>
      </c>
      <c r="W4494">
        <v>0.22631119999999999</v>
      </c>
      <c r="X4494">
        <v>0.95923539999999996</v>
      </c>
      <c r="Y4494">
        <v>-0.28261720000000001</v>
      </c>
      <c r="Z4494">
        <v>4.978701E-2</v>
      </c>
      <c r="AA4494">
        <v>0.95793989999999996</v>
      </c>
      <c r="AB4494">
        <v>32</v>
      </c>
      <c r="AC4494">
        <v>15.538099999999901</v>
      </c>
      <c r="AD4494">
        <v>-1.1187322710459999</v>
      </c>
      <c r="AE4494">
        <v>-12.83188</v>
      </c>
      <c r="AF4494">
        <v>-5.7815641164115599</v>
      </c>
      <c r="AG4494">
        <v>-1.1187322710459999</v>
      </c>
      <c r="AH4494">
        <v>19.2398444129478</v>
      </c>
      <c r="AI4494">
        <v>93.187321912618401</v>
      </c>
      <c r="AJ4494">
        <v>106.725498147246</v>
      </c>
      <c r="AK4494">
        <v>20.120876187703601</v>
      </c>
      <c r="AL4494">
        <v>76.920006938400704</v>
      </c>
      <c r="AM4494">
        <v>100.00731159819701</v>
      </c>
      <c r="AN4494">
        <v>1.00000002682134</v>
      </c>
    </row>
    <row r="4495" spans="1:40" x14ac:dyDescent="0.25">
      <c r="A4495" t="str">
        <f>"20190312172756073"</f>
        <v>20190312172756073</v>
      </c>
      <c r="B4495" t="str">
        <f>"1552382876063861"</f>
        <v>1552382876063861</v>
      </c>
      <c r="C4495" t="s">
        <v>40</v>
      </c>
      <c r="D4495">
        <v>3.258667</v>
      </c>
      <c r="E4495">
        <v>0.46793820000000003</v>
      </c>
      <c r="F4495" t="s">
        <v>52</v>
      </c>
      <c r="G4495">
        <v>-400.54500000000002</v>
      </c>
      <c r="H4495" s="1">
        <v>-7.1504010000000004E-6</v>
      </c>
      <c r="I4495">
        <v>16.266379999999899</v>
      </c>
      <c r="J4495">
        <v>-414.58089999999999</v>
      </c>
      <c r="K4495">
        <v>1.118819</v>
      </c>
      <c r="L4495">
        <v>28.47006</v>
      </c>
      <c r="M4495">
        <v>0.56346490000000005</v>
      </c>
      <c r="N4495">
        <v>0</v>
      </c>
      <c r="O4495">
        <v>-0.82599929999999999</v>
      </c>
      <c r="P4495">
        <v>0.67836280000000004</v>
      </c>
      <c r="Q4495">
        <v>0.21531</v>
      </c>
      <c r="R4495">
        <v>-0.70247119999999996</v>
      </c>
      <c r="S4495">
        <v>2.3512270000000002</v>
      </c>
      <c r="T4495">
        <v>-0.1849818</v>
      </c>
      <c r="U4495">
        <v>-2.060486</v>
      </c>
      <c r="V4495">
        <v>-0.16934959999999999</v>
      </c>
      <c r="W4495">
        <v>0.22643199999999999</v>
      </c>
      <c r="X4495">
        <v>0.95919200000000004</v>
      </c>
      <c r="Y4495">
        <v>-0.24861349999999999</v>
      </c>
      <c r="Z4495">
        <v>5.3015949999999999E-2</v>
      </c>
      <c r="AA4495">
        <v>0.96715079999999998</v>
      </c>
      <c r="AB4495">
        <v>32</v>
      </c>
      <c r="AC4495">
        <v>14.0358999999999</v>
      </c>
      <c r="AD4495">
        <v>-1.118826150401</v>
      </c>
      <c r="AE4495">
        <v>-12.20368</v>
      </c>
      <c r="AF4495">
        <v>-4.7008366405793298</v>
      </c>
      <c r="AG4495">
        <v>-1.118826150401</v>
      </c>
      <c r="AH4495">
        <v>17.9261933684311</v>
      </c>
      <c r="AI4495">
        <v>93.454848741607506</v>
      </c>
      <c r="AJ4495">
        <v>104.693982712551</v>
      </c>
      <c r="AK4495">
        <v>18.5660455067474</v>
      </c>
      <c r="AL4495">
        <v>76.912900995283394</v>
      </c>
      <c r="AM4495">
        <v>100.01263861744501</v>
      </c>
      <c r="AN4495">
        <v>1.00000001525407</v>
      </c>
    </row>
    <row r="4496" spans="1:40" x14ac:dyDescent="0.25">
      <c r="A4496" t="str">
        <f>"20190312172756097"</f>
        <v>20190312172756097</v>
      </c>
      <c r="B4496" t="str">
        <f>"1552382876084354"</f>
        <v>1552382876084354</v>
      </c>
      <c r="C4496" t="s">
        <v>40</v>
      </c>
      <c r="D4496">
        <v>3.3079109999999998</v>
      </c>
      <c r="E4496">
        <v>0.4686361</v>
      </c>
      <c r="F4496" t="s">
        <v>52</v>
      </c>
      <c r="G4496">
        <v>-400.47899999999998</v>
      </c>
      <c r="H4496" s="1">
        <v>-7.1768100000000003E-6</v>
      </c>
      <c r="I4496">
        <v>16.304679999999902</v>
      </c>
      <c r="J4496">
        <v>-414.38650000000001</v>
      </c>
      <c r="K4496">
        <v>1.1189129999999901</v>
      </c>
      <c r="L4496">
        <v>28.203700000000001</v>
      </c>
      <c r="M4496">
        <v>0.57219209999999998</v>
      </c>
      <c r="N4496">
        <v>0</v>
      </c>
      <c r="O4496">
        <v>-0.81997770000000003</v>
      </c>
      <c r="P4496">
        <v>0.68583309999999997</v>
      </c>
      <c r="Q4496">
        <v>0.21549650000000001</v>
      </c>
      <c r="R4496">
        <v>-0.69512209999999997</v>
      </c>
      <c r="S4496">
        <v>2.3672490000000002</v>
      </c>
      <c r="T4496">
        <v>-0.1878146</v>
      </c>
      <c r="U4496">
        <v>-2.0421749999999999</v>
      </c>
      <c r="V4496">
        <v>-0.16951640000000001</v>
      </c>
      <c r="W4496">
        <v>0.2265945</v>
      </c>
      <c r="X4496">
        <v>0.95912410000000003</v>
      </c>
      <c r="Y4496">
        <v>-0.24583969999999999</v>
      </c>
      <c r="Z4496">
        <v>5.347963E-2</v>
      </c>
      <c r="AA4496">
        <v>0.96783410000000003</v>
      </c>
      <c r="AB4496">
        <v>32</v>
      </c>
      <c r="AC4496">
        <v>13.907499999999899</v>
      </c>
      <c r="AD4496">
        <v>-1.1189201768099999</v>
      </c>
      <c r="AE4496">
        <v>-11.89902</v>
      </c>
      <c r="AF4496">
        <v>-4.5787378749618899</v>
      </c>
      <c r="AG4496">
        <v>-1.1189201768099999</v>
      </c>
      <c r="AH4496">
        <v>17.6507902110427</v>
      </c>
      <c r="AI4496">
        <v>93.511331104352195</v>
      </c>
      <c r="AJ4496">
        <v>104.542384567708</v>
      </c>
      <c r="AK4496">
        <v>18.269297139296999</v>
      </c>
      <c r="AL4496">
        <v>76.903341214127195</v>
      </c>
      <c r="AM4496">
        <v>100.022995798146</v>
      </c>
      <c r="AN4496">
        <v>0.99999995825000898</v>
      </c>
    </row>
    <row r="4497" spans="1:40" x14ac:dyDescent="0.25">
      <c r="A4497" t="str">
        <f>"20190312172756117"</f>
        <v>20190312172756117</v>
      </c>
      <c r="B4497" t="str">
        <f>"1552382876113634"</f>
        <v>1552382876113634</v>
      </c>
      <c r="C4497" t="s">
        <v>40</v>
      </c>
      <c r="D4497">
        <v>3.4478010000000001</v>
      </c>
      <c r="E4497">
        <v>0.46876079999999998</v>
      </c>
      <c r="F4497" t="s">
        <v>52</v>
      </c>
      <c r="G4497">
        <v>-400.4169</v>
      </c>
      <c r="H4497" s="1">
        <v>-7.2046899999999898E-6</v>
      </c>
      <c r="I4497">
        <v>16.36778</v>
      </c>
      <c r="J4497">
        <v>-414.2054</v>
      </c>
      <c r="K4497">
        <v>1.118989</v>
      </c>
      <c r="L4497">
        <v>27.96069</v>
      </c>
      <c r="M4497">
        <v>0.5802486</v>
      </c>
      <c r="N4497">
        <v>0</v>
      </c>
      <c r="O4497">
        <v>-0.81429619999999903</v>
      </c>
      <c r="P4497">
        <v>0.69272069999999997</v>
      </c>
      <c r="Q4497">
        <v>0.21562400000000001</v>
      </c>
      <c r="R4497">
        <v>-0.6882182</v>
      </c>
      <c r="S4497">
        <v>2.3856510000000002</v>
      </c>
      <c r="T4497">
        <v>-0.19108259999999999</v>
      </c>
      <c r="U4497">
        <v>-2.021271</v>
      </c>
      <c r="V4497">
        <v>-0.16967850000000001</v>
      </c>
      <c r="W4497">
        <v>0.2267004</v>
      </c>
      <c r="X4497">
        <v>0.95907039999999999</v>
      </c>
      <c r="Y4497">
        <v>-0.24486659999999999</v>
      </c>
      <c r="Z4497">
        <v>5.4097560000000003E-2</v>
      </c>
      <c r="AA4497">
        <v>0.96804639999999997</v>
      </c>
      <c r="AB4497">
        <v>32</v>
      </c>
      <c r="AC4497">
        <v>13.788500000000001</v>
      </c>
      <c r="AD4497">
        <v>-1.1189962046899999</v>
      </c>
      <c r="AE4497">
        <v>-11.59291</v>
      </c>
      <c r="AF4497">
        <v>-4.4843754752457397</v>
      </c>
      <c r="AG4497">
        <v>-1.1189962046899999</v>
      </c>
      <c r="AH4497">
        <v>17.375810374444299</v>
      </c>
      <c r="AI4497">
        <v>93.568142622192497</v>
      </c>
      <c r="AJ4497">
        <v>104.471207275773</v>
      </c>
      <c r="AK4497">
        <v>17.9800045071669</v>
      </c>
      <c r="AL4497">
        <v>76.897111342584694</v>
      </c>
      <c r="AM4497">
        <v>100.032935987621</v>
      </c>
      <c r="AN4497">
        <v>0.99999994843928297</v>
      </c>
    </row>
    <row r="4498" spans="1:40" x14ac:dyDescent="0.25">
      <c r="A4498" t="str">
        <f>"20190312172756139"</f>
        <v>20190312172756139</v>
      </c>
      <c r="B4498" t="str">
        <f>"1552382876134130"</f>
        <v>1552382876134130</v>
      </c>
      <c r="C4498" t="s">
        <v>40</v>
      </c>
      <c r="D4498">
        <v>3.3285239999999998</v>
      </c>
      <c r="E4498">
        <v>0.45883309999999999</v>
      </c>
      <c r="F4498" t="s">
        <v>52</v>
      </c>
      <c r="G4498">
        <v>-400.13339999999999</v>
      </c>
      <c r="H4498" s="1">
        <v>-7.2883379999999999E-6</v>
      </c>
      <c r="I4498">
        <v>16.267779999999998</v>
      </c>
      <c r="J4498">
        <v>-414.01190000000003</v>
      </c>
      <c r="K4498">
        <v>1.1190659999999999</v>
      </c>
      <c r="L4498">
        <v>27.706910000000001</v>
      </c>
      <c r="M4498">
        <v>0.58876309999999998</v>
      </c>
      <c r="N4498">
        <v>0</v>
      </c>
      <c r="O4498">
        <v>-0.80816109999999997</v>
      </c>
      <c r="P4498">
        <v>0.69998930000000004</v>
      </c>
      <c r="Q4498">
        <v>0.21590809999999999</v>
      </c>
      <c r="R4498">
        <v>-0.68073399999999995</v>
      </c>
      <c r="S4498">
        <v>2.404938</v>
      </c>
      <c r="T4498">
        <v>-0.19123960000000001</v>
      </c>
      <c r="U4498">
        <v>-1.9983519999999999</v>
      </c>
      <c r="V4498">
        <v>-0.16989939999999901</v>
      </c>
      <c r="W4498">
        <v>0.22696</v>
      </c>
      <c r="X4498">
        <v>0.95896999999999999</v>
      </c>
      <c r="Y4498">
        <v>-0.24397189999999999</v>
      </c>
      <c r="Z4498">
        <v>5.3814750000000001E-2</v>
      </c>
      <c r="AA4498">
        <v>0.96828800000000004</v>
      </c>
      <c r="AB4498">
        <v>32</v>
      </c>
      <c r="AC4498">
        <v>13.878500000000001</v>
      </c>
      <c r="AD4498">
        <v>-1.1190732883379999</v>
      </c>
      <c r="AE4498">
        <v>-11.43913</v>
      </c>
      <c r="AF4498">
        <v>-4.4643656506469096</v>
      </c>
      <c r="AG4498">
        <v>-1.1190732883379999</v>
      </c>
      <c r="AH4498">
        <v>17.3506690760554</v>
      </c>
      <c r="AI4498">
        <v>93.574216290619205</v>
      </c>
      <c r="AJ4498">
        <v>104.429337245467</v>
      </c>
      <c r="AK4498">
        <v>17.950727090403198</v>
      </c>
      <c r="AL4498">
        <v>76.881840694309503</v>
      </c>
      <c r="AM4498">
        <v>100.046762047058</v>
      </c>
      <c r="AN4498">
        <v>1.0000000543101699</v>
      </c>
    </row>
    <row r="4499" spans="1:40" x14ac:dyDescent="0.25">
      <c r="A4499" t="str">
        <f>"20190312172756162"</f>
        <v>20190312172756162</v>
      </c>
      <c r="B4499" t="str">
        <f>"1552382876153654"</f>
        <v>1552382876153654</v>
      </c>
      <c r="C4499" t="s">
        <v>40</v>
      </c>
      <c r="D4499">
        <v>3.2722929999999999</v>
      </c>
      <c r="E4499">
        <v>0.4453722</v>
      </c>
      <c r="F4499" t="s">
        <v>52</v>
      </c>
      <c r="G4499">
        <v>-401.18849999999998</v>
      </c>
      <c r="H4499" s="1">
        <v>-7.1081160000000002E-6</v>
      </c>
      <c r="I4499">
        <v>17.80546</v>
      </c>
      <c r="J4499">
        <v>-413.82310000000001</v>
      </c>
      <c r="K4499">
        <v>1.1191420000000001</v>
      </c>
      <c r="L4499">
        <v>27.46442</v>
      </c>
      <c r="M4499">
        <v>0.59699360000000001</v>
      </c>
      <c r="N4499">
        <v>0</v>
      </c>
      <c r="O4499">
        <v>-0.80210009999999998</v>
      </c>
      <c r="P4499">
        <v>0.70680480000000001</v>
      </c>
      <c r="Q4499">
        <v>0.2161981</v>
      </c>
      <c r="R4499">
        <v>-0.67356179999999999</v>
      </c>
      <c r="S4499">
        <v>2.485992</v>
      </c>
      <c r="T4499">
        <v>-0.216947</v>
      </c>
      <c r="U4499">
        <v>-1.9195249999999999</v>
      </c>
      <c r="V4499">
        <v>-0.16985169999999999</v>
      </c>
      <c r="W4499">
        <v>0.22723299999999999</v>
      </c>
      <c r="X4499">
        <v>0.95891369999999998</v>
      </c>
      <c r="Y4499">
        <v>-0.26824550000000003</v>
      </c>
      <c r="Z4499">
        <v>6.0932159999999999E-2</v>
      </c>
      <c r="AA4499">
        <v>0.96142169999999905</v>
      </c>
      <c r="AB4499">
        <v>32</v>
      </c>
      <c r="AC4499">
        <v>12.634600000000001</v>
      </c>
      <c r="AD4499">
        <v>-1.1191491081160001</v>
      </c>
      <c r="AE4499">
        <v>-9.6589600000000004</v>
      </c>
      <c r="AF4499">
        <v>-4.34686237950406</v>
      </c>
      <c r="AG4499">
        <v>-1.1191491081160001</v>
      </c>
      <c r="AH4499">
        <v>15.216665478662399</v>
      </c>
      <c r="AI4499">
        <v>94.045148549086093</v>
      </c>
      <c r="AJ4499">
        <v>105.94276296904</v>
      </c>
      <c r="AK4499">
        <v>15.864886244850901</v>
      </c>
      <c r="AL4499">
        <v>76.865778040744701</v>
      </c>
      <c r="AM4499">
        <v>100.044576512944</v>
      </c>
      <c r="AN4499">
        <v>0.99999996016478898</v>
      </c>
    </row>
    <row r="4500" spans="1:40" x14ac:dyDescent="0.25">
      <c r="A4500" t="str">
        <f>"20190312172756176"</f>
        <v>20190312172756176</v>
      </c>
      <c r="B4500" t="str">
        <f>"1552382876164387"</f>
        <v>1552382876164387</v>
      </c>
      <c r="C4500" t="s">
        <v>40</v>
      </c>
      <c r="D4500">
        <v>3.269479</v>
      </c>
      <c r="E4500">
        <v>0.44496069999999999</v>
      </c>
      <c r="F4500" t="s">
        <v>41</v>
      </c>
      <c r="G4500">
        <v>-397.76170000000002</v>
      </c>
      <c r="H4500" s="1">
        <v>-1.7659859999999999E-6</v>
      </c>
      <c r="I4500">
        <v>16.150210000000001</v>
      </c>
      <c r="J4500">
        <v>-413.69639999999998</v>
      </c>
      <c r="K4500">
        <v>1.119194</v>
      </c>
      <c r="L4500">
        <v>27.304690000000001</v>
      </c>
      <c r="M4500">
        <v>0.60247249999999997</v>
      </c>
      <c r="N4500">
        <v>0</v>
      </c>
      <c r="O4500">
        <v>-0.79799290000000001</v>
      </c>
      <c r="P4500">
        <v>0.7114298</v>
      </c>
      <c r="Q4500">
        <v>0.21619759999999999</v>
      </c>
      <c r="R4500">
        <v>-0.66867519999999903</v>
      </c>
      <c r="S4500">
        <v>2.5724179999999999</v>
      </c>
      <c r="T4500">
        <v>-0.17924399999999999</v>
      </c>
      <c r="U4500">
        <v>-1.812103</v>
      </c>
      <c r="V4500">
        <v>-0.16992170000000001</v>
      </c>
      <c r="W4500">
        <v>0.22721959999999999</v>
      </c>
      <c r="X4500">
        <v>0.95890450000000005</v>
      </c>
      <c r="Y4500">
        <v>-0.30416290000000001</v>
      </c>
      <c r="Z4500">
        <v>5.0746310000000003E-2</v>
      </c>
      <c r="AA4500">
        <v>0.95126739999999999</v>
      </c>
      <c r="AB4500">
        <v>32</v>
      </c>
      <c r="AC4500">
        <v>15.9346999999999</v>
      </c>
      <c r="AD4500">
        <v>-1.1191957659859999</v>
      </c>
      <c r="AE4500">
        <v>-11.15448</v>
      </c>
      <c r="AF4500">
        <v>-5.9764255031489801</v>
      </c>
      <c r="AG4500">
        <v>-1.1191957659859999</v>
      </c>
      <c r="AH4500">
        <v>18.442521917272401</v>
      </c>
      <c r="AI4500">
        <v>93.304022142859296</v>
      </c>
      <c r="AJ4500">
        <v>107.95527191962699</v>
      </c>
      <c r="AK4500">
        <v>19.418982353006101</v>
      </c>
      <c r="AL4500">
        <v>76.866566764696501</v>
      </c>
      <c r="AM4500">
        <v>100.048726222071</v>
      </c>
      <c r="AN4500">
        <v>0.99999998543765001</v>
      </c>
    </row>
    <row r="4501" spans="1:40" x14ac:dyDescent="0.25">
      <c r="A4501" t="str">
        <f>"20190312172756196"</f>
        <v>20190312172756196</v>
      </c>
      <c r="B4501" t="str">
        <f>"1552382876183907"</f>
        <v>1552382876183907</v>
      </c>
      <c r="C4501" t="s">
        <v>40</v>
      </c>
      <c r="D4501">
        <v>3.268284</v>
      </c>
      <c r="E4501">
        <v>0.44482270000000002</v>
      </c>
      <c r="F4501" t="s">
        <v>41</v>
      </c>
      <c r="G4501">
        <v>-397.51400000000001</v>
      </c>
      <c r="H4501" s="1">
        <v>-1.874823E-6</v>
      </c>
      <c r="I4501">
        <v>16.098659999999999</v>
      </c>
      <c r="J4501">
        <v>-413.52190000000002</v>
      </c>
      <c r="K4501">
        <v>1.119264</v>
      </c>
      <c r="L4501">
        <v>27.088439999999999</v>
      </c>
      <c r="M4501">
        <v>0.6099523</v>
      </c>
      <c r="N4501">
        <v>0</v>
      </c>
      <c r="O4501">
        <v>-0.79229020000000006</v>
      </c>
      <c r="P4501">
        <v>0.71774729999999998</v>
      </c>
      <c r="Q4501">
        <v>0.2160811</v>
      </c>
      <c r="R4501">
        <v>-0.6619275</v>
      </c>
      <c r="S4501">
        <v>2.5872799999999998</v>
      </c>
      <c r="T4501">
        <v>-0.17894070000000001</v>
      </c>
      <c r="U4501">
        <v>-1.7916559999999999</v>
      </c>
      <c r="V4501">
        <v>-0.170020899999999</v>
      </c>
      <c r="W4501">
        <v>0.22708490000000001</v>
      </c>
      <c r="X4501">
        <v>0.95891879999999996</v>
      </c>
      <c r="Y4501">
        <v>-0.302855599999999</v>
      </c>
      <c r="Z4501">
        <v>5.0371329999999999E-2</v>
      </c>
      <c r="AA4501">
        <v>0.95170440000000001</v>
      </c>
      <c r="AB4501">
        <v>32</v>
      </c>
      <c r="AC4501">
        <v>16.007899999999999</v>
      </c>
      <c r="AD4501">
        <v>-1.119265874823</v>
      </c>
      <c r="AE4501">
        <v>-10.98978</v>
      </c>
      <c r="AF4501">
        <v>-5.96055652028548</v>
      </c>
      <c r="AG4501">
        <v>-1.119265874823</v>
      </c>
      <c r="AH4501">
        <v>18.412137659168899</v>
      </c>
      <c r="AI4501">
        <v>93.309985949741801</v>
      </c>
      <c r="AJ4501">
        <v>107.938309491803</v>
      </c>
      <c r="AK4501">
        <v>19.385247053113499</v>
      </c>
      <c r="AL4501">
        <v>76.874491350986602</v>
      </c>
      <c r="AM4501">
        <v>100.054326109453</v>
      </c>
      <c r="AN4501">
        <v>0.99999996161912896</v>
      </c>
    </row>
    <row r="4502" spans="1:40" x14ac:dyDescent="0.25">
      <c r="A4502" t="str">
        <f>"20190312172756219"</f>
        <v>20190312172756219</v>
      </c>
      <c r="B4502" t="str">
        <f>"1552382876214163"</f>
        <v>1552382876214163</v>
      </c>
      <c r="C4502" t="s">
        <v>40</v>
      </c>
      <c r="D4502">
        <v>3.4860000000000002</v>
      </c>
      <c r="E4502">
        <v>0.445158</v>
      </c>
      <c r="F4502" t="s">
        <v>41</v>
      </c>
      <c r="G4502">
        <v>-397.60919999999999</v>
      </c>
      <c r="H4502" s="1">
        <v>-1.785182E-6</v>
      </c>
      <c r="I4502">
        <v>16.298279999999998</v>
      </c>
      <c r="J4502">
        <v>-413.31599999999997</v>
      </c>
      <c r="K4502">
        <v>1.119346</v>
      </c>
      <c r="L4502">
        <v>26.838809999999999</v>
      </c>
      <c r="M4502">
        <v>0.61868819999999902</v>
      </c>
      <c r="N4502">
        <v>0</v>
      </c>
      <c r="O4502">
        <v>-0.78548699999999905</v>
      </c>
      <c r="P4502">
        <v>0.72508499999999998</v>
      </c>
      <c r="Q4502">
        <v>0.2160667</v>
      </c>
      <c r="R4502">
        <v>-0.65388610000000003</v>
      </c>
      <c r="S4502">
        <v>2.6055600000000001</v>
      </c>
      <c r="T4502">
        <v>-0.18326899999999999</v>
      </c>
      <c r="U4502">
        <v>-1.7667849999999901</v>
      </c>
      <c r="V4502">
        <v>-0.17014000000000001</v>
      </c>
      <c r="W4502">
        <v>0.22704920000000001</v>
      </c>
      <c r="X4502">
        <v>0.95890620000000004</v>
      </c>
      <c r="Y4502">
        <v>-0.30157859999999997</v>
      </c>
      <c r="Z4502">
        <v>5.1228999999999997E-2</v>
      </c>
      <c r="AA4502">
        <v>0.95206400000000002</v>
      </c>
      <c r="AB4502">
        <v>32</v>
      </c>
      <c r="AC4502">
        <v>15.7067999999999</v>
      </c>
      <c r="AD4502">
        <v>-1.119347785182</v>
      </c>
      <c r="AE4502">
        <v>-10.54053</v>
      </c>
      <c r="AF4502">
        <v>-5.7965714453949797</v>
      </c>
      <c r="AG4502">
        <v>-1.119347785182</v>
      </c>
      <c r="AH4502">
        <v>17.936368657931599</v>
      </c>
      <c r="AI4502">
        <v>93.398381103930006</v>
      </c>
      <c r="AJ4502">
        <v>107.909493719521</v>
      </c>
      <c r="AK4502">
        <v>18.882968533019199</v>
      </c>
      <c r="AL4502">
        <v>76.876592580836103</v>
      </c>
      <c r="AM4502">
        <v>100.061354841946</v>
      </c>
      <c r="AN4502">
        <v>1.0000000296095299</v>
      </c>
    </row>
    <row r="4503" spans="1:40" x14ac:dyDescent="0.25">
      <c r="A4503" t="str">
        <f>"20190312172756241"</f>
        <v>20190312172756241</v>
      </c>
      <c r="B4503" t="str">
        <f>"1552382876233682"</f>
        <v>1552382876233682</v>
      </c>
      <c r="C4503" t="s">
        <v>40</v>
      </c>
      <c r="D4503">
        <v>3.3819720000000002</v>
      </c>
      <c r="E4503">
        <v>0.45298880000000002</v>
      </c>
      <c r="F4503" t="s">
        <v>41</v>
      </c>
      <c r="G4503">
        <v>-397.71859999999998</v>
      </c>
      <c r="H4503" s="1">
        <v>-1.690839E-6</v>
      </c>
      <c r="I4503">
        <v>16.49484</v>
      </c>
      <c r="J4503">
        <v>-413.11610000000002</v>
      </c>
      <c r="K4503">
        <v>1.11941</v>
      </c>
      <c r="L4503">
        <v>26.60172</v>
      </c>
      <c r="M4503">
        <v>0.62708039999999998</v>
      </c>
      <c r="N4503">
        <v>0</v>
      </c>
      <c r="O4503">
        <v>-0.77880340000000003</v>
      </c>
      <c r="P4503">
        <v>0.73201839999999996</v>
      </c>
      <c r="Q4503">
        <v>0.21600659999999999</v>
      </c>
      <c r="R4503">
        <v>-0.64613549999999997</v>
      </c>
      <c r="S4503">
        <v>2.6241460000000001</v>
      </c>
      <c r="T4503">
        <v>-0.18832189999999999</v>
      </c>
      <c r="U4503">
        <v>-1.7402949999999999</v>
      </c>
      <c r="V4503">
        <v>-0.1701078</v>
      </c>
      <c r="W4503">
        <v>0.22697400000000001</v>
      </c>
      <c r="X4503">
        <v>0.9589297</v>
      </c>
      <c r="Y4503">
        <v>-0.30106719999999998</v>
      </c>
      <c r="Z4503">
        <v>5.2294729999999998E-2</v>
      </c>
      <c r="AA4503">
        <v>0.95216789999999996</v>
      </c>
      <c r="AB4503">
        <v>32</v>
      </c>
      <c r="AC4503">
        <v>15.397500000000001</v>
      </c>
      <c r="AD4503">
        <v>-1.1194116908389999</v>
      </c>
      <c r="AE4503">
        <v>-10.10688</v>
      </c>
      <c r="AF4503">
        <v>-5.6336546238378196</v>
      </c>
      <c r="AG4503">
        <v>-1.1194116908389999</v>
      </c>
      <c r="AH4503">
        <v>17.464295526296901</v>
      </c>
      <c r="AI4503">
        <v>93.490820248360905</v>
      </c>
      <c r="AJ4503">
        <v>107.878729002341</v>
      </c>
      <c r="AK4503">
        <v>18.384579548744298</v>
      </c>
      <c r="AL4503">
        <v>76.881016532576297</v>
      </c>
      <c r="AM4503">
        <v>100.05924807715699</v>
      </c>
      <c r="AN4503">
        <v>1.0000000149194599</v>
      </c>
    </row>
    <row r="4504" spans="1:40" x14ac:dyDescent="0.25">
      <c r="A4504" t="str">
        <f>"20190312172756255"</f>
        <v>20190312172756255</v>
      </c>
      <c r="B4504" t="str">
        <f>"1552382876244418"</f>
        <v>1552382876244418</v>
      </c>
      <c r="C4504" t="s">
        <v>40</v>
      </c>
      <c r="D4504">
        <v>3.3654570000000001</v>
      </c>
      <c r="E4504">
        <v>0.45361069999999998</v>
      </c>
      <c r="F4504" t="s">
        <v>41</v>
      </c>
      <c r="G4504">
        <v>-399.9273</v>
      </c>
      <c r="H4504" s="1">
        <v>-5.2553909999999899E-7</v>
      </c>
      <c r="I4504">
        <v>17.686689999999999</v>
      </c>
      <c r="J4504">
        <v>-412.98899999999998</v>
      </c>
      <c r="K4504">
        <v>1.1194580000000001</v>
      </c>
      <c r="L4504">
        <v>26.45383</v>
      </c>
      <c r="M4504">
        <v>0.63236459999999906</v>
      </c>
      <c r="N4504">
        <v>0</v>
      </c>
      <c r="O4504">
        <v>-0.77451879999999995</v>
      </c>
      <c r="P4504">
        <v>0.73635729999999999</v>
      </c>
      <c r="Q4504">
        <v>0.21598200000000001</v>
      </c>
      <c r="R4504">
        <v>-0.64119419999999905</v>
      </c>
      <c r="S4504">
        <v>2.6076969999999999</v>
      </c>
      <c r="T4504">
        <v>-0.221332</v>
      </c>
      <c r="U4504">
        <v>-1.7626949999999999</v>
      </c>
      <c r="V4504">
        <v>-0.17006749999999901</v>
      </c>
      <c r="W4504">
        <v>0.226941</v>
      </c>
      <c r="X4504">
        <v>0.95894469999999998</v>
      </c>
      <c r="Y4504">
        <v>-0.28563050000000001</v>
      </c>
      <c r="Z4504">
        <v>6.0843330000000001E-2</v>
      </c>
      <c r="AA4504">
        <v>0.95640650000000005</v>
      </c>
      <c r="AB4504">
        <v>32</v>
      </c>
      <c r="AC4504">
        <v>13.0617</v>
      </c>
      <c r="AD4504">
        <v>-1.1194585255391001</v>
      </c>
      <c r="AE4504">
        <v>-8.7671399999999995</v>
      </c>
      <c r="AF4504">
        <v>-4.55000093864005</v>
      </c>
      <c r="AG4504">
        <v>-1.1194585255391001</v>
      </c>
      <c r="AH4504">
        <v>14.976006742922101</v>
      </c>
      <c r="AI4504">
        <v>94.0909438512261</v>
      </c>
      <c r="AJ4504">
        <v>106.899797546068</v>
      </c>
      <c r="AK4504">
        <v>15.691923843049899</v>
      </c>
      <c r="AL4504">
        <v>76.882958488437495</v>
      </c>
      <c r="AM4504">
        <v>100.05675950716</v>
      </c>
      <c r="AN4504">
        <v>1.00000005484766</v>
      </c>
    </row>
    <row r="4505" spans="1:40" x14ac:dyDescent="0.25">
      <c r="A4505" t="str">
        <f>"20190312172756267"</f>
        <v>20190312172756267</v>
      </c>
      <c r="B4505" t="str">
        <f>"1552382876263939"</f>
        <v>1552382876263939</v>
      </c>
      <c r="C4505" t="s">
        <v>40</v>
      </c>
      <c r="D4505">
        <v>3.3606950000000002</v>
      </c>
      <c r="E4505">
        <v>0.45439839999999998</v>
      </c>
      <c r="F4505" t="s">
        <v>41</v>
      </c>
      <c r="G4505">
        <v>-399.9008</v>
      </c>
      <c r="H4505" s="1">
        <v>-5.3044469999999998E-7</v>
      </c>
      <c r="I4505">
        <v>17.706620000000001</v>
      </c>
      <c r="J4505">
        <v>-412.86790000000002</v>
      </c>
      <c r="K4505">
        <v>1.1195010000000001</v>
      </c>
      <c r="L4505">
        <v>26.314360000000001</v>
      </c>
      <c r="M4505">
        <v>0.63736819999999905</v>
      </c>
      <c r="N4505">
        <v>0</v>
      </c>
      <c r="O4505">
        <v>-0.77040620000000004</v>
      </c>
      <c r="P4505">
        <v>0.7404444</v>
      </c>
      <c r="Q4505">
        <v>0.21582750000000001</v>
      </c>
      <c r="R4505">
        <v>-0.63652240000000004</v>
      </c>
      <c r="S4505">
        <v>2.6168819999999999</v>
      </c>
      <c r="T4505">
        <v>-0.22382650000000001</v>
      </c>
      <c r="U4505">
        <v>-1.7489319999999999</v>
      </c>
      <c r="V4505">
        <v>-0.1699785</v>
      </c>
      <c r="W4505">
        <v>0.2267798</v>
      </c>
      <c r="X4505">
        <v>0.95899860000000003</v>
      </c>
      <c r="Y4505">
        <v>-0.28441739999999999</v>
      </c>
      <c r="Z4505">
        <v>6.1258699999999999E-2</v>
      </c>
      <c r="AA4505">
        <v>0.95674139999999996</v>
      </c>
      <c r="AB4505">
        <v>32</v>
      </c>
      <c r="AC4505">
        <v>12.9671</v>
      </c>
      <c r="AD4505">
        <v>-1.1195015304447</v>
      </c>
      <c r="AE4505">
        <v>-8.6077399999999908</v>
      </c>
      <c r="AF4505">
        <v>-4.4809826646839701</v>
      </c>
      <c r="AG4505">
        <v>-1.1195015304447</v>
      </c>
      <c r="AH4505">
        <v>14.8213500238574</v>
      </c>
      <c r="AI4505">
        <v>94.135342723803006</v>
      </c>
      <c r="AJ4505">
        <v>106.821797391757</v>
      </c>
      <c r="AK4505">
        <v>15.524332702166699</v>
      </c>
      <c r="AL4505">
        <v>76.892441645471806</v>
      </c>
      <c r="AM4505">
        <v>100.05105051072999</v>
      </c>
      <c r="AN4505">
        <v>1.0000000414761201</v>
      </c>
    </row>
    <row r="4506" spans="1:40" x14ac:dyDescent="0.25">
      <c r="A4506" t="str">
        <f>"20190312172756285"</f>
        <v>20190312172756285</v>
      </c>
      <c r="B4506" t="str">
        <f>"1552382876273699"</f>
        <v>1552382876273699</v>
      </c>
      <c r="C4506" t="s">
        <v>40</v>
      </c>
      <c r="D4506">
        <v>3.34545</v>
      </c>
      <c r="E4506">
        <v>0.45464280000000001</v>
      </c>
      <c r="F4506" t="s">
        <v>52</v>
      </c>
      <c r="G4506">
        <v>-400.16</v>
      </c>
      <c r="H4506" s="1">
        <v>-7.4632259999999901E-6</v>
      </c>
      <c r="I4506">
        <v>17.901759999999999</v>
      </c>
      <c r="J4506">
        <v>-412.7097</v>
      </c>
      <c r="K4506">
        <v>1.1195569999999999</v>
      </c>
      <c r="L4506">
        <v>26.135739999999998</v>
      </c>
      <c r="M4506">
        <v>0.64385619999999999</v>
      </c>
      <c r="N4506">
        <v>0</v>
      </c>
      <c r="O4506">
        <v>-0.76499189999999995</v>
      </c>
      <c r="P4506">
        <v>0.74564609999999998</v>
      </c>
      <c r="Q4506">
        <v>0.2162192</v>
      </c>
      <c r="R4506">
        <v>-0.63028669999999998</v>
      </c>
      <c r="S4506">
        <v>2.6251220000000002</v>
      </c>
      <c r="T4506">
        <v>-0.2312613</v>
      </c>
      <c r="U4506">
        <v>-1.7378229999999999</v>
      </c>
      <c r="V4506">
        <v>-0.16987479999999999</v>
      </c>
      <c r="W4506">
        <v>0.2271611</v>
      </c>
      <c r="X4506">
        <v>0.95892670000000002</v>
      </c>
      <c r="Y4506">
        <v>-0.28039639999999999</v>
      </c>
      <c r="Z4506">
        <v>6.2843010000000005E-2</v>
      </c>
      <c r="AA4506">
        <v>0.95782489999999998</v>
      </c>
      <c r="AB4506">
        <v>32</v>
      </c>
      <c r="AC4506">
        <v>12.5496999999999</v>
      </c>
      <c r="AD4506">
        <v>-1.119564463226</v>
      </c>
      <c r="AE4506">
        <v>-8.2339799999999901</v>
      </c>
      <c r="AF4506">
        <v>-4.2756407794432496</v>
      </c>
      <c r="AG4506">
        <v>-1.119564463226</v>
      </c>
      <c r="AH4506">
        <v>14.301266018361</v>
      </c>
      <c r="AI4506">
        <v>94.289380819480598</v>
      </c>
      <c r="AJ4506">
        <v>106.64505493739701</v>
      </c>
      <c r="AK4506">
        <v>14.968658536758801</v>
      </c>
      <c r="AL4506">
        <v>76.870008958195498</v>
      </c>
      <c r="AM4506">
        <v>100.045781344831</v>
      </c>
      <c r="AN4506">
        <v>1.0000000145005701</v>
      </c>
    </row>
    <row r="4507" spans="1:40" x14ac:dyDescent="0.25">
      <c r="A4507" t="str">
        <f>"20190312172756309"</f>
        <v>20190312172756309</v>
      </c>
      <c r="B4507" t="str">
        <f>"1552382876303954"</f>
        <v>1552382876303954</v>
      </c>
      <c r="C4507" t="s">
        <v>40</v>
      </c>
      <c r="D4507">
        <v>3.3625240000000001</v>
      </c>
      <c r="E4507">
        <v>0.45557559999999903</v>
      </c>
      <c r="F4507" t="s">
        <v>41</v>
      </c>
      <c r="G4507">
        <v>-399.72969999999998</v>
      </c>
      <c r="H4507" s="1">
        <v>-6.0104559999999997E-7</v>
      </c>
      <c r="I4507">
        <v>17.688140000000001</v>
      </c>
      <c r="J4507">
        <v>-412.48329999999999</v>
      </c>
      <c r="K4507">
        <v>1.1196349999999999</v>
      </c>
      <c r="L4507">
        <v>25.885159999999999</v>
      </c>
      <c r="M4507">
        <v>0.65304269999999998</v>
      </c>
      <c r="N4507">
        <v>0</v>
      </c>
      <c r="O4507">
        <v>-0.75716470000000002</v>
      </c>
      <c r="P4507">
        <v>0.75306609999999996</v>
      </c>
      <c r="Q4507">
        <v>0.2163496</v>
      </c>
      <c r="R4507">
        <v>-0.62135719999999905</v>
      </c>
      <c r="S4507">
        <v>2.6380919999999999</v>
      </c>
      <c r="T4507">
        <v>-0.22754250000000001</v>
      </c>
      <c r="U4507">
        <v>-1.7169190000000001</v>
      </c>
      <c r="V4507">
        <v>-0.1697466</v>
      </c>
      <c r="W4507">
        <v>0.2272777</v>
      </c>
      <c r="X4507">
        <v>0.95892180000000005</v>
      </c>
      <c r="Y4507">
        <v>-0.27638210000000002</v>
      </c>
      <c r="Z4507">
        <v>6.1279149999999998E-2</v>
      </c>
      <c r="AA4507">
        <v>0.9590921</v>
      </c>
      <c r="AB4507">
        <v>32</v>
      </c>
      <c r="AC4507">
        <v>12.7536</v>
      </c>
      <c r="AD4507">
        <v>-1.1196356010455999</v>
      </c>
      <c r="AE4507">
        <v>-8.1970199999999895</v>
      </c>
      <c r="AF4507">
        <v>-4.2807341336148301</v>
      </c>
      <c r="AG4507">
        <v>-1.1196356010455999</v>
      </c>
      <c r="AH4507">
        <v>14.4580067942205</v>
      </c>
      <c r="AI4507">
        <v>94.246658209632898</v>
      </c>
      <c r="AJ4507">
        <v>106.492995287187</v>
      </c>
      <c r="AK4507">
        <v>15.119928209603</v>
      </c>
      <c r="AL4507">
        <v>76.863149172807695</v>
      </c>
      <c r="AM4507">
        <v>100.038404561571</v>
      </c>
      <c r="AN4507">
        <v>1.0000000398220401</v>
      </c>
    </row>
    <row r="4508" spans="1:40" x14ac:dyDescent="0.25">
      <c r="A4508" t="str">
        <f>"20190312172756331"</f>
        <v>20190312172756331</v>
      </c>
      <c r="B4508" t="str">
        <f>"1552382876323474"</f>
        <v>1552382876323474</v>
      </c>
      <c r="C4508" t="s">
        <v>40</v>
      </c>
      <c r="D4508">
        <v>3.3744990000000001</v>
      </c>
      <c r="E4508">
        <v>0.45618160000000002</v>
      </c>
      <c r="F4508" t="s">
        <v>41</v>
      </c>
      <c r="G4508">
        <v>-399.13240000000002</v>
      </c>
      <c r="H4508" s="1">
        <v>-9.1332260000000004E-7</v>
      </c>
      <c r="I4508">
        <v>17.376629999999999</v>
      </c>
      <c r="J4508">
        <v>-412.27359999999999</v>
      </c>
      <c r="K4508">
        <v>1.119705</v>
      </c>
      <c r="L4508">
        <v>25.65878</v>
      </c>
      <c r="M4508">
        <v>0.661450599999999</v>
      </c>
      <c r="N4508">
        <v>0</v>
      </c>
      <c r="O4508">
        <v>-0.74983049999999996</v>
      </c>
      <c r="P4508">
        <v>0.75980029999999998</v>
      </c>
      <c r="Q4508">
        <v>0.21658079999999999</v>
      </c>
      <c r="R4508">
        <v>-0.61302250000000003</v>
      </c>
      <c r="S4508">
        <v>2.6527400000000001</v>
      </c>
      <c r="T4508">
        <v>-0.22246360000000001</v>
      </c>
      <c r="U4508">
        <v>-1.690582</v>
      </c>
      <c r="V4508">
        <v>-0.1696078</v>
      </c>
      <c r="W4508">
        <v>0.22749730000000001</v>
      </c>
      <c r="X4508">
        <v>0.95889429999999998</v>
      </c>
      <c r="Y4508">
        <v>-0.27493129999999999</v>
      </c>
      <c r="Z4508">
        <v>5.9484099999999998E-2</v>
      </c>
      <c r="AA4508">
        <v>0.95962199999999998</v>
      </c>
      <c r="AB4508">
        <v>32</v>
      </c>
      <c r="AC4508">
        <v>13.1411999999999</v>
      </c>
      <c r="AD4508">
        <v>-1.1197059133225999</v>
      </c>
      <c r="AE4508">
        <v>-8.2821499999999997</v>
      </c>
      <c r="AF4508">
        <v>-4.3533383987304903</v>
      </c>
      <c r="AG4508">
        <v>-1.1197059133225999</v>
      </c>
      <c r="AH4508">
        <v>14.827188450487601</v>
      </c>
      <c r="AI4508">
        <v>94.144324744748502</v>
      </c>
      <c r="AJ4508">
        <v>106.362508814764</v>
      </c>
      <c r="AK4508">
        <v>15.4935733093584</v>
      </c>
      <c r="AL4508">
        <v>76.850228731989702</v>
      </c>
      <c r="AM4508">
        <v>100.03064482967</v>
      </c>
      <c r="AN4508">
        <v>1.0000000529502999</v>
      </c>
    </row>
    <row r="4509" spans="1:40" x14ac:dyDescent="0.25">
      <c r="A4509" t="str">
        <f>"20190312172756352"</f>
        <v>20190312172756352</v>
      </c>
      <c r="B4509" t="str">
        <f>"1552382876343970"</f>
        <v>1552382876343970</v>
      </c>
      <c r="C4509" t="s">
        <v>40</v>
      </c>
      <c r="D4509">
        <v>3.3725079999999998</v>
      </c>
      <c r="E4509">
        <v>0.46158860000000002</v>
      </c>
      <c r="F4509" t="s">
        <v>41</v>
      </c>
      <c r="G4509">
        <v>-398.7441</v>
      </c>
      <c r="H4509" s="1">
        <v>-1.1052049999999999E-6</v>
      </c>
      <c r="I4509">
        <v>17.215859999999999</v>
      </c>
      <c r="J4509">
        <v>-412.06939999999997</v>
      </c>
      <c r="K4509">
        <v>1.1197699999999999</v>
      </c>
      <c r="L4509">
        <v>25.443210000000001</v>
      </c>
      <c r="M4509">
        <v>0.66953240000000003</v>
      </c>
      <c r="N4509">
        <v>0</v>
      </c>
      <c r="O4509">
        <v>-0.74262249999999996</v>
      </c>
      <c r="P4509">
        <v>0.76606090000000004</v>
      </c>
      <c r="Q4509">
        <v>0.21677250000000001</v>
      </c>
      <c r="R4509">
        <v>-0.60511169999999903</v>
      </c>
      <c r="S4509">
        <v>2.6680299999999999</v>
      </c>
      <c r="T4509">
        <v>-0.22080649999999999</v>
      </c>
      <c r="U4509">
        <v>-1.6649480000000001</v>
      </c>
      <c r="V4509">
        <v>-0.1691628</v>
      </c>
      <c r="W4509">
        <v>0.22768910000000001</v>
      </c>
      <c r="X4509">
        <v>0.95892730000000004</v>
      </c>
      <c r="Y4509">
        <v>-0.27366829999999998</v>
      </c>
      <c r="Z4509">
        <v>5.8600039999999999E-2</v>
      </c>
      <c r="AA4509">
        <v>0.96003740000000004</v>
      </c>
      <c r="AB4509">
        <v>32</v>
      </c>
      <c r="AC4509">
        <v>13.325299999999899</v>
      </c>
      <c r="AD4509">
        <v>-1.1197711052049999</v>
      </c>
      <c r="AE4509">
        <v>-8.2273499999999995</v>
      </c>
      <c r="AF4509">
        <v>-4.3653941449337603</v>
      </c>
      <c r="AG4509">
        <v>-1.1197711052049999</v>
      </c>
      <c r="AH4509">
        <v>14.956856926918899</v>
      </c>
      <c r="AI4509">
        <v>94.110678280118606</v>
      </c>
      <c r="AJ4509">
        <v>106.270716077787</v>
      </c>
      <c r="AK4509">
        <v>15.621079428163601</v>
      </c>
      <c r="AL4509">
        <v>76.838942156575797</v>
      </c>
      <c r="AM4509">
        <v>100.00452247286</v>
      </c>
      <c r="AN4509">
        <v>0.99999997292396903</v>
      </c>
    </row>
    <row r="4510" spans="1:40" x14ac:dyDescent="0.25">
      <c r="A4510" t="str">
        <f>"20190312172756365"</f>
        <v>20190312172756365</v>
      </c>
      <c r="B4510" t="str">
        <f>"1552382876353731"</f>
        <v>1552382876353731</v>
      </c>
      <c r="C4510" t="s">
        <v>40</v>
      </c>
      <c r="D4510">
        <v>3.352204</v>
      </c>
      <c r="E4510">
        <v>0.46238439999999997</v>
      </c>
      <c r="F4510" t="s">
        <v>41</v>
      </c>
      <c r="G4510">
        <v>-398.38810000000001</v>
      </c>
      <c r="H4510" s="1">
        <v>-1.3414270000000001E-6</v>
      </c>
      <c r="I4510">
        <v>16.841850000000001</v>
      </c>
      <c r="J4510">
        <v>-411.93810000000002</v>
      </c>
      <c r="K4510">
        <v>1.1198079999999999</v>
      </c>
      <c r="L4510">
        <v>25.30688</v>
      </c>
      <c r="M4510">
        <v>0.67467460000000001</v>
      </c>
      <c r="N4510">
        <v>0</v>
      </c>
      <c r="O4510">
        <v>-0.73795379999999999</v>
      </c>
      <c r="P4510">
        <v>0.77018019999999998</v>
      </c>
      <c r="Q4510">
        <v>0.2168804</v>
      </c>
      <c r="R4510">
        <v>-0.599821099999999</v>
      </c>
      <c r="S4510">
        <v>2.6577760000000001</v>
      </c>
      <c r="T4510">
        <v>-0.21753049999999999</v>
      </c>
      <c r="U4510">
        <v>-1.6709290000000001</v>
      </c>
      <c r="V4510">
        <v>-0.16910749999999999</v>
      </c>
      <c r="W4510">
        <v>0.22779170000000001</v>
      </c>
      <c r="X4510">
        <v>0.95891269999999995</v>
      </c>
      <c r="Y4510">
        <v>-0.26383420000000002</v>
      </c>
      <c r="Z4510">
        <v>5.7318800000000003E-2</v>
      </c>
      <c r="AA4510">
        <v>0.96286349999999998</v>
      </c>
      <c r="AB4510">
        <v>32</v>
      </c>
      <c r="AC4510">
        <v>13.55</v>
      </c>
      <c r="AD4510">
        <v>-1.1198093414269901</v>
      </c>
      <c r="AE4510">
        <v>-8.4650299999999898</v>
      </c>
      <c r="AF4510">
        <v>-4.2676792654569002</v>
      </c>
      <c r="AG4510">
        <v>-1.1198093414269901</v>
      </c>
      <c r="AH4510">
        <v>15.3152395005341</v>
      </c>
      <c r="AI4510">
        <v>94.028910575541005</v>
      </c>
      <c r="AJ4510">
        <v>105.57080008646599</v>
      </c>
      <c r="AK4510">
        <v>15.9381184658879</v>
      </c>
      <c r="AL4510">
        <v>76.832905134395702</v>
      </c>
      <c r="AM4510">
        <v>100.001467196985</v>
      </c>
      <c r="AN4510">
        <v>0.99999998568321402</v>
      </c>
    </row>
    <row r="4511" spans="1:40" x14ac:dyDescent="0.25">
      <c r="A4511" t="str">
        <f>"20190312172756378"</f>
        <v>20190312172756378</v>
      </c>
      <c r="B4511" t="str">
        <f>"1552382876374227"</f>
        <v>1552382876374227</v>
      </c>
      <c r="C4511" t="s">
        <v>40</v>
      </c>
      <c r="D4511">
        <v>3.3703210000000001</v>
      </c>
      <c r="E4511">
        <v>0.4635224</v>
      </c>
      <c r="F4511" t="s">
        <v>41</v>
      </c>
      <c r="G4511">
        <v>-398.3073</v>
      </c>
      <c r="H4511" s="1">
        <v>-1.3759109999999999E-6</v>
      </c>
      <c r="I4511">
        <v>16.828810000000001</v>
      </c>
      <c r="J4511">
        <v>-411.82279999999997</v>
      </c>
      <c r="K4511">
        <v>1.1198380000000001</v>
      </c>
      <c r="L4511">
        <v>25.189209999999999</v>
      </c>
      <c r="M4511">
        <v>0.67915329999999996</v>
      </c>
      <c r="N4511">
        <v>0</v>
      </c>
      <c r="O4511">
        <v>-0.73383409999999905</v>
      </c>
      <c r="P4511">
        <v>0.77361650000000004</v>
      </c>
      <c r="Q4511">
        <v>0.21745010000000001</v>
      </c>
      <c r="R4511">
        <v>-0.59517469999999995</v>
      </c>
      <c r="S4511">
        <v>2.665619</v>
      </c>
      <c r="T4511">
        <v>-0.21898809999999999</v>
      </c>
      <c r="U4511">
        <v>-1.657959</v>
      </c>
      <c r="V4511">
        <v>-0.16895589999999999</v>
      </c>
      <c r="W4511">
        <v>0.22835849999999999</v>
      </c>
      <c r="X4511">
        <v>0.95880460000000001</v>
      </c>
      <c r="Y4511">
        <v>-0.26259769999999999</v>
      </c>
      <c r="Z4511">
        <v>5.7430210000000002E-2</v>
      </c>
      <c r="AA4511">
        <v>0.96319480000000002</v>
      </c>
      <c r="AB4511">
        <v>32</v>
      </c>
      <c r="AC4511">
        <v>13.5154999999999</v>
      </c>
      <c r="AD4511">
        <v>-1.1198393759109999</v>
      </c>
      <c r="AE4511">
        <v>-8.3603999999999896</v>
      </c>
      <c r="AF4511">
        <v>-4.2196951480127796</v>
      </c>
      <c r="AG4511">
        <v>-1.1198393759109999</v>
      </c>
      <c r="AH4511">
        <v>15.240396243411899</v>
      </c>
      <c r="AI4511">
        <v>94.050591226616902</v>
      </c>
      <c r="AJ4511">
        <v>105.476116171887</v>
      </c>
      <c r="AK4511">
        <v>15.853376455071199</v>
      </c>
      <c r="AL4511">
        <v>76.799550717712194</v>
      </c>
      <c r="AM4511">
        <v>99.993785869235197</v>
      </c>
      <c r="AN4511">
        <v>0.99999998082410901</v>
      </c>
    </row>
    <row r="4512" spans="1:40" x14ac:dyDescent="0.25">
      <c r="A4512" t="str">
        <f>"20190312172756390"</f>
        <v>20190312172756390</v>
      </c>
      <c r="B4512" t="str">
        <f>"1552382876383987"</f>
        <v>1552382876383987</v>
      </c>
      <c r="C4512" t="s">
        <v>40</v>
      </c>
      <c r="D4512">
        <v>3.3584089999999902</v>
      </c>
      <c r="E4512">
        <v>0.46382990000000002</v>
      </c>
      <c r="F4512" t="s">
        <v>41</v>
      </c>
      <c r="G4512">
        <v>-398.44150000000002</v>
      </c>
      <c r="H4512" s="1">
        <v>-1.29989E-6</v>
      </c>
      <c r="I4512">
        <v>16.920850000000002</v>
      </c>
      <c r="J4512">
        <v>-411.69589999999999</v>
      </c>
      <c r="K4512">
        <v>1.1198709999999901</v>
      </c>
      <c r="L4512">
        <v>25.060759999999998</v>
      </c>
      <c r="M4512">
        <v>0.68404779999999998</v>
      </c>
      <c r="N4512">
        <v>0</v>
      </c>
      <c r="O4512">
        <v>-0.72927359999999997</v>
      </c>
      <c r="P4512">
        <v>0.77738980000000002</v>
      </c>
      <c r="Q4512">
        <v>0.21778629999999999</v>
      </c>
      <c r="R4512">
        <v>-0.59011400000000003</v>
      </c>
      <c r="S4512">
        <v>2.6709900000000002</v>
      </c>
      <c r="T4512">
        <v>-0.22352739999999999</v>
      </c>
      <c r="U4512">
        <v>-1.6504209999999999</v>
      </c>
      <c r="V4512">
        <v>-0.1687544</v>
      </c>
      <c r="W4512">
        <v>0.2286928</v>
      </c>
      <c r="X4512">
        <v>0.95876039999999996</v>
      </c>
      <c r="Y4512">
        <v>-0.25891189999999997</v>
      </c>
      <c r="Z4512">
        <v>5.823366E-2</v>
      </c>
      <c r="AA4512">
        <v>0.96414390000000005</v>
      </c>
      <c r="AB4512">
        <v>32</v>
      </c>
      <c r="AC4512">
        <v>13.254399999999899</v>
      </c>
      <c r="AD4512">
        <v>-1.1198722998899999</v>
      </c>
      <c r="AE4512">
        <v>-8.1399100000000004</v>
      </c>
      <c r="AF4512">
        <v>-4.0773500164577996</v>
      </c>
      <c r="AG4512">
        <v>-1.1198722998899999</v>
      </c>
      <c r="AH4512">
        <v>14.927277439339001</v>
      </c>
      <c r="AI4512">
        <v>94.139316908524194</v>
      </c>
      <c r="AJ4512">
        <v>105.277532039508</v>
      </c>
      <c r="AK4512">
        <v>15.5145901936135</v>
      </c>
      <c r="AL4512">
        <v>76.7798760206379</v>
      </c>
      <c r="AM4512">
        <v>99.982557879860806</v>
      </c>
      <c r="AN4512">
        <v>0.99999997444967903</v>
      </c>
    </row>
    <row r="4513" spans="1:40" x14ac:dyDescent="0.25">
      <c r="A4513" t="str">
        <f>"20190312172756408"</f>
        <v>20190312172756408</v>
      </c>
      <c r="B4513" t="str">
        <f>"1552382876403506"</f>
        <v>1552382876403506</v>
      </c>
      <c r="C4513" t="s">
        <v>40</v>
      </c>
      <c r="D4513">
        <v>3.3805170000000002</v>
      </c>
      <c r="E4513">
        <v>0.46383039999999998</v>
      </c>
      <c r="F4513" t="s">
        <v>41</v>
      </c>
      <c r="G4513">
        <v>-398.34879999999998</v>
      </c>
      <c r="H4513" s="1">
        <v>-1.3358059999999999E-6</v>
      </c>
      <c r="I4513">
        <v>16.919650000000001</v>
      </c>
      <c r="J4513">
        <v>-411.52359999999999</v>
      </c>
      <c r="K4513">
        <v>1.119909</v>
      </c>
      <c r="L4513">
        <v>24.889309999999998</v>
      </c>
      <c r="M4513">
        <v>0.69062670000000004</v>
      </c>
      <c r="N4513">
        <v>0</v>
      </c>
      <c r="O4513">
        <v>-0.72304619999999997</v>
      </c>
      <c r="P4513">
        <v>0.78267359999999997</v>
      </c>
      <c r="Q4513">
        <v>0.21808910000000001</v>
      </c>
      <c r="R4513">
        <v>-0.58297449999999995</v>
      </c>
      <c r="S4513">
        <v>2.6807859999999999</v>
      </c>
      <c r="T4513">
        <v>-0.22492909999999999</v>
      </c>
      <c r="U4513">
        <v>-1.635162</v>
      </c>
      <c r="V4513">
        <v>-0.168813299999999</v>
      </c>
      <c r="W4513">
        <v>0.22898569999999999</v>
      </c>
      <c r="X4513">
        <v>0.95868019999999998</v>
      </c>
      <c r="Y4513">
        <v>-0.25572149999999999</v>
      </c>
      <c r="Z4513">
        <v>5.8125040000000003E-2</v>
      </c>
      <c r="AA4513">
        <v>0.96500149999999996</v>
      </c>
      <c r="AB4513">
        <v>32</v>
      </c>
      <c r="AC4513">
        <v>13.174799999999999</v>
      </c>
      <c r="AD4513">
        <v>-1.1199103358059901</v>
      </c>
      <c r="AE4513">
        <v>-7.9696600000000002</v>
      </c>
      <c r="AF4513">
        <v>-4.0012433183786298</v>
      </c>
      <c r="AG4513">
        <v>-1.1199103358059901</v>
      </c>
      <c r="AH4513">
        <v>14.7848656956053</v>
      </c>
      <c r="AI4513">
        <v>94.181842845849005</v>
      </c>
      <c r="AJ4513">
        <v>105.14326807815</v>
      </c>
      <c r="AK4513">
        <v>15.357617031629699</v>
      </c>
      <c r="AL4513">
        <v>76.762637690580505</v>
      </c>
      <c r="AM4513">
        <v>99.986790528909395</v>
      </c>
      <c r="AN4513">
        <v>1.0000000534667</v>
      </c>
    </row>
    <row r="4514" spans="1:40" x14ac:dyDescent="0.25">
      <c r="A4514" t="str">
        <f>"20190312172756431"</f>
        <v>20190312172756431</v>
      </c>
      <c r="B4514" t="str">
        <f>"1552382876424003"</f>
        <v>1552382876424003</v>
      </c>
      <c r="C4514" t="s">
        <v>40</v>
      </c>
      <c r="D4514">
        <v>3.5038360000000002</v>
      </c>
      <c r="E4514">
        <v>0.46833359999999902</v>
      </c>
      <c r="F4514" t="s">
        <v>41</v>
      </c>
      <c r="G4514">
        <v>-398.33969999999999</v>
      </c>
      <c r="H4514" s="1">
        <v>-1.3161800000000001E-6</v>
      </c>
      <c r="I4514">
        <v>17.00656</v>
      </c>
      <c r="J4514">
        <v>-411.29640000000001</v>
      </c>
      <c r="K4514">
        <v>1.1199539999999999</v>
      </c>
      <c r="L4514">
        <v>24.668520000000001</v>
      </c>
      <c r="M4514">
        <v>0.69917850000000004</v>
      </c>
      <c r="N4514">
        <v>0</v>
      </c>
      <c r="O4514">
        <v>-0.71477969999999902</v>
      </c>
      <c r="P4514">
        <v>0.78950200000000004</v>
      </c>
      <c r="Q4514">
        <v>0.21792890000000001</v>
      </c>
      <c r="R4514">
        <v>-0.57375410000000004</v>
      </c>
      <c r="S4514">
        <v>2.6961059999999999</v>
      </c>
      <c r="T4514">
        <v>-0.22902249999999999</v>
      </c>
      <c r="U4514">
        <v>-1.6120300000000001</v>
      </c>
      <c r="V4514">
        <v>-0.16871029999999901</v>
      </c>
      <c r="W4514">
        <v>0.22882179999999999</v>
      </c>
      <c r="X4514">
        <v>0.95873739999999996</v>
      </c>
      <c r="Y4514">
        <v>-0.25269219999999998</v>
      </c>
      <c r="Z4514">
        <v>5.8556320000000002E-2</v>
      </c>
      <c r="AA4514">
        <v>0.9657732</v>
      </c>
      <c r="AB4514">
        <v>32</v>
      </c>
      <c r="AC4514">
        <v>12.9567</v>
      </c>
      <c r="AD4514">
        <v>-1.11995531618</v>
      </c>
      <c r="AE4514">
        <v>-7.6619599999999997</v>
      </c>
      <c r="AF4514">
        <v>-3.8830800911966001</v>
      </c>
      <c r="AG4514">
        <v>-1.11995531618</v>
      </c>
      <c r="AH4514">
        <v>14.457367426319699</v>
      </c>
      <c r="AI4514">
        <v>94.278584391942701</v>
      </c>
      <c r="AJ4514">
        <v>105.03416105232</v>
      </c>
      <c r="AK4514">
        <v>15.011598309457099</v>
      </c>
      <c r="AL4514">
        <v>76.772283772664295</v>
      </c>
      <c r="AM4514">
        <v>99.980236231196102</v>
      </c>
      <c r="AN4514">
        <v>0.99999999182004495</v>
      </c>
    </row>
    <row r="4515" spans="1:40" x14ac:dyDescent="0.25">
      <c r="A4515" t="str">
        <f>"20190312172756453"</f>
        <v>20190312172756453</v>
      </c>
      <c r="B4515" t="str">
        <f>"1552382876443526"</f>
        <v>1552382876443526</v>
      </c>
      <c r="C4515" t="s">
        <v>40</v>
      </c>
      <c r="D4515">
        <v>3.4068339999999901</v>
      </c>
      <c r="E4515">
        <v>0.46958820000000001</v>
      </c>
      <c r="F4515" t="s">
        <v>41</v>
      </c>
      <c r="G4515">
        <v>-398.9744</v>
      </c>
      <c r="H4515" s="1">
        <v>-9.916719000000001E-7</v>
      </c>
      <c r="I4515">
        <v>17.31015</v>
      </c>
      <c r="J4515">
        <v>-411.07310000000001</v>
      </c>
      <c r="K4515">
        <v>1.11999</v>
      </c>
      <c r="L4515">
        <v>24.456630000000001</v>
      </c>
      <c r="M4515">
        <v>0.70744419999999897</v>
      </c>
      <c r="N4515">
        <v>0</v>
      </c>
      <c r="O4515">
        <v>-0.70659949999999905</v>
      </c>
      <c r="P4515">
        <v>0.79593849999999999</v>
      </c>
      <c r="Q4515">
        <v>0.2186642</v>
      </c>
      <c r="R4515">
        <v>-0.56450679999999998</v>
      </c>
      <c r="S4515">
        <v>2.6970209999999999</v>
      </c>
      <c r="T4515">
        <v>-0.24513509999999999</v>
      </c>
      <c r="U4515">
        <v>-1.6105959999999999</v>
      </c>
      <c r="V4515">
        <v>-0.16863979999999901</v>
      </c>
      <c r="W4515">
        <v>0.22955139999999999</v>
      </c>
      <c r="X4515">
        <v>0.95857539999999997</v>
      </c>
      <c r="Y4515">
        <v>-0.24169489999999999</v>
      </c>
      <c r="Z4515">
        <v>6.1786569999999999E-2</v>
      </c>
      <c r="AA4515">
        <v>0.9683832</v>
      </c>
      <c r="AB4515">
        <v>32</v>
      </c>
      <c r="AC4515">
        <v>12.098699999999999</v>
      </c>
      <c r="AD4515">
        <v>-1.11999099167189</v>
      </c>
      <c r="AE4515">
        <v>-7.1464800000000004</v>
      </c>
      <c r="AF4515">
        <v>-3.4715641278573601</v>
      </c>
      <c r="AG4515">
        <v>-1.11999099167189</v>
      </c>
      <c r="AH4515">
        <v>13.5245667876572</v>
      </c>
      <c r="AI4515">
        <v>94.585949694486501</v>
      </c>
      <c r="AJ4515">
        <v>104.396206690895</v>
      </c>
      <c r="AK4515">
        <v>14.007856513723</v>
      </c>
      <c r="AL4515">
        <v>76.729337930896605</v>
      </c>
      <c r="AM4515">
        <v>99.977801626180593</v>
      </c>
      <c r="AN4515">
        <v>1.0000000124355799</v>
      </c>
    </row>
    <row r="4516" spans="1:40" x14ac:dyDescent="0.25">
      <c r="A4516" t="str">
        <f>"20190312172756475"</f>
        <v>20190312172756475</v>
      </c>
      <c r="B4516" t="str">
        <f>"1552382876464019"</f>
        <v>1552382876464019</v>
      </c>
      <c r="C4516" t="s">
        <v>40</v>
      </c>
      <c r="D4516">
        <v>3.3877410000000001</v>
      </c>
      <c r="E4516">
        <v>0.46985900000000003</v>
      </c>
      <c r="F4516" t="s">
        <v>41</v>
      </c>
      <c r="G4516">
        <v>-398.31349999999998</v>
      </c>
      <c r="H4516" s="1">
        <v>-1.33347E-6</v>
      </c>
      <c r="I4516">
        <v>16.979340000000001</v>
      </c>
      <c r="J4516">
        <v>-410.846</v>
      </c>
      <c r="K4516">
        <v>1.120026</v>
      </c>
      <c r="L4516">
        <v>24.24606</v>
      </c>
      <c r="M4516">
        <v>0.71570449999999997</v>
      </c>
      <c r="N4516">
        <v>0</v>
      </c>
      <c r="O4516">
        <v>-0.6982315</v>
      </c>
      <c r="P4516">
        <v>0.80262259999999996</v>
      </c>
      <c r="Q4516">
        <v>0.2182721</v>
      </c>
      <c r="R4516">
        <v>-0.55511709999999903</v>
      </c>
      <c r="S4516">
        <v>2.7086489999999999</v>
      </c>
      <c r="T4516">
        <v>-0.23775650000000001</v>
      </c>
      <c r="U4516">
        <v>-1.5873109999999999</v>
      </c>
      <c r="V4516">
        <v>-0.16871269999999999</v>
      </c>
      <c r="W4516">
        <v>0.22915550000000001</v>
      </c>
      <c r="X4516">
        <v>0.95865730000000005</v>
      </c>
      <c r="Y4516">
        <v>-0.23844870000000001</v>
      </c>
      <c r="Z4516">
        <v>5.9322699999999999E-2</v>
      </c>
      <c r="AA4516">
        <v>0.96934160000000003</v>
      </c>
      <c r="AB4516">
        <v>31</v>
      </c>
      <c r="AC4516">
        <v>12.532500000000001</v>
      </c>
      <c r="AD4516">
        <v>-1.1200273334699999</v>
      </c>
      <c r="AE4516">
        <v>-7.2667199999999896</v>
      </c>
      <c r="AF4516">
        <v>-3.52909317508237</v>
      </c>
      <c r="AG4516">
        <v>-1.1200273334699999</v>
      </c>
      <c r="AH4516">
        <v>13.961650040805701</v>
      </c>
      <c r="AI4516">
        <v>94.4472561670093</v>
      </c>
      <c r="AJ4516">
        <v>104.18554589830001</v>
      </c>
      <c r="AK4516">
        <v>14.4442594731631</v>
      </c>
      <c r="AL4516">
        <v>76.752642639427194</v>
      </c>
      <c r="AM4516">
        <v>99.981192486791599</v>
      </c>
      <c r="AN4516">
        <v>1.0000000185824101</v>
      </c>
    </row>
    <row r="4517" spans="1:40" x14ac:dyDescent="0.25">
      <c r="A4517" t="str">
        <f>"20190312172756499"</f>
        <v>20190312172756499</v>
      </c>
      <c r="B4517" t="str">
        <f>"1552382876494275"</f>
        <v>1552382876494275</v>
      </c>
      <c r="C4517" t="s">
        <v>40</v>
      </c>
      <c r="D4517">
        <v>3.494545</v>
      </c>
      <c r="E4517">
        <v>0.47025549999999999</v>
      </c>
      <c r="F4517" t="s">
        <v>41</v>
      </c>
      <c r="G4517">
        <v>-398.15940000000001</v>
      </c>
      <c r="H4517" s="1">
        <v>-1.387566E-6</v>
      </c>
      <c r="I4517">
        <v>16.998570000000001</v>
      </c>
      <c r="J4517">
        <v>-410.61219999999997</v>
      </c>
      <c r="K4517">
        <v>1.1200509999999999</v>
      </c>
      <c r="L4517">
        <v>24.034479999999999</v>
      </c>
      <c r="M4517">
        <v>0.72404860000000004</v>
      </c>
      <c r="N4517">
        <v>0</v>
      </c>
      <c r="O4517">
        <v>-0.68957469999999998</v>
      </c>
      <c r="P4517">
        <v>0.80908029999999997</v>
      </c>
      <c r="Q4517">
        <v>0.21821099999999999</v>
      </c>
      <c r="R4517">
        <v>-0.545686</v>
      </c>
      <c r="S4517">
        <v>2.726105</v>
      </c>
      <c r="T4517">
        <v>-0.24067189999999999</v>
      </c>
      <c r="U4517">
        <v>-1.5573429999999999</v>
      </c>
      <c r="V4517">
        <v>-0.16842599999999999</v>
      </c>
      <c r="W4517">
        <v>0.22910079999999999</v>
      </c>
      <c r="X4517">
        <v>0.95872080000000004</v>
      </c>
      <c r="Y4517">
        <v>-0.2374511</v>
      </c>
      <c r="Z4517">
        <v>5.9432350000000002E-2</v>
      </c>
      <c r="AA4517">
        <v>0.96957969999999905</v>
      </c>
      <c r="AB4517">
        <v>31</v>
      </c>
      <c r="AC4517">
        <v>12.4527999999999</v>
      </c>
      <c r="AD4517">
        <v>-1.120052387566</v>
      </c>
      <c r="AE4517">
        <v>-7.0359099999999897</v>
      </c>
      <c r="AF4517">
        <v>-3.4719240906443698</v>
      </c>
      <c r="AG4517">
        <v>-1.120052387566</v>
      </c>
      <c r="AH4517">
        <v>13.7853493838328</v>
      </c>
      <c r="AI4517">
        <v>94.504972905814</v>
      </c>
      <c r="AJ4517">
        <v>104.136289733954</v>
      </c>
      <c r="AK4517">
        <v>14.2598959279662</v>
      </c>
      <c r="AL4517">
        <v>76.755862572555898</v>
      </c>
      <c r="AM4517">
        <v>99.963924524172697</v>
      </c>
      <c r="AN4517">
        <v>1.0000000331946299</v>
      </c>
    </row>
    <row r="4518" spans="1:40" x14ac:dyDescent="0.25">
      <c r="A4518" t="str">
        <f>"20190312172756521"</f>
        <v>20190312172756521</v>
      </c>
      <c r="B4518" t="str">
        <f>"1552382876513795"</f>
        <v>1552382876513795</v>
      </c>
      <c r="C4518" t="s">
        <v>40</v>
      </c>
      <c r="D4518">
        <v>3.4292220000000002</v>
      </c>
      <c r="E4518">
        <v>0.470995</v>
      </c>
      <c r="F4518" t="s">
        <v>41</v>
      </c>
      <c r="G4518">
        <v>-398.34719999999999</v>
      </c>
      <c r="H4518" s="1">
        <v>-1.261558E-6</v>
      </c>
      <c r="I4518">
        <v>17.201070000000001</v>
      </c>
      <c r="J4518">
        <v>-410.3793</v>
      </c>
      <c r="K4518">
        <v>1.120066</v>
      </c>
      <c r="L4518">
        <v>23.828769999999999</v>
      </c>
      <c r="M4518">
        <v>0.73219290000000004</v>
      </c>
      <c r="N4518">
        <v>0</v>
      </c>
      <c r="O4518">
        <v>-0.68092050000000004</v>
      </c>
      <c r="P4518">
        <v>0.81535230000000003</v>
      </c>
      <c r="Q4518">
        <v>0.2182982</v>
      </c>
      <c r="R4518">
        <v>-0.53623390000000004</v>
      </c>
      <c r="S4518">
        <v>2.7442630000000001</v>
      </c>
      <c r="T4518">
        <v>-0.25060939999999998</v>
      </c>
      <c r="U4518">
        <v>-1.528961</v>
      </c>
      <c r="V4518">
        <v>-0.16818079999999999</v>
      </c>
      <c r="W4518">
        <v>0.2291955</v>
      </c>
      <c r="X4518">
        <v>0.95874119999999996</v>
      </c>
      <c r="Y4518">
        <v>-0.2361376</v>
      </c>
      <c r="Z4518">
        <v>6.1189439999999998E-2</v>
      </c>
      <c r="AA4518">
        <v>0.96979119999999996</v>
      </c>
      <c r="AB4518">
        <v>31</v>
      </c>
      <c r="AC4518">
        <v>12.0321</v>
      </c>
      <c r="AD4518">
        <v>-1.1200672615580001</v>
      </c>
      <c r="AE4518">
        <v>-6.6276999999999999</v>
      </c>
      <c r="AF4518">
        <v>-3.3184880944760402</v>
      </c>
      <c r="AG4518">
        <v>-1.1200672615580001</v>
      </c>
      <c r="AH4518">
        <v>13.236358095888299</v>
      </c>
      <c r="AI4518">
        <v>94.692331007406807</v>
      </c>
      <c r="AJ4518">
        <v>104.074527209167</v>
      </c>
      <c r="AK4518">
        <v>13.691898683023499</v>
      </c>
      <c r="AL4518">
        <v>76.750288211942205</v>
      </c>
      <c r="AM4518">
        <v>99.949501319817799</v>
      </c>
      <c r="AN4518">
        <v>1.0000000236431601</v>
      </c>
    </row>
    <row r="4519" spans="1:40" x14ac:dyDescent="0.25">
      <c r="A4519" t="str">
        <f>"20190312172756542"</f>
        <v>20190312172756542</v>
      </c>
      <c r="B4519" t="str">
        <f>"1552382876534290"</f>
        <v>1552382876534290</v>
      </c>
      <c r="C4519" t="s">
        <v>40</v>
      </c>
      <c r="D4519">
        <v>3.4613290000000001</v>
      </c>
      <c r="E4519">
        <v>0.47775129999999999</v>
      </c>
      <c r="F4519" t="s">
        <v>41</v>
      </c>
      <c r="G4519">
        <v>-398.13440000000003</v>
      </c>
      <c r="H4519" s="1">
        <v>-1.3526049999999999E-6</v>
      </c>
      <c r="I4519">
        <v>17.165979999999902</v>
      </c>
      <c r="J4519">
        <v>-410.15719999999999</v>
      </c>
      <c r="K4519">
        <v>1.1200619999999999</v>
      </c>
      <c r="L4519">
        <v>23.63702</v>
      </c>
      <c r="M4519">
        <v>0.73980869999999999</v>
      </c>
      <c r="N4519">
        <v>0</v>
      </c>
      <c r="O4519">
        <v>-0.67263819999999996</v>
      </c>
      <c r="P4519">
        <v>0.82096979999999997</v>
      </c>
      <c r="Q4519">
        <v>0.2181399</v>
      </c>
      <c r="R4519">
        <v>-0.52765859999999998</v>
      </c>
      <c r="S4519">
        <v>2.7594599999999998</v>
      </c>
      <c r="T4519">
        <v>-0.2524132</v>
      </c>
      <c r="U4519">
        <v>-1.501495</v>
      </c>
      <c r="V4519">
        <v>-0.1674658</v>
      </c>
      <c r="W4519">
        <v>0.22905900000000001</v>
      </c>
      <c r="X4519">
        <v>0.95889899999999995</v>
      </c>
      <c r="Y4519">
        <v>-0.2348864</v>
      </c>
      <c r="Z4519">
        <v>6.0998049999999998E-2</v>
      </c>
      <c r="AA4519">
        <v>0.97010700000000005</v>
      </c>
      <c r="AB4519">
        <v>31</v>
      </c>
      <c r="AC4519">
        <v>12.022799999999901</v>
      </c>
      <c r="AD4519">
        <v>-1.1200633526049999</v>
      </c>
      <c r="AE4519">
        <v>-6.4710400000000003</v>
      </c>
      <c r="AF4519">
        <v>-3.2780008794727999</v>
      </c>
      <c r="AG4519">
        <v>-1.1200633526049999</v>
      </c>
      <c r="AH4519">
        <v>13.160273826121299</v>
      </c>
      <c r="AI4519">
        <v>94.721118696918793</v>
      </c>
      <c r="AJ4519">
        <v>103.98678479567999</v>
      </c>
      <c r="AK4519">
        <v>13.6085502114724</v>
      </c>
      <c r="AL4519">
        <v>76.758323270181194</v>
      </c>
      <c r="AM4519">
        <v>99.906444017971296</v>
      </c>
      <c r="AN4519">
        <v>1.00000005592581</v>
      </c>
    </row>
    <row r="4520" spans="1:40" x14ac:dyDescent="0.25">
      <c r="A4520" t="str">
        <f>"20190312172756564"</f>
        <v>20190312172756564</v>
      </c>
      <c r="B4520" t="str">
        <f>"1552382876553811"</f>
        <v>1552382876553811</v>
      </c>
      <c r="C4520" t="s">
        <v>40</v>
      </c>
      <c r="D4520">
        <v>3.4685540000000001</v>
      </c>
      <c r="E4520">
        <v>0.478908</v>
      </c>
      <c r="F4520" t="s">
        <v>41</v>
      </c>
      <c r="G4520">
        <v>-398.63510000000002</v>
      </c>
      <c r="H4520" s="1">
        <v>-1.1326139999999999E-6</v>
      </c>
      <c r="I4520">
        <v>17.270129999999899</v>
      </c>
      <c r="J4520">
        <v>-409.92070000000001</v>
      </c>
      <c r="K4520">
        <v>1.120066</v>
      </c>
      <c r="L4520">
        <v>23.437650000000001</v>
      </c>
      <c r="M4520">
        <v>0.74774589999999996</v>
      </c>
      <c r="N4520">
        <v>0</v>
      </c>
      <c r="O4520">
        <v>-0.6638039</v>
      </c>
      <c r="P4520">
        <v>0.82710309999999898</v>
      </c>
      <c r="Q4520">
        <v>0.21787229999999999</v>
      </c>
      <c r="R4520">
        <v>-0.51810469999999997</v>
      </c>
      <c r="S4520">
        <v>2.7489319999999999</v>
      </c>
      <c r="T4520">
        <v>-0.26722469999999998</v>
      </c>
      <c r="U4520">
        <v>-1.519012</v>
      </c>
      <c r="V4520">
        <v>-0.16723289999999999</v>
      </c>
      <c r="W4520">
        <v>0.22880229999999999</v>
      </c>
      <c r="X4520">
        <v>0.95900090000000004</v>
      </c>
      <c r="Y4520">
        <v>-0.2167781</v>
      </c>
      <c r="Z4520">
        <v>6.3309889999999994E-2</v>
      </c>
      <c r="AA4520">
        <v>0.97416590000000003</v>
      </c>
      <c r="AB4520">
        <v>31</v>
      </c>
      <c r="AC4520">
        <v>11.285599999999899</v>
      </c>
      <c r="AD4520">
        <v>-1.1200671326139999</v>
      </c>
      <c r="AE4520">
        <v>-6.1675199999999997</v>
      </c>
      <c r="AF4520">
        <v>-2.8583537139980102</v>
      </c>
      <c r="AG4520">
        <v>-1.1200671326139999</v>
      </c>
      <c r="AH4520">
        <v>12.4399374668709</v>
      </c>
      <c r="AI4520">
        <v>95.014937004960004</v>
      </c>
      <c r="AJ4520">
        <v>102.940376053115</v>
      </c>
      <c r="AK4520">
        <v>12.8131487354025</v>
      </c>
      <c r="AL4520">
        <v>76.773432013014698</v>
      </c>
      <c r="AM4520">
        <v>99.891908770898198</v>
      </c>
      <c r="AN4520">
        <v>1.00000003076425</v>
      </c>
    </row>
    <row r="4521" spans="1:40" x14ac:dyDescent="0.25">
      <c r="A4521" t="str">
        <f>"20190312172756586"</f>
        <v>20190312172756586</v>
      </c>
      <c r="B4521" t="str">
        <f>"1552382876584066"</f>
        <v>1552382876584066</v>
      </c>
      <c r="C4521" t="s">
        <v>40</v>
      </c>
      <c r="D4521">
        <v>3.4714</v>
      </c>
      <c r="E4521">
        <v>0.47986649999999997</v>
      </c>
      <c r="F4521" t="s">
        <v>41</v>
      </c>
      <c r="G4521">
        <v>-398.5788</v>
      </c>
      <c r="H4521" s="1">
        <v>-1.1463309999999999E-6</v>
      </c>
      <c r="I4521">
        <v>17.299800000000001</v>
      </c>
      <c r="J4521">
        <v>-409.68700000000001</v>
      </c>
      <c r="K4521">
        <v>1.1200589999999999</v>
      </c>
      <c r="L4521">
        <v>23.245239999999999</v>
      </c>
      <c r="M4521">
        <v>0.7554227</v>
      </c>
      <c r="N4521">
        <v>0</v>
      </c>
      <c r="O4521">
        <v>-0.65505409999999997</v>
      </c>
      <c r="P4521">
        <v>0.83296130000000002</v>
      </c>
      <c r="Q4521">
        <v>0.21766630000000001</v>
      </c>
      <c r="R4521">
        <v>-0.50872129999999904</v>
      </c>
      <c r="S4521">
        <v>2.7624819999999999</v>
      </c>
      <c r="T4521">
        <v>-0.27280880000000002</v>
      </c>
      <c r="U4521">
        <v>-1.4949650000000001</v>
      </c>
      <c r="V4521">
        <v>-0.1669361</v>
      </c>
      <c r="W4521">
        <v>0.22860920000000001</v>
      </c>
      <c r="X4521">
        <v>0.95909860000000002</v>
      </c>
      <c r="Y4521">
        <v>-0.2139009</v>
      </c>
      <c r="Z4521">
        <v>6.3837569999999996E-2</v>
      </c>
      <c r="AA4521">
        <v>0.9747673</v>
      </c>
      <c r="AB4521">
        <v>31</v>
      </c>
      <c r="AC4521">
        <v>11.108199999999901</v>
      </c>
      <c r="AD4521">
        <v>-1.12006014633099</v>
      </c>
      <c r="AE4521">
        <v>-5.9454399999999898</v>
      </c>
      <c r="AF4521">
        <v>-2.7636455697419402</v>
      </c>
      <c r="AG4521">
        <v>-1.12006014633099</v>
      </c>
      <c r="AH4521">
        <v>12.191102959553</v>
      </c>
      <c r="AI4521">
        <v>95.1201282388555</v>
      </c>
      <c r="AJ4521">
        <v>102.772712779557</v>
      </c>
      <c r="AK4521">
        <v>12.5505084732442</v>
      </c>
      <c r="AL4521">
        <v>76.784796316624195</v>
      </c>
      <c r="AM4521">
        <v>99.873712682398093</v>
      </c>
      <c r="AN4521">
        <v>0.99999997616490399</v>
      </c>
    </row>
    <row r="4522" spans="1:40" x14ac:dyDescent="0.25">
      <c r="A4522" t="str">
        <f>"20190312172756610"</f>
        <v>20190312172756610</v>
      </c>
      <c r="B4522" t="str">
        <f>"1552382876603590"</f>
        <v>1552382876603590</v>
      </c>
      <c r="C4522" t="s">
        <v>40</v>
      </c>
      <c r="D4522">
        <v>3.5781619999999998</v>
      </c>
      <c r="E4522">
        <v>0.48438940000000003</v>
      </c>
      <c r="F4522" t="s">
        <v>41</v>
      </c>
      <c r="G4522">
        <v>-398.47449999999998</v>
      </c>
      <c r="H4522" s="1">
        <v>-1.1849610000000001E-6</v>
      </c>
      <c r="I4522">
        <v>17.305150000000001</v>
      </c>
      <c r="J4522">
        <v>-409.44470000000001</v>
      </c>
      <c r="K4522">
        <v>1.120053</v>
      </c>
      <c r="L4522">
        <v>23.05078</v>
      </c>
      <c r="M4522">
        <v>0.76320200000000005</v>
      </c>
      <c r="N4522">
        <v>0</v>
      </c>
      <c r="O4522">
        <v>-0.64597360000000004</v>
      </c>
      <c r="P4522">
        <v>0.83894199999999997</v>
      </c>
      <c r="Q4522">
        <v>0.21698319999999999</v>
      </c>
      <c r="R4522">
        <v>-0.49909419999999999</v>
      </c>
      <c r="S4522">
        <v>2.775909</v>
      </c>
      <c r="T4522">
        <v>-0.27729759999999998</v>
      </c>
      <c r="U4522">
        <v>-1.470612</v>
      </c>
      <c r="V4522">
        <v>-0.16660339999999901</v>
      </c>
      <c r="W4522">
        <v>0.22794210000000001</v>
      </c>
      <c r="X4522">
        <v>0.95931520000000003</v>
      </c>
      <c r="Y4522">
        <v>-0.21079880000000001</v>
      </c>
      <c r="Z4522">
        <v>6.4043450000000002E-2</v>
      </c>
      <c r="AA4522">
        <v>0.97542930000000005</v>
      </c>
      <c r="AB4522">
        <v>31</v>
      </c>
      <c r="AC4522">
        <v>10.9702</v>
      </c>
      <c r="AD4522">
        <v>-1.120054184961</v>
      </c>
      <c r="AE4522">
        <v>-5.7456299999999896</v>
      </c>
      <c r="AF4522">
        <v>-2.6797869590566998</v>
      </c>
      <c r="AG4522">
        <v>-1.120054184961</v>
      </c>
      <c r="AH4522">
        <v>11.9873978067809</v>
      </c>
      <c r="AI4522">
        <v>95.210122679543105</v>
      </c>
      <c r="AJ4522">
        <v>102.60130232997</v>
      </c>
      <c r="AK4522">
        <v>12.334240377955799</v>
      </c>
      <c r="AL4522">
        <v>76.8240548580591</v>
      </c>
      <c r="AM4522">
        <v>99.852239355798005</v>
      </c>
      <c r="AN4522">
        <v>0.99999997339750402</v>
      </c>
    </row>
    <row r="4523" spans="1:40" x14ac:dyDescent="0.25">
      <c r="A4523" t="str">
        <f>"20190312172756631"</f>
        <v>20190312172756631</v>
      </c>
      <c r="B4523" t="str">
        <f>"1552382876624083"</f>
        <v>1552382876624083</v>
      </c>
      <c r="C4523" t="s">
        <v>40</v>
      </c>
      <c r="D4523">
        <v>3.4982190000000002</v>
      </c>
      <c r="E4523">
        <v>0.48591319999999999</v>
      </c>
      <c r="F4523" t="s">
        <v>41</v>
      </c>
      <c r="G4523">
        <v>-398.79910000000001</v>
      </c>
      <c r="H4523" s="1">
        <v>-1.0312110000000001E-6</v>
      </c>
      <c r="I4523">
        <v>17.4146</v>
      </c>
      <c r="J4523">
        <v>-409.20049999999998</v>
      </c>
      <c r="K4523">
        <v>1.1200349999999999</v>
      </c>
      <c r="L4523">
        <v>22.859649999999998</v>
      </c>
      <c r="M4523">
        <v>0.77086279999999996</v>
      </c>
      <c r="N4523">
        <v>0</v>
      </c>
      <c r="O4523">
        <v>-0.63681219999999905</v>
      </c>
      <c r="P4523">
        <v>0.84451880000000001</v>
      </c>
      <c r="Q4523">
        <v>0.2172723</v>
      </c>
      <c r="R4523">
        <v>-0.48947020000000002</v>
      </c>
      <c r="S4523">
        <v>2.7768860000000002</v>
      </c>
      <c r="T4523">
        <v>-0.29216330000000001</v>
      </c>
      <c r="U4523">
        <v>-1.4701839999999999</v>
      </c>
      <c r="V4523">
        <v>-0.16606409999999999</v>
      </c>
      <c r="W4523">
        <v>0.22824900000000001</v>
      </c>
      <c r="X4523">
        <v>0.95933570000000001</v>
      </c>
      <c r="Y4523">
        <v>-0.19913610000000001</v>
      </c>
      <c r="Z4523">
        <v>6.6240019999999997E-2</v>
      </c>
      <c r="AA4523">
        <v>0.97773060000000001</v>
      </c>
      <c r="AB4523">
        <v>31</v>
      </c>
      <c r="AC4523">
        <v>10.401399999999899</v>
      </c>
      <c r="AD4523">
        <v>-1.120036031211</v>
      </c>
      <c r="AE4523">
        <v>-5.4450499999999904</v>
      </c>
      <c r="AF4523">
        <v>-2.40475802200914</v>
      </c>
      <c r="AG4523">
        <v>-1.120036031211</v>
      </c>
      <c r="AH4523">
        <v>11.383308375162001</v>
      </c>
      <c r="AI4523">
        <v>95.498814515098999</v>
      </c>
      <c r="AJ4523">
        <v>101.928520982533</v>
      </c>
      <c r="AK4523">
        <v>11.6883297104274</v>
      </c>
      <c r="AL4523">
        <v>76.805994222888103</v>
      </c>
      <c r="AM4523">
        <v>99.820763587072605</v>
      </c>
      <c r="AN4523">
        <v>0.99999993830214795</v>
      </c>
    </row>
    <row r="4524" spans="1:40" x14ac:dyDescent="0.25">
      <c r="A4524" t="str">
        <f>"20190312172756654"</f>
        <v>20190312172756654</v>
      </c>
      <c r="B4524" t="str">
        <f>"1552382876643606"</f>
        <v>1552382876643606</v>
      </c>
      <c r="C4524" t="s">
        <v>40</v>
      </c>
      <c r="D4524">
        <v>3.5865719999999999</v>
      </c>
      <c r="E4524">
        <v>0.48665960000000003</v>
      </c>
      <c r="F4524" t="s">
        <v>41</v>
      </c>
      <c r="G4524">
        <v>-398.50790000000001</v>
      </c>
      <c r="H4524" s="1">
        <v>-1.1728579999999999E-6</v>
      </c>
      <c r="I4524">
        <v>17.302489999999999</v>
      </c>
      <c r="J4524">
        <v>-408.95819999999998</v>
      </c>
      <c r="K4524">
        <v>1.120023</v>
      </c>
      <c r="L4524">
        <v>22.674589999999998</v>
      </c>
      <c r="M4524">
        <v>0.77829199999999998</v>
      </c>
      <c r="N4524">
        <v>0</v>
      </c>
      <c r="O4524">
        <v>-0.62771060000000001</v>
      </c>
      <c r="P4524">
        <v>0.85005529999999996</v>
      </c>
      <c r="Q4524">
        <v>0.21775990000000001</v>
      </c>
      <c r="R4524">
        <v>-0.47956929999999998</v>
      </c>
      <c r="S4524">
        <v>2.78775</v>
      </c>
      <c r="T4524">
        <v>-0.29201379999999999</v>
      </c>
      <c r="U4524">
        <v>-1.4488529999999999</v>
      </c>
      <c r="V4524">
        <v>-0.16592579999999901</v>
      </c>
      <c r="W4524">
        <v>0.2287438</v>
      </c>
      <c r="X4524">
        <v>0.95924180000000003</v>
      </c>
      <c r="Y4524">
        <v>-0.19511909999999999</v>
      </c>
      <c r="Z4524">
        <v>6.5290119999999993E-2</v>
      </c>
      <c r="AA4524">
        <v>0.97860400000000003</v>
      </c>
      <c r="AB4524">
        <v>31</v>
      </c>
      <c r="AC4524">
        <v>10.450299999999899</v>
      </c>
      <c r="AD4524">
        <v>-1.120024172858</v>
      </c>
      <c r="AE4524">
        <v>-5.3720999999999997</v>
      </c>
      <c r="AF4524">
        <v>-2.35756798816386</v>
      </c>
      <c r="AG4524">
        <v>-1.120024172858</v>
      </c>
      <c r="AH4524">
        <v>11.4032879821688</v>
      </c>
      <c r="AI4524">
        <v>95.494108847830105</v>
      </c>
      <c r="AJ4524">
        <v>101.68101903082</v>
      </c>
      <c r="AK4524">
        <v>11.698186088914699</v>
      </c>
      <c r="AL4524">
        <v>76.776874229391098</v>
      </c>
      <c r="AM4524">
        <v>99.813685700081905</v>
      </c>
      <c r="AN4524">
        <v>0.99999996400565905</v>
      </c>
    </row>
    <row r="4525" spans="1:40" x14ac:dyDescent="0.25">
      <c r="A4525" t="str">
        <f>"20190312172756676"</f>
        <v>20190312172756676</v>
      </c>
      <c r="B4525" t="str">
        <f>"1552382876673859"</f>
        <v>1552382876673859</v>
      </c>
      <c r="C4525" t="s">
        <v>40</v>
      </c>
      <c r="D4525">
        <v>3.4572829999999999</v>
      </c>
      <c r="E4525">
        <v>0.48872270000000001</v>
      </c>
      <c r="F4525" t="s">
        <v>41</v>
      </c>
      <c r="G4525">
        <v>-398.29489999999998</v>
      </c>
      <c r="H4525" s="1">
        <v>-1.2651359999999999E-6</v>
      </c>
      <c r="I4525">
        <v>17.263030000000001</v>
      </c>
      <c r="J4525">
        <v>-408.71809999999999</v>
      </c>
      <c r="K4525">
        <v>1.120009</v>
      </c>
      <c r="L4525">
        <v>22.495609999999999</v>
      </c>
      <c r="M4525">
        <v>0.78548530000000005</v>
      </c>
      <c r="N4525">
        <v>0</v>
      </c>
      <c r="O4525">
        <v>-0.61868570000000001</v>
      </c>
      <c r="P4525">
        <v>0.85543649999999904</v>
      </c>
      <c r="Q4525">
        <v>0.21797130000000001</v>
      </c>
      <c r="R4525">
        <v>-0.46980509999999898</v>
      </c>
      <c r="S4525">
        <v>2.8022770000000001</v>
      </c>
      <c r="T4525">
        <v>-0.2943404</v>
      </c>
      <c r="U4525">
        <v>-1.42215</v>
      </c>
      <c r="V4525">
        <v>-0.1657991</v>
      </c>
      <c r="W4525">
        <v>0.22896250000000001</v>
      </c>
      <c r="X4525">
        <v>0.95921160000000005</v>
      </c>
      <c r="Y4525">
        <v>-0.19325909999999999</v>
      </c>
      <c r="Z4525">
        <v>6.4946749999999998E-2</v>
      </c>
      <c r="AA4525">
        <v>0.97899579999999997</v>
      </c>
      <c r="AB4525">
        <v>31</v>
      </c>
      <c r="AC4525">
        <v>10.4232</v>
      </c>
      <c r="AD4525">
        <v>-1.120010265136</v>
      </c>
      <c r="AE4525">
        <v>-5.2325799999999898</v>
      </c>
      <c r="AF4525">
        <v>-2.3174796675295899</v>
      </c>
      <c r="AG4525">
        <v>-1.120010265136</v>
      </c>
      <c r="AH4525">
        <v>11.3215598400469</v>
      </c>
      <c r="AI4525">
        <v>95.535679880085297</v>
      </c>
      <c r="AJ4525">
        <v>101.568417811765</v>
      </c>
      <c r="AK4525">
        <v>11.6104630491288</v>
      </c>
      <c r="AL4525">
        <v>76.764002925716795</v>
      </c>
      <c r="AM4525">
        <v>99.806640317335393</v>
      </c>
      <c r="AN4525">
        <v>1.0000000307707999</v>
      </c>
    </row>
    <row r="4526" spans="1:40" x14ac:dyDescent="0.25">
      <c r="A4526" t="str">
        <f>"20190312172756699"</f>
        <v>20190312172756699</v>
      </c>
      <c r="B4526" t="str">
        <f>"1552382876694355"</f>
        <v>1552382876694355</v>
      </c>
      <c r="C4526" t="s">
        <v>40</v>
      </c>
      <c r="D4526">
        <v>3.461741</v>
      </c>
      <c r="E4526">
        <v>0.48889260000000001</v>
      </c>
      <c r="F4526" t="s">
        <v>41</v>
      </c>
      <c r="G4526">
        <v>-398.05220000000003</v>
      </c>
      <c r="H4526" s="1">
        <v>-1.3847540000000001E-6</v>
      </c>
      <c r="I4526">
        <v>17.163879999999999</v>
      </c>
      <c r="J4526">
        <v>-408.4676</v>
      </c>
      <c r="K4526">
        <v>1.119991</v>
      </c>
      <c r="L4526">
        <v>22.313289999999999</v>
      </c>
      <c r="M4526">
        <v>0.79282410000000003</v>
      </c>
      <c r="N4526">
        <v>0</v>
      </c>
      <c r="O4526">
        <v>-0.60925309999999999</v>
      </c>
      <c r="P4526">
        <v>0.86089419999999905</v>
      </c>
      <c r="Q4526">
        <v>0.21794540000000001</v>
      </c>
      <c r="R4526">
        <v>-0.45974039999999999</v>
      </c>
      <c r="S4526">
        <v>2.8105470000000001</v>
      </c>
      <c r="T4526">
        <v>-0.29512860000000002</v>
      </c>
      <c r="U4526">
        <v>-1.404938</v>
      </c>
      <c r="V4526">
        <v>-0.165576</v>
      </c>
      <c r="W4526">
        <v>0.2289476</v>
      </c>
      <c r="X4526">
        <v>0.95925369999999999</v>
      </c>
      <c r="Y4526">
        <v>-0.18751609999999999</v>
      </c>
      <c r="Z4526">
        <v>6.4092579999999996E-2</v>
      </c>
      <c r="AA4526">
        <v>0.98016829999999999</v>
      </c>
      <c r="AB4526">
        <v>31</v>
      </c>
      <c r="AC4526">
        <v>10.415399999999901</v>
      </c>
      <c r="AD4526">
        <v>-1.1199923847540001</v>
      </c>
      <c r="AE4526">
        <v>-5.1494099999999996</v>
      </c>
      <c r="AF4526">
        <v>-2.2424737723091002</v>
      </c>
      <c r="AG4526">
        <v>-1.1199923847540001</v>
      </c>
      <c r="AH4526">
        <v>11.291326967863</v>
      </c>
      <c r="AI4526">
        <v>95.556838893970493</v>
      </c>
      <c r="AJ4526">
        <v>101.23286207842401</v>
      </c>
      <c r="AK4526">
        <v>11.5662066493986</v>
      </c>
      <c r="AL4526">
        <v>76.764880027977398</v>
      </c>
      <c r="AM4526">
        <v>99.793278658769793</v>
      </c>
      <c r="AN4526">
        <v>1.0000000381427201</v>
      </c>
    </row>
    <row r="4527" spans="1:40" x14ac:dyDescent="0.25">
      <c r="A4527" t="str">
        <f>"20190312172756722"</f>
        <v>20190312172756722</v>
      </c>
      <c r="B4527" t="str">
        <f>"1552382876713875"</f>
        <v>1552382876713875</v>
      </c>
      <c r="C4527" t="s">
        <v>40</v>
      </c>
      <c r="D4527">
        <v>3.5069590000000002</v>
      </c>
      <c r="E4527">
        <v>0.46851330000000002</v>
      </c>
      <c r="F4527" t="s">
        <v>41</v>
      </c>
      <c r="G4527">
        <v>-397.76440000000002</v>
      </c>
      <c r="H4527" s="1">
        <v>-1.50916E-6</v>
      </c>
      <c r="I4527">
        <v>17.111619999999998</v>
      </c>
      <c r="J4527">
        <v>-408.20699999999999</v>
      </c>
      <c r="K4527">
        <v>1.1199779999999999</v>
      </c>
      <c r="L4527">
        <v>22.12848</v>
      </c>
      <c r="M4527">
        <v>0.80027479999999995</v>
      </c>
      <c r="N4527">
        <v>0</v>
      </c>
      <c r="O4527">
        <v>-0.59943279999999999</v>
      </c>
      <c r="P4527">
        <v>0.86603920000000001</v>
      </c>
      <c r="Q4527">
        <v>0.21849689999999999</v>
      </c>
      <c r="R4527">
        <v>-0.4497062</v>
      </c>
      <c r="S4527">
        <v>2.826111</v>
      </c>
      <c r="T4527">
        <v>-0.29572769999999998</v>
      </c>
      <c r="U4527">
        <v>-1.3734740000000001</v>
      </c>
      <c r="V4527">
        <v>-0.16481299999999999</v>
      </c>
      <c r="W4527">
        <v>0.22952220000000001</v>
      </c>
      <c r="X4527">
        <v>0.95924779999999998</v>
      </c>
      <c r="Y4527">
        <v>-0.18638830000000001</v>
      </c>
      <c r="Z4527">
        <v>6.3323480000000001E-2</v>
      </c>
      <c r="AA4527">
        <v>0.98043329999999995</v>
      </c>
      <c r="AB4527">
        <v>31</v>
      </c>
      <c r="AC4527">
        <v>10.442599999999899</v>
      </c>
      <c r="AD4527">
        <v>-1.11997950916</v>
      </c>
      <c r="AE4527">
        <v>-5.0168599999999897</v>
      </c>
      <c r="AF4527">
        <v>-2.2242531026612502</v>
      </c>
      <c r="AG4527">
        <v>-1.11997950916</v>
      </c>
      <c r="AH4527">
        <v>11.2603509871716</v>
      </c>
      <c r="AI4527">
        <v>95.573096569506504</v>
      </c>
      <c r="AJ4527">
        <v>101.17377086127399</v>
      </c>
      <c r="AK4527">
        <v>11.532439478268801</v>
      </c>
      <c r="AL4527">
        <v>76.7310574184432</v>
      </c>
      <c r="AM4527">
        <v>99.7490764753544</v>
      </c>
      <c r="AN4527">
        <v>1.00000005353333</v>
      </c>
    </row>
    <row r="4528" spans="1:40" x14ac:dyDescent="0.25">
      <c r="A4528" t="str">
        <f>"20190312172756745"</f>
        <v>20190312172756745</v>
      </c>
      <c r="B4528" t="str">
        <f>"1552382876734371"</f>
        <v>1552382876734371</v>
      </c>
      <c r="C4528" t="s">
        <v>40</v>
      </c>
      <c r="D4528">
        <v>3.506688</v>
      </c>
      <c r="E4528">
        <v>0.46319199999999999</v>
      </c>
      <c r="F4528" t="s">
        <v>41</v>
      </c>
      <c r="G4528">
        <v>-393.61869999999999</v>
      </c>
      <c r="H4528" s="1">
        <v>-3.6136040000000001E-6</v>
      </c>
      <c r="I4528">
        <v>16.13993</v>
      </c>
      <c r="J4528">
        <v>-407.95769999999999</v>
      </c>
      <c r="K4528">
        <v>1.119961</v>
      </c>
      <c r="L4528">
        <v>21.95609</v>
      </c>
      <c r="M4528">
        <v>0.80723730000000005</v>
      </c>
      <c r="N4528">
        <v>0</v>
      </c>
      <c r="O4528">
        <v>-0.59002330000000003</v>
      </c>
      <c r="P4528">
        <v>0.87081649999999999</v>
      </c>
      <c r="Q4528">
        <v>0.21878220000000001</v>
      </c>
      <c r="R4528">
        <v>-0.44024219999999997</v>
      </c>
      <c r="S4528">
        <v>2.9017029999999999</v>
      </c>
      <c r="T4528">
        <v>-0.22277189999999999</v>
      </c>
      <c r="U4528">
        <v>-1.1911620000000001</v>
      </c>
      <c r="V4528">
        <v>-0.1639882</v>
      </c>
      <c r="W4528">
        <v>0.2298336</v>
      </c>
      <c r="X4528">
        <v>0.95931449999999996</v>
      </c>
      <c r="Y4528">
        <v>-0.2374858</v>
      </c>
      <c r="Z4528">
        <v>4.8739490000000003E-2</v>
      </c>
      <c r="AA4528">
        <v>0.97016749999999996</v>
      </c>
      <c r="AB4528">
        <v>31</v>
      </c>
      <c r="AC4528">
        <v>14.339</v>
      </c>
      <c r="AD4528">
        <v>-1.119964613604</v>
      </c>
      <c r="AE4528">
        <v>-5.81616</v>
      </c>
      <c r="AF4528">
        <v>-3.7461506922361698</v>
      </c>
      <c r="AG4528">
        <v>-1.119964613604</v>
      </c>
      <c r="AH4528">
        <v>14.930235356881299</v>
      </c>
      <c r="AI4528">
        <v>94.161386400308302</v>
      </c>
      <c r="AJ4528">
        <v>104.085324375658</v>
      </c>
      <c r="AK4528">
        <v>15.4337258481721</v>
      </c>
      <c r="AL4528">
        <v>76.712724196269505</v>
      </c>
      <c r="AM4528">
        <v>99.700555320863799</v>
      </c>
      <c r="AN4528">
        <v>0.999999961669224</v>
      </c>
    </row>
    <row r="4529" spans="1:40" x14ac:dyDescent="0.25">
      <c r="A4529" t="str">
        <f>"20190312172756766"</f>
        <v>20190312172756766</v>
      </c>
      <c r="B4529" t="str">
        <f>"1552382876763652"</f>
        <v>1552382876763652</v>
      </c>
      <c r="C4529" t="s">
        <v>40</v>
      </c>
      <c r="D4529">
        <v>3.5176180000000001</v>
      </c>
      <c r="E4529">
        <v>0.46041939999999998</v>
      </c>
      <c r="F4529" t="s">
        <v>41</v>
      </c>
      <c r="G4529">
        <v>-392.95080000000002</v>
      </c>
      <c r="H4529" s="1">
        <v>-3.9148670000000001E-6</v>
      </c>
      <c r="I4529">
        <v>16.221399999999999</v>
      </c>
      <c r="J4529">
        <v>-407.71300000000002</v>
      </c>
      <c r="K4529">
        <v>1.1199460000000001</v>
      </c>
      <c r="L4529">
        <v>21.791080000000001</v>
      </c>
      <c r="M4529">
        <v>0.81391849999999999</v>
      </c>
      <c r="N4529">
        <v>0</v>
      </c>
      <c r="O4529">
        <v>-0.58077190000000001</v>
      </c>
      <c r="P4529">
        <v>0.87548379999999904</v>
      </c>
      <c r="Q4529">
        <v>0.2186246</v>
      </c>
      <c r="R4529">
        <v>-0.43096580000000001</v>
      </c>
      <c r="S4529">
        <v>2.9333499999999999</v>
      </c>
      <c r="T4529">
        <v>-0.2189161</v>
      </c>
      <c r="U4529">
        <v>-1.120941</v>
      </c>
      <c r="V4529">
        <v>-0.1632391</v>
      </c>
      <c r="W4529">
        <v>0.2297005</v>
      </c>
      <c r="X4529">
        <v>0.95947420000000005</v>
      </c>
      <c r="Y4529">
        <v>-0.25022929999999999</v>
      </c>
      <c r="Z4529">
        <v>4.7635459999999998E-2</v>
      </c>
      <c r="AA4529">
        <v>0.96701400000000004</v>
      </c>
      <c r="AB4529">
        <v>31</v>
      </c>
      <c r="AC4529">
        <v>14.7622</v>
      </c>
      <c r="AD4529">
        <v>-1.11994991486699</v>
      </c>
      <c r="AE4529">
        <v>-5.5696799999999902</v>
      </c>
      <c r="AF4529">
        <v>-4.0204349243567297</v>
      </c>
      <c r="AG4529">
        <v>-1.11994991486699</v>
      </c>
      <c r="AH4529">
        <v>15.1753169297016</v>
      </c>
      <c r="AI4529">
        <v>94.080543732827294</v>
      </c>
      <c r="AJ4529">
        <v>104.838614263202</v>
      </c>
      <c r="AK4529">
        <v>15.738755627739</v>
      </c>
      <c r="AL4529">
        <v>76.720560854679505</v>
      </c>
      <c r="AM4529">
        <v>99.655502285508206</v>
      </c>
      <c r="AN4529">
        <v>1.0000000319673401</v>
      </c>
    </row>
    <row r="4530" spans="1:40" x14ac:dyDescent="0.25">
      <c r="A4530" t="str">
        <f>"20190312172756789"</f>
        <v>20190312172756789</v>
      </c>
      <c r="B4530" t="str">
        <f>"1552382876784146"</f>
        <v>1552382876784146</v>
      </c>
      <c r="C4530" t="s">
        <v>40</v>
      </c>
      <c r="D4530">
        <v>3.5963120000000002</v>
      </c>
      <c r="E4530">
        <v>0.45967980000000003</v>
      </c>
      <c r="F4530" t="s">
        <v>41</v>
      </c>
      <c r="G4530">
        <v>-392.95760000000001</v>
      </c>
      <c r="H4530" s="1">
        <v>-3.8710529999999998E-6</v>
      </c>
      <c r="I4530">
        <v>16.450310000000002</v>
      </c>
      <c r="J4530">
        <v>-407.46280000000002</v>
      </c>
      <c r="K4530">
        <v>1.119928</v>
      </c>
      <c r="L4530">
        <v>21.62668</v>
      </c>
      <c r="M4530">
        <v>0.82059479999999996</v>
      </c>
      <c r="N4530">
        <v>0</v>
      </c>
      <c r="O4530">
        <v>-0.57130000000000003</v>
      </c>
      <c r="P4530">
        <v>0.88010330000000003</v>
      </c>
      <c r="Q4530">
        <v>0.218553</v>
      </c>
      <c r="R4530">
        <v>-0.42148859999999999</v>
      </c>
      <c r="S4530">
        <v>2.9560240000000002</v>
      </c>
      <c r="T4530">
        <v>-0.22436610000000001</v>
      </c>
      <c r="U4530">
        <v>-1.0699459999999901</v>
      </c>
      <c r="V4530">
        <v>-0.16247500000000001</v>
      </c>
      <c r="W4530">
        <v>0.22965260000000001</v>
      </c>
      <c r="X4530">
        <v>0.95961529999999995</v>
      </c>
      <c r="Y4530">
        <v>-0.25607400000000002</v>
      </c>
      <c r="Z4530">
        <v>4.8329850000000001E-2</v>
      </c>
      <c r="AA4530">
        <v>0.96544830000000004</v>
      </c>
      <c r="AB4530">
        <v>31</v>
      </c>
      <c r="AC4530">
        <v>14.5052</v>
      </c>
      <c r="AD4530">
        <v>-1.119931871053</v>
      </c>
      <c r="AE4530">
        <v>-5.1763699999999897</v>
      </c>
      <c r="AF4530">
        <v>-4.0183558793540701</v>
      </c>
      <c r="AG4530">
        <v>-1.119931871053</v>
      </c>
      <c r="AH4530">
        <v>14.783765149316</v>
      </c>
      <c r="AI4530">
        <v>94.180993477196907</v>
      </c>
      <c r="AJ4530">
        <v>105.206120202202</v>
      </c>
      <c r="AK4530">
        <v>15.361026767735</v>
      </c>
      <c r="AL4530">
        <v>76.7233800455096</v>
      </c>
      <c r="AM4530">
        <v>99.609764351946595</v>
      </c>
      <c r="AN4530">
        <v>0.99999998315292404</v>
      </c>
    </row>
    <row r="4531" spans="1:40" x14ac:dyDescent="0.25">
      <c r="A4531" t="str">
        <f>"20190312172756811"</f>
        <v>20190312172756811</v>
      </c>
      <c r="B4531" t="str">
        <f>"1552382876803670"</f>
        <v>1552382876803670</v>
      </c>
      <c r="C4531" t="s">
        <v>40</v>
      </c>
      <c r="D4531">
        <v>3.5148380000000001</v>
      </c>
      <c r="E4531">
        <v>0.4597812</v>
      </c>
      <c r="F4531" t="s">
        <v>41</v>
      </c>
      <c r="G4531">
        <v>-392.81200000000001</v>
      </c>
      <c r="H4531" s="1">
        <v>-3.9251909999999997E-6</v>
      </c>
      <c r="I4531">
        <v>16.533169999999998</v>
      </c>
      <c r="J4531">
        <v>-407.20479999999998</v>
      </c>
      <c r="K4531">
        <v>1.119901</v>
      </c>
      <c r="L4531">
        <v>21.461670000000002</v>
      </c>
      <c r="M4531">
        <v>0.82732150000000004</v>
      </c>
      <c r="N4531">
        <v>0</v>
      </c>
      <c r="O4531">
        <v>-0.56151459999999997</v>
      </c>
      <c r="P4531">
        <v>0.88471290000000002</v>
      </c>
      <c r="Q4531">
        <v>0.21804319999999999</v>
      </c>
      <c r="R4531">
        <v>-0.41199570000000002</v>
      </c>
      <c r="S4531">
        <v>2.9705509999999999</v>
      </c>
      <c r="T4531">
        <v>-0.22707440000000001</v>
      </c>
      <c r="U4531">
        <v>-1.032745</v>
      </c>
      <c r="V4531">
        <v>-0.16144939999999999</v>
      </c>
      <c r="W4531">
        <v>0.22917499999999999</v>
      </c>
      <c r="X4531">
        <v>0.95990249999999999</v>
      </c>
      <c r="Y4531">
        <v>-0.25683050000000002</v>
      </c>
      <c r="Z4531">
        <v>4.8274110000000002E-2</v>
      </c>
      <c r="AA4531">
        <v>0.9652501</v>
      </c>
      <c r="AB4531">
        <v>31</v>
      </c>
      <c r="AC4531">
        <v>14.392799999999999</v>
      </c>
      <c r="AD4531">
        <v>-1.119904925191</v>
      </c>
      <c r="AE4531">
        <v>-4.9284999999999997</v>
      </c>
      <c r="AF4531">
        <v>-3.9832099184044898</v>
      </c>
      <c r="AG4531">
        <v>-1.119904925191</v>
      </c>
      <c r="AH4531">
        <v>14.597558416368701</v>
      </c>
      <c r="AI4531">
        <v>94.232898963714206</v>
      </c>
      <c r="AJ4531">
        <v>105.26263553254999</v>
      </c>
      <c r="AK4531">
        <v>15.1726352363339</v>
      </c>
      <c r="AL4531">
        <v>76.7514938929517</v>
      </c>
      <c r="AM4531">
        <v>99.547420084101105</v>
      </c>
      <c r="AN4531">
        <v>0.99999994944580295</v>
      </c>
    </row>
    <row r="4532" spans="1:40" x14ac:dyDescent="0.25">
      <c r="A4532" t="str">
        <f>"20190312172756833"</f>
        <v>20190312172756833</v>
      </c>
      <c r="B4532" t="str">
        <f>"1552382876824163"</f>
        <v>1552382876824163</v>
      </c>
      <c r="C4532" t="s">
        <v>40</v>
      </c>
      <c r="D4532">
        <v>3.6024189999999998</v>
      </c>
      <c r="E4532">
        <v>0.459843</v>
      </c>
      <c r="F4532" t="s">
        <v>41</v>
      </c>
      <c r="G4532">
        <v>-392.76639999999998</v>
      </c>
      <c r="H4532" s="1">
        <v>-3.9321169999999998E-6</v>
      </c>
      <c r="I4532">
        <v>16.615659999999998</v>
      </c>
      <c r="J4532">
        <v>-406.95100000000002</v>
      </c>
      <c r="K4532">
        <v>1.119877</v>
      </c>
      <c r="L4532">
        <v>21.303439999999998</v>
      </c>
      <c r="M4532">
        <v>0.83378949999999996</v>
      </c>
      <c r="N4532">
        <v>0</v>
      </c>
      <c r="O4532">
        <v>-0.55186489999999999</v>
      </c>
      <c r="P4532">
        <v>0.88890119999999895</v>
      </c>
      <c r="Q4532">
        <v>0.21777170000000001</v>
      </c>
      <c r="R4532">
        <v>-0.40302670000000002</v>
      </c>
      <c r="S4532">
        <v>2.981903</v>
      </c>
      <c r="T4532">
        <v>-0.23128870000000001</v>
      </c>
      <c r="U4532">
        <v>-1.0008239999999999</v>
      </c>
      <c r="V4532">
        <v>-0.1600232</v>
      </c>
      <c r="W4532">
        <v>0.2289448</v>
      </c>
      <c r="X4532">
        <v>0.9601963</v>
      </c>
      <c r="Y4532">
        <v>-0.25595639999999997</v>
      </c>
      <c r="Z4532">
        <v>4.8486580000000001E-2</v>
      </c>
      <c r="AA4532">
        <v>0.96547159999999999</v>
      </c>
      <c r="AB4532">
        <v>31</v>
      </c>
      <c r="AC4532">
        <v>14.1845999999999</v>
      </c>
      <c r="AD4532">
        <v>-1.119880932117</v>
      </c>
      <c r="AE4532">
        <v>-4.6877799999999903</v>
      </c>
      <c r="AF4532">
        <v>-3.8979278023616</v>
      </c>
      <c r="AG4532">
        <v>-1.119880932117</v>
      </c>
      <c r="AH4532">
        <v>14.3351678035391</v>
      </c>
      <c r="AI4532">
        <v>94.311035976819596</v>
      </c>
      <c r="AJ4532">
        <v>105.211719946372</v>
      </c>
      <c r="AK4532">
        <v>14.8978189816553</v>
      </c>
      <c r="AL4532">
        <v>76.765044862065693</v>
      </c>
      <c r="AM4532">
        <v>99.461769686837698</v>
      </c>
      <c r="AN4532">
        <v>1.00000004025948</v>
      </c>
    </row>
    <row r="4533" spans="1:40" x14ac:dyDescent="0.25">
      <c r="A4533" t="str">
        <f>"20190312172756856"</f>
        <v>20190312172756856</v>
      </c>
      <c r="B4533" t="str">
        <f>"1552382876843683"</f>
        <v>1552382876843683</v>
      </c>
      <c r="C4533" t="s">
        <v>40</v>
      </c>
      <c r="D4533">
        <v>3.564622</v>
      </c>
      <c r="E4533">
        <v>0.46041339999999997</v>
      </c>
      <c r="F4533" t="s">
        <v>41</v>
      </c>
      <c r="G4533">
        <v>-392.65690000000001</v>
      </c>
      <c r="H4533" s="1">
        <v>-3.9746519999999998E-6</v>
      </c>
      <c r="I4533">
        <v>16.66769</v>
      </c>
      <c r="J4533">
        <v>-406.69580000000002</v>
      </c>
      <c r="K4533">
        <v>1.1198589999999999</v>
      </c>
      <c r="L4533">
        <v>21.148440000000001</v>
      </c>
      <c r="M4533">
        <v>0.84014390000000005</v>
      </c>
      <c r="N4533">
        <v>0</v>
      </c>
      <c r="O4533">
        <v>-0.54214219999999902</v>
      </c>
      <c r="P4533">
        <v>0.89299789999999901</v>
      </c>
      <c r="Q4533">
        <v>0.21738270000000001</v>
      </c>
      <c r="R4533">
        <v>-0.39408090000000001</v>
      </c>
      <c r="S4533">
        <v>2.9923709999999999</v>
      </c>
      <c r="T4533">
        <v>-0.23443849999999999</v>
      </c>
      <c r="U4533">
        <v>-0.97045899999999996</v>
      </c>
      <c r="V4533">
        <v>-0.15853900000000001</v>
      </c>
      <c r="W4533">
        <v>0.228599</v>
      </c>
      <c r="X4533">
        <v>0.96052479999999996</v>
      </c>
      <c r="Y4533">
        <v>-0.25456129999999999</v>
      </c>
      <c r="Z4533">
        <v>4.8430960000000002E-2</v>
      </c>
      <c r="AA4533">
        <v>0.96584309999999995</v>
      </c>
      <c r="AB4533">
        <v>31</v>
      </c>
      <c r="AC4533">
        <v>14.0389</v>
      </c>
      <c r="AD4533">
        <v>-1.1198629746519999</v>
      </c>
      <c r="AE4533">
        <v>-4.4807499999999996</v>
      </c>
      <c r="AF4533">
        <v>-3.82497879571316</v>
      </c>
      <c r="AG4533">
        <v>-1.1198629746519999</v>
      </c>
      <c r="AH4533">
        <v>14.1439296170105</v>
      </c>
      <c r="AI4533">
        <v>94.370659469641097</v>
      </c>
      <c r="AJ4533">
        <v>105.132671358908</v>
      </c>
      <c r="AK4533">
        <v>14.694737183107399</v>
      </c>
      <c r="AL4533">
        <v>76.785397009661395</v>
      </c>
      <c r="AM4533">
        <v>99.372428378851794</v>
      </c>
      <c r="AN4533">
        <v>1.00000000436852</v>
      </c>
    </row>
    <row r="4534" spans="1:40" x14ac:dyDescent="0.25">
      <c r="A4534" t="str">
        <f>"20190312172756877"</f>
        <v>20190312172756877</v>
      </c>
      <c r="B4534" t="str">
        <f>"1552382876873939"</f>
        <v>1552382876873939</v>
      </c>
      <c r="C4534" t="s">
        <v>40</v>
      </c>
      <c r="D4534">
        <v>3.5234559999999999</v>
      </c>
      <c r="E4534">
        <v>0.46142460000000002</v>
      </c>
      <c r="F4534" t="s">
        <v>41</v>
      </c>
      <c r="G4534">
        <v>-392.60980000000001</v>
      </c>
      <c r="H4534" s="1">
        <v>-3.987948E-6</v>
      </c>
      <c r="I4534">
        <v>16.71827</v>
      </c>
      <c r="J4534">
        <v>-406.44159999999999</v>
      </c>
      <c r="K4534">
        <v>1.119848</v>
      </c>
      <c r="L4534">
        <v>20.997990000000001</v>
      </c>
      <c r="M4534">
        <v>0.84632879999999999</v>
      </c>
      <c r="N4534">
        <v>0</v>
      </c>
      <c r="O4534">
        <v>-0.53243529999999994</v>
      </c>
      <c r="P4534">
        <v>0.89719649999999995</v>
      </c>
      <c r="Q4534">
        <v>0.21735769999999999</v>
      </c>
      <c r="R4534">
        <v>-0.38444060000000002</v>
      </c>
      <c r="S4534">
        <v>3.0010379999999999</v>
      </c>
      <c r="T4534">
        <v>-0.23858689999999999</v>
      </c>
      <c r="U4534">
        <v>-0.94384769999999896</v>
      </c>
      <c r="V4534">
        <v>-0.1578196</v>
      </c>
      <c r="W4534">
        <v>0.22859579999999999</v>
      </c>
      <c r="X4534">
        <v>0.9606441</v>
      </c>
      <c r="Y4534">
        <v>-0.25198419999999999</v>
      </c>
      <c r="Z4534">
        <v>4.8522000000000003E-2</v>
      </c>
      <c r="AA4534">
        <v>0.96651419999999999</v>
      </c>
      <c r="AB4534">
        <v>31</v>
      </c>
      <c r="AC4534">
        <v>13.8317999999999</v>
      </c>
      <c r="AD4534">
        <v>-1.119851987948</v>
      </c>
      <c r="AE4534">
        <v>-4.2797199999999904</v>
      </c>
      <c r="AF4534">
        <v>-3.7206801624766102</v>
      </c>
      <c r="AG4534">
        <v>-1.119851987948</v>
      </c>
      <c r="AH4534">
        <v>13.903432117089199</v>
      </c>
      <c r="AI4534">
        <v>94.449055763478398</v>
      </c>
      <c r="AJ4534">
        <v>104.981799465957</v>
      </c>
      <c r="AK4534">
        <v>14.4361682582625</v>
      </c>
      <c r="AL4534">
        <v>76.785586312033104</v>
      </c>
      <c r="AM4534">
        <v>99.329510480429207</v>
      </c>
      <c r="AN4534">
        <v>1.0000000763932999</v>
      </c>
    </row>
    <row r="4535" spans="1:40" x14ac:dyDescent="0.25">
      <c r="A4535" t="str">
        <f>"20190312172756901"</f>
        <v>20190312172756901</v>
      </c>
      <c r="B4535" t="str">
        <f>"1552382876894435"</f>
        <v>1552382876894435</v>
      </c>
      <c r="C4535" t="s">
        <v>40</v>
      </c>
      <c r="D4535">
        <v>3.4839799999999999</v>
      </c>
      <c r="E4535">
        <v>0.46209060000000002</v>
      </c>
      <c r="F4535" t="s">
        <v>41</v>
      </c>
      <c r="G4535">
        <v>-392.52510000000001</v>
      </c>
      <c r="H4535" s="1">
        <v>-4.0230950000000001E-6</v>
      </c>
      <c r="I4535">
        <v>16.74568</v>
      </c>
      <c r="J4535">
        <v>-406.17500000000001</v>
      </c>
      <c r="K4535">
        <v>1.119837</v>
      </c>
      <c r="L4535">
        <v>20.844449999999998</v>
      </c>
      <c r="M4535">
        <v>0.85266039999999998</v>
      </c>
      <c r="N4535">
        <v>0</v>
      </c>
      <c r="O4535">
        <v>-0.52223569999999997</v>
      </c>
      <c r="P4535">
        <v>0.90105429999999997</v>
      </c>
      <c r="Q4535">
        <v>0.21783820000000001</v>
      </c>
      <c r="R4535">
        <v>-0.37503009999999998</v>
      </c>
      <c r="S4535">
        <v>3.0085139999999999</v>
      </c>
      <c r="T4535">
        <v>-0.24209420000000001</v>
      </c>
      <c r="U4535">
        <v>-0.91928100000000001</v>
      </c>
      <c r="V4535">
        <v>-0.1562752</v>
      </c>
      <c r="W4535">
        <v>0.2291184</v>
      </c>
      <c r="X4535">
        <v>0.96077199999999996</v>
      </c>
      <c r="Y4535">
        <v>-0.24823190000000001</v>
      </c>
      <c r="Z4535">
        <v>4.838514E-2</v>
      </c>
      <c r="AA4535">
        <v>0.96749149999999995</v>
      </c>
      <c r="AB4535">
        <v>31</v>
      </c>
      <c r="AC4535">
        <v>13.649900000000001</v>
      </c>
      <c r="AD4535">
        <v>-1.119841023095</v>
      </c>
      <c r="AE4535">
        <v>-4.0987699999999903</v>
      </c>
      <c r="AF4535">
        <v>-3.6117439312762198</v>
      </c>
      <c r="AG4535">
        <v>-1.119841023095</v>
      </c>
      <c r="AH4535">
        <v>13.696347717982899</v>
      </c>
      <c r="AI4535">
        <v>94.520366602114606</v>
      </c>
      <c r="AJ4535">
        <v>104.772674263159</v>
      </c>
      <c r="AK4535">
        <v>14.2087536031142</v>
      </c>
      <c r="AL4535">
        <v>76.754826266699695</v>
      </c>
      <c r="AM4535">
        <v>99.238586641684904</v>
      </c>
      <c r="AN4535">
        <v>1.00000000766879</v>
      </c>
    </row>
    <row r="4536" spans="1:40" x14ac:dyDescent="0.25">
      <c r="A4536" t="str">
        <f>"20190312172756914"</f>
        <v>20190312172756914</v>
      </c>
      <c r="B4536" t="str">
        <f>"1552382876904195"</f>
        <v>1552382876904195</v>
      </c>
      <c r="C4536" t="s">
        <v>40</v>
      </c>
      <c r="D4536">
        <v>3.5163669999999998</v>
      </c>
      <c r="E4536">
        <v>0.46243859999999998</v>
      </c>
      <c r="F4536" t="s">
        <v>41</v>
      </c>
      <c r="G4536">
        <v>-392.19150000000002</v>
      </c>
      <c r="H4536" s="1">
        <v>-4.1877620000000002E-6</v>
      </c>
      <c r="I4536">
        <v>16.706520000000001</v>
      </c>
      <c r="J4536">
        <v>-406.01</v>
      </c>
      <c r="K4536">
        <v>1.119826</v>
      </c>
      <c r="L4536">
        <v>20.751560000000001</v>
      </c>
      <c r="M4536">
        <v>0.85649959999999903</v>
      </c>
      <c r="N4536">
        <v>0</v>
      </c>
      <c r="O4536">
        <v>-0.51591529999999997</v>
      </c>
      <c r="P4536">
        <v>0.9033968</v>
      </c>
      <c r="Q4536">
        <v>0.21831900000000001</v>
      </c>
      <c r="R4536">
        <v>-0.3690678</v>
      </c>
      <c r="S4536">
        <v>3.016327</v>
      </c>
      <c r="T4536">
        <v>-0.2415564</v>
      </c>
      <c r="U4536">
        <v>-0.89257809999999904</v>
      </c>
      <c r="V4536">
        <v>-0.15546090000000001</v>
      </c>
      <c r="W4536">
        <v>0.22962150000000001</v>
      </c>
      <c r="X4536">
        <v>0.96078399999999997</v>
      </c>
      <c r="Y4536">
        <v>-0.2496485</v>
      </c>
      <c r="Z4536">
        <v>4.7883059999999998E-2</v>
      </c>
      <c r="AA4536">
        <v>0.96715189999999995</v>
      </c>
      <c r="AB4536">
        <v>31</v>
      </c>
      <c r="AC4536">
        <v>13.818499999999901</v>
      </c>
      <c r="AD4536">
        <v>-1.1198301877620001</v>
      </c>
      <c r="AE4536">
        <v>-4.0450400000000002</v>
      </c>
      <c r="AF4536">
        <v>-3.6430037605403198</v>
      </c>
      <c r="AG4536">
        <v>-1.1198301877620001</v>
      </c>
      <c r="AH4536">
        <v>13.8403883383405</v>
      </c>
      <c r="AI4536">
        <v>94.474004050669805</v>
      </c>
      <c r="AJ4536">
        <v>104.746645786607</v>
      </c>
      <c r="AK4536">
        <v>14.355551031040401</v>
      </c>
      <c r="AL4536">
        <v>76.725211229133905</v>
      </c>
      <c r="AM4536">
        <v>99.191158216958399</v>
      </c>
      <c r="AN4536">
        <v>1.00000000967353</v>
      </c>
    </row>
    <row r="4537" spans="1:40" x14ac:dyDescent="0.25">
      <c r="A4537" t="str">
        <f>"20190312172756935"</f>
        <v>20190312172756935</v>
      </c>
      <c r="B4537" t="str">
        <f>"1552382876923715"</f>
        <v>1552382876923715</v>
      </c>
      <c r="C4537" t="s">
        <v>40</v>
      </c>
      <c r="D4537">
        <v>3.4723660000000001</v>
      </c>
      <c r="E4537">
        <v>0.46293450000000003</v>
      </c>
      <c r="F4537" t="s">
        <v>41</v>
      </c>
      <c r="G4537">
        <v>-391.93970000000002</v>
      </c>
      <c r="H4537" s="1">
        <v>-4.3123469999999996E-6</v>
      </c>
      <c r="I4537">
        <v>16.6751</v>
      </c>
      <c r="J4537">
        <v>-405.77179999999998</v>
      </c>
      <c r="K4537">
        <v>1.119818</v>
      </c>
      <c r="L4537">
        <v>20.620329999999999</v>
      </c>
      <c r="M4537">
        <v>0.86193699999999995</v>
      </c>
      <c r="N4537">
        <v>0</v>
      </c>
      <c r="O4537">
        <v>-0.50677870000000003</v>
      </c>
      <c r="P4537">
        <v>0.90650520000000001</v>
      </c>
      <c r="Q4537">
        <v>0.21880669999999999</v>
      </c>
      <c r="R4537">
        <v>-0.36107080000000003</v>
      </c>
      <c r="S4537">
        <v>3.0213009999999998</v>
      </c>
      <c r="T4537">
        <v>-0.2404606</v>
      </c>
      <c r="U4537">
        <v>-0.87533570000000005</v>
      </c>
      <c r="V4537">
        <v>-0.15367129999999901</v>
      </c>
      <c r="W4537">
        <v>0.23015749999999999</v>
      </c>
      <c r="X4537">
        <v>0.96094360000000001</v>
      </c>
      <c r="Y4537">
        <v>-0.2449238</v>
      </c>
      <c r="Z4537">
        <v>4.6860489999999998E-2</v>
      </c>
      <c r="AA4537">
        <v>0.96840919999999997</v>
      </c>
      <c r="AB4537">
        <v>31</v>
      </c>
      <c r="AC4537">
        <v>13.832099999999899</v>
      </c>
      <c r="AD4537">
        <v>-1.1198223123469999</v>
      </c>
      <c r="AE4537">
        <v>-3.9452299999999898</v>
      </c>
      <c r="AF4537">
        <v>-3.58795990330505</v>
      </c>
      <c r="AG4537">
        <v>-1.1198223123469999</v>
      </c>
      <c r="AH4537">
        <v>13.839544394907399</v>
      </c>
      <c r="AI4537">
        <v>94.478563107847293</v>
      </c>
      <c r="AJ4537">
        <v>104.534183047154</v>
      </c>
      <c r="AK4537">
        <v>14.340866338459699</v>
      </c>
      <c r="AL4537">
        <v>76.6936550270444</v>
      </c>
      <c r="AM4537">
        <v>99.085644800187296</v>
      </c>
      <c r="AN4537">
        <v>0.99999997281544895</v>
      </c>
    </row>
    <row r="4538" spans="1:40" x14ac:dyDescent="0.25">
      <c r="A4538" t="str">
        <f>"20190312172756956"</f>
        <v>20190312172756956</v>
      </c>
      <c r="B4538" t="str">
        <f>"1552382876953971"</f>
        <v>1552382876953971</v>
      </c>
      <c r="C4538" t="s">
        <v>40</v>
      </c>
      <c r="D4538">
        <v>3.4345789999999998</v>
      </c>
      <c r="E4538">
        <v>0.4742577</v>
      </c>
      <c r="F4538" t="s">
        <v>41</v>
      </c>
      <c r="G4538">
        <v>-391.55790000000002</v>
      </c>
      <c r="H4538" s="1">
        <v>-4.5021620000000001E-6</v>
      </c>
      <c r="I4538">
        <v>16.622520000000002</v>
      </c>
      <c r="J4538">
        <v>-405.51589999999999</v>
      </c>
      <c r="K4538">
        <v>1.119804</v>
      </c>
      <c r="L4538">
        <v>20.483059999999998</v>
      </c>
      <c r="M4538">
        <v>0.86763939999999995</v>
      </c>
      <c r="N4538">
        <v>0</v>
      </c>
      <c r="O4538">
        <v>-0.49695289999999998</v>
      </c>
      <c r="P4538">
        <v>0.90981579999999995</v>
      </c>
      <c r="Q4538">
        <v>0.21929070000000001</v>
      </c>
      <c r="R4538">
        <v>-0.35234549999999998</v>
      </c>
      <c r="S4538">
        <v>3.027771</v>
      </c>
      <c r="T4538">
        <v>-0.238539</v>
      </c>
      <c r="U4538">
        <v>-0.85159300000000004</v>
      </c>
      <c r="V4538">
        <v>-0.15192120000000001</v>
      </c>
      <c r="W4538">
        <v>0.2306888</v>
      </c>
      <c r="X4538">
        <v>0.96109449999999996</v>
      </c>
      <c r="Y4538">
        <v>-0.24155109999999999</v>
      </c>
      <c r="Z4538">
        <v>4.5685799999999999E-2</v>
      </c>
      <c r="AA4538">
        <v>0.96931210000000001</v>
      </c>
      <c r="AB4538">
        <v>30</v>
      </c>
      <c r="AC4538">
        <v>13.957999999999901</v>
      </c>
      <c r="AD4538">
        <v>-1.1198085021619999</v>
      </c>
      <c r="AE4538">
        <v>-3.8605399999999999</v>
      </c>
      <c r="AF4538">
        <v>-3.5660207065962499</v>
      </c>
      <c r="AG4538">
        <v>-1.1198085021619999</v>
      </c>
      <c r="AH4538">
        <v>13.9473080455258</v>
      </c>
      <c r="AI4538">
        <v>94.447867778013403</v>
      </c>
      <c r="AJ4538">
        <v>104.342024082099</v>
      </c>
      <c r="AK4538">
        <v>14.439455546459399</v>
      </c>
      <c r="AL4538">
        <v>76.662372413994603</v>
      </c>
      <c r="AM4538">
        <v>98.982481647553897</v>
      </c>
      <c r="AN4538">
        <v>1.00000000569256</v>
      </c>
    </row>
    <row r="4539" spans="1:40" x14ac:dyDescent="0.25">
      <c r="A4539" t="str">
        <f>"20190312172756967"</f>
        <v>20190312172756967</v>
      </c>
      <c r="B4539" t="str">
        <f>"1552382876963731"</f>
        <v>1552382876963731</v>
      </c>
      <c r="C4539" t="s">
        <v>40</v>
      </c>
      <c r="D4539">
        <v>3.4531640000000001</v>
      </c>
      <c r="E4539">
        <v>0.4746051</v>
      </c>
      <c r="F4539" t="s">
        <v>41</v>
      </c>
      <c r="G4539">
        <v>-392.51679999999999</v>
      </c>
      <c r="H4539" s="1">
        <v>-4.059366E-6</v>
      </c>
      <c r="I4539">
        <v>16.56354</v>
      </c>
      <c r="J4539">
        <v>-405.38409999999999</v>
      </c>
      <c r="K4539">
        <v>1.1197999999999999</v>
      </c>
      <c r="L4539">
        <v>20.41339</v>
      </c>
      <c r="M4539">
        <v>0.87052510000000005</v>
      </c>
      <c r="N4539">
        <v>0</v>
      </c>
      <c r="O4539">
        <v>-0.4918805</v>
      </c>
      <c r="P4539">
        <v>0.91166840000000005</v>
      </c>
      <c r="Q4539">
        <v>0.21929170000000001</v>
      </c>
      <c r="R4539">
        <v>-0.34752339999999998</v>
      </c>
      <c r="S4539">
        <v>3.0085139999999999</v>
      </c>
      <c r="T4539">
        <v>-0.25916840000000002</v>
      </c>
      <c r="U4539">
        <v>-0.90713500000000002</v>
      </c>
      <c r="V4539">
        <v>-0.1513931</v>
      </c>
      <c r="W4539">
        <v>0.23070499999999999</v>
      </c>
      <c r="X4539">
        <v>0.96117399999999997</v>
      </c>
      <c r="Y4539">
        <v>-0.21744649999999999</v>
      </c>
      <c r="Z4539">
        <v>4.8379829999999999E-2</v>
      </c>
      <c r="AA4539">
        <v>0.97487250000000003</v>
      </c>
      <c r="AB4539">
        <v>30</v>
      </c>
      <c r="AC4539">
        <v>12.8673</v>
      </c>
      <c r="AD4539">
        <v>-1.1198040593659999</v>
      </c>
      <c r="AE4539">
        <v>-3.84985</v>
      </c>
      <c r="AF4539">
        <v>-2.9575803053392602</v>
      </c>
      <c r="AG4539">
        <v>-1.1198040593659999</v>
      </c>
      <c r="AH4539">
        <v>13.0061316691288</v>
      </c>
      <c r="AI4539">
        <v>94.799005043992395</v>
      </c>
      <c r="AJ4539">
        <v>102.811141108694</v>
      </c>
      <c r="AK4539">
        <v>13.385092580502301</v>
      </c>
      <c r="AL4539">
        <v>76.661419269639197</v>
      </c>
      <c r="AM4539">
        <v>98.951035336572602</v>
      </c>
      <c r="AN4539">
        <v>1.0000000630143</v>
      </c>
    </row>
    <row r="4540" spans="1:40" x14ac:dyDescent="0.25">
      <c r="A4540" t="str">
        <f>"20190312172756979"</f>
        <v>20190312172756979</v>
      </c>
      <c r="B4540" t="str">
        <f>"1552382876974467"</f>
        <v>1552382876974467</v>
      </c>
      <c r="C4540" t="s">
        <v>40</v>
      </c>
      <c r="D4540">
        <v>3.5048300000000001</v>
      </c>
      <c r="E4540">
        <v>0.4746051</v>
      </c>
      <c r="F4540" t="s">
        <v>41</v>
      </c>
      <c r="G4540">
        <v>-392.51159999999999</v>
      </c>
      <c r="H4540" s="1">
        <v>-4.0560359999999999E-6</v>
      </c>
      <c r="I4540">
        <v>16.595970000000001</v>
      </c>
      <c r="J4540">
        <v>-405.25139999999999</v>
      </c>
      <c r="K4540">
        <v>1.119788</v>
      </c>
      <c r="L4540">
        <v>20.345089999999999</v>
      </c>
      <c r="M4540">
        <v>0.87338499999999997</v>
      </c>
      <c r="N4540">
        <v>0</v>
      </c>
      <c r="O4540">
        <v>-0.48678440000000001</v>
      </c>
      <c r="P4540">
        <v>0.91352650000000002</v>
      </c>
      <c r="Q4540">
        <v>0.21902750000000001</v>
      </c>
      <c r="R4540">
        <v>-0.342777</v>
      </c>
      <c r="S4540">
        <v>3.0130919999999999</v>
      </c>
      <c r="T4540">
        <v>-0.2621155</v>
      </c>
      <c r="U4540">
        <v>-0.89355469999999904</v>
      </c>
      <c r="V4540">
        <v>-0.1507907</v>
      </c>
      <c r="W4540">
        <v>0.23045959999999999</v>
      </c>
      <c r="X4540">
        <v>0.9613275</v>
      </c>
      <c r="Y4540">
        <v>-0.2161566</v>
      </c>
      <c r="Z4540">
        <v>4.8473809999999999E-2</v>
      </c>
      <c r="AA4540">
        <v>0.97515459999999998</v>
      </c>
      <c r="AB4540">
        <v>30</v>
      </c>
      <c r="AC4540">
        <v>12.739800000000001</v>
      </c>
      <c r="AD4540">
        <v>-1.119792056036</v>
      </c>
      <c r="AE4540">
        <v>-3.7491199999999898</v>
      </c>
      <c r="AF4540">
        <v>-2.90679371204393</v>
      </c>
      <c r="AG4540">
        <v>-1.119792056036</v>
      </c>
      <c r="AH4540">
        <v>12.8618654273948</v>
      </c>
      <c r="AI4540">
        <v>94.853982043700995</v>
      </c>
      <c r="AJ4540">
        <v>102.73495813698599</v>
      </c>
      <c r="AK4540">
        <v>13.2337056868268</v>
      </c>
      <c r="AL4540">
        <v>76.675868345799998</v>
      </c>
      <c r="AM4540">
        <v>98.914591285322402</v>
      </c>
      <c r="AN4540">
        <v>1.00000001234745</v>
      </c>
    </row>
    <row r="4541" spans="1:40" x14ac:dyDescent="0.25">
      <c r="A4541" t="str">
        <f>"20190312172757001"</f>
        <v>20190312172757001</v>
      </c>
      <c r="B4541" t="str">
        <f>"1552382876993987"</f>
        <v>1552382876993987</v>
      </c>
      <c r="C4541" t="s">
        <v>40</v>
      </c>
      <c r="D4541">
        <v>3.4869029999999999</v>
      </c>
      <c r="E4541">
        <v>0.47006910000000002</v>
      </c>
      <c r="F4541" t="s">
        <v>41</v>
      </c>
      <c r="G4541">
        <v>-392.40269999999998</v>
      </c>
      <c r="H4541" s="1">
        <v>-4.1055139999999999E-6</v>
      </c>
      <c r="I4541">
        <v>16.607329999999902</v>
      </c>
      <c r="J4541">
        <v>-404.98680000000002</v>
      </c>
      <c r="K4541">
        <v>1.119766</v>
      </c>
      <c r="L4541">
        <v>20.21088</v>
      </c>
      <c r="M4541">
        <v>0.87898659999999995</v>
      </c>
      <c r="N4541">
        <v>0</v>
      </c>
      <c r="O4541">
        <v>-0.4765953</v>
      </c>
      <c r="P4541">
        <v>0.91734479999999996</v>
      </c>
      <c r="Q4541">
        <v>0.21810869999999999</v>
      </c>
      <c r="R4541">
        <v>-0.33302700000000002</v>
      </c>
      <c r="S4541">
        <v>3.0176090000000002</v>
      </c>
      <c r="T4541">
        <v>-0.26299050000000002</v>
      </c>
      <c r="U4541">
        <v>-0.87783809999999995</v>
      </c>
      <c r="V4541">
        <v>-0.1499181</v>
      </c>
      <c r="W4541">
        <v>0.22957</v>
      </c>
      <c r="X4541">
        <v>0.9616768</v>
      </c>
      <c r="Y4541">
        <v>-0.2099114</v>
      </c>
      <c r="Z4541">
        <v>4.7599740000000001E-2</v>
      </c>
      <c r="AA4541">
        <v>0.97656109999999896</v>
      </c>
      <c r="AB4541">
        <v>30</v>
      </c>
      <c r="AC4541">
        <v>12.584099999999999</v>
      </c>
      <c r="AD4541">
        <v>-1.1197701055139999</v>
      </c>
      <c r="AE4541">
        <v>-3.6035499999999998</v>
      </c>
      <c r="AF4541">
        <v>-2.8098276668031601</v>
      </c>
      <c r="AG4541">
        <v>-1.1197701055139999</v>
      </c>
      <c r="AH4541">
        <v>12.6873758100584</v>
      </c>
      <c r="AI4541">
        <v>94.925050127010493</v>
      </c>
      <c r="AJ4541">
        <v>102.487534539067</v>
      </c>
      <c r="AK4541">
        <v>13.042949112527801</v>
      </c>
      <c r="AL4541">
        <v>76.728243423378302</v>
      </c>
      <c r="AM4541">
        <v>98.860657132746795</v>
      </c>
      <c r="AN4541">
        <v>1.00000004463292</v>
      </c>
    </row>
    <row r="4542" spans="1:40" x14ac:dyDescent="0.25">
      <c r="A4542" t="str">
        <f>"20190312172757023"</f>
        <v>20190312172757023</v>
      </c>
      <c r="B4542" t="str">
        <f>"1552382877014483"</f>
        <v>1552382877014483</v>
      </c>
      <c r="C4542" t="s">
        <v>40</v>
      </c>
      <c r="D4542">
        <v>3.4760219999999999</v>
      </c>
      <c r="E4542">
        <v>0.46773819999999999</v>
      </c>
      <c r="F4542" t="s">
        <v>41</v>
      </c>
      <c r="G4542">
        <v>-391.54930000000002</v>
      </c>
      <c r="H4542" s="1">
        <v>-4.5061669999999999E-6</v>
      </c>
      <c r="I4542">
        <v>16.62275</v>
      </c>
      <c r="J4542">
        <v>-404.7167</v>
      </c>
      <c r="K4542">
        <v>1.1197379999999999</v>
      </c>
      <c r="L4542">
        <v>20.07788</v>
      </c>
      <c r="M4542">
        <v>0.88454949999999999</v>
      </c>
      <c r="N4542">
        <v>0</v>
      </c>
      <c r="O4542">
        <v>-0.46618979999999999</v>
      </c>
      <c r="P4542">
        <v>0.92096920000000004</v>
      </c>
      <c r="Q4542">
        <v>0.2176631</v>
      </c>
      <c r="R4542">
        <v>-0.3231697</v>
      </c>
      <c r="S4542">
        <v>3.0361630000000002</v>
      </c>
      <c r="T4542">
        <v>-0.25300990000000001</v>
      </c>
      <c r="U4542">
        <v>-0.81072999999999995</v>
      </c>
      <c r="V4542">
        <v>-0.1489058</v>
      </c>
      <c r="W4542">
        <v>0.229156</v>
      </c>
      <c r="X4542">
        <v>0.96193269999999997</v>
      </c>
      <c r="Y4542">
        <v>-0.22017049999999999</v>
      </c>
      <c r="Z4542">
        <v>4.5392509999999997E-2</v>
      </c>
      <c r="AA4542">
        <v>0.97440470000000001</v>
      </c>
      <c r="AB4542">
        <v>30</v>
      </c>
      <c r="AC4542">
        <v>13.167399999999899</v>
      </c>
      <c r="AD4542">
        <v>-1.1197425061670001</v>
      </c>
      <c r="AE4542">
        <v>-3.45513</v>
      </c>
      <c r="AF4542">
        <v>-3.0619265223150798</v>
      </c>
      <c r="AG4542">
        <v>-1.1197425061670001</v>
      </c>
      <c r="AH4542">
        <v>13.1704414168789</v>
      </c>
      <c r="AI4542">
        <v>94.733912511483993</v>
      </c>
      <c r="AJ4542">
        <v>103.08790277190499</v>
      </c>
      <c r="AK4542">
        <v>13.5679675863267</v>
      </c>
      <c r="AL4542">
        <v>76.752612478462396</v>
      </c>
      <c r="AM4542">
        <v>98.799461950989894</v>
      </c>
      <c r="AN4542">
        <v>0.99999996446946404</v>
      </c>
    </row>
    <row r="4543" spans="1:40" x14ac:dyDescent="0.25">
      <c r="A4543" t="str">
        <f>"20190312172757038"</f>
        <v>20190312172757038</v>
      </c>
      <c r="B4543" t="str">
        <f>"1552382877034004"</f>
        <v>1552382877034004</v>
      </c>
      <c r="C4543" t="s">
        <v>40</v>
      </c>
      <c r="D4543">
        <v>3.4880770000000001</v>
      </c>
      <c r="E4543">
        <v>0.46702519999999997</v>
      </c>
      <c r="F4543" t="s">
        <v>41</v>
      </c>
      <c r="G4543">
        <v>-390.63720000000001</v>
      </c>
      <c r="H4543" s="1">
        <v>-4.945987E-6</v>
      </c>
      <c r="I4543">
        <v>16.574100000000001</v>
      </c>
      <c r="J4543">
        <v>-404.53879999999998</v>
      </c>
      <c r="K4543">
        <v>1.1197220000000001</v>
      </c>
      <c r="L4543">
        <v>19.992650000000001</v>
      </c>
      <c r="M4543">
        <v>0.88812919999999995</v>
      </c>
      <c r="N4543">
        <v>0</v>
      </c>
      <c r="O4543">
        <v>-0.45933360000000001</v>
      </c>
      <c r="P4543">
        <v>0.92317959999999999</v>
      </c>
      <c r="Q4543">
        <v>0.2176072</v>
      </c>
      <c r="R4543">
        <v>-0.31683869999999997</v>
      </c>
      <c r="S4543">
        <v>3.048492</v>
      </c>
      <c r="T4543">
        <v>-0.2424461</v>
      </c>
      <c r="U4543">
        <v>-0.75863649999999905</v>
      </c>
      <c r="V4543">
        <v>-0.1480629</v>
      </c>
      <c r="W4543">
        <v>0.22912440000000001</v>
      </c>
      <c r="X4543">
        <v>0.96207030000000004</v>
      </c>
      <c r="Y4543">
        <v>-0.22937920000000001</v>
      </c>
      <c r="Z4543">
        <v>4.3349289999999999E-2</v>
      </c>
      <c r="AA4543">
        <v>0.97237130000000005</v>
      </c>
      <c r="AB4543">
        <v>30</v>
      </c>
      <c r="AC4543">
        <v>13.901599999999901</v>
      </c>
      <c r="AD4543">
        <v>-1.1197269459869901</v>
      </c>
      <c r="AE4543">
        <v>-3.4185500000000002</v>
      </c>
      <c r="AF4543">
        <v>-3.32938994723819</v>
      </c>
      <c r="AG4543">
        <v>-1.1197269459869901</v>
      </c>
      <c r="AH4543">
        <v>13.8337043985423</v>
      </c>
      <c r="AI4543">
        <v>94.499612246212905</v>
      </c>
      <c r="AJ4543">
        <v>103.53215168957701</v>
      </c>
      <c r="AK4543">
        <v>14.2727013294817</v>
      </c>
      <c r="AL4543">
        <v>76.754472151783304</v>
      </c>
      <c r="AM4543">
        <v>98.749192400177293</v>
      </c>
      <c r="AN4543">
        <v>0.99999993758692796</v>
      </c>
    </row>
    <row r="4544" spans="1:40" x14ac:dyDescent="0.25">
      <c r="A4544" t="str">
        <f>"20190312172757060"</f>
        <v>20190312172757060</v>
      </c>
      <c r="B4544" t="str">
        <f>"1552382877054499"</f>
        <v>1552382877054499</v>
      </c>
      <c r="C4544" t="s">
        <v>40</v>
      </c>
      <c r="D4544">
        <v>3.5860020000000001</v>
      </c>
      <c r="E4544">
        <v>0.46666449999999998</v>
      </c>
      <c r="F4544" t="s">
        <v>41</v>
      </c>
      <c r="G4544">
        <v>-390.18009999999998</v>
      </c>
      <c r="H4544" s="1">
        <v>-5.1657489999999901E-6</v>
      </c>
      <c r="I4544">
        <v>16.55339</v>
      </c>
      <c r="J4544">
        <v>-404.2713</v>
      </c>
      <c r="K4544">
        <v>1.1196980000000001</v>
      </c>
      <c r="L4544">
        <v>19.867370000000001</v>
      </c>
      <c r="M4544">
        <v>0.89339040000000003</v>
      </c>
      <c r="N4544">
        <v>0</v>
      </c>
      <c r="O4544">
        <v>-0.44901540000000001</v>
      </c>
      <c r="P4544">
        <v>0.92633900000000002</v>
      </c>
      <c r="Q4544">
        <v>0.21753430000000001</v>
      </c>
      <c r="R4544">
        <v>-0.30753069999999999</v>
      </c>
      <c r="S4544">
        <v>3.0546570000000002</v>
      </c>
      <c r="T4544">
        <v>-0.2382079</v>
      </c>
      <c r="U4544">
        <v>-0.7316589</v>
      </c>
      <c r="V4544">
        <v>-0.14658889999999999</v>
      </c>
      <c r="W4544">
        <v>0.22909289999999999</v>
      </c>
      <c r="X4544">
        <v>0.96230360000000004</v>
      </c>
      <c r="Y4544">
        <v>-0.2267719</v>
      </c>
      <c r="Z4544">
        <v>4.1773159999999997E-2</v>
      </c>
      <c r="AA4544">
        <v>0.97305169999999996</v>
      </c>
      <c r="AB4544">
        <v>30</v>
      </c>
      <c r="AC4544">
        <v>14.091200000000001</v>
      </c>
      <c r="AD4544">
        <v>-1.11970316574899</v>
      </c>
      <c r="AE4544">
        <v>-3.3139799999999999</v>
      </c>
      <c r="AF4544">
        <v>-3.3468650651154701</v>
      </c>
      <c r="AG4544">
        <v>-1.11970316574899</v>
      </c>
      <c r="AH4544">
        <v>13.9949180210983</v>
      </c>
      <c r="AI4544">
        <v>94.449425925647205</v>
      </c>
      <c r="AJ4544">
        <v>103.449599592604</v>
      </c>
      <c r="AK4544">
        <v>14.4330513530834</v>
      </c>
      <c r="AL4544">
        <v>76.756327675171505</v>
      </c>
      <c r="AM4544">
        <v>98.661351702139797</v>
      </c>
      <c r="AN4544">
        <v>1.0000000405032801</v>
      </c>
    </row>
    <row r="4545" spans="1:40" x14ac:dyDescent="0.25">
      <c r="A4545" t="str">
        <f>"20190312172757074"</f>
        <v>20190312172757074</v>
      </c>
      <c r="B4545" t="str">
        <f>"1552382877064259"</f>
        <v>1552382877064259</v>
      </c>
      <c r="C4545" t="s">
        <v>40</v>
      </c>
      <c r="D4545">
        <v>4.0410019999999998</v>
      </c>
      <c r="E4545">
        <v>0.46635080000000001</v>
      </c>
      <c r="F4545" t="s">
        <v>53</v>
      </c>
      <c r="G4545">
        <v>-389.79989999999998</v>
      </c>
      <c r="H4545" s="1">
        <v>-8.8604869999999896E-7</v>
      </c>
      <c r="I4545">
        <v>16.576689999999999</v>
      </c>
      <c r="J4545">
        <v>-404.10680000000002</v>
      </c>
      <c r="K4545">
        <v>1.1196759999999999</v>
      </c>
      <c r="L4545">
        <v>19.792179999999998</v>
      </c>
      <c r="M4545">
        <v>0.89655169999999995</v>
      </c>
      <c r="N4545">
        <v>0</v>
      </c>
      <c r="O4545">
        <v>-0.44266939999999999</v>
      </c>
      <c r="P4545">
        <v>0.92831889999999995</v>
      </c>
      <c r="Q4545">
        <v>0.2174702</v>
      </c>
      <c r="R4545">
        <v>-0.30154720000000002</v>
      </c>
      <c r="S4545">
        <v>3.0630190000000002</v>
      </c>
      <c r="T4545">
        <v>-0.2369947</v>
      </c>
      <c r="U4545">
        <v>-0.69650269999999903</v>
      </c>
      <c r="V4545">
        <v>-0.1459683</v>
      </c>
      <c r="W4545">
        <v>0.2290479</v>
      </c>
      <c r="X4545">
        <v>0.96240859999999995</v>
      </c>
      <c r="Y4545">
        <v>-0.2310846</v>
      </c>
      <c r="Z4545">
        <v>4.126047E-2</v>
      </c>
      <c r="AA4545">
        <v>0.97205839999999999</v>
      </c>
      <c r="AB4545">
        <v>30</v>
      </c>
      <c r="AC4545">
        <v>14.306900000000001</v>
      </c>
      <c r="AD4545">
        <v>-1.1196768860486901</v>
      </c>
      <c r="AE4545">
        <v>-3.2154899999999902</v>
      </c>
      <c r="AF4545">
        <v>-3.4307833617831398</v>
      </c>
      <c r="AG4545">
        <v>-1.1196768860486901</v>
      </c>
      <c r="AH4545">
        <v>14.1693646722475</v>
      </c>
      <c r="AI4545">
        <v>94.391795304884297</v>
      </c>
      <c r="AJ4545">
        <v>103.610899200031</v>
      </c>
      <c r="AK4545">
        <v>14.621725138292501</v>
      </c>
      <c r="AL4545">
        <v>76.758975859033995</v>
      </c>
      <c r="AM4545">
        <v>98.624308685386197</v>
      </c>
      <c r="AN4545">
        <v>0.99999999922662997</v>
      </c>
    </row>
    <row r="4546" spans="1:40" x14ac:dyDescent="0.25">
      <c r="A4546" t="str">
        <f>"20190312172757091"</f>
        <v>20190312172757091</v>
      </c>
      <c r="B4546" t="str">
        <f>"1552382877083782"</f>
        <v>1552382877083782</v>
      </c>
      <c r="C4546" t="s">
        <v>40</v>
      </c>
      <c r="D4546">
        <v>3.5830769999999998</v>
      </c>
      <c r="E4546">
        <v>0.46629340000000002</v>
      </c>
      <c r="F4546" t="s">
        <v>53</v>
      </c>
      <c r="G4546">
        <v>-389.72680000000003</v>
      </c>
      <c r="H4546" s="1">
        <v>-8.9899280000000002E-7</v>
      </c>
      <c r="I4546">
        <v>16.63354</v>
      </c>
      <c r="J4546">
        <v>-403.9024</v>
      </c>
      <c r="K4546">
        <v>1.1196539999999999</v>
      </c>
      <c r="L4546">
        <v>19.700679999999998</v>
      </c>
      <c r="M4546">
        <v>0.90040039999999999</v>
      </c>
      <c r="N4546">
        <v>0</v>
      </c>
      <c r="O4546">
        <v>-0.43478739999999999</v>
      </c>
      <c r="P4546">
        <v>0.93057820000000002</v>
      </c>
      <c r="Q4546">
        <v>0.2169402</v>
      </c>
      <c r="R4546">
        <v>-0.29489159999999998</v>
      </c>
      <c r="S4546">
        <v>3.0686339999999999</v>
      </c>
      <c r="T4546">
        <v>-0.2389346</v>
      </c>
      <c r="U4546">
        <v>-0.67404169999999997</v>
      </c>
      <c r="V4546">
        <v>-0.1444394</v>
      </c>
      <c r="W4546">
        <v>0.2285623</v>
      </c>
      <c r="X4546">
        <v>0.96275469999999996</v>
      </c>
      <c r="Y4546">
        <v>-0.229709</v>
      </c>
      <c r="Z4546">
        <v>4.0976510000000001E-2</v>
      </c>
      <c r="AA4546">
        <v>0.97239640000000005</v>
      </c>
      <c r="AB4546">
        <v>30</v>
      </c>
      <c r="AC4546">
        <v>14.1755999999999</v>
      </c>
      <c r="AD4546">
        <v>-1.1196548989927999</v>
      </c>
      <c r="AE4546">
        <v>-3.06713999999999</v>
      </c>
      <c r="AF4546">
        <v>-3.3819697099562398</v>
      </c>
      <c r="AG4546">
        <v>-1.1196548989927999</v>
      </c>
      <c r="AH4546">
        <v>14.0154288668679</v>
      </c>
      <c r="AI4546">
        <v>94.440584791794095</v>
      </c>
      <c r="AJ4546">
        <v>103.566320844537</v>
      </c>
      <c r="AK4546">
        <v>14.461106200223201</v>
      </c>
      <c r="AL4546">
        <v>76.787557412539002</v>
      </c>
      <c r="AM4546">
        <v>98.532290225471897</v>
      </c>
      <c r="AN4546">
        <v>1.00000003881286</v>
      </c>
    </row>
    <row r="4547" spans="1:40" x14ac:dyDescent="0.25">
      <c r="A4547" t="str">
        <f>"20190312172757104"</f>
        <v>20190312172757104</v>
      </c>
      <c r="B4547" t="str">
        <f>"1552382877094516"</f>
        <v>1552382877094516</v>
      </c>
      <c r="C4547" t="s">
        <v>40</v>
      </c>
      <c r="D4547">
        <v>3.4855299999999998</v>
      </c>
      <c r="E4547">
        <v>0.46648620000000002</v>
      </c>
      <c r="F4547" t="s">
        <v>53</v>
      </c>
      <c r="G4547">
        <v>-389.65839999999997</v>
      </c>
      <c r="H4547" s="1">
        <v>-9.1223719999999998E-7</v>
      </c>
      <c r="I4547">
        <v>16.682489999999898</v>
      </c>
      <c r="J4547">
        <v>-403.73570000000001</v>
      </c>
      <c r="K4547">
        <v>1.1196189999999999</v>
      </c>
      <c r="L4547">
        <v>19.62772</v>
      </c>
      <c r="M4547">
        <v>0.90347069999999996</v>
      </c>
      <c r="N4547">
        <v>0</v>
      </c>
      <c r="O4547">
        <v>-0.42837150000000002</v>
      </c>
      <c r="P4547">
        <v>0.93266970000000005</v>
      </c>
      <c r="Q4547">
        <v>0.21615509999999999</v>
      </c>
      <c r="R4547">
        <v>-0.28879860000000002</v>
      </c>
      <c r="S4547">
        <v>3.0737610000000002</v>
      </c>
      <c r="T4547">
        <v>-0.2416142</v>
      </c>
      <c r="U4547">
        <v>-0.65130619999999995</v>
      </c>
      <c r="V4547">
        <v>-0.14393249999999999</v>
      </c>
      <c r="W4547">
        <v>0.22779679999999999</v>
      </c>
      <c r="X4547">
        <v>0.96301199999999998</v>
      </c>
      <c r="Y4547">
        <v>-0.22997680000000001</v>
      </c>
      <c r="Z4547">
        <v>4.0976539999999999E-2</v>
      </c>
      <c r="AA4547">
        <v>0.97233309999999995</v>
      </c>
      <c r="AB4547">
        <v>30</v>
      </c>
      <c r="AC4547">
        <v>14.077299999999999</v>
      </c>
      <c r="AD4547">
        <v>-1.1196199122371999</v>
      </c>
      <c r="AE4547">
        <v>-2.94523</v>
      </c>
      <c r="AF4547">
        <v>-3.3494880427777098</v>
      </c>
      <c r="AG4547">
        <v>-1.1196199122371999</v>
      </c>
      <c r="AH4547">
        <v>13.8975247941541</v>
      </c>
      <c r="AI4547">
        <v>94.478260769270605</v>
      </c>
      <c r="AJ4547">
        <v>103.55061540741499</v>
      </c>
      <c r="AK4547">
        <v>14.3392403669343</v>
      </c>
      <c r="AL4547">
        <v>76.832605622043999</v>
      </c>
      <c r="AM4547">
        <v>98.500546598286903</v>
      </c>
      <c r="AN4547">
        <v>1.00000002939524</v>
      </c>
    </row>
    <row r="4548" spans="1:40" x14ac:dyDescent="0.25">
      <c r="A4548" t="str">
        <f>"20190312172757118"</f>
        <v>20190312172757118</v>
      </c>
      <c r="B4548" t="str">
        <f>"1552382877114035"</f>
        <v>1552382877114035</v>
      </c>
      <c r="C4548" t="s">
        <v>40</v>
      </c>
      <c r="D4548">
        <v>3.4630350000000001</v>
      </c>
      <c r="E4548">
        <v>0.46693990000000002</v>
      </c>
      <c r="F4548" t="s">
        <v>53</v>
      </c>
      <c r="G4548">
        <v>-389.59719999999999</v>
      </c>
      <c r="H4548" s="1">
        <v>-9.2581600000000001E-7</v>
      </c>
      <c r="I4548">
        <v>16.719829999999899</v>
      </c>
      <c r="J4548">
        <v>-403.57139999999998</v>
      </c>
      <c r="K4548">
        <v>1.1195889999999999</v>
      </c>
      <c r="L4548">
        <v>19.55734</v>
      </c>
      <c r="M4548">
        <v>0.90643569999999996</v>
      </c>
      <c r="N4548">
        <v>0</v>
      </c>
      <c r="O4548">
        <v>-0.42206149999999998</v>
      </c>
      <c r="P4548">
        <v>0.93461970000000005</v>
      </c>
      <c r="Q4548">
        <v>0.21557970000000001</v>
      </c>
      <c r="R4548">
        <v>-0.2828639</v>
      </c>
      <c r="S4548">
        <v>3.077118</v>
      </c>
      <c r="T4548">
        <v>-0.243674</v>
      </c>
      <c r="U4548">
        <v>-0.63287349999999998</v>
      </c>
      <c r="V4548">
        <v>-0.14336370000000001</v>
      </c>
      <c r="W4548">
        <v>0.22724279999999999</v>
      </c>
      <c r="X4548">
        <v>0.96322770000000002</v>
      </c>
      <c r="Y4548">
        <v>-0.22897770000000001</v>
      </c>
      <c r="Z4548">
        <v>4.0832849999999997E-2</v>
      </c>
      <c r="AA4548">
        <v>0.97257490000000002</v>
      </c>
      <c r="AB4548">
        <v>30</v>
      </c>
      <c r="AC4548">
        <v>13.9741999999999</v>
      </c>
      <c r="AD4548">
        <v>-1.119589925816</v>
      </c>
      <c r="AE4548">
        <v>-2.83751</v>
      </c>
      <c r="AF4548">
        <v>-3.3059674558427998</v>
      </c>
      <c r="AG4548">
        <v>-1.119589925816</v>
      </c>
      <c r="AH4548">
        <v>13.7810136714064</v>
      </c>
      <c r="AI4548">
        <v>94.516991116278504</v>
      </c>
      <c r="AJ4548">
        <v>103.489931443717</v>
      </c>
      <c r="AK4548">
        <v>14.216161234052199</v>
      </c>
      <c r="AL4548">
        <v>76.865202276148295</v>
      </c>
      <c r="AM4548">
        <v>98.465572950111806</v>
      </c>
      <c r="AN4548">
        <v>1.0000000213384099</v>
      </c>
    </row>
    <row r="4549" spans="1:40" x14ac:dyDescent="0.25">
      <c r="A4549" t="str">
        <f>"20190312172757138"</f>
        <v>20190312172757138</v>
      </c>
      <c r="B4549" t="str">
        <f>"1552382877133556"</f>
        <v>1552382877133556</v>
      </c>
      <c r="C4549" t="s">
        <v>40</v>
      </c>
      <c r="D4549">
        <v>3.5730400000000002</v>
      </c>
      <c r="E4549">
        <v>0.46720400000000001</v>
      </c>
      <c r="F4549" t="s">
        <v>53</v>
      </c>
      <c r="G4549">
        <v>-389.50380000000001</v>
      </c>
      <c r="H4549" s="1">
        <v>-9.5617350000000006E-7</v>
      </c>
      <c r="I4549">
        <v>16.740400000000001</v>
      </c>
      <c r="J4549">
        <v>-403.3347</v>
      </c>
      <c r="K4549">
        <v>1.1195409999999999</v>
      </c>
      <c r="L4549">
        <v>19.458069999999999</v>
      </c>
      <c r="M4549">
        <v>0.91059860000000004</v>
      </c>
      <c r="N4549">
        <v>0</v>
      </c>
      <c r="O4549">
        <v>-0.41300330000000002</v>
      </c>
      <c r="P4549">
        <v>0.93717629999999996</v>
      </c>
      <c r="Q4549">
        <v>0.2152935</v>
      </c>
      <c r="R4549">
        <v>-0.27449829999999997</v>
      </c>
      <c r="S4549">
        <v>3.079742</v>
      </c>
      <c r="T4549">
        <v>-0.2451063</v>
      </c>
      <c r="U4549">
        <v>-0.616699199999999</v>
      </c>
      <c r="V4549">
        <v>-0.1423566</v>
      </c>
      <c r="W4549">
        <v>0.226993</v>
      </c>
      <c r="X4549">
        <v>0.96343590000000001</v>
      </c>
      <c r="Y4549">
        <v>-0.2243579</v>
      </c>
      <c r="Z4549">
        <v>4.0242119999999999E-2</v>
      </c>
      <c r="AA4549">
        <v>0.97367550000000003</v>
      </c>
      <c r="AB4549">
        <v>30</v>
      </c>
      <c r="AC4549">
        <v>13.8308999999999</v>
      </c>
      <c r="AD4549">
        <v>-1.1195419561734901</v>
      </c>
      <c r="AE4549">
        <v>-2.71767</v>
      </c>
      <c r="AF4549">
        <v>-3.2175886975607502</v>
      </c>
      <c r="AG4549">
        <v>-1.1195419561734901</v>
      </c>
      <c r="AH4549">
        <v>13.632440078093399</v>
      </c>
      <c r="AI4549">
        <v>94.569780494207507</v>
      </c>
      <c r="AJ4549">
        <v>103.28016138258199</v>
      </c>
      <c r="AK4549">
        <v>14.051678679115501</v>
      </c>
      <c r="AL4549">
        <v>76.879898250536002</v>
      </c>
      <c r="AM4549">
        <v>98.405166093436094</v>
      </c>
      <c r="AN4549">
        <v>0.99999997851068401</v>
      </c>
    </row>
    <row r="4550" spans="1:40" x14ac:dyDescent="0.25">
      <c r="A4550" t="str">
        <f>"20190312172757158"</f>
        <v>20190312172757158</v>
      </c>
      <c r="B4550" t="str">
        <f>"1552382877154051"</f>
        <v>1552382877154051</v>
      </c>
      <c r="C4550" t="s">
        <v>40</v>
      </c>
      <c r="D4550">
        <v>3.6370490000000002</v>
      </c>
      <c r="E4550">
        <v>0.46765319999999999</v>
      </c>
      <c r="F4550" t="s">
        <v>53</v>
      </c>
      <c r="G4550">
        <v>-389.36130000000003</v>
      </c>
      <c r="H4550" s="1">
        <v>-1.0011569999999999E-6</v>
      </c>
      <c r="I4550">
        <v>16.77704</v>
      </c>
      <c r="J4550">
        <v>-403.07819999999998</v>
      </c>
      <c r="K4550">
        <v>1.1194679999999999</v>
      </c>
      <c r="L4550">
        <v>19.353580000000001</v>
      </c>
      <c r="M4550">
        <v>0.91495499999999996</v>
      </c>
      <c r="N4550">
        <v>0</v>
      </c>
      <c r="O4550">
        <v>-0.40326109999999998</v>
      </c>
      <c r="P4550">
        <v>0.9395213</v>
      </c>
      <c r="Q4550">
        <v>0.2161883</v>
      </c>
      <c r="R4550">
        <v>-0.2656365</v>
      </c>
      <c r="S4550">
        <v>3.0845639999999999</v>
      </c>
      <c r="T4550">
        <v>-0.2471343</v>
      </c>
      <c r="U4550">
        <v>-0.5918274</v>
      </c>
      <c r="V4550">
        <v>-0.1410595</v>
      </c>
      <c r="W4550">
        <v>0.22793099999999999</v>
      </c>
      <c r="X4550">
        <v>0.96340530000000002</v>
      </c>
      <c r="Y4550">
        <v>-0.22181770000000001</v>
      </c>
      <c r="Z4550">
        <v>3.9753690000000001E-2</v>
      </c>
      <c r="AA4550">
        <v>0.97427739999999996</v>
      </c>
      <c r="AB4550">
        <v>30</v>
      </c>
      <c r="AC4550">
        <v>13.7168999999999</v>
      </c>
      <c r="AD4550">
        <v>-1.1194690011570001</v>
      </c>
      <c r="AE4550">
        <v>-2.5765399999999898</v>
      </c>
      <c r="AF4550">
        <v>-3.1541589851131202</v>
      </c>
      <c r="AG4550">
        <v>-1.1194690011570001</v>
      </c>
      <c r="AH4550">
        <v>13.5041010617</v>
      </c>
      <c r="AI4550">
        <v>94.615233189512196</v>
      </c>
      <c r="AJ4550">
        <v>103.14690602925999</v>
      </c>
      <c r="AK4550">
        <v>13.912680375561299</v>
      </c>
      <c r="AL4550">
        <v>76.824709031859399</v>
      </c>
      <c r="AM4550">
        <v>98.329921599585902</v>
      </c>
      <c r="AN4550">
        <v>1.00000004768466</v>
      </c>
    </row>
    <row r="4551" spans="1:40" x14ac:dyDescent="0.25">
      <c r="A4551" t="str">
        <f>"20190312172757183"</f>
        <v>20190312172757183</v>
      </c>
      <c r="B4551" t="str">
        <f>"1552382877173572"</f>
        <v>1552382877173572</v>
      </c>
      <c r="C4551" t="s">
        <v>40</v>
      </c>
      <c r="D4551">
        <v>3.5822289999999999</v>
      </c>
      <c r="E4551">
        <v>0.46806300000000001</v>
      </c>
      <c r="F4551" t="s">
        <v>53</v>
      </c>
      <c r="G4551">
        <v>-389.00479999999999</v>
      </c>
      <c r="H4551" s="1">
        <v>-1.1396620000000001E-6</v>
      </c>
      <c r="I4551">
        <v>16.77103</v>
      </c>
      <c r="J4551">
        <v>-402.786</v>
      </c>
      <c r="K4551">
        <v>1.1193569999999999</v>
      </c>
      <c r="L4551">
        <v>19.238160000000001</v>
      </c>
      <c r="M4551">
        <v>0.9197208</v>
      </c>
      <c r="N4551">
        <v>0</v>
      </c>
      <c r="O4551">
        <v>-0.39227070000000003</v>
      </c>
      <c r="P4551">
        <v>0.9421891</v>
      </c>
      <c r="Q4551">
        <v>0.21733350000000001</v>
      </c>
      <c r="R4551">
        <v>-0.25504149999999998</v>
      </c>
      <c r="S4551">
        <v>3.0894170000000001</v>
      </c>
      <c r="T4551">
        <v>-0.24574799999999999</v>
      </c>
      <c r="U4551">
        <v>-0.56692500000000001</v>
      </c>
      <c r="V4551">
        <v>-0.14021749999999999</v>
      </c>
      <c r="W4551">
        <v>0.22911329999999999</v>
      </c>
      <c r="X4551">
        <v>0.96324770000000004</v>
      </c>
      <c r="Y4551">
        <v>-0.2180695</v>
      </c>
      <c r="Z4551">
        <v>3.8573110000000001E-2</v>
      </c>
      <c r="AA4551">
        <v>0.97517069999999995</v>
      </c>
      <c r="AB4551">
        <v>30</v>
      </c>
      <c r="AC4551">
        <v>13.7812</v>
      </c>
      <c r="AD4551">
        <v>-1.119358139662</v>
      </c>
      <c r="AE4551">
        <v>-2.46713</v>
      </c>
      <c r="AF4551">
        <v>-3.1173352761984101</v>
      </c>
      <c r="AG4551">
        <v>-1.119358139662</v>
      </c>
      <c r="AH4551">
        <v>13.5575928726438</v>
      </c>
      <c r="AI4551">
        <v>94.600311854207405</v>
      </c>
      <c r="AJ4551">
        <v>102.949107572354</v>
      </c>
      <c r="AK4551">
        <v>13.956327108857099</v>
      </c>
      <c r="AL4551">
        <v>76.755126243193899</v>
      </c>
      <c r="AM4551">
        <v>98.282226986480495</v>
      </c>
      <c r="AN4551">
        <v>0.99999999154921404</v>
      </c>
    </row>
    <row r="4552" spans="1:40" x14ac:dyDescent="0.25">
      <c r="A4552" t="str">
        <f>"20190312172757206"</f>
        <v>20190312172757206</v>
      </c>
      <c r="B4552" t="str">
        <f>"1552382877194067"</f>
        <v>1552382877194067</v>
      </c>
      <c r="C4552" t="s">
        <v>40</v>
      </c>
      <c r="D4552">
        <v>3.5074879999999999</v>
      </c>
      <c r="E4552">
        <v>0.46874369999999999</v>
      </c>
      <c r="F4552" t="s">
        <v>53</v>
      </c>
      <c r="G4552">
        <v>-388.57510000000002</v>
      </c>
      <c r="H4552" s="1">
        <v>-1.3032010000000001E-6</v>
      </c>
      <c r="I4552">
        <v>16.776589999999999</v>
      </c>
      <c r="J4552">
        <v>-402.49680000000001</v>
      </c>
      <c r="K4552">
        <v>1.1192169999999999</v>
      </c>
      <c r="L4552">
        <v>19.127690000000001</v>
      </c>
      <c r="M4552">
        <v>0.92422059999999995</v>
      </c>
      <c r="N4552">
        <v>0</v>
      </c>
      <c r="O4552">
        <v>-0.38154919999999998</v>
      </c>
      <c r="P4552">
        <v>0.94474320000000001</v>
      </c>
      <c r="Q4552">
        <v>0.2178485</v>
      </c>
      <c r="R4552">
        <v>-0.2449538</v>
      </c>
      <c r="S4552">
        <v>3.095154</v>
      </c>
      <c r="T4552">
        <v>-0.24379790000000001</v>
      </c>
      <c r="U4552">
        <v>-0.53613279999999996</v>
      </c>
      <c r="V4552">
        <v>-0.13919609999999999</v>
      </c>
      <c r="W4552">
        <v>0.2296763</v>
      </c>
      <c r="X4552">
        <v>0.96326179999999995</v>
      </c>
      <c r="Y4552">
        <v>-0.21651029999999999</v>
      </c>
      <c r="Z4552">
        <v>3.7415179999999999E-2</v>
      </c>
      <c r="AA4552">
        <v>0.97556310000000002</v>
      </c>
      <c r="AB4552">
        <v>30</v>
      </c>
      <c r="AC4552">
        <v>13.9216999999999</v>
      </c>
      <c r="AD4552">
        <v>-1.1192183032009999</v>
      </c>
      <c r="AE4552">
        <v>-2.3511000000000002</v>
      </c>
      <c r="AF4552">
        <v>-3.1196459969199801</v>
      </c>
      <c r="AG4552">
        <v>-1.1192183032009999</v>
      </c>
      <c r="AH4552">
        <v>13.679449190177399</v>
      </c>
      <c r="AI4552">
        <v>94.560795416222604</v>
      </c>
      <c r="AJ4552">
        <v>102.846795592804</v>
      </c>
      <c r="AK4552">
        <v>14.0752325345966</v>
      </c>
      <c r="AL4552">
        <v>76.721985423403098</v>
      </c>
      <c r="AM4552">
        <v>98.222605183078599</v>
      </c>
      <c r="AN4552">
        <v>1.0000000261880599</v>
      </c>
    </row>
    <row r="4553" spans="1:40" x14ac:dyDescent="0.25">
      <c r="A4553" t="str">
        <f>"20190312172757227"</f>
        <v>20190312172757227</v>
      </c>
      <c r="B4553" t="str">
        <f>"1552382877224324"</f>
        <v>1552382877224324</v>
      </c>
      <c r="C4553" t="s">
        <v>40</v>
      </c>
      <c r="D4553">
        <v>3.5329489999999999</v>
      </c>
      <c r="E4553">
        <v>0.46939209999999898</v>
      </c>
      <c r="F4553" t="s">
        <v>53</v>
      </c>
      <c r="G4553">
        <v>-388.17619999999999</v>
      </c>
      <c r="H4553" s="1">
        <v>-1.4559919999999999E-6</v>
      </c>
      <c r="I4553">
        <v>16.778029999999902</v>
      </c>
      <c r="J4553">
        <v>-402.24770000000001</v>
      </c>
      <c r="K4553">
        <v>1.1190690000000001</v>
      </c>
      <c r="L4553">
        <v>19.035550000000001</v>
      </c>
      <c r="M4553">
        <v>0.92791210000000002</v>
      </c>
      <c r="N4553">
        <v>0</v>
      </c>
      <c r="O4553">
        <v>-0.3724827</v>
      </c>
      <c r="P4553">
        <v>0.94686979999999998</v>
      </c>
      <c r="Q4553">
        <v>0.21827959999999999</v>
      </c>
      <c r="R4553">
        <v>-0.2362033</v>
      </c>
      <c r="S4553">
        <v>3.0994570000000001</v>
      </c>
      <c r="T4553">
        <v>-0.24223610000000001</v>
      </c>
      <c r="U4553">
        <v>-0.50854489999999997</v>
      </c>
      <c r="V4553">
        <v>-0.13856250000000001</v>
      </c>
      <c r="W4553">
        <v>0.2301464</v>
      </c>
      <c r="X4553">
        <v>0.96324089999999996</v>
      </c>
      <c r="Y4553">
        <v>-0.21567529999999999</v>
      </c>
      <c r="Z4553">
        <v>3.6482649999999998E-2</v>
      </c>
      <c r="AA4553">
        <v>0.97578330000000002</v>
      </c>
      <c r="AB4553">
        <v>30</v>
      </c>
      <c r="AC4553">
        <v>14.0715</v>
      </c>
      <c r="AD4553">
        <v>-1.1190704559919999</v>
      </c>
      <c r="AE4553">
        <v>-2.25752</v>
      </c>
      <c r="AF4553">
        <v>-3.1276960934747602</v>
      </c>
      <c r="AG4553">
        <v>-1.1190704559919999</v>
      </c>
      <c r="AH4553">
        <v>13.8144621558247</v>
      </c>
      <c r="AI4553">
        <v>94.517412363809498</v>
      </c>
      <c r="AJ4553">
        <v>102.757111362255</v>
      </c>
      <c r="AK4553">
        <v>14.208242896055999</v>
      </c>
      <c r="AL4553">
        <v>76.694308673868505</v>
      </c>
      <c r="AM4553">
        <v>98.185860663020406</v>
      </c>
      <c r="AN4553">
        <v>0.99999998163600901</v>
      </c>
    </row>
    <row r="4554" spans="1:40" x14ac:dyDescent="0.25">
      <c r="A4554" t="str">
        <f>"20190312172757252"</f>
        <v>20190312172757252</v>
      </c>
      <c r="B4554" t="str">
        <f>"1552382877243696"</f>
        <v>1552382877243696</v>
      </c>
      <c r="C4554" t="s">
        <v>40</v>
      </c>
      <c r="D4554">
        <v>3.4803480000000002</v>
      </c>
      <c r="E4554">
        <v>0.47848629999999998</v>
      </c>
      <c r="F4554" t="s">
        <v>53</v>
      </c>
      <c r="G4554">
        <v>-387.84730000000002</v>
      </c>
      <c r="H4554" s="1">
        <v>-1.580985E-6</v>
      </c>
      <c r="I4554">
        <v>16.783010000000001</v>
      </c>
      <c r="J4554">
        <v>-401.93419999999998</v>
      </c>
      <c r="K4554">
        <v>1.118843</v>
      </c>
      <c r="L4554">
        <v>18.92334</v>
      </c>
      <c r="M4554">
        <v>0.93230619999999997</v>
      </c>
      <c r="N4554">
        <v>0</v>
      </c>
      <c r="O4554">
        <v>-0.36134579999999999</v>
      </c>
      <c r="P4554">
        <v>0.94952669999999995</v>
      </c>
      <c r="Q4554">
        <v>0.2182287</v>
      </c>
      <c r="R4554">
        <v>-0.2253339</v>
      </c>
      <c r="S4554">
        <v>3.1028440000000002</v>
      </c>
      <c r="T4554">
        <v>-0.24112420000000001</v>
      </c>
      <c r="U4554">
        <v>-0.48535159999999999</v>
      </c>
      <c r="V4554">
        <v>-0.1379456</v>
      </c>
      <c r="W4554">
        <v>0.2301473</v>
      </c>
      <c r="X4554">
        <v>0.96332930000000005</v>
      </c>
      <c r="Y4554">
        <v>-0.21132380000000001</v>
      </c>
      <c r="Z4554">
        <v>3.5341589999999999E-2</v>
      </c>
      <c r="AA4554">
        <v>0.97677700000000001</v>
      </c>
      <c r="AB4554">
        <v>30</v>
      </c>
      <c r="AC4554">
        <v>14.086899999999901</v>
      </c>
      <c r="AD4554">
        <v>-1.1188445809850001</v>
      </c>
      <c r="AE4554">
        <v>-2.1403299999999899</v>
      </c>
      <c r="AF4554">
        <v>-3.0761944099807099</v>
      </c>
      <c r="AG4554">
        <v>-1.1188445809850001</v>
      </c>
      <c r="AH4554">
        <v>13.8231014051059</v>
      </c>
      <c r="AI4554">
        <v>94.517409711066605</v>
      </c>
      <c r="AJ4554">
        <v>102.546162672337</v>
      </c>
      <c r="AK4554">
        <v>14.205383405605</v>
      </c>
      <c r="AL4554">
        <v>76.694256669136493</v>
      </c>
      <c r="AM4554">
        <v>98.149168888189394</v>
      </c>
      <c r="AN4554">
        <v>1.00000005424756</v>
      </c>
    </row>
    <row r="4555" spans="1:40" x14ac:dyDescent="0.25">
      <c r="A4555" t="str">
        <f>"20190312172757274"</f>
        <v>20190312172757274</v>
      </c>
      <c r="B4555" t="str">
        <f>"1552382877264191"</f>
        <v>1552382877264191</v>
      </c>
      <c r="C4555" t="s">
        <v>40</v>
      </c>
      <c r="D4555">
        <v>3.4973290000000001</v>
      </c>
      <c r="E4555">
        <v>0.45760960000000001</v>
      </c>
      <c r="F4555" t="s">
        <v>53</v>
      </c>
      <c r="G4555">
        <v>-387.65899999999999</v>
      </c>
      <c r="H4555" s="1">
        <v>-1.7238680000000001E-6</v>
      </c>
      <c r="I4555">
        <v>16.51773</v>
      </c>
      <c r="J4555">
        <v>-401.64729999999997</v>
      </c>
      <c r="K4555">
        <v>1.1186179999999999</v>
      </c>
      <c r="L4555">
        <v>18.824010000000001</v>
      </c>
      <c r="M4555">
        <v>0.93609359999999997</v>
      </c>
      <c r="N4555">
        <v>0</v>
      </c>
      <c r="O4555">
        <v>-0.35141939999999999</v>
      </c>
      <c r="P4555">
        <v>0.95174179999999997</v>
      </c>
      <c r="Q4555">
        <v>0.21773100000000001</v>
      </c>
      <c r="R4555">
        <v>-0.2162897</v>
      </c>
      <c r="S4555">
        <v>3.0914920000000001</v>
      </c>
      <c r="T4555">
        <v>-0.2423006</v>
      </c>
      <c r="U4555">
        <v>-0.52096560000000003</v>
      </c>
      <c r="V4555">
        <v>-0.13677529999999999</v>
      </c>
      <c r="W4555">
        <v>0.2297139</v>
      </c>
      <c r="X4555">
        <v>0.9635996</v>
      </c>
      <c r="Y4555">
        <v>-0.189447</v>
      </c>
      <c r="Z4555">
        <v>3.4025640000000003E-2</v>
      </c>
      <c r="AA4555">
        <v>0.98130119999999998</v>
      </c>
      <c r="AB4555">
        <v>30</v>
      </c>
      <c r="AC4555">
        <v>13.988299999999899</v>
      </c>
      <c r="AD4555">
        <v>-1.118619723868</v>
      </c>
      <c r="AE4555">
        <v>-2.3062800000000001</v>
      </c>
      <c r="AF4555">
        <v>-2.7401283375045802</v>
      </c>
      <c r="AG4555">
        <v>-1.118619723868</v>
      </c>
      <c r="AH4555">
        <v>13.820409514412299</v>
      </c>
      <c r="AI4555">
        <v>94.539433554790804</v>
      </c>
      <c r="AJ4555">
        <v>101.21441497948101</v>
      </c>
      <c r="AK4555">
        <v>14.133765688544599</v>
      </c>
      <c r="AL4555">
        <v>76.7197725631775</v>
      </c>
      <c r="AM4555">
        <v>98.0787132932128</v>
      </c>
      <c r="AN4555">
        <v>1.0000000738317201</v>
      </c>
    </row>
    <row r="4556" spans="1:40" x14ac:dyDescent="0.25">
      <c r="A4556" t="str">
        <f>"20190312172757293"</f>
        <v>20190312172757293</v>
      </c>
      <c r="B4556" t="str">
        <f>"1552382877283711"</f>
        <v>1552382877283711</v>
      </c>
      <c r="C4556" t="s">
        <v>40</v>
      </c>
      <c r="D4556">
        <v>3.4559090000000001</v>
      </c>
      <c r="E4556">
        <v>0.45652920000000002</v>
      </c>
      <c r="F4556" t="s">
        <v>53</v>
      </c>
      <c r="G4556">
        <v>-381.81369999999998</v>
      </c>
      <c r="H4556" s="1">
        <v>-4.3816730000000002E-6</v>
      </c>
      <c r="I4556">
        <v>16.732700000000001</v>
      </c>
      <c r="J4556">
        <v>-401.42189999999999</v>
      </c>
      <c r="K4556">
        <v>1.118447</v>
      </c>
      <c r="L4556">
        <v>18.748049999999999</v>
      </c>
      <c r="M4556">
        <v>0.93892750000000003</v>
      </c>
      <c r="N4556">
        <v>0</v>
      </c>
      <c r="O4556">
        <v>-0.34377669999999999</v>
      </c>
      <c r="P4556">
        <v>0.95348290000000002</v>
      </c>
      <c r="Q4556">
        <v>0.21704580000000001</v>
      </c>
      <c r="R4556">
        <v>-0.2091925</v>
      </c>
      <c r="S4556">
        <v>3.1176759999999999</v>
      </c>
      <c r="T4556">
        <v>-0.1758381</v>
      </c>
      <c r="U4556">
        <v>-0.32873540000000001</v>
      </c>
      <c r="V4556">
        <v>-0.13604089999999999</v>
      </c>
      <c r="W4556">
        <v>0.2290729</v>
      </c>
      <c r="X4556">
        <v>0.96385600000000005</v>
      </c>
      <c r="Y4556">
        <v>-0.2425563</v>
      </c>
      <c r="Z4556">
        <v>2.5748090000000001E-2</v>
      </c>
      <c r="AA4556">
        <v>0.96979559999999998</v>
      </c>
      <c r="AB4556">
        <v>30</v>
      </c>
      <c r="AC4556">
        <v>19.6082</v>
      </c>
      <c r="AD4556">
        <v>-1.118451381673</v>
      </c>
      <c r="AE4556">
        <v>-2.01534999999999</v>
      </c>
      <c r="AF4556">
        <v>-4.8335771194274999</v>
      </c>
      <c r="AG4556">
        <v>-1.118451381673</v>
      </c>
      <c r="AH4556">
        <v>19.044417522508599</v>
      </c>
      <c r="AI4556">
        <v>93.257974482991699</v>
      </c>
      <c r="AJ4556">
        <v>104.24127002818599</v>
      </c>
      <c r="AK4556">
        <v>19.6800467487822</v>
      </c>
      <c r="AL4556">
        <v>76.757503735175703</v>
      </c>
      <c r="AM4556">
        <v>98.033793885847999</v>
      </c>
      <c r="AN4556">
        <v>0.99999995436160805</v>
      </c>
    </row>
    <row r="4557" spans="1:40" x14ac:dyDescent="0.25">
      <c r="A4557" t="str">
        <f>"20190312172757316"</f>
        <v>20190312172757316</v>
      </c>
      <c r="B4557" t="str">
        <f>"1552382877313967"</f>
        <v>1552382877313967</v>
      </c>
      <c r="C4557" t="s">
        <v>40</v>
      </c>
      <c r="D4557">
        <v>3.4658799999999998</v>
      </c>
      <c r="E4557">
        <v>0.45619520000000002</v>
      </c>
      <c r="F4557" t="s">
        <v>53</v>
      </c>
      <c r="G4557">
        <v>-381.54090000000002</v>
      </c>
      <c r="H4557" s="1">
        <v>-4.4890170000000004E-6</v>
      </c>
      <c r="I4557">
        <v>16.854469999999999</v>
      </c>
      <c r="J4557">
        <v>-401.12869999999998</v>
      </c>
      <c r="K4557">
        <v>1.1182190000000001</v>
      </c>
      <c r="L4557">
        <v>18.652249999999999</v>
      </c>
      <c r="M4557">
        <v>0.94241900000000001</v>
      </c>
      <c r="N4557">
        <v>0</v>
      </c>
      <c r="O4557">
        <v>-0.3340883</v>
      </c>
      <c r="P4557">
        <v>0.95559689999999997</v>
      </c>
      <c r="Q4557">
        <v>0.21637129999999999</v>
      </c>
      <c r="R4557">
        <v>-0.20004569999999999</v>
      </c>
      <c r="S4557">
        <v>3.1210939999999998</v>
      </c>
      <c r="T4557">
        <v>-0.17558460000000001</v>
      </c>
      <c r="U4557">
        <v>-0.29727170000000003</v>
      </c>
      <c r="V4557">
        <v>-0.13526289999999999</v>
      </c>
      <c r="W4557">
        <v>0.22844999999999999</v>
      </c>
      <c r="X4557">
        <v>0.96411340000000001</v>
      </c>
      <c r="Y4557">
        <v>-0.24237330000000001</v>
      </c>
      <c r="Z4557">
        <v>2.5185780000000001E-2</v>
      </c>
      <c r="AA4557">
        <v>0.9698561</v>
      </c>
      <c r="AB4557">
        <v>30</v>
      </c>
      <c r="AC4557">
        <v>19.587799999999898</v>
      </c>
      <c r="AD4557">
        <v>-1.118223489017</v>
      </c>
      <c r="AE4557">
        <v>-1.7977799999999899</v>
      </c>
      <c r="AF4557">
        <v>-4.8347292592309898</v>
      </c>
      <c r="AG4557">
        <v>-1.118223489017</v>
      </c>
      <c r="AH4557">
        <v>19.001329913967599</v>
      </c>
      <c r="AI4557">
        <v>93.264187772810601</v>
      </c>
      <c r="AJ4557">
        <v>104.27550859935501</v>
      </c>
      <c r="AK4557">
        <v>19.638624424355498</v>
      </c>
      <c r="AL4557">
        <v>76.794166759254693</v>
      </c>
      <c r="AM4557">
        <v>97.986339207612104</v>
      </c>
      <c r="AN4557">
        <v>1.0000000513379801</v>
      </c>
    </row>
    <row r="4558" spans="1:40" x14ac:dyDescent="0.25">
      <c r="A4558" t="str">
        <f>"20190312172757338"</f>
        <v>20190312172757338</v>
      </c>
      <c r="B4558" t="str">
        <f>"1552382877334463"</f>
        <v>1552382877334463</v>
      </c>
      <c r="C4558" t="s">
        <v>40</v>
      </c>
      <c r="D4558">
        <v>3.4838650000000002</v>
      </c>
      <c r="E4558">
        <v>0.4570147</v>
      </c>
      <c r="F4558" t="s">
        <v>53</v>
      </c>
      <c r="G4558">
        <v>-381.35680000000002</v>
      </c>
      <c r="H4558" s="1">
        <v>-4.5549999999999996E-6</v>
      </c>
      <c r="I4558">
        <v>16.97297</v>
      </c>
      <c r="J4558">
        <v>-400.85680000000002</v>
      </c>
      <c r="K4558">
        <v>1.1180190000000001</v>
      </c>
      <c r="L4558">
        <v>18.566009999999999</v>
      </c>
      <c r="M4558">
        <v>0.94547250000000005</v>
      </c>
      <c r="N4558">
        <v>0</v>
      </c>
      <c r="O4558">
        <v>-0.32534819999999998</v>
      </c>
      <c r="P4558">
        <v>0.9572039</v>
      </c>
      <c r="Q4558">
        <v>0.21582409999999999</v>
      </c>
      <c r="R4558">
        <v>-0.19282340000000001</v>
      </c>
      <c r="S4558">
        <v>3.1238709999999998</v>
      </c>
      <c r="T4558">
        <v>-0.17667459999999999</v>
      </c>
      <c r="U4558">
        <v>-0.26531979999999999</v>
      </c>
      <c r="V4558">
        <v>-0.13352459999999999</v>
      </c>
      <c r="W4558">
        <v>0.22797229999999999</v>
      </c>
      <c r="X4558">
        <v>0.96446869999999996</v>
      </c>
      <c r="Y4558">
        <v>-0.24331369999999999</v>
      </c>
      <c r="Z4558">
        <v>2.489796E-2</v>
      </c>
      <c r="AA4558">
        <v>0.96962800000000005</v>
      </c>
      <c r="AB4558">
        <v>30</v>
      </c>
      <c r="AC4558">
        <v>19.5</v>
      </c>
      <c r="AD4558">
        <v>-1.1180235549999999</v>
      </c>
      <c r="AE4558">
        <v>-1.59304</v>
      </c>
      <c r="AF4558">
        <v>-4.8229225531836502</v>
      </c>
      <c r="AG4558">
        <v>-1.1180235549999999</v>
      </c>
      <c r="AH4558">
        <v>18.895487114176099</v>
      </c>
      <c r="AI4558">
        <v>93.281219435700606</v>
      </c>
      <c r="AJ4558">
        <v>104.318571906</v>
      </c>
      <c r="AK4558">
        <v>19.533304684705499</v>
      </c>
      <c r="AL4558">
        <v>76.822278506302297</v>
      </c>
      <c r="AM4558">
        <v>97.882135576380307</v>
      </c>
      <c r="AN4558">
        <v>1.0000000308260599</v>
      </c>
    </row>
    <row r="4559" spans="1:40" x14ac:dyDescent="0.25">
      <c r="A4559" t="str">
        <f>"20190312172757371"</f>
        <v>20190312172757371</v>
      </c>
      <c r="B4559" t="str">
        <f>"1552382877364098"</f>
        <v>1552382877364098</v>
      </c>
      <c r="C4559" t="s">
        <v>40</v>
      </c>
      <c r="D4559">
        <v>3.5113479999999999</v>
      </c>
      <c r="E4559">
        <v>0.45859499999999997</v>
      </c>
      <c r="F4559" t="s">
        <v>53</v>
      </c>
      <c r="G4559">
        <v>-381.31819999999999</v>
      </c>
      <c r="H4559" s="1">
        <v>-4.5663060000000004E-6</v>
      </c>
      <c r="I4559">
        <v>17.012160000000002</v>
      </c>
      <c r="J4559">
        <v>-400.43720000000002</v>
      </c>
      <c r="K4559">
        <v>1.1176919999999999</v>
      </c>
      <c r="L4559">
        <v>18.437809999999999</v>
      </c>
      <c r="M4559">
        <v>0.94985149999999996</v>
      </c>
      <c r="N4559">
        <v>0</v>
      </c>
      <c r="O4559">
        <v>-0.312336</v>
      </c>
      <c r="P4559">
        <v>0.95953670000000002</v>
      </c>
      <c r="Q4559">
        <v>0.21513570000000001</v>
      </c>
      <c r="R4559">
        <v>-0.18167610000000001</v>
      </c>
      <c r="S4559">
        <v>3.12439</v>
      </c>
      <c r="T4559">
        <v>-0.178782</v>
      </c>
      <c r="U4559">
        <v>-0.2484741</v>
      </c>
      <c r="V4559">
        <v>-0.1313443</v>
      </c>
      <c r="W4559">
        <v>0.22737660000000001</v>
      </c>
      <c r="X4559">
        <v>0.96490860000000001</v>
      </c>
      <c r="Y4559">
        <v>-0.235207</v>
      </c>
      <c r="Z4559">
        <v>2.42612E-2</v>
      </c>
      <c r="AA4559">
        <v>0.97164240000000002</v>
      </c>
      <c r="AB4559">
        <v>30</v>
      </c>
      <c r="AC4559">
        <v>19.119</v>
      </c>
      <c r="AD4559">
        <v>-1.1176965663059999</v>
      </c>
      <c r="AE4559">
        <v>-1.4256499999999901</v>
      </c>
      <c r="AF4559">
        <v>-4.6022818259196097</v>
      </c>
      <c r="AG4559">
        <v>-1.1176965663059999</v>
      </c>
      <c r="AH4559">
        <v>18.544590304045599</v>
      </c>
      <c r="AI4559">
        <v>93.347774685124406</v>
      </c>
      <c r="AJ4559">
        <v>103.93772370149399</v>
      </c>
      <c r="AK4559">
        <v>19.139803373191299</v>
      </c>
      <c r="AL4559">
        <v>76.857330072464904</v>
      </c>
      <c r="AM4559">
        <v>97.751515953113199</v>
      </c>
      <c r="AN4559">
        <v>1.000000024862</v>
      </c>
    </row>
    <row r="4560" spans="1:40" x14ac:dyDescent="0.25">
      <c r="A4560" t="str">
        <f>"20190312172757394"</f>
        <v>20190312172757394</v>
      </c>
      <c r="B4560" t="str">
        <f>"1552382877383622"</f>
        <v>1552382877383622</v>
      </c>
      <c r="C4560" t="s">
        <v>40</v>
      </c>
      <c r="D4560">
        <v>3.6103640000000001</v>
      </c>
      <c r="E4560">
        <v>0.4592868</v>
      </c>
      <c r="F4560" t="s">
        <v>53</v>
      </c>
      <c r="G4560">
        <v>-381.2448</v>
      </c>
      <c r="H4560" s="1">
        <v>-4.5932700000000002E-6</v>
      </c>
      <c r="I4560">
        <v>17.055789999999998</v>
      </c>
      <c r="J4560">
        <v>-400.16050000000001</v>
      </c>
      <c r="K4560">
        <v>1.1174710000000001</v>
      </c>
      <c r="L4560">
        <v>18.35651</v>
      </c>
      <c r="M4560">
        <v>0.95252689999999995</v>
      </c>
      <c r="N4560">
        <v>0</v>
      </c>
      <c r="O4560">
        <v>-0.30408079999999998</v>
      </c>
      <c r="P4560">
        <v>0.96079499999999995</v>
      </c>
      <c r="Q4560">
        <v>0.21554480000000001</v>
      </c>
      <c r="R4560">
        <v>-0.1743942</v>
      </c>
      <c r="S4560">
        <v>3.124695</v>
      </c>
      <c r="T4560">
        <v>-0.18197150000000001</v>
      </c>
      <c r="U4560">
        <v>-0.22500609999999999</v>
      </c>
      <c r="V4560">
        <v>-0.13013720000000001</v>
      </c>
      <c r="W4560">
        <v>0.2278386</v>
      </c>
      <c r="X4560">
        <v>0.96496309999999996</v>
      </c>
      <c r="Y4560">
        <v>-0.23401910000000001</v>
      </c>
      <c r="Z4560">
        <v>2.4210019999999999E-2</v>
      </c>
      <c r="AA4560">
        <v>0.97193050000000003</v>
      </c>
      <c r="AB4560">
        <v>30</v>
      </c>
      <c r="AC4560">
        <v>18.915700000000001</v>
      </c>
      <c r="AD4560">
        <v>-1.11747559326999</v>
      </c>
      <c r="AE4560">
        <v>-1.3007200000000001</v>
      </c>
      <c r="AF4560">
        <v>-4.4978198181220899</v>
      </c>
      <c r="AG4560">
        <v>-1.11747559326999</v>
      </c>
      <c r="AH4560">
        <v>18.351584279108799</v>
      </c>
      <c r="AI4560">
        <v>93.384653935232606</v>
      </c>
      <c r="AJ4560">
        <v>103.77125364149499</v>
      </c>
      <c r="AK4560">
        <v>18.927751593125802</v>
      </c>
      <c r="AL4560">
        <v>76.830144933853603</v>
      </c>
      <c r="AM4560">
        <v>97.680702533745006</v>
      </c>
      <c r="AN4560">
        <v>0.99999995141770304</v>
      </c>
    </row>
    <row r="4561" spans="1:40" x14ac:dyDescent="0.25">
      <c r="A4561" t="str">
        <f>"20190312172757416"</f>
        <v>20190312172757416</v>
      </c>
      <c r="B4561" t="str">
        <f>"1552382877413874"</f>
        <v>1552382877413874</v>
      </c>
      <c r="C4561" t="s">
        <v>40</v>
      </c>
      <c r="D4561">
        <v>3.648666</v>
      </c>
      <c r="E4561">
        <v>0.46658290000000002</v>
      </c>
      <c r="F4561" t="s">
        <v>53</v>
      </c>
      <c r="G4561">
        <v>-381.09449999999998</v>
      </c>
      <c r="H4561" s="1">
        <v>-4.6577469999999997E-6</v>
      </c>
      <c r="I4561">
        <v>17.0928</v>
      </c>
      <c r="J4561">
        <v>-399.8766</v>
      </c>
      <c r="K4561">
        <v>1.1172550000000001</v>
      </c>
      <c r="L4561">
        <v>18.275510000000001</v>
      </c>
      <c r="M4561">
        <v>0.95512269999999999</v>
      </c>
      <c r="N4561">
        <v>0</v>
      </c>
      <c r="O4561">
        <v>-0.2958287</v>
      </c>
      <c r="P4561">
        <v>0.96192230000000001</v>
      </c>
      <c r="Q4561">
        <v>0.21585199999999999</v>
      </c>
      <c r="R4561">
        <v>-0.16767009999999999</v>
      </c>
      <c r="S4561">
        <v>3.1258539999999999</v>
      </c>
      <c r="T4561">
        <v>-0.18320919999999999</v>
      </c>
      <c r="U4561">
        <v>-0.2071838</v>
      </c>
      <c r="V4561">
        <v>-0.1283946</v>
      </c>
      <c r="W4561">
        <v>0.2282063</v>
      </c>
      <c r="X4561">
        <v>0.96510969999999996</v>
      </c>
      <c r="Y4561">
        <v>-0.23115520000000001</v>
      </c>
      <c r="Z4561">
        <v>2.3827439999999998E-2</v>
      </c>
      <c r="AA4561">
        <v>0.97262510000000002</v>
      </c>
      <c r="AB4561">
        <v>30</v>
      </c>
      <c r="AC4561">
        <v>18.7821</v>
      </c>
      <c r="AD4561">
        <v>-1.117259657747</v>
      </c>
      <c r="AE4561">
        <v>-1.1827099999999999</v>
      </c>
      <c r="AF4561">
        <v>-4.41160254480834</v>
      </c>
      <c r="AG4561">
        <v>-1.117259657747</v>
      </c>
      <c r="AH4561">
        <v>18.2269153997436</v>
      </c>
      <c r="AI4561">
        <v>93.409480540484495</v>
      </c>
      <c r="AJ4561">
        <v>103.606080628673</v>
      </c>
      <c r="AK4561">
        <v>18.7864565883404</v>
      </c>
      <c r="AL4561">
        <v>76.808508046782904</v>
      </c>
      <c r="AM4561">
        <v>97.577919857187695</v>
      </c>
      <c r="AN4561">
        <v>1.0000000108514699</v>
      </c>
    </row>
    <row r="4562" spans="1:40" x14ac:dyDescent="0.25">
      <c r="A4562" t="str">
        <f>"20190312172757438"</f>
        <v>20190312172757438</v>
      </c>
      <c r="B4562" t="str">
        <f>"1552382877434371"</f>
        <v>1552382877434371</v>
      </c>
      <c r="C4562" t="s">
        <v>40</v>
      </c>
      <c r="D4562">
        <v>3.4797509999999998</v>
      </c>
      <c r="E4562">
        <v>0.46709479999999998</v>
      </c>
      <c r="F4562" t="s">
        <v>53</v>
      </c>
      <c r="G4562">
        <v>-380.56299999999999</v>
      </c>
      <c r="H4562" s="1">
        <v>-4.9660770000000002E-6</v>
      </c>
      <c r="I4562">
        <v>16.77103</v>
      </c>
      <c r="J4562">
        <v>-399.6078</v>
      </c>
      <c r="K4562">
        <v>1.1170610000000001</v>
      </c>
      <c r="L4562">
        <v>18.20102</v>
      </c>
      <c r="M4562">
        <v>0.95744099999999999</v>
      </c>
      <c r="N4562">
        <v>0</v>
      </c>
      <c r="O4562">
        <v>-0.28823919999999997</v>
      </c>
      <c r="P4562">
        <v>0.96296740000000003</v>
      </c>
      <c r="Q4562">
        <v>0.2158159</v>
      </c>
      <c r="R4562">
        <v>-0.16160859999999999</v>
      </c>
      <c r="S4562">
        <v>3.1168819999999999</v>
      </c>
      <c r="T4562">
        <v>-0.1803061</v>
      </c>
      <c r="U4562">
        <v>-0.24279790000000001</v>
      </c>
      <c r="V4562">
        <v>-0.1266938</v>
      </c>
      <c r="W4562">
        <v>0.2282286</v>
      </c>
      <c r="X4562">
        <v>0.9653292</v>
      </c>
      <c r="Y4562">
        <v>-0.21221880000000001</v>
      </c>
      <c r="Z4562">
        <v>2.2533950000000001E-2</v>
      </c>
      <c r="AA4562">
        <v>0.97696229999999995</v>
      </c>
      <c r="AB4562">
        <v>30</v>
      </c>
      <c r="AC4562">
        <v>19.044799999999899</v>
      </c>
      <c r="AD4562">
        <v>-1.1170659660769999</v>
      </c>
      <c r="AE4562">
        <v>-1.4299899999999901</v>
      </c>
      <c r="AF4562">
        <v>-4.1067407716810296</v>
      </c>
      <c r="AG4562">
        <v>-1.1170659660769999</v>
      </c>
      <c r="AH4562">
        <v>18.584967974241501</v>
      </c>
      <c r="AI4562">
        <v>93.358841795548202</v>
      </c>
      <c r="AJ4562">
        <v>102.460478848655</v>
      </c>
      <c r="AK4562">
        <v>19.066048115483699</v>
      </c>
      <c r="AL4562">
        <v>76.807196091441696</v>
      </c>
      <c r="AM4562">
        <v>97.477000199923594</v>
      </c>
      <c r="AN4562">
        <v>1.00000003859451</v>
      </c>
    </row>
    <row r="4563" spans="1:40" x14ac:dyDescent="0.25">
      <c r="A4563" t="str">
        <f>"20190312172757459"</f>
        <v>20190312172757459</v>
      </c>
      <c r="B4563" t="str">
        <f>"1552382877453891"</f>
        <v>1552382877453891</v>
      </c>
      <c r="C4563" t="s">
        <v>40</v>
      </c>
      <c r="D4563">
        <v>3.515037</v>
      </c>
      <c r="E4563">
        <v>0.46793479999999998</v>
      </c>
      <c r="F4563" t="s">
        <v>53</v>
      </c>
      <c r="G4563">
        <v>-380.64800000000002</v>
      </c>
      <c r="H4563" s="1">
        <v>-4.9177310000000002E-6</v>
      </c>
      <c r="I4563">
        <v>16.81701</v>
      </c>
      <c r="J4563">
        <v>-399.32900000000001</v>
      </c>
      <c r="K4563">
        <v>1.116851</v>
      </c>
      <c r="L4563">
        <v>18.125889999999998</v>
      </c>
      <c r="M4563">
        <v>0.95970770000000005</v>
      </c>
      <c r="N4563">
        <v>0</v>
      </c>
      <c r="O4563">
        <v>-0.28060159999999901</v>
      </c>
      <c r="P4563">
        <v>0.9638698</v>
      </c>
      <c r="Q4563">
        <v>0.21625240000000001</v>
      </c>
      <c r="R4563">
        <v>-0.1555309</v>
      </c>
      <c r="S4563">
        <v>3.118347</v>
      </c>
      <c r="T4563">
        <v>-0.18372559999999999</v>
      </c>
      <c r="U4563">
        <v>-0.22763059999999999</v>
      </c>
      <c r="V4563">
        <v>-0.12494420000000001</v>
      </c>
      <c r="W4563">
        <v>0.22872290000000001</v>
      </c>
      <c r="X4563">
        <v>0.96544019999999997</v>
      </c>
      <c r="Y4563">
        <v>-0.2091797</v>
      </c>
      <c r="Z4563">
        <v>2.2435500000000001E-2</v>
      </c>
      <c r="AA4563">
        <v>0.97761980000000004</v>
      </c>
      <c r="AB4563">
        <v>30</v>
      </c>
      <c r="AC4563">
        <v>18.680999999999901</v>
      </c>
      <c r="AD4563">
        <v>-1.116855917731</v>
      </c>
      <c r="AE4563">
        <v>-1.3088799999999901</v>
      </c>
      <c r="AF4563">
        <v>-3.9720943030142002</v>
      </c>
      <c r="AG4563">
        <v>-1.116855917731</v>
      </c>
      <c r="AH4563">
        <v>18.232770160441898</v>
      </c>
      <c r="AI4563">
        <v>93.425157045275398</v>
      </c>
      <c r="AJ4563">
        <v>102.290122659022</v>
      </c>
      <c r="AK4563">
        <v>18.6938173741082</v>
      </c>
      <c r="AL4563">
        <v>76.778104792311694</v>
      </c>
      <c r="AM4563">
        <v>97.374051203131799</v>
      </c>
      <c r="AN4563">
        <v>0.99999999893704405</v>
      </c>
    </row>
    <row r="4564" spans="1:40" x14ac:dyDescent="0.25">
      <c r="A4564" t="str">
        <f>"20190312172757485"</f>
        <v>20190312172757485</v>
      </c>
      <c r="B4564" t="str">
        <f>"1552382877474391"</f>
        <v>1552382877474391</v>
      </c>
      <c r="C4564" t="s">
        <v>40</v>
      </c>
      <c r="D4564">
        <v>3.5161060000000002</v>
      </c>
      <c r="E4564">
        <v>0.46842440000000002</v>
      </c>
      <c r="F4564" t="s">
        <v>43</v>
      </c>
      <c r="G4564">
        <v>-379.11130000000003</v>
      </c>
      <c r="H4564">
        <v>-0.05</v>
      </c>
      <c r="I4564">
        <v>16.73508</v>
      </c>
      <c r="J4564">
        <v>-399.02249999999998</v>
      </c>
      <c r="K4564">
        <v>1.1166229999999999</v>
      </c>
      <c r="L4564">
        <v>18.045750000000002</v>
      </c>
      <c r="M4564">
        <v>0.96204630000000002</v>
      </c>
      <c r="N4564">
        <v>0</v>
      </c>
      <c r="O4564">
        <v>-0.27247860000000002</v>
      </c>
      <c r="P4564">
        <v>0.96506389999999997</v>
      </c>
      <c r="Q4564">
        <v>0.2154721</v>
      </c>
      <c r="R4564">
        <v>-0.14907629999999999</v>
      </c>
      <c r="S4564">
        <v>3.1182249999999998</v>
      </c>
      <c r="T4564">
        <v>-0.179966299999999</v>
      </c>
      <c r="U4564">
        <v>-0.21450810000000001</v>
      </c>
      <c r="V4564">
        <v>-0.1231372</v>
      </c>
      <c r="W4564">
        <v>0.22800709999999999</v>
      </c>
      <c r="X4564">
        <v>0.96584159999999997</v>
      </c>
      <c r="Y4564">
        <v>-0.20505570000000001</v>
      </c>
      <c r="Z4564">
        <v>2.141353E-2</v>
      </c>
      <c r="AA4564">
        <v>0.97851600000000005</v>
      </c>
      <c r="AB4564">
        <v>29</v>
      </c>
      <c r="AC4564">
        <v>19.911199999999901</v>
      </c>
      <c r="AD4564">
        <v>-1.166623</v>
      </c>
      <c r="AE4564">
        <v>-1.31067</v>
      </c>
      <c r="AF4564">
        <v>-4.1507259760424597</v>
      </c>
      <c r="AG4564">
        <v>-1.166623</v>
      </c>
      <c r="AH4564">
        <v>19.448318428402398</v>
      </c>
      <c r="AI4564">
        <v>93.357386425144199</v>
      </c>
      <c r="AJ4564">
        <v>102.047510105055</v>
      </c>
      <c r="AK4564">
        <v>19.920507650279902</v>
      </c>
      <c r="AL4564">
        <v>76.820230293769797</v>
      </c>
      <c r="AM4564">
        <v>97.265564576750904</v>
      </c>
      <c r="AN4564">
        <v>1.0000000019824</v>
      </c>
    </row>
    <row r="4565" spans="1:40" x14ac:dyDescent="0.25">
      <c r="A4565" t="str">
        <f>"20190312172757504"</f>
        <v>20190312172757504</v>
      </c>
      <c r="B4565" t="str">
        <f>"1552382877493910"</f>
        <v>1552382877493910</v>
      </c>
      <c r="C4565" t="s">
        <v>40</v>
      </c>
      <c r="D4565">
        <v>3.6316579999999998</v>
      </c>
      <c r="E4565">
        <v>0.46894459999999999</v>
      </c>
      <c r="F4565" t="s">
        <v>53</v>
      </c>
      <c r="G4565">
        <v>-380.09429999999998</v>
      </c>
      <c r="H4565" s="1">
        <v>-5.1743380000000004E-6</v>
      </c>
      <c r="I4565">
        <v>16.846070000000001</v>
      </c>
      <c r="J4565">
        <v>-398.76339999999999</v>
      </c>
      <c r="K4565">
        <v>1.11642</v>
      </c>
      <c r="L4565">
        <v>17.979949999999999</v>
      </c>
      <c r="M4565">
        <v>0.96390070000000005</v>
      </c>
      <c r="N4565">
        <v>0</v>
      </c>
      <c r="O4565">
        <v>-0.26584540000000001</v>
      </c>
      <c r="P4565">
        <v>0.96591309999999997</v>
      </c>
      <c r="Q4565">
        <v>0.21517359999999999</v>
      </c>
      <c r="R4565">
        <v>-0.1439174</v>
      </c>
      <c r="S4565">
        <v>3.1191409999999999</v>
      </c>
      <c r="T4565">
        <v>-0.18400649999999999</v>
      </c>
      <c r="U4565">
        <v>-0.1976929</v>
      </c>
      <c r="V4565">
        <v>-0.1215359</v>
      </c>
      <c r="W4565">
        <v>0.2277624</v>
      </c>
      <c r="X4565">
        <v>0.96610209999999996</v>
      </c>
      <c r="Y4565">
        <v>-0.20356440000000001</v>
      </c>
      <c r="Z4565">
        <v>2.147224E-2</v>
      </c>
      <c r="AA4565">
        <v>0.97882599999999997</v>
      </c>
      <c r="AB4565">
        <v>29</v>
      </c>
      <c r="AC4565">
        <v>18.6691</v>
      </c>
      <c r="AD4565">
        <v>-1.116425174338</v>
      </c>
      <c r="AE4565">
        <v>-1.13387999999999</v>
      </c>
      <c r="AF4565">
        <v>-3.8568338165606</v>
      </c>
      <c r="AG4565">
        <v>-1.116425174338</v>
      </c>
      <c r="AH4565">
        <v>18.2336573669524</v>
      </c>
      <c r="AI4565">
        <v>93.428114272591202</v>
      </c>
      <c r="AJ4565">
        <v>101.943316945162</v>
      </c>
      <c r="AK4565">
        <v>18.670507042763401</v>
      </c>
      <c r="AL4565">
        <v>76.834629101348995</v>
      </c>
      <c r="AM4565">
        <v>97.170158276415293</v>
      </c>
      <c r="AN4565">
        <v>0.99999997673348895</v>
      </c>
    </row>
    <row r="4566" spans="1:40" x14ac:dyDescent="0.25">
      <c r="A4566" t="str">
        <f>"20190312172757527"</f>
        <v>20190312172757527</v>
      </c>
      <c r="B4566" t="str">
        <f>"1552382877524163"</f>
        <v>1552382877524163</v>
      </c>
      <c r="C4566" t="s">
        <v>40</v>
      </c>
      <c r="D4566">
        <v>3.5360969999999998</v>
      </c>
      <c r="E4566">
        <v>0.47013529999999998</v>
      </c>
      <c r="F4566" t="s">
        <v>53</v>
      </c>
      <c r="G4566">
        <v>-380.2595</v>
      </c>
      <c r="H4566" s="1">
        <v>-5.0903360000000004E-6</v>
      </c>
      <c r="I4566">
        <v>16.879379999999902</v>
      </c>
      <c r="J4566">
        <v>-398.4889</v>
      </c>
      <c r="K4566">
        <v>1.116204</v>
      </c>
      <c r="L4566">
        <v>17.912019999999998</v>
      </c>
      <c r="M4566">
        <v>0.96575149999999998</v>
      </c>
      <c r="N4566">
        <v>0</v>
      </c>
      <c r="O4566">
        <v>-0.25904389999999999</v>
      </c>
      <c r="P4566">
        <v>0.96684170000000003</v>
      </c>
      <c r="Q4566">
        <v>0.21450449999999999</v>
      </c>
      <c r="R4566">
        <v>-0.13858280000000001</v>
      </c>
      <c r="S4566">
        <v>3.120117</v>
      </c>
      <c r="T4566">
        <v>-0.18825049999999999</v>
      </c>
      <c r="U4566">
        <v>-0.1855774</v>
      </c>
      <c r="V4566">
        <v>-0.1199567</v>
      </c>
      <c r="W4566">
        <v>0.22714989999999999</v>
      </c>
      <c r="X4566">
        <v>0.96644370000000002</v>
      </c>
      <c r="Y4566">
        <v>-0.2004485</v>
      </c>
      <c r="Z4566">
        <v>2.1473720000000002E-2</v>
      </c>
      <c r="AA4566">
        <v>0.97946889999999998</v>
      </c>
      <c r="AB4566">
        <v>29</v>
      </c>
      <c r="AC4566">
        <v>18.229399999999998</v>
      </c>
      <c r="AD4566">
        <v>-1.116209090336</v>
      </c>
      <c r="AE4566">
        <v>-1.03264</v>
      </c>
      <c r="AF4566">
        <v>-3.7114807858873302</v>
      </c>
      <c r="AG4566">
        <v>-1.116209090336</v>
      </c>
      <c r="AH4566">
        <v>17.807985130833401</v>
      </c>
      <c r="AI4566">
        <v>93.511365128176706</v>
      </c>
      <c r="AJ4566">
        <v>101.77286453650299</v>
      </c>
      <c r="AK4566">
        <v>18.224855192218801</v>
      </c>
      <c r="AL4566">
        <v>76.870668452588205</v>
      </c>
      <c r="AM4566">
        <v>97.075466114766101</v>
      </c>
      <c r="AN4566">
        <v>1.0000000561072899</v>
      </c>
    </row>
    <row r="4567" spans="1:40" x14ac:dyDescent="0.25">
      <c r="A4567" t="str">
        <f>"20190312172757551"</f>
        <v>20190312172757551</v>
      </c>
      <c r="B4567" t="str">
        <f>"1552382877544187"</f>
        <v>1552382877544187</v>
      </c>
      <c r="C4567" t="s">
        <v>40</v>
      </c>
      <c r="D4567">
        <v>3.6045609999999999</v>
      </c>
      <c r="E4567">
        <v>0.47660010000000003</v>
      </c>
      <c r="F4567" t="s">
        <v>53</v>
      </c>
      <c r="G4567">
        <v>-380.36649999999997</v>
      </c>
      <c r="H4567" s="1">
        <v>-5.0406219999999998E-6</v>
      </c>
      <c r="I4567">
        <v>16.874320000000001</v>
      </c>
      <c r="J4567">
        <v>-398.18689999999998</v>
      </c>
      <c r="K4567">
        <v>1.1159570000000001</v>
      </c>
      <c r="L4567">
        <v>17.839449999999999</v>
      </c>
      <c r="M4567">
        <v>0.96765239999999997</v>
      </c>
      <c r="N4567">
        <v>0</v>
      </c>
      <c r="O4567">
        <v>-0.25185249999999998</v>
      </c>
      <c r="P4567">
        <v>0.96777769999999996</v>
      </c>
      <c r="Q4567">
        <v>0.21404049999999999</v>
      </c>
      <c r="R4567">
        <v>-0.13263949999999999</v>
      </c>
      <c r="S4567">
        <v>3.1199340000000002</v>
      </c>
      <c r="T4567">
        <v>-0.19216630000000001</v>
      </c>
      <c r="U4567">
        <v>-0.1786499</v>
      </c>
      <c r="V4567">
        <v>-0.1185824</v>
      </c>
      <c r="W4567">
        <v>0.22674030000000001</v>
      </c>
      <c r="X4567">
        <v>0.96670940000000005</v>
      </c>
      <c r="Y4567">
        <v>-0.1953104</v>
      </c>
      <c r="Z4567">
        <v>2.1336270000000001E-2</v>
      </c>
      <c r="AA4567">
        <v>0.98050939999999998</v>
      </c>
      <c r="AB4567">
        <v>29</v>
      </c>
      <c r="AC4567">
        <v>17.820399999999999</v>
      </c>
      <c r="AD4567">
        <v>-1.1159620406220001</v>
      </c>
      <c r="AE4567">
        <v>-0.96512999999999805</v>
      </c>
      <c r="AF4567">
        <v>-3.5407466438438799</v>
      </c>
      <c r="AG4567">
        <v>-1.1159620406220001</v>
      </c>
      <c r="AH4567">
        <v>17.4208218994631</v>
      </c>
      <c r="AI4567">
        <v>93.592062922760704</v>
      </c>
      <c r="AJ4567">
        <v>101.488757535418</v>
      </c>
      <c r="AK4567">
        <v>17.811998588727</v>
      </c>
      <c r="AL4567">
        <v>76.8947648952485</v>
      </c>
      <c r="AM4567">
        <v>96.993309200406003</v>
      </c>
      <c r="AN4567">
        <v>1.0000000066410999</v>
      </c>
    </row>
    <row r="4568" spans="1:40" x14ac:dyDescent="0.25">
      <c r="A4568" t="str">
        <f>"20190312172757572"</f>
        <v>20190312172757572</v>
      </c>
      <c r="B4568" t="str">
        <f>"1552382877563711"</f>
        <v>1552382877563711</v>
      </c>
      <c r="C4568" t="s">
        <v>40</v>
      </c>
      <c r="D4568">
        <v>3.7181999999999999</v>
      </c>
      <c r="E4568">
        <v>0.47837089999999999</v>
      </c>
      <c r="F4568" t="s">
        <v>53</v>
      </c>
      <c r="G4568">
        <v>-381.13</v>
      </c>
      <c r="H4568" s="1">
        <v>-4.7140320000000001E-6</v>
      </c>
      <c r="I4568">
        <v>16.68093</v>
      </c>
      <c r="J4568">
        <v>-397.91</v>
      </c>
      <c r="K4568">
        <v>1.1157360000000001</v>
      </c>
      <c r="L4568">
        <v>17.774719999999999</v>
      </c>
      <c r="M4568">
        <v>0.96928139999999996</v>
      </c>
      <c r="N4568">
        <v>0</v>
      </c>
      <c r="O4568">
        <v>-0.2455109</v>
      </c>
      <c r="P4568">
        <v>0.96863160000000004</v>
      </c>
      <c r="Q4568">
        <v>0.21315700000000001</v>
      </c>
      <c r="R4568">
        <v>-0.12773899999999999</v>
      </c>
      <c r="S4568">
        <v>3.1159669999999999</v>
      </c>
      <c r="T4568">
        <v>-0.20386489999999999</v>
      </c>
      <c r="U4568">
        <v>-0.21163940000000001</v>
      </c>
      <c r="V4568">
        <v>-0.1170539</v>
      </c>
      <c r="W4568">
        <v>0.22590940000000001</v>
      </c>
      <c r="X4568">
        <v>0.96709009999999995</v>
      </c>
      <c r="Y4568">
        <v>-0.17839260000000001</v>
      </c>
      <c r="Z4568">
        <v>2.169389E-2</v>
      </c>
      <c r="AA4568">
        <v>0.98372020000000004</v>
      </c>
      <c r="AB4568">
        <v>29</v>
      </c>
      <c r="AC4568">
        <v>16.78</v>
      </c>
      <c r="AD4568">
        <v>-1.1157407140319999</v>
      </c>
      <c r="AE4568">
        <v>-1.09379</v>
      </c>
      <c r="AF4568">
        <v>-3.04640423204438</v>
      </c>
      <c r="AG4568">
        <v>-1.1157407140319999</v>
      </c>
      <c r="AH4568">
        <v>16.462405320631699</v>
      </c>
      <c r="AI4568">
        <v>93.812758800316502</v>
      </c>
      <c r="AJ4568">
        <v>100.484109680423</v>
      </c>
      <c r="AK4568">
        <v>16.7790418387561</v>
      </c>
      <c r="AL4568">
        <v>76.943639655145702</v>
      </c>
      <c r="AM4568">
        <v>96.901351077280594</v>
      </c>
      <c r="AN4568">
        <v>0.99999996701578897</v>
      </c>
    </row>
    <row r="4569" spans="1:40" x14ac:dyDescent="0.25">
      <c r="A4569" t="str">
        <f>"20190312172757593"</f>
        <v>20190312172757593</v>
      </c>
      <c r="B4569" t="str">
        <f>"1552382877584204"</f>
        <v>1552382877584204</v>
      </c>
      <c r="C4569" t="s">
        <v>40</v>
      </c>
      <c r="D4569">
        <v>3.5629469999999999</v>
      </c>
      <c r="E4569">
        <v>0.47968319999999998</v>
      </c>
      <c r="F4569" t="s">
        <v>53</v>
      </c>
      <c r="G4569">
        <v>-380.95670000000001</v>
      </c>
      <c r="H4569" s="1">
        <v>-4.8052439999999997E-6</v>
      </c>
      <c r="I4569">
        <v>16.628679999999999</v>
      </c>
      <c r="J4569">
        <v>-397.63409999999999</v>
      </c>
      <c r="K4569">
        <v>1.1155409999999999</v>
      </c>
      <c r="L4569">
        <v>17.711879999999901</v>
      </c>
      <c r="M4569">
        <v>0.97081110000000004</v>
      </c>
      <c r="N4569">
        <v>0</v>
      </c>
      <c r="O4569">
        <v>-0.23939270000000001</v>
      </c>
      <c r="P4569">
        <v>0.96929810000000005</v>
      </c>
      <c r="Q4569">
        <v>0.2128882</v>
      </c>
      <c r="R4569">
        <v>-0.123044</v>
      </c>
      <c r="S4569">
        <v>3.1145320000000001</v>
      </c>
      <c r="T4569">
        <v>-0.20497489999999999</v>
      </c>
      <c r="U4569">
        <v>-0.2105408</v>
      </c>
      <c r="V4569">
        <v>-0.11553529999999999</v>
      </c>
      <c r="W4569">
        <v>0.225686</v>
      </c>
      <c r="X4569">
        <v>0.96732490000000004</v>
      </c>
      <c r="Y4569">
        <v>-0.17251349999999999</v>
      </c>
      <c r="Z4569">
        <v>2.1238279999999998E-2</v>
      </c>
      <c r="AA4569">
        <v>0.98477820000000005</v>
      </c>
      <c r="AB4569">
        <v>29</v>
      </c>
      <c r="AC4569">
        <v>16.677399999999899</v>
      </c>
      <c r="AD4569">
        <v>-1.1155458052439999</v>
      </c>
      <c r="AE4569">
        <v>-1.0831999999999899</v>
      </c>
      <c r="AF4569">
        <v>-2.9281381611303301</v>
      </c>
      <c r="AG4569">
        <v>-1.1155458052439999</v>
      </c>
      <c r="AH4569">
        <v>16.378725540938301</v>
      </c>
      <c r="AI4569">
        <v>93.835736510506607</v>
      </c>
      <c r="AJ4569">
        <v>100.136081391068</v>
      </c>
      <c r="AK4569">
        <v>16.6757634271912</v>
      </c>
      <c r="AL4569">
        <v>76.9567795551513</v>
      </c>
      <c r="AM4569">
        <v>96.811025176291196</v>
      </c>
      <c r="AN4569">
        <v>1.0000000191510401</v>
      </c>
    </row>
    <row r="4570" spans="1:40" x14ac:dyDescent="0.25">
      <c r="A4570" t="str">
        <f>"20190312172757616"</f>
        <v>20190312172757616</v>
      </c>
      <c r="B4570" t="str">
        <f>"1552382877613484"</f>
        <v>1552382877613484</v>
      </c>
      <c r="C4570" t="s">
        <v>40</v>
      </c>
      <c r="D4570">
        <v>3.6093009999999999</v>
      </c>
      <c r="E4570">
        <v>0.48119519999999999</v>
      </c>
      <c r="F4570" t="s">
        <v>53</v>
      </c>
      <c r="G4570">
        <v>-380.87490000000003</v>
      </c>
      <c r="H4570" s="1">
        <v>-4.8488939999999997E-6</v>
      </c>
      <c r="I4570">
        <v>16.600570000000001</v>
      </c>
      <c r="J4570">
        <v>-397.34989999999999</v>
      </c>
      <c r="K4570">
        <v>1.115356</v>
      </c>
      <c r="L4570">
        <v>17.648859999999999</v>
      </c>
      <c r="M4570">
        <v>0.97229279999999996</v>
      </c>
      <c r="N4570">
        <v>0</v>
      </c>
      <c r="O4570">
        <v>-0.23330429999999999</v>
      </c>
      <c r="P4570">
        <v>0.96989429999999999</v>
      </c>
      <c r="Q4570">
        <v>0.2125978</v>
      </c>
      <c r="R4570">
        <v>-0.1187752</v>
      </c>
      <c r="S4570">
        <v>3.1143190000000001</v>
      </c>
      <c r="T4570">
        <v>-0.20729829999999999</v>
      </c>
      <c r="U4570">
        <v>-0.20651249999999999</v>
      </c>
      <c r="V4570">
        <v>-0.1136307</v>
      </c>
      <c r="W4570">
        <v>0.22544349999999999</v>
      </c>
      <c r="X4570">
        <v>0.96760699999999999</v>
      </c>
      <c r="Y4570">
        <v>-0.16760639999999999</v>
      </c>
      <c r="Z4570">
        <v>2.092457E-2</v>
      </c>
      <c r="AA4570">
        <v>0.98563190000000001</v>
      </c>
      <c r="AB4570">
        <v>29</v>
      </c>
      <c r="AC4570">
        <v>16.474999999999898</v>
      </c>
      <c r="AD4570">
        <v>-1.1153608488939999</v>
      </c>
      <c r="AE4570">
        <v>-1.04828999999999</v>
      </c>
      <c r="AF4570">
        <v>-2.8119124315411099</v>
      </c>
      <c r="AG4570">
        <v>-1.1153608488939999</v>
      </c>
      <c r="AH4570">
        <v>16.1909406468193</v>
      </c>
      <c r="AI4570">
        <v>93.882823486967695</v>
      </c>
      <c r="AJ4570">
        <v>99.852398973842696</v>
      </c>
      <c r="AK4570">
        <v>16.471109263638699</v>
      </c>
      <c r="AL4570">
        <v>76.971041173168999</v>
      </c>
      <c r="AM4570">
        <v>96.697838989024604</v>
      </c>
      <c r="AN4570">
        <v>1.00000000706187</v>
      </c>
    </row>
    <row r="4571" spans="1:40" x14ac:dyDescent="0.25">
      <c r="A4571" t="str">
        <f>"20190312172757638"</f>
        <v>20190312172757638</v>
      </c>
      <c r="B4571" t="str">
        <f>"1552382877633980"</f>
        <v>1552382877633980</v>
      </c>
      <c r="C4571" t="s">
        <v>40</v>
      </c>
      <c r="D4571">
        <v>3.6021130000000001</v>
      </c>
      <c r="E4571">
        <v>0.4822417</v>
      </c>
      <c r="F4571" t="s">
        <v>53</v>
      </c>
      <c r="G4571">
        <v>-380.71800000000002</v>
      </c>
      <c r="H4571" s="1">
        <v>-4.9304539999999996E-6</v>
      </c>
      <c r="I4571">
        <v>16.558710000000001</v>
      </c>
      <c r="J4571">
        <v>-397.07409999999999</v>
      </c>
      <c r="K4571">
        <v>1.1151709999999999</v>
      </c>
      <c r="L4571">
        <v>17.589230000000001</v>
      </c>
      <c r="M4571">
        <v>0.97364019999999996</v>
      </c>
      <c r="N4571">
        <v>0</v>
      </c>
      <c r="O4571">
        <v>-0.22761719999999999</v>
      </c>
      <c r="P4571">
        <v>0.97056960000000003</v>
      </c>
      <c r="Q4571">
        <v>0.21184049999999999</v>
      </c>
      <c r="R4571">
        <v>-0.11453579999999999</v>
      </c>
      <c r="S4571">
        <v>3.113861</v>
      </c>
      <c r="T4571">
        <v>-0.20882020000000001</v>
      </c>
      <c r="U4571">
        <v>-0.20410159999999999</v>
      </c>
      <c r="V4571">
        <v>-0.11212320000000001</v>
      </c>
      <c r="W4571">
        <v>0.2247294</v>
      </c>
      <c r="X4571">
        <v>0.9679489</v>
      </c>
      <c r="Y4571">
        <v>-0.16260289999999999</v>
      </c>
      <c r="Z4571">
        <v>2.0543180000000001E-2</v>
      </c>
      <c r="AA4571">
        <v>0.98647770000000001</v>
      </c>
      <c r="AB4571">
        <v>29</v>
      </c>
      <c r="AC4571">
        <v>16.356099999999898</v>
      </c>
      <c r="AD4571">
        <v>-1.1151759304540001</v>
      </c>
      <c r="AE4571">
        <v>-1.0305199999999901</v>
      </c>
      <c r="AF4571">
        <v>-2.70733093678473</v>
      </c>
      <c r="AG4571">
        <v>-1.1151759304540001</v>
      </c>
      <c r="AH4571">
        <v>16.086773200302499</v>
      </c>
      <c r="AI4571">
        <v>93.910723155775401</v>
      </c>
      <c r="AJ4571">
        <v>99.553099038659198</v>
      </c>
      <c r="AK4571">
        <v>16.3510712234736</v>
      </c>
      <c r="AL4571">
        <v>77.013033496853495</v>
      </c>
      <c r="AM4571">
        <v>96.607458454768903</v>
      </c>
      <c r="AN4571">
        <v>0.99999999410690499</v>
      </c>
    </row>
    <row r="4572" spans="1:40" x14ac:dyDescent="0.25">
      <c r="A4572" t="str">
        <f>"20190312172757662"</f>
        <v>20190312172757662</v>
      </c>
      <c r="B4572" t="str">
        <f>"1552382877654476"</f>
        <v>1552382877654476</v>
      </c>
      <c r="C4572" t="s">
        <v>40</v>
      </c>
      <c r="D4572">
        <v>3.5531929999999998</v>
      </c>
      <c r="E4572">
        <v>0.49034660000000002</v>
      </c>
      <c r="F4572" t="s">
        <v>53</v>
      </c>
      <c r="G4572">
        <v>-380.81479999999999</v>
      </c>
      <c r="H4572" s="1">
        <v>-4.8860079999999997E-6</v>
      </c>
      <c r="I4572">
        <v>16.551459999999999</v>
      </c>
      <c r="J4572">
        <v>-396.7842</v>
      </c>
      <c r="K4572">
        <v>1.114967</v>
      </c>
      <c r="L4572">
        <v>17.528079999999999</v>
      </c>
      <c r="M4572">
        <v>0.97496400000000005</v>
      </c>
      <c r="N4572">
        <v>0</v>
      </c>
      <c r="O4572">
        <v>-0.22188099999999999</v>
      </c>
      <c r="P4572">
        <v>0.97135689999999997</v>
      </c>
      <c r="Q4572">
        <v>0.21065539999999999</v>
      </c>
      <c r="R4572">
        <v>-0.1099545</v>
      </c>
      <c r="S4572">
        <v>3.1141049999999999</v>
      </c>
      <c r="T4572">
        <v>-0.21358630000000001</v>
      </c>
      <c r="U4572">
        <v>-0.19876099999999999</v>
      </c>
      <c r="V4572">
        <v>-0.1109165</v>
      </c>
      <c r="W4572">
        <v>0.2235876</v>
      </c>
      <c r="X4572">
        <v>0.96835230000000005</v>
      </c>
      <c r="Y4572">
        <v>-0.15846550000000001</v>
      </c>
      <c r="Z4572">
        <v>2.0486230000000001E-2</v>
      </c>
      <c r="AA4572">
        <v>0.98715200000000003</v>
      </c>
      <c r="AB4572">
        <v>29</v>
      </c>
      <c r="AC4572">
        <v>15.9694</v>
      </c>
      <c r="AD4572">
        <v>-1.114971886008</v>
      </c>
      <c r="AE4572">
        <v>-0.97661999999999605</v>
      </c>
      <c r="AF4572">
        <v>-2.5788898707861199</v>
      </c>
      <c r="AG4572">
        <v>-1.114971886008</v>
      </c>
      <c r="AH4572">
        <v>15.7116683178734</v>
      </c>
      <c r="AI4572">
        <v>94.005742269923104</v>
      </c>
      <c r="AJ4572">
        <v>99.321327073951807</v>
      </c>
      <c r="AK4572">
        <v>15.960900870662</v>
      </c>
      <c r="AL4572">
        <v>77.080162546682004</v>
      </c>
      <c r="AM4572">
        <v>96.534266367384703</v>
      </c>
      <c r="AN4572">
        <v>1.00000003088064</v>
      </c>
    </row>
    <row r="4573" spans="1:40" x14ac:dyDescent="0.25">
      <c r="A4573" t="str">
        <f>"20190312172757675"</f>
        <v>20190312172757675</v>
      </c>
      <c r="B4573" t="str">
        <f>"1552382877664236"</f>
        <v>1552382877664236</v>
      </c>
      <c r="C4573" t="s">
        <v>40</v>
      </c>
      <c r="D4573">
        <v>3.6835680000000002</v>
      </c>
      <c r="E4573">
        <v>0.49102780000000001</v>
      </c>
      <c r="F4573" t="s">
        <v>53</v>
      </c>
      <c r="G4573">
        <v>-380.6216</v>
      </c>
      <c r="H4573" s="1">
        <v>-5.0346360000000002E-6</v>
      </c>
      <c r="I4573">
        <v>16.228539999999999</v>
      </c>
      <c r="J4573">
        <v>-396.60950000000003</v>
      </c>
      <c r="K4573">
        <v>1.114833</v>
      </c>
      <c r="L4573">
        <v>17.492000000000001</v>
      </c>
      <c r="M4573">
        <v>0.97571560000000002</v>
      </c>
      <c r="N4573">
        <v>0</v>
      </c>
      <c r="O4573">
        <v>-0.21855340000000001</v>
      </c>
      <c r="P4573">
        <v>0.97178100000000001</v>
      </c>
      <c r="Q4573">
        <v>0.21009829999999999</v>
      </c>
      <c r="R4573">
        <v>-0.10724060000000001</v>
      </c>
      <c r="S4573">
        <v>3.1066590000000001</v>
      </c>
      <c r="T4573">
        <v>-0.21431149999999999</v>
      </c>
      <c r="U4573">
        <v>-0.24978639999999999</v>
      </c>
      <c r="V4573">
        <v>-0.110263</v>
      </c>
      <c r="W4573">
        <v>0.22305639999999999</v>
      </c>
      <c r="X4573">
        <v>0.9685494</v>
      </c>
      <c r="Y4573">
        <v>-0.1388327</v>
      </c>
      <c r="Z4573">
        <v>1.968673E-2</v>
      </c>
      <c r="AA4573">
        <v>0.99012020000000001</v>
      </c>
      <c r="AB4573">
        <v>29</v>
      </c>
      <c r="AC4573">
        <v>15.9879</v>
      </c>
      <c r="AD4573">
        <v>-1.1148380346359901</v>
      </c>
      <c r="AE4573">
        <v>-1.26346</v>
      </c>
      <c r="AF4573">
        <v>-2.2507975906322901</v>
      </c>
      <c r="AG4573">
        <v>-1.1148380346359901</v>
      </c>
      <c r="AH4573">
        <v>15.8011190010972</v>
      </c>
      <c r="AI4573">
        <v>93.995579647766405</v>
      </c>
      <c r="AJ4573">
        <v>98.106984823654997</v>
      </c>
      <c r="AK4573">
        <v>15.999509846376601</v>
      </c>
      <c r="AL4573">
        <v>77.111386409177499</v>
      </c>
      <c r="AM4573">
        <v>96.494787027713699</v>
      </c>
      <c r="AN4573">
        <v>1.0000000134951501</v>
      </c>
    </row>
    <row r="4574" spans="1:40" x14ac:dyDescent="0.25">
      <c r="A4574" t="str">
        <f>"20190312172757695"</f>
        <v>20190312172757695</v>
      </c>
      <c r="B4574" t="str">
        <f>"1552382877683759"</f>
        <v>1552382877683759</v>
      </c>
      <c r="C4574" t="s">
        <v>40</v>
      </c>
      <c r="D4574">
        <v>3.5942940000000001</v>
      </c>
      <c r="E4574">
        <v>0.49151699999999998</v>
      </c>
      <c r="F4574" t="s">
        <v>53</v>
      </c>
      <c r="G4574">
        <v>-380.34800000000001</v>
      </c>
      <c r="H4574" s="1">
        <v>-5.1689879999999996E-6</v>
      </c>
      <c r="I4574">
        <v>16.200189999999999</v>
      </c>
      <c r="J4574">
        <v>-396.35489999999999</v>
      </c>
      <c r="K4574">
        <v>1.114635</v>
      </c>
      <c r="L4574">
        <v>17.44031</v>
      </c>
      <c r="M4574">
        <v>0.97675210000000001</v>
      </c>
      <c r="N4574">
        <v>0</v>
      </c>
      <c r="O4574">
        <v>-0.21387590000000001</v>
      </c>
      <c r="P4574">
        <v>0.97218459999999995</v>
      </c>
      <c r="Q4574">
        <v>0.209984</v>
      </c>
      <c r="R4574">
        <v>-0.10375</v>
      </c>
      <c r="S4574">
        <v>3.1059269999999999</v>
      </c>
      <c r="T4574">
        <v>-0.2129326</v>
      </c>
      <c r="U4574">
        <v>-0.2467346</v>
      </c>
      <c r="V4574">
        <v>-0.1089888</v>
      </c>
      <c r="W4574">
        <v>0.2229834</v>
      </c>
      <c r="X4574">
        <v>0.96871039999999997</v>
      </c>
      <c r="Y4574">
        <v>-0.1350645</v>
      </c>
      <c r="Z4574">
        <v>1.9124660000000002E-2</v>
      </c>
      <c r="AA4574">
        <v>0.99065219999999998</v>
      </c>
      <c r="AB4574">
        <v>29</v>
      </c>
      <c r="AC4574">
        <v>16.006899999999899</v>
      </c>
      <c r="AD4574">
        <v>-1.1146401689879999</v>
      </c>
      <c r="AE4574">
        <v>-1.2401199999999999</v>
      </c>
      <c r="AF4574">
        <v>-2.2018223388240399</v>
      </c>
      <c r="AG4574">
        <v>-1.1146401689879999</v>
      </c>
      <c r="AH4574">
        <v>15.8254140303168</v>
      </c>
      <c r="AI4574">
        <v>93.990578781516405</v>
      </c>
      <c r="AJ4574">
        <v>97.920830840971206</v>
      </c>
      <c r="AK4574">
        <v>16.016684224552002</v>
      </c>
      <c r="AL4574">
        <v>77.115676851547093</v>
      </c>
      <c r="AM4574">
        <v>96.419305385927998</v>
      </c>
      <c r="AN4574">
        <v>0.99999999713457899</v>
      </c>
    </row>
    <row r="4575" spans="1:40" x14ac:dyDescent="0.25">
      <c r="A4575" t="str">
        <f>"20190312172757716"</f>
        <v>20190312172757716</v>
      </c>
      <c r="B4575" t="str">
        <f>"1552382877714013"</f>
        <v>1552382877714013</v>
      </c>
      <c r="C4575" t="s">
        <v>40</v>
      </c>
      <c r="D4575">
        <v>3.602312</v>
      </c>
      <c r="E4575">
        <v>0.49259009999999998</v>
      </c>
      <c r="F4575" t="s">
        <v>53</v>
      </c>
      <c r="G4575">
        <v>-380.09140000000002</v>
      </c>
      <c r="H4575" s="1">
        <v>-5.2941130000000004E-6</v>
      </c>
      <c r="I4575">
        <v>16.178450000000002</v>
      </c>
      <c r="J4575">
        <v>-396.08359999999999</v>
      </c>
      <c r="K4575">
        <v>1.1144149999999999</v>
      </c>
      <c r="L4575">
        <v>17.386379999999999</v>
      </c>
      <c r="M4575">
        <v>0.97778180000000003</v>
      </c>
      <c r="N4575">
        <v>0</v>
      </c>
      <c r="O4575">
        <v>-0.20911940000000001</v>
      </c>
      <c r="P4575">
        <v>0.97255150000000001</v>
      </c>
      <c r="Q4575">
        <v>0.20985980000000001</v>
      </c>
      <c r="R4575">
        <v>-0.1005122</v>
      </c>
      <c r="S4575">
        <v>3.1061100000000001</v>
      </c>
      <c r="T4575">
        <v>-0.2128813</v>
      </c>
      <c r="U4575">
        <v>-0.2409973</v>
      </c>
      <c r="V4575">
        <v>-0.1073789</v>
      </c>
      <c r="W4575">
        <v>0.2229062</v>
      </c>
      <c r="X4575">
        <v>0.96890799999999999</v>
      </c>
      <c r="Y4575">
        <v>-0.1320829</v>
      </c>
      <c r="Z4575">
        <v>1.8700959999999999E-2</v>
      </c>
      <c r="AA4575">
        <v>0.9910622</v>
      </c>
      <c r="AB4575">
        <v>29</v>
      </c>
      <c r="AC4575">
        <v>15.992199999999899</v>
      </c>
      <c r="AD4575">
        <v>-1.1144202941129999</v>
      </c>
      <c r="AE4575">
        <v>-1.20792999999999</v>
      </c>
      <c r="AF4575">
        <v>-2.1530206186895202</v>
      </c>
      <c r="AG4575">
        <v>-1.1144202941129999</v>
      </c>
      <c r="AH4575">
        <v>15.814805328956799</v>
      </c>
      <c r="AI4575">
        <v>93.994070794088003</v>
      </c>
      <c r="AJ4575">
        <v>97.752561315063502</v>
      </c>
      <c r="AK4575">
        <v>15.9995468051202</v>
      </c>
      <c r="AL4575">
        <v>77.120215076583094</v>
      </c>
      <c r="AM4575">
        <v>96.323978967819201</v>
      </c>
      <c r="AN4575">
        <v>1.0000000573138199</v>
      </c>
    </row>
    <row r="4576" spans="1:40" x14ac:dyDescent="0.25">
      <c r="A4576" t="str">
        <f>"20190312172757741"</f>
        <v>20190312172757741</v>
      </c>
      <c r="B4576" t="str">
        <f>"1552382877734509"</f>
        <v>1552382877734509</v>
      </c>
      <c r="C4576" t="s">
        <v>40</v>
      </c>
      <c r="D4576">
        <v>3.660266</v>
      </c>
      <c r="E4576">
        <v>0.49344379999999999</v>
      </c>
      <c r="F4576" t="s">
        <v>53</v>
      </c>
      <c r="G4576">
        <v>-380.03320000000002</v>
      </c>
      <c r="H4576" s="1">
        <v>-5.3275159999999998E-6</v>
      </c>
      <c r="I4576">
        <v>16.14526</v>
      </c>
      <c r="J4576">
        <v>-395.78629999999998</v>
      </c>
      <c r="K4576">
        <v>1.1141909999999999</v>
      </c>
      <c r="L4576">
        <v>17.32855</v>
      </c>
      <c r="M4576">
        <v>0.97882880000000005</v>
      </c>
      <c r="N4576">
        <v>0</v>
      </c>
      <c r="O4576">
        <v>-0.2041656</v>
      </c>
      <c r="P4576">
        <v>0.97294970000000003</v>
      </c>
      <c r="Q4576">
        <v>0.20980589999999999</v>
      </c>
      <c r="R4576">
        <v>-9.6699560000000004E-2</v>
      </c>
      <c r="S4576">
        <v>3.1063540000000001</v>
      </c>
      <c r="T4576">
        <v>-0.21568200000000001</v>
      </c>
      <c r="U4576">
        <v>-0.2402039</v>
      </c>
      <c r="V4576">
        <v>-0.1061414</v>
      </c>
      <c r="W4576">
        <v>0.22289600000000001</v>
      </c>
      <c r="X4576">
        <v>0.96904670000000004</v>
      </c>
      <c r="Y4576">
        <v>-0.1273222</v>
      </c>
      <c r="Z4576">
        <v>1.8444370000000002E-2</v>
      </c>
      <c r="AA4576">
        <v>0.99168990000000001</v>
      </c>
      <c r="AB4576">
        <v>29</v>
      </c>
      <c r="AC4576">
        <v>15.7530999999999</v>
      </c>
      <c r="AD4576">
        <v>-1.1141963275159901</v>
      </c>
      <c r="AE4576">
        <v>-1.18328999999999</v>
      </c>
      <c r="AF4576">
        <v>-2.04803161533275</v>
      </c>
      <c r="AG4576">
        <v>-1.1141963275159901</v>
      </c>
      <c r="AH4576">
        <v>15.585295594578399</v>
      </c>
      <c r="AI4576">
        <v>94.054393303737299</v>
      </c>
      <c r="AJ4576">
        <v>97.486226269832201</v>
      </c>
      <c r="AK4576">
        <v>15.758721576448901</v>
      </c>
      <c r="AL4576">
        <v>77.120814679526902</v>
      </c>
      <c r="AM4576">
        <v>96.250790257375797</v>
      </c>
      <c r="AN4576">
        <v>1.00000006519542</v>
      </c>
    </row>
    <row r="4577" spans="1:40" x14ac:dyDescent="0.25">
      <c r="A4577" t="str">
        <f>"20190312172757763"</f>
        <v>20190312172757763</v>
      </c>
      <c r="B4577" t="str">
        <f>"1552382877754028"</f>
        <v>1552382877754028</v>
      </c>
      <c r="C4577" t="s">
        <v>40</v>
      </c>
      <c r="D4577">
        <v>3.622366</v>
      </c>
      <c r="E4577">
        <v>0.4992414</v>
      </c>
      <c r="F4577" t="s">
        <v>43</v>
      </c>
      <c r="G4577">
        <v>-379.27789999999999</v>
      </c>
      <c r="H4577">
        <v>-0.05</v>
      </c>
      <c r="I4577">
        <v>16.076689999999999</v>
      </c>
      <c r="J4577">
        <v>-395.49979999999999</v>
      </c>
      <c r="K4577">
        <v>1.1139859999999999</v>
      </c>
      <c r="L4577">
        <v>17.27402</v>
      </c>
      <c r="M4577">
        <v>0.97976079999999999</v>
      </c>
      <c r="N4577">
        <v>0</v>
      </c>
      <c r="O4577">
        <v>-0.1996472</v>
      </c>
      <c r="P4577">
        <v>0.97321360000000001</v>
      </c>
      <c r="Q4577">
        <v>0.2101278</v>
      </c>
      <c r="R4577">
        <v>-9.3283119999999997E-2</v>
      </c>
      <c r="S4577">
        <v>3.107208</v>
      </c>
      <c r="T4577">
        <v>-0.2191246</v>
      </c>
      <c r="U4577">
        <v>-0.23562620000000001</v>
      </c>
      <c r="V4577">
        <v>-0.1049431</v>
      </c>
      <c r="W4577">
        <v>0.2232548</v>
      </c>
      <c r="X4577">
        <v>0.96909449999999997</v>
      </c>
      <c r="Y4577">
        <v>-0.1242124</v>
      </c>
      <c r="Z4577">
        <v>1.8313550000000001E-2</v>
      </c>
      <c r="AA4577">
        <v>0.99208660000000004</v>
      </c>
      <c r="AB4577">
        <v>29</v>
      </c>
      <c r="AC4577">
        <v>16.221900000000002</v>
      </c>
      <c r="AD4577">
        <v>-1.163986</v>
      </c>
      <c r="AE4577">
        <v>-1.19733</v>
      </c>
      <c r="AF4577">
        <v>-2.0552521883627701</v>
      </c>
      <c r="AG4577">
        <v>-1.163986</v>
      </c>
      <c r="AH4577">
        <v>16.052118952351901</v>
      </c>
      <c r="AI4577">
        <v>94.113958341401997</v>
      </c>
      <c r="AJ4577">
        <v>97.296236535751405</v>
      </c>
      <c r="AK4577">
        <v>16.224963723423901</v>
      </c>
      <c r="AL4577">
        <v>77.099724087015701</v>
      </c>
      <c r="AM4577">
        <v>96.180467757799406</v>
      </c>
      <c r="AN4577">
        <v>0.99999995494544902</v>
      </c>
    </row>
    <row r="4578" spans="1:40" x14ac:dyDescent="0.25">
      <c r="A4578" t="str">
        <f>"20190312172757785"</f>
        <v>20190312172757785</v>
      </c>
      <c r="B4578" t="str">
        <f>"1552382877773548"</f>
        <v>1552382877773548</v>
      </c>
      <c r="C4578" t="s">
        <v>40</v>
      </c>
      <c r="D4578">
        <v>3.6762779999999999</v>
      </c>
      <c r="E4578">
        <v>0.49948550000000003</v>
      </c>
      <c r="F4578" t="s">
        <v>54</v>
      </c>
      <c r="G4578">
        <v>-379.85340000000002</v>
      </c>
      <c r="H4578" s="1">
        <v>-1.0275680000000001E-6</v>
      </c>
      <c r="I4578">
        <v>15.90657</v>
      </c>
      <c r="J4578">
        <v>-395.22649999999999</v>
      </c>
      <c r="K4578">
        <v>1.1137999999999999</v>
      </c>
      <c r="L4578">
        <v>17.223020000000002</v>
      </c>
      <c r="M4578">
        <v>0.98058440000000002</v>
      </c>
      <c r="N4578">
        <v>0</v>
      </c>
      <c r="O4578">
        <v>-0.1955634</v>
      </c>
      <c r="P4578">
        <v>0.97355029999999998</v>
      </c>
      <c r="Q4578">
        <v>0.20988709999999999</v>
      </c>
      <c r="R4578">
        <v>-9.0262670000000003E-2</v>
      </c>
      <c r="S4578">
        <v>3.1042480000000001</v>
      </c>
      <c r="T4578">
        <v>-0.2210155</v>
      </c>
      <c r="U4578">
        <v>-0.27130130000000002</v>
      </c>
      <c r="V4578">
        <v>-0.1038145</v>
      </c>
      <c r="W4578">
        <v>0.22304850000000001</v>
      </c>
      <c r="X4578">
        <v>0.9692636</v>
      </c>
      <c r="Y4578">
        <v>-0.1087014</v>
      </c>
      <c r="Z4578">
        <v>1.764141E-2</v>
      </c>
      <c r="AA4578">
        <v>0.99391790000000002</v>
      </c>
      <c r="AB4578">
        <v>29</v>
      </c>
      <c r="AC4578">
        <v>15.3730999999999</v>
      </c>
      <c r="AD4578">
        <v>-1.1138010275679999</v>
      </c>
      <c r="AE4578">
        <v>-1.3164499999999999</v>
      </c>
      <c r="AF4578">
        <v>-1.70681068283335</v>
      </c>
      <c r="AG4578">
        <v>-1.1138010275679999</v>
      </c>
      <c r="AH4578">
        <v>15.2541861681627</v>
      </c>
      <c r="AI4578">
        <v>94.1502948958491</v>
      </c>
      <c r="AJ4578">
        <v>96.384344205466704</v>
      </c>
      <c r="AK4578">
        <v>15.3897352507771</v>
      </c>
      <c r="AL4578">
        <v>77.111850633015607</v>
      </c>
      <c r="AM4578">
        <v>96.113448076693402</v>
      </c>
      <c r="AN4578">
        <v>1.0000000050237301</v>
      </c>
    </row>
    <row r="4579" spans="1:40" x14ac:dyDescent="0.25">
      <c r="A4579" t="str">
        <f>"20190312172757817"</f>
        <v>20190312172757817</v>
      </c>
      <c r="B4579" t="str">
        <f>"1552382877813564"</f>
        <v>1552382877813564</v>
      </c>
      <c r="C4579" t="s">
        <v>40</v>
      </c>
      <c r="D4579">
        <v>3.6491229999999999</v>
      </c>
      <c r="E4579">
        <v>0.50066089999999996</v>
      </c>
      <c r="F4579" t="s">
        <v>54</v>
      </c>
      <c r="G4579">
        <v>-379.90179999999998</v>
      </c>
      <c r="H4579" s="1">
        <v>-1.005702E-6</v>
      </c>
      <c r="I4579">
        <v>15.91892</v>
      </c>
      <c r="J4579">
        <v>-394.81389999999999</v>
      </c>
      <c r="K4579">
        <v>1.1135440000000001</v>
      </c>
      <c r="L4579">
        <v>17.14789</v>
      </c>
      <c r="M4579">
        <v>0.98171509999999995</v>
      </c>
      <c r="N4579">
        <v>0</v>
      </c>
      <c r="O4579">
        <v>-0.18980859999999999</v>
      </c>
      <c r="P4579">
        <v>0.9738232</v>
      </c>
      <c r="Q4579">
        <v>0.2103274</v>
      </c>
      <c r="R4579">
        <v>-8.6203710000000003E-2</v>
      </c>
      <c r="S4579">
        <v>3.1056210000000002</v>
      </c>
      <c r="T4579">
        <v>-0.2257171</v>
      </c>
      <c r="U4579">
        <v>-0.26428220000000002</v>
      </c>
      <c r="V4579">
        <v>-0.10200289999999999</v>
      </c>
      <c r="W4579">
        <v>0.22353509999999999</v>
      </c>
      <c r="X4579">
        <v>0.96934379999999998</v>
      </c>
      <c r="Y4579">
        <v>-0.10513019999999999</v>
      </c>
      <c r="Z4579">
        <v>1.7471629999999998E-2</v>
      </c>
      <c r="AA4579">
        <v>0.99430499999999999</v>
      </c>
      <c r="AB4579">
        <v>29</v>
      </c>
      <c r="AC4579">
        <v>14.912100000000001</v>
      </c>
      <c r="AD4579">
        <v>-1.113545005702</v>
      </c>
      <c r="AE4579">
        <v>-1.2289699999999899</v>
      </c>
      <c r="AF4579">
        <v>-1.6151697221027701</v>
      </c>
      <c r="AG4579">
        <v>-1.113545005702</v>
      </c>
      <c r="AH4579">
        <v>14.792322589396999</v>
      </c>
      <c r="AI4579">
        <v>94.279683937380796</v>
      </c>
      <c r="AJ4579">
        <v>96.231424483386704</v>
      </c>
      <c r="AK4579">
        <v>14.921848521537299</v>
      </c>
      <c r="AL4579">
        <v>77.083247853701394</v>
      </c>
      <c r="AM4579">
        <v>96.007059846462795</v>
      </c>
      <c r="AN4579">
        <v>0.99999996756942899</v>
      </c>
    </row>
    <row r="4580" spans="1:40" x14ac:dyDescent="0.25">
      <c r="A4580" t="str">
        <f>"20190312172757840"</f>
        <v>20190312172757840</v>
      </c>
      <c r="B4580" t="str">
        <f>"1552382877834060"</f>
        <v>1552382877834060</v>
      </c>
      <c r="C4580" t="s">
        <v>40</v>
      </c>
      <c r="D4580">
        <v>3.632101</v>
      </c>
      <c r="E4580">
        <v>0.5011911</v>
      </c>
      <c r="F4580" t="s">
        <v>54</v>
      </c>
      <c r="G4580">
        <v>-379.5197</v>
      </c>
      <c r="H4580" s="1">
        <v>-1.1685370000000001E-6</v>
      </c>
      <c r="I4580">
        <v>15.858370000000001</v>
      </c>
      <c r="J4580">
        <v>-394.51819999999998</v>
      </c>
      <c r="K4580">
        <v>1.1133649999999999</v>
      </c>
      <c r="L4580">
        <v>17.095279999999999</v>
      </c>
      <c r="M4580">
        <v>0.98246009999999995</v>
      </c>
      <c r="N4580">
        <v>0</v>
      </c>
      <c r="O4580">
        <v>-0.18591679999999999</v>
      </c>
      <c r="P4580">
        <v>0.97413499999999997</v>
      </c>
      <c r="Q4580">
        <v>0.20997779999999999</v>
      </c>
      <c r="R4580">
        <v>-8.3491889999999999E-2</v>
      </c>
      <c r="S4580">
        <v>3.1062620000000001</v>
      </c>
      <c r="T4580">
        <v>-0.22616220000000001</v>
      </c>
      <c r="U4580">
        <v>-0.26190190000000002</v>
      </c>
      <c r="V4580">
        <v>-0.100773</v>
      </c>
      <c r="W4580">
        <v>0.22321579999999999</v>
      </c>
      <c r="X4580">
        <v>0.96954600000000002</v>
      </c>
      <c r="Y4580">
        <v>-0.1019782</v>
      </c>
      <c r="Z4580">
        <v>1.711128E-2</v>
      </c>
      <c r="AA4580">
        <v>0.99463950000000001</v>
      </c>
      <c r="AB4580">
        <v>29</v>
      </c>
      <c r="AC4580">
        <v>14.9984999999999</v>
      </c>
      <c r="AD4580">
        <v>-1.113366168537</v>
      </c>
      <c r="AE4580">
        <v>-1.23690999999999</v>
      </c>
      <c r="AF4580">
        <v>-1.5648566528333501</v>
      </c>
      <c r="AG4580">
        <v>-1.113366168537</v>
      </c>
      <c r="AH4580">
        <v>14.885469745537799</v>
      </c>
      <c r="AI4580">
        <v>94.254145634312493</v>
      </c>
      <c r="AJ4580">
        <v>96.001259136295502</v>
      </c>
      <c r="AK4580">
        <v>15.008849726560699</v>
      </c>
      <c r="AL4580">
        <v>77.102016649735404</v>
      </c>
      <c r="AM4580">
        <v>95.933920917202599</v>
      </c>
      <c r="AN4580">
        <v>0.99999996850731898</v>
      </c>
    </row>
    <row r="4581" spans="1:40" x14ac:dyDescent="0.25">
      <c r="A4581" t="str">
        <f>"20190312172757863"</f>
        <v>20190312172757863</v>
      </c>
      <c r="B4581" t="str">
        <f>"1552382877853583"</f>
        <v>1552382877853583</v>
      </c>
      <c r="C4581" t="s">
        <v>40</v>
      </c>
      <c r="D4581">
        <v>3.702839</v>
      </c>
      <c r="E4581">
        <v>0.50176480000000001</v>
      </c>
      <c r="F4581" t="s">
        <v>54</v>
      </c>
      <c r="G4581">
        <v>-379.3974</v>
      </c>
      <c r="H4581" s="1">
        <v>-1.221267E-6</v>
      </c>
      <c r="I4581">
        <v>15.836790000000001</v>
      </c>
      <c r="J4581">
        <v>-394.24430000000001</v>
      </c>
      <c r="K4581">
        <v>1.113224</v>
      </c>
      <c r="L4581">
        <v>17.047419999999999</v>
      </c>
      <c r="M4581">
        <v>0.98310710000000001</v>
      </c>
      <c r="N4581">
        <v>0</v>
      </c>
      <c r="O4581">
        <v>-0.18246519999999999</v>
      </c>
      <c r="P4581">
        <v>0.97445079999999995</v>
      </c>
      <c r="Q4581">
        <v>0.20954900000000001</v>
      </c>
      <c r="R4581">
        <v>-8.0836320000000003E-2</v>
      </c>
      <c r="S4581">
        <v>3.1068120000000001</v>
      </c>
      <c r="T4581">
        <v>-0.2287593</v>
      </c>
      <c r="U4581">
        <v>-0.25857540000000001</v>
      </c>
      <c r="V4581">
        <v>-9.9943409999999996E-2</v>
      </c>
      <c r="W4581">
        <v>0.2228096</v>
      </c>
      <c r="X4581">
        <v>0.96972530000000001</v>
      </c>
      <c r="Y4581">
        <v>-9.955493E-2</v>
      </c>
      <c r="Z4581">
        <v>1.6967260000000001E-2</v>
      </c>
      <c r="AA4581">
        <v>0.99488739999999998</v>
      </c>
      <c r="AB4581">
        <v>29</v>
      </c>
      <c r="AC4581">
        <v>14.8469</v>
      </c>
      <c r="AD4581">
        <v>-1.113225221267</v>
      </c>
      <c r="AE4581">
        <v>-1.2106300000000001</v>
      </c>
      <c r="AF4581">
        <v>-1.5105842825832401</v>
      </c>
      <c r="AG4581">
        <v>-1.113225221267</v>
      </c>
      <c r="AH4581">
        <v>14.7362230254273</v>
      </c>
      <c r="AI4581">
        <v>94.297679824747505</v>
      </c>
      <c r="AJ4581">
        <v>95.852846181744098</v>
      </c>
      <c r="AK4581">
        <v>14.8552147181784</v>
      </c>
      <c r="AL4581">
        <v>77.125891624703002</v>
      </c>
      <c r="AM4581">
        <v>95.8843350495534</v>
      </c>
      <c r="AN4581">
        <v>0.99999998025733805</v>
      </c>
    </row>
    <row r="4582" spans="1:40" x14ac:dyDescent="0.25">
      <c r="A4582" t="str">
        <f>"20190312172757884"</f>
        <v>20190312172757884</v>
      </c>
      <c r="B4582" t="str">
        <f>"1552382877874076"</f>
        <v>1552382877874076</v>
      </c>
      <c r="C4582" t="s">
        <v>40</v>
      </c>
      <c r="D4582">
        <v>3.634433</v>
      </c>
      <c r="E4582">
        <v>0.50212559999999995</v>
      </c>
      <c r="F4582" t="s">
        <v>54</v>
      </c>
      <c r="G4582">
        <v>-379.27190000000002</v>
      </c>
      <c r="H4582" s="1">
        <v>-1.2759900000000001E-6</v>
      </c>
      <c r="I4582">
        <v>15.81227</v>
      </c>
      <c r="J4582">
        <v>-393.96710000000002</v>
      </c>
      <c r="K4582">
        <v>1.1130979999999999</v>
      </c>
      <c r="L4582">
        <v>16.999849999999999</v>
      </c>
      <c r="M4582">
        <v>0.98372230000000005</v>
      </c>
      <c r="N4582">
        <v>0</v>
      </c>
      <c r="O4582">
        <v>-0.17911969999999999</v>
      </c>
      <c r="P4582">
        <v>0.97472349999999996</v>
      </c>
      <c r="Q4582">
        <v>0.20936660000000001</v>
      </c>
      <c r="R4582">
        <v>-7.7972639999999996E-2</v>
      </c>
      <c r="S4582">
        <v>3.107056</v>
      </c>
      <c r="T4582">
        <v>-0.23101440000000001</v>
      </c>
      <c r="U4582">
        <v>-0.25631710000000002</v>
      </c>
      <c r="V4582">
        <v>-9.9426100000000003E-2</v>
      </c>
      <c r="W4582">
        <v>0.22264500000000001</v>
      </c>
      <c r="X4582">
        <v>0.96981629999999996</v>
      </c>
      <c r="Y4582">
        <v>-9.6895819999999994E-2</v>
      </c>
      <c r="Z4582">
        <v>1.6790960000000001E-2</v>
      </c>
      <c r="AA4582">
        <v>0.99515290000000001</v>
      </c>
      <c r="AB4582">
        <v>29</v>
      </c>
      <c r="AC4582">
        <v>14.6952</v>
      </c>
      <c r="AD4582">
        <v>-1.11309927599</v>
      </c>
      <c r="AE4582">
        <v>-1.1875799999999901</v>
      </c>
      <c r="AF4582">
        <v>-1.45580374914727</v>
      </c>
      <c r="AG4582">
        <v>-1.11309927599</v>
      </c>
      <c r="AH4582">
        <v>14.587081007019</v>
      </c>
      <c r="AI4582">
        <v>94.342136380625305</v>
      </c>
      <c r="AJ4582">
        <v>95.699298023885504</v>
      </c>
      <c r="AK4582">
        <v>14.7017443475112</v>
      </c>
      <c r="AL4582">
        <v>77.135565776354994</v>
      </c>
      <c r="AM4582">
        <v>95.853544145246104</v>
      </c>
      <c r="AN4582">
        <v>1.00000000056595</v>
      </c>
    </row>
    <row r="4583" spans="1:40" x14ac:dyDescent="0.25">
      <c r="A4583" t="str">
        <f>"20190312172757907"</f>
        <v>20190312172757907</v>
      </c>
      <c r="B4583" t="str">
        <f>"1552382877904332"</f>
        <v>1552382877904332</v>
      </c>
      <c r="C4583" t="s">
        <v>40</v>
      </c>
      <c r="D4583">
        <v>3.6524540000000001</v>
      </c>
      <c r="E4583">
        <v>0.50834679999999999</v>
      </c>
      <c r="F4583" t="s">
        <v>54</v>
      </c>
      <c r="G4583">
        <v>-379.00909999999999</v>
      </c>
      <c r="H4583" s="1">
        <v>-1.3838260000000001E-6</v>
      </c>
      <c r="I4583">
        <v>15.78627</v>
      </c>
      <c r="J4583">
        <v>-393.6859</v>
      </c>
      <c r="K4583">
        <v>1.11297</v>
      </c>
      <c r="L4583">
        <v>16.952390000000001</v>
      </c>
      <c r="M4583">
        <v>0.98430910000000005</v>
      </c>
      <c r="N4583">
        <v>0</v>
      </c>
      <c r="O4583">
        <v>-0.17586959999999999</v>
      </c>
      <c r="P4583">
        <v>0.97483739999999997</v>
      </c>
      <c r="Q4583">
        <v>0.2098112</v>
      </c>
      <c r="R4583">
        <v>-7.5309109999999999E-2</v>
      </c>
      <c r="S4583">
        <v>3.107361</v>
      </c>
      <c r="T4583">
        <v>-0.23123360000000001</v>
      </c>
      <c r="U4583">
        <v>-0.25210569999999999</v>
      </c>
      <c r="V4583">
        <v>-9.8786490000000005E-2</v>
      </c>
      <c r="W4583">
        <v>0.22310559999999999</v>
      </c>
      <c r="X4583">
        <v>0.96977579999999997</v>
      </c>
      <c r="Y4583">
        <v>-9.496868E-2</v>
      </c>
      <c r="Z4583">
        <v>1.6497669999999999E-2</v>
      </c>
      <c r="AA4583">
        <v>0.9953436</v>
      </c>
      <c r="AB4583">
        <v>29</v>
      </c>
      <c r="AC4583">
        <v>14.6768</v>
      </c>
      <c r="AD4583">
        <v>-1.112971383826</v>
      </c>
      <c r="AE4583">
        <v>-1.1661199999999901</v>
      </c>
      <c r="AF4583">
        <v>-1.4253824698191699</v>
      </c>
      <c r="AG4583">
        <v>-1.112971383826</v>
      </c>
      <c r="AH4583">
        <v>14.5698401881327</v>
      </c>
      <c r="AI4583">
        <v>94.347592068693501</v>
      </c>
      <c r="AJ4583">
        <v>95.587524484334907</v>
      </c>
      <c r="AK4583">
        <v>14.6816437633601</v>
      </c>
      <c r="AL4583">
        <v>77.108494285119093</v>
      </c>
      <c r="AM4583">
        <v>95.816388390954103</v>
      </c>
      <c r="AN4583">
        <v>0.99999999081176005</v>
      </c>
    </row>
    <row r="4584" spans="1:40" x14ac:dyDescent="0.25">
      <c r="A4584" t="str">
        <f>"20190312172757929"</f>
        <v>20190312172757929</v>
      </c>
      <c r="B4584" t="str">
        <f>"1552382877923852"</f>
        <v>1552382877923852</v>
      </c>
      <c r="C4584" t="s">
        <v>40</v>
      </c>
      <c r="D4584">
        <v>3.6443349999999999</v>
      </c>
      <c r="E4584">
        <v>0.50884569999999996</v>
      </c>
      <c r="F4584" t="s">
        <v>54</v>
      </c>
      <c r="G4584">
        <v>-378.65300000000002</v>
      </c>
      <c r="H4584" s="1">
        <v>-1.5883469999999999E-6</v>
      </c>
      <c r="I4584">
        <v>15.5315799999999</v>
      </c>
      <c r="J4584">
        <v>-393.40820000000002</v>
      </c>
      <c r="K4584">
        <v>1.1128480000000001</v>
      </c>
      <c r="L4584">
        <v>16.906369999999999</v>
      </c>
      <c r="M4584">
        <v>0.9848538</v>
      </c>
      <c r="N4584">
        <v>0</v>
      </c>
      <c r="O4584">
        <v>-0.17279439999999999</v>
      </c>
      <c r="P4584">
        <v>0.974908</v>
      </c>
      <c r="Q4584">
        <v>0.2103505</v>
      </c>
      <c r="R4584">
        <v>-7.2852600000000003E-2</v>
      </c>
      <c r="S4584">
        <v>3.104279</v>
      </c>
      <c r="T4584">
        <v>-0.229827</v>
      </c>
      <c r="U4584">
        <v>-0.29339599999999999</v>
      </c>
      <c r="V4584">
        <v>-9.8116110000000006E-2</v>
      </c>
      <c r="W4584">
        <v>0.2236602</v>
      </c>
      <c r="X4584">
        <v>0.96971609999999997</v>
      </c>
      <c r="Y4584">
        <v>-7.8691070000000002E-2</v>
      </c>
      <c r="Z4584">
        <v>1.557681E-2</v>
      </c>
      <c r="AA4584">
        <v>0.99677740000000004</v>
      </c>
      <c r="AB4584">
        <v>29</v>
      </c>
      <c r="AC4584">
        <v>14.7552</v>
      </c>
      <c r="AD4584">
        <v>-1.112849588347</v>
      </c>
      <c r="AE4584">
        <v>-1.37479</v>
      </c>
      <c r="AF4584">
        <v>-1.1890658461829</v>
      </c>
      <c r="AG4584">
        <v>-1.112849588347</v>
      </c>
      <c r="AH4584">
        <v>14.6879550662218</v>
      </c>
      <c r="AI4584">
        <v>94.318726524631202</v>
      </c>
      <c r="AJ4584">
        <v>94.628296091950205</v>
      </c>
      <c r="AK4584">
        <v>14.7779679191759</v>
      </c>
      <c r="AL4584">
        <v>77.0758941959824</v>
      </c>
      <c r="AM4584">
        <v>95.777538655298898</v>
      </c>
      <c r="AN4584">
        <v>0.99999998535238999</v>
      </c>
    </row>
    <row r="4585" spans="1:40" x14ac:dyDescent="0.25">
      <c r="A4585" t="str">
        <f>"20190312172757954"</f>
        <v>20190312172757954</v>
      </c>
      <c r="B4585" t="str">
        <f>"1552382877944348"</f>
        <v>1552382877944348</v>
      </c>
      <c r="C4585" t="s">
        <v>40</v>
      </c>
      <c r="D4585">
        <v>3.634576</v>
      </c>
      <c r="E4585">
        <v>0.5095073</v>
      </c>
      <c r="F4585" t="s">
        <v>54</v>
      </c>
      <c r="G4585">
        <v>-378.50259999999997</v>
      </c>
      <c r="H4585" s="1">
        <v>-1.6508849999999999E-6</v>
      </c>
      <c r="I4585">
        <v>15.51355</v>
      </c>
      <c r="J4585">
        <v>-393.1035</v>
      </c>
      <c r="K4585">
        <v>1.112717</v>
      </c>
      <c r="L4585">
        <v>16.856780000000001</v>
      </c>
      <c r="M4585">
        <v>0.98541650000000003</v>
      </c>
      <c r="N4585">
        <v>0</v>
      </c>
      <c r="O4585">
        <v>-0.16955809999999999</v>
      </c>
      <c r="P4585">
        <v>0.97513450000000002</v>
      </c>
      <c r="Q4585">
        <v>0.2101749</v>
      </c>
      <c r="R4585">
        <v>-7.0280060000000005E-2</v>
      </c>
      <c r="S4585">
        <v>3.1055600000000001</v>
      </c>
      <c r="T4585">
        <v>-0.2318598</v>
      </c>
      <c r="U4585">
        <v>-0.2901917</v>
      </c>
      <c r="V4585">
        <v>-9.742381E-2</v>
      </c>
      <c r="W4585">
        <v>0.2235017</v>
      </c>
      <c r="X4585">
        <v>0.96982250000000003</v>
      </c>
      <c r="Y4585">
        <v>-7.6477229999999993E-2</v>
      </c>
      <c r="Z4585">
        <v>1.538934E-2</v>
      </c>
      <c r="AA4585">
        <v>0.99695250000000002</v>
      </c>
      <c r="AB4585">
        <v>29</v>
      </c>
      <c r="AC4585">
        <v>14.600899999999999</v>
      </c>
      <c r="AD4585">
        <v>-1.112718650885</v>
      </c>
      <c r="AE4585">
        <v>-1.3432299999999999</v>
      </c>
      <c r="AF4585">
        <v>-1.14558013838046</v>
      </c>
      <c r="AG4585">
        <v>-1.112718650885</v>
      </c>
      <c r="AH4585">
        <v>14.5335176992894</v>
      </c>
      <c r="AI4585">
        <v>94.364666358104202</v>
      </c>
      <c r="AJ4585">
        <v>94.506925048804305</v>
      </c>
      <c r="AK4585">
        <v>14.620999738904301</v>
      </c>
      <c r="AL4585">
        <v>77.085212224554098</v>
      </c>
      <c r="AM4585">
        <v>95.736420444275197</v>
      </c>
      <c r="AN4585">
        <v>1.0000000450820199</v>
      </c>
    </row>
    <row r="4586" spans="1:40" x14ac:dyDescent="0.25">
      <c r="A4586" t="str">
        <f>"20190312172757976"</f>
        <v>20190312172757976</v>
      </c>
      <c r="B4586" t="str">
        <f>"1552382877973628"</f>
        <v>1552382877973628</v>
      </c>
      <c r="C4586" t="s">
        <v>40</v>
      </c>
      <c r="D4586">
        <v>3.6632760000000002</v>
      </c>
      <c r="E4586">
        <v>0.51011450000000003</v>
      </c>
      <c r="F4586" t="s">
        <v>54</v>
      </c>
      <c r="G4586">
        <v>-378.2285</v>
      </c>
      <c r="H4586" s="1">
        <v>-1.7664510000000001E-6</v>
      </c>
      <c r="I4586">
        <v>15.47481</v>
      </c>
      <c r="J4586">
        <v>-392.81169999999997</v>
      </c>
      <c r="K4586">
        <v>1.112614</v>
      </c>
      <c r="L4586">
        <v>16.810089999999999</v>
      </c>
      <c r="M4586">
        <v>0.98592829999999998</v>
      </c>
      <c r="N4586">
        <v>0</v>
      </c>
      <c r="O4586">
        <v>-0.16655710000000001</v>
      </c>
      <c r="P4586">
        <v>0.97543460000000004</v>
      </c>
      <c r="Q4586">
        <v>0.20959340000000001</v>
      </c>
      <c r="R4586">
        <v>-6.780978E-2</v>
      </c>
      <c r="S4586">
        <v>3.1057739999999998</v>
      </c>
      <c r="T4586">
        <v>-0.232326</v>
      </c>
      <c r="U4586">
        <v>-0.28854370000000001</v>
      </c>
      <c r="V4586">
        <v>-9.6888699999999994E-2</v>
      </c>
      <c r="W4586">
        <v>0.22293460000000001</v>
      </c>
      <c r="X4586">
        <v>0.97000660000000005</v>
      </c>
      <c r="Y4586">
        <v>-7.3984519999999998E-2</v>
      </c>
      <c r="Z4586">
        <v>1.5106339999999999E-2</v>
      </c>
      <c r="AA4586">
        <v>0.99714499999999995</v>
      </c>
      <c r="AB4586">
        <v>29</v>
      </c>
      <c r="AC4586">
        <v>14.5831999999999</v>
      </c>
      <c r="AD4586">
        <v>-1.1126157664509999</v>
      </c>
      <c r="AE4586">
        <v>-1.33527999999999</v>
      </c>
      <c r="AF4586">
        <v>-1.10617340165996</v>
      </c>
      <c r="AG4586">
        <v>-1.1126157664509999</v>
      </c>
      <c r="AH4586">
        <v>14.518075669638399</v>
      </c>
      <c r="AI4586">
        <v>94.369770485405695</v>
      </c>
      <c r="AJ4586">
        <v>94.357109601823794</v>
      </c>
      <c r="AK4586">
        <v>14.6026043768788</v>
      </c>
      <c r="AL4586">
        <v>77.118545516628501</v>
      </c>
      <c r="AM4586">
        <v>95.704045352353305</v>
      </c>
      <c r="AN4586">
        <v>1.0000000300542</v>
      </c>
    </row>
    <row r="4587" spans="1:40" x14ac:dyDescent="0.25">
      <c r="A4587" t="str">
        <f>"20190312172757998"</f>
        <v>20190312172757998</v>
      </c>
      <c r="B4587" t="str">
        <f>"1552382877994124"</f>
        <v>1552382877994124</v>
      </c>
      <c r="C4587" t="s">
        <v>40</v>
      </c>
      <c r="D4587">
        <v>3.6794359999999999</v>
      </c>
      <c r="E4587">
        <v>0.51353110000000002</v>
      </c>
      <c r="F4587" t="s">
        <v>54</v>
      </c>
      <c r="G4587">
        <v>-378.1121</v>
      </c>
      <c r="H4587" s="1">
        <v>-1.816022E-6</v>
      </c>
      <c r="I4587">
        <v>15.45645</v>
      </c>
      <c r="J4587">
        <v>-392.54739999999998</v>
      </c>
      <c r="K4587">
        <v>1.1125389999999999</v>
      </c>
      <c r="L4587">
        <v>16.768460000000001</v>
      </c>
      <c r="M4587">
        <v>0.98637070000000004</v>
      </c>
      <c r="N4587">
        <v>0</v>
      </c>
      <c r="O4587">
        <v>-0.163917799999999</v>
      </c>
      <c r="P4587">
        <v>0.97563560000000005</v>
      </c>
      <c r="Q4587">
        <v>0.209206</v>
      </c>
      <c r="R4587">
        <v>-6.6092769999999995E-2</v>
      </c>
      <c r="S4587">
        <v>3.1062319999999999</v>
      </c>
      <c r="T4587">
        <v>-0.23511109999999999</v>
      </c>
      <c r="U4587">
        <v>-0.2860413</v>
      </c>
      <c r="V4587">
        <v>-9.5966930000000006E-2</v>
      </c>
      <c r="W4587">
        <v>0.22255949999999999</v>
      </c>
      <c r="X4587">
        <v>0.9701843</v>
      </c>
      <c r="Y4587">
        <v>-7.2122270000000002E-2</v>
      </c>
      <c r="Z4587">
        <v>1.5018989999999999E-2</v>
      </c>
      <c r="AA4587">
        <v>0.99728269999999997</v>
      </c>
      <c r="AB4587">
        <v>29</v>
      </c>
      <c r="AC4587">
        <v>14.4352999999999</v>
      </c>
      <c r="AD4587">
        <v>-1.1125408160219901</v>
      </c>
      <c r="AE4587">
        <v>-1.3120099999999999</v>
      </c>
      <c r="AF4587">
        <v>-1.06590414879847</v>
      </c>
      <c r="AG4587">
        <v>-1.1125408160219901</v>
      </c>
      <c r="AH4587">
        <v>14.370431990501</v>
      </c>
      <c r="AI4587">
        <v>94.414857138997405</v>
      </c>
      <c r="AJ4587">
        <v>94.242056040542295</v>
      </c>
      <c r="AK4587">
        <v>14.4527926130335</v>
      </c>
      <c r="AL4587">
        <v>77.140590364911503</v>
      </c>
      <c r="AM4587">
        <v>95.649103386770904</v>
      </c>
      <c r="AN4587">
        <v>0.99999997933018203</v>
      </c>
    </row>
    <row r="4588" spans="1:40" x14ac:dyDescent="0.25">
      <c r="A4588" t="str">
        <f>"20190312172758018"</f>
        <v>20190312172758018</v>
      </c>
      <c r="B4588" t="str">
        <f>"1552382878013645"</f>
        <v>1552382878013645</v>
      </c>
      <c r="C4588" t="s">
        <v>40</v>
      </c>
      <c r="D4588">
        <v>3.68458</v>
      </c>
      <c r="E4588">
        <v>0.5142409</v>
      </c>
      <c r="F4588" t="s">
        <v>54</v>
      </c>
      <c r="G4588">
        <v>-377.96469999999999</v>
      </c>
      <c r="H4588" s="1">
        <v>-1.9078289999999999E-6</v>
      </c>
      <c r="I4588">
        <v>15.324229999999901</v>
      </c>
      <c r="J4588">
        <v>-392.28579999999999</v>
      </c>
      <c r="K4588">
        <v>1.1124799999999999</v>
      </c>
      <c r="L4588">
        <v>16.727910000000001</v>
      </c>
      <c r="M4588">
        <v>0.9867899</v>
      </c>
      <c r="N4588">
        <v>0</v>
      </c>
      <c r="O4588">
        <v>-0.16137609999999999</v>
      </c>
      <c r="P4588">
        <v>0.97593010000000002</v>
      </c>
      <c r="Q4588">
        <v>0.20841419999999999</v>
      </c>
      <c r="R4588">
        <v>-6.421963E-2</v>
      </c>
      <c r="S4588">
        <v>3.1048580000000001</v>
      </c>
      <c r="T4588">
        <v>-0.23687430000000001</v>
      </c>
      <c r="U4588">
        <v>-0.30749510000000002</v>
      </c>
      <c r="V4588">
        <v>-9.5315349999999993E-2</v>
      </c>
      <c r="W4588">
        <v>0.22177839999999999</v>
      </c>
      <c r="X4588">
        <v>0.97042740000000005</v>
      </c>
      <c r="Y4588">
        <v>-6.2704969999999999E-2</v>
      </c>
      <c r="Z4588">
        <v>1.4582970000000001E-2</v>
      </c>
      <c r="AA4588">
        <v>0.99792559999999997</v>
      </c>
      <c r="AB4588">
        <v>29</v>
      </c>
      <c r="AC4588">
        <v>14.321099999999999</v>
      </c>
      <c r="AD4588">
        <v>-1.11248190782899</v>
      </c>
      <c r="AE4588">
        <v>-1.40368</v>
      </c>
      <c r="AF4588">
        <v>-0.92053819771133605</v>
      </c>
      <c r="AG4588">
        <v>-1.11248190782899</v>
      </c>
      <c r="AH4588">
        <v>14.274579370988</v>
      </c>
      <c r="AI4588">
        <v>94.447108761763403</v>
      </c>
      <c r="AJ4588">
        <v>93.689777484624699</v>
      </c>
      <c r="AK4588">
        <v>14.347425650176101</v>
      </c>
      <c r="AL4588">
        <v>77.186491603242601</v>
      </c>
      <c r="AM4588">
        <v>95.609597013549205</v>
      </c>
      <c r="AN4588">
        <v>1.00000000666147</v>
      </c>
    </row>
    <row r="4589" spans="1:40" x14ac:dyDescent="0.25">
      <c r="A4589" t="str">
        <f>"20190312172758041"</f>
        <v>20190312172758041</v>
      </c>
      <c r="B4589" t="str">
        <f>"1552382878034140"</f>
        <v>1552382878034140</v>
      </c>
      <c r="C4589" t="s">
        <v>40</v>
      </c>
      <c r="D4589">
        <v>3.6850830000000001</v>
      </c>
      <c r="E4589">
        <v>0.51489099999999999</v>
      </c>
      <c r="F4589" t="s">
        <v>54</v>
      </c>
      <c r="G4589">
        <v>-378.02170000000001</v>
      </c>
      <c r="H4589" s="1">
        <v>-1.8877609999999999E-6</v>
      </c>
      <c r="I4589">
        <v>15.317349999999999</v>
      </c>
      <c r="J4589">
        <v>-391.99610000000001</v>
      </c>
      <c r="K4589">
        <v>1.1124130000000001</v>
      </c>
      <c r="L4589">
        <v>16.683689999999999</v>
      </c>
      <c r="M4589">
        <v>0.98723479999999997</v>
      </c>
      <c r="N4589">
        <v>0</v>
      </c>
      <c r="O4589">
        <v>-0.158632299999999</v>
      </c>
      <c r="P4589">
        <v>0.97634460000000001</v>
      </c>
      <c r="Q4589">
        <v>0.20713889999999999</v>
      </c>
      <c r="R4589">
        <v>-6.2008639999999997E-2</v>
      </c>
      <c r="S4589">
        <v>3.105499</v>
      </c>
      <c r="T4589">
        <v>-0.2422028</v>
      </c>
      <c r="U4589">
        <v>-0.30709839999999999</v>
      </c>
      <c r="V4589">
        <v>-9.4813850000000005E-2</v>
      </c>
      <c r="W4589">
        <v>0.2205135</v>
      </c>
      <c r="X4589">
        <v>0.97076470000000004</v>
      </c>
      <c r="Y4589">
        <v>-6.0064010000000001E-2</v>
      </c>
      <c r="Z4589">
        <v>1.4594279999999999E-2</v>
      </c>
      <c r="AA4589">
        <v>0.99808779999999997</v>
      </c>
      <c r="AB4589">
        <v>29</v>
      </c>
      <c r="AC4589">
        <v>13.974399999999999</v>
      </c>
      <c r="AD4589">
        <v>-1.1124148877609901</v>
      </c>
      <c r="AE4589">
        <v>-1.3663399999999899</v>
      </c>
      <c r="AF4589">
        <v>-0.86256690545187098</v>
      </c>
      <c r="AG4589">
        <v>-1.1124148877609901</v>
      </c>
      <c r="AH4589">
        <v>13.926768945406501</v>
      </c>
      <c r="AI4589">
        <v>94.558165478956496</v>
      </c>
      <c r="AJ4589">
        <v>93.544138200044998</v>
      </c>
      <c r="AK4589">
        <v>13.997727737302</v>
      </c>
      <c r="AL4589">
        <v>77.260804721938996</v>
      </c>
      <c r="AM4589">
        <v>95.578342319675201</v>
      </c>
      <c r="AN4589">
        <v>0.99999998630008102</v>
      </c>
    </row>
    <row r="4590" spans="1:40" x14ac:dyDescent="0.25">
      <c r="A4590" t="str">
        <f>"20190312172758064"</f>
        <v>20190312172758064</v>
      </c>
      <c r="B4590" t="str">
        <f>"1552382878053664"</f>
        <v>1552382878053664</v>
      </c>
      <c r="C4590" t="s">
        <v>40</v>
      </c>
      <c r="D4590">
        <v>3.6748660000000002</v>
      </c>
      <c r="E4590">
        <v>0.51519680000000001</v>
      </c>
      <c r="F4590" t="s">
        <v>54</v>
      </c>
      <c r="G4590">
        <v>-378.04230000000001</v>
      </c>
      <c r="H4590" s="1">
        <v>-1.881865E-6</v>
      </c>
      <c r="I4590">
        <v>15.30972</v>
      </c>
      <c r="J4590">
        <v>-391.70690000000002</v>
      </c>
      <c r="K4590">
        <v>1.1123540000000001</v>
      </c>
      <c r="L4590">
        <v>16.640319999999999</v>
      </c>
      <c r="M4590">
        <v>0.98766129999999996</v>
      </c>
      <c r="N4590">
        <v>0</v>
      </c>
      <c r="O4590">
        <v>-0.15595690000000001</v>
      </c>
      <c r="P4590">
        <v>0.976491</v>
      </c>
      <c r="Q4590">
        <v>0.20692440000000001</v>
      </c>
      <c r="R4590">
        <v>-6.0397939999999997E-2</v>
      </c>
      <c r="S4590">
        <v>3.105804</v>
      </c>
      <c r="T4590">
        <v>-0.24759999999999999</v>
      </c>
      <c r="U4590">
        <v>-0.3058167</v>
      </c>
      <c r="V4590">
        <v>-9.3754030000000002E-2</v>
      </c>
      <c r="W4590">
        <v>0.2203098</v>
      </c>
      <c r="X4590">
        <v>0.9709139</v>
      </c>
      <c r="Y4590">
        <v>-5.7763000000000002E-2</v>
      </c>
      <c r="Z4590">
        <v>1.461645E-2</v>
      </c>
      <c r="AA4590">
        <v>0.99822330000000004</v>
      </c>
      <c r="AB4590">
        <v>28</v>
      </c>
      <c r="AC4590">
        <v>13.6646</v>
      </c>
      <c r="AD4590">
        <v>-1.1123558818649999</v>
      </c>
      <c r="AE4590">
        <v>-1.3306</v>
      </c>
      <c r="AF4590">
        <v>-0.81166122650686401</v>
      </c>
      <c r="AG4590">
        <v>-1.1123558818649999</v>
      </c>
      <c r="AH4590">
        <v>13.6155234904748</v>
      </c>
      <c r="AI4590">
        <v>94.662315809712197</v>
      </c>
      <c r="AJ4590">
        <v>93.411531834047295</v>
      </c>
      <c r="AK4590">
        <v>13.6849775109134</v>
      </c>
      <c r="AL4590">
        <v>77.272770492717996</v>
      </c>
      <c r="AM4590">
        <v>95.515532451457204</v>
      </c>
      <c r="AN4590">
        <v>1.0000000136652401</v>
      </c>
    </row>
    <row r="4591" spans="1:40" x14ac:dyDescent="0.25">
      <c r="A4591" t="str">
        <f>"20190312172758086"</f>
        <v>20190312172758086</v>
      </c>
      <c r="B4591" t="str">
        <f>"1552382878083917"</f>
        <v>1552382878083917</v>
      </c>
      <c r="C4591" t="s">
        <v>40</v>
      </c>
      <c r="D4591">
        <v>3.6727910000000001</v>
      </c>
      <c r="E4591">
        <v>0.51878760000000002</v>
      </c>
      <c r="F4591" t="s">
        <v>54</v>
      </c>
      <c r="G4591">
        <v>-377.85539999999997</v>
      </c>
      <c r="H4591" s="1">
        <v>-1.960413E-6</v>
      </c>
      <c r="I4591">
        <v>15.28424</v>
      </c>
      <c r="J4591">
        <v>-391.4325</v>
      </c>
      <c r="K4591">
        <v>1.112298</v>
      </c>
      <c r="L4591">
        <v>16.59985</v>
      </c>
      <c r="M4591">
        <v>0.98805109999999996</v>
      </c>
      <c r="N4591">
        <v>0</v>
      </c>
      <c r="O4591">
        <v>-0.15346850000000001</v>
      </c>
      <c r="P4591">
        <v>0.9765412</v>
      </c>
      <c r="Q4591">
        <v>0.20726720000000001</v>
      </c>
      <c r="R4591">
        <v>-5.8376339999999999E-2</v>
      </c>
      <c r="S4591">
        <v>3.1062620000000001</v>
      </c>
      <c r="T4591">
        <v>-0.24945149999999999</v>
      </c>
      <c r="U4591">
        <v>-0.30410769999999998</v>
      </c>
      <c r="V4591">
        <v>-9.3277990000000005E-2</v>
      </c>
      <c r="W4591">
        <v>0.22065679999999999</v>
      </c>
      <c r="X4591">
        <v>0.97088090000000005</v>
      </c>
      <c r="Y4591">
        <v>-5.5810600000000002E-2</v>
      </c>
      <c r="Z4591">
        <v>1.4449210000000001E-2</v>
      </c>
      <c r="AA4591">
        <v>0.99833680000000002</v>
      </c>
      <c r="AB4591">
        <v>28</v>
      </c>
      <c r="AC4591">
        <v>13.5771</v>
      </c>
      <c r="AD4591">
        <v>-1.1122999604129999</v>
      </c>
      <c r="AE4591">
        <v>-1.3156099999999999</v>
      </c>
      <c r="AF4591">
        <v>-0.77866906391521995</v>
      </c>
      <c r="AG4591">
        <v>-1.1122999604129999</v>
      </c>
      <c r="AH4591">
        <v>13.528199756804201</v>
      </c>
      <c r="AI4591">
        <v>94.692602188604198</v>
      </c>
      <c r="AJ4591">
        <v>93.294250512673599</v>
      </c>
      <c r="AK4591">
        <v>13.596165833536601</v>
      </c>
      <c r="AL4591">
        <v>77.252386602188295</v>
      </c>
      <c r="AM4591">
        <v>95.487883881490404</v>
      </c>
      <c r="AN4591">
        <v>0.99999996439474403</v>
      </c>
    </row>
    <row r="4592" spans="1:40" x14ac:dyDescent="0.25">
      <c r="A4592" t="str">
        <f>"20190312172758109"</f>
        <v>20190312172758109</v>
      </c>
      <c r="B4592" t="str">
        <f>"1552382878104412"</f>
        <v>1552382878104412</v>
      </c>
      <c r="C4592" t="s">
        <v>40</v>
      </c>
      <c r="D4592">
        <v>3.6838030000000002</v>
      </c>
      <c r="E4592">
        <v>0.51924840000000005</v>
      </c>
      <c r="F4592" t="s">
        <v>54</v>
      </c>
      <c r="G4592">
        <v>-377.709</v>
      </c>
      <c r="H4592" s="1">
        <v>-2.0514380000000002E-6</v>
      </c>
      <c r="I4592">
        <v>15.153420000000001</v>
      </c>
      <c r="J4592">
        <v>-391.1617</v>
      </c>
      <c r="K4592">
        <v>1.1122559999999999</v>
      </c>
      <c r="L4592">
        <v>16.56052</v>
      </c>
      <c r="M4592">
        <v>0.9884233</v>
      </c>
      <c r="N4592">
        <v>0</v>
      </c>
      <c r="O4592">
        <v>-0.15105389999999999</v>
      </c>
      <c r="P4592">
        <v>0.97648469999999998</v>
      </c>
      <c r="Q4592">
        <v>0.20806849999999999</v>
      </c>
      <c r="R4592">
        <v>-5.644366E-2</v>
      </c>
      <c r="S4592">
        <v>3.1059570000000001</v>
      </c>
      <c r="T4592">
        <v>-0.25174059999999998</v>
      </c>
      <c r="U4592">
        <v>-0.32736209999999999</v>
      </c>
      <c r="V4592">
        <v>-9.277871E-2</v>
      </c>
      <c r="W4592">
        <v>0.2214603</v>
      </c>
      <c r="X4592">
        <v>0.97074579999999999</v>
      </c>
      <c r="Y4592">
        <v>-4.5988639999999997E-2</v>
      </c>
      <c r="Z4592">
        <v>1.39869E-2</v>
      </c>
      <c r="AA4592">
        <v>0.99884399999999995</v>
      </c>
      <c r="AB4592">
        <v>28</v>
      </c>
      <c r="AC4592">
        <v>13.452699999999901</v>
      </c>
      <c r="AD4592">
        <v>-1.1122580514379901</v>
      </c>
      <c r="AE4592">
        <v>-1.40709999999999</v>
      </c>
      <c r="AF4592">
        <v>-0.63702967485887296</v>
      </c>
      <c r="AG4592">
        <v>-1.1122580514379901</v>
      </c>
      <c r="AH4592">
        <v>13.420130262799701</v>
      </c>
      <c r="AI4592">
        <v>94.732531326782194</v>
      </c>
      <c r="AJ4592">
        <v>92.717688608767403</v>
      </c>
      <c r="AK4592">
        <v>13.481202507571499</v>
      </c>
      <c r="AL4592">
        <v>77.205181828389598</v>
      </c>
      <c r="AM4592">
        <v>95.459442424324806</v>
      </c>
      <c r="AN4592">
        <v>0.999999980861496</v>
      </c>
    </row>
    <row r="4593" spans="1:40" x14ac:dyDescent="0.25">
      <c r="A4593" t="str">
        <f>"20190312172758130"</f>
        <v>20190312172758130</v>
      </c>
      <c r="B4593" t="str">
        <f>"1552382878123933"</f>
        <v>1552382878123933</v>
      </c>
      <c r="C4593" t="s">
        <v>40</v>
      </c>
      <c r="D4593">
        <v>3.6970550000000002</v>
      </c>
      <c r="E4593">
        <v>0.5196096</v>
      </c>
      <c r="F4593" t="s">
        <v>54</v>
      </c>
      <c r="G4593">
        <v>-377.23520000000002</v>
      </c>
      <c r="H4593" s="1">
        <v>-2.248609E-6</v>
      </c>
      <c r="I4593">
        <v>15.09625</v>
      </c>
      <c r="J4593">
        <v>-390.88380000000001</v>
      </c>
      <c r="K4593">
        <v>1.112214</v>
      </c>
      <c r="L4593">
        <v>16.520869999999999</v>
      </c>
      <c r="M4593">
        <v>0.98879349999999999</v>
      </c>
      <c r="N4593">
        <v>0</v>
      </c>
      <c r="O4593">
        <v>-0.14861179999999999</v>
      </c>
      <c r="P4593">
        <v>0.97641929999999999</v>
      </c>
      <c r="Q4593">
        <v>0.2088943</v>
      </c>
      <c r="R4593">
        <v>-5.4485369999999998E-2</v>
      </c>
      <c r="S4593">
        <v>3.1062620000000001</v>
      </c>
      <c r="T4593">
        <v>-0.24808559999999999</v>
      </c>
      <c r="U4593">
        <v>-0.32659909999999998</v>
      </c>
      <c r="V4593">
        <v>-9.2282740000000002E-2</v>
      </c>
      <c r="W4593">
        <v>0.22228700000000001</v>
      </c>
      <c r="X4593">
        <v>0.97060409999999997</v>
      </c>
      <c r="Y4593">
        <v>-4.380651E-2</v>
      </c>
      <c r="Z4593">
        <v>1.3504800000000001E-2</v>
      </c>
      <c r="AA4593">
        <v>0.99894879999999997</v>
      </c>
      <c r="AB4593">
        <v>28</v>
      </c>
      <c r="AC4593">
        <v>13.648599999999901</v>
      </c>
      <c r="AD4593">
        <v>-1.1122162486089999</v>
      </c>
      <c r="AE4593">
        <v>-1.42462</v>
      </c>
      <c r="AF4593">
        <v>-0.61570605394778799</v>
      </c>
      <c r="AG4593">
        <v>-1.1122162486089999</v>
      </c>
      <c r="AH4593">
        <v>13.6192821506397</v>
      </c>
      <c r="AI4593">
        <v>94.663946685955196</v>
      </c>
      <c r="AJ4593">
        <v>92.588488443164593</v>
      </c>
      <c r="AK4593">
        <v>13.6784854873363</v>
      </c>
      <c r="AL4593">
        <v>77.156604454109399</v>
      </c>
      <c r="AM4593">
        <v>95.431220701185197</v>
      </c>
      <c r="AN4593">
        <v>0.99999996670385805</v>
      </c>
    </row>
    <row r="4594" spans="1:40" x14ac:dyDescent="0.25">
      <c r="A4594" t="str">
        <f>"20190312172758155"</f>
        <v>20190312172758155</v>
      </c>
      <c r="B4594" t="str">
        <f>"1552382878144432"</f>
        <v>1552382878144432</v>
      </c>
      <c r="C4594" t="s">
        <v>40</v>
      </c>
      <c r="D4594">
        <v>3.9313720000000001</v>
      </c>
      <c r="E4594">
        <v>0.51728399999999997</v>
      </c>
      <c r="F4594" t="s">
        <v>54</v>
      </c>
      <c r="G4594">
        <v>-376.8553</v>
      </c>
      <c r="H4594" s="1">
        <v>-2.4051079999999999E-6</v>
      </c>
      <c r="I4594">
        <v>15.056469999999999</v>
      </c>
      <c r="J4594">
        <v>-390.58159999999998</v>
      </c>
      <c r="K4594">
        <v>1.112177</v>
      </c>
      <c r="L4594">
        <v>16.47852</v>
      </c>
      <c r="M4594">
        <v>0.98918539999999999</v>
      </c>
      <c r="N4594">
        <v>0</v>
      </c>
      <c r="O4594">
        <v>-0.14598079999999999</v>
      </c>
      <c r="P4594">
        <v>0.97646089999999997</v>
      </c>
      <c r="Q4594">
        <v>0.20928359999999999</v>
      </c>
      <c r="R4594">
        <v>-5.219932E-2</v>
      </c>
      <c r="S4594">
        <v>3.1070859999999998</v>
      </c>
      <c r="T4594">
        <v>-0.24633730000000001</v>
      </c>
      <c r="U4594">
        <v>-0.32434079999999998</v>
      </c>
      <c r="V4594">
        <v>-9.1945310000000002E-2</v>
      </c>
      <c r="W4594">
        <v>0.2226747</v>
      </c>
      <c r="X4594">
        <v>0.9705473</v>
      </c>
      <c r="Y4594">
        <v>-4.1917040000000003E-2</v>
      </c>
      <c r="Z4594">
        <v>1.312728E-2</v>
      </c>
      <c r="AA4594">
        <v>0.99903489999999995</v>
      </c>
      <c r="AB4594">
        <v>28</v>
      </c>
      <c r="AC4594">
        <v>13.726299999999901</v>
      </c>
      <c r="AD4594">
        <v>-1.1121794051080001</v>
      </c>
      <c r="AE4594">
        <v>-1.42204999999999</v>
      </c>
      <c r="AF4594">
        <v>-0.59331162951097605</v>
      </c>
      <c r="AG4594">
        <v>-1.1121794051080001</v>
      </c>
      <c r="AH4594">
        <v>13.6978658709151</v>
      </c>
      <c r="AI4594">
        <v>94.637540376924505</v>
      </c>
      <c r="AJ4594">
        <v>92.480168623469794</v>
      </c>
      <c r="AK4594">
        <v>13.7557439324975</v>
      </c>
      <c r="AL4594">
        <v>77.133820419869707</v>
      </c>
      <c r="AM4594">
        <v>95.411794475863104</v>
      </c>
      <c r="AN4594">
        <v>1.0000000117941801</v>
      </c>
    </row>
    <row r="4595" spans="1:40" x14ac:dyDescent="0.25">
      <c r="A4595" t="str">
        <f>"20190312172758178"</f>
        <v>20190312172758178</v>
      </c>
      <c r="B4595" t="str">
        <f>"1552382878173708"</f>
        <v>1552382878173708</v>
      </c>
      <c r="C4595" t="s">
        <v>40</v>
      </c>
      <c r="D4595">
        <v>3.680164</v>
      </c>
      <c r="E4595">
        <v>0.49189630000000001</v>
      </c>
      <c r="F4595" t="s">
        <v>54</v>
      </c>
      <c r="G4595">
        <v>-376.30200000000002</v>
      </c>
      <c r="H4595" s="1">
        <v>-2.6050090000000001E-6</v>
      </c>
      <c r="I4595">
        <v>15.10371</v>
      </c>
      <c r="J4595">
        <v>-390.29590000000002</v>
      </c>
      <c r="K4595">
        <v>1.112158</v>
      </c>
      <c r="L4595">
        <v>16.43918</v>
      </c>
      <c r="M4595">
        <v>0.98954750000000002</v>
      </c>
      <c r="N4595">
        <v>0</v>
      </c>
      <c r="O4595">
        <v>-0.14350729999999901</v>
      </c>
      <c r="P4595">
        <v>0.97667490000000001</v>
      </c>
      <c r="Q4595">
        <v>0.20881949999999999</v>
      </c>
      <c r="R4595">
        <v>-5.0010689999999997E-2</v>
      </c>
      <c r="S4595">
        <v>3.1082459999999998</v>
      </c>
      <c r="T4595">
        <v>-0.24208840000000001</v>
      </c>
      <c r="U4595">
        <v>-0.2992554</v>
      </c>
      <c r="V4595">
        <v>-9.1696120000000006E-2</v>
      </c>
      <c r="W4595">
        <v>0.22220980000000001</v>
      </c>
      <c r="X4595">
        <v>0.97067740000000002</v>
      </c>
      <c r="Y4595">
        <v>-4.7449690000000003E-2</v>
      </c>
      <c r="Z4595">
        <v>1.2928469999999999E-2</v>
      </c>
      <c r="AA4595">
        <v>0.99878999999999996</v>
      </c>
      <c r="AB4595">
        <v>28</v>
      </c>
      <c r="AC4595">
        <v>13.9939</v>
      </c>
      <c r="AD4595">
        <v>-1.112160605009</v>
      </c>
      <c r="AE4595">
        <v>-1.3354699999999899</v>
      </c>
      <c r="AF4595">
        <v>-0.682512970472134</v>
      </c>
      <c r="AG4595">
        <v>-1.112160605009</v>
      </c>
      <c r="AH4595">
        <v>13.9533553214906</v>
      </c>
      <c r="AI4595">
        <v>94.551741434140993</v>
      </c>
      <c r="AJ4595">
        <v>92.800327894996698</v>
      </c>
      <c r="AK4595">
        <v>14.0142373996578</v>
      </c>
      <c r="AL4595">
        <v>77.161141510650793</v>
      </c>
      <c r="AM4595">
        <v>95.396495050510794</v>
      </c>
      <c r="AN4595">
        <v>0.99999999425492703</v>
      </c>
    </row>
    <row r="4596" spans="1:40" x14ac:dyDescent="0.25">
      <c r="A4596" t="str">
        <f>"20190312172758199"</f>
        <v>20190312172758199</v>
      </c>
      <c r="B4596" t="str">
        <f>"1552382878194205"</f>
        <v>1552382878194205</v>
      </c>
      <c r="C4596" t="s">
        <v>40</v>
      </c>
      <c r="D4596">
        <v>3.7554810000000001</v>
      </c>
      <c r="E4596">
        <v>0.4907088</v>
      </c>
      <c r="F4596" t="s">
        <v>54</v>
      </c>
      <c r="G4596">
        <v>-371.04430000000002</v>
      </c>
      <c r="H4596" s="1">
        <v>-4.8774180000000002E-6</v>
      </c>
      <c r="I4596">
        <v>15.87557</v>
      </c>
      <c r="J4596">
        <v>-390.03359999999998</v>
      </c>
      <c r="K4596">
        <v>1.1121540000000001</v>
      </c>
      <c r="L4596">
        <v>16.40372</v>
      </c>
      <c r="M4596">
        <v>0.98987360000000002</v>
      </c>
      <c r="N4596">
        <v>0</v>
      </c>
      <c r="O4596">
        <v>-0.1412397</v>
      </c>
      <c r="P4596">
        <v>0.97685250000000001</v>
      </c>
      <c r="Q4596">
        <v>0.20856450000000001</v>
      </c>
      <c r="R4596">
        <v>-4.7537099999999999E-2</v>
      </c>
      <c r="S4596">
        <v>3.1053470000000001</v>
      </c>
      <c r="T4596">
        <v>-0.179396</v>
      </c>
      <c r="U4596">
        <v>-9.0911870000000006E-2</v>
      </c>
      <c r="V4596">
        <v>-9.1931730000000003E-2</v>
      </c>
      <c r="W4596">
        <v>0.22195090000000001</v>
      </c>
      <c r="X4596">
        <v>0.97071430000000003</v>
      </c>
      <c r="Y4596">
        <v>-0.1118036</v>
      </c>
      <c r="Z4596">
        <v>1.135302E-2</v>
      </c>
      <c r="AA4596">
        <v>0.99366549999999998</v>
      </c>
      <c r="AB4596">
        <v>28</v>
      </c>
      <c r="AC4596">
        <v>18.989299999999901</v>
      </c>
      <c r="AD4596">
        <v>-1.112158877418</v>
      </c>
      <c r="AE4596">
        <v>-0.52814999999999801</v>
      </c>
      <c r="AF4596">
        <v>-2.1520826759756599</v>
      </c>
      <c r="AG4596">
        <v>-1.112158877418</v>
      </c>
      <c r="AH4596">
        <v>18.8090367356942</v>
      </c>
      <c r="AI4596">
        <v>93.362015866375799</v>
      </c>
      <c r="AJ4596">
        <v>96.527254199181101</v>
      </c>
      <c r="AK4596">
        <v>18.964393481932099</v>
      </c>
      <c r="AL4596">
        <v>77.176354705956498</v>
      </c>
      <c r="AM4596">
        <v>95.410074541999805</v>
      </c>
      <c r="AN4596">
        <v>0.99999994860804498</v>
      </c>
    </row>
    <row r="4597" spans="1:40" x14ac:dyDescent="0.25">
      <c r="A4597" t="str">
        <f>"20190312172758221"</f>
        <v>20190312172758221</v>
      </c>
      <c r="B4597" t="str">
        <f>"1552382878213725"</f>
        <v>1552382878213725</v>
      </c>
      <c r="C4597" t="s">
        <v>40</v>
      </c>
      <c r="D4597">
        <v>3.7545809999999999</v>
      </c>
      <c r="E4597">
        <v>0.49070449999999999</v>
      </c>
      <c r="F4597" t="s">
        <v>54</v>
      </c>
      <c r="G4597">
        <v>-371.79969999999997</v>
      </c>
      <c r="H4597" s="1">
        <v>-4.5051670000000002E-6</v>
      </c>
      <c r="I4597">
        <v>15.96129</v>
      </c>
      <c r="J4597">
        <v>-389.75970000000001</v>
      </c>
      <c r="K4597">
        <v>1.1121589999999999</v>
      </c>
      <c r="L4597">
        <v>16.367339999999999</v>
      </c>
      <c r="M4597">
        <v>0.99020889999999995</v>
      </c>
      <c r="N4597">
        <v>0</v>
      </c>
      <c r="O4597">
        <v>-0.1388712</v>
      </c>
      <c r="P4597">
        <v>0.97694400000000003</v>
      </c>
      <c r="Q4597">
        <v>0.2086568</v>
      </c>
      <c r="R4597">
        <v>-4.520275E-2</v>
      </c>
      <c r="S4597">
        <v>3.1078800000000002</v>
      </c>
      <c r="T4597">
        <v>-0.18956139999999999</v>
      </c>
      <c r="U4597">
        <v>-7.5408939999999994E-2</v>
      </c>
      <c r="V4597">
        <v>-9.1922429999999999E-2</v>
      </c>
      <c r="W4597">
        <v>0.22203880000000001</v>
      </c>
      <c r="X4597">
        <v>0.97069510000000003</v>
      </c>
      <c r="Y4597">
        <v>-0.1143541</v>
      </c>
      <c r="Z4597">
        <v>1.192154E-2</v>
      </c>
      <c r="AA4597">
        <v>0.99336849999999999</v>
      </c>
      <c r="AB4597">
        <v>28</v>
      </c>
      <c r="AC4597">
        <v>17.96</v>
      </c>
      <c r="AD4597">
        <v>-1.112163505167</v>
      </c>
      <c r="AE4597">
        <v>-0.40604999999999802</v>
      </c>
      <c r="AF4597">
        <v>-2.0842744816703398</v>
      </c>
      <c r="AG4597">
        <v>-1.112163505167</v>
      </c>
      <c r="AH4597">
        <v>17.774211961422001</v>
      </c>
      <c r="AI4597">
        <v>93.556125992914204</v>
      </c>
      <c r="AJ4597">
        <v>96.688185562313905</v>
      </c>
      <c r="AK4597">
        <v>17.930524772764599</v>
      </c>
      <c r="AL4597">
        <v>77.171189796844203</v>
      </c>
      <c r="AM4597">
        <v>95.409636858490003</v>
      </c>
      <c r="AN4597">
        <v>0.99999996950327696</v>
      </c>
    </row>
    <row r="4598" spans="1:40" x14ac:dyDescent="0.25">
      <c r="A4598" t="str">
        <f>"20190312172758243"</f>
        <v>20190312172758243</v>
      </c>
      <c r="B4598" t="str">
        <f>"1552382878234220"</f>
        <v>1552382878234220</v>
      </c>
      <c r="C4598" t="s">
        <v>40</v>
      </c>
      <c r="D4598">
        <v>3.738159</v>
      </c>
      <c r="E4598">
        <v>0.49162470000000003</v>
      </c>
      <c r="F4598" t="s">
        <v>54</v>
      </c>
      <c r="G4598">
        <v>-372.07409999999999</v>
      </c>
      <c r="H4598" s="1">
        <v>-4.3725699999999999E-6</v>
      </c>
      <c r="I4598">
        <v>15.9774799999999</v>
      </c>
      <c r="J4598">
        <v>-389.48110000000003</v>
      </c>
      <c r="K4598">
        <v>1.1121639999999999</v>
      </c>
      <c r="L4598">
        <v>16.33099</v>
      </c>
      <c r="M4598">
        <v>0.9905446</v>
      </c>
      <c r="N4598">
        <v>0</v>
      </c>
      <c r="O4598">
        <v>-0.13645699999999999</v>
      </c>
      <c r="P4598">
        <v>0.97670159999999995</v>
      </c>
      <c r="Q4598">
        <v>0.21020759999999999</v>
      </c>
      <c r="R4598">
        <v>-4.3208169999999997E-2</v>
      </c>
      <c r="S4598">
        <v>3.1094059999999999</v>
      </c>
      <c r="T4598">
        <v>-0.1955354</v>
      </c>
      <c r="U4598">
        <v>-6.8542480000000003E-2</v>
      </c>
      <c r="V4598">
        <v>-9.1494930000000002E-2</v>
      </c>
      <c r="W4598">
        <v>0.223583</v>
      </c>
      <c r="X4598">
        <v>0.97038100000000005</v>
      </c>
      <c r="Y4598">
        <v>-0.1141124</v>
      </c>
      <c r="Z4598">
        <v>1.2133110000000001E-2</v>
      </c>
      <c r="AA4598">
        <v>0.99339379999999999</v>
      </c>
      <c r="AB4598">
        <v>28</v>
      </c>
      <c r="AC4598">
        <v>17.407</v>
      </c>
      <c r="AD4598">
        <v>-1.11216837257</v>
      </c>
      <c r="AE4598">
        <v>-0.35351000000000099</v>
      </c>
      <c r="AF4598">
        <v>-2.0171121751017198</v>
      </c>
      <c r="AG4598">
        <v>-1.11216837257</v>
      </c>
      <c r="AH4598">
        <v>17.2221107770252</v>
      </c>
      <c r="AI4598">
        <v>93.669895968600699</v>
      </c>
      <c r="AJ4598">
        <v>96.680241193546493</v>
      </c>
      <c r="AK4598">
        <v>17.375464299753698</v>
      </c>
      <c r="AL4598">
        <v>77.0804323186358</v>
      </c>
      <c r="AM4598">
        <v>95.386359376383098</v>
      </c>
      <c r="AN4598">
        <v>0.99999998263285195</v>
      </c>
    </row>
    <row r="4599" spans="1:40" x14ac:dyDescent="0.25">
      <c r="A4599" t="str">
        <f>"20190312172758264"</f>
        <v>20190312172758264</v>
      </c>
      <c r="B4599" t="str">
        <f>"1552382878253744"</f>
        <v>1552382878253744</v>
      </c>
      <c r="C4599" t="s">
        <v>40</v>
      </c>
      <c r="D4599">
        <v>3.7097600000000002</v>
      </c>
      <c r="E4599">
        <v>0.49221789999999999</v>
      </c>
      <c r="F4599" t="s">
        <v>54</v>
      </c>
      <c r="G4599">
        <v>-371.01639999999998</v>
      </c>
      <c r="H4599" s="1">
        <v>-4.8825250000000003E-6</v>
      </c>
      <c r="I4599">
        <v>15.92135</v>
      </c>
      <c r="J4599">
        <v>-389.21429999999998</v>
      </c>
      <c r="K4599">
        <v>1.1121589999999999</v>
      </c>
      <c r="L4599">
        <v>16.296810000000001</v>
      </c>
      <c r="M4599">
        <v>0.99086110000000005</v>
      </c>
      <c r="N4599">
        <v>0</v>
      </c>
      <c r="O4599">
        <v>-0.1341397</v>
      </c>
      <c r="P4599">
        <v>0.9763849</v>
      </c>
      <c r="Q4599">
        <v>0.2118573</v>
      </c>
      <c r="R4599">
        <v>-4.2294329999999998E-2</v>
      </c>
      <c r="S4599">
        <v>3.1088260000000001</v>
      </c>
      <c r="T4599">
        <v>-0.18725049999999999</v>
      </c>
      <c r="U4599">
        <v>-6.8969730000000007E-2</v>
      </c>
      <c r="V4599">
        <v>-9.0085949999999998E-2</v>
      </c>
      <c r="W4599">
        <v>0.22523119999999999</v>
      </c>
      <c r="X4599">
        <v>0.97013159999999998</v>
      </c>
      <c r="Y4599">
        <v>-0.11169709999999999</v>
      </c>
      <c r="Z4599">
        <v>1.1411060000000001E-2</v>
      </c>
      <c r="AA4599">
        <v>0.99367680000000003</v>
      </c>
      <c r="AB4599">
        <v>28</v>
      </c>
      <c r="AC4599">
        <v>18.197900000000001</v>
      </c>
      <c r="AD4599">
        <v>-1.112163882525</v>
      </c>
      <c r="AE4599">
        <v>-0.37546000000000002</v>
      </c>
      <c r="AF4599">
        <v>-2.0615432561771398</v>
      </c>
      <c r="AG4599">
        <v>-1.112163882525</v>
      </c>
      <c r="AH4599">
        <v>18.0165074912411</v>
      </c>
      <c r="AI4599">
        <v>93.509558587538095</v>
      </c>
      <c r="AJ4599">
        <v>96.527692989955497</v>
      </c>
      <c r="AK4599">
        <v>18.168142758153099</v>
      </c>
      <c r="AL4599">
        <v>76.983525370156499</v>
      </c>
      <c r="AM4599">
        <v>95.305244366134204</v>
      </c>
      <c r="AN4599">
        <v>0.99999994657969904</v>
      </c>
    </row>
    <row r="4600" spans="1:40" x14ac:dyDescent="0.25">
      <c r="A4600" t="str">
        <f>"20190312172758288"</f>
        <v>20190312172758288</v>
      </c>
      <c r="B4600" t="str">
        <f>"1552382878283996"</f>
        <v>1552382878283996</v>
      </c>
      <c r="C4600" t="s">
        <v>40</v>
      </c>
      <c r="D4600">
        <v>3.7288269999999999</v>
      </c>
      <c r="E4600">
        <v>0.4925621</v>
      </c>
      <c r="F4600" t="s">
        <v>54</v>
      </c>
      <c r="G4600">
        <v>-370.10230000000001</v>
      </c>
      <c r="H4600" s="1">
        <v>-5.3239659999999997E-6</v>
      </c>
      <c r="I4600">
        <v>15.86867</v>
      </c>
      <c r="J4600">
        <v>-388.91829999999999</v>
      </c>
      <c r="K4600">
        <v>1.11216</v>
      </c>
      <c r="L4600">
        <v>16.259640000000001</v>
      </c>
      <c r="M4600">
        <v>0.99120629999999998</v>
      </c>
      <c r="N4600">
        <v>0</v>
      </c>
      <c r="O4600">
        <v>-0.13156509999999999</v>
      </c>
      <c r="P4600">
        <v>0.97655979999999998</v>
      </c>
      <c r="Q4600">
        <v>0.21140890000000001</v>
      </c>
      <c r="R4600">
        <v>-4.0466500000000002E-2</v>
      </c>
      <c r="S4600">
        <v>3.108765</v>
      </c>
      <c r="T4600">
        <v>-0.18090519999999999</v>
      </c>
      <c r="U4600">
        <v>-6.9641110000000006E-2</v>
      </c>
      <c r="V4600">
        <v>-8.9387620000000001E-2</v>
      </c>
      <c r="W4600">
        <v>0.2247837</v>
      </c>
      <c r="X4600">
        <v>0.97030000000000005</v>
      </c>
      <c r="Y4600">
        <v>-0.1089387</v>
      </c>
      <c r="Z4600">
        <v>1.0796460000000001E-2</v>
      </c>
      <c r="AA4600">
        <v>0.99398980000000003</v>
      </c>
      <c r="AB4600">
        <v>28</v>
      </c>
      <c r="AC4600">
        <v>18.815999999999899</v>
      </c>
      <c r="AD4600">
        <v>-1.1121653239659901</v>
      </c>
      <c r="AE4600">
        <v>-0.39096999999999899</v>
      </c>
      <c r="AF4600">
        <v>-2.0809395361201699</v>
      </c>
      <c r="AG4600">
        <v>-1.1121653239659901</v>
      </c>
      <c r="AH4600">
        <v>18.638762814401399</v>
      </c>
      <c r="AI4600">
        <v>93.393724859936597</v>
      </c>
      <c r="AJ4600">
        <v>96.370451631623396</v>
      </c>
      <c r="AK4600">
        <v>18.787514479364599</v>
      </c>
      <c r="AL4600">
        <v>77.009840383623697</v>
      </c>
      <c r="AM4600">
        <v>95.263442507253203</v>
      </c>
      <c r="AN4600">
        <v>0.99999997419747599</v>
      </c>
    </row>
    <row r="4601" spans="1:40" x14ac:dyDescent="0.25">
      <c r="A4601" t="str">
        <f>"20190312172758309"</f>
        <v>20190312172758309</v>
      </c>
      <c r="B4601" t="str">
        <f>"1552382878304492"</f>
        <v>1552382878304492</v>
      </c>
      <c r="C4601" t="s">
        <v>40</v>
      </c>
      <c r="D4601">
        <v>3.6953070000000001</v>
      </c>
      <c r="E4601">
        <v>0.49299300000000001</v>
      </c>
      <c r="F4601" t="s">
        <v>54</v>
      </c>
      <c r="G4601">
        <v>-370.23430000000002</v>
      </c>
      <c r="H4601" s="1">
        <v>-5.2628039999999999E-6</v>
      </c>
      <c r="I4601">
        <v>15.86171</v>
      </c>
      <c r="J4601">
        <v>-388.66140000000001</v>
      </c>
      <c r="K4601">
        <v>1.1121529999999999</v>
      </c>
      <c r="L4601">
        <v>16.22803</v>
      </c>
      <c r="M4601">
        <v>0.99150099999999997</v>
      </c>
      <c r="N4601">
        <v>0</v>
      </c>
      <c r="O4601">
        <v>-0.12932660000000001</v>
      </c>
      <c r="P4601">
        <v>0.97677559999999997</v>
      </c>
      <c r="Q4601">
        <v>0.21074470000000001</v>
      </c>
      <c r="R4601">
        <v>-3.8683339999999997E-2</v>
      </c>
      <c r="S4601">
        <v>3.1093440000000001</v>
      </c>
      <c r="T4601">
        <v>-0.1850832</v>
      </c>
      <c r="U4601">
        <v>-6.622314E-2</v>
      </c>
      <c r="V4601">
        <v>-8.8980069999999994E-2</v>
      </c>
      <c r="W4601">
        <v>0.22412070000000001</v>
      </c>
      <c r="X4601">
        <v>0.97049079999999999</v>
      </c>
      <c r="Y4601">
        <v>-0.1077776</v>
      </c>
      <c r="Z4601">
        <v>1.087688E-2</v>
      </c>
      <c r="AA4601">
        <v>0.99411550000000004</v>
      </c>
      <c r="AB4601">
        <v>28</v>
      </c>
      <c r="AC4601">
        <v>18.427099999999999</v>
      </c>
      <c r="AD4601">
        <v>-1.1121582628039901</v>
      </c>
      <c r="AE4601">
        <v>-0.36631999999999998</v>
      </c>
      <c r="AF4601">
        <v>-2.0127809772923202</v>
      </c>
      <c r="AG4601">
        <v>-1.1121582628039901</v>
      </c>
      <c r="AH4601">
        <v>18.2532345527882</v>
      </c>
      <c r="AI4601">
        <v>93.465730607657605</v>
      </c>
      <c r="AJ4601">
        <v>96.292573039589698</v>
      </c>
      <c r="AK4601">
        <v>18.397520346589499</v>
      </c>
      <c r="AL4601">
        <v>77.048822006544597</v>
      </c>
      <c r="AM4601">
        <v>95.238554091837102</v>
      </c>
      <c r="AN4601">
        <v>0.99999996695516602</v>
      </c>
    </row>
    <row r="4602" spans="1:40" x14ac:dyDescent="0.25">
      <c r="A4602" t="str">
        <f>"20190312172758331"</f>
        <v>20190312172758331</v>
      </c>
      <c r="B4602" t="str">
        <f>"1552382878324012"</f>
        <v>1552382878324012</v>
      </c>
      <c r="C4602" t="s">
        <v>40</v>
      </c>
      <c r="D4602">
        <v>3.6825519999999998</v>
      </c>
      <c r="E4602">
        <v>0.4932629</v>
      </c>
      <c r="F4602" t="s">
        <v>54</v>
      </c>
      <c r="G4602">
        <v>-370.37099999999998</v>
      </c>
      <c r="H4602" s="1">
        <v>-5.1999479999999996E-6</v>
      </c>
      <c r="I4602">
        <v>15.851610000000001</v>
      </c>
      <c r="J4602">
        <v>-388.38350000000003</v>
      </c>
      <c r="K4602">
        <v>1.1121479999999999</v>
      </c>
      <c r="L4602">
        <v>16.19455</v>
      </c>
      <c r="M4602">
        <v>0.99181419999999998</v>
      </c>
      <c r="N4602">
        <v>0</v>
      </c>
      <c r="O4602">
        <v>-0.12690299999999999</v>
      </c>
      <c r="P4602">
        <v>0.97701740000000004</v>
      </c>
      <c r="Q4602">
        <v>0.20997150000000001</v>
      </c>
      <c r="R4602">
        <v>-3.6735579999999997E-2</v>
      </c>
      <c r="S4602">
        <v>3.1095890000000002</v>
      </c>
      <c r="T4602">
        <v>-0.18908079999999999</v>
      </c>
      <c r="U4602">
        <v>-6.3995360000000001E-2</v>
      </c>
      <c r="V4602">
        <v>-8.8557919999999998E-2</v>
      </c>
      <c r="W4602">
        <v>0.22334870000000001</v>
      </c>
      <c r="X4602">
        <v>0.9707074</v>
      </c>
      <c r="Y4602">
        <v>-0.1060507</v>
      </c>
      <c r="Z4602">
        <v>1.091203E-2</v>
      </c>
      <c r="AA4602">
        <v>0.99430079999999998</v>
      </c>
      <c r="AB4602">
        <v>28</v>
      </c>
      <c r="AC4602">
        <v>18.012499999999999</v>
      </c>
      <c r="AD4602">
        <v>-1.1121531999480001</v>
      </c>
      <c r="AE4602">
        <v>-0.34293999999999802</v>
      </c>
      <c r="AF4602">
        <v>-1.9385149175462399</v>
      </c>
      <c r="AG4602">
        <v>-1.1121531999480001</v>
      </c>
      <c r="AH4602">
        <v>17.842371586431799</v>
      </c>
      <c r="AI4602">
        <v>93.545940793649805</v>
      </c>
      <c r="AJ4602">
        <v>96.200676279808903</v>
      </c>
      <c r="AK4602">
        <v>17.981794923032901</v>
      </c>
      <c r="AL4602">
        <v>77.094205257451193</v>
      </c>
      <c r="AM4602">
        <v>95.212681023744096</v>
      </c>
      <c r="AN4602">
        <v>1.0000000017005799</v>
      </c>
    </row>
    <row r="4603" spans="1:40" x14ac:dyDescent="0.25">
      <c r="A4603" t="str">
        <f>"20190312172758355"</f>
        <v>20190312172758355</v>
      </c>
      <c r="B4603" t="str">
        <f>"1552382878344512"</f>
        <v>1552382878344512</v>
      </c>
      <c r="C4603" t="s">
        <v>40</v>
      </c>
      <c r="D4603">
        <v>3.7826919999999999</v>
      </c>
      <c r="E4603">
        <v>0.49342829999999899</v>
      </c>
      <c r="F4603" t="s">
        <v>54</v>
      </c>
      <c r="G4603">
        <v>-370.39839999999998</v>
      </c>
      <c r="H4603" s="1">
        <v>-5.1874989999999996E-6</v>
      </c>
      <c r="I4603">
        <v>15.84896</v>
      </c>
      <c r="J4603">
        <v>-388.09500000000003</v>
      </c>
      <c r="K4603">
        <v>1.1121479999999999</v>
      </c>
      <c r="L4603">
        <v>16.160489999999999</v>
      </c>
      <c r="M4603">
        <v>0.99213359999999995</v>
      </c>
      <c r="N4603">
        <v>0</v>
      </c>
      <c r="O4603">
        <v>-0.1243807</v>
      </c>
      <c r="P4603">
        <v>0.97697750000000005</v>
      </c>
      <c r="Q4603">
        <v>0.21042050000000001</v>
      </c>
      <c r="R4603">
        <v>-3.5188919999999999E-2</v>
      </c>
      <c r="S4603">
        <v>3.1096499999999998</v>
      </c>
      <c r="T4603">
        <v>-0.19229289999999999</v>
      </c>
      <c r="U4603">
        <v>-5.9753420000000002E-2</v>
      </c>
      <c r="V4603">
        <v>-8.7612250000000003E-2</v>
      </c>
      <c r="W4603">
        <v>0.22379769999999999</v>
      </c>
      <c r="X4603">
        <v>0.97068980000000005</v>
      </c>
      <c r="Y4603">
        <v>-0.10487100000000001</v>
      </c>
      <c r="Z4603">
        <v>1.090592E-2</v>
      </c>
      <c r="AA4603">
        <v>0.99442600000000003</v>
      </c>
      <c r="AB4603">
        <v>28</v>
      </c>
      <c r="AC4603">
        <v>17.6966</v>
      </c>
      <c r="AD4603">
        <v>-1.1121531874989901</v>
      </c>
      <c r="AE4603">
        <v>-0.31152999999999897</v>
      </c>
      <c r="AF4603">
        <v>-1.88478391373004</v>
      </c>
      <c r="AG4603">
        <v>-1.1121531874989901</v>
      </c>
      <c r="AH4603">
        <v>17.5286935298444</v>
      </c>
      <c r="AI4603">
        <v>93.609660694107305</v>
      </c>
      <c r="AJ4603">
        <v>96.137185370123902</v>
      </c>
      <c r="AK4603">
        <v>17.664778288366001</v>
      </c>
      <c r="AL4603">
        <v>77.067811355455703</v>
      </c>
      <c r="AM4603">
        <v>95.157411949944205</v>
      </c>
      <c r="AN4603">
        <v>1.00000000234969</v>
      </c>
    </row>
    <row r="4604" spans="1:40" x14ac:dyDescent="0.25">
      <c r="A4604" t="str">
        <f>"20190312172758378"</f>
        <v>20190312172758378</v>
      </c>
      <c r="B4604" t="str">
        <f>"1552382878373788"</f>
        <v>1552382878373788</v>
      </c>
      <c r="C4604" t="s">
        <v>40</v>
      </c>
      <c r="D4604">
        <v>3.7613340000000002</v>
      </c>
      <c r="E4604">
        <v>0.49360110000000001</v>
      </c>
      <c r="F4604" t="s">
        <v>54</v>
      </c>
      <c r="G4604">
        <v>-370.11070000000001</v>
      </c>
      <c r="H4604" s="1">
        <v>-5.3246769999999996E-6</v>
      </c>
      <c r="I4604">
        <v>15.842320000000001</v>
      </c>
      <c r="J4604">
        <v>-387.80810000000002</v>
      </c>
      <c r="K4604">
        <v>1.1121509999999999</v>
      </c>
      <c r="L4604">
        <v>16.127410000000001</v>
      </c>
      <c r="M4604">
        <v>0.99244659999999996</v>
      </c>
      <c r="N4604">
        <v>0</v>
      </c>
      <c r="O4604">
        <v>-0.1218587</v>
      </c>
      <c r="P4604">
        <v>0.97713360000000005</v>
      </c>
      <c r="Q4604">
        <v>0.21004200000000001</v>
      </c>
      <c r="R4604">
        <v>-3.3054680000000003E-2</v>
      </c>
      <c r="S4604">
        <v>3.1101070000000002</v>
      </c>
      <c r="T4604">
        <v>-0.19232940000000001</v>
      </c>
      <c r="U4604">
        <v>-5.502319E-2</v>
      </c>
      <c r="V4604">
        <v>-8.7274260000000006E-2</v>
      </c>
      <c r="W4604">
        <v>0.22341800000000001</v>
      </c>
      <c r="X4604">
        <v>0.97080770000000005</v>
      </c>
      <c r="Y4604">
        <v>-0.1038647</v>
      </c>
      <c r="Z4604">
        <v>1.0720800000000001E-2</v>
      </c>
      <c r="AA4604">
        <v>0.99453369999999996</v>
      </c>
      <c r="AB4604">
        <v>28</v>
      </c>
      <c r="AC4604">
        <v>17.697399999999998</v>
      </c>
      <c r="AD4604">
        <v>-1.1121563246770001</v>
      </c>
      <c r="AE4604">
        <v>-0.28509000000000001</v>
      </c>
      <c r="AF4604">
        <v>-1.8664639510808301</v>
      </c>
      <c r="AG4604">
        <v>-1.1121563246770001</v>
      </c>
      <c r="AH4604">
        <v>17.531010974234501</v>
      </c>
      <c r="AI4604">
        <v>93.609598305219507</v>
      </c>
      <c r="AJ4604">
        <v>96.077183612795295</v>
      </c>
      <c r="AK4604">
        <v>17.665133035160899</v>
      </c>
      <c r="AL4604">
        <v>77.090131633612998</v>
      </c>
      <c r="AM4604">
        <v>95.137001798896605</v>
      </c>
      <c r="AN4604">
        <v>0.99999999478091794</v>
      </c>
    </row>
    <row r="4605" spans="1:40" x14ac:dyDescent="0.25">
      <c r="A4605" t="str">
        <f>"20190312172758399"</f>
        <v>20190312172758399</v>
      </c>
      <c r="B4605" t="str">
        <f>"1552382878394285"</f>
        <v>1552382878394285</v>
      </c>
      <c r="C4605" t="s">
        <v>40</v>
      </c>
      <c r="D4605">
        <v>3.7532920000000001</v>
      </c>
      <c r="E4605">
        <v>0.49379420000000002</v>
      </c>
      <c r="F4605" t="s">
        <v>54</v>
      </c>
      <c r="G4605">
        <v>-370.1053</v>
      </c>
      <c r="H4605" s="1">
        <v>-5.3267290000000003E-6</v>
      </c>
      <c r="I4605">
        <v>15.845000000000001</v>
      </c>
      <c r="J4605">
        <v>-387.54509999999999</v>
      </c>
      <c r="K4605">
        <v>1.1121509999999999</v>
      </c>
      <c r="L4605">
        <v>16.09769</v>
      </c>
      <c r="M4605">
        <v>0.99273009999999995</v>
      </c>
      <c r="N4605">
        <v>0</v>
      </c>
      <c r="O4605">
        <v>-0.11952690000000001</v>
      </c>
      <c r="P4605">
        <v>0.97729480000000002</v>
      </c>
      <c r="Q4605">
        <v>0.20964240000000001</v>
      </c>
      <c r="R4605">
        <v>-3.0739889999999999E-2</v>
      </c>
      <c r="S4605">
        <v>3.1105040000000002</v>
      </c>
      <c r="T4605">
        <v>-0.19541359999999999</v>
      </c>
      <c r="U4605">
        <v>-4.9621579999999998E-2</v>
      </c>
      <c r="V4605">
        <v>-8.7306629999999996E-2</v>
      </c>
      <c r="W4605">
        <v>0.22301360000000001</v>
      </c>
      <c r="X4605">
        <v>0.97089780000000003</v>
      </c>
      <c r="Y4605">
        <v>-0.1032491</v>
      </c>
      <c r="Z4605">
        <v>1.072657E-2</v>
      </c>
      <c r="AA4605">
        <v>0.99459770000000003</v>
      </c>
      <c r="AB4605">
        <v>28</v>
      </c>
      <c r="AC4605">
        <v>17.439799999999899</v>
      </c>
      <c r="AD4605">
        <v>-1.112156326729</v>
      </c>
      <c r="AE4605">
        <v>-0.25268999999999903</v>
      </c>
      <c r="AF4605">
        <v>-1.8264298079599</v>
      </c>
      <c r="AG4605">
        <v>-1.112156326729</v>
      </c>
      <c r="AH4605">
        <v>17.274717159105901</v>
      </c>
      <c r="AI4605">
        <v>93.663289677143993</v>
      </c>
      <c r="AJ4605">
        <v>96.035374218346902</v>
      </c>
      <c r="AK4605">
        <v>17.406567452131199</v>
      </c>
      <c r="AL4605">
        <v>77.113902196496198</v>
      </c>
      <c r="AM4605">
        <v>95.1384225715572</v>
      </c>
      <c r="AN4605">
        <v>1.0000000257358701</v>
      </c>
    </row>
    <row r="4606" spans="1:40" x14ac:dyDescent="0.25">
      <c r="A4606" t="str">
        <f>"20190312172758421"</f>
        <v>20190312172758421</v>
      </c>
      <c r="B4606" t="str">
        <f>"1552382878413804"</f>
        <v>1552382878413804</v>
      </c>
      <c r="C4606" t="s">
        <v>40</v>
      </c>
      <c r="D4606">
        <v>3.7292719999999999</v>
      </c>
      <c r="E4606">
        <v>0.4940272</v>
      </c>
      <c r="F4606" t="s">
        <v>54</v>
      </c>
      <c r="G4606">
        <v>-370.06330000000003</v>
      </c>
      <c r="H4606" s="1">
        <v>-5.3459729999999996E-6</v>
      </c>
      <c r="I4606">
        <v>15.84849</v>
      </c>
      <c r="J4606">
        <v>-387.27679999999998</v>
      </c>
      <c r="K4606">
        <v>1.1121730000000001</v>
      </c>
      <c r="L4606">
        <v>16.068049999999999</v>
      </c>
      <c r="M4606">
        <v>0.99301740000000005</v>
      </c>
      <c r="N4606">
        <v>0</v>
      </c>
      <c r="O4606">
        <v>-0.1171174</v>
      </c>
      <c r="P4606">
        <v>0.97725779999999995</v>
      </c>
      <c r="Q4606">
        <v>0.210151</v>
      </c>
      <c r="R4606">
        <v>-2.8349739999999998E-2</v>
      </c>
      <c r="S4606">
        <v>3.1107480000000001</v>
      </c>
      <c r="T4606">
        <v>-0.1978992</v>
      </c>
      <c r="U4606">
        <v>-4.4342039999999999E-2</v>
      </c>
      <c r="V4606">
        <v>-8.7323670000000006E-2</v>
      </c>
      <c r="W4606">
        <v>0.2235142</v>
      </c>
      <c r="X4606">
        <v>0.97078109999999995</v>
      </c>
      <c r="Y4606">
        <v>-0.10251929999999999</v>
      </c>
      <c r="Z4606">
        <v>1.068676E-2</v>
      </c>
      <c r="AA4606">
        <v>0.99467360000000005</v>
      </c>
      <c r="AB4606">
        <v>28</v>
      </c>
      <c r="AC4606">
        <v>17.2134999999999</v>
      </c>
      <c r="AD4606">
        <v>-1.1121783459729999</v>
      </c>
      <c r="AE4606">
        <v>-0.21955999999999901</v>
      </c>
      <c r="AF4606">
        <v>-1.7906791728879501</v>
      </c>
      <c r="AG4606">
        <v>-1.1121783459729999</v>
      </c>
      <c r="AH4606">
        <v>17.049568275180999</v>
      </c>
      <c r="AI4606">
        <v>93.7118746476322</v>
      </c>
      <c r="AJ4606">
        <v>95.995670146202599</v>
      </c>
      <c r="AK4606">
        <v>17.1793844751063</v>
      </c>
      <c r="AL4606">
        <v>77.084476616960004</v>
      </c>
      <c r="AM4606">
        <v>95.140034601748994</v>
      </c>
      <c r="AN4606">
        <v>0.999999982530559</v>
      </c>
    </row>
    <row r="4607" spans="1:40" x14ac:dyDescent="0.25">
      <c r="A4607" t="str">
        <f>"20190312172758454"</f>
        <v>20190312172758454</v>
      </c>
      <c r="B4607" t="str">
        <f>"1552382878444061"</f>
        <v>1552382878444061</v>
      </c>
      <c r="C4607" t="s">
        <v>40</v>
      </c>
      <c r="D4607">
        <v>3.7327940000000002</v>
      </c>
      <c r="E4607">
        <v>0.4944286</v>
      </c>
      <c r="F4607" t="s">
        <v>55</v>
      </c>
      <c r="G4607">
        <v>-369.72730000000001</v>
      </c>
      <c r="H4607" s="1">
        <v>-1.1055480000000001E-6</v>
      </c>
      <c r="I4607">
        <v>15.856490000000001</v>
      </c>
      <c r="J4607">
        <v>-386.86579999999998</v>
      </c>
      <c r="K4607">
        <v>1.11222</v>
      </c>
      <c r="L4607">
        <v>16.024079999999898</v>
      </c>
      <c r="M4607">
        <v>0.99345519999999998</v>
      </c>
      <c r="N4607">
        <v>0</v>
      </c>
      <c r="O4607">
        <v>-0.1133448</v>
      </c>
      <c r="P4607">
        <v>0.97689029999999999</v>
      </c>
      <c r="Q4607">
        <v>0.21220919999999999</v>
      </c>
      <c r="R4607">
        <v>-2.5546570000000001E-2</v>
      </c>
      <c r="S4607">
        <v>3.111084</v>
      </c>
      <c r="T4607">
        <v>-0.197161</v>
      </c>
      <c r="U4607">
        <v>-3.7506100000000001E-2</v>
      </c>
      <c r="V4607">
        <v>-8.6399100000000006E-2</v>
      </c>
      <c r="W4607">
        <v>0.22555919999999999</v>
      </c>
      <c r="X4607">
        <v>0.9703908</v>
      </c>
      <c r="Y4607">
        <v>-0.1009419</v>
      </c>
      <c r="Z4607">
        <v>1.035871E-2</v>
      </c>
      <c r="AA4607">
        <v>0.99483840000000001</v>
      </c>
      <c r="AB4607">
        <v>28</v>
      </c>
      <c r="AC4607">
        <v>17.138499999999901</v>
      </c>
      <c r="AD4607">
        <v>-1.112221105548</v>
      </c>
      <c r="AE4607">
        <v>-0.16758999999999799</v>
      </c>
      <c r="AF4607">
        <v>-1.7687955167539799</v>
      </c>
      <c r="AG4607">
        <v>-1.112221105548</v>
      </c>
      <c r="AH4607">
        <v>16.9755441751918</v>
      </c>
      <c r="AI4607">
        <v>93.728477900243703</v>
      </c>
      <c r="AJ4607">
        <v>95.948564803060904</v>
      </c>
      <c r="AK4607">
        <v>17.103647956257799</v>
      </c>
      <c r="AL4607">
        <v>76.964237106997203</v>
      </c>
      <c r="AM4607">
        <v>95.087934478812301</v>
      </c>
      <c r="AN4607">
        <v>1.0000000309550401</v>
      </c>
    </row>
    <row r="4608" spans="1:40" x14ac:dyDescent="0.25">
      <c r="A4608" t="str">
        <f>"20190312172758568"</f>
        <v>20190312172758568</v>
      </c>
      <c r="B4608" t="str">
        <f>"1552382878564109"</f>
        <v>1552382878564109</v>
      </c>
      <c r="C4608" t="s">
        <v>40</v>
      </c>
      <c r="D4608">
        <v>3.5214799999999999</v>
      </c>
      <c r="E4608">
        <v>0.49419449999999998</v>
      </c>
      <c r="F4608" t="s">
        <v>55</v>
      </c>
      <c r="G4608">
        <v>-368.99880000000002</v>
      </c>
      <c r="H4608" s="1">
        <v>-1.3844250000000001E-6</v>
      </c>
      <c r="I4608">
        <v>15.85975</v>
      </c>
      <c r="J4608">
        <v>-385.48070000000001</v>
      </c>
      <c r="K4608">
        <v>1.112409</v>
      </c>
      <c r="L4608">
        <v>15.888579999999999</v>
      </c>
      <c r="M4608">
        <v>0.99490509999999999</v>
      </c>
      <c r="N4608">
        <v>0</v>
      </c>
      <c r="O4608">
        <v>-9.9821240000000006E-2</v>
      </c>
      <c r="P4608">
        <v>0.97713329999999998</v>
      </c>
      <c r="Q4608">
        <v>0.21210129999999999</v>
      </c>
      <c r="R4608">
        <v>-1.4957079999999999E-2</v>
      </c>
      <c r="S4608">
        <v>3.1123050000000001</v>
      </c>
      <c r="T4608">
        <v>-0.193741</v>
      </c>
      <c r="U4608">
        <v>-2.862549E-2</v>
      </c>
      <c r="V4608">
        <v>-8.3792140000000001E-2</v>
      </c>
      <c r="W4608">
        <v>0.22542809999999999</v>
      </c>
      <c r="X4608">
        <v>0.97064980000000001</v>
      </c>
      <c r="Y4608">
        <v>-9.0308360000000004E-2</v>
      </c>
      <c r="Z4608">
        <v>9.0079329999999992E-3</v>
      </c>
      <c r="AA4608">
        <v>0.99587309999999996</v>
      </c>
      <c r="AB4608">
        <v>28</v>
      </c>
      <c r="AC4608">
        <v>16.4818999999999</v>
      </c>
      <c r="AD4608">
        <v>-1.112410384425</v>
      </c>
      <c r="AE4608">
        <v>-2.88299999999992E-2</v>
      </c>
      <c r="AF4608">
        <v>-1.6093906974435701</v>
      </c>
      <c r="AG4608">
        <v>-1.112410384425</v>
      </c>
      <c r="AH4608">
        <v>16.328062204634701</v>
      </c>
      <c r="AI4608">
        <v>93.878728859496107</v>
      </c>
      <c r="AJ4608">
        <v>95.629229219820203</v>
      </c>
      <c r="AK4608">
        <v>16.4448536216901</v>
      </c>
      <c r="AL4608">
        <v>76.971946650376694</v>
      </c>
      <c r="AM4608">
        <v>94.9338734310994</v>
      </c>
      <c r="AN4608">
        <v>0.999999992617714</v>
      </c>
    </row>
    <row r="4609" spans="1:40" x14ac:dyDescent="0.25">
      <c r="A4609" t="str">
        <f>"20190312172758590"</f>
        <v>20190312172758590</v>
      </c>
      <c r="B4609" t="str">
        <f>"1552382878584605"</f>
        <v>1552382878584605</v>
      </c>
      <c r="C4609" t="s">
        <v>40</v>
      </c>
      <c r="D4609">
        <v>3.975238</v>
      </c>
      <c r="E4609">
        <v>0.49387900000000001</v>
      </c>
      <c r="F4609" t="s">
        <v>55</v>
      </c>
      <c r="G4609">
        <v>-367.75099999999998</v>
      </c>
      <c r="H4609" s="1">
        <v>-1.843168E-6</v>
      </c>
      <c r="I4609">
        <v>15.93656</v>
      </c>
      <c r="J4609">
        <v>-385.21519999999998</v>
      </c>
      <c r="K4609">
        <v>1.11243799999999</v>
      </c>
      <c r="L4609">
        <v>15.86496</v>
      </c>
      <c r="M4609">
        <v>0.99517460000000002</v>
      </c>
      <c r="N4609">
        <v>0</v>
      </c>
      <c r="O4609">
        <v>-9.7096680000000005E-2</v>
      </c>
      <c r="P4609">
        <v>0.97703960000000001</v>
      </c>
      <c r="Q4609">
        <v>0.2127067</v>
      </c>
      <c r="R4609">
        <v>-1.222232E-2</v>
      </c>
      <c r="S4609">
        <v>3.1127009999999999</v>
      </c>
      <c r="T4609">
        <v>-0.19530030000000001</v>
      </c>
      <c r="U4609">
        <v>8.4228519999999998E-3</v>
      </c>
      <c r="V4609">
        <v>-8.3854750000000006E-2</v>
      </c>
      <c r="W4609">
        <v>0.2260247</v>
      </c>
      <c r="X4609">
        <v>0.97050570000000003</v>
      </c>
      <c r="Y4609">
        <v>-9.9413189999999999E-2</v>
      </c>
      <c r="Z4609">
        <v>9.195412E-3</v>
      </c>
      <c r="AA4609">
        <v>0.99500379999999999</v>
      </c>
      <c r="AB4609">
        <v>28</v>
      </c>
      <c r="AC4609">
        <v>17.464200000000002</v>
      </c>
      <c r="AD4609">
        <v>-1.1124398431679901</v>
      </c>
      <c r="AE4609">
        <v>7.1600000000000094E-2</v>
      </c>
      <c r="AF4609">
        <v>-1.7600057864668699</v>
      </c>
      <c r="AG4609">
        <v>-1.1124398431679901</v>
      </c>
      <c r="AH4609">
        <v>17.3045001468385</v>
      </c>
      <c r="AI4609">
        <v>93.659436927824899</v>
      </c>
      <c r="AJ4609">
        <v>95.807467900775706</v>
      </c>
      <c r="AK4609">
        <v>17.4293106032625</v>
      </c>
      <c r="AL4609">
        <v>76.936859133673593</v>
      </c>
      <c r="AM4609">
        <v>94.938271330926298</v>
      </c>
      <c r="AN4609">
        <v>1.00000004892007</v>
      </c>
    </row>
    <row r="4610" spans="1:40" x14ac:dyDescent="0.25">
      <c r="A4610" t="str">
        <f>"20190312172758611"</f>
        <v>20190312172758611</v>
      </c>
      <c r="B4610" t="str">
        <f>"1552382878604125"</f>
        <v>1552382878604125</v>
      </c>
      <c r="C4610" t="s">
        <v>40</v>
      </c>
      <c r="D4610">
        <v>3.710763</v>
      </c>
      <c r="E4610">
        <v>0.49351630000000002</v>
      </c>
      <c r="F4610" t="s">
        <v>55</v>
      </c>
      <c r="G4610">
        <v>-366.8116</v>
      </c>
      <c r="H4610" s="1">
        <v>-2.1931350000000001E-6</v>
      </c>
      <c r="I4610">
        <v>15.97705</v>
      </c>
      <c r="J4610">
        <v>-384.94749999999999</v>
      </c>
      <c r="K4610">
        <v>1.1124590000000001</v>
      </c>
      <c r="L4610">
        <v>15.841950000000001</v>
      </c>
      <c r="M4610">
        <v>0.99544259999999996</v>
      </c>
      <c r="N4610">
        <v>0</v>
      </c>
      <c r="O4610">
        <v>-9.4312049999999994E-2</v>
      </c>
      <c r="P4610">
        <v>0.97680529999999999</v>
      </c>
      <c r="Q4610">
        <v>0.21389839999999999</v>
      </c>
      <c r="R4610">
        <v>-9.951583E-3</v>
      </c>
      <c r="S4610">
        <v>3.111694</v>
      </c>
      <c r="T4610">
        <v>-0.1880925</v>
      </c>
      <c r="U4610">
        <v>1.895142E-2</v>
      </c>
      <c r="V4610">
        <v>-8.3388249999999997E-2</v>
      </c>
      <c r="W4610">
        <v>0.22720989999999999</v>
      </c>
      <c r="X4610">
        <v>0.9702691</v>
      </c>
      <c r="Y4610">
        <v>-0.1000284</v>
      </c>
      <c r="Z4610">
        <v>8.7106549999999994E-3</v>
      </c>
      <c r="AA4610">
        <v>0.99494649999999996</v>
      </c>
      <c r="AB4610">
        <v>28</v>
      </c>
      <c r="AC4610">
        <v>18.1358999999999</v>
      </c>
      <c r="AD4610">
        <v>-1.1124611931349999</v>
      </c>
      <c r="AE4610">
        <v>0.135099999999999</v>
      </c>
      <c r="AF4610">
        <v>-1.8381860162072701</v>
      </c>
      <c r="AG4610">
        <v>-1.1124611931349999</v>
      </c>
      <c r="AH4610">
        <v>17.974675301881199</v>
      </c>
      <c r="AI4610">
        <v>93.523217056653607</v>
      </c>
      <c r="AJ4610">
        <v>95.839072597256106</v>
      </c>
      <c r="AK4610">
        <v>18.102636546770501</v>
      </c>
      <c r="AL4610">
        <v>76.867138091696305</v>
      </c>
      <c r="AM4610">
        <v>94.9121251830246</v>
      </c>
      <c r="AN4610">
        <v>1.0000000326554399</v>
      </c>
    </row>
    <row r="4611" spans="1:40" x14ac:dyDescent="0.25">
      <c r="A4611" t="str">
        <f>"20190312172758634"</f>
        <v>20190312172758634</v>
      </c>
      <c r="B4611" t="str">
        <f>"1552382878623648"</f>
        <v>1552382878623648</v>
      </c>
      <c r="C4611" t="s">
        <v>40</v>
      </c>
      <c r="D4611">
        <v>3.7521070000000001</v>
      </c>
      <c r="E4611">
        <v>0.49328509999999998</v>
      </c>
      <c r="F4611" t="s">
        <v>55</v>
      </c>
      <c r="G4611">
        <v>-365.7022</v>
      </c>
      <c r="H4611" s="1">
        <v>-2.668739E-6</v>
      </c>
      <c r="I4611">
        <v>16.026769999999999</v>
      </c>
      <c r="J4611">
        <v>-384.67399999999998</v>
      </c>
      <c r="K4611">
        <v>1.112471</v>
      </c>
      <c r="L4611">
        <v>15.819240000000001</v>
      </c>
      <c r="M4611">
        <v>0.99571109999999896</v>
      </c>
      <c r="N4611">
        <v>0</v>
      </c>
      <c r="O4611">
        <v>-9.1431830000000006E-2</v>
      </c>
      <c r="P4611">
        <v>0.97668200000000005</v>
      </c>
      <c r="Q4611">
        <v>0.21453820000000001</v>
      </c>
      <c r="R4611">
        <v>-8.1010359999999903E-3</v>
      </c>
      <c r="S4611">
        <v>3.1109619999999998</v>
      </c>
      <c r="T4611">
        <v>-0.17982709999999999</v>
      </c>
      <c r="U4611">
        <v>2.9876710000000001E-2</v>
      </c>
      <c r="V4611">
        <v>-8.2418839999999993E-2</v>
      </c>
      <c r="W4611">
        <v>0.22784689999999999</v>
      </c>
      <c r="X4611">
        <v>0.97020249999999997</v>
      </c>
      <c r="Y4611">
        <v>-0.1006793</v>
      </c>
      <c r="Z4611">
        <v>8.1835450000000004E-3</v>
      </c>
      <c r="AA4611">
        <v>0.99488529999999997</v>
      </c>
      <c r="AB4611">
        <v>28</v>
      </c>
      <c r="AC4611">
        <v>18.971800000000002</v>
      </c>
      <c r="AD4611">
        <v>-1.112473668739</v>
      </c>
      <c r="AE4611">
        <v>0.20753000000000299</v>
      </c>
      <c r="AF4611">
        <v>-1.9348081689454699</v>
      </c>
      <c r="AG4611">
        <v>-1.112473668739</v>
      </c>
      <c r="AH4611">
        <v>18.808675987850901</v>
      </c>
      <c r="AI4611">
        <v>93.367193138034196</v>
      </c>
      <c r="AJ4611">
        <v>95.873235659887499</v>
      </c>
      <c r="AK4611">
        <v>18.940627569597901</v>
      </c>
      <c r="AL4611">
        <v>76.8296569565629</v>
      </c>
      <c r="AM4611">
        <v>94.855626736967906</v>
      </c>
      <c r="AN4611">
        <v>0.99999998301640203</v>
      </c>
    </row>
    <row r="4612" spans="1:40" x14ac:dyDescent="0.25">
      <c r="A4612" t="str">
        <f>"20190312172758655"</f>
        <v>20190312172758655</v>
      </c>
      <c r="B4612" t="str">
        <f>"1552382878644141"</f>
        <v>1552382878644141</v>
      </c>
      <c r="C4612" t="s">
        <v>40</v>
      </c>
      <c r="D4612">
        <v>3.781784</v>
      </c>
      <c r="E4612">
        <v>0.4930582</v>
      </c>
      <c r="F4612" t="s">
        <v>55</v>
      </c>
      <c r="G4612">
        <v>-365.12029999999999</v>
      </c>
      <c r="H4612" s="1">
        <v>-2.9369370000000002E-6</v>
      </c>
      <c r="I4612">
        <v>16.065550000000002</v>
      </c>
      <c r="J4612">
        <v>-384.4067</v>
      </c>
      <c r="K4612">
        <v>1.1124849999999999</v>
      </c>
      <c r="L4612">
        <v>15.79785</v>
      </c>
      <c r="M4612">
        <v>0.99596910000000005</v>
      </c>
      <c r="N4612">
        <v>0</v>
      </c>
      <c r="O4612">
        <v>-8.8577580000000003E-2</v>
      </c>
      <c r="P4612">
        <v>0.97673270000000001</v>
      </c>
      <c r="Q4612">
        <v>0.21437510000000001</v>
      </c>
      <c r="R4612">
        <v>-6.0456019999999997E-3</v>
      </c>
      <c r="S4612">
        <v>3.1107480000000001</v>
      </c>
      <c r="T4612">
        <v>-0.176981</v>
      </c>
      <c r="U4612">
        <v>3.9184570000000002E-2</v>
      </c>
      <c r="V4612">
        <v>-8.1692929999999997E-2</v>
      </c>
      <c r="W4612">
        <v>0.227683</v>
      </c>
      <c r="X4612">
        <v>0.97030240000000001</v>
      </c>
      <c r="Y4612">
        <v>-0.1008193</v>
      </c>
      <c r="Z4612">
        <v>7.8969929999999997E-3</v>
      </c>
      <c r="AA4612">
        <v>0.99487340000000002</v>
      </c>
      <c r="AB4612">
        <v>27</v>
      </c>
      <c r="AC4612">
        <v>19.2864</v>
      </c>
      <c r="AD4612">
        <v>-1.112487936937</v>
      </c>
      <c r="AE4612">
        <v>0.26770000000000099</v>
      </c>
      <c r="AF4612">
        <v>-1.96861181755149</v>
      </c>
      <c r="AG4612">
        <v>-1.112487936937</v>
      </c>
      <c r="AH4612">
        <v>19.123244855227799</v>
      </c>
      <c r="AI4612">
        <v>93.311945598280303</v>
      </c>
      <c r="AJ4612">
        <v>95.877518589904398</v>
      </c>
      <c r="AK4612">
        <v>19.2564678923999</v>
      </c>
      <c r="AL4612">
        <v>76.839301657029296</v>
      </c>
      <c r="AM4612">
        <v>94.812569026200507</v>
      </c>
      <c r="AN4612">
        <v>1.0000000153733699</v>
      </c>
    </row>
    <row r="4613" spans="1:40" x14ac:dyDescent="0.25">
      <c r="A4613" t="str">
        <f>"20190312172758678"</f>
        <v>20190312172758678</v>
      </c>
      <c r="B4613" t="str">
        <f>"1552382878674397"</f>
        <v>1552382878674397</v>
      </c>
      <c r="C4613" t="s">
        <v>40</v>
      </c>
      <c r="D4613">
        <v>3.7389549999999998</v>
      </c>
      <c r="E4613">
        <v>0.49291220000000002</v>
      </c>
      <c r="F4613" t="s">
        <v>55</v>
      </c>
      <c r="G4613">
        <v>-364.99450000000002</v>
      </c>
      <c r="H4613" s="1">
        <v>-2.9900839999999999E-6</v>
      </c>
      <c r="I4613">
        <v>16.101209999999998</v>
      </c>
      <c r="J4613">
        <v>-384.13510000000002</v>
      </c>
      <c r="K4613">
        <v>1.112503</v>
      </c>
      <c r="L4613">
        <v>15.777010000000001</v>
      </c>
      <c r="M4613">
        <v>0.99622710000000003</v>
      </c>
      <c r="N4613">
        <v>0</v>
      </c>
      <c r="O4613">
        <v>-8.5626240000000006E-2</v>
      </c>
      <c r="P4613">
        <v>0.97685379999999999</v>
      </c>
      <c r="Q4613">
        <v>0.2138661</v>
      </c>
      <c r="R4613">
        <v>-4.2113669999999997E-3</v>
      </c>
      <c r="S4613">
        <v>3.1109010000000001</v>
      </c>
      <c r="T4613">
        <v>-0.178282</v>
      </c>
      <c r="U4613">
        <v>4.8614499999999998E-2</v>
      </c>
      <c r="V4613">
        <v>-8.0660750000000003E-2</v>
      </c>
      <c r="W4613">
        <v>0.22717499999999999</v>
      </c>
      <c r="X4613">
        <v>0.97050780000000003</v>
      </c>
      <c r="Y4613">
        <v>-0.1008864</v>
      </c>
      <c r="Z4613">
        <v>7.7879050000000003E-3</v>
      </c>
      <c r="AA4613">
        <v>0.99486739999999996</v>
      </c>
      <c r="AB4613">
        <v>27</v>
      </c>
      <c r="AC4613">
        <v>19.140599999999999</v>
      </c>
      <c r="AD4613">
        <v>-1.112505990084</v>
      </c>
      <c r="AE4613">
        <v>0.32420000000000099</v>
      </c>
      <c r="AF4613">
        <v>-1.95550605215282</v>
      </c>
      <c r="AG4613">
        <v>-1.112505990084</v>
      </c>
      <c r="AH4613">
        <v>18.978430246483001</v>
      </c>
      <c r="AI4613">
        <v>93.337182259953494</v>
      </c>
      <c r="AJ4613">
        <v>95.882901547283694</v>
      </c>
      <c r="AK4613">
        <v>19.111318324976899</v>
      </c>
      <c r="AL4613">
        <v>76.869191153305906</v>
      </c>
      <c r="AM4613">
        <v>94.7510419253165</v>
      </c>
      <c r="AN4613">
        <v>1.0000000135381999</v>
      </c>
    </row>
    <row r="4614" spans="1:40" x14ac:dyDescent="0.25">
      <c r="A4614" t="str">
        <f>"20190312172758700"</f>
        <v>20190312172758700</v>
      </c>
      <c r="B4614" t="str">
        <f>"1552382878693917"</f>
        <v>1552382878693917</v>
      </c>
      <c r="C4614" t="s">
        <v>40</v>
      </c>
      <c r="D4614">
        <v>3.8940429999999999</v>
      </c>
      <c r="E4614">
        <v>0.49283759999999999</v>
      </c>
      <c r="F4614" t="s">
        <v>55</v>
      </c>
      <c r="G4614">
        <v>-364.99220000000003</v>
      </c>
      <c r="H4614" s="1">
        <v>-2.987034E-6</v>
      </c>
      <c r="I4614">
        <v>16.124420000000001</v>
      </c>
      <c r="J4614">
        <v>-383.8603</v>
      </c>
      <c r="K4614">
        <v>1.1125309999999999</v>
      </c>
      <c r="L4614">
        <v>15.756740000000001</v>
      </c>
      <c r="M4614">
        <v>0.9964847</v>
      </c>
      <c r="N4614">
        <v>0</v>
      </c>
      <c r="O4614">
        <v>-8.2575399999999993E-2</v>
      </c>
      <c r="P4614">
        <v>0.97697469999999997</v>
      </c>
      <c r="Q4614">
        <v>0.21334339999999999</v>
      </c>
      <c r="R4614">
        <v>-2.2684879999999999E-3</v>
      </c>
      <c r="S4614">
        <v>3.1109010000000001</v>
      </c>
      <c r="T4614">
        <v>-0.1807928</v>
      </c>
      <c r="U4614">
        <v>5.6457519999999997E-2</v>
      </c>
      <c r="V4614">
        <v>-7.964425E-2</v>
      </c>
      <c r="W4614">
        <v>0.2266521</v>
      </c>
      <c r="X4614">
        <v>0.97071399999999997</v>
      </c>
      <c r="Y4614">
        <v>-0.1003449</v>
      </c>
      <c r="Z4614">
        <v>7.7048949999999998E-3</v>
      </c>
      <c r="AA4614">
        <v>0.99492290000000005</v>
      </c>
      <c r="AB4614">
        <v>27</v>
      </c>
      <c r="AC4614">
        <v>18.868099999999899</v>
      </c>
      <c r="AD4614">
        <v>-1.1125339870340001</v>
      </c>
      <c r="AE4614">
        <v>0.36768000000000101</v>
      </c>
      <c r="AF4614">
        <v>-1.9179547654831699</v>
      </c>
      <c r="AG4614">
        <v>-1.1125339870340001</v>
      </c>
      <c r="AH4614">
        <v>18.7082660148142</v>
      </c>
      <c r="AI4614">
        <v>93.385526256843804</v>
      </c>
      <c r="AJ4614">
        <v>95.853462476747794</v>
      </c>
      <c r="AK4614">
        <v>18.839201141125798</v>
      </c>
      <c r="AL4614">
        <v>76.899953714717697</v>
      </c>
      <c r="AM4614">
        <v>94.690445351921298</v>
      </c>
      <c r="AN4614">
        <v>1.0000000253942301</v>
      </c>
    </row>
    <row r="4615" spans="1:40" x14ac:dyDescent="0.25">
      <c r="A4615" t="str">
        <f>"20190312172758724"</f>
        <v>20190312172758724</v>
      </c>
      <c r="B4615" t="str">
        <f>"1552382878714413"</f>
        <v>1552382878714413</v>
      </c>
      <c r="C4615" t="s">
        <v>40</v>
      </c>
      <c r="D4615">
        <v>3.8439139999999998</v>
      </c>
      <c r="E4615">
        <v>0.4927743</v>
      </c>
      <c r="F4615" t="s">
        <v>55</v>
      </c>
      <c r="G4615">
        <v>-364.88990000000001</v>
      </c>
      <c r="H4615" s="1">
        <v>-3.0312159999999999E-6</v>
      </c>
      <c r="I4615">
        <v>16.148139999999898</v>
      </c>
      <c r="J4615">
        <v>-383.584</v>
      </c>
      <c r="K4615">
        <v>1.112571</v>
      </c>
      <c r="L4615">
        <v>15.73734</v>
      </c>
      <c r="M4615">
        <v>0.99673970000000001</v>
      </c>
      <c r="N4615">
        <v>0</v>
      </c>
      <c r="O4615">
        <v>-7.943733E-2</v>
      </c>
      <c r="P4615">
        <v>0.97717299999999996</v>
      </c>
      <c r="Q4615">
        <v>0.2124451</v>
      </c>
      <c r="R4615">
        <v>-2.7053709999999998E-4</v>
      </c>
      <c r="S4615">
        <v>3.1106259999999999</v>
      </c>
      <c r="T4615">
        <v>-0.18242510000000001</v>
      </c>
      <c r="U4615">
        <v>6.4178470000000001E-2</v>
      </c>
      <c r="V4615">
        <v>-7.8606599999999999E-2</v>
      </c>
      <c r="W4615">
        <v>0.2257538</v>
      </c>
      <c r="X4615">
        <v>0.97100779999999998</v>
      </c>
      <c r="Y4615">
        <v>-9.9683229999999998E-2</v>
      </c>
      <c r="Z4615">
        <v>7.5720859999999996E-3</v>
      </c>
      <c r="AA4615">
        <v>0.99499040000000005</v>
      </c>
      <c r="AB4615">
        <v>27</v>
      </c>
      <c r="AC4615">
        <v>18.694099999999899</v>
      </c>
      <c r="AD4615">
        <v>-1.112574031216</v>
      </c>
      <c r="AE4615">
        <v>0.410799999999998</v>
      </c>
      <c r="AF4615">
        <v>-1.8879752496192099</v>
      </c>
      <c r="AG4615">
        <v>-1.112574031216</v>
      </c>
      <c r="AH4615">
        <v>18.536750629888001</v>
      </c>
      <c r="AI4615">
        <v>93.417130938291606</v>
      </c>
      <c r="AJ4615">
        <v>95.815543535544904</v>
      </c>
      <c r="AK4615">
        <v>18.665834978183099</v>
      </c>
      <c r="AL4615">
        <v>76.952791228750797</v>
      </c>
      <c r="AM4615">
        <v>94.628208275347504</v>
      </c>
      <c r="AN4615">
        <v>0.99999996171941896</v>
      </c>
    </row>
    <row r="4616" spans="1:40" x14ac:dyDescent="0.25">
      <c r="A4616" t="str">
        <f>"20190312172758745"</f>
        <v>20190312172758745</v>
      </c>
      <c r="B4616" t="str">
        <f>"1552382878733940"</f>
        <v>1552382878733940</v>
      </c>
      <c r="C4616" t="s">
        <v>40</v>
      </c>
      <c r="D4616">
        <v>3.9000870000000001</v>
      </c>
      <c r="E4616">
        <v>0.49263859999999898</v>
      </c>
      <c r="F4616" t="s">
        <v>55</v>
      </c>
      <c r="G4616">
        <v>-365.0154</v>
      </c>
      <c r="H4616" s="1">
        <v>-2.9693990000000001E-6</v>
      </c>
      <c r="I4616">
        <v>16.16216</v>
      </c>
      <c r="J4616">
        <v>-383.3218</v>
      </c>
      <c r="K4616">
        <v>1.1126149999999999</v>
      </c>
      <c r="L4616">
        <v>15.71979</v>
      </c>
      <c r="M4616">
        <v>0.99697829999999998</v>
      </c>
      <c r="N4616">
        <v>0</v>
      </c>
      <c r="O4616">
        <v>-7.6386869999999996E-2</v>
      </c>
      <c r="P4616">
        <v>0.97714219999999896</v>
      </c>
      <c r="Q4616">
        <v>0.21257570000000001</v>
      </c>
      <c r="R4616">
        <v>2.2291149999999998E-3</v>
      </c>
      <c r="S4616">
        <v>3.1106259999999999</v>
      </c>
      <c r="T4616">
        <v>-0.18637880000000001</v>
      </c>
      <c r="U4616">
        <v>7.1166989999999999E-2</v>
      </c>
      <c r="V4616">
        <v>-7.8143589999999999E-2</v>
      </c>
      <c r="W4616">
        <v>0.22587789999999999</v>
      </c>
      <c r="X4616">
        <v>0.97101630000000005</v>
      </c>
      <c r="Y4616">
        <v>-9.8866270000000006E-2</v>
      </c>
      <c r="Z4616">
        <v>7.5291050000000003E-3</v>
      </c>
      <c r="AA4616">
        <v>0.99507219999999996</v>
      </c>
      <c r="AB4616">
        <v>27</v>
      </c>
      <c r="AC4616">
        <v>18.3064</v>
      </c>
      <c r="AD4616">
        <v>-1.1126179693989999</v>
      </c>
      <c r="AE4616">
        <v>0.44236999999999999</v>
      </c>
      <c r="AF4616">
        <v>-1.83281890954749</v>
      </c>
      <c r="AG4616">
        <v>-1.1126179693989999</v>
      </c>
      <c r="AH4616">
        <v>18.152094992777101</v>
      </c>
      <c r="AI4616">
        <v>93.489810329358207</v>
      </c>
      <c r="AJ4616">
        <v>95.765620344431895</v>
      </c>
      <c r="AK4616">
        <v>18.278284835504401</v>
      </c>
      <c r="AL4616">
        <v>76.945492143189796</v>
      </c>
      <c r="AM4616">
        <v>94.601024409210893</v>
      </c>
      <c r="AN4616">
        <v>0.99999995061609204</v>
      </c>
    </row>
    <row r="4617" spans="1:40" x14ac:dyDescent="0.25">
      <c r="A4617" t="str">
        <f>"20190312172758770"</f>
        <v>20190312172758770</v>
      </c>
      <c r="B4617" t="str">
        <f>"1552382878764189"</f>
        <v>1552382878764189</v>
      </c>
      <c r="C4617" t="s">
        <v>40</v>
      </c>
      <c r="D4617">
        <v>3.7434759999999998</v>
      </c>
      <c r="E4617">
        <v>0.49262479999999997</v>
      </c>
      <c r="F4617" t="s">
        <v>55</v>
      </c>
      <c r="G4617">
        <v>-364.91570000000002</v>
      </c>
      <c r="H4617" s="1">
        <v>-3.0108719999999999E-6</v>
      </c>
      <c r="I4617">
        <v>16.193939999999898</v>
      </c>
      <c r="J4617">
        <v>-383.0324</v>
      </c>
      <c r="K4617">
        <v>1.1126780000000001</v>
      </c>
      <c r="L4617">
        <v>15.701449999999999</v>
      </c>
      <c r="M4617">
        <v>0.99723669999999998</v>
      </c>
      <c r="N4617">
        <v>0</v>
      </c>
      <c r="O4617">
        <v>-7.2934879999999994E-2</v>
      </c>
      <c r="P4617">
        <v>0.97716440000000004</v>
      </c>
      <c r="Q4617">
        <v>0.21243390000000001</v>
      </c>
      <c r="R4617">
        <v>4.6745379999999998E-3</v>
      </c>
      <c r="S4617">
        <v>3.1109010000000001</v>
      </c>
      <c r="T4617">
        <v>-0.18804870000000001</v>
      </c>
      <c r="U4617">
        <v>8.0139160000000001E-2</v>
      </c>
      <c r="V4617">
        <v>-7.7241030000000002E-2</v>
      </c>
      <c r="W4617">
        <v>0.22573199999999999</v>
      </c>
      <c r="X4617">
        <v>0.9711225</v>
      </c>
      <c r="Y4617">
        <v>-9.8289269999999998E-2</v>
      </c>
      <c r="Z4617">
        <v>7.3700869999999896E-3</v>
      </c>
      <c r="AA4617">
        <v>0.99513059999999998</v>
      </c>
      <c r="AB4617">
        <v>27</v>
      </c>
      <c r="AC4617">
        <v>18.116699999999899</v>
      </c>
      <c r="AD4617">
        <v>-1.112681010872</v>
      </c>
      <c r="AE4617">
        <v>0.49248999999999798</v>
      </c>
      <c r="AF4617">
        <v>-1.8058424464662499</v>
      </c>
      <c r="AG4617">
        <v>-1.112681010872</v>
      </c>
      <c r="AH4617">
        <v>17.964801979298802</v>
      </c>
      <c r="AI4617">
        <v>93.526458996955995</v>
      </c>
      <c r="AJ4617">
        <v>95.740155323372406</v>
      </c>
      <c r="AK4617">
        <v>18.089589164180399</v>
      </c>
      <c r="AL4617">
        <v>76.954074030770997</v>
      </c>
      <c r="AM4617">
        <v>94.547611448921302</v>
      </c>
      <c r="AN4617">
        <v>1.00000001127285</v>
      </c>
    </row>
    <row r="4618" spans="1:40" x14ac:dyDescent="0.25">
      <c r="A4618" t="str">
        <f>"20190312172758791"</f>
        <v>20190312172758791</v>
      </c>
      <c r="B4618" t="str">
        <f>"1552382878783709"</f>
        <v>1552382878783709</v>
      </c>
      <c r="C4618" t="s">
        <v>40</v>
      </c>
      <c r="D4618">
        <v>3.7302070000000001</v>
      </c>
      <c r="E4618">
        <v>0.49270340000000001</v>
      </c>
      <c r="F4618" t="s">
        <v>55</v>
      </c>
      <c r="G4618">
        <v>-364.81659999999999</v>
      </c>
      <c r="H4618" s="1">
        <v>-3.0530930000000001E-6</v>
      </c>
      <c r="I4618">
        <v>16.220179999999999</v>
      </c>
      <c r="J4618">
        <v>-382.76319999999998</v>
      </c>
      <c r="K4618">
        <v>1.112727</v>
      </c>
      <c r="L4618">
        <v>15.685420000000001</v>
      </c>
      <c r="M4618">
        <v>0.99747180000000002</v>
      </c>
      <c r="N4618">
        <v>0</v>
      </c>
      <c r="O4618">
        <v>-6.9645460000000006E-2</v>
      </c>
      <c r="P4618">
        <v>0.97672890000000001</v>
      </c>
      <c r="Q4618">
        <v>0.21435960000000001</v>
      </c>
      <c r="R4618">
        <v>7.1278649999999997E-3</v>
      </c>
      <c r="S4618">
        <v>3.110992</v>
      </c>
      <c r="T4618">
        <v>-0.19002959999999999</v>
      </c>
      <c r="U4618">
        <v>8.8592530000000003E-2</v>
      </c>
      <c r="V4618">
        <v>-7.6480809999999996E-2</v>
      </c>
      <c r="W4618">
        <v>0.22764909999999999</v>
      </c>
      <c r="X4618">
        <v>0.97073509999999996</v>
      </c>
      <c r="Y4618">
        <v>-9.7709089999999998E-2</v>
      </c>
      <c r="Z4618">
        <v>7.2290590000000004E-3</v>
      </c>
      <c r="AA4618">
        <v>0.99518879999999998</v>
      </c>
      <c r="AB4618">
        <v>27</v>
      </c>
      <c r="AC4618">
        <v>17.946599999999901</v>
      </c>
      <c r="AD4618">
        <v>-1.112730053093</v>
      </c>
      <c r="AE4618">
        <v>0.53475999999999801</v>
      </c>
      <c r="AF4618">
        <v>-1.7766612314078201</v>
      </c>
      <c r="AG4618">
        <v>-1.112730053093</v>
      </c>
      <c r="AH4618">
        <v>17.7974085913294</v>
      </c>
      <c r="AI4618">
        <v>93.559943140093907</v>
      </c>
      <c r="AJ4618">
        <v>95.700776785011698</v>
      </c>
      <c r="AK4618">
        <v>17.920447702804999</v>
      </c>
      <c r="AL4618">
        <v>76.841296571753105</v>
      </c>
      <c r="AM4618">
        <v>94.504827709557404</v>
      </c>
      <c r="AN4618">
        <v>1.0000000307005299</v>
      </c>
    </row>
    <row r="4619" spans="1:40" x14ac:dyDescent="0.25">
      <c r="A4619" t="str">
        <f>"20190312172758812"</f>
        <v>20190312172758812</v>
      </c>
      <c r="B4619" t="str">
        <f>"1552382878804205"</f>
        <v>1552382878804205</v>
      </c>
      <c r="C4619" t="s">
        <v>40</v>
      </c>
      <c r="D4619">
        <v>3.7445919999999999</v>
      </c>
      <c r="E4619">
        <v>0.49274289999999998</v>
      </c>
      <c r="F4619" t="s">
        <v>55</v>
      </c>
      <c r="G4619">
        <v>-364.0521</v>
      </c>
      <c r="H4619" s="1">
        <v>-3.406665E-6</v>
      </c>
      <c r="I4619">
        <v>16.26426</v>
      </c>
      <c r="J4619">
        <v>-382.5129</v>
      </c>
      <c r="K4619">
        <v>1.112773</v>
      </c>
      <c r="L4619">
        <v>15.67136</v>
      </c>
      <c r="M4619">
        <v>0.99768400000000002</v>
      </c>
      <c r="N4619">
        <v>0</v>
      </c>
      <c r="O4619">
        <v>-6.6536999999999999E-2</v>
      </c>
      <c r="P4619">
        <v>0.97659669999999998</v>
      </c>
      <c r="Q4619">
        <v>0.21486540000000001</v>
      </c>
      <c r="R4619">
        <v>9.5884469999999999E-3</v>
      </c>
      <c r="S4619">
        <v>3.111389</v>
      </c>
      <c r="T4619">
        <v>-0.1850311</v>
      </c>
      <c r="U4619">
        <v>9.6252439999999995E-2</v>
      </c>
      <c r="V4619">
        <v>-7.5914330000000002E-2</v>
      </c>
      <c r="W4619">
        <v>0.22815099999999999</v>
      </c>
      <c r="X4619">
        <v>0.97066169999999996</v>
      </c>
      <c r="Y4619">
        <v>-9.7075220000000004E-2</v>
      </c>
      <c r="Z4619">
        <v>6.8349129999999998E-3</v>
      </c>
      <c r="AA4619">
        <v>0.99525359999999996</v>
      </c>
      <c r="AB4619">
        <v>27</v>
      </c>
      <c r="AC4619">
        <v>18.460799999999999</v>
      </c>
      <c r="AD4619">
        <v>-1.1127764066650001</v>
      </c>
      <c r="AE4619">
        <v>0.59289999999999998</v>
      </c>
      <c r="AF4619">
        <v>-1.8134523854542399</v>
      </c>
      <c r="AG4619">
        <v>-1.1127764066650001</v>
      </c>
      <c r="AH4619">
        <v>18.3139546089741</v>
      </c>
      <c r="AI4619">
        <v>93.4602001000098</v>
      </c>
      <c r="AJ4619">
        <v>95.655008087225994</v>
      </c>
      <c r="AK4619">
        <v>18.4371314011997</v>
      </c>
      <c r="AL4619">
        <v>76.8117622096227</v>
      </c>
      <c r="AM4619">
        <v>94.471933825752402</v>
      </c>
      <c r="AN4619">
        <v>1.00000000007361</v>
      </c>
    </row>
    <row r="4620" spans="1:40" x14ac:dyDescent="0.25">
      <c r="A4620" t="str">
        <f>"20190312172758834"</f>
        <v>20190312172758834</v>
      </c>
      <c r="B4620" t="str">
        <f>"1552382878823728"</f>
        <v>1552382878823728</v>
      </c>
      <c r="C4620" t="s">
        <v>40</v>
      </c>
      <c r="D4620">
        <v>3.7913250000000001</v>
      </c>
      <c r="E4620">
        <v>0.4927822</v>
      </c>
      <c r="F4620" t="s">
        <v>55</v>
      </c>
      <c r="G4620">
        <v>-363.77179999999998</v>
      </c>
      <c r="H4620" s="1">
        <v>-3.5335510000000001E-6</v>
      </c>
      <c r="I4620">
        <v>16.295960000000001</v>
      </c>
      <c r="J4620">
        <v>-382.24259999999998</v>
      </c>
      <c r="K4620">
        <v>1.1128039999999999</v>
      </c>
      <c r="L4620">
        <v>15.65714</v>
      </c>
      <c r="M4620">
        <v>0.99790540000000005</v>
      </c>
      <c r="N4620">
        <v>0</v>
      </c>
      <c r="O4620">
        <v>-6.3131889999999996E-2</v>
      </c>
      <c r="P4620">
        <v>0.97635859999999997</v>
      </c>
      <c r="Q4620">
        <v>0.21581439999999999</v>
      </c>
      <c r="R4620">
        <v>1.217011E-2</v>
      </c>
      <c r="S4620">
        <v>3.1114809999999999</v>
      </c>
      <c r="T4620">
        <v>-0.18474779999999999</v>
      </c>
      <c r="U4620">
        <v>0.1036987</v>
      </c>
      <c r="V4620">
        <v>-7.517327E-2</v>
      </c>
      <c r="W4620">
        <v>0.2290962</v>
      </c>
      <c r="X4620">
        <v>0.97049680000000005</v>
      </c>
      <c r="Y4620">
        <v>-9.6065869999999998E-2</v>
      </c>
      <c r="Z4620">
        <v>6.5923960000000004E-3</v>
      </c>
      <c r="AA4620">
        <v>0.99535320000000005</v>
      </c>
      <c r="AB4620">
        <v>27</v>
      </c>
      <c r="AC4620">
        <v>18.470800000000001</v>
      </c>
      <c r="AD4620">
        <v>-1.1128075335509999</v>
      </c>
      <c r="AE4620">
        <v>0.63882000000000005</v>
      </c>
      <c r="AF4620">
        <v>-1.7972424572469501</v>
      </c>
      <c r="AG4620">
        <v>-1.1128075335509999</v>
      </c>
      <c r="AH4620">
        <v>18.327170687302001</v>
      </c>
      <c r="AI4620">
        <v>93.458129230855306</v>
      </c>
      <c r="AJ4620">
        <v>95.600766878915394</v>
      </c>
      <c r="AK4620">
        <v>18.448674924188001</v>
      </c>
      <c r="AL4620">
        <v>76.756133751191001</v>
      </c>
      <c r="AM4620">
        <v>94.429203689970905</v>
      </c>
      <c r="AN4620">
        <v>1.00000006409358</v>
      </c>
    </row>
    <row r="4621" spans="1:40" x14ac:dyDescent="0.25">
      <c r="A4621" t="str">
        <f>"20190312172758856"</f>
        <v>20190312172758856</v>
      </c>
      <c r="B4621" t="str">
        <f>"1552382878853981"</f>
        <v>1552382878853981</v>
      </c>
      <c r="C4621" t="s">
        <v>40</v>
      </c>
      <c r="D4621">
        <v>4.019685</v>
      </c>
      <c r="E4621">
        <v>0.49278949999999999</v>
      </c>
      <c r="F4621" t="s">
        <v>55</v>
      </c>
      <c r="G4621">
        <v>-363.25760000000002</v>
      </c>
      <c r="H4621" s="1">
        <v>-3.7691999999999998E-6</v>
      </c>
      <c r="I4621">
        <v>16.337529999999902</v>
      </c>
      <c r="J4621">
        <v>-381.9742</v>
      </c>
      <c r="K4621">
        <v>1.1128229999999999</v>
      </c>
      <c r="L4621">
        <v>15.64395</v>
      </c>
      <c r="M4621">
        <v>0.998116</v>
      </c>
      <c r="N4621">
        <v>0</v>
      </c>
      <c r="O4621">
        <v>-5.9708839999999999E-2</v>
      </c>
      <c r="P4621">
        <v>0.9760877</v>
      </c>
      <c r="Q4621">
        <v>0.2168928</v>
      </c>
      <c r="R4621">
        <v>1.4503E-2</v>
      </c>
      <c r="S4621">
        <v>3.1115110000000001</v>
      </c>
      <c r="T4621">
        <v>-0.1823815</v>
      </c>
      <c r="U4621">
        <v>0.1115112</v>
      </c>
      <c r="V4621">
        <v>-7.4164460000000001E-2</v>
      </c>
      <c r="W4621">
        <v>0.23017380000000001</v>
      </c>
      <c r="X4621">
        <v>0.97031940000000005</v>
      </c>
      <c r="Y4621">
        <v>-9.5162319999999995E-2</v>
      </c>
      <c r="Z4621">
        <v>6.2811309999999997E-3</v>
      </c>
      <c r="AA4621">
        <v>0.99544200000000005</v>
      </c>
      <c r="AB4621">
        <v>27</v>
      </c>
      <c r="AC4621">
        <v>18.7165999999999</v>
      </c>
      <c r="AD4621">
        <v>-1.11282676919999</v>
      </c>
      <c r="AE4621">
        <v>0.69357999999999698</v>
      </c>
      <c r="AF4621">
        <v>-1.8036328783239299</v>
      </c>
      <c r="AG4621">
        <v>-1.11282676919999</v>
      </c>
      <c r="AH4621">
        <v>18.576204249514699</v>
      </c>
      <c r="AI4621">
        <v>93.4122578376207</v>
      </c>
      <c r="AJ4621">
        <v>95.545677567548196</v>
      </c>
      <c r="AK4621">
        <v>18.6967066430885</v>
      </c>
      <c r="AL4621">
        <v>76.692696272784005</v>
      </c>
      <c r="AM4621">
        <v>94.370792333995993</v>
      </c>
      <c r="AN4621">
        <v>1.0000000416749399</v>
      </c>
    </row>
    <row r="4622" spans="1:40" x14ac:dyDescent="0.25">
      <c r="A4622" t="str">
        <f>"20190312172758879"</f>
        <v>20190312172758879</v>
      </c>
      <c r="B4622" t="str">
        <f>"1552382878874477"</f>
        <v>1552382878874477</v>
      </c>
      <c r="C4622" t="s">
        <v>40</v>
      </c>
      <c r="D4622">
        <v>3.772564</v>
      </c>
      <c r="E4622">
        <v>0.492898</v>
      </c>
      <c r="F4622" t="s">
        <v>55</v>
      </c>
      <c r="G4622">
        <v>-362.83659999999998</v>
      </c>
      <c r="H4622" s="1">
        <v>-3.9616749999999996E-6</v>
      </c>
      <c r="I4622">
        <v>16.374379999999999</v>
      </c>
      <c r="J4622">
        <v>-381.7056</v>
      </c>
      <c r="K4622">
        <v>1.1128359999999999</v>
      </c>
      <c r="L4622">
        <v>15.63171</v>
      </c>
      <c r="M4622">
        <v>0.99831669999999995</v>
      </c>
      <c r="N4622">
        <v>0</v>
      </c>
      <c r="O4622">
        <v>-5.6252450000000002E-2</v>
      </c>
      <c r="P4622">
        <v>0.97613490000000003</v>
      </c>
      <c r="Q4622">
        <v>0.21649959999999999</v>
      </c>
      <c r="R4622">
        <v>1.6995280000000001E-2</v>
      </c>
      <c r="S4622">
        <v>3.1119379999999999</v>
      </c>
      <c r="T4622">
        <v>-0.18095559999999999</v>
      </c>
      <c r="U4622">
        <v>0.1187744</v>
      </c>
      <c r="V4622">
        <v>-7.3291800000000004E-2</v>
      </c>
      <c r="W4622">
        <v>0.22978489999999999</v>
      </c>
      <c r="X4622">
        <v>0.97047779999999995</v>
      </c>
      <c r="Y4622">
        <v>-9.4042719999999996E-2</v>
      </c>
      <c r="Z4622">
        <v>5.997914E-3</v>
      </c>
      <c r="AA4622">
        <v>0.99555009999999999</v>
      </c>
      <c r="AB4622">
        <v>27</v>
      </c>
      <c r="AC4622">
        <v>18.869</v>
      </c>
      <c r="AD4622">
        <v>-1.112839961675</v>
      </c>
      <c r="AE4622">
        <v>0.74266999999999805</v>
      </c>
      <c r="AF4622">
        <v>-1.7967870326069599</v>
      </c>
      <c r="AG4622">
        <v>-1.112839961675</v>
      </c>
      <c r="AH4622">
        <v>18.7322794604042</v>
      </c>
      <c r="AI4622">
        <v>93.384312795357999</v>
      </c>
      <c r="AJ4622">
        <v>95.479008558407997</v>
      </c>
      <c r="AK4622">
        <v>18.8511312711871</v>
      </c>
      <c r="AL4622">
        <v>76.715591405405803</v>
      </c>
      <c r="AM4622">
        <v>94.318856616137595</v>
      </c>
      <c r="AN4622">
        <v>0.99999997425404397</v>
      </c>
    </row>
    <row r="4623" spans="1:40" x14ac:dyDescent="0.25">
      <c r="A4623" t="str">
        <f>"20190312172758901"</f>
        <v>20190312172758901</v>
      </c>
      <c r="B4623" t="str">
        <f>"1552382878893997"</f>
        <v>1552382878893997</v>
      </c>
      <c r="C4623" t="s">
        <v>40</v>
      </c>
      <c r="D4623">
        <v>3.7738489999999998</v>
      </c>
      <c r="E4623">
        <v>0.49297740000000001</v>
      </c>
      <c r="F4623" t="s">
        <v>55</v>
      </c>
      <c r="G4623">
        <v>-362.76560000000001</v>
      </c>
      <c r="H4623" s="1">
        <v>-3.9906889999999997E-6</v>
      </c>
      <c r="I4623">
        <v>16.400169999999999</v>
      </c>
      <c r="J4623">
        <v>-381.44110000000001</v>
      </c>
      <c r="K4623">
        <v>1.1128450000000001</v>
      </c>
      <c r="L4623">
        <v>15.620609999999999</v>
      </c>
      <c r="M4623">
        <v>0.9985039</v>
      </c>
      <c r="N4623">
        <v>0</v>
      </c>
      <c r="O4623">
        <v>-5.2827209999999999E-2</v>
      </c>
      <c r="P4623">
        <v>0.97640559999999998</v>
      </c>
      <c r="Q4623">
        <v>0.2150543</v>
      </c>
      <c r="R4623">
        <v>1.9593820000000001E-2</v>
      </c>
      <c r="S4623">
        <v>3.111694</v>
      </c>
      <c r="T4623">
        <v>-0.18283099999999999</v>
      </c>
      <c r="U4623">
        <v>0.12625120000000001</v>
      </c>
      <c r="V4623">
        <v>-7.2558990000000004E-2</v>
      </c>
      <c r="W4623">
        <v>0.22834599999999999</v>
      </c>
      <c r="X4623">
        <v>0.97087250000000003</v>
      </c>
      <c r="Y4623">
        <v>-9.3021010000000001E-2</v>
      </c>
      <c r="Z4623">
        <v>5.8293310000000001E-3</v>
      </c>
      <c r="AA4623">
        <v>0.99564710000000001</v>
      </c>
      <c r="AB4623">
        <v>27</v>
      </c>
      <c r="AC4623">
        <v>18.6755</v>
      </c>
      <c r="AD4623">
        <v>-1.112848990689</v>
      </c>
      <c r="AE4623">
        <v>0.77956000000000103</v>
      </c>
      <c r="AF4623">
        <v>-1.7589094219936501</v>
      </c>
      <c r="AG4623">
        <v>-1.112848990689</v>
      </c>
      <c r="AH4623">
        <v>18.542505045441001</v>
      </c>
      <c r="AI4623">
        <v>93.4192378006057</v>
      </c>
      <c r="AJ4623">
        <v>95.418762875478507</v>
      </c>
      <c r="AK4623">
        <v>18.658957328614601</v>
      </c>
      <c r="AL4623">
        <v>76.800287375147803</v>
      </c>
      <c r="AM4623">
        <v>94.2741035060223</v>
      </c>
      <c r="AN4623">
        <v>1.0000000570010299</v>
      </c>
    </row>
    <row r="4624" spans="1:40" x14ac:dyDescent="0.25">
      <c r="A4624" t="str">
        <f>"20190312172758924"</f>
        <v>20190312172758924</v>
      </c>
      <c r="B4624" t="str">
        <f>"1552382878914493"</f>
        <v>1552382878914493</v>
      </c>
      <c r="C4624" t="s">
        <v>40</v>
      </c>
      <c r="D4624">
        <v>3.8050280000000001</v>
      </c>
      <c r="E4624">
        <v>0.49307390000000001</v>
      </c>
      <c r="F4624" t="s">
        <v>55</v>
      </c>
      <c r="G4624">
        <v>-363.03320000000002</v>
      </c>
      <c r="H4624" s="1">
        <v>-3.861715E-6</v>
      </c>
      <c r="I4624">
        <v>16.413979999999999</v>
      </c>
      <c r="J4624">
        <v>-381.16899999999998</v>
      </c>
      <c r="K4624">
        <v>1.112854</v>
      </c>
      <c r="L4624">
        <v>15.610139999999999</v>
      </c>
      <c r="M4624">
        <v>0.99868489999999999</v>
      </c>
      <c r="N4624">
        <v>0</v>
      </c>
      <c r="O4624">
        <v>-4.9286129999999997E-2</v>
      </c>
      <c r="P4624">
        <v>0.97652050000000001</v>
      </c>
      <c r="Q4624">
        <v>0.2142869</v>
      </c>
      <c r="R4624">
        <v>2.2109009999999998E-2</v>
      </c>
      <c r="S4624">
        <v>3.111237</v>
      </c>
      <c r="T4624">
        <v>-0.18809029999999999</v>
      </c>
      <c r="U4624">
        <v>0.1340942</v>
      </c>
      <c r="V4624">
        <v>-7.1623950000000006E-2</v>
      </c>
      <c r="W4624">
        <v>0.2275846</v>
      </c>
      <c r="X4624">
        <v>0.9711206</v>
      </c>
      <c r="Y4624">
        <v>-9.1995460000000001E-2</v>
      </c>
      <c r="Z4624">
        <v>5.752666E-3</v>
      </c>
      <c r="AA4624">
        <v>0.99574280000000004</v>
      </c>
      <c r="AB4624">
        <v>27</v>
      </c>
      <c r="AC4624">
        <v>18.1358</v>
      </c>
      <c r="AD4624">
        <v>-1.112857861715</v>
      </c>
      <c r="AE4624">
        <v>0.803839999999999</v>
      </c>
      <c r="AF4624">
        <v>-1.69044276375907</v>
      </c>
      <c r="AG4624">
        <v>-1.112857861715</v>
      </c>
      <c r="AH4624">
        <v>18.006465255226701</v>
      </c>
      <c r="AI4624">
        <v>93.521123179446604</v>
      </c>
      <c r="AJ4624">
        <v>95.363195280605595</v>
      </c>
      <c r="AK4624">
        <v>18.1198465872538</v>
      </c>
      <c r="AL4624">
        <v>76.845091092279205</v>
      </c>
      <c r="AM4624">
        <v>94.218150931785601</v>
      </c>
      <c r="AN4624">
        <v>0.99999998005756097</v>
      </c>
    </row>
    <row r="4625" spans="1:40" x14ac:dyDescent="0.25">
      <c r="A4625" t="str">
        <f>"20190312172758945"</f>
        <v>20190312172758945</v>
      </c>
      <c r="B4625" t="str">
        <f>"1552382878934013"</f>
        <v>1552382878934013</v>
      </c>
      <c r="C4625" t="s">
        <v>40</v>
      </c>
      <c r="D4625">
        <v>3.9185590000000001</v>
      </c>
      <c r="E4625">
        <v>0.49315130000000001</v>
      </c>
      <c r="F4625" t="s">
        <v>55</v>
      </c>
      <c r="G4625">
        <v>-363.05029999999999</v>
      </c>
      <c r="H4625" s="1">
        <v>-3.8499269999999999E-6</v>
      </c>
      <c r="I4625">
        <v>16.43506</v>
      </c>
      <c r="J4625">
        <v>-380.90879999999999</v>
      </c>
      <c r="K4625">
        <v>1.1128549999999999</v>
      </c>
      <c r="L4625">
        <v>15.60101</v>
      </c>
      <c r="M4625">
        <v>0.99884680000000003</v>
      </c>
      <c r="N4625">
        <v>0</v>
      </c>
      <c r="O4625">
        <v>-4.588826E-2</v>
      </c>
      <c r="P4625">
        <v>0.97662139999999997</v>
      </c>
      <c r="Q4625">
        <v>0.21354310000000001</v>
      </c>
      <c r="R4625">
        <v>2.4698100000000001E-2</v>
      </c>
      <c r="S4625">
        <v>3.11084</v>
      </c>
      <c r="T4625">
        <v>-0.1910685</v>
      </c>
      <c r="U4625">
        <v>0.14163210000000001</v>
      </c>
      <c r="V4625">
        <v>-7.0898820000000001E-2</v>
      </c>
      <c r="W4625">
        <v>0.22684579999999999</v>
      </c>
      <c r="X4625">
        <v>0.97134670000000001</v>
      </c>
      <c r="Y4625">
        <v>-9.1021320000000003E-2</v>
      </c>
      <c r="Z4625">
        <v>5.6058369999999998E-3</v>
      </c>
      <c r="AA4625">
        <v>0.99583319999999997</v>
      </c>
      <c r="AB4625">
        <v>27</v>
      </c>
      <c r="AC4625">
        <v>17.8584999999999</v>
      </c>
      <c r="AD4625">
        <v>-1.112858849927</v>
      </c>
      <c r="AE4625">
        <v>0.83404999999999896</v>
      </c>
      <c r="AF4625">
        <v>-1.64636912768402</v>
      </c>
      <c r="AG4625">
        <v>-1.112858849927</v>
      </c>
      <c r="AH4625">
        <v>17.732696997612699</v>
      </c>
      <c r="AI4625">
        <v>93.575689643397197</v>
      </c>
      <c r="AJ4625">
        <v>95.304345738264701</v>
      </c>
      <c r="AK4625">
        <v>17.843697176694999</v>
      </c>
      <c r="AL4625">
        <v>76.888558856375099</v>
      </c>
      <c r="AM4625">
        <v>94.174629135893497</v>
      </c>
      <c r="AN4625">
        <v>1.0000000356279599</v>
      </c>
    </row>
    <row r="4626" spans="1:40" x14ac:dyDescent="0.25">
      <c r="A4626" t="str">
        <f>"20190312172758969"</f>
        <v>20190312172758969</v>
      </c>
      <c r="B4626" t="str">
        <f>"1552382878964383"</f>
        <v>1552382878964383</v>
      </c>
      <c r="C4626" t="s">
        <v>40</v>
      </c>
      <c r="D4626">
        <v>3.7771710000000001</v>
      </c>
      <c r="E4626">
        <v>0.49338720000000003</v>
      </c>
      <c r="F4626" t="s">
        <v>55</v>
      </c>
      <c r="G4626">
        <v>-363.08859999999999</v>
      </c>
      <c r="H4626" s="1">
        <v>-3.8276569999999997E-6</v>
      </c>
      <c r="I4626">
        <v>16.458410000000001</v>
      </c>
      <c r="J4626">
        <v>-380.63920000000002</v>
      </c>
      <c r="K4626">
        <v>1.112849</v>
      </c>
      <c r="L4626">
        <v>15.592560000000001</v>
      </c>
      <c r="M4626">
        <v>0.99900259999999996</v>
      </c>
      <c r="N4626">
        <v>0</v>
      </c>
      <c r="O4626">
        <v>-4.2362049999999998E-2</v>
      </c>
      <c r="P4626">
        <v>0.97666399999999998</v>
      </c>
      <c r="Q4626">
        <v>0.21304890000000001</v>
      </c>
      <c r="R4626">
        <v>2.7163779999999998E-2</v>
      </c>
      <c r="S4626">
        <v>3.1105040000000002</v>
      </c>
      <c r="T4626">
        <v>-0.19424920000000001</v>
      </c>
      <c r="U4626">
        <v>0.14965819999999999</v>
      </c>
      <c r="V4626">
        <v>-6.9921280000000002E-2</v>
      </c>
      <c r="W4626">
        <v>0.226359</v>
      </c>
      <c r="X4626">
        <v>0.97153100000000003</v>
      </c>
      <c r="Y4626">
        <v>-9.0074890000000005E-2</v>
      </c>
      <c r="Z4626">
        <v>5.4499359999999998E-3</v>
      </c>
      <c r="AA4626">
        <v>0.99592009999999997</v>
      </c>
      <c r="AB4626">
        <v>27</v>
      </c>
      <c r="AC4626">
        <v>17.550599999999999</v>
      </c>
      <c r="AD4626">
        <v>-1.112852827657</v>
      </c>
      <c r="AE4626">
        <v>0.86585000000000001</v>
      </c>
      <c r="AF4626">
        <v>-1.6021998987558499</v>
      </c>
      <c r="AG4626">
        <v>-1.112852827657</v>
      </c>
      <c r="AH4626">
        <v>17.428257271698399</v>
      </c>
      <c r="AI4626">
        <v>93.638267753937399</v>
      </c>
      <c r="AJ4626">
        <v>95.252503749923804</v>
      </c>
      <c r="AK4626">
        <v>17.5370931873017</v>
      </c>
      <c r="AL4626">
        <v>76.917193987458901</v>
      </c>
      <c r="AM4626">
        <v>94.1164910696492</v>
      </c>
      <c r="AN4626">
        <v>0.99999993311941604</v>
      </c>
    </row>
    <row r="4627" spans="1:40" x14ac:dyDescent="0.25">
      <c r="A4627" t="str">
        <f>"20190312172758993"</f>
        <v>20190312172758993</v>
      </c>
      <c r="B4627" t="str">
        <f>"1552382878983903"</f>
        <v>1552382878983903</v>
      </c>
      <c r="C4627" t="s">
        <v>40</v>
      </c>
      <c r="D4627">
        <v>3.8723960000000002</v>
      </c>
      <c r="E4627">
        <v>0.49357659999999998</v>
      </c>
      <c r="F4627" t="s">
        <v>55</v>
      </c>
      <c r="G4627">
        <v>-363.03899999999999</v>
      </c>
      <c r="H4627" s="1">
        <v>-3.8480789999999997E-6</v>
      </c>
      <c r="I4627">
        <v>16.475539999999999</v>
      </c>
      <c r="J4627">
        <v>-380.3383</v>
      </c>
      <c r="K4627">
        <v>1.112838</v>
      </c>
      <c r="L4627">
        <v>15.58432</v>
      </c>
      <c r="M4627">
        <v>0.99916190000000005</v>
      </c>
      <c r="N4627">
        <v>0</v>
      </c>
      <c r="O4627">
        <v>-3.8419979999999999E-2</v>
      </c>
      <c r="P4627">
        <v>0.97667219999999999</v>
      </c>
      <c r="Q4627">
        <v>0.2126469</v>
      </c>
      <c r="R4627">
        <v>2.9881749999999999E-2</v>
      </c>
      <c r="S4627">
        <v>3.1102289999999999</v>
      </c>
      <c r="T4627">
        <v>-0.196658</v>
      </c>
      <c r="U4627">
        <v>0.15603639999999999</v>
      </c>
      <c r="V4627">
        <v>-6.8786680000000003E-2</v>
      </c>
      <c r="W4627">
        <v>0.22596469999999999</v>
      </c>
      <c r="X4627">
        <v>0.97170380000000001</v>
      </c>
      <c r="Y4627">
        <v>-8.8191989999999998E-2</v>
      </c>
      <c r="Z4627">
        <v>5.2093449999999998E-3</v>
      </c>
      <c r="AA4627">
        <v>0.99608989999999997</v>
      </c>
      <c r="AB4627">
        <v>27</v>
      </c>
      <c r="AC4627">
        <v>17.299299999999999</v>
      </c>
      <c r="AD4627">
        <v>-1.1128418480790001</v>
      </c>
      <c r="AE4627">
        <v>0.89121999999999701</v>
      </c>
      <c r="AF4627">
        <v>-1.5488743372213001</v>
      </c>
      <c r="AG4627">
        <v>-1.1128418480790001</v>
      </c>
      <c r="AH4627">
        <v>17.181369493062199</v>
      </c>
      <c r="AI4627">
        <v>93.690960507356806</v>
      </c>
      <c r="AJ4627">
        <v>95.151203345219898</v>
      </c>
      <c r="AK4627">
        <v>17.286899269344602</v>
      </c>
      <c r="AL4627">
        <v>76.940387052800304</v>
      </c>
      <c r="AM4627">
        <v>94.0491997965607</v>
      </c>
      <c r="AN4627">
        <v>0.99999996396297497</v>
      </c>
    </row>
    <row r="4628" spans="1:40" x14ac:dyDescent="0.25">
      <c r="A4628" t="str">
        <f>"20190312172759014"</f>
        <v>20190312172759014</v>
      </c>
      <c r="B4628" t="str">
        <f>"1552382879004398"</f>
        <v>1552382879004398</v>
      </c>
      <c r="C4628" t="s">
        <v>40</v>
      </c>
      <c r="D4628">
        <v>3.8211020000000002</v>
      </c>
      <c r="E4628">
        <v>0.49380790000000002</v>
      </c>
      <c r="F4628" t="s">
        <v>55</v>
      </c>
      <c r="G4628">
        <v>-362.90570000000002</v>
      </c>
      <c r="H4628" s="1">
        <v>-3.9071899999999998E-6</v>
      </c>
      <c r="I4628">
        <v>16.497479999999999</v>
      </c>
      <c r="J4628">
        <v>-380.09629999999999</v>
      </c>
      <c r="K4628">
        <v>1.1128260000000001</v>
      </c>
      <c r="L4628">
        <v>15.57855</v>
      </c>
      <c r="M4628">
        <v>0.99927900000000003</v>
      </c>
      <c r="N4628">
        <v>0</v>
      </c>
      <c r="O4628">
        <v>-3.524882E-2</v>
      </c>
      <c r="P4628">
        <v>0.97687420000000003</v>
      </c>
      <c r="Q4628">
        <v>0.2114317</v>
      </c>
      <c r="R4628">
        <v>3.1836209999999997E-2</v>
      </c>
      <c r="S4628">
        <v>3.1098940000000002</v>
      </c>
      <c r="T4628">
        <v>-0.19852529999999999</v>
      </c>
      <c r="U4628">
        <v>0.16290279999999999</v>
      </c>
      <c r="V4628">
        <v>-6.764204E-2</v>
      </c>
      <c r="W4628">
        <v>0.22476009999999999</v>
      </c>
      <c r="X4628">
        <v>0.97206349999999997</v>
      </c>
      <c r="Y4628">
        <v>-8.7233240000000004E-2</v>
      </c>
      <c r="Z4628">
        <v>5.0263479999999999E-3</v>
      </c>
      <c r="AA4628">
        <v>0.99617520000000004</v>
      </c>
      <c r="AB4628">
        <v>27</v>
      </c>
      <c r="AC4628">
        <v>17.1905999999999</v>
      </c>
      <c r="AD4628">
        <v>-1.1128299071900001</v>
      </c>
      <c r="AE4628">
        <v>0.91892999999999903</v>
      </c>
      <c r="AF4628">
        <v>-1.5180242031909501</v>
      </c>
      <c r="AG4628">
        <v>-1.1128299071900001</v>
      </c>
      <c r="AH4628">
        <v>17.076165283345301</v>
      </c>
      <c r="AI4628">
        <v>93.714008431112006</v>
      </c>
      <c r="AJ4628">
        <v>95.080083390133495</v>
      </c>
      <c r="AK4628">
        <v>17.179586976057902</v>
      </c>
      <c r="AL4628">
        <v>77.011228388703202</v>
      </c>
      <c r="AM4628">
        <v>93.980569190088502</v>
      </c>
      <c r="AN4628">
        <v>0.99999999807980999</v>
      </c>
    </row>
    <row r="4629" spans="1:40" x14ac:dyDescent="0.25">
      <c r="A4629" t="str">
        <f>"20190312172759035"</f>
        <v>20190312172759035</v>
      </c>
      <c r="B4629" t="str">
        <f>"1552382879023922"</f>
        <v>1552382879023922</v>
      </c>
      <c r="C4629" t="s">
        <v>40</v>
      </c>
      <c r="D4629">
        <v>3.8164899999999999</v>
      </c>
      <c r="E4629">
        <v>0.49403059999999899</v>
      </c>
      <c r="F4629" t="s">
        <v>55</v>
      </c>
      <c r="G4629">
        <v>-363.0616</v>
      </c>
      <c r="H4629" s="1">
        <v>-3.8346859999999999E-6</v>
      </c>
      <c r="I4629">
        <v>16.490690000000001</v>
      </c>
      <c r="J4629">
        <v>-379.8331</v>
      </c>
      <c r="K4629">
        <v>1.1128169999999999</v>
      </c>
      <c r="L4629">
        <v>15.573119999999999</v>
      </c>
      <c r="M4629">
        <v>0.99939469999999997</v>
      </c>
      <c r="N4629">
        <v>0</v>
      </c>
      <c r="O4629">
        <v>-3.180065E-2</v>
      </c>
      <c r="P4629">
        <v>0.97698220000000002</v>
      </c>
      <c r="Q4629">
        <v>0.2105834</v>
      </c>
      <c r="R4629">
        <v>3.4067640000000003E-2</v>
      </c>
      <c r="S4629">
        <v>3.1095579999999998</v>
      </c>
      <c r="T4629">
        <v>-0.20313909999999999</v>
      </c>
      <c r="U4629">
        <v>0.16650390000000001</v>
      </c>
      <c r="V4629">
        <v>-6.6501480000000002E-2</v>
      </c>
      <c r="W4629">
        <v>0.22392129999999999</v>
      </c>
      <c r="X4629">
        <v>0.97233579999999997</v>
      </c>
      <c r="Y4629">
        <v>-8.4952269999999996E-2</v>
      </c>
      <c r="Z4629">
        <v>4.8440619999999997E-3</v>
      </c>
      <c r="AA4629">
        <v>0.99637319999999996</v>
      </c>
      <c r="AB4629">
        <v>27</v>
      </c>
      <c r="AC4629">
        <v>16.7715</v>
      </c>
      <c r="AD4629">
        <v>-1.112820834686</v>
      </c>
      <c r="AE4629">
        <v>0.917569999999999</v>
      </c>
      <c r="AF4629">
        <v>-1.44416442702808</v>
      </c>
      <c r="AG4629">
        <v>-1.112820834686</v>
      </c>
      <c r="AH4629">
        <v>16.660702505096399</v>
      </c>
      <c r="AI4629">
        <v>93.807056460036407</v>
      </c>
      <c r="AJ4629">
        <v>94.954066017046898</v>
      </c>
      <c r="AK4629">
        <v>16.760160770879502</v>
      </c>
      <c r="AL4629">
        <v>77.060545841892207</v>
      </c>
      <c r="AM4629">
        <v>93.912567767414401</v>
      </c>
      <c r="AN4629">
        <v>1.0000000516987499</v>
      </c>
    </row>
    <row r="4630" spans="1:40" x14ac:dyDescent="0.25">
      <c r="A4630" t="str">
        <f>"20190312172759059"</f>
        <v>20190312172759059</v>
      </c>
      <c r="B4630" t="str">
        <f>"1552382879054174"</f>
        <v>1552382879054174</v>
      </c>
      <c r="C4630" t="s">
        <v>40</v>
      </c>
      <c r="D4630">
        <v>3.8491209999999998</v>
      </c>
      <c r="E4630">
        <v>0.49437890000000001</v>
      </c>
      <c r="F4630" t="s">
        <v>55</v>
      </c>
      <c r="G4630">
        <v>-363.06450000000001</v>
      </c>
      <c r="H4630" s="1">
        <v>-3.8320059999999996E-6</v>
      </c>
      <c r="I4630">
        <v>16.49811</v>
      </c>
      <c r="J4630">
        <v>-379.55939999999998</v>
      </c>
      <c r="K4630">
        <v>1.1128129999999901</v>
      </c>
      <c r="L4630">
        <v>15.56845</v>
      </c>
      <c r="M4630">
        <v>0.99950229999999995</v>
      </c>
      <c r="N4630">
        <v>0</v>
      </c>
      <c r="O4630">
        <v>-2.8215879999999999E-2</v>
      </c>
      <c r="P4630">
        <v>0.97699619999999998</v>
      </c>
      <c r="Q4630">
        <v>0.21012749999999999</v>
      </c>
      <c r="R4630">
        <v>3.639742E-2</v>
      </c>
      <c r="S4630">
        <v>3.1091920000000002</v>
      </c>
      <c r="T4630">
        <v>-0.2063364</v>
      </c>
      <c r="U4630">
        <v>0.17150879999999999</v>
      </c>
      <c r="V4630">
        <v>-6.5325099999999997E-2</v>
      </c>
      <c r="W4630">
        <v>0.2234738</v>
      </c>
      <c r="X4630">
        <v>0.97251840000000001</v>
      </c>
      <c r="Y4630">
        <v>-8.2988080000000006E-2</v>
      </c>
      <c r="Z4630">
        <v>4.6179659999999898E-3</v>
      </c>
      <c r="AA4630">
        <v>0.99653979999999998</v>
      </c>
      <c r="AB4630">
        <v>27</v>
      </c>
      <c r="AC4630">
        <v>16.494899999999902</v>
      </c>
      <c r="AD4630">
        <v>-1.1128168320059999</v>
      </c>
      <c r="AE4630">
        <v>0.92966000000000004</v>
      </c>
      <c r="AF4630">
        <v>-1.38845477719803</v>
      </c>
      <c r="AG4630">
        <v>-1.1128168320059999</v>
      </c>
      <c r="AH4630">
        <v>16.387745985125399</v>
      </c>
      <c r="AI4630">
        <v>93.870904344935994</v>
      </c>
      <c r="AJ4630">
        <v>94.842829649155902</v>
      </c>
      <c r="AK4630">
        <v>16.484064621412799</v>
      </c>
      <c r="AL4630">
        <v>77.086851313711705</v>
      </c>
      <c r="AM4630">
        <v>93.842846084616298</v>
      </c>
      <c r="AN4630">
        <v>0.999999973157504</v>
      </c>
    </row>
    <row r="4631" spans="1:40" x14ac:dyDescent="0.25">
      <c r="A4631" t="str">
        <f>"20190312172759080"</f>
        <v>20190312172759080</v>
      </c>
      <c r="B4631" t="str">
        <f>"1552382879073695"</f>
        <v>1552382879073695</v>
      </c>
      <c r="C4631" t="s">
        <v>40</v>
      </c>
      <c r="D4631">
        <v>3.84375</v>
      </c>
      <c r="E4631">
        <v>0.49456519999999998</v>
      </c>
      <c r="F4631" t="s">
        <v>55</v>
      </c>
      <c r="G4631">
        <v>-362.91680000000002</v>
      </c>
      <c r="H4631" s="1">
        <v>-3.8996400000000002E-6</v>
      </c>
      <c r="I4631">
        <v>16.510449999999999</v>
      </c>
      <c r="J4631">
        <v>-379.30509999999998</v>
      </c>
      <c r="K4631">
        <v>1.1128039999999999</v>
      </c>
      <c r="L4631">
        <v>15.564970000000001</v>
      </c>
      <c r="M4631">
        <v>0.9995908</v>
      </c>
      <c r="N4631">
        <v>0</v>
      </c>
      <c r="O4631">
        <v>-2.4888819999999999E-2</v>
      </c>
      <c r="P4631">
        <v>0.97704630000000003</v>
      </c>
      <c r="Q4631">
        <v>0.20955889999999999</v>
      </c>
      <c r="R4631">
        <v>3.8283879999999999E-2</v>
      </c>
      <c r="S4631">
        <v>3.1087950000000002</v>
      </c>
      <c r="T4631">
        <v>-0.207872</v>
      </c>
      <c r="U4631">
        <v>0.17596439999999999</v>
      </c>
      <c r="V4631">
        <v>-6.3957070000000005E-2</v>
      </c>
      <c r="W4631">
        <v>0.2229151</v>
      </c>
      <c r="X4631">
        <v>0.97273759999999998</v>
      </c>
      <c r="Y4631">
        <v>-8.1109639999999997E-2</v>
      </c>
      <c r="Z4631">
        <v>4.3679050000000001E-3</v>
      </c>
      <c r="AA4631">
        <v>0.99669560000000001</v>
      </c>
      <c r="AB4631">
        <v>27</v>
      </c>
      <c r="AC4631">
        <v>16.388299999999902</v>
      </c>
      <c r="AD4631">
        <v>-1.1128078996399999</v>
      </c>
      <c r="AE4631">
        <v>0.94547999999999799</v>
      </c>
      <c r="AF4631">
        <v>-1.3469233112679599</v>
      </c>
      <c r="AG4631">
        <v>-1.1128078996399999</v>
      </c>
      <c r="AH4631">
        <v>16.2848516212619</v>
      </c>
      <c r="AI4631">
        <v>93.895906636422097</v>
      </c>
      <c r="AJ4631">
        <v>94.728183102152101</v>
      </c>
      <c r="AK4631">
        <v>16.3783068769166</v>
      </c>
      <c r="AL4631">
        <v>77.119691801983095</v>
      </c>
      <c r="AM4631">
        <v>93.761757876054702</v>
      </c>
      <c r="AN4631">
        <v>1.0000000435323699</v>
      </c>
    </row>
    <row r="4632" spans="1:40" x14ac:dyDescent="0.25">
      <c r="A4632" t="str">
        <f>"20190312172759102"</f>
        <v>20190312172759102</v>
      </c>
      <c r="B4632" t="str">
        <f>"1552382879094190"</f>
        <v>1552382879094190</v>
      </c>
      <c r="C4632" t="s">
        <v>40</v>
      </c>
      <c r="D4632">
        <v>3.9131550000000002</v>
      </c>
      <c r="E4632">
        <v>0.49473980000000001</v>
      </c>
      <c r="F4632" t="s">
        <v>55</v>
      </c>
      <c r="G4632">
        <v>-362.85270000000003</v>
      </c>
      <c r="H4632" s="1">
        <v>-3.9281300000000001E-6</v>
      </c>
      <c r="I4632">
        <v>16.520700000000001</v>
      </c>
      <c r="J4632">
        <v>-379.03089999999997</v>
      </c>
      <c r="K4632">
        <v>1.1127940000000001</v>
      </c>
      <c r="L4632">
        <v>15.56216</v>
      </c>
      <c r="M4632">
        <v>0.9996737</v>
      </c>
      <c r="N4632">
        <v>0</v>
      </c>
      <c r="O4632">
        <v>-2.1301290000000001E-2</v>
      </c>
      <c r="P4632">
        <v>0.97692319999999999</v>
      </c>
      <c r="Q4632">
        <v>0.20977009999999999</v>
      </c>
      <c r="R4632">
        <v>4.0222180000000003E-2</v>
      </c>
      <c r="S4632">
        <v>3.1084900000000002</v>
      </c>
      <c r="T4632">
        <v>-0.21025189999999999</v>
      </c>
      <c r="U4632">
        <v>0.1805725</v>
      </c>
      <c r="V4632">
        <v>-6.2386919999999998E-2</v>
      </c>
      <c r="W4632">
        <v>0.22313540000000001</v>
      </c>
      <c r="X4632">
        <v>0.97278900000000001</v>
      </c>
      <c r="Y4632">
        <v>-7.9018229999999995E-2</v>
      </c>
      <c r="Z4632">
        <v>4.1052340000000001E-3</v>
      </c>
      <c r="AA4632">
        <v>0.99686470000000005</v>
      </c>
      <c r="AB4632">
        <v>27</v>
      </c>
      <c r="AC4632">
        <v>16.178199999999901</v>
      </c>
      <c r="AD4632">
        <v>-1.11279792813</v>
      </c>
      <c r="AE4632">
        <v>0.95854000000000095</v>
      </c>
      <c r="AF4632">
        <v>-1.29685899823318</v>
      </c>
      <c r="AG4632">
        <v>-1.11279792813</v>
      </c>
      <c r="AH4632">
        <v>16.078304567230202</v>
      </c>
      <c r="AI4632">
        <v>93.946417096209402</v>
      </c>
      <c r="AJ4632">
        <v>94.6114336602474</v>
      </c>
      <c r="AK4632">
        <v>16.168860202462199</v>
      </c>
      <c r="AL4632">
        <v>77.1067426590444</v>
      </c>
      <c r="AM4632">
        <v>93.6694686329799</v>
      </c>
      <c r="AN4632">
        <v>0.99999998652062305</v>
      </c>
    </row>
    <row r="4633" spans="1:40" x14ac:dyDescent="0.25">
      <c r="A4633" t="str">
        <f>"20190312172759125"</f>
        <v>20190312172759125</v>
      </c>
      <c r="B4633" t="str">
        <f>"1552382879113713"</f>
        <v>1552382879113713</v>
      </c>
      <c r="C4633" t="s">
        <v>40</v>
      </c>
      <c r="D4633">
        <v>3.8180429999999999</v>
      </c>
      <c r="E4633">
        <v>0.49498920000000002</v>
      </c>
      <c r="F4633" t="s">
        <v>55</v>
      </c>
      <c r="G4633">
        <v>-362.57870000000003</v>
      </c>
      <c r="H4633" s="1">
        <v>-4.0536410000000001E-6</v>
      </c>
      <c r="I4633">
        <v>16.54327</v>
      </c>
      <c r="J4633">
        <v>-378.77120000000002</v>
      </c>
      <c r="K4633">
        <v>1.112779</v>
      </c>
      <c r="L4633">
        <v>15.56039</v>
      </c>
      <c r="M4633">
        <v>0.99974030000000003</v>
      </c>
      <c r="N4633">
        <v>0</v>
      </c>
      <c r="O4633">
        <v>-1.7903539999999999E-2</v>
      </c>
      <c r="P4633">
        <v>0.97692570000000001</v>
      </c>
      <c r="Q4633">
        <v>0.2093189</v>
      </c>
      <c r="R4633">
        <v>4.244904E-2</v>
      </c>
      <c r="S4633">
        <v>3.108368</v>
      </c>
      <c r="T4633">
        <v>-0.2102445</v>
      </c>
      <c r="U4633">
        <v>0.1853638</v>
      </c>
      <c r="V4633">
        <v>-6.129018E-2</v>
      </c>
      <c r="W4633">
        <v>0.22269149999999999</v>
      </c>
      <c r="X4633">
        <v>0.97296050000000001</v>
      </c>
      <c r="Y4633">
        <v>-7.7175560000000004E-2</v>
      </c>
      <c r="Z4633">
        <v>3.8134710000000001E-3</v>
      </c>
      <c r="AA4633">
        <v>0.99701019999999896</v>
      </c>
      <c r="AB4633">
        <v>27</v>
      </c>
      <c r="AC4633">
        <v>16.1924999999999</v>
      </c>
      <c r="AD4633">
        <v>-1.1127830536409999</v>
      </c>
      <c r="AE4633">
        <v>0.98287999999999898</v>
      </c>
      <c r="AF4633">
        <v>-1.2666940284524799</v>
      </c>
      <c r="AG4633">
        <v>-1.1127830536409999</v>
      </c>
      <c r="AH4633">
        <v>16.096564670181099</v>
      </c>
      <c r="AI4633">
        <v>93.942513372936503</v>
      </c>
      <c r="AJ4633">
        <v>94.499529198913805</v>
      </c>
      <c r="AK4633">
        <v>16.184628326517402</v>
      </c>
      <c r="AL4633">
        <v>77.132833721988305</v>
      </c>
      <c r="AM4633">
        <v>93.604498527677194</v>
      </c>
      <c r="AN4633">
        <v>1.00000006244846</v>
      </c>
    </row>
    <row r="4634" spans="1:40" x14ac:dyDescent="0.25">
      <c r="A4634" t="str">
        <f>"20190312172759147"</f>
        <v>20190312172759147</v>
      </c>
      <c r="B4634" t="str">
        <f>"1552382879143968"</f>
        <v>1552382879143968</v>
      </c>
      <c r="C4634" t="s">
        <v>40</v>
      </c>
      <c r="D4634">
        <v>3.9676550000000002</v>
      </c>
      <c r="E4634">
        <v>0.49531969999999997</v>
      </c>
      <c r="F4634" t="s">
        <v>55</v>
      </c>
      <c r="G4634">
        <v>-362.46359999999999</v>
      </c>
      <c r="H4634" s="1">
        <v>-4.10524999999999E-6</v>
      </c>
      <c r="I4634">
        <v>16.559079999999899</v>
      </c>
      <c r="J4634">
        <v>-378.50439999999998</v>
      </c>
      <c r="K4634">
        <v>1.1127579999999999</v>
      </c>
      <c r="L4634">
        <v>15.559480000000001</v>
      </c>
      <c r="M4634">
        <v>0.99979680000000004</v>
      </c>
      <c r="N4634">
        <v>0</v>
      </c>
      <c r="O4634">
        <v>-1.4412700000000001E-2</v>
      </c>
      <c r="P4634">
        <v>0.97707339999999998</v>
      </c>
      <c r="Q4634">
        <v>0.2082514</v>
      </c>
      <c r="R4634">
        <v>4.4262000000000003E-2</v>
      </c>
      <c r="S4634">
        <v>3.1080320000000001</v>
      </c>
      <c r="T4634">
        <v>-0.21208289999999999</v>
      </c>
      <c r="U4634">
        <v>0.19033810000000001</v>
      </c>
      <c r="V4634">
        <v>-5.9686120000000002E-2</v>
      </c>
      <c r="W4634">
        <v>0.22163659999999999</v>
      </c>
      <c r="X4634">
        <v>0.97330099999999997</v>
      </c>
      <c r="Y4634">
        <v>-7.5299140000000001E-2</v>
      </c>
      <c r="Z4634">
        <v>3.5453189999999999E-3</v>
      </c>
      <c r="AA4634">
        <v>0.99715469999999895</v>
      </c>
      <c r="AB4634">
        <v>27</v>
      </c>
      <c r="AC4634">
        <v>16.040799999999901</v>
      </c>
      <c r="AD4634">
        <v>-1.1127621052500001</v>
      </c>
      <c r="AE4634">
        <v>0.99959999999999904</v>
      </c>
      <c r="AF4634">
        <v>-1.22483886506109</v>
      </c>
      <c r="AG4634">
        <v>-1.1127621052500001</v>
      </c>
      <c r="AH4634">
        <v>15.9482741886606</v>
      </c>
      <c r="AI4634">
        <v>93.979560004809102</v>
      </c>
      <c r="AJ4634">
        <v>94.3917357237342</v>
      </c>
      <c r="AK4634">
        <v>16.033899068690101</v>
      </c>
      <c r="AL4634">
        <v>77.194823750530503</v>
      </c>
      <c r="AM4634">
        <v>93.509177200614801</v>
      </c>
      <c r="AN4634">
        <v>1.0000000259905999</v>
      </c>
    </row>
    <row r="4635" spans="1:40" x14ac:dyDescent="0.25">
      <c r="A4635" t="str">
        <f>"20190312172759171"</f>
        <v>20190312172759171</v>
      </c>
      <c r="B4635" t="str">
        <f>"1552382879164464"</f>
        <v>1552382879164464</v>
      </c>
      <c r="C4635" t="s">
        <v>40</v>
      </c>
      <c r="D4635">
        <v>3.853755</v>
      </c>
      <c r="E4635">
        <v>0.49554670000000001</v>
      </c>
      <c r="F4635" t="s">
        <v>55</v>
      </c>
      <c r="G4635">
        <v>-362.52370000000002</v>
      </c>
      <c r="H4635" s="1">
        <v>-4.0771670000000003E-6</v>
      </c>
      <c r="I4635">
        <v>16.557220000000001</v>
      </c>
      <c r="J4635">
        <v>-378.23379999999997</v>
      </c>
      <c r="K4635">
        <v>1.1127479999999901</v>
      </c>
      <c r="L4635">
        <v>15.55963</v>
      </c>
      <c r="M4635">
        <v>0.9998416</v>
      </c>
      <c r="N4635">
        <v>0</v>
      </c>
      <c r="O4635">
        <v>-1.0874780000000001E-2</v>
      </c>
      <c r="P4635">
        <v>0.97711910000000002</v>
      </c>
      <c r="Q4635">
        <v>0.20778450000000001</v>
      </c>
      <c r="R4635">
        <v>4.5427719999999998E-2</v>
      </c>
      <c r="S4635">
        <v>3.107758</v>
      </c>
      <c r="T4635">
        <v>-0.21639839999999999</v>
      </c>
      <c r="U4635">
        <v>0.1940308</v>
      </c>
      <c r="V4635">
        <v>-5.739002E-2</v>
      </c>
      <c r="W4635">
        <v>0.2211851</v>
      </c>
      <c r="X4635">
        <v>0.97354169999999995</v>
      </c>
      <c r="Y4635">
        <v>-7.2961799999999993E-2</v>
      </c>
      <c r="Z4635">
        <v>3.2904050000000002E-3</v>
      </c>
      <c r="AA4635">
        <v>0.99732929999999997</v>
      </c>
      <c r="AB4635">
        <v>27</v>
      </c>
      <c r="AC4635">
        <v>15.710099999999899</v>
      </c>
      <c r="AD4635">
        <v>-1.1127520771670001</v>
      </c>
      <c r="AE4635">
        <v>0.99759000000000198</v>
      </c>
      <c r="AF4635">
        <v>-1.1625826561888299</v>
      </c>
      <c r="AG4635">
        <v>-1.1127520771670001</v>
      </c>
      <c r="AH4635">
        <v>15.620269954811301</v>
      </c>
      <c r="AI4635">
        <v>94.063534292563105</v>
      </c>
      <c r="AJ4635">
        <v>94.256551874745199</v>
      </c>
      <c r="AK4635">
        <v>15.702950330396201</v>
      </c>
      <c r="AL4635">
        <v>77.221350230935101</v>
      </c>
      <c r="AM4635">
        <v>93.373666416462896</v>
      </c>
      <c r="AN4635">
        <v>0.999999952248249</v>
      </c>
    </row>
    <row r="4636" spans="1:40" x14ac:dyDescent="0.25">
      <c r="A4636" t="str">
        <f>"20190312172759196"</f>
        <v>20190312172759196</v>
      </c>
      <c r="B4636" t="str">
        <f>"1552382879183982"</f>
        <v>1552382879183982</v>
      </c>
      <c r="C4636" t="s">
        <v>40</v>
      </c>
      <c r="D4636">
        <v>3.9379789999999999</v>
      </c>
      <c r="E4636">
        <v>0.49577159999999898</v>
      </c>
      <c r="F4636" t="s">
        <v>55</v>
      </c>
      <c r="G4636">
        <v>-362.39960000000002</v>
      </c>
      <c r="H4636" s="1">
        <v>-4.1343390000000004E-6</v>
      </c>
      <c r="I4636">
        <v>16.565560000000001</v>
      </c>
      <c r="J4636">
        <v>-377.93529999999998</v>
      </c>
      <c r="K4636">
        <v>1.1127309999999999</v>
      </c>
      <c r="L4636">
        <v>15.560879999999999</v>
      </c>
      <c r="M4636">
        <v>0.9998764</v>
      </c>
      <c r="N4636">
        <v>0</v>
      </c>
      <c r="O4636">
        <v>-6.9770129999999998E-3</v>
      </c>
      <c r="P4636">
        <v>0.97721150000000001</v>
      </c>
      <c r="Q4636">
        <v>0.20694119999999999</v>
      </c>
      <c r="R4636">
        <v>4.7256909999999999E-2</v>
      </c>
      <c r="S4636">
        <v>3.1075439999999999</v>
      </c>
      <c r="T4636">
        <v>-0.21838360000000001</v>
      </c>
      <c r="U4636">
        <v>0.19741819999999999</v>
      </c>
      <c r="V4636">
        <v>-5.5401619999999999E-2</v>
      </c>
      <c r="W4636">
        <v>0.22035669999999999</v>
      </c>
      <c r="X4636">
        <v>0.97384470000000001</v>
      </c>
      <c r="Y4636">
        <v>-7.0173490000000005E-2</v>
      </c>
      <c r="Z4636">
        <v>2.949513E-3</v>
      </c>
      <c r="AA4636">
        <v>0.99753049999999999</v>
      </c>
      <c r="AB4636">
        <v>27</v>
      </c>
      <c r="AC4636">
        <v>15.535699999999901</v>
      </c>
      <c r="AD4636">
        <v>-1.112735134339</v>
      </c>
      <c r="AE4636">
        <v>1.00468</v>
      </c>
      <c r="AF4636">
        <v>-1.10740171127374</v>
      </c>
      <c r="AG4636">
        <v>-1.112735134339</v>
      </c>
      <c r="AH4636">
        <v>15.449385323271001</v>
      </c>
      <c r="AI4636">
        <v>94.109083148897597</v>
      </c>
      <c r="AJ4636">
        <v>94.099911453341093</v>
      </c>
      <c r="AK4636">
        <v>15.528941525301301</v>
      </c>
      <c r="AL4636">
        <v>77.270014888186495</v>
      </c>
      <c r="AM4636">
        <v>93.256023470891193</v>
      </c>
      <c r="AN4636">
        <v>0.99999995722580104</v>
      </c>
    </row>
    <row r="4637" spans="1:40" x14ac:dyDescent="0.25">
      <c r="A4637" t="str">
        <f>"20190312172759217"</f>
        <v>20190312172759217</v>
      </c>
      <c r="B4637" t="str">
        <f>"1552382879204479"</f>
        <v>1552382879204479</v>
      </c>
      <c r="C4637" t="s">
        <v>40</v>
      </c>
      <c r="D4637">
        <v>3.9601769999999998</v>
      </c>
      <c r="E4637">
        <v>0.49598520000000001</v>
      </c>
      <c r="F4637" t="s">
        <v>55</v>
      </c>
      <c r="G4637">
        <v>-362.34460000000001</v>
      </c>
      <c r="H4637" s="1">
        <v>-4.1581470000000003E-6</v>
      </c>
      <c r="I4637">
        <v>16.577960000000001</v>
      </c>
      <c r="J4637">
        <v>-377.6918</v>
      </c>
      <c r="K4637">
        <v>1.1127119999999999</v>
      </c>
      <c r="L4637">
        <v>15.562709999999999</v>
      </c>
      <c r="M4637">
        <v>0.99989360000000005</v>
      </c>
      <c r="N4637">
        <v>0</v>
      </c>
      <c r="O4637">
        <v>-3.805325E-3</v>
      </c>
      <c r="P4637">
        <v>0.97748800000000002</v>
      </c>
      <c r="Q4637">
        <v>0.2053198</v>
      </c>
      <c r="R4637">
        <v>4.8592799999999998E-2</v>
      </c>
      <c r="S4637">
        <v>3.1071469999999999</v>
      </c>
      <c r="T4637">
        <v>-0.22176290000000001</v>
      </c>
      <c r="U4637">
        <v>0.20269780000000001</v>
      </c>
      <c r="V4637">
        <v>-5.3622900000000001E-2</v>
      </c>
      <c r="W4637">
        <v>0.2187509</v>
      </c>
      <c r="X4637">
        <v>0.97430620000000001</v>
      </c>
      <c r="Y4637">
        <v>-6.8711060000000004E-2</v>
      </c>
      <c r="Z4637">
        <v>2.7173100000000001E-3</v>
      </c>
      <c r="AA4637">
        <v>0.99763290000000004</v>
      </c>
      <c r="AB4637">
        <v>27</v>
      </c>
      <c r="AC4637">
        <v>15.3471999999999</v>
      </c>
      <c r="AD4637">
        <v>-1.112716158147</v>
      </c>
      <c r="AE4637">
        <v>1.01525</v>
      </c>
      <c r="AF4637">
        <v>-1.06805955193056</v>
      </c>
      <c r="AG4637">
        <v>-1.112716158147</v>
      </c>
      <c r="AH4637">
        <v>15.2633404034835</v>
      </c>
      <c r="AI4637">
        <v>94.159421075900696</v>
      </c>
      <c r="AJ4637">
        <v>94.002774824467707</v>
      </c>
      <c r="AK4637">
        <v>15.3410706512839</v>
      </c>
      <c r="AL4637">
        <v>77.364321694906096</v>
      </c>
      <c r="AM4637">
        <v>93.150210212605003</v>
      </c>
      <c r="AN4637">
        <v>0.99999997150682896</v>
      </c>
    </row>
    <row r="4638" spans="1:40" x14ac:dyDescent="0.25">
      <c r="A4638" t="str">
        <f>"20190312172759239"</f>
        <v>20190312172759239</v>
      </c>
      <c r="B4638" t="str">
        <f>"1552382879233759"</f>
        <v>1552382879233759</v>
      </c>
      <c r="C4638" t="s">
        <v>40</v>
      </c>
      <c r="D4638">
        <v>3.9396249999999999</v>
      </c>
      <c r="E4638">
        <v>0.49633759999999999</v>
      </c>
      <c r="F4638" t="s">
        <v>55</v>
      </c>
      <c r="G4638">
        <v>-362.50119999999998</v>
      </c>
      <c r="H4638" s="1">
        <v>-4.0864179999999996E-6</v>
      </c>
      <c r="I4638">
        <v>16.564989999999899</v>
      </c>
      <c r="J4638">
        <v>-377.42869999999999</v>
      </c>
      <c r="K4638">
        <v>1.112689</v>
      </c>
      <c r="L4638">
        <v>15.56555</v>
      </c>
      <c r="M4638">
        <v>0.99990080000000003</v>
      </c>
      <c r="N4638">
        <v>0</v>
      </c>
      <c r="O4638">
        <v>-3.9516669999999999E-4</v>
      </c>
      <c r="P4638">
        <v>0.9778327</v>
      </c>
      <c r="Q4638">
        <v>0.20324629999999999</v>
      </c>
      <c r="R4638">
        <v>5.0342770000000002E-2</v>
      </c>
      <c r="S4638">
        <v>3.1067809999999998</v>
      </c>
      <c r="T4638">
        <v>-0.22757330000000001</v>
      </c>
      <c r="U4638">
        <v>0.20498659999999999</v>
      </c>
      <c r="V4638">
        <v>-5.2017979999999998E-2</v>
      </c>
      <c r="W4638">
        <v>0.21669340000000001</v>
      </c>
      <c r="X4638">
        <v>0.97485290000000002</v>
      </c>
      <c r="Y4638">
        <v>-6.6054310000000005E-2</v>
      </c>
      <c r="Z4638">
        <v>2.4422839999999999E-3</v>
      </c>
      <c r="AA4638">
        <v>0.99781299999999995</v>
      </c>
      <c r="AB4638">
        <v>27</v>
      </c>
      <c r="AC4638">
        <v>14.9275</v>
      </c>
      <c r="AD4638">
        <v>-1.112693086418</v>
      </c>
      <c r="AE4638">
        <v>0.999439999999998</v>
      </c>
      <c r="AF4638">
        <v>-0.99980902551457496</v>
      </c>
      <c r="AG4638">
        <v>-1.112693086418</v>
      </c>
      <c r="AH4638">
        <v>14.844990440779201</v>
      </c>
      <c r="AI4638">
        <v>94.276885920664199</v>
      </c>
      <c r="AJ4638">
        <v>93.853047784928805</v>
      </c>
      <c r="AK4638">
        <v>14.920169073401601</v>
      </c>
      <c r="AL4638">
        <v>77.485106141494995</v>
      </c>
      <c r="AM4638">
        <v>93.054396059644503</v>
      </c>
      <c r="AN4638">
        <v>1.00000003824262</v>
      </c>
    </row>
    <row r="4639" spans="1:40" x14ac:dyDescent="0.25">
      <c r="A4639" t="str">
        <f>"20190312172759259"</f>
        <v>20190312172759259</v>
      </c>
      <c r="B4639" t="str">
        <f>"1552382879254255"</f>
        <v>1552382879254255</v>
      </c>
      <c r="C4639" t="s">
        <v>40</v>
      </c>
      <c r="D4639">
        <v>3.8379449999999999</v>
      </c>
      <c r="E4639">
        <v>0.49657980000000002</v>
      </c>
      <c r="F4639" t="s">
        <v>55</v>
      </c>
      <c r="G4639">
        <v>-362.71510000000001</v>
      </c>
      <c r="H4639" s="1">
        <v>-3.9892940000000003E-6</v>
      </c>
      <c r="I4639">
        <v>16.542470000000002</v>
      </c>
      <c r="J4639">
        <v>-377.19130000000001</v>
      </c>
      <c r="K4639">
        <v>1.1126659999999999</v>
      </c>
      <c r="L4639">
        <v>15.568849999999999</v>
      </c>
      <c r="M4639">
        <v>0.99989740000000005</v>
      </c>
      <c r="N4639">
        <v>0</v>
      </c>
      <c r="O4639">
        <v>2.6519450000000002E-3</v>
      </c>
      <c r="P4639">
        <v>0.97798560000000001</v>
      </c>
      <c r="Q4639">
        <v>0.2022322</v>
      </c>
      <c r="R4639">
        <v>5.1439989999999998E-2</v>
      </c>
      <c r="S4639">
        <v>3.106201</v>
      </c>
      <c r="T4639">
        <v>-0.23490249999999999</v>
      </c>
      <c r="U4639">
        <v>0.2062378</v>
      </c>
      <c r="V4639">
        <v>-5.0115460000000001E-2</v>
      </c>
      <c r="W4639">
        <v>0.2156942</v>
      </c>
      <c r="X4639">
        <v>0.97517410000000004</v>
      </c>
      <c r="Y4639">
        <v>-6.3430249999999994E-2</v>
      </c>
      <c r="Z4639">
        <v>2.1923139999999999E-3</v>
      </c>
      <c r="AA4639">
        <v>0.99798390000000003</v>
      </c>
      <c r="AB4639">
        <v>26</v>
      </c>
      <c r="AC4639">
        <v>14.4762</v>
      </c>
      <c r="AD4639">
        <v>-1.112669989294</v>
      </c>
      <c r="AE4639">
        <v>0.97362000000000204</v>
      </c>
      <c r="AF4639">
        <v>-0.92975464284202403</v>
      </c>
      <c r="AG4639">
        <v>-1.112669989294</v>
      </c>
      <c r="AH4639">
        <v>14.394077353794099</v>
      </c>
      <c r="AI4639">
        <v>94.411048702056405</v>
      </c>
      <c r="AJ4639">
        <v>93.695764179506696</v>
      </c>
      <c r="AK4639">
        <v>14.466925764237899</v>
      </c>
      <c r="AL4639">
        <v>77.543742789830205</v>
      </c>
      <c r="AM4639">
        <v>92.941916206728905</v>
      </c>
      <c r="AN4639">
        <v>1.0000000362777299</v>
      </c>
    </row>
    <row r="4640" spans="1:40" x14ac:dyDescent="0.25">
      <c r="A4640" t="str">
        <f>"20190312172759281"</f>
        <v>20190312172759281</v>
      </c>
      <c r="B4640" t="str">
        <f>"1552382879273775"</f>
        <v>1552382879273775</v>
      </c>
      <c r="C4640" t="s">
        <v>40</v>
      </c>
      <c r="D4640">
        <v>3.8506300000000002</v>
      </c>
      <c r="E4640">
        <v>0.49668610000000002</v>
      </c>
      <c r="F4640" t="s">
        <v>55</v>
      </c>
      <c r="G4640">
        <v>-362.69200000000001</v>
      </c>
      <c r="H4640" s="1">
        <v>-4.0014810000000003E-6</v>
      </c>
      <c r="I4640">
        <v>16.53548</v>
      </c>
      <c r="J4640">
        <v>-376.92579999999998</v>
      </c>
      <c r="K4640">
        <v>1.112628</v>
      </c>
      <c r="L4640">
        <v>15.57333</v>
      </c>
      <c r="M4640">
        <v>0.99988290000000002</v>
      </c>
      <c r="N4640">
        <v>0</v>
      </c>
      <c r="O4640">
        <v>6.0088750000000003E-3</v>
      </c>
      <c r="P4640">
        <v>0.97800109999999996</v>
      </c>
      <c r="Q4640">
        <v>0.20189489999999999</v>
      </c>
      <c r="R4640">
        <v>5.246406E-2</v>
      </c>
      <c r="S4640">
        <v>3.105896</v>
      </c>
      <c r="T4640">
        <v>-0.238344</v>
      </c>
      <c r="U4640">
        <v>0.20706179999999999</v>
      </c>
      <c r="V4640">
        <v>-4.7831930000000002E-2</v>
      </c>
      <c r="W4640">
        <v>0.2153735</v>
      </c>
      <c r="X4640">
        <v>0.97535959999999999</v>
      </c>
      <c r="Y4640">
        <v>-6.036321E-2</v>
      </c>
      <c r="Z4640">
        <v>1.8502080000000001E-3</v>
      </c>
      <c r="AA4640">
        <v>0.99817480000000003</v>
      </c>
      <c r="AB4640">
        <v>26</v>
      </c>
      <c r="AC4640">
        <v>14.2338</v>
      </c>
      <c r="AD4640">
        <v>-1.1126320014810001</v>
      </c>
      <c r="AE4640">
        <v>0.96215000000000095</v>
      </c>
      <c r="AF4640">
        <v>-0.87129538277360696</v>
      </c>
      <c r="AG4640">
        <v>-1.1126320014810001</v>
      </c>
      <c r="AH4640">
        <v>14.1532380436254</v>
      </c>
      <c r="AI4640">
        <v>94.486504084333603</v>
      </c>
      <c r="AJ4640">
        <v>93.522771704492101</v>
      </c>
      <c r="AK4640">
        <v>14.223616021753701</v>
      </c>
      <c r="AL4640">
        <v>77.562559275700096</v>
      </c>
      <c r="AM4640">
        <v>92.807553134679495</v>
      </c>
      <c r="AN4640">
        <v>0.99999999367096704</v>
      </c>
    </row>
    <row r="4641" spans="1:40" x14ac:dyDescent="0.25">
      <c r="A4641" t="str">
        <f>"20190312172759305"</f>
        <v>20190312172759305</v>
      </c>
      <c r="B4641" t="str">
        <f>"1552382879294271"</f>
        <v>1552382879294271</v>
      </c>
      <c r="C4641" t="s">
        <v>40</v>
      </c>
      <c r="D4641">
        <v>3.8542290000000001</v>
      </c>
      <c r="E4641">
        <v>0.50836979999999998</v>
      </c>
      <c r="F4641" t="s">
        <v>55</v>
      </c>
      <c r="G4641">
        <v>-362.50360000000001</v>
      </c>
      <c r="H4641" s="1">
        <v>-4.0893890000000001E-6</v>
      </c>
      <c r="I4641">
        <v>16.541820000000001</v>
      </c>
      <c r="J4641">
        <v>-376.6551</v>
      </c>
      <c r="K4641">
        <v>1.1125640000000001</v>
      </c>
      <c r="L4641">
        <v>15.57877</v>
      </c>
      <c r="M4641">
        <v>0.99985740000000001</v>
      </c>
      <c r="N4641">
        <v>0</v>
      </c>
      <c r="O4641">
        <v>9.3519559999999998E-3</v>
      </c>
      <c r="P4641">
        <v>0.97787080000000004</v>
      </c>
      <c r="Q4641">
        <v>0.20221410000000001</v>
      </c>
      <c r="R4641">
        <v>5.364961E-2</v>
      </c>
      <c r="S4641">
        <v>3.1057130000000002</v>
      </c>
      <c r="T4641">
        <v>-0.2395978</v>
      </c>
      <c r="U4641">
        <v>0.2085571</v>
      </c>
      <c r="V4641">
        <v>-4.5717340000000002E-2</v>
      </c>
      <c r="W4641">
        <v>0.2157068</v>
      </c>
      <c r="X4641">
        <v>0.97538729999999996</v>
      </c>
      <c r="Y4641">
        <v>-5.7524569999999997E-2</v>
      </c>
      <c r="Z4641">
        <v>1.4935549999999999E-3</v>
      </c>
      <c r="AA4641">
        <v>0.99834299999999998</v>
      </c>
      <c r="AB4641">
        <v>26</v>
      </c>
      <c r="AC4641">
        <v>14.1515</v>
      </c>
      <c r="AD4641">
        <v>-1.112568089389</v>
      </c>
      <c r="AE4641">
        <v>0.96304999999999996</v>
      </c>
      <c r="AF4641">
        <v>-0.82557137560510496</v>
      </c>
      <c r="AG4641">
        <v>-1.112568089389</v>
      </c>
      <c r="AH4641">
        <v>14.073304312676701</v>
      </c>
      <c r="AI4641">
        <v>94.512403867718206</v>
      </c>
      <c r="AJ4641">
        <v>93.357250511478199</v>
      </c>
      <c r="AK4641">
        <v>14.141331978528401</v>
      </c>
      <c r="AL4641">
        <v>77.543002263970195</v>
      </c>
      <c r="AM4641">
        <v>92.683544243387601</v>
      </c>
      <c r="AN4641">
        <v>0.99999994187210095</v>
      </c>
    </row>
    <row r="4642" spans="1:40" x14ac:dyDescent="0.25">
      <c r="A4642" t="str">
        <f>"20190312172759325"</f>
        <v>20190312172759325</v>
      </c>
      <c r="B4642" t="str">
        <f>"1552382879313794"</f>
        <v>1552382879313794</v>
      </c>
      <c r="C4642" t="s">
        <v>40</v>
      </c>
      <c r="D4642">
        <v>3.883429</v>
      </c>
      <c r="E4642">
        <v>0.50853559999999998</v>
      </c>
      <c r="F4642" t="s">
        <v>55</v>
      </c>
      <c r="G4642">
        <v>-362.59809999999999</v>
      </c>
      <c r="H4642" s="1">
        <v>-4.120349E-6</v>
      </c>
      <c r="I4642">
        <v>16.115639999999999</v>
      </c>
      <c r="J4642">
        <v>-376.40780000000001</v>
      </c>
      <c r="K4642">
        <v>1.1124940000000001</v>
      </c>
      <c r="L4642">
        <v>15.58441</v>
      </c>
      <c r="M4642">
        <v>0.99982519999999997</v>
      </c>
      <c r="N4642">
        <v>0</v>
      </c>
      <c r="O4642">
        <v>1.2311300000000001E-2</v>
      </c>
      <c r="P4642">
        <v>0.97786919999999999</v>
      </c>
      <c r="Q4642">
        <v>0.2018866</v>
      </c>
      <c r="R4642">
        <v>5.4896149999999998E-2</v>
      </c>
      <c r="S4642">
        <v>3.1122740000000002</v>
      </c>
      <c r="T4642">
        <v>-0.2463263</v>
      </c>
      <c r="U4642">
        <v>0.118866</v>
      </c>
      <c r="V4642">
        <v>-4.4028360000000002E-2</v>
      </c>
      <c r="W4642">
        <v>0.21539349999999999</v>
      </c>
      <c r="X4642">
        <v>0.97553429999999997</v>
      </c>
      <c r="Y4642">
        <v>-2.5816220000000001E-2</v>
      </c>
      <c r="Z4642" s="1">
        <v>4.7124050000000002E-5</v>
      </c>
      <c r="AA4642">
        <v>0.99966670000000002</v>
      </c>
      <c r="AB4642">
        <v>26</v>
      </c>
      <c r="AC4642">
        <v>13.809699999999999</v>
      </c>
      <c r="AD4642">
        <v>-1.1124981203489901</v>
      </c>
      <c r="AE4642">
        <v>0.53122999999999898</v>
      </c>
      <c r="AF4642">
        <v>-0.35883223607304199</v>
      </c>
      <c r="AG4642">
        <v>-1.1124981203489901</v>
      </c>
      <c r="AH4642">
        <v>13.726245267544201</v>
      </c>
      <c r="AI4642">
        <v>94.632060307670002</v>
      </c>
      <c r="AJ4642">
        <v>91.497488255585296</v>
      </c>
      <c r="AK4642">
        <v>13.7759290716163</v>
      </c>
      <c r="AL4642">
        <v>77.5613860678761</v>
      </c>
      <c r="AM4642">
        <v>92.584151545424803</v>
      </c>
      <c r="AN4642">
        <v>1.0000000134015099</v>
      </c>
    </row>
    <row r="4643" spans="1:40" x14ac:dyDescent="0.25">
      <c r="A4643" t="str">
        <f>"20190312172759349"</f>
        <v>20190312172759349</v>
      </c>
      <c r="B4643" t="str">
        <f>"1552382879344046"</f>
        <v>1552382879344046</v>
      </c>
      <c r="C4643" t="s">
        <v>40</v>
      </c>
      <c r="D4643">
        <v>3.9114089999999999</v>
      </c>
      <c r="E4643">
        <v>0.50869059999999999</v>
      </c>
      <c r="F4643" t="s">
        <v>55</v>
      </c>
      <c r="G4643">
        <v>-362.34190000000001</v>
      </c>
      <c r="H4643" s="1">
        <v>-4.2392790000000003E-6</v>
      </c>
      <c r="I4643">
        <v>16.127890000000001</v>
      </c>
      <c r="J4643">
        <v>-376.13850000000002</v>
      </c>
      <c r="K4643">
        <v>1.1123909999999999</v>
      </c>
      <c r="L4643">
        <v>15.591279999999999</v>
      </c>
      <c r="M4643">
        <v>0.99978259999999997</v>
      </c>
      <c r="N4643">
        <v>0</v>
      </c>
      <c r="O4643">
        <v>1.540596E-2</v>
      </c>
      <c r="P4643">
        <v>0.97791360000000005</v>
      </c>
      <c r="Q4643">
        <v>0.2012321</v>
      </c>
      <c r="R4643">
        <v>5.6489530000000003E-2</v>
      </c>
      <c r="S4643">
        <v>3.1119379999999999</v>
      </c>
      <c r="T4643">
        <v>-0.24612819999999999</v>
      </c>
      <c r="U4643">
        <v>0.12023929999999999</v>
      </c>
      <c r="V4643">
        <v>-4.2537060000000002E-2</v>
      </c>
      <c r="W4643">
        <v>0.2147531</v>
      </c>
      <c r="X4643">
        <v>0.97574159999999999</v>
      </c>
      <c r="Y4643">
        <v>-2.3184429999999999E-2</v>
      </c>
      <c r="Z4643">
        <v>-3.010469E-4</v>
      </c>
      <c r="AA4643">
        <v>0.99973120000000004</v>
      </c>
      <c r="AB4643">
        <v>26</v>
      </c>
      <c r="AC4643">
        <v>13.7966</v>
      </c>
      <c r="AD4643">
        <v>-1.112395239279</v>
      </c>
      <c r="AE4643">
        <v>0.53661000000000103</v>
      </c>
      <c r="AF4643">
        <v>-0.32188606141502202</v>
      </c>
      <c r="AG4643">
        <v>-1.112395239279</v>
      </c>
      <c r="AH4643">
        <v>13.7142099546554</v>
      </c>
      <c r="AI4643">
        <v>94.635986372740504</v>
      </c>
      <c r="AJ4643">
        <v>91.344541709976696</v>
      </c>
      <c r="AK4643">
        <v>13.7630152395931</v>
      </c>
      <c r="AL4643">
        <v>77.598957149473193</v>
      </c>
      <c r="AM4643">
        <v>92.496205773969507</v>
      </c>
      <c r="AN4643">
        <v>0.99999998270180601</v>
      </c>
    </row>
    <row r="4644" spans="1:40" x14ac:dyDescent="0.25">
      <c r="A4644" t="str">
        <f>"20190312172759371"</f>
        <v>20190312172759371</v>
      </c>
      <c r="B4644" t="str">
        <f>"1552382879364543"</f>
        <v>1552382879364543</v>
      </c>
      <c r="C4644" t="s">
        <v>40</v>
      </c>
      <c r="D4644">
        <v>3.8916270000000002</v>
      </c>
      <c r="E4644">
        <v>0.50452419999999998</v>
      </c>
      <c r="F4644" t="s">
        <v>55</v>
      </c>
      <c r="G4644">
        <v>-362.29</v>
      </c>
      <c r="H4644" s="1">
        <v>-4.2615190000000001E-6</v>
      </c>
      <c r="I4644">
        <v>16.14059</v>
      </c>
      <c r="J4644">
        <v>-375.88130000000001</v>
      </c>
      <c r="K4644">
        <v>1.1122829999999999</v>
      </c>
      <c r="L4644">
        <v>15.59848</v>
      </c>
      <c r="M4644">
        <v>0.9997355</v>
      </c>
      <c r="N4644">
        <v>0</v>
      </c>
      <c r="O4644">
        <v>1.8208559999999999E-2</v>
      </c>
      <c r="P4644">
        <v>0.97789040000000005</v>
      </c>
      <c r="Q4644">
        <v>0.2010383</v>
      </c>
      <c r="R4644">
        <v>5.757085E-2</v>
      </c>
      <c r="S4644">
        <v>3.1120610000000002</v>
      </c>
      <c r="T4644">
        <v>-0.2499807</v>
      </c>
      <c r="U4644">
        <v>0.1234436</v>
      </c>
      <c r="V4644">
        <v>-4.081854E-2</v>
      </c>
      <c r="W4644">
        <v>0.2145734</v>
      </c>
      <c r="X4644">
        <v>0.97585460000000002</v>
      </c>
      <c r="Y4644">
        <v>-2.142208E-2</v>
      </c>
      <c r="Z4644">
        <v>-6.0099749999999999E-4</v>
      </c>
      <c r="AA4644">
        <v>0.9997703</v>
      </c>
      <c r="AB4644">
        <v>26</v>
      </c>
      <c r="AC4644">
        <v>13.591299999999899</v>
      </c>
      <c r="AD4644">
        <v>-1.11228726151899</v>
      </c>
      <c r="AE4644">
        <v>0.54211000000000098</v>
      </c>
      <c r="AF4644">
        <v>-0.29256136373691799</v>
      </c>
      <c r="AG4644">
        <v>-1.11228726151899</v>
      </c>
      <c r="AH4644">
        <v>13.508588379696</v>
      </c>
      <c r="AI4644">
        <v>94.705975463914399</v>
      </c>
      <c r="AJ4644">
        <v>91.240685619114601</v>
      </c>
      <c r="AK4644">
        <v>13.557460496558599</v>
      </c>
      <c r="AL4644">
        <v>77.609499782025097</v>
      </c>
      <c r="AM4644">
        <v>92.395200608713907</v>
      </c>
      <c r="AN4644">
        <v>1.0000000487682199</v>
      </c>
    </row>
    <row r="4645" spans="1:40" x14ac:dyDescent="0.25">
      <c r="A4645" t="str">
        <f>"20190312172759394"</f>
        <v>20190312172759394</v>
      </c>
      <c r="B4645" t="str">
        <f>"1552382879384062"</f>
        <v>1552382879384062</v>
      </c>
      <c r="C4645" t="s">
        <v>40</v>
      </c>
      <c r="D4645">
        <v>3.8408180000000001</v>
      </c>
      <c r="E4645">
        <v>0.50185429999999998</v>
      </c>
      <c r="F4645" t="s">
        <v>55</v>
      </c>
      <c r="G4645">
        <v>-361.83670000000001</v>
      </c>
      <c r="H4645" s="1">
        <v>-4.4438349999999996E-6</v>
      </c>
      <c r="I4645">
        <v>16.32084</v>
      </c>
      <c r="J4645">
        <v>-375.60430000000002</v>
      </c>
      <c r="K4645">
        <v>1.112171</v>
      </c>
      <c r="L4645">
        <v>15.6069</v>
      </c>
      <c r="M4645">
        <v>0.99967899999999998</v>
      </c>
      <c r="N4645">
        <v>0</v>
      </c>
      <c r="O4645">
        <v>2.1086899999999999E-2</v>
      </c>
      <c r="P4645">
        <v>0.97801700000000003</v>
      </c>
      <c r="Q4645">
        <v>0.20007520000000001</v>
      </c>
      <c r="R4645">
        <v>5.8758989999999997E-2</v>
      </c>
      <c r="S4645">
        <v>3.1091000000000002</v>
      </c>
      <c r="T4645">
        <v>-0.24623049999999999</v>
      </c>
      <c r="U4645">
        <v>0.1599121</v>
      </c>
      <c r="V4645">
        <v>-3.9123720000000001E-2</v>
      </c>
      <c r="W4645">
        <v>0.21362500000000001</v>
      </c>
      <c r="X4645">
        <v>0.976132</v>
      </c>
      <c r="Y4645">
        <v>-3.0264449999999998E-2</v>
      </c>
      <c r="Z4645">
        <v>-4.7039E-4</v>
      </c>
      <c r="AA4645">
        <v>0.99954180000000004</v>
      </c>
      <c r="AB4645">
        <v>26</v>
      </c>
      <c r="AC4645">
        <v>13.7676</v>
      </c>
      <c r="AD4645">
        <v>-1.112175443835</v>
      </c>
      <c r="AE4645">
        <v>0.71394000000000002</v>
      </c>
      <c r="AF4645">
        <v>-0.42069857312244102</v>
      </c>
      <c r="AG4645">
        <v>-1.112175443835</v>
      </c>
      <c r="AH4645">
        <v>13.690493317883</v>
      </c>
      <c r="AI4645">
        <v>94.642160285344403</v>
      </c>
      <c r="AJ4645">
        <v>91.760102380151494</v>
      </c>
      <c r="AK4645">
        <v>13.742035103808201</v>
      </c>
      <c r="AL4645">
        <v>77.665128345149796</v>
      </c>
      <c r="AM4645">
        <v>92.295206846321705</v>
      </c>
      <c r="AN4645">
        <v>0.99999999375781901</v>
      </c>
    </row>
    <row r="4646" spans="1:40" x14ac:dyDescent="0.25">
      <c r="A4646" t="str">
        <f>"20190312172759416"</f>
        <v>20190312172759416</v>
      </c>
      <c r="B4646" t="str">
        <f>"1552382879404559"</f>
        <v>1552382879404559</v>
      </c>
      <c r="C4646" t="s">
        <v>40</v>
      </c>
      <c r="D4646">
        <v>3.8647360000000002</v>
      </c>
      <c r="E4646">
        <v>0.50000049999999996</v>
      </c>
      <c r="F4646" t="s">
        <v>55</v>
      </c>
      <c r="G4646">
        <v>-361.27109999999999</v>
      </c>
      <c r="H4646" s="1">
        <v>-4.68684E-6</v>
      </c>
      <c r="I4646">
        <v>16.458159999999999</v>
      </c>
      <c r="J4646">
        <v>-375.35579999999999</v>
      </c>
      <c r="K4646">
        <v>1.1120620000000001</v>
      </c>
      <c r="L4646">
        <v>15.61496</v>
      </c>
      <c r="M4646">
        <v>0.99962459999999997</v>
      </c>
      <c r="N4646">
        <v>0</v>
      </c>
      <c r="O4646">
        <v>2.3534969999999999E-2</v>
      </c>
      <c r="P4646">
        <v>0.97821619999999998</v>
      </c>
      <c r="Q4646">
        <v>0.19890579999999999</v>
      </c>
      <c r="R4646">
        <v>5.9410980000000002E-2</v>
      </c>
      <c r="S4646">
        <v>3.1056819999999998</v>
      </c>
      <c r="T4646">
        <v>-0.2409837</v>
      </c>
      <c r="U4646">
        <v>0.18444820000000001</v>
      </c>
      <c r="V4646">
        <v>-3.7317530000000002E-2</v>
      </c>
      <c r="W4646">
        <v>0.2124701</v>
      </c>
      <c r="X4646">
        <v>0.97645470000000001</v>
      </c>
      <c r="Y4646">
        <v>-3.5737249999999998E-2</v>
      </c>
      <c r="Z4646">
        <v>-4.3836819999999997E-4</v>
      </c>
      <c r="AA4646">
        <v>0.9993611</v>
      </c>
      <c r="AB4646">
        <v>26</v>
      </c>
      <c r="AC4646">
        <v>14.0846999999999</v>
      </c>
      <c r="AD4646">
        <v>-1.11206668684</v>
      </c>
      <c r="AE4646">
        <v>0.84319999999999895</v>
      </c>
      <c r="AF4646">
        <v>-0.50829340821942903</v>
      </c>
      <c r="AG4646">
        <v>-1.11206668684</v>
      </c>
      <c r="AH4646">
        <v>14.0135959022428</v>
      </c>
      <c r="AI4646">
        <v>94.5343015959604</v>
      </c>
      <c r="AJ4646">
        <v>92.077290205237304</v>
      </c>
      <c r="AK4646">
        <v>14.0668377617777</v>
      </c>
      <c r="AL4646">
        <v>77.732853700704595</v>
      </c>
      <c r="AM4646">
        <v>92.188628840445503</v>
      </c>
      <c r="AN4646">
        <v>0.99999996129569901</v>
      </c>
    </row>
    <row r="4647" spans="1:40" x14ac:dyDescent="0.25">
      <c r="A4647" t="str">
        <f>"20190312172759438"</f>
        <v>20190312172759438</v>
      </c>
      <c r="B4647" t="str">
        <f>"1552382879433839"</f>
        <v>1552382879433839</v>
      </c>
      <c r="C4647" t="s">
        <v>40</v>
      </c>
      <c r="D4647">
        <v>3.8554529999999998</v>
      </c>
      <c r="E4647">
        <v>0.49818770000000001</v>
      </c>
      <c r="F4647" t="s">
        <v>55</v>
      </c>
      <c r="G4647">
        <v>-360.92649999999998</v>
      </c>
      <c r="H4647" s="1">
        <v>-4.8337029999999999E-6</v>
      </c>
      <c r="I4647">
        <v>16.548649999999999</v>
      </c>
      <c r="J4647">
        <v>-375.09609999999998</v>
      </c>
      <c r="K4647">
        <v>1.1119540000000001</v>
      </c>
      <c r="L4647">
        <v>15.623900000000001</v>
      </c>
      <c r="M4647">
        <v>0.99956520000000004</v>
      </c>
      <c r="N4647">
        <v>0</v>
      </c>
      <c r="O4647">
        <v>2.5936359999999999E-2</v>
      </c>
      <c r="P4647">
        <v>0.97838440000000004</v>
      </c>
      <c r="Q4647">
        <v>0.19794819999999999</v>
      </c>
      <c r="R4647">
        <v>5.9838750000000003E-2</v>
      </c>
      <c r="S4647">
        <v>3.1032410000000001</v>
      </c>
      <c r="T4647">
        <v>-0.23916709999999999</v>
      </c>
      <c r="U4647">
        <v>0.2008057</v>
      </c>
      <c r="V4647">
        <v>-3.5329239999999998E-2</v>
      </c>
      <c r="W4647">
        <v>0.21152689999999999</v>
      </c>
      <c r="X4647">
        <v>0.97673339999999997</v>
      </c>
      <c r="Y4647">
        <v>-3.8629339999999998E-2</v>
      </c>
      <c r="Z4647">
        <v>-5.0866050000000003E-4</v>
      </c>
      <c r="AA4647">
        <v>0.99925350000000002</v>
      </c>
      <c r="AB4647">
        <v>26</v>
      </c>
      <c r="AC4647">
        <v>14.169600000000001</v>
      </c>
      <c r="AD4647">
        <v>-1.111958833703</v>
      </c>
      <c r="AE4647">
        <v>0.92474999999999696</v>
      </c>
      <c r="AF4647">
        <v>-0.55350067236673695</v>
      </c>
      <c r="AG4647">
        <v>-1.111958833703</v>
      </c>
      <c r="AH4647">
        <v>14.1023409684885</v>
      </c>
      <c r="AI4647">
        <v>94.504946515680203</v>
      </c>
      <c r="AJ4647">
        <v>92.247639815832102</v>
      </c>
      <c r="AK4647">
        <v>14.156935976180399</v>
      </c>
      <c r="AL4647">
        <v>77.788151995284593</v>
      </c>
      <c r="AM4647">
        <v>92.0715317591754</v>
      </c>
      <c r="AN4647">
        <v>0.99999995964907296</v>
      </c>
    </row>
    <row r="4648" spans="1:40" x14ac:dyDescent="0.25">
      <c r="A4648" t="str">
        <f>"20190312172759461"</f>
        <v>20190312172759461</v>
      </c>
      <c r="B4648" t="str">
        <f>"1552382879454335"</f>
        <v>1552382879454335</v>
      </c>
      <c r="C4648" t="s">
        <v>40</v>
      </c>
      <c r="D4648">
        <v>3.9300799999999998</v>
      </c>
      <c r="E4648">
        <v>0.49736360000000002</v>
      </c>
      <c r="F4648" t="s">
        <v>55</v>
      </c>
      <c r="G4648">
        <v>-360.5779</v>
      </c>
      <c r="H4648" s="1">
        <v>-4.9835849999999998E-6</v>
      </c>
      <c r="I4648">
        <v>16.632719999999999</v>
      </c>
      <c r="J4648">
        <v>-374.83589999999998</v>
      </c>
      <c r="K4648">
        <v>1.111831</v>
      </c>
      <c r="L4648">
        <v>15.6333</v>
      </c>
      <c r="M4648">
        <v>0.99950490000000003</v>
      </c>
      <c r="N4648">
        <v>0</v>
      </c>
      <c r="O4648">
        <v>2.817163E-2</v>
      </c>
      <c r="P4648">
        <v>0.97881649999999998</v>
      </c>
      <c r="Q4648">
        <v>0.1959748</v>
      </c>
      <c r="R4648">
        <v>5.926704E-2</v>
      </c>
      <c r="S4648">
        <v>3.1011350000000002</v>
      </c>
      <c r="T4648">
        <v>-0.23751710000000001</v>
      </c>
      <c r="U4648">
        <v>0.2154846</v>
      </c>
      <c r="V4648">
        <v>-3.24862E-2</v>
      </c>
      <c r="W4648">
        <v>0.2095738</v>
      </c>
      <c r="X4648">
        <v>0.97725300000000004</v>
      </c>
      <c r="Y4648">
        <v>-4.1146620000000002E-2</v>
      </c>
      <c r="Z4648">
        <v>-5.7988279999999896E-4</v>
      </c>
      <c r="AA4648">
        <v>0.99915299999999996</v>
      </c>
      <c r="AB4648">
        <v>26</v>
      </c>
      <c r="AC4648">
        <v>14.2579999999999</v>
      </c>
      <c r="AD4648">
        <v>-1.111835983585</v>
      </c>
      <c r="AE4648">
        <v>0.99942000000000197</v>
      </c>
      <c r="AF4648">
        <v>-0.59372004998921701</v>
      </c>
      <c r="AG4648">
        <v>-1.111835983585</v>
      </c>
      <c r="AH4648">
        <v>14.194604729703</v>
      </c>
      <c r="AI4648">
        <v>94.474826553719595</v>
      </c>
      <c r="AJ4648">
        <v>92.395123811440996</v>
      </c>
      <c r="AK4648">
        <v>14.250455648317301</v>
      </c>
      <c r="AL4648">
        <v>77.902622722192902</v>
      </c>
      <c r="AM4648">
        <v>91.903946046392804</v>
      </c>
      <c r="AN4648">
        <v>0.99999997842293897</v>
      </c>
    </row>
    <row r="4649" spans="1:40" x14ac:dyDescent="0.25">
      <c r="A4649" t="str">
        <f>"20190312172759495"</f>
        <v>20190312172759495</v>
      </c>
      <c r="B4649" t="str">
        <f>"1552382879483615"</f>
        <v>1552382879483615</v>
      </c>
      <c r="C4649" t="s">
        <v>40</v>
      </c>
      <c r="D4649">
        <v>3.9192200000000001</v>
      </c>
      <c r="E4649">
        <v>0.49646020000000002</v>
      </c>
      <c r="F4649" t="s">
        <v>55</v>
      </c>
      <c r="G4649">
        <v>-360.64870000000002</v>
      </c>
      <c r="H4649" s="1">
        <v>-4.9495479999999901E-6</v>
      </c>
      <c r="I4649">
        <v>16.63599</v>
      </c>
      <c r="J4649">
        <v>-374.44369999999998</v>
      </c>
      <c r="K4649">
        <v>1.111621</v>
      </c>
      <c r="L4649">
        <v>15.648160000000001</v>
      </c>
      <c r="M4649">
        <v>0.99941530000000001</v>
      </c>
      <c r="N4649">
        <v>0</v>
      </c>
      <c r="O4649">
        <v>3.1192770000000002E-2</v>
      </c>
      <c r="P4649">
        <v>0.97910169999999996</v>
      </c>
      <c r="Q4649">
        <v>0.19434170000000001</v>
      </c>
      <c r="R4649">
        <v>5.992745E-2</v>
      </c>
      <c r="S4649">
        <v>3.100311</v>
      </c>
      <c r="T4649">
        <v>-0.24296770000000001</v>
      </c>
      <c r="U4649">
        <v>0.21911620000000001</v>
      </c>
      <c r="V4649">
        <v>-3.0062370000000001E-2</v>
      </c>
      <c r="W4649">
        <v>0.20795839999999999</v>
      </c>
      <c r="X4649">
        <v>0.97767559999999998</v>
      </c>
      <c r="Y4649">
        <v>-3.9322379999999997E-2</v>
      </c>
      <c r="Z4649">
        <v>-9.0048649999999999E-4</v>
      </c>
      <c r="AA4649">
        <v>0.99922619999999895</v>
      </c>
      <c r="AB4649">
        <v>26</v>
      </c>
      <c r="AC4649">
        <v>13.7949999999999</v>
      </c>
      <c r="AD4649">
        <v>-1.1116259495480001</v>
      </c>
      <c r="AE4649">
        <v>0.98782999999999799</v>
      </c>
      <c r="AF4649">
        <v>-0.55342745430062601</v>
      </c>
      <c r="AG4649">
        <v>-1.1116259495480001</v>
      </c>
      <c r="AH4649">
        <v>13.7303995293678</v>
      </c>
      <c r="AI4649">
        <v>94.624885281931995</v>
      </c>
      <c r="AJ4649">
        <v>92.308155869611397</v>
      </c>
      <c r="AK4649">
        <v>13.7864377355047</v>
      </c>
      <c r="AL4649">
        <v>77.997264086580898</v>
      </c>
      <c r="AM4649">
        <v>91.761222617065201</v>
      </c>
      <c r="AN4649">
        <v>1.0000000105279601</v>
      </c>
    </row>
    <row r="4650" spans="1:40" x14ac:dyDescent="0.25">
      <c r="A4650" t="str">
        <f>"20190312172759516"</f>
        <v>20190312172759516</v>
      </c>
      <c r="B4650" t="str">
        <f>"1552382879513871"</f>
        <v>1552382879513871</v>
      </c>
      <c r="C4650" t="s">
        <v>40</v>
      </c>
      <c r="D4650">
        <v>3.9526059999999998</v>
      </c>
      <c r="E4650">
        <v>0.49580479999999999</v>
      </c>
      <c r="F4650" t="s">
        <v>55</v>
      </c>
      <c r="G4650">
        <v>-360.38060000000002</v>
      </c>
      <c r="H4650" s="1">
        <v>-5.0677510000000001E-6</v>
      </c>
      <c r="I4650">
        <v>16.683869999999999</v>
      </c>
      <c r="J4650">
        <v>-374.19</v>
      </c>
      <c r="K4650">
        <v>1.111478</v>
      </c>
      <c r="L4650">
        <v>15.65817</v>
      </c>
      <c r="M4650">
        <v>0.99935980000000002</v>
      </c>
      <c r="N4650">
        <v>0</v>
      </c>
      <c r="O4650">
        <v>3.2922729999999997E-2</v>
      </c>
      <c r="P4650">
        <v>0.97930289999999998</v>
      </c>
      <c r="Q4650">
        <v>0.19321930000000001</v>
      </c>
      <c r="R4650">
        <v>6.026778E-2</v>
      </c>
      <c r="S4650">
        <v>3.0986940000000001</v>
      </c>
      <c r="T4650">
        <v>-0.24493809999999999</v>
      </c>
      <c r="U4650">
        <v>0.22821040000000001</v>
      </c>
      <c r="V4650">
        <v>-2.862404E-2</v>
      </c>
      <c r="W4650">
        <v>0.2068468</v>
      </c>
      <c r="X4650">
        <v>0.97795449999999995</v>
      </c>
      <c r="Y4650">
        <v>-4.054787E-2</v>
      </c>
      <c r="Z4650">
        <v>-9.9604959999999992E-4</v>
      </c>
      <c r="AA4650">
        <v>0.99917710000000004</v>
      </c>
      <c r="AB4650">
        <v>26</v>
      </c>
      <c r="AC4650">
        <v>13.809399999999901</v>
      </c>
      <c r="AD4650">
        <v>-1.1114830677509999</v>
      </c>
      <c r="AE4650">
        <v>1.0257000000000001</v>
      </c>
      <c r="AF4650">
        <v>-0.56680438986248605</v>
      </c>
      <c r="AG4650">
        <v>-1.1114830677509999</v>
      </c>
      <c r="AH4650">
        <v>13.747116304992501</v>
      </c>
      <c r="AI4650">
        <v>94.618521557734496</v>
      </c>
      <c r="AJ4650">
        <v>92.361012654270198</v>
      </c>
      <c r="AK4650">
        <v>13.8036179507134</v>
      </c>
      <c r="AL4650">
        <v>78.062369256692506</v>
      </c>
      <c r="AM4650">
        <v>91.676528498947206</v>
      </c>
      <c r="AN4650">
        <v>0.999999969203205</v>
      </c>
    </row>
    <row r="4651" spans="1:40" x14ac:dyDescent="0.25">
      <c r="A4651" t="str">
        <f>"20190312172759538"</f>
        <v>20190312172759538</v>
      </c>
      <c r="B4651" t="str">
        <f>"1552382879534367"</f>
        <v>1552382879534367</v>
      </c>
      <c r="C4651" t="s">
        <v>40</v>
      </c>
      <c r="D4651">
        <v>3.827283</v>
      </c>
      <c r="E4651">
        <v>0.4953977</v>
      </c>
      <c r="F4651" t="s">
        <v>55</v>
      </c>
      <c r="G4651">
        <v>-360.1447</v>
      </c>
      <c r="H4651" s="1">
        <v>-5.1726239999999899E-6</v>
      </c>
      <c r="I4651">
        <v>16.72138</v>
      </c>
      <c r="J4651">
        <v>-373.9323</v>
      </c>
      <c r="K4651">
        <v>1.1113409999999999</v>
      </c>
      <c r="L4651">
        <v>15.66858</v>
      </c>
      <c r="M4651">
        <v>0.99930640000000004</v>
      </c>
      <c r="N4651">
        <v>0</v>
      </c>
      <c r="O4651">
        <v>3.451063E-2</v>
      </c>
      <c r="P4651">
        <v>0.97937660000000004</v>
      </c>
      <c r="Q4651">
        <v>0.19268270000000001</v>
      </c>
      <c r="R4651">
        <v>6.0786239999999998E-2</v>
      </c>
      <c r="S4651">
        <v>3.0973820000000001</v>
      </c>
      <c r="T4651">
        <v>-0.24511250000000001</v>
      </c>
      <c r="U4651">
        <v>0.2344666</v>
      </c>
      <c r="V4651">
        <v>-2.7511250000000001E-2</v>
      </c>
      <c r="W4651">
        <v>0.20631730000000001</v>
      </c>
      <c r="X4651">
        <v>0.97809829999999998</v>
      </c>
      <c r="Y4651">
        <v>-4.1001660000000002E-2</v>
      </c>
      <c r="Z4651">
        <v>-1.104341E-3</v>
      </c>
      <c r="AA4651">
        <v>0.9991584</v>
      </c>
      <c r="AB4651">
        <v>26</v>
      </c>
      <c r="AC4651">
        <v>13.7875999999999</v>
      </c>
      <c r="AD4651">
        <v>-1.1113461726239999</v>
      </c>
      <c r="AE4651">
        <v>1.0528</v>
      </c>
      <c r="AF4651">
        <v>-0.57260867495312895</v>
      </c>
      <c r="AG4651">
        <v>-1.1113461726239999</v>
      </c>
      <c r="AH4651">
        <v>13.727052482497999</v>
      </c>
      <c r="AI4651">
        <v>94.624583553615395</v>
      </c>
      <c r="AJ4651">
        <v>92.388644690498893</v>
      </c>
      <c r="AK4651">
        <v>13.7838652368373</v>
      </c>
      <c r="AL4651">
        <v>78.093376476786901</v>
      </c>
      <c r="AM4651">
        <v>91.611149946258607</v>
      </c>
      <c r="AN4651">
        <v>0.99999999080937096</v>
      </c>
    </row>
    <row r="4652" spans="1:40" x14ac:dyDescent="0.25">
      <c r="A4652" t="str">
        <f>"20190312172759560"</f>
        <v>20190312172759560</v>
      </c>
      <c r="B4652" t="str">
        <f>"1552382879553887"</f>
        <v>1552382879553887</v>
      </c>
      <c r="C4652" t="s">
        <v>40</v>
      </c>
      <c r="D4652">
        <v>3.8968970000000001</v>
      </c>
      <c r="E4652">
        <v>0.49505729999999998</v>
      </c>
      <c r="F4652" t="s">
        <v>41</v>
      </c>
      <c r="G4652">
        <v>-359.91500000000002</v>
      </c>
      <c r="H4652" s="1">
        <v>-7.7649469999999898E-7</v>
      </c>
      <c r="I4652">
        <v>16.754169999999998</v>
      </c>
      <c r="J4652">
        <v>-373.67840000000001</v>
      </c>
      <c r="K4652">
        <v>1.1112040000000001</v>
      </c>
      <c r="L4652">
        <v>15.67902</v>
      </c>
      <c r="M4652">
        <v>0.99925830000000004</v>
      </c>
      <c r="N4652">
        <v>0</v>
      </c>
      <c r="O4652">
        <v>3.5878609999999998E-2</v>
      </c>
      <c r="P4652">
        <v>0.97933510000000001</v>
      </c>
      <c r="Q4652">
        <v>0.19296150000000001</v>
      </c>
      <c r="R4652">
        <v>6.0571060000000003E-2</v>
      </c>
      <c r="S4652">
        <v>3.0965880000000001</v>
      </c>
      <c r="T4652">
        <v>-0.2455087</v>
      </c>
      <c r="U4652">
        <v>0.23983760000000001</v>
      </c>
      <c r="V4652">
        <v>-2.588797E-2</v>
      </c>
      <c r="W4652">
        <v>0.20660139999999999</v>
      </c>
      <c r="X4652">
        <v>0.97808269999999997</v>
      </c>
      <c r="Y4652">
        <v>-4.1379079999999999E-2</v>
      </c>
      <c r="Z4652">
        <v>-1.1994079999999999E-3</v>
      </c>
      <c r="AA4652">
        <v>0.9991428</v>
      </c>
      <c r="AB4652">
        <v>26</v>
      </c>
      <c r="AC4652">
        <v>13.763399999999899</v>
      </c>
      <c r="AD4652">
        <v>-1.1112047764947</v>
      </c>
      <c r="AE4652">
        <v>1.0751500000000001</v>
      </c>
      <c r="AF4652">
        <v>-0.57686031526385495</v>
      </c>
      <c r="AG4652">
        <v>-1.1112047764947</v>
      </c>
      <c r="AH4652">
        <v>13.704327823760901</v>
      </c>
      <c r="AI4652">
        <v>94.631558762787705</v>
      </c>
      <c r="AJ4652">
        <v>92.410345240718598</v>
      </c>
      <c r="AK4652">
        <v>13.7614005457199</v>
      </c>
      <c r="AL4652">
        <v>78.0767409995035</v>
      </c>
      <c r="AM4652">
        <v>91.516155222392001</v>
      </c>
      <c r="AN4652">
        <v>1.00000004675598</v>
      </c>
    </row>
    <row r="4653" spans="1:40" x14ac:dyDescent="0.25">
      <c r="A4653" t="str">
        <f>"20190312172759584"</f>
        <v>20190312172759584</v>
      </c>
      <c r="B4653" t="str">
        <f>"1552382879574400"</f>
        <v>1552382879574400</v>
      </c>
      <c r="C4653" t="s">
        <v>40</v>
      </c>
      <c r="D4653">
        <v>3.9565000000000001</v>
      </c>
      <c r="E4653">
        <v>0.49484600000000001</v>
      </c>
      <c r="F4653" t="s">
        <v>41</v>
      </c>
      <c r="G4653">
        <v>-359.62450000000001</v>
      </c>
      <c r="H4653" s="1">
        <v>-8.69623E-7</v>
      </c>
      <c r="I4653">
        <v>16.775749999999999</v>
      </c>
      <c r="J4653">
        <v>-373.41180000000003</v>
      </c>
      <c r="K4653">
        <v>1.111051</v>
      </c>
      <c r="L4653">
        <v>15.69012</v>
      </c>
      <c r="M4653">
        <v>0.99921409999999999</v>
      </c>
      <c r="N4653">
        <v>0</v>
      </c>
      <c r="O4653">
        <v>3.7094059999999998E-2</v>
      </c>
      <c r="P4653">
        <v>0.97925960000000001</v>
      </c>
      <c r="Q4653">
        <v>0.19329650000000001</v>
      </c>
      <c r="R4653">
        <v>6.0723289999999999E-2</v>
      </c>
      <c r="S4653">
        <v>3.0965880000000001</v>
      </c>
      <c r="T4653">
        <v>-0.24483920000000001</v>
      </c>
      <c r="U4653">
        <v>0.24166869999999999</v>
      </c>
      <c r="V4653">
        <v>-2.4775209999999999E-2</v>
      </c>
      <c r="W4653">
        <v>0.2069397</v>
      </c>
      <c r="X4653">
        <v>0.97804000000000002</v>
      </c>
      <c r="Y4653">
        <v>-4.0756790000000001E-2</v>
      </c>
      <c r="Z4653">
        <v>-1.3163389999999999E-3</v>
      </c>
      <c r="AA4653">
        <v>0.99916819999999895</v>
      </c>
      <c r="AB4653">
        <v>26</v>
      </c>
      <c r="AC4653">
        <v>13.7873</v>
      </c>
      <c r="AD4653">
        <v>-1.1110518696230001</v>
      </c>
      <c r="AE4653">
        <v>1.0856299999999901</v>
      </c>
      <c r="AF4653">
        <v>-0.56972883749930403</v>
      </c>
      <c r="AG4653">
        <v>-1.1110518696230001</v>
      </c>
      <c r="AH4653">
        <v>13.7294743992165</v>
      </c>
      <c r="AI4653">
        <v>94.622593660842995</v>
      </c>
      <c r="AJ4653">
        <v>92.376226454396303</v>
      </c>
      <c r="AK4653">
        <v>13.7861341384745</v>
      </c>
      <c r="AL4653">
        <v>78.056929696652603</v>
      </c>
      <c r="AM4653">
        <v>91.451077112944603</v>
      </c>
      <c r="AN4653">
        <v>1.0000000460333101</v>
      </c>
    </row>
    <row r="4654" spans="1:40" x14ac:dyDescent="0.25">
      <c r="A4654" t="str">
        <f>"20190312172759608"</f>
        <v>20190312172759608</v>
      </c>
      <c r="B4654" t="str">
        <f>"1552382879603663"</f>
        <v>1552382879603663</v>
      </c>
      <c r="C4654" t="s">
        <v>40</v>
      </c>
      <c r="D4654">
        <v>3.8584420000000001</v>
      </c>
      <c r="E4654">
        <v>0.49467499999999998</v>
      </c>
      <c r="F4654" t="s">
        <v>41</v>
      </c>
      <c r="G4654">
        <v>-359.16550000000001</v>
      </c>
      <c r="H4654" s="1">
        <v>-1.016817E-6</v>
      </c>
      <c r="I4654">
        <v>16.809639999999899</v>
      </c>
      <c r="J4654">
        <v>-373.13310000000001</v>
      </c>
      <c r="K4654">
        <v>1.110881</v>
      </c>
      <c r="L4654">
        <v>15.70187</v>
      </c>
      <c r="M4654">
        <v>0.99917540000000005</v>
      </c>
      <c r="N4654">
        <v>0</v>
      </c>
      <c r="O4654">
        <v>3.8125890000000003E-2</v>
      </c>
      <c r="P4654">
        <v>0.97931420000000002</v>
      </c>
      <c r="Q4654">
        <v>0.19294210000000001</v>
      </c>
      <c r="R4654">
        <v>6.0969200000000001E-2</v>
      </c>
      <c r="S4654">
        <v>3.0960999999999999</v>
      </c>
      <c r="T4654">
        <v>-0.2414597</v>
      </c>
      <c r="U4654">
        <v>0.2433167</v>
      </c>
      <c r="V4654">
        <v>-2.3921230000000002E-2</v>
      </c>
      <c r="W4654">
        <v>0.20658969999999999</v>
      </c>
      <c r="X4654">
        <v>0.97813519999999998</v>
      </c>
      <c r="Y4654">
        <v>-4.0270670000000001E-2</v>
      </c>
      <c r="Z4654">
        <v>-1.3974219999999999E-3</v>
      </c>
      <c r="AA4654">
        <v>0.99918779999999996</v>
      </c>
      <c r="AB4654">
        <v>26</v>
      </c>
      <c r="AC4654">
        <v>13.967599999999999</v>
      </c>
      <c r="AD4654">
        <v>-1.1108820168169999</v>
      </c>
      <c r="AE4654">
        <v>1.1077699999999899</v>
      </c>
      <c r="AF4654">
        <v>-0.57079735017087696</v>
      </c>
      <c r="AG4654">
        <v>-1.1108820168169999</v>
      </c>
      <c r="AH4654">
        <v>13.912230406488799</v>
      </c>
      <c r="AI4654">
        <v>94.561520784808806</v>
      </c>
      <c r="AJ4654">
        <v>92.349439732815398</v>
      </c>
      <c r="AK4654">
        <v>13.968178956237701</v>
      </c>
      <c r="AL4654">
        <v>78.077425568564394</v>
      </c>
      <c r="AM4654">
        <v>91.400943725961099</v>
      </c>
      <c r="AN4654">
        <v>0.99999999943492102</v>
      </c>
    </row>
    <row r="4655" spans="1:40" x14ac:dyDescent="0.25">
      <c r="A4655" t="str">
        <f>"20190312172759629"</f>
        <v>20190312172759629</v>
      </c>
      <c r="B4655" t="str">
        <f>"1552382879624159"</f>
        <v>1552382879624159</v>
      </c>
      <c r="C4655" t="s">
        <v>40</v>
      </c>
      <c r="D4655">
        <v>3.8481610000000002</v>
      </c>
      <c r="E4655">
        <v>0.49448619999999999</v>
      </c>
      <c r="F4655" t="s">
        <v>41</v>
      </c>
      <c r="G4655">
        <v>-358.79599999999999</v>
      </c>
      <c r="H4655" s="1">
        <v>-1.1353219999999999E-6</v>
      </c>
      <c r="I4655">
        <v>16.836829999999999</v>
      </c>
      <c r="J4655">
        <v>-372.88709999999998</v>
      </c>
      <c r="K4655">
        <v>1.1107260000000001</v>
      </c>
      <c r="L4655">
        <v>15.71219</v>
      </c>
      <c r="M4655">
        <v>0.99914939999999997</v>
      </c>
      <c r="N4655">
        <v>0</v>
      </c>
      <c r="O4655">
        <v>3.8802049999999998E-2</v>
      </c>
      <c r="P4655">
        <v>0.97937320000000005</v>
      </c>
      <c r="Q4655">
        <v>0.19260740000000001</v>
      </c>
      <c r="R4655">
        <v>6.108077E-2</v>
      </c>
      <c r="S4655">
        <v>3.0953979999999999</v>
      </c>
      <c r="T4655">
        <v>-0.2398409</v>
      </c>
      <c r="U4655">
        <v>0.2450562</v>
      </c>
      <c r="V4655">
        <v>-2.3285770000000001E-2</v>
      </c>
      <c r="W4655">
        <v>0.2062599</v>
      </c>
      <c r="X4655">
        <v>0.97822019999999998</v>
      </c>
      <c r="Y4655">
        <v>-4.0172609999999997E-2</v>
      </c>
      <c r="Z4655">
        <v>-1.444311E-3</v>
      </c>
      <c r="AA4655">
        <v>0.99919170000000002</v>
      </c>
      <c r="AB4655">
        <v>26</v>
      </c>
      <c r="AC4655">
        <v>14.0910999999999</v>
      </c>
      <c r="AD4655">
        <v>-1.1107271353219901</v>
      </c>
      <c r="AE4655">
        <v>1.1246399999999901</v>
      </c>
      <c r="AF4655">
        <v>-0.57343563983796297</v>
      </c>
      <c r="AG4655">
        <v>-1.1107271353219901</v>
      </c>
      <c r="AH4655">
        <v>14.037461330346799</v>
      </c>
      <c r="AI4655">
        <v>94.520401077365605</v>
      </c>
      <c r="AJ4655">
        <v>92.339253773187295</v>
      </c>
      <c r="AK4655">
        <v>14.093007620914699</v>
      </c>
      <c r="AL4655">
        <v>78.096738462062703</v>
      </c>
      <c r="AM4655">
        <v>91.363623885200099</v>
      </c>
      <c r="AN4655">
        <v>1.00000006656026</v>
      </c>
    </row>
    <row r="4656" spans="1:40" x14ac:dyDescent="0.25">
      <c r="A4656" t="str">
        <f>"20190312172759649"</f>
        <v>20190312172759649</v>
      </c>
      <c r="B4656" t="str">
        <f>"1552382879643679"</f>
        <v>1552382879643679</v>
      </c>
      <c r="C4656" t="s">
        <v>40</v>
      </c>
      <c r="D4656">
        <v>3.8544390000000002</v>
      </c>
      <c r="E4656">
        <v>0.49434099999999997</v>
      </c>
      <c r="F4656" t="s">
        <v>41</v>
      </c>
      <c r="G4656">
        <v>-358.60649999999998</v>
      </c>
      <c r="H4656" s="1">
        <v>-1.196474E-6</v>
      </c>
      <c r="I4656">
        <v>16.84937</v>
      </c>
      <c r="J4656">
        <v>-372.64789999999999</v>
      </c>
      <c r="K4656">
        <v>1.1105689999999999</v>
      </c>
      <c r="L4656">
        <v>15.72217</v>
      </c>
      <c r="M4656">
        <v>0.99913189999999996</v>
      </c>
      <c r="N4656">
        <v>0</v>
      </c>
      <c r="O4656">
        <v>3.9254190000000001E-2</v>
      </c>
      <c r="P4656">
        <v>0.97939690000000001</v>
      </c>
      <c r="Q4656">
        <v>0.19258339999999999</v>
      </c>
      <c r="R4656">
        <v>6.0776940000000002E-2</v>
      </c>
      <c r="S4656">
        <v>3.0951840000000002</v>
      </c>
      <c r="T4656">
        <v>-0.24073900000000001</v>
      </c>
      <c r="U4656">
        <v>0.2464905</v>
      </c>
      <c r="V4656">
        <v>-2.2456500000000001E-2</v>
      </c>
      <c r="W4656">
        <v>0.20624029999999999</v>
      </c>
      <c r="X4656">
        <v>0.97824359999999999</v>
      </c>
      <c r="Y4656">
        <v>-4.0187300000000002E-2</v>
      </c>
      <c r="Z4656">
        <v>-1.4842150000000001E-3</v>
      </c>
      <c r="AA4656">
        <v>0.99919100000000005</v>
      </c>
      <c r="AB4656">
        <v>26</v>
      </c>
      <c r="AC4656">
        <v>14.041399999999999</v>
      </c>
      <c r="AD4656">
        <v>-1.110570196474</v>
      </c>
      <c r="AE4656">
        <v>1.12719999999999</v>
      </c>
      <c r="AF4656">
        <v>-0.57154118256417297</v>
      </c>
      <c r="AG4656">
        <v>-1.110570196474</v>
      </c>
      <c r="AH4656">
        <v>13.9878844459483</v>
      </c>
      <c r="AI4656">
        <v>94.535715853636404</v>
      </c>
      <c r="AJ4656">
        <v>92.339788557634606</v>
      </c>
      <c r="AK4656">
        <v>14.043537188253699</v>
      </c>
      <c r="AL4656">
        <v>78.097884707343297</v>
      </c>
      <c r="AM4656">
        <v>91.315047428881797</v>
      </c>
      <c r="AN4656">
        <v>0.99999994833864803</v>
      </c>
    </row>
    <row r="4657" spans="1:40" x14ac:dyDescent="0.25">
      <c r="A4657" t="str">
        <f>"20190312172759672"</f>
        <v>20190312172759672</v>
      </c>
      <c r="B4657" t="str">
        <f>"1552382879664175"</f>
        <v>1552382879664175</v>
      </c>
      <c r="C4657" t="s">
        <v>40</v>
      </c>
      <c r="D4657">
        <v>3.8680370000000002</v>
      </c>
      <c r="E4657">
        <v>0.49428139999999998</v>
      </c>
      <c r="F4657" t="s">
        <v>41</v>
      </c>
      <c r="G4657">
        <v>-358.3408</v>
      </c>
      <c r="H4657" s="1">
        <v>-1.2841760000000001E-6</v>
      </c>
      <c r="I4657">
        <v>16.85952</v>
      </c>
      <c r="J4657">
        <v>-372.38679999999999</v>
      </c>
      <c r="K4657">
        <v>1.1104069999999999</v>
      </c>
      <c r="L4657">
        <v>15.73291</v>
      </c>
      <c r="M4657">
        <v>0.99912020000000001</v>
      </c>
      <c r="N4657">
        <v>0</v>
      </c>
      <c r="O4657">
        <v>3.9550870000000002E-2</v>
      </c>
      <c r="P4657">
        <v>0.97932580000000002</v>
      </c>
      <c r="Q4657">
        <v>0.19313659999999999</v>
      </c>
      <c r="R4657">
        <v>6.0160030000000003E-2</v>
      </c>
      <c r="S4657">
        <v>3.0950929999999999</v>
      </c>
      <c r="T4657">
        <v>-0.24025189999999999</v>
      </c>
      <c r="U4657">
        <v>0.24606320000000001</v>
      </c>
      <c r="V4657">
        <v>-2.147201E-2</v>
      </c>
      <c r="W4657">
        <v>0.20679549999999999</v>
      </c>
      <c r="X4657">
        <v>0.97814849999999998</v>
      </c>
      <c r="Y4657">
        <v>-3.9758050000000003E-2</v>
      </c>
      <c r="Z4657">
        <v>-1.520813E-3</v>
      </c>
      <c r="AA4657">
        <v>0.99920819999999999</v>
      </c>
      <c r="AB4657">
        <v>26</v>
      </c>
      <c r="AC4657">
        <v>14.0459999999999</v>
      </c>
      <c r="AD4657">
        <v>-1.1104082841759999</v>
      </c>
      <c r="AE4657">
        <v>1.1266099999999899</v>
      </c>
      <c r="AF4657">
        <v>-0.56662415160069801</v>
      </c>
      <c r="AG4657">
        <v>-1.1104082841759999</v>
      </c>
      <c r="AH4657">
        <v>13.992679206039</v>
      </c>
      <c r="AI4657">
        <v>94.533576820326999</v>
      </c>
      <c r="AJ4657">
        <v>92.318887187772901</v>
      </c>
      <c r="AK4657">
        <v>14.0481009695211</v>
      </c>
      <c r="AL4657">
        <v>78.065373338141299</v>
      </c>
      <c r="AM4657">
        <v>91.257537068587794</v>
      </c>
      <c r="AN4657">
        <v>0.99999995704296896</v>
      </c>
    </row>
    <row r="4658" spans="1:40" x14ac:dyDescent="0.25">
      <c r="A4658" t="str">
        <f>"20190312172759694"</f>
        <v>20190312172759694</v>
      </c>
      <c r="B4658" t="str">
        <f>"1552382879683698"</f>
        <v>1552382879683698</v>
      </c>
      <c r="C4658" t="s">
        <v>40</v>
      </c>
      <c r="D4658">
        <v>3.8712170000000001</v>
      </c>
      <c r="E4658">
        <v>0.49424190000000001</v>
      </c>
      <c r="F4658" t="s">
        <v>41</v>
      </c>
      <c r="G4658">
        <v>-357.94279999999998</v>
      </c>
      <c r="H4658" s="1">
        <v>-1.415658E-6</v>
      </c>
      <c r="I4658">
        <v>16.874400000000001</v>
      </c>
      <c r="J4658">
        <v>-372.13380000000001</v>
      </c>
      <c r="K4658">
        <v>1.110277</v>
      </c>
      <c r="L4658">
        <v>15.74319</v>
      </c>
      <c r="M4658">
        <v>0.99911570000000005</v>
      </c>
      <c r="N4658">
        <v>0</v>
      </c>
      <c r="O4658">
        <v>3.9663370000000003E-2</v>
      </c>
      <c r="P4658">
        <v>0.97942079999999998</v>
      </c>
      <c r="Q4658">
        <v>0.19292699999999999</v>
      </c>
      <c r="R4658">
        <v>5.9280390000000002E-2</v>
      </c>
      <c r="S4658">
        <v>3.0952449999999998</v>
      </c>
      <c r="T4658">
        <v>-0.23795189999999999</v>
      </c>
      <c r="U4658">
        <v>0.24462890000000001</v>
      </c>
      <c r="V4658">
        <v>-2.041368E-2</v>
      </c>
      <c r="W4658">
        <v>0.20658879999999999</v>
      </c>
      <c r="X4658">
        <v>0.9782149</v>
      </c>
      <c r="Y4658">
        <v>-3.9183530000000001E-2</v>
      </c>
      <c r="Z4658">
        <v>-1.536885E-3</v>
      </c>
      <c r="AA4658">
        <v>0.99923090000000003</v>
      </c>
      <c r="AB4658">
        <v>26</v>
      </c>
      <c r="AC4658">
        <v>14.191000000000001</v>
      </c>
      <c r="AD4658">
        <v>-1.1102784156579999</v>
      </c>
      <c r="AE4658">
        <v>1.13121</v>
      </c>
      <c r="AF4658">
        <v>-0.56397161281487296</v>
      </c>
      <c r="AG4658">
        <v>-1.1102784156579999</v>
      </c>
      <c r="AH4658">
        <v>14.138703263876399</v>
      </c>
      <c r="AI4658">
        <v>94.486532370528593</v>
      </c>
      <c r="AJ4658">
        <v>92.2842315283755</v>
      </c>
      <c r="AK4658">
        <v>14.193439052051</v>
      </c>
      <c r="AL4658">
        <v>78.077478527729397</v>
      </c>
      <c r="AM4658">
        <v>91.195491878818103</v>
      </c>
      <c r="AN4658">
        <v>1.0000000205992901</v>
      </c>
    </row>
    <row r="4659" spans="1:40" x14ac:dyDescent="0.25">
      <c r="A4659" t="str">
        <f>"20190312172759717"</f>
        <v>20190312172759717</v>
      </c>
      <c r="B4659" t="str">
        <f>"1552382879713951"</f>
        <v>1552382879713951</v>
      </c>
      <c r="C4659" t="s">
        <v>40</v>
      </c>
      <c r="D4659">
        <v>3.8548119999999999</v>
      </c>
      <c r="E4659">
        <v>0.49420740000000002</v>
      </c>
      <c r="F4659" t="s">
        <v>41</v>
      </c>
      <c r="G4659">
        <v>-357.71839999999997</v>
      </c>
      <c r="H4659" s="1">
        <v>-1.4940129999999999E-6</v>
      </c>
      <c r="I4659">
        <v>16.867000000000001</v>
      </c>
      <c r="J4659">
        <v>-371.8759</v>
      </c>
      <c r="K4659">
        <v>1.110168</v>
      </c>
      <c r="L4659">
        <v>15.75351</v>
      </c>
      <c r="M4659">
        <v>0.99911850000000002</v>
      </c>
      <c r="N4659">
        <v>0</v>
      </c>
      <c r="O4659">
        <v>3.959621E-2</v>
      </c>
      <c r="P4659">
        <v>0.97951500000000002</v>
      </c>
      <c r="Q4659">
        <v>0.1927874</v>
      </c>
      <c r="R4659">
        <v>5.816988E-2</v>
      </c>
      <c r="S4659">
        <v>3.0954280000000001</v>
      </c>
      <c r="T4659">
        <v>-0.23841000000000001</v>
      </c>
      <c r="U4659">
        <v>0.24133299999999999</v>
      </c>
      <c r="V4659">
        <v>-1.9307359999999999E-2</v>
      </c>
      <c r="W4659">
        <v>0.2064502</v>
      </c>
      <c r="X4659">
        <v>0.97826659999999999</v>
      </c>
      <c r="Y4659">
        <v>-3.8191339999999997E-2</v>
      </c>
      <c r="Z4659">
        <v>-1.5727689999999999E-3</v>
      </c>
      <c r="AA4659">
        <v>0.99926919999999997</v>
      </c>
      <c r="AB4659">
        <v>26</v>
      </c>
      <c r="AC4659">
        <v>14.157500000000001</v>
      </c>
      <c r="AD4659">
        <v>-1.110169494013</v>
      </c>
      <c r="AE4659">
        <v>1.1134900000000001</v>
      </c>
      <c r="AF4659">
        <v>-0.54862599142023005</v>
      </c>
      <c r="AG4659">
        <v>-1.110169494013</v>
      </c>
      <c r="AH4659">
        <v>14.1042949553027</v>
      </c>
      <c r="AI4659">
        <v>94.497167811308302</v>
      </c>
      <c r="AJ4659">
        <v>92.227556550764902</v>
      </c>
      <c r="AK4659">
        <v>14.1585522907561</v>
      </c>
      <c r="AL4659">
        <v>78.085594437231705</v>
      </c>
      <c r="AM4659">
        <v>91.130659721638096</v>
      </c>
      <c r="AN4659">
        <v>0.99999999995288402</v>
      </c>
    </row>
    <row r="4660" spans="1:40" x14ac:dyDescent="0.25">
      <c r="A4660" t="str">
        <f>"20190312172759740"</f>
        <v>20190312172759740</v>
      </c>
      <c r="B4660" t="str">
        <f>"1552382879734447"</f>
        <v>1552382879734447</v>
      </c>
      <c r="C4660" t="s">
        <v>40</v>
      </c>
      <c r="D4660">
        <v>3.876287</v>
      </c>
      <c r="E4660">
        <v>0.49414249999999998</v>
      </c>
      <c r="F4660" t="s">
        <v>41</v>
      </c>
      <c r="G4660">
        <v>-357.48129999999998</v>
      </c>
      <c r="H4660" s="1">
        <v>-1.577801E-6</v>
      </c>
      <c r="I4660">
        <v>16.855309999999999</v>
      </c>
      <c r="J4660">
        <v>-371.60649999999998</v>
      </c>
      <c r="K4660">
        <v>1.110042</v>
      </c>
      <c r="L4660">
        <v>15.76404</v>
      </c>
      <c r="M4660">
        <v>0.99912939999999995</v>
      </c>
      <c r="N4660">
        <v>0</v>
      </c>
      <c r="O4660">
        <v>3.9325270000000002E-2</v>
      </c>
      <c r="P4660">
        <v>0.97966589999999998</v>
      </c>
      <c r="Q4660">
        <v>0.19244620000000001</v>
      </c>
      <c r="R4660">
        <v>5.673777E-2</v>
      </c>
      <c r="S4660">
        <v>3.0956730000000001</v>
      </c>
      <c r="T4660">
        <v>-0.23874989999999999</v>
      </c>
      <c r="U4660">
        <v>0.23696900000000001</v>
      </c>
      <c r="V4660">
        <v>-1.8072979999999999E-2</v>
      </c>
      <c r="W4660">
        <v>0.20611009999999999</v>
      </c>
      <c r="X4660">
        <v>0.97836190000000001</v>
      </c>
      <c r="Y4660">
        <v>-3.7058420000000002E-2</v>
      </c>
      <c r="Z4660">
        <v>-1.597736E-3</v>
      </c>
      <c r="AA4660">
        <v>0.99931179999999997</v>
      </c>
      <c r="AB4660">
        <v>26</v>
      </c>
      <c r="AC4660">
        <v>14.1252</v>
      </c>
      <c r="AD4660">
        <v>-1.110043577801</v>
      </c>
      <c r="AE4660">
        <v>1.09126999999999</v>
      </c>
      <c r="AF4660">
        <v>-0.53163076731540604</v>
      </c>
      <c r="AG4660">
        <v>-1.110043577801</v>
      </c>
      <c r="AH4660">
        <v>14.070807722780801</v>
      </c>
      <c r="AI4660">
        <v>94.507509082256703</v>
      </c>
      <c r="AJ4660">
        <v>92.163750514425004</v>
      </c>
      <c r="AK4660">
        <v>14.1245339034193</v>
      </c>
      <c r="AL4660">
        <v>78.105509116570303</v>
      </c>
      <c r="AM4660">
        <v>91.058287036618793</v>
      </c>
      <c r="AN4660">
        <v>1.00000000664985</v>
      </c>
    </row>
    <row r="4661" spans="1:40" x14ac:dyDescent="0.25">
      <c r="A4661" t="str">
        <f>"20190312172759761"</f>
        <v>20190312172759761</v>
      </c>
      <c r="B4661" t="str">
        <f>"1552382879753967"</f>
        <v>1552382879753967</v>
      </c>
      <c r="C4661" t="s">
        <v>40</v>
      </c>
      <c r="D4661">
        <v>3.9469219999999998</v>
      </c>
      <c r="E4661">
        <v>0.49404179999999998</v>
      </c>
      <c r="F4661" t="s">
        <v>41</v>
      </c>
      <c r="G4661">
        <v>-357.30759999999998</v>
      </c>
      <c r="H4661" s="1">
        <v>-1.6414920000000001E-6</v>
      </c>
      <c r="I4661">
        <v>16.838090000000001</v>
      </c>
      <c r="J4661">
        <v>-371.36059999999998</v>
      </c>
      <c r="K4661">
        <v>1.1099129999999999</v>
      </c>
      <c r="L4661">
        <v>15.77341</v>
      </c>
      <c r="M4661">
        <v>0.99914619999999998</v>
      </c>
      <c r="N4661">
        <v>0</v>
      </c>
      <c r="O4661">
        <v>3.8894989999999997E-2</v>
      </c>
      <c r="P4661">
        <v>0.97969450000000002</v>
      </c>
      <c r="Q4661">
        <v>0.19276699999999999</v>
      </c>
      <c r="R4661">
        <v>5.513469E-2</v>
      </c>
      <c r="S4661">
        <v>3.0960390000000002</v>
      </c>
      <c r="T4661">
        <v>-0.2403497</v>
      </c>
      <c r="U4661">
        <v>0.23257449999999999</v>
      </c>
      <c r="V4661">
        <v>-1.6827129999999999E-2</v>
      </c>
      <c r="W4661">
        <v>0.20643159999999999</v>
      </c>
      <c r="X4661">
        <v>0.97831630000000003</v>
      </c>
      <c r="Y4661">
        <v>-3.6071199999999998E-2</v>
      </c>
      <c r="Z4661">
        <v>-1.613272E-3</v>
      </c>
      <c r="AA4661">
        <v>0.99934789999999996</v>
      </c>
      <c r="AB4661">
        <v>26</v>
      </c>
      <c r="AC4661">
        <v>14.0529999999999</v>
      </c>
      <c r="AD4661">
        <v>-1.109914641492</v>
      </c>
      <c r="AE4661">
        <v>1.0646800000000001</v>
      </c>
      <c r="AF4661">
        <v>-0.51404160893101103</v>
      </c>
      <c r="AG4661">
        <v>-1.109914641492</v>
      </c>
      <c r="AH4661">
        <v>13.996964913026099</v>
      </c>
      <c r="AI4661">
        <v>94.530843610602503</v>
      </c>
      <c r="AJ4661">
        <v>92.103254837039501</v>
      </c>
      <c r="AK4661">
        <v>14.050308753319101</v>
      </c>
      <c r="AL4661">
        <v>78.086683242040905</v>
      </c>
      <c r="AM4661">
        <v>90.985395490950097</v>
      </c>
      <c r="AN4661">
        <v>0.99999997031414301</v>
      </c>
    </row>
    <row r="4662" spans="1:40" x14ac:dyDescent="0.25">
      <c r="A4662" t="str">
        <f>"20190312172759784"</f>
        <v>20190312172759784</v>
      </c>
      <c r="B4662" t="str">
        <f>"1552382879774463"</f>
        <v>1552382879774463</v>
      </c>
      <c r="C4662" t="s">
        <v>40</v>
      </c>
      <c r="D4662">
        <v>3.961284</v>
      </c>
      <c r="E4662">
        <v>0.49406559999999999</v>
      </c>
      <c r="F4662" t="s">
        <v>41</v>
      </c>
      <c r="G4662">
        <v>-356.96570000000003</v>
      </c>
      <c r="H4662" s="1">
        <v>-1.777341E-6</v>
      </c>
      <c r="I4662">
        <v>16.83512</v>
      </c>
      <c r="J4662">
        <v>-371.10410000000002</v>
      </c>
      <c r="K4662">
        <v>1.109764</v>
      </c>
      <c r="L4662">
        <v>15.78284</v>
      </c>
      <c r="M4662">
        <v>0.99917069999999997</v>
      </c>
      <c r="N4662">
        <v>0</v>
      </c>
      <c r="O4662">
        <v>3.8262119999999997E-2</v>
      </c>
      <c r="P4662">
        <v>0.979711</v>
      </c>
      <c r="Q4662">
        <v>0.1932132</v>
      </c>
      <c r="R4662">
        <v>5.3248799999999999E-2</v>
      </c>
      <c r="S4662">
        <v>3.0963440000000002</v>
      </c>
      <c r="T4662">
        <v>-0.23874219999999999</v>
      </c>
      <c r="U4662">
        <v>0.2283936</v>
      </c>
      <c r="V4662">
        <v>-1.548536E-2</v>
      </c>
      <c r="W4662">
        <v>0.20687849999999999</v>
      </c>
      <c r="X4662">
        <v>0.97824409999999895</v>
      </c>
      <c r="Y4662">
        <v>-3.5354999999999998E-2</v>
      </c>
      <c r="Z4662">
        <v>-1.5813870000000001E-3</v>
      </c>
      <c r="AA4662">
        <v>0.99937359999999997</v>
      </c>
      <c r="AB4662">
        <v>26</v>
      </c>
      <c r="AC4662">
        <v>14.138399999999899</v>
      </c>
      <c r="AD4662">
        <v>-1.1097657773409999</v>
      </c>
      <c r="AE4662">
        <v>1.0522799999999899</v>
      </c>
      <c r="AF4662">
        <v>-0.50738284389360699</v>
      </c>
      <c r="AG4662">
        <v>-1.1097657773409999</v>
      </c>
      <c r="AH4662">
        <v>14.082027736415</v>
      </c>
      <c r="AI4662">
        <v>94.503099505747201</v>
      </c>
      <c r="AJ4662">
        <v>92.063504344204404</v>
      </c>
      <c r="AK4662">
        <v>14.1347982864984</v>
      </c>
      <c r="AL4662">
        <v>78.060513376545202</v>
      </c>
      <c r="AM4662">
        <v>90.906902146819206</v>
      </c>
      <c r="AN4662">
        <v>1.00000001466069</v>
      </c>
    </row>
    <row r="4663" spans="1:40" x14ac:dyDescent="0.25">
      <c r="A4663" t="str">
        <f>"20190312172759808"</f>
        <v>20190312172759808</v>
      </c>
      <c r="B4663" t="str">
        <f>"1552382879803743"</f>
        <v>1552382879803743</v>
      </c>
      <c r="C4663" t="s">
        <v>40</v>
      </c>
      <c r="D4663">
        <v>3.9496289999999998</v>
      </c>
      <c r="E4663">
        <v>0.49396390000000001</v>
      </c>
      <c r="F4663" t="s">
        <v>41</v>
      </c>
      <c r="G4663">
        <v>-356.6105</v>
      </c>
      <c r="H4663" s="1">
        <v>-1.9319550000000001E-6</v>
      </c>
      <c r="I4663">
        <v>16.822379999999999</v>
      </c>
      <c r="J4663">
        <v>-370.83940000000001</v>
      </c>
      <c r="K4663">
        <v>1.1096010000000001</v>
      </c>
      <c r="L4663">
        <v>15.79208</v>
      </c>
      <c r="M4663">
        <v>0.99920310000000001</v>
      </c>
      <c r="N4663">
        <v>0</v>
      </c>
      <c r="O4663">
        <v>3.740715E-2</v>
      </c>
      <c r="P4663">
        <v>0.97978109999999996</v>
      </c>
      <c r="Q4663">
        <v>0.19347349999999999</v>
      </c>
      <c r="R4663">
        <v>5.0962439999999998E-2</v>
      </c>
      <c r="S4663">
        <v>3.096832</v>
      </c>
      <c r="T4663">
        <v>-0.23712359999999999</v>
      </c>
      <c r="U4663">
        <v>0.22213749999999999</v>
      </c>
      <c r="V4663">
        <v>-1.395269E-2</v>
      </c>
      <c r="W4663">
        <v>0.20714070000000001</v>
      </c>
      <c r="X4663">
        <v>0.97821159999999996</v>
      </c>
      <c r="Y4663">
        <v>-3.4191060000000002E-2</v>
      </c>
      <c r="Z4663">
        <v>-1.5498199999999999E-3</v>
      </c>
      <c r="AA4663">
        <v>0.99941409999999997</v>
      </c>
      <c r="AB4663">
        <v>26</v>
      </c>
      <c r="AC4663">
        <v>14.228899999999999</v>
      </c>
      <c r="AD4663">
        <v>-1.109602931955</v>
      </c>
      <c r="AE4663">
        <v>1.0303</v>
      </c>
      <c r="AF4663">
        <v>-0.49427443521330799</v>
      </c>
      <c r="AG4663">
        <v>-1.109602931955</v>
      </c>
      <c r="AH4663">
        <v>14.171751294087899</v>
      </c>
      <c r="AI4663">
        <v>94.474233828431693</v>
      </c>
      <c r="AJ4663">
        <v>91.997520543156895</v>
      </c>
      <c r="AK4663">
        <v>14.2237147266595</v>
      </c>
      <c r="AL4663">
        <v>78.045156908475505</v>
      </c>
      <c r="AM4663">
        <v>90.817181111635506</v>
      </c>
      <c r="AN4663">
        <v>0.99999994076464105</v>
      </c>
    </row>
    <row r="4664" spans="1:40" x14ac:dyDescent="0.25">
      <c r="A4664" t="str">
        <f>"20190312172759829"</f>
        <v>20190312172759829</v>
      </c>
      <c r="B4664" t="str">
        <f>"1552382879824239"</f>
        <v>1552382879824239</v>
      </c>
      <c r="C4664" t="s">
        <v>40</v>
      </c>
      <c r="D4664">
        <v>3.9825499999999998</v>
      </c>
      <c r="E4664">
        <v>0.4938844</v>
      </c>
      <c r="F4664" t="s">
        <v>41</v>
      </c>
      <c r="G4664">
        <v>-356.34359999999998</v>
      </c>
      <c r="H4664" s="1">
        <v>-2.0502479999999999E-6</v>
      </c>
      <c r="I4664">
        <v>16.801159999999999</v>
      </c>
      <c r="J4664">
        <v>-370.59469999999999</v>
      </c>
      <c r="K4664">
        <v>1.1094550000000001</v>
      </c>
      <c r="L4664">
        <v>15.800230000000001</v>
      </c>
      <c r="M4664">
        <v>0.99924000000000002</v>
      </c>
      <c r="N4664">
        <v>0</v>
      </c>
      <c r="O4664">
        <v>3.6406960000000002E-2</v>
      </c>
      <c r="P4664">
        <v>0.97995580000000004</v>
      </c>
      <c r="Q4664">
        <v>0.19324060000000001</v>
      </c>
      <c r="R4664">
        <v>4.8422220000000002E-2</v>
      </c>
      <c r="S4664">
        <v>3.0974430000000002</v>
      </c>
      <c r="T4664">
        <v>-0.23709849999999999</v>
      </c>
      <c r="U4664">
        <v>0.2156372</v>
      </c>
      <c r="V4664">
        <v>-1.231606E-2</v>
      </c>
      <c r="W4664">
        <v>0.20690929999999999</v>
      </c>
      <c r="X4664">
        <v>0.9782826</v>
      </c>
      <c r="Y4664">
        <v>-3.3090729999999999E-2</v>
      </c>
      <c r="Z4664">
        <v>-1.5152179999999901E-3</v>
      </c>
      <c r="AA4664">
        <v>0.99945119999999998</v>
      </c>
      <c r="AB4664">
        <v>26</v>
      </c>
      <c r="AC4664">
        <v>14.251099999999999</v>
      </c>
      <c r="AD4664">
        <v>-1.1094570502479999</v>
      </c>
      <c r="AE4664">
        <v>1.0009300000000001</v>
      </c>
      <c r="AF4664">
        <v>-0.47849098629702003</v>
      </c>
      <c r="AG4664">
        <v>-1.1094570502479999</v>
      </c>
      <c r="AH4664">
        <v>14.192500177335001</v>
      </c>
      <c r="AI4664">
        <v>94.467311435960696</v>
      </c>
      <c r="AJ4664">
        <v>91.9309588468508</v>
      </c>
      <c r="AK4664">
        <v>14.2438376097865</v>
      </c>
      <c r="AL4664">
        <v>78.058709396866703</v>
      </c>
      <c r="AM4664">
        <v>90.721285424811995</v>
      </c>
      <c r="AN4664">
        <v>0.99999999461158595</v>
      </c>
    </row>
    <row r="4665" spans="1:40" x14ac:dyDescent="0.25">
      <c r="A4665" t="str">
        <f>"20190312172759851"</f>
        <v>20190312172759851</v>
      </c>
      <c r="B4665" t="str">
        <f>"1552382879843759"</f>
        <v>1552382879843759</v>
      </c>
      <c r="C4665" t="s">
        <v>40</v>
      </c>
      <c r="D4665">
        <v>3.8607999999999998</v>
      </c>
      <c r="E4665">
        <v>0.49382969999999998</v>
      </c>
      <c r="F4665" t="s">
        <v>41</v>
      </c>
      <c r="G4665">
        <v>-356.17939999999999</v>
      </c>
      <c r="H4665" s="1">
        <v>-2.1266959999999998E-6</v>
      </c>
      <c r="I4665">
        <v>16.767119999999998</v>
      </c>
      <c r="J4665">
        <v>-370.34070000000003</v>
      </c>
      <c r="K4665">
        <v>1.1093189999999999</v>
      </c>
      <c r="L4665">
        <v>15.808109999999999</v>
      </c>
      <c r="M4665">
        <v>0.99928450000000002</v>
      </c>
      <c r="N4665">
        <v>0</v>
      </c>
      <c r="O4665">
        <v>3.5164620000000001E-2</v>
      </c>
      <c r="P4665">
        <v>0.98012869999999996</v>
      </c>
      <c r="Q4665">
        <v>0.1929507</v>
      </c>
      <c r="R4665">
        <v>4.6020819999999997E-2</v>
      </c>
      <c r="S4665">
        <v>3.0981450000000001</v>
      </c>
      <c r="T4665">
        <v>-0.2384462</v>
      </c>
      <c r="U4665">
        <v>0.2078247</v>
      </c>
      <c r="V4665">
        <v>-1.1064239999999999E-2</v>
      </c>
      <c r="W4665">
        <v>0.2066201</v>
      </c>
      <c r="X4665">
        <v>0.97835870000000003</v>
      </c>
      <c r="Y4665">
        <v>-3.1809249999999997E-2</v>
      </c>
      <c r="Z4665">
        <v>-1.4775369999999999E-3</v>
      </c>
      <c r="AA4665">
        <v>0.99949290000000002</v>
      </c>
      <c r="AB4665">
        <v>26</v>
      </c>
      <c r="AC4665">
        <v>14.161300000000001</v>
      </c>
      <c r="AD4665">
        <v>-1.1093211266959999</v>
      </c>
      <c r="AE4665">
        <v>0.95901000000000103</v>
      </c>
      <c r="AF4665">
        <v>-0.45759659838593503</v>
      </c>
      <c r="AG4665">
        <v>-1.1093211266959999</v>
      </c>
      <c r="AH4665">
        <v>14.1001384664371</v>
      </c>
      <c r="AI4665">
        <v>94.496092529973495</v>
      </c>
      <c r="AJ4665">
        <v>91.858787069555703</v>
      </c>
      <c r="AK4665">
        <v>14.1511092420943</v>
      </c>
      <c r="AL4665">
        <v>78.075645550330705</v>
      </c>
      <c r="AM4665">
        <v>90.6479292639101</v>
      </c>
      <c r="AN4665">
        <v>1.0000000144982299</v>
      </c>
    </row>
    <row r="4666" spans="1:40" x14ac:dyDescent="0.25">
      <c r="A4666" t="str">
        <f>"20190312172759874"</f>
        <v>20190312172759874</v>
      </c>
      <c r="B4666" t="str">
        <f>"1552382879864316"</f>
        <v>1552382879864316</v>
      </c>
      <c r="C4666" t="s">
        <v>40</v>
      </c>
      <c r="D4666">
        <v>4.0252280000000003</v>
      </c>
      <c r="E4666">
        <v>0.49383949999999999</v>
      </c>
      <c r="F4666" t="s">
        <v>41</v>
      </c>
      <c r="G4666">
        <v>-355.96480000000003</v>
      </c>
      <c r="H4666" s="1">
        <v>-2.2236799999999999E-6</v>
      </c>
      <c r="I4666">
        <v>16.7394</v>
      </c>
      <c r="J4666">
        <v>-370.08339999999998</v>
      </c>
      <c r="K4666">
        <v>1.109208</v>
      </c>
      <c r="L4666">
        <v>15.815580000000001</v>
      </c>
      <c r="M4666">
        <v>0.99933360000000004</v>
      </c>
      <c r="N4666">
        <v>0</v>
      </c>
      <c r="O4666">
        <v>3.3744000000000003E-2</v>
      </c>
      <c r="P4666">
        <v>0.98031630000000003</v>
      </c>
      <c r="Q4666">
        <v>0.19276199999999999</v>
      </c>
      <c r="R4666">
        <v>4.2696680000000001E-2</v>
      </c>
      <c r="S4666">
        <v>3.0985109999999998</v>
      </c>
      <c r="T4666">
        <v>-0.23909849999999999</v>
      </c>
      <c r="U4666">
        <v>0.2007446</v>
      </c>
      <c r="V4666">
        <v>-9.0786240000000004E-3</v>
      </c>
      <c r="W4666">
        <v>0.20642929999999901</v>
      </c>
      <c r="X4666">
        <v>0.97841940000000005</v>
      </c>
      <c r="Y4666">
        <v>-3.0946669999999999E-2</v>
      </c>
      <c r="Z4666">
        <v>-1.4054810000000001E-3</v>
      </c>
      <c r="AA4666">
        <v>0.99952010000000002</v>
      </c>
      <c r="AB4666">
        <v>25</v>
      </c>
      <c r="AC4666">
        <v>14.118599999999899</v>
      </c>
      <c r="AD4666">
        <v>-1.1092102236800001</v>
      </c>
      <c r="AE4666">
        <v>0.92382000000000097</v>
      </c>
      <c r="AF4666">
        <v>-0.44410018762721898</v>
      </c>
      <c r="AG4666">
        <v>-1.1092102236800001</v>
      </c>
      <c r="AH4666">
        <v>14.055350946084401</v>
      </c>
      <c r="AI4666">
        <v>94.510034410849798</v>
      </c>
      <c r="AJ4666">
        <v>91.809745198668594</v>
      </c>
      <c r="AK4666">
        <v>14.1060434748572</v>
      </c>
      <c r="AL4666">
        <v>78.086818279671604</v>
      </c>
      <c r="AM4666">
        <v>90.531624691234498</v>
      </c>
      <c r="AN4666">
        <v>0.999999999804291</v>
      </c>
    </row>
    <row r="4667" spans="1:40" x14ac:dyDescent="0.25">
      <c r="A4667" t="str">
        <f>"20190312172759895"</f>
        <v>20190312172759895</v>
      </c>
      <c r="B4667" t="str">
        <f>"1552382879883840"</f>
        <v>1552382879883840</v>
      </c>
      <c r="C4667" t="s">
        <v>40</v>
      </c>
      <c r="D4667">
        <v>4.0136690000000002</v>
      </c>
      <c r="E4667">
        <v>0.49384899999999998</v>
      </c>
      <c r="F4667" t="s">
        <v>41</v>
      </c>
      <c r="G4667">
        <v>-355.72390000000001</v>
      </c>
      <c r="H4667" s="1">
        <v>-2.3334610000000002E-6</v>
      </c>
      <c r="I4667">
        <v>16.703099999999999</v>
      </c>
      <c r="J4667">
        <v>-369.83909999999997</v>
      </c>
      <c r="K4667">
        <v>1.1091340000000001</v>
      </c>
      <c r="L4667">
        <v>15.822240000000001</v>
      </c>
      <c r="M4667">
        <v>0.99938210000000005</v>
      </c>
      <c r="N4667">
        <v>0</v>
      </c>
      <c r="O4667">
        <v>3.2276369999999999E-2</v>
      </c>
      <c r="P4667">
        <v>0.98043559999999996</v>
      </c>
      <c r="Q4667">
        <v>0.19271659999999999</v>
      </c>
      <c r="R4667">
        <v>4.0085229999999999E-2</v>
      </c>
      <c r="S4667">
        <v>3.0989990000000001</v>
      </c>
      <c r="T4667">
        <v>-0.2393844</v>
      </c>
      <c r="U4667">
        <v>0.1915588</v>
      </c>
      <c r="V4667">
        <v>-7.8694090000000008E-3</v>
      </c>
      <c r="W4667">
        <v>0.20638119999999999</v>
      </c>
      <c r="X4667">
        <v>0.97843999999999998</v>
      </c>
      <c r="Y4667">
        <v>-2.945358E-2</v>
      </c>
      <c r="Z4667">
        <v>-1.3516260000000001E-3</v>
      </c>
      <c r="AA4667">
        <v>0.99956520000000004</v>
      </c>
      <c r="AB4667">
        <v>25</v>
      </c>
      <c r="AC4667">
        <v>14.1151999999999</v>
      </c>
      <c r="AD4667">
        <v>-1.109136333461</v>
      </c>
      <c r="AE4667">
        <v>0.88085999999999998</v>
      </c>
      <c r="AF4667">
        <v>-0.42217287160209699</v>
      </c>
      <c r="AG4667">
        <v>-1.109136333461</v>
      </c>
      <c r="AH4667">
        <v>14.0498648570721</v>
      </c>
      <c r="AI4667">
        <v>94.511703090595702</v>
      </c>
      <c r="AJ4667">
        <v>91.721116039959099</v>
      </c>
      <c r="AK4667">
        <v>14.099897724512401</v>
      </c>
      <c r="AL4667">
        <v>78.089634623351699</v>
      </c>
      <c r="AM4667">
        <v>90.460809248657398</v>
      </c>
      <c r="AN4667">
        <v>0.99999998045572402</v>
      </c>
    </row>
    <row r="4668" spans="1:40" x14ac:dyDescent="0.25">
      <c r="A4668" t="str">
        <f>"20190312172759918"</f>
        <v>20190312172759918</v>
      </c>
      <c r="B4668" t="str">
        <f>"1552382879914093"</f>
        <v>1552382879914093</v>
      </c>
      <c r="C4668" t="s">
        <v>40</v>
      </c>
      <c r="D4668">
        <v>4.0067050000000002</v>
      </c>
      <c r="E4668">
        <v>0.49386930000000001</v>
      </c>
      <c r="F4668" t="s">
        <v>41</v>
      </c>
      <c r="G4668">
        <v>-355.45209999999997</v>
      </c>
      <c r="H4668" s="1">
        <v>-2.4538039999999998E-6</v>
      </c>
      <c r="I4668">
        <v>16.68206</v>
      </c>
      <c r="J4668">
        <v>-369.58159999999998</v>
      </c>
      <c r="K4668">
        <v>1.109075</v>
      </c>
      <c r="L4668">
        <v>15.82874</v>
      </c>
      <c r="M4668">
        <v>0.99943360000000003</v>
      </c>
      <c r="N4668">
        <v>0</v>
      </c>
      <c r="O4668">
        <v>3.0638039999999998E-2</v>
      </c>
      <c r="P4668">
        <v>0.98063869999999997</v>
      </c>
      <c r="Q4668">
        <v>0.1921206</v>
      </c>
      <c r="R4668">
        <v>3.7913910000000002E-2</v>
      </c>
      <c r="S4668">
        <v>3.099243</v>
      </c>
      <c r="T4668">
        <v>-0.23893020000000001</v>
      </c>
      <c r="U4668">
        <v>0.18524170000000001</v>
      </c>
      <c r="V4668">
        <v>-7.2759490000000003E-3</v>
      </c>
      <c r="W4668">
        <v>0.20578440000000001</v>
      </c>
      <c r="X4668">
        <v>0.9785703</v>
      </c>
      <c r="Y4668">
        <v>-2.9053740000000002E-2</v>
      </c>
      <c r="Z4668">
        <v>-1.238533E-3</v>
      </c>
      <c r="AA4668">
        <v>0.9995771</v>
      </c>
      <c r="AB4668">
        <v>25</v>
      </c>
      <c r="AC4668">
        <v>14.1295</v>
      </c>
      <c r="AD4668">
        <v>-1.109077453804</v>
      </c>
      <c r="AE4668">
        <v>0.85331999999999997</v>
      </c>
      <c r="AF4668">
        <v>-0.41741473058492001</v>
      </c>
      <c r="AG4668">
        <v>-1.109077453804</v>
      </c>
      <c r="AH4668">
        <v>14.0626830314442</v>
      </c>
      <c r="AI4668">
        <v>94.507418299003206</v>
      </c>
      <c r="AJ4668">
        <v>91.700179282150998</v>
      </c>
      <c r="AK4668">
        <v>14.112524292227601</v>
      </c>
      <c r="AL4668">
        <v>78.124579018735901</v>
      </c>
      <c r="AM4668">
        <v>90.426002595516906</v>
      </c>
      <c r="AN4668">
        <v>0.99999999537965001</v>
      </c>
    </row>
    <row r="4669" spans="1:40" x14ac:dyDescent="0.25">
      <c r="A4669" t="str">
        <f>"20190312172759939"</f>
        <v>20190312172759939</v>
      </c>
      <c r="B4669" t="str">
        <f>"1552382879933614"</f>
        <v>1552382879933614</v>
      </c>
      <c r="C4669" t="s">
        <v>40</v>
      </c>
      <c r="D4669">
        <v>3.879435</v>
      </c>
      <c r="E4669">
        <v>0.50891450000000005</v>
      </c>
      <c r="F4669" t="s">
        <v>41</v>
      </c>
      <c r="G4669">
        <v>-355.28429999999997</v>
      </c>
      <c r="H4669" s="1">
        <v>-2.5299370000000001E-6</v>
      </c>
      <c r="I4669">
        <v>16.658809999999999</v>
      </c>
      <c r="J4669">
        <v>-369.33139999999997</v>
      </c>
      <c r="K4669">
        <v>1.1090469999999999</v>
      </c>
      <c r="L4669">
        <v>15.834630000000001</v>
      </c>
      <c r="M4669">
        <v>0.99948269999999995</v>
      </c>
      <c r="N4669">
        <v>0</v>
      </c>
      <c r="O4669">
        <v>2.899535E-2</v>
      </c>
      <c r="P4669">
        <v>0.98086180000000001</v>
      </c>
      <c r="Q4669">
        <v>0.19136</v>
      </c>
      <c r="R4669">
        <v>3.5942109999999999E-2</v>
      </c>
      <c r="S4669">
        <v>3.0993650000000001</v>
      </c>
      <c r="T4669">
        <v>-0.2404251</v>
      </c>
      <c r="U4669">
        <v>0.17996219999999999</v>
      </c>
      <c r="V4669">
        <v>-6.8972440000000003E-3</v>
      </c>
      <c r="W4669">
        <v>0.20502419999999999</v>
      </c>
      <c r="X4669">
        <v>0.97873259999999995</v>
      </c>
      <c r="Y4669">
        <v>-2.8992790000000001E-2</v>
      </c>
      <c r="Z4669">
        <v>-1.1216010000000001E-3</v>
      </c>
      <c r="AA4669">
        <v>0.999579</v>
      </c>
      <c r="AB4669">
        <v>25</v>
      </c>
      <c r="AC4669">
        <v>14.0471</v>
      </c>
      <c r="AD4669">
        <v>-1.10904952993699</v>
      </c>
      <c r="AE4669">
        <v>0.82418000000000002</v>
      </c>
      <c r="AF4669">
        <v>-0.41392207840991402</v>
      </c>
      <c r="AG4669">
        <v>-1.10904952993699</v>
      </c>
      <c r="AH4669">
        <v>13.978258540738899</v>
      </c>
      <c r="AI4669">
        <v>94.534424307902299</v>
      </c>
      <c r="AJ4669">
        <v>91.696138316234695</v>
      </c>
      <c r="AK4669">
        <v>14.028294058030999</v>
      </c>
      <c r="AL4669">
        <v>78.169084284228006</v>
      </c>
      <c r="AM4669">
        <v>90.403763428157006</v>
      </c>
      <c r="AN4669">
        <v>0.99999999843159704</v>
      </c>
    </row>
    <row r="4670" spans="1:40" x14ac:dyDescent="0.25">
      <c r="A4670" t="str">
        <f>"20190312172759962"</f>
        <v>20190312172759962</v>
      </c>
      <c r="B4670" t="str">
        <f>"1552382879954109"</f>
        <v>1552382879954109</v>
      </c>
      <c r="C4670" t="s">
        <v>40</v>
      </c>
      <c r="D4670">
        <v>3.9928189999999999</v>
      </c>
      <c r="E4670">
        <v>0.50806509999999905</v>
      </c>
      <c r="F4670" t="s">
        <v>41</v>
      </c>
      <c r="G4670">
        <v>-354.90940000000001</v>
      </c>
      <c r="H4670" s="1">
        <v>-2.7917490000000002E-6</v>
      </c>
      <c r="I4670">
        <v>16.089410000000001</v>
      </c>
      <c r="J4670">
        <v>-369.07499999999999</v>
      </c>
      <c r="K4670">
        <v>1.1090310000000001</v>
      </c>
      <c r="L4670">
        <v>15.840210000000001</v>
      </c>
      <c r="M4670">
        <v>0.99953060000000005</v>
      </c>
      <c r="N4670">
        <v>0</v>
      </c>
      <c r="O4670">
        <v>2.7292500000000001E-2</v>
      </c>
      <c r="P4670">
        <v>0.98095259999999995</v>
      </c>
      <c r="Q4670">
        <v>0.1912846</v>
      </c>
      <c r="R4670">
        <v>3.3798759999999997E-2</v>
      </c>
      <c r="S4670">
        <v>3.1031490000000002</v>
      </c>
      <c r="T4670">
        <v>-0.23863200000000001</v>
      </c>
      <c r="U4670">
        <v>5.4840090000000001E-2</v>
      </c>
      <c r="V4670">
        <v>-6.4161879999999998E-3</v>
      </c>
      <c r="W4670">
        <v>0.2049453</v>
      </c>
      <c r="X4670">
        <v>0.97875239999999997</v>
      </c>
      <c r="Y4670">
        <v>9.5191949999999994E-3</v>
      </c>
      <c r="Z4670">
        <v>-2.460861E-3</v>
      </c>
      <c r="AA4670">
        <v>0.9999517</v>
      </c>
      <c r="AB4670">
        <v>25</v>
      </c>
      <c r="AC4670">
        <v>14.1655999999999</v>
      </c>
      <c r="AD4670">
        <v>-1.1090337917490001</v>
      </c>
      <c r="AE4670">
        <v>0.2492</v>
      </c>
      <c r="AF4670">
        <v>0.13670725689563301</v>
      </c>
      <c r="AG4670">
        <v>-1.1090337917490001</v>
      </c>
      <c r="AH4670">
        <v>14.0808433579077</v>
      </c>
      <c r="AI4670">
        <v>94.503215463682196</v>
      </c>
      <c r="AJ4670">
        <v>89.443747610869707</v>
      </c>
      <c r="AK4670">
        <v>14.125112194076999</v>
      </c>
      <c r="AL4670">
        <v>78.173703041482796</v>
      </c>
      <c r="AM4670">
        <v>90.375595734962602</v>
      </c>
      <c r="AN4670">
        <v>1.0000000019831501</v>
      </c>
    </row>
    <row r="4671" spans="1:40" x14ac:dyDescent="0.25">
      <c r="A4671" t="str">
        <f>"20190312172759986"</f>
        <v>20190312172759986</v>
      </c>
      <c r="B4671" t="str">
        <f>"1552382879974608"</f>
        <v>1552382879974608</v>
      </c>
      <c r="C4671" t="s">
        <v>40</v>
      </c>
      <c r="D4671">
        <v>3.9280910000000002</v>
      </c>
      <c r="E4671">
        <v>0.50829550000000001</v>
      </c>
      <c r="F4671" t="s">
        <v>41</v>
      </c>
      <c r="G4671">
        <v>-354.72289999999998</v>
      </c>
      <c r="H4671" s="1">
        <v>-2.8699400000000001E-6</v>
      </c>
      <c r="I4671">
        <v>16.099689999999999</v>
      </c>
      <c r="J4671">
        <v>-368.80939999999998</v>
      </c>
      <c r="K4671">
        <v>1.109032</v>
      </c>
      <c r="L4671">
        <v>15.845459999999999</v>
      </c>
      <c r="M4671">
        <v>0.9995773</v>
      </c>
      <c r="N4671">
        <v>0</v>
      </c>
      <c r="O4671">
        <v>2.5528309999999999E-2</v>
      </c>
      <c r="P4671">
        <v>0.98108289999999998</v>
      </c>
      <c r="Q4671">
        <v>0.1908743</v>
      </c>
      <c r="R4671">
        <v>3.230976E-2</v>
      </c>
      <c r="S4671">
        <v>3.103119</v>
      </c>
      <c r="T4671">
        <v>-0.23978830000000001</v>
      </c>
      <c r="U4671">
        <v>5.6121829999999998E-2</v>
      </c>
      <c r="V4671">
        <v>-6.6561909999999997E-3</v>
      </c>
      <c r="W4671">
        <v>0.20453460000000001</v>
      </c>
      <c r="X4671">
        <v>0.9788367</v>
      </c>
      <c r="Y4671">
        <v>7.3518669999999998E-3</v>
      </c>
      <c r="Z4671">
        <v>-2.2530829999999999E-3</v>
      </c>
      <c r="AA4671">
        <v>0.99997040000000004</v>
      </c>
      <c r="AB4671">
        <v>25</v>
      </c>
      <c r="AC4671">
        <v>14.086499999999999</v>
      </c>
      <c r="AD4671">
        <v>-1.1090348699399999</v>
      </c>
      <c r="AE4671">
        <v>0.25422999999999801</v>
      </c>
      <c r="AF4671">
        <v>0.104842558710438</v>
      </c>
      <c r="AG4671">
        <v>-1.1090348699399999</v>
      </c>
      <c r="AH4671">
        <v>14.0016385884804</v>
      </c>
      <c r="AI4671">
        <v>94.528674181170402</v>
      </c>
      <c r="AJ4671">
        <v>89.570984222657302</v>
      </c>
      <c r="AK4671">
        <v>14.045883150136399</v>
      </c>
      <c r="AL4671">
        <v>78.197743618380599</v>
      </c>
      <c r="AM4671">
        <v>90.389611233118302</v>
      </c>
      <c r="AN4671">
        <v>0.99999999637133896</v>
      </c>
    </row>
    <row r="4672" spans="1:40" x14ac:dyDescent="0.25">
      <c r="A4672" t="str">
        <f>"20190312172800010"</f>
        <v>20190312172800010</v>
      </c>
      <c r="B4672" t="str">
        <f>"1552382880003884"</f>
        <v>1552382880003884</v>
      </c>
      <c r="C4672" t="s">
        <v>40</v>
      </c>
      <c r="D4672">
        <v>3.892369</v>
      </c>
      <c r="E4672">
        <v>0.50850439999999997</v>
      </c>
      <c r="F4672" t="s">
        <v>41</v>
      </c>
      <c r="G4672">
        <v>-354.22550000000001</v>
      </c>
      <c r="H4672" s="1">
        <v>-3.0877370000000001E-6</v>
      </c>
      <c r="I4672">
        <v>16.074780000000001</v>
      </c>
      <c r="J4672">
        <v>-368.54230000000001</v>
      </c>
      <c r="K4672">
        <v>1.10904</v>
      </c>
      <c r="L4672">
        <v>15.85028</v>
      </c>
      <c r="M4672">
        <v>0.99962079999999998</v>
      </c>
      <c r="N4672">
        <v>0</v>
      </c>
      <c r="O4672">
        <v>2.3767340000000001E-2</v>
      </c>
      <c r="P4672">
        <v>0.98120929999999995</v>
      </c>
      <c r="Q4672">
        <v>0.19042120000000001</v>
      </c>
      <c r="R4672">
        <v>3.112179E-2</v>
      </c>
      <c r="S4672">
        <v>3.1021420000000002</v>
      </c>
      <c r="T4672">
        <v>-0.235903</v>
      </c>
      <c r="U4672">
        <v>4.8797609999999998E-2</v>
      </c>
      <c r="V4672">
        <v>-7.2006450000000003E-3</v>
      </c>
      <c r="W4672">
        <v>0.2040814</v>
      </c>
      <c r="X4672">
        <v>0.9789274</v>
      </c>
      <c r="Y4672">
        <v>7.9512560000000003E-3</v>
      </c>
      <c r="Z4672">
        <v>-2.1065110000000001E-3</v>
      </c>
      <c r="AA4672">
        <v>0.99996609999999997</v>
      </c>
      <c r="AB4672">
        <v>25</v>
      </c>
      <c r="AC4672">
        <v>14.316800000000001</v>
      </c>
      <c r="AD4672">
        <v>-1.1090430877369899</v>
      </c>
      <c r="AE4672">
        <v>0.22450000000000001</v>
      </c>
      <c r="AF4672">
        <v>0.115177605853565</v>
      </c>
      <c r="AG4672">
        <v>-1.1090430877369899</v>
      </c>
      <c r="AH4672">
        <v>14.2327054555551</v>
      </c>
      <c r="AI4672">
        <v>94.455461951929195</v>
      </c>
      <c r="AJ4672">
        <v>89.536346291971697</v>
      </c>
      <c r="AK4672">
        <v>14.2763141964562</v>
      </c>
      <c r="AL4672">
        <v>78.224269162439796</v>
      </c>
      <c r="AM4672">
        <v>90.421439963576006</v>
      </c>
      <c r="AN4672">
        <v>0.99999996079256703</v>
      </c>
    </row>
    <row r="4673" spans="1:40" x14ac:dyDescent="0.25">
      <c r="A4673" t="str">
        <f>"20190312172800031"</f>
        <v>20190312172800031</v>
      </c>
      <c r="B4673" t="str">
        <f>"1552382880024381"</f>
        <v>1552382880024381</v>
      </c>
      <c r="C4673" t="s">
        <v>40</v>
      </c>
      <c r="D4673">
        <v>3.8879359999999998</v>
      </c>
      <c r="E4673">
        <v>0.50849650000000002</v>
      </c>
      <c r="F4673" t="s">
        <v>44</v>
      </c>
      <c r="G4673">
        <v>-367.6035</v>
      </c>
      <c r="H4673">
        <v>1.038057</v>
      </c>
      <c r="I4673">
        <v>15.862740000000001</v>
      </c>
      <c r="J4673">
        <v>-368.29860000000002</v>
      </c>
      <c r="K4673">
        <v>1.1090580000000001</v>
      </c>
      <c r="L4673">
        <v>15.85422</v>
      </c>
      <c r="M4673">
        <v>0.99965729999999997</v>
      </c>
      <c r="N4673">
        <v>0</v>
      </c>
      <c r="O4673">
        <v>2.2178030000000001E-2</v>
      </c>
      <c r="P4673">
        <v>0.98105419999999999</v>
      </c>
      <c r="Q4673">
        <v>0.1914064</v>
      </c>
      <c r="R4673">
        <v>2.993997E-2</v>
      </c>
      <c r="S4673">
        <v>3.1015630000000001</v>
      </c>
      <c r="T4673">
        <v>-0.23437649999999999</v>
      </c>
      <c r="U4673">
        <v>4.2327879999999998E-2</v>
      </c>
      <c r="V4673">
        <v>-7.5883590000000002E-3</v>
      </c>
      <c r="W4673">
        <v>0.20506199999999999</v>
      </c>
      <c r="X4673">
        <v>0.97871960000000002</v>
      </c>
      <c r="Y4673">
        <v>8.4481629999999999E-3</v>
      </c>
      <c r="Z4673">
        <v>-1.9921980000000001E-3</v>
      </c>
      <c r="AA4673">
        <v>0.99996229999999997</v>
      </c>
      <c r="AB4673">
        <v>25</v>
      </c>
      <c r="AC4673">
        <v>0.69510000000002403</v>
      </c>
      <c r="AD4673">
        <v>-7.1000999999999995E-2</v>
      </c>
      <c r="AE4673">
        <v>8.5199999999971895E-3</v>
      </c>
      <c r="AF4673">
        <v>6.82830263053335E-3</v>
      </c>
      <c r="AG4673">
        <v>-7.1000999999999995E-2</v>
      </c>
      <c r="AH4673">
        <v>0.68794134388221395</v>
      </c>
      <c r="AI4673">
        <v>95.892227413140105</v>
      </c>
      <c r="AJ4673">
        <v>89.431317686940403</v>
      </c>
      <c r="AK4673">
        <v>0.69162927955681597</v>
      </c>
      <c r="AL4673">
        <v>78.166871882087406</v>
      </c>
      <c r="AM4673">
        <v>90.444225529183996</v>
      </c>
      <c r="AN4673">
        <v>1.00000003123023</v>
      </c>
    </row>
    <row r="4674" spans="1:40" x14ac:dyDescent="0.25">
      <c r="A4674" t="str">
        <f>"20190312172800053"</f>
        <v>20190312172800053</v>
      </c>
      <c r="B4674" t="str">
        <f>"1552382880043901"</f>
        <v>1552382880043901</v>
      </c>
      <c r="C4674" t="s">
        <v>40</v>
      </c>
      <c r="D4674">
        <v>3.8869180000000001</v>
      </c>
      <c r="E4674">
        <v>0.50851029999999997</v>
      </c>
      <c r="F4674" t="s">
        <v>44</v>
      </c>
      <c r="G4674">
        <v>-367.37509999999997</v>
      </c>
      <c r="H4674">
        <v>1.041123</v>
      </c>
      <c r="I4674">
        <v>15.865729999999999</v>
      </c>
      <c r="J4674">
        <v>-368.04860000000002</v>
      </c>
      <c r="K4674">
        <v>1.109078</v>
      </c>
      <c r="L4674">
        <v>15.85791</v>
      </c>
      <c r="M4674">
        <v>0.99969169999999996</v>
      </c>
      <c r="N4674">
        <v>0</v>
      </c>
      <c r="O4674">
        <v>2.0567479999999999E-2</v>
      </c>
      <c r="P4674">
        <v>0.98086549999999995</v>
      </c>
      <c r="Q4674">
        <v>0.19265959999999999</v>
      </c>
      <c r="R4674">
        <v>2.8022559999999998E-2</v>
      </c>
      <c r="S4674">
        <v>3.1012569999999999</v>
      </c>
      <c r="T4674">
        <v>-0.22811339999999999</v>
      </c>
      <c r="U4674">
        <v>3.8574219999999999E-2</v>
      </c>
      <c r="V4674">
        <v>-7.2615980000000002E-3</v>
      </c>
      <c r="W4674">
        <v>0.20630789999999999</v>
      </c>
      <c r="X4674">
        <v>0.9784602</v>
      </c>
      <c r="Y4674">
        <v>8.0559159999999998E-3</v>
      </c>
      <c r="Z4674">
        <v>-1.8066289999999999E-3</v>
      </c>
      <c r="AA4674">
        <v>0.99996589999999996</v>
      </c>
      <c r="AB4674">
        <v>25</v>
      </c>
      <c r="AC4674">
        <v>0.67350000000004595</v>
      </c>
      <c r="AD4674">
        <v>-6.7954999999999904E-2</v>
      </c>
      <c r="AE4674">
        <v>7.8199999999988192E-3</v>
      </c>
      <c r="AF4674">
        <v>5.97437881164593E-3</v>
      </c>
      <c r="AG4674">
        <v>-6.7954999999999904E-2</v>
      </c>
      <c r="AH4674">
        <v>0.66673163480678099</v>
      </c>
      <c r="AI4674">
        <v>95.819404580931106</v>
      </c>
      <c r="AJ4674">
        <v>89.486603736855002</v>
      </c>
      <c r="AK4674">
        <v>0.67021239027587898</v>
      </c>
      <c r="AL4674">
        <v>78.093927271950804</v>
      </c>
      <c r="AM4674">
        <v>90.425210222766495</v>
      </c>
      <c r="AN4674">
        <v>1.0000000216959799</v>
      </c>
    </row>
    <row r="4675" spans="1:40" x14ac:dyDescent="0.25">
      <c r="A4675" t="str">
        <f>"20190312172800075"</f>
        <v>20190312172800075</v>
      </c>
      <c r="B4675" t="str">
        <f>"1552382880064396"</f>
        <v>1552382880064396</v>
      </c>
      <c r="C4675" t="s">
        <v>40</v>
      </c>
      <c r="D4675">
        <v>3.894774</v>
      </c>
      <c r="E4675">
        <v>0.50843079999999996</v>
      </c>
      <c r="F4675" t="s">
        <v>41</v>
      </c>
      <c r="G4675">
        <v>-352.58100000000002</v>
      </c>
      <c r="H4675" s="1">
        <v>-3.8019139999999999E-6</v>
      </c>
      <c r="I4675">
        <v>16.025860000000002</v>
      </c>
      <c r="J4675">
        <v>-367.80340000000001</v>
      </c>
      <c r="K4675">
        <v>1.1090990000000001</v>
      </c>
      <c r="L4675">
        <v>15.86115</v>
      </c>
      <c r="M4675">
        <v>0.99972269999999996</v>
      </c>
      <c r="N4675">
        <v>0</v>
      </c>
      <c r="O4675">
        <v>1.9008770000000001E-2</v>
      </c>
      <c r="P4675">
        <v>0.98076750000000001</v>
      </c>
      <c r="Q4675">
        <v>0.19339790000000001</v>
      </c>
      <c r="R4675">
        <v>2.631758E-2</v>
      </c>
      <c r="S4675">
        <v>3.1012270000000002</v>
      </c>
      <c r="T4675">
        <v>-0.2223676</v>
      </c>
      <c r="U4675">
        <v>3.3691409999999998E-2</v>
      </c>
      <c r="V4675">
        <v>-7.0962439999999998E-3</v>
      </c>
      <c r="W4675">
        <v>0.20704040000000001</v>
      </c>
      <c r="X4675">
        <v>0.97830669999999997</v>
      </c>
      <c r="Y4675">
        <v>8.0786650000000005E-3</v>
      </c>
      <c r="Z4675">
        <v>-1.650489E-3</v>
      </c>
      <c r="AA4675">
        <v>0.99996600000000002</v>
      </c>
      <c r="AB4675">
        <v>25</v>
      </c>
      <c r="AC4675">
        <v>15.2224</v>
      </c>
      <c r="AD4675">
        <v>-1.1091028019139999</v>
      </c>
      <c r="AE4675">
        <v>0.16471000000000099</v>
      </c>
      <c r="AF4675">
        <v>0.12404837904683901</v>
      </c>
      <c r="AG4675">
        <v>-1.1091028019139999</v>
      </c>
      <c r="AH4675">
        <v>15.142405206394001</v>
      </c>
      <c r="AI4675">
        <v>94.188998600868501</v>
      </c>
      <c r="AJ4675">
        <v>89.530636679654506</v>
      </c>
      <c r="AK4675">
        <v>15.183475638343999</v>
      </c>
      <c r="AL4675">
        <v>78.051032238221396</v>
      </c>
      <c r="AM4675">
        <v>90.415593290980894</v>
      </c>
      <c r="AN4675">
        <v>1.00000004158797</v>
      </c>
    </row>
    <row r="4676" spans="1:40" x14ac:dyDescent="0.25">
      <c r="A4676" t="str">
        <f>"20190312172800097"</f>
        <v>20190312172800097</v>
      </c>
      <c r="B4676" t="str">
        <f>"1552382880093677"</f>
        <v>1552382880093677</v>
      </c>
      <c r="C4676" t="s">
        <v>40</v>
      </c>
      <c r="D4676">
        <v>3.8543940000000001</v>
      </c>
      <c r="E4676">
        <v>0.50829120000000005</v>
      </c>
      <c r="F4676" t="s">
        <v>41</v>
      </c>
      <c r="G4676">
        <v>-352.01620000000003</v>
      </c>
      <c r="H4676" s="1">
        <v>-4.0468339999999996E-6</v>
      </c>
      <c r="I4676">
        <v>16.01099</v>
      </c>
      <c r="J4676">
        <v>-367.55410000000001</v>
      </c>
      <c r="K4676">
        <v>1.1091279999999999</v>
      </c>
      <c r="L4676">
        <v>15.864039999999999</v>
      </c>
      <c r="M4676">
        <v>0.99975099999999995</v>
      </c>
      <c r="N4676">
        <v>0</v>
      </c>
      <c r="O4676">
        <v>1.7455060000000001E-2</v>
      </c>
      <c r="P4676">
        <v>0.98085169999999999</v>
      </c>
      <c r="Q4676">
        <v>0.19304170000000001</v>
      </c>
      <c r="R4676">
        <v>2.5782679999999999E-2</v>
      </c>
      <c r="S4676">
        <v>3.101013</v>
      </c>
      <c r="T4676">
        <v>-0.21785579999999999</v>
      </c>
      <c r="U4676">
        <v>2.944946E-2</v>
      </c>
      <c r="V4676">
        <v>-8.0979569999999994E-3</v>
      </c>
      <c r="W4676">
        <v>0.20668439999999999</v>
      </c>
      <c r="X4676">
        <v>0.97837410000000002</v>
      </c>
      <c r="Y4676">
        <v>7.8986279999999996E-3</v>
      </c>
      <c r="Z4676">
        <v>-1.501886E-3</v>
      </c>
      <c r="AA4676">
        <v>0.99996770000000001</v>
      </c>
      <c r="AB4676">
        <v>25</v>
      </c>
      <c r="AC4676">
        <v>15.537899999999899</v>
      </c>
      <c r="AD4676">
        <v>-1.109132046834</v>
      </c>
      <c r="AE4676">
        <v>0.14695</v>
      </c>
      <c r="AF4676">
        <v>0.123683414952254</v>
      </c>
      <c r="AG4676">
        <v>-1.109132046834</v>
      </c>
      <c r="AH4676">
        <v>15.459332506967</v>
      </c>
      <c r="AI4676">
        <v>94.103531729140599</v>
      </c>
      <c r="AJ4676">
        <v>89.541611096451405</v>
      </c>
      <c r="AK4676">
        <v>15.4995623501251</v>
      </c>
      <c r="AL4676">
        <v>78.0718793588224</v>
      </c>
      <c r="AM4676">
        <v>90.474223677631201</v>
      </c>
      <c r="AN4676">
        <v>0.99999994883086996</v>
      </c>
    </row>
    <row r="4677" spans="1:40" x14ac:dyDescent="0.25">
      <c r="A4677" t="str">
        <f>"20190312172800119"</f>
        <v>20190312172800119</v>
      </c>
      <c r="B4677" t="str">
        <f>"1552382880114174"</f>
        <v>1552382880114174</v>
      </c>
      <c r="C4677" t="s">
        <v>40</v>
      </c>
      <c r="D4677">
        <v>3.861618</v>
      </c>
      <c r="E4677">
        <v>0.50832109999999997</v>
      </c>
      <c r="F4677" t="s">
        <v>41</v>
      </c>
      <c r="G4677">
        <v>-351.82889999999998</v>
      </c>
      <c r="H4677" s="1">
        <v>-4.1281469999999997E-6</v>
      </c>
      <c r="I4677">
        <v>16.00572</v>
      </c>
      <c r="J4677">
        <v>-367.30939999999998</v>
      </c>
      <c r="K4677">
        <v>1.1091549999999999</v>
      </c>
      <c r="L4677">
        <v>15.866580000000001</v>
      </c>
      <c r="M4677">
        <v>0.99977590000000005</v>
      </c>
      <c r="N4677">
        <v>0</v>
      </c>
      <c r="O4677">
        <v>1.5971059999999999E-2</v>
      </c>
      <c r="P4677">
        <v>0.98089959999999998</v>
      </c>
      <c r="Q4677">
        <v>0.19294819999999999</v>
      </c>
      <c r="R4677">
        <v>2.4638139999999999E-2</v>
      </c>
      <c r="S4677">
        <v>3.1008610000000001</v>
      </c>
      <c r="T4677">
        <v>-0.21870919999999999</v>
      </c>
      <c r="U4677">
        <v>2.7954099999999999E-2</v>
      </c>
      <c r="V4677">
        <v>-8.4261000000000006E-3</v>
      </c>
      <c r="W4677">
        <v>0.20658879999999999</v>
      </c>
      <c r="X4677">
        <v>0.97839160000000003</v>
      </c>
      <c r="Y4677">
        <v>6.9017030000000004E-3</v>
      </c>
      <c r="Z4677">
        <v>-1.36818799999999E-3</v>
      </c>
      <c r="AA4677">
        <v>0.99997530000000001</v>
      </c>
      <c r="AB4677">
        <v>25</v>
      </c>
      <c r="AC4677">
        <v>15.480499999999999</v>
      </c>
      <c r="AD4677">
        <v>-1.1091591281469999</v>
      </c>
      <c r="AE4677">
        <v>0.13914000000000101</v>
      </c>
      <c r="AF4677">
        <v>0.107589345224222</v>
      </c>
      <c r="AG4677">
        <v>-1.1091591281469999</v>
      </c>
      <c r="AH4677">
        <v>15.4016886351561</v>
      </c>
      <c r="AI4677">
        <v>94.118968689790293</v>
      </c>
      <c r="AJ4677">
        <v>89.599763683025699</v>
      </c>
      <c r="AK4677">
        <v>15.441950079347301</v>
      </c>
      <c r="AL4677">
        <v>78.077478607565496</v>
      </c>
      <c r="AM4677">
        <v>90.493430271038406</v>
      </c>
      <c r="AN4677">
        <v>1.0000000271986</v>
      </c>
    </row>
    <row r="4678" spans="1:40" x14ac:dyDescent="0.25">
      <c r="A4678" t="str">
        <f>"20190312172800142"</f>
        <v>20190312172800142</v>
      </c>
      <c r="B4678" t="str">
        <f>"1552382880133693"</f>
        <v>1552382880133693</v>
      </c>
      <c r="C4678" t="s">
        <v>40</v>
      </c>
      <c r="D4678">
        <v>3.8911500000000001</v>
      </c>
      <c r="E4678">
        <v>0.50831939999999998</v>
      </c>
      <c r="F4678" t="s">
        <v>41</v>
      </c>
      <c r="G4678">
        <v>-351.59059999999999</v>
      </c>
      <c r="H4678" s="1">
        <v>-4.2332730000000001E-6</v>
      </c>
      <c r="I4678">
        <v>15.989319999999999</v>
      </c>
      <c r="J4678">
        <v>-367.05</v>
      </c>
      <c r="K4678">
        <v>1.1091949999999999</v>
      </c>
      <c r="L4678">
        <v>15.868930000000001</v>
      </c>
      <c r="M4678">
        <v>0.99979899999999999</v>
      </c>
      <c r="N4678">
        <v>0</v>
      </c>
      <c r="O4678">
        <v>1.4456419999999999E-2</v>
      </c>
      <c r="P4678">
        <v>0.98097469999999998</v>
      </c>
      <c r="Q4678">
        <v>0.1926669</v>
      </c>
      <c r="R4678">
        <v>2.3837859999999999E-2</v>
      </c>
      <c r="S4678">
        <v>3.1008610000000001</v>
      </c>
      <c r="T4678">
        <v>-0.21880350000000001</v>
      </c>
      <c r="U4678">
        <v>2.4230959999999999E-2</v>
      </c>
      <c r="V4678">
        <v>-9.1362519999999992E-3</v>
      </c>
      <c r="W4678">
        <v>0.20630519999999999</v>
      </c>
      <c r="X4678">
        <v>0.97844509999999996</v>
      </c>
      <c r="Y4678">
        <v>6.5918280000000001E-3</v>
      </c>
      <c r="Z4678">
        <v>-1.2511270000000001E-3</v>
      </c>
      <c r="AA4678">
        <v>0.99997749999999996</v>
      </c>
      <c r="AB4678">
        <v>25</v>
      </c>
      <c r="AC4678">
        <v>15.4594</v>
      </c>
      <c r="AD4678">
        <v>-1.1091992332730001</v>
      </c>
      <c r="AE4678">
        <v>0.120390000000002</v>
      </c>
      <c r="AF4678">
        <v>0.102603563545518</v>
      </c>
      <c r="AG4678">
        <v>-1.1091992332730001</v>
      </c>
      <c r="AH4678">
        <v>15.3803523666353</v>
      </c>
      <c r="AI4678">
        <v>94.124820439779796</v>
      </c>
      <c r="AJ4678">
        <v>89.617780931906395</v>
      </c>
      <c r="AK4678">
        <v>15.420638422329001</v>
      </c>
      <c r="AL4678">
        <v>78.094085836595298</v>
      </c>
      <c r="AM4678">
        <v>90.534985015858695</v>
      </c>
      <c r="AN4678">
        <v>1.0000000601808201</v>
      </c>
    </row>
    <row r="4679" spans="1:40" x14ac:dyDescent="0.25">
      <c r="A4679" t="str">
        <f>"20190312172800164"</f>
        <v>20190312172800164</v>
      </c>
      <c r="B4679" t="str">
        <f>"1552382880154189"</f>
        <v>1552382880154189</v>
      </c>
      <c r="C4679" t="s">
        <v>40</v>
      </c>
      <c r="D4679">
        <v>3.8489089999999999</v>
      </c>
      <c r="E4679">
        <v>0.50825929999999997</v>
      </c>
      <c r="F4679" t="s">
        <v>41</v>
      </c>
      <c r="G4679">
        <v>-351.40699999999998</v>
      </c>
      <c r="H4679" s="1">
        <v>-4.3129839999999996E-6</v>
      </c>
      <c r="I4679">
        <v>15.984</v>
      </c>
      <c r="J4679">
        <v>-366.79719999999998</v>
      </c>
      <c r="K4679">
        <v>1.109253</v>
      </c>
      <c r="L4679">
        <v>15.87097</v>
      </c>
      <c r="M4679">
        <v>0.99981830000000005</v>
      </c>
      <c r="N4679">
        <v>0</v>
      </c>
      <c r="O4679">
        <v>1.305808E-2</v>
      </c>
      <c r="P4679">
        <v>0.98112140000000003</v>
      </c>
      <c r="Q4679">
        <v>0.19187850000000001</v>
      </c>
      <c r="R4679">
        <v>2.4156980000000002E-2</v>
      </c>
      <c r="S4679">
        <v>3.1007389999999999</v>
      </c>
      <c r="T4679">
        <v>-0.21986339999999999</v>
      </c>
      <c r="U4679">
        <v>2.2827150000000001E-2</v>
      </c>
      <c r="V4679">
        <v>-1.0857810000000001E-2</v>
      </c>
      <c r="W4679">
        <v>0.20551839999999999</v>
      </c>
      <c r="X4679">
        <v>0.97859300000000005</v>
      </c>
      <c r="Y4679">
        <v>5.6510029999999999E-3</v>
      </c>
      <c r="Z4679">
        <v>-1.1248849999999999E-3</v>
      </c>
      <c r="AA4679">
        <v>0.99998339999999997</v>
      </c>
      <c r="AB4679">
        <v>25</v>
      </c>
      <c r="AC4679">
        <v>15.390199999999901</v>
      </c>
      <c r="AD4679">
        <v>-1.109257312984</v>
      </c>
      <c r="AE4679">
        <v>0.11303000000000001</v>
      </c>
      <c r="AF4679">
        <v>8.7510898327358796E-2</v>
      </c>
      <c r="AG4679">
        <v>-1.109257312984</v>
      </c>
      <c r="AH4679">
        <v>15.3108299342772</v>
      </c>
      <c r="AI4679">
        <v>94.143725711028907</v>
      </c>
      <c r="AJ4679">
        <v>89.6725226157929</v>
      </c>
      <c r="AK4679">
        <v>15.3512091777844</v>
      </c>
      <c r="AL4679">
        <v>78.140152417714305</v>
      </c>
      <c r="AM4679">
        <v>90.635689363426494</v>
      </c>
      <c r="AN4679">
        <v>0.99999998221277797</v>
      </c>
    </row>
    <row r="4680" spans="1:40" x14ac:dyDescent="0.25">
      <c r="A4680" t="str">
        <f>"20190312172800187"</f>
        <v>20190312172800187</v>
      </c>
      <c r="B4680" t="str">
        <f>"1552382880184445"</f>
        <v>1552382880184445</v>
      </c>
      <c r="C4680" t="s">
        <v>40</v>
      </c>
      <c r="D4680">
        <v>3.810991</v>
      </c>
      <c r="E4680">
        <v>0.50817500000000004</v>
      </c>
      <c r="F4680" t="s">
        <v>41</v>
      </c>
      <c r="G4680">
        <v>-351.30290000000002</v>
      </c>
      <c r="H4680" s="1">
        <v>-4.357216E-6</v>
      </c>
      <c r="I4680">
        <v>15.986330000000001</v>
      </c>
      <c r="J4680">
        <v>-366.55149999999998</v>
      </c>
      <c r="K4680">
        <v>1.1093189999999999</v>
      </c>
      <c r="L4680">
        <v>15.872680000000001</v>
      </c>
      <c r="M4680">
        <v>0.99983409999999995</v>
      </c>
      <c r="N4680">
        <v>0</v>
      </c>
      <c r="O4680">
        <v>1.179642E-2</v>
      </c>
      <c r="P4680">
        <v>0.98119020000000001</v>
      </c>
      <c r="Q4680">
        <v>0.1914198</v>
      </c>
      <c r="R4680">
        <v>2.499552E-2</v>
      </c>
      <c r="S4680">
        <v>3.1005859999999998</v>
      </c>
      <c r="T4680">
        <v>-0.22197510000000001</v>
      </c>
      <c r="U4680">
        <v>2.310181E-2</v>
      </c>
      <c r="V4680">
        <v>-1.297149E-2</v>
      </c>
      <c r="W4680">
        <v>0.20505970000000001</v>
      </c>
      <c r="X4680">
        <v>0.97866350000000002</v>
      </c>
      <c r="Y4680">
        <v>4.3059530000000004E-3</v>
      </c>
      <c r="Z4680">
        <v>-9.974230000000001E-4</v>
      </c>
      <c r="AA4680">
        <v>0.99999020000000005</v>
      </c>
      <c r="AB4680">
        <v>25</v>
      </c>
      <c r="AC4680">
        <v>15.2485999999999</v>
      </c>
      <c r="AD4680">
        <v>-1.109323357216</v>
      </c>
      <c r="AE4680">
        <v>0.113649999999999</v>
      </c>
      <c r="AF4680">
        <v>6.5905344637551599E-2</v>
      </c>
      <c r="AG4680">
        <v>-1.109323357216</v>
      </c>
      <c r="AH4680">
        <v>15.168605035692099</v>
      </c>
      <c r="AI4680">
        <v>94.182718027974204</v>
      </c>
      <c r="AJ4680">
        <v>89.751059881572999</v>
      </c>
      <c r="AK4680">
        <v>15.209257725284999</v>
      </c>
      <c r="AL4680">
        <v>78.167006066786797</v>
      </c>
      <c r="AM4680">
        <v>90.759370421037801</v>
      </c>
      <c r="AN4680">
        <v>0.99999999317457999</v>
      </c>
    </row>
    <row r="4681" spans="1:40" x14ac:dyDescent="0.25">
      <c r="A4681" t="str">
        <f>"20190312172800210"</f>
        <v>20190312172800210</v>
      </c>
      <c r="B4681" t="str">
        <f>"1552382880203965"</f>
        <v>1552382880203965</v>
      </c>
      <c r="C4681" t="s">
        <v>40</v>
      </c>
      <c r="D4681">
        <v>3.797714</v>
      </c>
      <c r="E4681">
        <v>0.50802190000000003</v>
      </c>
      <c r="F4681" t="s">
        <v>41</v>
      </c>
      <c r="G4681">
        <v>-351.14819999999997</v>
      </c>
      <c r="H4681" s="1">
        <v>-4.4212729999999998E-6</v>
      </c>
      <c r="I4681">
        <v>15.99935</v>
      </c>
      <c r="J4681">
        <v>-366.2878</v>
      </c>
      <c r="K4681">
        <v>1.109416</v>
      </c>
      <c r="L4681">
        <v>15.8743</v>
      </c>
      <c r="M4681">
        <v>0.99984779999999995</v>
      </c>
      <c r="N4681">
        <v>0</v>
      </c>
      <c r="O4681">
        <v>1.057643E-2</v>
      </c>
      <c r="P4681">
        <v>0.98123099999999996</v>
      </c>
      <c r="Q4681">
        <v>0.1911823</v>
      </c>
      <c r="R4681">
        <v>2.520064E-2</v>
      </c>
      <c r="S4681">
        <v>3.100403</v>
      </c>
      <c r="T4681">
        <v>-0.2232857</v>
      </c>
      <c r="U4681">
        <v>2.5512699999999999E-2</v>
      </c>
      <c r="V4681">
        <v>-1.442075E-2</v>
      </c>
      <c r="W4681">
        <v>0.2048179</v>
      </c>
      <c r="X4681">
        <v>0.97869379999999995</v>
      </c>
      <c r="Y4681">
        <v>2.315606E-3</v>
      </c>
      <c r="Z4681">
        <v>-8.4402649999999995E-4</v>
      </c>
      <c r="AA4681">
        <v>0.99999700000000002</v>
      </c>
      <c r="AB4681">
        <v>25</v>
      </c>
      <c r="AC4681">
        <v>15.1396</v>
      </c>
      <c r="AD4681">
        <v>-1.1094204212729999</v>
      </c>
      <c r="AE4681">
        <v>0.125049999999999</v>
      </c>
      <c r="AF4681">
        <v>3.4907892661745599E-2</v>
      </c>
      <c r="AG4681">
        <v>-1.1094204212729999</v>
      </c>
      <c r="AH4681">
        <v>15.0592152957742</v>
      </c>
      <c r="AI4681">
        <v>94.213387824738604</v>
      </c>
      <c r="AJ4681">
        <v>89.867186217900695</v>
      </c>
      <c r="AK4681">
        <v>15.100066144113001</v>
      </c>
      <c r="AL4681">
        <v>78.181160008323999</v>
      </c>
      <c r="AM4681">
        <v>90.8441744745123</v>
      </c>
      <c r="AN4681">
        <v>0.999999942174704</v>
      </c>
    </row>
    <row r="4682" spans="1:40" x14ac:dyDescent="0.25">
      <c r="A4682" t="str">
        <f>"20190312172800233"</f>
        <v>20190312172800233</v>
      </c>
      <c r="B4682" t="str">
        <f>"1552382880224461"</f>
        <v>1552382880224461</v>
      </c>
      <c r="C4682" t="s">
        <v>40</v>
      </c>
      <c r="D4682">
        <v>3.7783329999999999</v>
      </c>
      <c r="E4682">
        <v>0.50795820000000003</v>
      </c>
      <c r="F4682" t="s">
        <v>44</v>
      </c>
      <c r="G4682">
        <v>-365.3458</v>
      </c>
      <c r="H4682">
        <v>1.041164</v>
      </c>
      <c r="I4682">
        <v>15.88251</v>
      </c>
      <c r="J4682">
        <v>-366.03769999999997</v>
      </c>
      <c r="K4682">
        <v>1.1095109999999999</v>
      </c>
      <c r="L4682">
        <v>15.87567</v>
      </c>
      <c r="M4682">
        <v>0.99985800000000002</v>
      </c>
      <c r="N4682">
        <v>0</v>
      </c>
      <c r="O4682">
        <v>9.5568860000000005E-3</v>
      </c>
      <c r="P4682">
        <v>0.9810759</v>
      </c>
      <c r="Q4682">
        <v>0.19203229999999999</v>
      </c>
      <c r="R4682">
        <v>2.4774839999999999E-2</v>
      </c>
      <c r="S4682">
        <v>3.100403</v>
      </c>
      <c r="T4682">
        <v>-0.22452630000000001</v>
      </c>
      <c r="U4682">
        <v>2.786255E-2</v>
      </c>
      <c r="V4682">
        <v>-1.5043839999999999E-2</v>
      </c>
      <c r="W4682">
        <v>0.20565890000000001</v>
      </c>
      <c r="X4682">
        <v>0.97850809999999999</v>
      </c>
      <c r="Y4682">
        <v>5.4498860000000004E-4</v>
      </c>
      <c r="Z4682">
        <v>-7.1093449999999896E-4</v>
      </c>
      <c r="AA4682">
        <v>0.99999959999999999</v>
      </c>
      <c r="AB4682">
        <v>25</v>
      </c>
      <c r="AC4682">
        <v>0.69189999999997498</v>
      </c>
      <c r="AD4682">
        <v>-6.8347000000000102E-2</v>
      </c>
      <c r="AE4682">
        <v>6.8399999999986198E-3</v>
      </c>
      <c r="AF4682">
        <v>-2.2445119085641799E-4</v>
      </c>
      <c r="AG4682">
        <v>-6.8347000000000102E-2</v>
      </c>
      <c r="AH4682">
        <v>0.68524790771111599</v>
      </c>
      <c r="AI4682">
        <v>95.695873983229404</v>
      </c>
      <c r="AJ4682">
        <v>90.018767084639194</v>
      </c>
      <c r="AK4682">
        <v>0.68864799267100196</v>
      </c>
      <c r="AL4682">
        <v>78.131926872111904</v>
      </c>
      <c r="AM4682">
        <v>90.880810937556504</v>
      </c>
      <c r="AN4682">
        <v>1.00000000101838</v>
      </c>
    </row>
    <row r="4683" spans="1:40" x14ac:dyDescent="0.25">
      <c r="A4683" t="str">
        <f>"20190312172800254"</f>
        <v>20190312172800254</v>
      </c>
      <c r="B4683" t="str">
        <f>"1552382880243984"</f>
        <v>1552382880243984</v>
      </c>
      <c r="C4683" t="s">
        <v>40</v>
      </c>
      <c r="D4683">
        <v>3.7982200000000002</v>
      </c>
      <c r="E4683">
        <v>0.50789110000000004</v>
      </c>
      <c r="F4683" t="s">
        <v>41</v>
      </c>
      <c r="G4683">
        <v>-350.53399999999999</v>
      </c>
      <c r="H4683" s="1">
        <v>-4.6819050000000004E-6</v>
      </c>
      <c r="I4683">
        <v>16.015360000000001</v>
      </c>
      <c r="J4683">
        <v>-365.79610000000002</v>
      </c>
      <c r="K4683">
        <v>1.109602</v>
      </c>
      <c r="L4683">
        <v>15.87692</v>
      </c>
      <c r="M4683">
        <v>0.99986620000000004</v>
      </c>
      <c r="N4683">
        <v>0</v>
      </c>
      <c r="O4683">
        <v>8.6792099999999997E-3</v>
      </c>
      <c r="P4683">
        <v>0.98096320000000004</v>
      </c>
      <c r="Q4683">
        <v>0.1926534</v>
      </c>
      <c r="R4683">
        <v>2.4416440000000001E-2</v>
      </c>
      <c r="S4683">
        <v>3.1005859999999998</v>
      </c>
      <c r="T4683">
        <v>-0.2218926</v>
      </c>
      <c r="U4683">
        <v>2.7954099999999999E-2</v>
      </c>
      <c r="V4683">
        <v>-1.5588629999999999E-2</v>
      </c>
      <c r="W4683">
        <v>0.2062725</v>
      </c>
      <c r="X4683">
        <v>0.97837039999999997</v>
      </c>
      <c r="Y4683">
        <v>-3.5663459999999998E-4</v>
      </c>
      <c r="Z4683">
        <v>-6.0762269999999996E-4</v>
      </c>
      <c r="AA4683">
        <v>0.99999979999999999</v>
      </c>
      <c r="AB4683">
        <v>25</v>
      </c>
      <c r="AC4683">
        <v>15.2621</v>
      </c>
      <c r="AD4683">
        <v>-1.1096066819049999</v>
      </c>
      <c r="AE4683">
        <v>0.13843999999999901</v>
      </c>
      <c r="AF4683">
        <v>-5.9277484122489902E-3</v>
      </c>
      <c r="AG4683">
        <v>-1.1096066819049999</v>
      </c>
      <c r="AH4683">
        <v>15.1824819661886</v>
      </c>
      <c r="AI4683">
        <v>94.180011055037099</v>
      </c>
      <c r="AJ4683">
        <v>90.022370186214303</v>
      </c>
      <c r="AK4683">
        <v>15.222976738482201</v>
      </c>
      <c r="AL4683">
        <v>78.095999800812393</v>
      </c>
      <c r="AM4683">
        <v>90.912831313029002</v>
      </c>
      <c r="AN4683">
        <v>0.99999999461884304</v>
      </c>
    </row>
    <row r="4684" spans="1:40" x14ac:dyDescent="0.25">
      <c r="A4684" t="str">
        <f>"20190312172800275"</f>
        <v>20190312172800275</v>
      </c>
      <c r="B4684" t="str">
        <f>"1552382880264480"</f>
        <v>1552382880264480</v>
      </c>
      <c r="C4684" t="s">
        <v>40</v>
      </c>
      <c r="D4684">
        <v>3.81833</v>
      </c>
      <c r="E4684">
        <v>0.50784949999999995</v>
      </c>
      <c r="F4684" t="s">
        <v>41</v>
      </c>
      <c r="G4684">
        <v>-350.14659999999998</v>
      </c>
      <c r="H4684" s="1">
        <v>-4.8482140000000004E-6</v>
      </c>
      <c r="I4684">
        <v>16.01484</v>
      </c>
      <c r="J4684">
        <v>-365.56389999999999</v>
      </c>
      <c r="K4684">
        <v>1.1096790000000001</v>
      </c>
      <c r="L4684">
        <v>15.87799</v>
      </c>
      <c r="M4684">
        <v>0.99987230000000005</v>
      </c>
      <c r="N4684">
        <v>0</v>
      </c>
      <c r="O4684">
        <v>7.9409790000000008E-3</v>
      </c>
      <c r="P4684">
        <v>0.98087290000000005</v>
      </c>
      <c r="Q4684">
        <v>0.1930943</v>
      </c>
      <c r="R4684">
        <v>2.4560180000000001E-2</v>
      </c>
      <c r="S4684">
        <v>3.100708</v>
      </c>
      <c r="T4684">
        <v>-0.21985170000000001</v>
      </c>
      <c r="U4684">
        <v>2.734375E-2</v>
      </c>
      <c r="V4684">
        <v>-1.6494930000000001E-2</v>
      </c>
      <c r="W4684">
        <v>0.20670640000000001</v>
      </c>
      <c r="X4684">
        <v>0.97826400000000002</v>
      </c>
      <c r="Y4684">
        <v>-8.9418630000000004E-4</v>
      </c>
      <c r="Z4684">
        <v>-5.3071269999999896E-4</v>
      </c>
      <c r="AA4684">
        <v>0.99999950000000004</v>
      </c>
      <c r="AB4684">
        <v>25</v>
      </c>
      <c r="AC4684">
        <v>15.417299999999999</v>
      </c>
      <c r="AD4684">
        <v>-1.1096838482139999</v>
      </c>
      <c r="AE4684">
        <v>0.13685</v>
      </c>
      <c r="AF4684">
        <v>-1.4331215290028201E-2</v>
      </c>
      <c r="AG4684">
        <v>-1.1096838482139999</v>
      </c>
      <c r="AH4684">
        <v>15.3384442084166</v>
      </c>
      <c r="AI4684">
        <v>94.137942079984001</v>
      </c>
      <c r="AJ4684">
        <v>90.053533324587207</v>
      </c>
      <c r="AK4684">
        <v>15.378539409236099</v>
      </c>
      <c r="AL4684">
        <v>78.070592087052006</v>
      </c>
      <c r="AM4684">
        <v>90.965997238125595</v>
      </c>
      <c r="AN4684">
        <v>1.0000000361063299</v>
      </c>
    </row>
    <row r="4685" spans="1:40" x14ac:dyDescent="0.25">
      <c r="A4685" t="str">
        <f>"20190312172800298"</f>
        <v>20190312172800298</v>
      </c>
      <c r="B4685" t="str">
        <f>"1552382880293757"</f>
        <v>1552382880293757</v>
      </c>
      <c r="C4685" t="s">
        <v>40</v>
      </c>
      <c r="D4685">
        <v>3.7905950000000002</v>
      </c>
      <c r="E4685">
        <v>0.50777950000000005</v>
      </c>
      <c r="F4685" t="s">
        <v>41</v>
      </c>
      <c r="G4685">
        <v>-349.81659999999999</v>
      </c>
      <c r="H4685" s="1">
        <v>-1.0072700000000001E-6</v>
      </c>
      <c r="I4685">
        <v>16.012729999999902</v>
      </c>
      <c r="J4685">
        <v>-365.3091</v>
      </c>
      <c r="K4685">
        <v>1.109766</v>
      </c>
      <c r="L4685">
        <v>15.879149999999999</v>
      </c>
      <c r="M4685">
        <v>0.99987760000000003</v>
      </c>
      <c r="N4685">
        <v>0</v>
      </c>
      <c r="O4685">
        <v>7.2541319999999999E-3</v>
      </c>
      <c r="P4685">
        <v>0.98074640000000002</v>
      </c>
      <c r="Q4685">
        <v>0.19382260000000001</v>
      </c>
      <c r="R4685">
        <v>2.385615E-2</v>
      </c>
      <c r="S4685">
        <v>3.1008909999999998</v>
      </c>
      <c r="T4685">
        <v>-0.2185125</v>
      </c>
      <c r="U4685">
        <v>2.6550290000000001E-2</v>
      </c>
      <c r="V4685">
        <v>-1.6504959999999999E-2</v>
      </c>
      <c r="W4685">
        <v>0.20742569999999999</v>
      </c>
      <c r="X4685">
        <v>0.97811150000000002</v>
      </c>
      <c r="Y4685">
        <v>-1.3217579999999999E-3</v>
      </c>
      <c r="Z4685">
        <v>-4.64069E-4</v>
      </c>
      <c r="AA4685">
        <v>0.99999899999999997</v>
      </c>
      <c r="AB4685">
        <v>25</v>
      </c>
      <c r="AC4685">
        <v>15.4925</v>
      </c>
      <c r="AD4685">
        <v>-1.1097670072700001</v>
      </c>
      <c r="AE4685">
        <v>0.13357999999999801</v>
      </c>
      <c r="AF4685">
        <v>-2.1072923237441799E-2</v>
      </c>
      <c r="AG4685">
        <v>-1.1097670072700001</v>
      </c>
      <c r="AH4685">
        <v>15.413974778510401</v>
      </c>
      <c r="AI4685">
        <v>94.118040994550995</v>
      </c>
      <c r="AJ4685">
        <v>90.078330789341194</v>
      </c>
      <c r="AK4685">
        <v>15.453887709928299</v>
      </c>
      <c r="AL4685">
        <v>78.028465442282197</v>
      </c>
      <c r="AM4685">
        <v>90.966735190636101</v>
      </c>
      <c r="AN4685">
        <v>0.99999997057866996</v>
      </c>
    </row>
    <row r="4686" spans="1:40" x14ac:dyDescent="0.25">
      <c r="A4686" t="str">
        <f>"20190312172800320"</f>
        <v>20190312172800320</v>
      </c>
      <c r="B4686" t="str">
        <f>"1552382880314253"</f>
        <v>1552382880314253</v>
      </c>
      <c r="C4686" t="s">
        <v>40</v>
      </c>
      <c r="D4686">
        <v>3.874733</v>
      </c>
      <c r="E4686">
        <v>0.50769949999999997</v>
      </c>
      <c r="F4686" t="s">
        <v>41</v>
      </c>
      <c r="G4686">
        <v>-349.39010000000002</v>
      </c>
      <c r="H4686" s="1">
        <v>-1.154104E-6</v>
      </c>
      <c r="I4686">
        <v>16.006429999999899</v>
      </c>
      <c r="J4686">
        <v>-365.06450000000001</v>
      </c>
      <c r="K4686">
        <v>1.10985</v>
      </c>
      <c r="L4686">
        <v>15.880190000000001</v>
      </c>
      <c r="M4686">
        <v>0.99988140000000003</v>
      </c>
      <c r="N4686">
        <v>0</v>
      </c>
      <c r="O4686">
        <v>6.7129679999999997E-3</v>
      </c>
      <c r="P4686">
        <v>0.98061200000000004</v>
      </c>
      <c r="Q4686">
        <v>0.19455829999999999</v>
      </c>
      <c r="R4686">
        <v>2.339248E-2</v>
      </c>
      <c r="S4686">
        <v>3.1010439999999999</v>
      </c>
      <c r="T4686">
        <v>-0.21618390000000001</v>
      </c>
      <c r="U4686">
        <v>2.4810789999999999E-2</v>
      </c>
      <c r="V4686">
        <v>-1.6612410000000001E-2</v>
      </c>
      <c r="W4686">
        <v>0.20815239999999999</v>
      </c>
      <c r="X4686">
        <v>0.97795529999999997</v>
      </c>
      <c r="Y4686">
        <v>-1.3000900000000001E-3</v>
      </c>
      <c r="Z4686">
        <v>-4.2218630000000001E-4</v>
      </c>
      <c r="AA4686">
        <v>0.99999899999999997</v>
      </c>
      <c r="AB4686">
        <v>25</v>
      </c>
      <c r="AC4686">
        <v>15.674399999999901</v>
      </c>
      <c r="AD4686">
        <v>-1.1098511541039999</v>
      </c>
      <c r="AE4686">
        <v>0.12623999999999899</v>
      </c>
      <c r="AF4686">
        <v>-2.09005206462822E-2</v>
      </c>
      <c r="AG4686">
        <v>-1.1098511541039999</v>
      </c>
      <c r="AH4686">
        <v>15.5967040860723</v>
      </c>
      <c r="AI4686">
        <v>94.070265269243293</v>
      </c>
      <c r="AJ4686">
        <v>90.076779741362998</v>
      </c>
      <c r="AK4686">
        <v>15.636156329626999</v>
      </c>
      <c r="AL4686">
        <v>77.985899669768699</v>
      </c>
      <c r="AM4686">
        <v>90.973182972440199</v>
      </c>
      <c r="AN4686">
        <v>0.99999998129492795</v>
      </c>
    </row>
    <row r="4687" spans="1:40" x14ac:dyDescent="0.25">
      <c r="A4687" t="str">
        <f>"20190312172800342"</f>
        <v>20190312172800342</v>
      </c>
      <c r="B4687" t="str">
        <f>"1552382880333776"</f>
        <v>1552382880333776</v>
      </c>
      <c r="C4687" t="s">
        <v>40</v>
      </c>
      <c r="D4687">
        <v>3.8545889999999998</v>
      </c>
      <c r="E4687">
        <v>0.50760490000000003</v>
      </c>
      <c r="F4687" t="s">
        <v>41</v>
      </c>
      <c r="G4687">
        <v>-348.92700000000002</v>
      </c>
      <c r="H4687" s="1">
        <v>-1.3111499999999999E-6</v>
      </c>
      <c r="I4687">
        <v>16.008420000000001</v>
      </c>
      <c r="J4687">
        <v>-364.8186</v>
      </c>
      <c r="K4687">
        <v>1.109928</v>
      </c>
      <c r="L4687">
        <v>15.88123</v>
      </c>
      <c r="M4687">
        <v>0.9998842</v>
      </c>
      <c r="N4687">
        <v>0</v>
      </c>
      <c r="O4687">
        <v>6.2814719999999998E-3</v>
      </c>
      <c r="P4687">
        <v>0.98056129999999997</v>
      </c>
      <c r="Q4687">
        <v>0.19487560000000001</v>
      </c>
      <c r="R4687">
        <v>2.288285E-2</v>
      </c>
      <c r="S4687">
        <v>3.1009829999999998</v>
      </c>
      <c r="T4687">
        <v>-0.2132694</v>
      </c>
      <c r="U4687">
        <v>2.4658200000000002E-2</v>
      </c>
      <c r="V4687">
        <v>-1.656792E-2</v>
      </c>
      <c r="W4687">
        <v>0.20846210000000001</v>
      </c>
      <c r="X4687">
        <v>0.97789009999999998</v>
      </c>
      <c r="Y4687">
        <v>-1.6803229999999901E-3</v>
      </c>
      <c r="Z4687">
        <v>-3.7381410000000002E-4</v>
      </c>
      <c r="AA4687">
        <v>0.99999850000000001</v>
      </c>
      <c r="AB4687">
        <v>25</v>
      </c>
      <c r="AC4687">
        <v>15.8916</v>
      </c>
      <c r="AD4687">
        <v>-1.1099293111499999</v>
      </c>
      <c r="AE4687">
        <v>0.127190000000002</v>
      </c>
      <c r="AF4687">
        <v>-2.7222472098169598E-2</v>
      </c>
      <c r="AG4687">
        <v>-1.1099293111499999</v>
      </c>
      <c r="AH4687">
        <v>15.8149426735846</v>
      </c>
      <c r="AI4687">
        <v>94.014561907362605</v>
      </c>
      <c r="AJ4687">
        <v>90.098623893293706</v>
      </c>
      <c r="AK4687">
        <v>15.8538669070831</v>
      </c>
      <c r="AL4687">
        <v>77.967757354815603</v>
      </c>
      <c r="AM4687">
        <v>90.970641872539204</v>
      </c>
      <c r="AN4687">
        <v>0.99999999539377304</v>
      </c>
    </row>
    <row r="4688" spans="1:40" x14ac:dyDescent="0.25">
      <c r="A4688" t="str">
        <f>"20190312172800365"</f>
        <v>20190312172800365</v>
      </c>
      <c r="B4688" t="str">
        <f>"1552382880354268"</f>
        <v>1552382880354268</v>
      </c>
      <c r="C4688" t="s">
        <v>40</v>
      </c>
      <c r="D4688">
        <v>3.8052549999999998</v>
      </c>
      <c r="E4688">
        <v>0.50752459999999999</v>
      </c>
      <c r="F4688" t="s">
        <v>41</v>
      </c>
      <c r="G4688">
        <v>-348.51389999999998</v>
      </c>
      <c r="H4688" s="1">
        <v>-1.453187E-6</v>
      </c>
      <c r="I4688">
        <v>16.002929999999999</v>
      </c>
      <c r="J4688">
        <v>-364.56869999999998</v>
      </c>
      <c r="K4688">
        <v>1.110015</v>
      </c>
      <c r="L4688">
        <v>15.88232</v>
      </c>
      <c r="M4688">
        <v>0.99988630000000001</v>
      </c>
      <c r="N4688">
        <v>0</v>
      </c>
      <c r="O4688">
        <v>5.9553399999999999E-3</v>
      </c>
      <c r="P4688">
        <v>0.98061779999999998</v>
      </c>
      <c r="Q4688">
        <v>0.19455339999999999</v>
      </c>
      <c r="R4688">
        <v>2.319098E-2</v>
      </c>
      <c r="S4688">
        <v>3.1008610000000001</v>
      </c>
      <c r="T4688">
        <v>-0.2110881</v>
      </c>
      <c r="U4688">
        <v>2.3162840000000001E-2</v>
      </c>
      <c r="V4688">
        <v>-1.723968E-2</v>
      </c>
      <c r="W4688">
        <v>0.20813380000000001</v>
      </c>
      <c r="X4688">
        <v>0.97794840000000005</v>
      </c>
      <c r="Y4688">
        <v>-1.523981E-3</v>
      </c>
      <c r="Z4688">
        <v>-3.5315340000000001E-4</v>
      </c>
      <c r="AA4688">
        <v>0.99999870000000002</v>
      </c>
      <c r="AB4688">
        <v>25</v>
      </c>
      <c r="AC4688">
        <v>16.0548</v>
      </c>
      <c r="AD4688">
        <v>-1.110016453187</v>
      </c>
      <c r="AE4688">
        <v>0.120609999999997</v>
      </c>
      <c r="AF4688">
        <v>-2.4868023650838601E-2</v>
      </c>
      <c r="AG4688">
        <v>-1.110016453187</v>
      </c>
      <c r="AH4688">
        <v>15.9788552500706</v>
      </c>
      <c r="AI4688">
        <v>93.973824793911803</v>
      </c>
      <c r="AJ4688">
        <v>90.089169820200894</v>
      </c>
      <c r="AK4688">
        <v>16.017383370814802</v>
      </c>
      <c r="AL4688">
        <v>77.986989208557304</v>
      </c>
      <c r="AM4688">
        <v>91.009929157856305</v>
      </c>
      <c r="AN4688">
        <v>0.99999997916575101</v>
      </c>
    </row>
    <row r="4689" spans="1:40" x14ac:dyDescent="0.25">
      <c r="A4689" t="str">
        <f>"20190312172800388"</f>
        <v>20190312172800388</v>
      </c>
      <c r="B4689" t="str">
        <f>"1552382880384525"</f>
        <v>1552382880384525</v>
      </c>
      <c r="C4689" t="s">
        <v>40</v>
      </c>
      <c r="D4689">
        <v>3.8001149999999999</v>
      </c>
      <c r="E4689">
        <v>0.50745949999999995</v>
      </c>
      <c r="F4689" t="s">
        <v>41</v>
      </c>
      <c r="G4689">
        <v>-348.33929999999998</v>
      </c>
      <c r="H4689" s="1">
        <v>-1.5121009999999999E-6</v>
      </c>
      <c r="I4689">
        <v>16.004909999999999</v>
      </c>
      <c r="J4689">
        <v>-364.31970000000001</v>
      </c>
      <c r="K4689">
        <v>1.1100989999999999</v>
      </c>
      <c r="L4689">
        <v>15.88348</v>
      </c>
      <c r="M4689">
        <v>0.99988759999999999</v>
      </c>
      <c r="N4689">
        <v>0</v>
      </c>
      <c r="O4689">
        <v>5.7411939999999998E-3</v>
      </c>
      <c r="P4689">
        <v>0.98075730000000005</v>
      </c>
      <c r="Q4689">
        <v>0.19379109999999999</v>
      </c>
      <c r="R4689">
        <v>2.3668970000000001E-2</v>
      </c>
      <c r="S4689">
        <v>3.1008610000000001</v>
      </c>
      <c r="T4689">
        <v>-0.21208369999999999</v>
      </c>
      <c r="U4689">
        <v>2.34375E-2</v>
      </c>
      <c r="V4689">
        <v>-1.7970130000000001E-2</v>
      </c>
      <c r="W4689">
        <v>0.207367</v>
      </c>
      <c r="X4689">
        <v>0.97809820000000003</v>
      </c>
      <c r="Y4689">
        <v>-1.825613E-3</v>
      </c>
      <c r="Z4689">
        <v>-3.2988199999999998E-4</v>
      </c>
      <c r="AA4689">
        <v>0.99999830000000001</v>
      </c>
      <c r="AB4689">
        <v>25</v>
      </c>
      <c r="AC4689">
        <v>15.980399999999999</v>
      </c>
      <c r="AD4689">
        <v>-1.1101005121009999</v>
      </c>
      <c r="AE4689">
        <v>0.12143</v>
      </c>
      <c r="AF4689">
        <v>-2.9530129092376602E-2</v>
      </c>
      <c r="AG4689">
        <v>-1.1101005121009999</v>
      </c>
      <c r="AH4689">
        <v>15.9040917999992</v>
      </c>
      <c r="AI4689">
        <v>93.992744373705506</v>
      </c>
      <c r="AJ4689">
        <v>90.106384560802198</v>
      </c>
      <c r="AK4689">
        <v>15.9428144051888</v>
      </c>
      <c r="AL4689">
        <v>78.031904343695999</v>
      </c>
      <c r="AM4689">
        <v>91.052549510201004</v>
      </c>
      <c r="AN4689">
        <v>1.0000000435522201</v>
      </c>
    </row>
    <row r="4690" spans="1:40" x14ac:dyDescent="0.25">
      <c r="A4690" t="str">
        <f>"20190312172800410"</f>
        <v>20190312172800410</v>
      </c>
      <c r="B4690" t="str">
        <f>"1552382880404044"</f>
        <v>1552382880404044</v>
      </c>
      <c r="C4690" t="s">
        <v>40</v>
      </c>
      <c r="D4690">
        <v>3.805901</v>
      </c>
      <c r="E4690">
        <v>0.50739460000000003</v>
      </c>
      <c r="F4690" t="s">
        <v>41</v>
      </c>
      <c r="G4690">
        <v>-348.2595</v>
      </c>
      <c r="H4690" s="1">
        <v>-1.538262E-6</v>
      </c>
      <c r="I4690">
        <v>16.008589999999899</v>
      </c>
      <c r="J4690">
        <v>-364.07589999999999</v>
      </c>
      <c r="K4690">
        <v>1.1101639999999999</v>
      </c>
      <c r="L4690">
        <v>15.8847</v>
      </c>
      <c r="M4690">
        <v>0.99988829999999995</v>
      </c>
      <c r="N4690">
        <v>0</v>
      </c>
      <c r="O4690">
        <v>5.6412859999999997E-3</v>
      </c>
      <c r="P4690">
        <v>0.9808635</v>
      </c>
      <c r="Q4690">
        <v>0.1932363</v>
      </c>
      <c r="R4690">
        <v>2.3810029999999999E-2</v>
      </c>
      <c r="S4690">
        <v>3.100616</v>
      </c>
      <c r="T4690">
        <v>-0.21431829999999999</v>
      </c>
      <c r="U4690">
        <v>2.4169920000000001E-2</v>
      </c>
      <c r="V4690">
        <v>-1.8246109999999999E-2</v>
      </c>
      <c r="W4690">
        <v>0.20680670000000001</v>
      </c>
      <c r="X4690">
        <v>0.97821159999999996</v>
      </c>
      <c r="Y4690">
        <v>-2.1614859999999998E-3</v>
      </c>
      <c r="Z4690">
        <v>-3.1488339999999999E-4</v>
      </c>
      <c r="AA4690">
        <v>0.99999760000000004</v>
      </c>
      <c r="AB4690">
        <v>25</v>
      </c>
      <c r="AC4690">
        <v>15.8163999999999</v>
      </c>
      <c r="AD4690">
        <v>-1.1101655382619999</v>
      </c>
      <c r="AE4690">
        <v>0.123889999999997</v>
      </c>
      <c r="AF4690">
        <v>-3.4484757805420402E-2</v>
      </c>
      <c r="AG4690">
        <v>-1.1101655382619999</v>
      </c>
      <c r="AH4690">
        <v>15.7393084213112</v>
      </c>
      <c r="AI4690">
        <v>94.034642083485807</v>
      </c>
      <c r="AJ4690">
        <v>90.125534608336395</v>
      </c>
      <c r="AK4690">
        <v>15.778450060193601</v>
      </c>
      <c r="AL4690">
        <v>78.064717156223907</v>
      </c>
      <c r="AM4690">
        <v>91.068586674538295</v>
      </c>
      <c r="AN4690">
        <v>0.99999993303478796</v>
      </c>
    </row>
    <row r="4691" spans="1:40" x14ac:dyDescent="0.25">
      <c r="A4691" t="str">
        <f>"20190312172800434"</f>
        <v>20190312172800434</v>
      </c>
      <c r="B4691" t="str">
        <f>"1552382880424542"</f>
        <v>1552382880424542</v>
      </c>
      <c r="C4691" t="s">
        <v>40</v>
      </c>
      <c r="D4691">
        <v>3.8062369999999999</v>
      </c>
      <c r="E4691">
        <v>0.50732679999999997</v>
      </c>
      <c r="F4691" t="s">
        <v>41</v>
      </c>
      <c r="G4691">
        <v>-348.15649999999999</v>
      </c>
      <c r="H4691" s="1">
        <v>-1.573091E-6</v>
      </c>
      <c r="I4691">
        <v>16.009499999999999</v>
      </c>
      <c r="J4691">
        <v>-363.8141</v>
      </c>
      <c r="K4691">
        <v>1.1102339999999999</v>
      </c>
      <c r="L4691">
        <v>15.886049999999999</v>
      </c>
      <c r="M4691">
        <v>0.99988840000000001</v>
      </c>
      <c r="N4691">
        <v>0</v>
      </c>
      <c r="O4691">
        <v>5.619626E-3</v>
      </c>
      <c r="P4691">
        <v>0.98076569999999996</v>
      </c>
      <c r="Q4691">
        <v>0.19376070000000001</v>
      </c>
      <c r="R4691">
        <v>2.3571829999999998E-2</v>
      </c>
      <c r="S4691">
        <v>3.1005250000000002</v>
      </c>
      <c r="T4691">
        <v>-0.21621889999999999</v>
      </c>
      <c r="U4691">
        <v>2.4322509999999999E-2</v>
      </c>
      <c r="V4691">
        <v>-1.8059849999999999E-2</v>
      </c>
      <c r="W4691">
        <v>0.2073236</v>
      </c>
      <c r="X4691">
        <v>0.97810569999999997</v>
      </c>
      <c r="Y4691">
        <v>-2.2325130000000002E-3</v>
      </c>
      <c r="Z4691">
        <v>-3.1369619999999999E-4</v>
      </c>
      <c r="AA4691">
        <v>0.99999740000000004</v>
      </c>
      <c r="AB4691">
        <v>25</v>
      </c>
      <c r="AC4691">
        <v>15.6576</v>
      </c>
      <c r="AD4691">
        <v>-1.1102355730909901</v>
      </c>
      <c r="AE4691">
        <v>0.12345</v>
      </c>
      <c r="AF4691">
        <v>-3.5272430824628498E-2</v>
      </c>
      <c r="AG4691">
        <v>-1.1102355730909901</v>
      </c>
      <c r="AH4691">
        <v>15.579719339267101</v>
      </c>
      <c r="AI4691">
        <v>94.076087494454399</v>
      </c>
      <c r="AJ4691">
        <v>90.129717225483006</v>
      </c>
      <c r="AK4691">
        <v>15.6192676480835</v>
      </c>
      <c r="AL4691">
        <v>78.034445653689801</v>
      </c>
      <c r="AM4691">
        <v>91.057795304937997</v>
      </c>
      <c r="AN4691">
        <v>0.99999999683573604</v>
      </c>
    </row>
    <row r="4692" spans="1:40" x14ac:dyDescent="0.25">
      <c r="A4692" t="str">
        <f>"20190312172800454"</f>
        <v>20190312172800454</v>
      </c>
      <c r="B4692" t="str">
        <f>"1552382880444061"</f>
        <v>1552382880444061</v>
      </c>
      <c r="C4692" t="s">
        <v>40</v>
      </c>
      <c r="D4692">
        <v>3.9193060000000002</v>
      </c>
      <c r="E4692">
        <v>0.50733509999999904</v>
      </c>
      <c r="F4692" t="s">
        <v>41</v>
      </c>
      <c r="G4692">
        <v>-347.79340000000002</v>
      </c>
      <c r="H4692" s="1">
        <v>-1.6978829999999901E-6</v>
      </c>
      <c r="I4692">
        <v>16.004850000000001</v>
      </c>
      <c r="J4692">
        <v>-363.5822</v>
      </c>
      <c r="K4692">
        <v>1.1102700000000001</v>
      </c>
      <c r="L4692">
        <v>15.887359999999999</v>
      </c>
      <c r="M4692">
        <v>0.9998882</v>
      </c>
      <c r="N4692">
        <v>0</v>
      </c>
      <c r="O4692">
        <v>5.6460740000000001E-3</v>
      </c>
      <c r="P4692">
        <v>0.98063279999999997</v>
      </c>
      <c r="Q4692">
        <v>0.19455549999999999</v>
      </c>
      <c r="R4692">
        <v>2.2520430000000001E-2</v>
      </c>
      <c r="S4692">
        <v>3.1007389999999999</v>
      </c>
      <c r="T4692">
        <v>-0.21488080000000001</v>
      </c>
      <c r="U4692">
        <v>2.3010249999999999E-2</v>
      </c>
      <c r="V4692">
        <v>-1.7000540000000001E-2</v>
      </c>
      <c r="W4692">
        <v>0.2081123</v>
      </c>
      <c r="X4692">
        <v>0.97795719999999997</v>
      </c>
      <c r="Y4692">
        <v>-1.7833770000000001E-3</v>
      </c>
      <c r="Z4692">
        <v>-3.291131E-4</v>
      </c>
      <c r="AA4692">
        <v>0.99999830000000001</v>
      </c>
      <c r="AB4692">
        <v>25</v>
      </c>
      <c r="AC4692">
        <v>15.788799999999901</v>
      </c>
      <c r="AD4692">
        <v>-1.1102716978829901</v>
      </c>
      <c r="AE4692">
        <v>0.11749</v>
      </c>
      <c r="AF4692">
        <v>-2.8195430846683901E-2</v>
      </c>
      <c r="AG4692">
        <v>-1.1102716978829901</v>
      </c>
      <c r="AH4692">
        <v>15.7115236034861</v>
      </c>
      <c r="AI4692">
        <v>94.042141856979001</v>
      </c>
      <c r="AJ4692">
        <v>90.102821183714198</v>
      </c>
      <c r="AK4692">
        <v>15.7507292583024</v>
      </c>
      <c r="AL4692">
        <v>77.988249100127902</v>
      </c>
      <c r="AM4692">
        <v>90.995913820126006</v>
      </c>
      <c r="AN4692">
        <v>1.00000001640171</v>
      </c>
    </row>
    <row r="4693" spans="1:40" x14ac:dyDescent="0.25">
      <c r="A4693" t="str">
        <f>"20190312172800476"</f>
        <v>20190312172800476</v>
      </c>
      <c r="B4693" t="str">
        <f>"1552382880464108"</f>
        <v>1552382880464108</v>
      </c>
      <c r="C4693" t="s">
        <v>40</v>
      </c>
      <c r="D4693">
        <v>3.879921</v>
      </c>
      <c r="E4693">
        <v>0.54070580000000001</v>
      </c>
      <c r="F4693" t="s">
        <v>41</v>
      </c>
      <c r="G4693">
        <v>-347.34539999999998</v>
      </c>
      <c r="H4693" s="1">
        <v>-1.854991E-6</v>
      </c>
      <c r="I4693">
        <v>15.987299999999999</v>
      </c>
      <c r="J4693">
        <v>-363.3451</v>
      </c>
      <c r="K4693">
        <v>1.1102920000000001</v>
      </c>
      <c r="L4693">
        <v>15.8887</v>
      </c>
      <c r="M4693">
        <v>0.99988809999999995</v>
      </c>
      <c r="N4693">
        <v>0</v>
      </c>
      <c r="O4693">
        <v>5.6981369999999998E-3</v>
      </c>
      <c r="P4693">
        <v>0.98055409999999998</v>
      </c>
      <c r="Q4693">
        <v>0.19519710000000001</v>
      </c>
      <c r="R4693">
        <v>2.029721E-2</v>
      </c>
      <c r="S4693">
        <v>3.1009220000000002</v>
      </c>
      <c r="T4693">
        <v>-0.2120409</v>
      </c>
      <c r="U4693">
        <v>1.9103999999999999E-2</v>
      </c>
      <c r="V4693">
        <v>-1.4733970000000001E-2</v>
      </c>
      <c r="W4693">
        <v>0.20874889999999999</v>
      </c>
      <c r="X4693">
        <v>0.97785820000000001</v>
      </c>
      <c r="Y4693">
        <v>-4.7415979999999999E-4</v>
      </c>
      <c r="Z4693">
        <v>-3.7302180000000002E-4</v>
      </c>
      <c r="AA4693">
        <v>0.99999979999999999</v>
      </c>
      <c r="AB4693">
        <v>25</v>
      </c>
      <c r="AC4693">
        <v>15.999700000000001</v>
      </c>
      <c r="AD4693">
        <v>-1.110293854991</v>
      </c>
      <c r="AE4693">
        <v>9.8599999999999299E-2</v>
      </c>
      <c r="AF4693">
        <v>-7.3856290109377198E-3</v>
      </c>
      <c r="AG4693">
        <v>-1.110293854991</v>
      </c>
      <c r="AH4693">
        <v>15.923324328811301</v>
      </c>
      <c r="AI4693">
        <v>93.988636173060499</v>
      </c>
      <c r="AJ4693">
        <v>90.026575188213897</v>
      </c>
      <c r="AK4693">
        <v>15.961988117789801</v>
      </c>
      <c r="AL4693">
        <v>77.950954431166096</v>
      </c>
      <c r="AM4693">
        <v>90.863244199101601</v>
      </c>
      <c r="AN4693">
        <v>0.99999992621520195</v>
      </c>
    </row>
    <row r="4694" spans="1:40" x14ac:dyDescent="0.25">
      <c r="A4694" t="str">
        <f>"20190312172800489"</f>
        <v>20190312172800489</v>
      </c>
      <c r="B4694" t="str">
        <f>"1552382880484604"</f>
        <v>1552382880484604</v>
      </c>
      <c r="C4694" t="s">
        <v>40</v>
      </c>
      <c r="D4694">
        <v>3.8725580000000002</v>
      </c>
      <c r="E4694">
        <v>0.54768839999999996</v>
      </c>
      <c r="F4694" t="s">
        <v>44</v>
      </c>
      <c r="G4694">
        <v>-362.47230000000002</v>
      </c>
      <c r="H4694">
        <v>1.0535429999999999</v>
      </c>
      <c r="I4694">
        <v>15.816890000000001</v>
      </c>
      <c r="J4694">
        <v>-363.20010000000002</v>
      </c>
      <c r="K4694">
        <v>1.1103000000000001</v>
      </c>
      <c r="L4694">
        <v>15.889530000000001</v>
      </c>
      <c r="M4694">
        <v>0.99988790000000005</v>
      </c>
      <c r="N4694">
        <v>0</v>
      </c>
      <c r="O4694">
        <v>5.7352030000000003E-3</v>
      </c>
      <c r="P4694">
        <v>0.980433</v>
      </c>
      <c r="Q4694">
        <v>0.1959032</v>
      </c>
      <c r="R4694">
        <v>1.9323949999999999E-2</v>
      </c>
      <c r="S4694">
        <v>3.1049500000000001</v>
      </c>
      <c r="T4694">
        <v>-0.20191629999999999</v>
      </c>
      <c r="U4694">
        <v>-0.25482179999999999</v>
      </c>
      <c r="V4694">
        <v>-1.3727019999999999E-2</v>
      </c>
      <c r="W4694">
        <v>0.20945159999999999</v>
      </c>
      <c r="X4694">
        <v>0.9777226</v>
      </c>
      <c r="Y4694">
        <v>8.7314459999999997E-2</v>
      </c>
      <c r="Z4694">
        <v>-3.2033119999999998E-3</v>
      </c>
      <c r="AA4694">
        <v>0.99617560000000005</v>
      </c>
      <c r="AB4694">
        <v>25</v>
      </c>
      <c r="AC4694">
        <v>0.727800000000002</v>
      </c>
      <c r="AD4694">
        <v>-5.6756999999999898E-2</v>
      </c>
      <c r="AE4694">
        <v>-7.2639999999999802E-2</v>
      </c>
      <c r="AF4694">
        <v>7.6353516912328903E-2</v>
      </c>
      <c r="AG4694">
        <v>-5.6756999999999898E-2</v>
      </c>
      <c r="AH4694">
        <v>0.72301767968422803</v>
      </c>
      <c r="AI4694">
        <v>94.463802415722</v>
      </c>
      <c r="AJ4694">
        <v>83.971683230908795</v>
      </c>
      <c r="AK4694">
        <v>0.72925015031184404</v>
      </c>
      <c r="AL4694">
        <v>77.909782754024704</v>
      </c>
      <c r="AM4694">
        <v>90.804367864888405</v>
      </c>
      <c r="AN4694">
        <v>0.99999994318569796</v>
      </c>
    </row>
    <row r="4695" spans="1:40" x14ac:dyDescent="0.25">
      <c r="A4695" t="str">
        <f>"20190312172800509"</f>
        <v>20190312172800509</v>
      </c>
      <c r="B4695" t="str">
        <f>"1552382880504124"</f>
        <v>1552382880504124</v>
      </c>
      <c r="C4695" t="s">
        <v>40</v>
      </c>
      <c r="D4695">
        <v>3.8496320000000002</v>
      </c>
      <c r="E4695">
        <v>0.55063549999999895</v>
      </c>
      <c r="F4695" t="s">
        <v>44</v>
      </c>
      <c r="G4695">
        <v>-362.25580000000002</v>
      </c>
      <c r="H4695">
        <v>1.051156</v>
      </c>
      <c r="I4695">
        <v>15.793979999999999</v>
      </c>
      <c r="J4695">
        <v>-362.98379999999997</v>
      </c>
      <c r="K4695">
        <v>1.110303</v>
      </c>
      <c r="L4695">
        <v>15.89081</v>
      </c>
      <c r="M4695">
        <v>0.99988759999999999</v>
      </c>
      <c r="N4695">
        <v>0</v>
      </c>
      <c r="O4695">
        <v>5.789565E-3</v>
      </c>
      <c r="P4695">
        <v>0.98027050000000004</v>
      </c>
      <c r="Q4695">
        <v>0.19699449999999999</v>
      </c>
      <c r="R4695">
        <v>1.6217490000000001E-2</v>
      </c>
      <c r="S4695">
        <v>3.1049500000000001</v>
      </c>
      <c r="T4695">
        <v>-0.1944939</v>
      </c>
      <c r="U4695">
        <v>-0.31365969999999999</v>
      </c>
      <c r="V4695">
        <v>-1.056583E-2</v>
      </c>
      <c r="W4695">
        <v>0.21053839999999999</v>
      </c>
      <c r="X4695">
        <v>0.97752850000000002</v>
      </c>
      <c r="Y4695">
        <v>0.1060498</v>
      </c>
      <c r="Z4695">
        <v>-3.6712720000000002E-3</v>
      </c>
      <c r="AA4695">
        <v>0.99435410000000002</v>
      </c>
      <c r="AB4695">
        <v>25</v>
      </c>
      <c r="AC4695">
        <v>0.72799999999995102</v>
      </c>
      <c r="AD4695">
        <v>-5.9146999999999998E-2</v>
      </c>
      <c r="AE4695">
        <v>-9.6830000000000596E-2</v>
      </c>
      <c r="AF4695">
        <v>0.10039242346876601</v>
      </c>
      <c r="AG4695">
        <v>-5.9146999999999998E-2</v>
      </c>
      <c r="AH4695">
        <v>0.72273934705597798</v>
      </c>
      <c r="AI4695">
        <v>94.634205405225103</v>
      </c>
      <c r="AJ4695">
        <v>82.091907212399207</v>
      </c>
      <c r="AK4695">
        <v>0.73207183396291997</v>
      </c>
      <c r="AL4695">
        <v>77.846094424281205</v>
      </c>
      <c r="AM4695">
        <v>90.619269814244902</v>
      </c>
      <c r="AN4695">
        <v>1.0000000114751899</v>
      </c>
    </row>
    <row r="4696" spans="1:40" x14ac:dyDescent="0.25">
      <c r="A4696" t="str">
        <f>"20190312172800532"</f>
        <v>20190312172800532</v>
      </c>
      <c r="B4696" t="str">
        <f>"1552382880524620"</f>
        <v>1552382880524620</v>
      </c>
      <c r="C4696" t="s">
        <v>40</v>
      </c>
      <c r="D4696">
        <v>3.8567740000000001</v>
      </c>
      <c r="E4696">
        <v>0.55235819999999902</v>
      </c>
      <c r="F4696" t="s">
        <v>41</v>
      </c>
      <c r="G4696">
        <v>-344.79320000000001</v>
      </c>
      <c r="H4696" s="1">
        <v>-3.2907300000000001E-6</v>
      </c>
      <c r="I4696">
        <v>13.85561</v>
      </c>
      <c r="J4696">
        <v>-362.73630000000003</v>
      </c>
      <c r="K4696">
        <v>1.1102890000000001</v>
      </c>
      <c r="L4696">
        <v>15.89227</v>
      </c>
      <c r="M4696">
        <v>0.99988730000000003</v>
      </c>
      <c r="N4696">
        <v>0</v>
      </c>
      <c r="O4696">
        <v>5.8388270000000004E-3</v>
      </c>
      <c r="P4696">
        <v>0.98021789999999998</v>
      </c>
      <c r="Q4696">
        <v>0.1974939</v>
      </c>
      <c r="R4696">
        <v>1.2994459999999999E-2</v>
      </c>
      <c r="S4696">
        <v>3.1042179999999999</v>
      </c>
      <c r="T4696">
        <v>-0.18947240000000001</v>
      </c>
      <c r="U4696">
        <v>-0.34728999999999999</v>
      </c>
      <c r="V4696">
        <v>-7.2895379999999999E-3</v>
      </c>
      <c r="W4696">
        <v>0.21103379999999999</v>
      </c>
      <c r="X4696">
        <v>0.97745159999999998</v>
      </c>
      <c r="Y4696">
        <v>0.1167591</v>
      </c>
      <c r="Z4696">
        <v>-3.903976E-3</v>
      </c>
      <c r="AA4696">
        <v>0.99315260000000005</v>
      </c>
      <c r="AB4696">
        <v>24</v>
      </c>
      <c r="AC4696">
        <v>17.943100000000001</v>
      </c>
      <c r="AD4696">
        <v>-1.1102922907299999</v>
      </c>
      <c r="AE4696">
        <v>-2.0366599999999999</v>
      </c>
      <c r="AF4696">
        <v>2.13333741435049</v>
      </c>
      <c r="AG4696">
        <v>-1.1102922907299999</v>
      </c>
      <c r="AH4696">
        <v>17.863373288679799</v>
      </c>
      <c r="AI4696">
        <v>93.531594560772803</v>
      </c>
      <c r="AJ4696">
        <v>83.189693354795196</v>
      </c>
      <c r="AK4696">
        <v>18.0245383504</v>
      </c>
      <c r="AL4696">
        <v>77.817057762902195</v>
      </c>
      <c r="AM4696">
        <v>90.427286649517896</v>
      </c>
      <c r="AN4696">
        <v>1.0000000162246201</v>
      </c>
    </row>
    <row r="4697" spans="1:40" x14ac:dyDescent="0.25">
      <c r="A4697" t="str">
        <f>"20190312172800553"</f>
        <v>20190312172800553</v>
      </c>
      <c r="B4697" t="str">
        <f>"1552382880544140"</f>
        <v>1552382880544140</v>
      </c>
      <c r="C4697" t="s">
        <v>40</v>
      </c>
      <c r="D4697">
        <v>3.8679359999999998</v>
      </c>
      <c r="E4697">
        <v>0.55364740000000001</v>
      </c>
      <c r="F4697" t="s">
        <v>41</v>
      </c>
      <c r="G4697">
        <v>-344.49270000000001</v>
      </c>
      <c r="H4697" s="1">
        <v>-3.4317289999999999E-6</v>
      </c>
      <c r="I4697">
        <v>13.71002</v>
      </c>
      <c r="J4697">
        <v>-362.4939</v>
      </c>
      <c r="K4697">
        <v>1.1102749999999999</v>
      </c>
      <c r="L4697">
        <v>15.89371</v>
      </c>
      <c r="M4697">
        <v>0.99988719999999998</v>
      </c>
      <c r="N4697">
        <v>0</v>
      </c>
      <c r="O4697">
        <v>5.8693010000000004E-3</v>
      </c>
      <c r="P4697">
        <v>0.98018119999999997</v>
      </c>
      <c r="Q4697">
        <v>0.19788059999999999</v>
      </c>
      <c r="R4697">
        <v>9.38663E-3</v>
      </c>
      <c r="S4697">
        <v>3.103485</v>
      </c>
      <c r="T4697">
        <v>-0.1888754</v>
      </c>
      <c r="U4697">
        <v>-0.37121579999999998</v>
      </c>
      <c r="V4697">
        <v>-3.6467299999999999E-3</v>
      </c>
      <c r="W4697">
        <v>0.21141789999999999</v>
      </c>
      <c r="X4697">
        <v>0.97738899999999995</v>
      </c>
      <c r="Y4697">
        <v>0.1243547</v>
      </c>
      <c r="Z4697">
        <v>-4.1228430000000002E-3</v>
      </c>
      <c r="AA4697">
        <v>0.99222929999999998</v>
      </c>
      <c r="AB4697">
        <v>24</v>
      </c>
      <c r="AC4697">
        <v>18.001199999999901</v>
      </c>
      <c r="AD4697">
        <v>-1.110278431729</v>
      </c>
      <c r="AE4697">
        <v>-2.1836899999999901</v>
      </c>
      <c r="AF4697">
        <v>2.28076632518902</v>
      </c>
      <c r="AG4697">
        <v>-1.110278431729</v>
      </c>
      <c r="AH4697">
        <v>17.920886347227398</v>
      </c>
      <c r="AI4697">
        <v>93.516900837378202</v>
      </c>
      <c r="AJ4697">
        <v>82.747037435641403</v>
      </c>
      <c r="AK4697">
        <v>18.0995243223771</v>
      </c>
      <c r="AL4697">
        <v>77.794542769424396</v>
      </c>
      <c r="AM4697">
        <v>90.213774933487002</v>
      </c>
      <c r="AN4697">
        <v>1.0000000422005499</v>
      </c>
    </row>
    <row r="4698" spans="1:40" x14ac:dyDescent="0.25">
      <c r="A4698" t="str">
        <f>"20190312172800576"</f>
        <v>20190312172800576</v>
      </c>
      <c r="B4698" t="str">
        <f>"1552382880573966"</f>
        <v>1552382880573966</v>
      </c>
      <c r="C4698" t="s">
        <v>40</v>
      </c>
      <c r="D4698">
        <v>3.833269</v>
      </c>
      <c r="E4698">
        <v>0.55470659999999905</v>
      </c>
      <c r="F4698" t="s">
        <v>41</v>
      </c>
      <c r="G4698">
        <v>-344.35849999999999</v>
      </c>
      <c r="H4698" s="1">
        <v>-3.5071089999999999E-6</v>
      </c>
      <c r="I4698">
        <v>13.598330000000001</v>
      </c>
      <c r="J4698">
        <v>-362.25170000000003</v>
      </c>
      <c r="K4698">
        <v>1.1102669999999999</v>
      </c>
      <c r="L4698">
        <v>15.89517</v>
      </c>
      <c r="M4698">
        <v>0.99988719999999998</v>
      </c>
      <c r="N4698">
        <v>0</v>
      </c>
      <c r="O4698">
        <v>5.8830949999999996E-3</v>
      </c>
      <c r="P4698">
        <v>0.98032490000000005</v>
      </c>
      <c r="Q4698">
        <v>0.19730220000000001</v>
      </c>
      <c r="R4698">
        <v>5.9403759999999998E-3</v>
      </c>
      <c r="S4698">
        <v>3.1027830000000001</v>
      </c>
      <c r="T4698">
        <v>-0.18995709999999999</v>
      </c>
      <c r="U4698">
        <v>-0.3927002</v>
      </c>
      <c r="V4698">
        <v>-1.80683E-4</v>
      </c>
      <c r="W4698">
        <v>0.210839</v>
      </c>
      <c r="X4698">
        <v>0.97752079999999997</v>
      </c>
      <c r="Y4698">
        <v>0.1311446</v>
      </c>
      <c r="Z4698">
        <v>-4.3532670000000001E-3</v>
      </c>
      <c r="AA4698">
        <v>0.9913537</v>
      </c>
      <c r="AB4698">
        <v>24</v>
      </c>
      <c r="AC4698">
        <v>17.8932</v>
      </c>
      <c r="AD4698">
        <v>-1.110270507109</v>
      </c>
      <c r="AE4698">
        <v>-2.29684</v>
      </c>
      <c r="AF4698">
        <v>2.39301350200454</v>
      </c>
      <c r="AG4698">
        <v>-1.110270507109</v>
      </c>
      <c r="AH4698">
        <v>17.8119090095852</v>
      </c>
      <c r="AI4698">
        <v>93.535125994228693</v>
      </c>
      <c r="AJ4698">
        <v>82.348183093435296</v>
      </c>
      <c r="AK4698">
        <v>18.0062021755137</v>
      </c>
      <c r="AL4698">
        <v>77.828475881930402</v>
      </c>
      <c r="AM4698">
        <v>90.010590437780806</v>
      </c>
      <c r="AN4698">
        <v>1.00000001549999</v>
      </c>
    </row>
    <row r="4699" spans="1:40" x14ac:dyDescent="0.25">
      <c r="A4699" t="str">
        <f>"20190312172800598"</f>
        <v>20190312172800598</v>
      </c>
      <c r="B4699" t="str">
        <f>"1552382880594462"</f>
        <v>1552382880594462</v>
      </c>
      <c r="C4699" t="s">
        <v>40</v>
      </c>
      <c r="D4699">
        <v>3.8557809999999999</v>
      </c>
      <c r="E4699">
        <v>0.55504180000000003</v>
      </c>
      <c r="F4699" t="s">
        <v>41</v>
      </c>
      <c r="G4699">
        <v>-344.51839999999999</v>
      </c>
      <c r="H4699" s="1">
        <v>-3.4684180000000002E-6</v>
      </c>
      <c r="I4699">
        <v>13.53919</v>
      </c>
      <c r="J4699">
        <v>-362.01569999999998</v>
      </c>
      <c r="K4699">
        <v>1.110258</v>
      </c>
      <c r="L4699">
        <v>15.89655</v>
      </c>
      <c r="M4699">
        <v>0.99988710000000003</v>
      </c>
      <c r="N4699">
        <v>0</v>
      </c>
      <c r="O4699">
        <v>5.8854659999999998E-3</v>
      </c>
      <c r="P4699">
        <v>0.98050649999999995</v>
      </c>
      <c r="Q4699">
        <v>0.1964795</v>
      </c>
      <c r="R4699">
        <v>1.7426169999999999E-3</v>
      </c>
      <c r="S4699">
        <v>3.101807</v>
      </c>
      <c r="T4699">
        <v>-0.1942017</v>
      </c>
      <c r="U4699">
        <v>-0.41207890000000003</v>
      </c>
      <c r="V4699">
        <v>4.0248189999999998E-3</v>
      </c>
      <c r="W4699">
        <v>0.2100158</v>
      </c>
      <c r="X4699">
        <v>0.97768969999999999</v>
      </c>
      <c r="Y4699">
        <v>0.13725119999999999</v>
      </c>
      <c r="Z4699">
        <v>-4.6402609999999997E-3</v>
      </c>
      <c r="AA4699">
        <v>0.9905254</v>
      </c>
      <c r="AB4699">
        <v>24</v>
      </c>
      <c r="AC4699">
        <v>17.4972999999999</v>
      </c>
      <c r="AD4699">
        <v>-1.1102614684180001</v>
      </c>
      <c r="AE4699">
        <v>-2.3573599999999999</v>
      </c>
      <c r="AF4699">
        <v>2.45061770310146</v>
      </c>
      <c r="AG4699">
        <v>-1.1102614684180001</v>
      </c>
      <c r="AH4699">
        <v>17.414256016404799</v>
      </c>
      <c r="AI4699">
        <v>93.612507120316707</v>
      </c>
      <c r="AJ4699">
        <v>81.989663960378095</v>
      </c>
      <c r="AK4699">
        <v>17.6208546972018</v>
      </c>
      <c r="AL4699">
        <v>77.876721740654901</v>
      </c>
      <c r="AM4699">
        <v>89.7641339176065</v>
      </c>
      <c r="AN4699">
        <v>0.999999992451856</v>
      </c>
    </row>
    <row r="4700" spans="1:40" x14ac:dyDescent="0.25">
      <c r="A4700" t="str">
        <f>"20190312172800622"</f>
        <v>20190312172800622</v>
      </c>
      <c r="B4700" t="str">
        <f>"1552382880613981"</f>
        <v>1552382880613981</v>
      </c>
      <c r="C4700" t="s">
        <v>40</v>
      </c>
      <c r="D4700">
        <v>3.8533780000000002</v>
      </c>
      <c r="E4700">
        <v>0.55528199999999905</v>
      </c>
      <c r="F4700" t="s">
        <v>41</v>
      </c>
      <c r="G4700">
        <v>-344.63589999999999</v>
      </c>
      <c r="H4700" s="1">
        <v>-3.440274E-6</v>
      </c>
      <c r="I4700">
        <v>13.494719999999999</v>
      </c>
      <c r="J4700">
        <v>-361.75170000000003</v>
      </c>
      <c r="K4700">
        <v>1.1102510000000001</v>
      </c>
      <c r="L4700">
        <v>15.898099999999999</v>
      </c>
      <c r="M4700">
        <v>0.99988730000000003</v>
      </c>
      <c r="N4700">
        <v>0</v>
      </c>
      <c r="O4700">
        <v>5.8809910000000003E-3</v>
      </c>
      <c r="P4700">
        <v>0.98065190000000002</v>
      </c>
      <c r="Q4700">
        <v>0.19573769999999999</v>
      </c>
      <c r="R4700">
        <v>-2.9474950000000001E-3</v>
      </c>
      <c r="S4700">
        <v>3.100098</v>
      </c>
      <c r="T4700">
        <v>-0.1980412</v>
      </c>
      <c r="U4700">
        <v>-0.4284058</v>
      </c>
      <c r="V4700">
        <v>8.7158770000000003E-3</v>
      </c>
      <c r="W4700">
        <v>0.2092726</v>
      </c>
      <c r="X4700">
        <v>0.97781850000000003</v>
      </c>
      <c r="Y4700">
        <v>0.142417299999999</v>
      </c>
      <c r="Z4700">
        <v>-4.8965220000000004E-3</v>
      </c>
      <c r="AA4700">
        <v>0.98979459999999997</v>
      </c>
      <c r="AB4700">
        <v>24</v>
      </c>
      <c r="AC4700">
        <v>17.1158</v>
      </c>
      <c r="AD4700">
        <v>-1.110254440274</v>
      </c>
      <c r="AE4700">
        <v>-2.4033799999999901</v>
      </c>
      <c r="AF4700">
        <v>2.4937158436733999</v>
      </c>
      <c r="AG4700">
        <v>-1.110254440274</v>
      </c>
      <c r="AH4700">
        <v>17.031091344175898</v>
      </c>
      <c r="AI4700">
        <v>93.690584849511893</v>
      </c>
      <c r="AJ4700">
        <v>81.669867019741403</v>
      </c>
      <c r="AK4700">
        <v>17.2484595255576</v>
      </c>
      <c r="AL4700">
        <v>77.920271877802605</v>
      </c>
      <c r="AM4700">
        <v>89.489302215287196</v>
      </c>
      <c r="AN4700">
        <v>1.0000000032824401</v>
      </c>
    </row>
    <row r="4701" spans="1:40" x14ac:dyDescent="0.25">
      <c r="A4701" t="str">
        <f>"20190312172800644"</f>
        <v>20190312172800644</v>
      </c>
      <c r="B4701" t="str">
        <f>"1552382880634477"</f>
        <v>1552382880634477</v>
      </c>
      <c r="C4701" t="s">
        <v>40</v>
      </c>
      <c r="D4701">
        <v>3.8520240000000001</v>
      </c>
      <c r="E4701">
        <v>0.55542040000000004</v>
      </c>
      <c r="F4701" t="s">
        <v>41</v>
      </c>
      <c r="G4701">
        <v>-344.61130000000003</v>
      </c>
      <c r="H4701" s="1">
        <v>-3.467159E-6</v>
      </c>
      <c r="I4701">
        <v>13.425179999999999</v>
      </c>
      <c r="J4701">
        <v>-361.51900000000001</v>
      </c>
      <c r="K4701">
        <v>1.1102350000000001</v>
      </c>
      <c r="L4701">
        <v>15.899480000000001</v>
      </c>
      <c r="M4701">
        <v>0.99988730000000003</v>
      </c>
      <c r="N4701">
        <v>0</v>
      </c>
      <c r="O4701">
        <v>5.8748230000000004E-3</v>
      </c>
      <c r="P4701">
        <v>0.98076949999999996</v>
      </c>
      <c r="Q4701">
        <v>0.1949466</v>
      </c>
      <c r="R4701">
        <v>-9.3441740000000002E-3</v>
      </c>
      <c r="S4701">
        <v>3.0979000000000001</v>
      </c>
      <c r="T4701">
        <v>-0.20066239999999999</v>
      </c>
      <c r="U4701">
        <v>-0.44692989999999999</v>
      </c>
      <c r="V4701">
        <v>1.511031E-2</v>
      </c>
      <c r="W4701">
        <v>0.20847930000000001</v>
      </c>
      <c r="X4701">
        <v>0.97790999999999995</v>
      </c>
      <c r="Y4701">
        <v>0.14828649999999999</v>
      </c>
      <c r="Z4701">
        <v>-5.1511320000000001E-3</v>
      </c>
      <c r="AA4701">
        <v>0.988931</v>
      </c>
      <c r="AB4701">
        <v>24</v>
      </c>
      <c r="AC4701">
        <v>16.907699999999899</v>
      </c>
      <c r="AD4701">
        <v>-1.110238467159</v>
      </c>
      <c r="AE4701">
        <v>-2.4742999999999902</v>
      </c>
      <c r="AF4701">
        <v>2.5627778995058601</v>
      </c>
      <c r="AG4701">
        <v>-1.110238467159</v>
      </c>
      <c r="AH4701">
        <v>16.821858200849501</v>
      </c>
      <c r="AI4701">
        <v>93.733080947241803</v>
      </c>
      <c r="AJ4701">
        <v>81.337704948659393</v>
      </c>
      <c r="AK4701">
        <v>17.052136914347201</v>
      </c>
      <c r="AL4701">
        <v>77.966749223488506</v>
      </c>
      <c r="AM4701">
        <v>89.114756880195301</v>
      </c>
      <c r="AN4701">
        <v>0.99999995404839104</v>
      </c>
    </row>
    <row r="4702" spans="1:40" x14ac:dyDescent="0.25">
      <c r="A4702" t="str">
        <f>"20190312172800665"</f>
        <v>20190312172800665</v>
      </c>
      <c r="B4702" t="str">
        <f>"1552382880654001"</f>
        <v>1552382880654001</v>
      </c>
      <c r="C4702" t="s">
        <v>40</v>
      </c>
      <c r="D4702">
        <v>3.8228140000000002</v>
      </c>
      <c r="E4702">
        <v>0.55533699999999997</v>
      </c>
      <c r="F4702" t="s">
        <v>41</v>
      </c>
      <c r="G4702">
        <v>-344.5779</v>
      </c>
      <c r="H4702" s="1">
        <v>-3.5044019999999999E-6</v>
      </c>
      <c r="I4702">
        <v>13.32793</v>
      </c>
      <c r="J4702">
        <v>-361.28210000000001</v>
      </c>
      <c r="K4702">
        <v>1.1102320000000001</v>
      </c>
      <c r="L4702">
        <v>15.90085</v>
      </c>
      <c r="M4702">
        <v>0.99988739999999998</v>
      </c>
      <c r="N4702">
        <v>0</v>
      </c>
      <c r="O4702">
        <v>5.8687419999999997E-3</v>
      </c>
      <c r="P4702">
        <v>0.98075440000000003</v>
      </c>
      <c r="Q4702">
        <v>0.19458049999999999</v>
      </c>
      <c r="R4702">
        <v>-1.6106100000000002E-2</v>
      </c>
      <c r="S4702">
        <v>3.0946349999999998</v>
      </c>
      <c r="T4702">
        <v>-0.2028064</v>
      </c>
      <c r="U4702">
        <v>-0.46972659999999999</v>
      </c>
      <c r="V4702">
        <v>2.186838E-2</v>
      </c>
      <c r="W4702">
        <v>0.2081095</v>
      </c>
      <c r="X4702">
        <v>0.97786099999999998</v>
      </c>
      <c r="Y4702">
        <v>0.15553020000000001</v>
      </c>
      <c r="Z4702">
        <v>-5.4440560000000001E-3</v>
      </c>
      <c r="AA4702">
        <v>0.98781620000000003</v>
      </c>
      <c r="AB4702">
        <v>24</v>
      </c>
      <c r="AC4702">
        <v>16.7042</v>
      </c>
      <c r="AD4702">
        <v>-1.11023550440199</v>
      </c>
      <c r="AE4702">
        <v>-2.5729199999999999</v>
      </c>
      <c r="AF4702">
        <v>2.6594417896324001</v>
      </c>
      <c r="AG4702">
        <v>-1.11023550440199</v>
      </c>
      <c r="AH4702">
        <v>16.617105768373499</v>
      </c>
      <c r="AI4702">
        <v>93.774518690439706</v>
      </c>
      <c r="AJ4702">
        <v>80.907353379273204</v>
      </c>
      <c r="AK4702">
        <v>16.865155131957501</v>
      </c>
      <c r="AL4702">
        <v>77.988412464537006</v>
      </c>
      <c r="AM4702">
        <v>88.718880227971098</v>
      </c>
      <c r="AN4702">
        <v>0.99999996267753599</v>
      </c>
    </row>
    <row r="4703" spans="1:40" x14ac:dyDescent="0.25">
      <c r="A4703" t="str">
        <f>"20190312172800688"</f>
        <v>20190312172800688</v>
      </c>
      <c r="B4703" t="str">
        <f>"1552382880684371"</f>
        <v>1552382880684371</v>
      </c>
      <c r="C4703" t="s">
        <v>40</v>
      </c>
      <c r="D4703">
        <v>3.787595</v>
      </c>
      <c r="E4703">
        <v>0.55503459999999905</v>
      </c>
      <c r="F4703" t="s">
        <v>41</v>
      </c>
      <c r="G4703">
        <v>-344.46179999999998</v>
      </c>
      <c r="H4703" s="1">
        <v>-3.5708970000000001E-6</v>
      </c>
      <c r="I4703">
        <v>13.226459999999999</v>
      </c>
      <c r="J4703">
        <v>-361.04390000000001</v>
      </c>
      <c r="K4703">
        <v>1.1102289999999999</v>
      </c>
      <c r="L4703">
        <v>15.90222</v>
      </c>
      <c r="M4703">
        <v>0.99988750000000004</v>
      </c>
      <c r="N4703">
        <v>0</v>
      </c>
      <c r="O4703">
        <v>5.8634630000000002E-3</v>
      </c>
      <c r="P4703">
        <v>0.98055119999999896</v>
      </c>
      <c r="Q4703">
        <v>0.19495509999999999</v>
      </c>
      <c r="R4703">
        <v>-2.2626170000000001E-2</v>
      </c>
      <c r="S4703">
        <v>3.0912480000000002</v>
      </c>
      <c r="T4703">
        <v>-0.20403959999999999</v>
      </c>
      <c r="U4703">
        <v>-0.49148560000000002</v>
      </c>
      <c r="V4703">
        <v>2.8383680000000001E-2</v>
      </c>
      <c r="W4703">
        <v>0.20847789999999999</v>
      </c>
      <c r="X4703">
        <v>0.97761509999999996</v>
      </c>
      <c r="Y4703">
        <v>0.1624517</v>
      </c>
      <c r="Z4703">
        <v>-5.7064890000000004E-3</v>
      </c>
      <c r="AA4703">
        <v>0.98670000000000002</v>
      </c>
      <c r="AB4703">
        <v>24</v>
      </c>
      <c r="AC4703">
        <v>16.582100000000001</v>
      </c>
      <c r="AD4703">
        <v>-1.110232570897</v>
      </c>
      <c r="AE4703">
        <v>-2.6757599999999999</v>
      </c>
      <c r="AF4703">
        <v>2.7608893774787302</v>
      </c>
      <c r="AG4703">
        <v>-1.110232570897</v>
      </c>
      <c r="AH4703">
        <v>16.494061098695202</v>
      </c>
      <c r="AI4703">
        <v>93.798146874415906</v>
      </c>
      <c r="AJ4703">
        <v>80.497532741476903</v>
      </c>
      <c r="AK4703">
        <v>16.760345403470801</v>
      </c>
      <c r="AL4703">
        <v>77.966831506775407</v>
      </c>
      <c r="AM4703">
        <v>88.336964773899695</v>
      </c>
      <c r="AN4703">
        <v>0.99999997591337997</v>
      </c>
    </row>
    <row r="4704" spans="1:40" x14ac:dyDescent="0.25">
      <c r="A4704" t="str">
        <f>"20190312172800710"</f>
        <v>20190312172800710</v>
      </c>
      <c r="B4704" t="str">
        <f>"1552382880703891"</f>
        <v>1552382880703891</v>
      </c>
      <c r="C4704" t="s">
        <v>40</v>
      </c>
      <c r="D4704">
        <v>3.8035779999999999</v>
      </c>
      <c r="E4704">
        <v>0.55464829999999998</v>
      </c>
      <c r="F4704" t="s">
        <v>41</v>
      </c>
      <c r="G4704">
        <v>-344.15550000000002</v>
      </c>
      <c r="H4704" s="1">
        <v>-3.7061949999999998E-6</v>
      </c>
      <c r="I4704">
        <v>13.109769999999999</v>
      </c>
      <c r="J4704">
        <v>-360.79750000000001</v>
      </c>
      <c r="K4704">
        <v>1.1102299999999901</v>
      </c>
      <c r="L4704">
        <v>15.90366</v>
      </c>
      <c r="M4704">
        <v>0.99988750000000004</v>
      </c>
      <c r="N4704">
        <v>0</v>
      </c>
      <c r="O4704">
        <v>5.8592829999999999E-3</v>
      </c>
      <c r="P4704">
        <v>0.98023570000000004</v>
      </c>
      <c r="Q4704">
        <v>0.1956494</v>
      </c>
      <c r="R4704">
        <v>-2.9314690000000001E-2</v>
      </c>
      <c r="S4704">
        <v>3.088104</v>
      </c>
      <c r="T4704">
        <v>-0.2030083</v>
      </c>
      <c r="U4704">
        <v>-0.51058959999999998</v>
      </c>
      <c r="V4704">
        <v>3.506679E-2</v>
      </c>
      <c r="W4704">
        <v>0.2091644</v>
      </c>
      <c r="X4704">
        <v>0.97725150000000005</v>
      </c>
      <c r="Y4704">
        <v>0.1685381</v>
      </c>
      <c r="Z4704">
        <v>-5.8788440000000003E-3</v>
      </c>
      <c r="AA4704">
        <v>0.98567760000000004</v>
      </c>
      <c r="AB4704">
        <v>24</v>
      </c>
      <c r="AC4704">
        <v>16.6419999999999</v>
      </c>
      <c r="AD4704">
        <v>-1.1102337061949901</v>
      </c>
      <c r="AE4704">
        <v>-2.7938900000000002</v>
      </c>
      <c r="AF4704">
        <v>2.87889992856765</v>
      </c>
      <c r="AG4704">
        <v>-1.1102337061949901</v>
      </c>
      <c r="AH4704">
        <v>16.553688332310099</v>
      </c>
      <c r="AI4704">
        <v>93.780428163148699</v>
      </c>
      <c r="AJ4704">
        <v>80.134201086668796</v>
      </c>
      <c r="AK4704">
        <v>16.838802839998401</v>
      </c>
      <c r="AL4704">
        <v>77.926611056762795</v>
      </c>
      <c r="AM4704">
        <v>87.944932909028296</v>
      </c>
      <c r="AN4704">
        <v>0.99999996012025605</v>
      </c>
    </row>
    <row r="4705" spans="1:40" x14ac:dyDescent="0.25">
      <c r="A4705" t="str">
        <f>"20190312172800733"</f>
        <v>20190312172800733</v>
      </c>
      <c r="B4705" t="str">
        <f>"1552382880724386"</f>
        <v>1552382880724386</v>
      </c>
      <c r="C4705" t="s">
        <v>40</v>
      </c>
      <c r="D4705">
        <v>3.771436</v>
      </c>
      <c r="E4705">
        <v>0.55422039999999995</v>
      </c>
      <c r="F4705" t="s">
        <v>41</v>
      </c>
      <c r="G4705">
        <v>-343.78579999999999</v>
      </c>
      <c r="H4705" s="1">
        <v>-3.8642460000000002E-6</v>
      </c>
      <c r="I4705">
        <v>12.988580000000001</v>
      </c>
      <c r="J4705">
        <v>-360.55829999999997</v>
      </c>
      <c r="K4705">
        <v>1.110228</v>
      </c>
      <c r="L4705">
        <v>15.905060000000001</v>
      </c>
      <c r="M4705">
        <v>0.99988750000000004</v>
      </c>
      <c r="N4705">
        <v>0</v>
      </c>
      <c r="O4705">
        <v>5.8567339999999997E-3</v>
      </c>
      <c r="P4705">
        <v>0.9800352</v>
      </c>
      <c r="Q4705">
        <v>0.1957353</v>
      </c>
      <c r="R4705">
        <v>-3.4906329999999999E-2</v>
      </c>
      <c r="S4705">
        <v>3.0848689999999999</v>
      </c>
      <c r="T4705">
        <v>-0.20132630000000001</v>
      </c>
      <c r="U4705">
        <v>-0.52859500000000004</v>
      </c>
      <c r="V4705">
        <v>4.0655070000000001E-2</v>
      </c>
      <c r="W4705">
        <v>0.20924409999999999</v>
      </c>
      <c r="X4705">
        <v>0.97701789999999999</v>
      </c>
      <c r="Y4705">
        <v>0.1742872</v>
      </c>
      <c r="Z4705">
        <v>-6.0193429999999999E-3</v>
      </c>
      <c r="AA4705">
        <v>0.98467649999999995</v>
      </c>
      <c r="AB4705">
        <v>24</v>
      </c>
      <c r="AC4705">
        <v>16.772499999999901</v>
      </c>
      <c r="AD4705">
        <v>-1.1102318642460001</v>
      </c>
      <c r="AE4705">
        <v>-2.91648</v>
      </c>
      <c r="AF4705">
        <v>3.0019043175232998</v>
      </c>
      <c r="AG4705">
        <v>-1.1102318642460001</v>
      </c>
      <c r="AH4705">
        <v>16.684171868448399</v>
      </c>
      <c r="AI4705">
        <v>93.747084977233598</v>
      </c>
      <c r="AJ4705">
        <v>79.800173042174194</v>
      </c>
      <c r="AK4705">
        <v>16.988397077413701</v>
      </c>
      <c r="AL4705">
        <v>77.921941155993295</v>
      </c>
      <c r="AM4705">
        <v>87.617217775883702</v>
      </c>
      <c r="AN4705">
        <v>0.99999995251096097</v>
      </c>
    </row>
    <row r="4706" spans="1:40" x14ac:dyDescent="0.25">
      <c r="A4706" t="str">
        <f>"20190312172800754"</f>
        <v>20190312172800754</v>
      </c>
      <c r="B4706" t="str">
        <f>"1552382880743910"</f>
        <v>1552382880743910</v>
      </c>
      <c r="C4706" t="s">
        <v>40</v>
      </c>
      <c r="D4706">
        <v>3.7685249999999999</v>
      </c>
      <c r="E4706">
        <v>0.54645369999999904</v>
      </c>
      <c r="F4706" t="s">
        <v>41</v>
      </c>
      <c r="G4706">
        <v>-343.58</v>
      </c>
      <c r="H4706" s="1">
        <v>-3.9542530000000002E-6</v>
      </c>
      <c r="I4706">
        <v>12.91348</v>
      </c>
      <c r="J4706">
        <v>-360.32139999999998</v>
      </c>
      <c r="K4706">
        <v>1.1102270000000001</v>
      </c>
      <c r="L4706">
        <v>15.9064</v>
      </c>
      <c r="M4706">
        <v>0.99988759999999999</v>
      </c>
      <c r="N4706">
        <v>0</v>
      </c>
      <c r="O4706">
        <v>5.8552659999999996E-3</v>
      </c>
      <c r="P4706">
        <v>0.97983779999999998</v>
      </c>
      <c r="Q4706">
        <v>0.19573550000000001</v>
      </c>
      <c r="R4706">
        <v>-4.0070149999999999E-2</v>
      </c>
      <c r="S4706">
        <v>3.082001</v>
      </c>
      <c r="T4706">
        <v>-0.20153450000000001</v>
      </c>
      <c r="U4706">
        <v>-0.54302980000000001</v>
      </c>
      <c r="V4706">
        <v>4.5815929999999998E-2</v>
      </c>
      <c r="W4706">
        <v>0.20923849999999999</v>
      </c>
      <c r="X4706">
        <v>0.97679070000000001</v>
      </c>
      <c r="Y4706">
        <v>0.17890229999999999</v>
      </c>
      <c r="Z4706">
        <v>-6.1781659999999997E-3</v>
      </c>
      <c r="AA4706">
        <v>0.98384740000000004</v>
      </c>
      <c r="AB4706">
        <v>24</v>
      </c>
      <c r="AC4706">
        <v>16.741399999999999</v>
      </c>
      <c r="AD4706">
        <v>-1.110230954253</v>
      </c>
      <c r="AE4706">
        <v>-2.9929199999999998</v>
      </c>
      <c r="AF4706">
        <v>3.0777868484176798</v>
      </c>
      <c r="AG4706">
        <v>-1.110230954253</v>
      </c>
      <c r="AH4706">
        <v>16.652618910234001</v>
      </c>
      <c r="AI4706">
        <v>93.750926855632599</v>
      </c>
      <c r="AJ4706">
        <v>79.528588371285196</v>
      </c>
      <c r="AK4706">
        <v>16.9710076667698</v>
      </c>
      <c r="AL4706">
        <v>77.922269373136302</v>
      </c>
      <c r="AM4706">
        <v>87.3145353608638</v>
      </c>
      <c r="AN4706">
        <v>0.99999996046525097</v>
      </c>
    </row>
    <row r="4707" spans="1:40" x14ac:dyDescent="0.25">
      <c r="A4707" t="str">
        <f>"20190312172800777"</f>
        <v>20190312172800777</v>
      </c>
      <c r="B4707" t="str">
        <f>"1552382880774672"</f>
        <v>1552382880774672</v>
      </c>
      <c r="C4707" t="s">
        <v>40</v>
      </c>
      <c r="D4707">
        <v>3.7715369999999999</v>
      </c>
      <c r="E4707">
        <v>0.54517399999999905</v>
      </c>
      <c r="F4707" t="s">
        <v>41</v>
      </c>
      <c r="G4707">
        <v>-343.90820000000002</v>
      </c>
      <c r="H4707" s="1">
        <v>-3.7519839999999998E-6</v>
      </c>
      <c r="I4707">
        <v>13.25385</v>
      </c>
      <c r="J4707">
        <v>-360.07929999999999</v>
      </c>
      <c r="K4707">
        <v>1.1102240000000001</v>
      </c>
      <c r="L4707">
        <v>15.90784</v>
      </c>
      <c r="M4707">
        <v>0.99988770000000005</v>
      </c>
      <c r="N4707">
        <v>0</v>
      </c>
      <c r="O4707">
        <v>5.8548169999999896E-3</v>
      </c>
      <c r="P4707">
        <v>0.97969890000000004</v>
      </c>
      <c r="Q4707">
        <v>0.19574220000000001</v>
      </c>
      <c r="R4707">
        <v>-4.3305940000000001E-2</v>
      </c>
      <c r="S4707">
        <v>3.083008</v>
      </c>
      <c r="T4707">
        <v>-0.2085419</v>
      </c>
      <c r="U4707">
        <v>-0.49823000000000001</v>
      </c>
      <c r="V4707">
        <v>4.9050150000000001E-2</v>
      </c>
      <c r="W4707">
        <v>0.20923990000000001</v>
      </c>
      <c r="X4707">
        <v>0.97663339999999998</v>
      </c>
      <c r="Y4707">
        <v>0.16493260000000001</v>
      </c>
      <c r="Z4707">
        <v>-5.9291780000000002E-3</v>
      </c>
      <c r="AA4707">
        <v>0.98628700000000002</v>
      </c>
      <c r="AB4707">
        <v>24</v>
      </c>
      <c r="AC4707">
        <v>16.1710999999999</v>
      </c>
      <c r="AD4707">
        <v>-1.11022775198399</v>
      </c>
      <c r="AE4707">
        <v>-2.6539899999999998</v>
      </c>
      <c r="AF4707">
        <v>2.7360740732528899</v>
      </c>
      <c r="AG4707">
        <v>-1.11022775198399</v>
      </c>
      <c r="AH4707">
        <v>16.081470540942298</v>
      </c>
      <c r="AI4707">
        <v>93.893527217844394</v>
      </c>
      <c r="AJ4707">
        <v>80.344253376898095</v>
      </c>
      <c r="AK4707">
        <v>16.350302803153099</v>
      </c>
      <c r="AL4707">
        <v>77.922188140361698</v>
      </c>
      <c r="AM4707">
        <v>87.124809397646601</v>
      </c>
      <c r="AN4707">
        <v>1.00000002548129</v>
      </c>
    </row>
    <row r="4708" spans="1:40" x14ac:dyDescent="0.25">
      <c r="A4708" t="str">
        <f>"20190312172800799"</f>
        <v>20190312172800799</v>
      </c>
      <c r="B4708" t="str">
        <f>"1552382880794191"</f>
        <v>1552382880794191</v>
      </c>
      <c r="C4708" t="s">
        <v>40</v>
      </c>
      <c r="D4708">
        <v>3.710251</v>
      </c>
      <c r="E4708">
        <v>0.54357339999999998</v>
      </c>
      <c r="F4708" t="s">
        <v>41</v>
      </c>
      <c r="G4708">
        <v>-343.55930000000001</v>
      </c>
      <c r="H4708" s="1">
        <v>-3.8772150000000001E-6</v>
      </c>
      <c r="I4708">
        <v>13.23527</v>
      </c>
      <c r="J4708">
        <v>-359.84370000000001</v>
      </c>
      <c r="K4708">
        <v>1.1102320000000001</v>
      </c>
      <c r="L4708">
        <v>15.90921</v>
      </c>
      <c r="M4708">
        <v>0.99988770000000005</v>
      </c>
      <c r="N4708">
        <v>0</v>
      </c>
      <c r="O4708">
        <v>5.8551430000000002E-3</v>
      </c>
      <c r="P4708">
        <v>0.97967179999999998</v>
      </c>
      <c r="Q4708">
        <v>0.1955605</v>
      </c>
      <c r="R4708">
        <v>-4.4713719999999998E-2</v>
      </c>
      <c r="S4708">
        <v>3.081512</v>
      </c>
      <c r="T4708">
        <v>-0.20709350000000001</v>
      </c>
      <c r="U4708">
        <v>-0.49850460000000002</v>
      </c>
      <c r="V4708">
        <v>5.0457809999999999E-2</v>
      </c>
      <c r="W4708">
        <v>0.2090553</v>
      </c>
      <c r="X4708">
        <v>0.97660119999999895</v>
      </c>
      <c r="Y4708">
        <v>0.16509849999999901</v>
      </c>
      <c r="Z4708">
        <v>-5.8964169999999897E-3</v>
      </c>
      <c r="AA4708">
        <v>0.98625949999999996</v>
      </c>
      <c r="AB4708">
        <v>24</v>
      </c>
      <c r="AC4708">
        <v>16.284400000000002</v>
      </c>
      <c r="AD4708">
        <v>-1.1102358772149901</v>
      </c>
      <c r="AE4708">
        <v>-2.6739399999999902</v>
      </c>
      <c r="AF4708">
        <v>2.7567730523064702</v>
      </c>
      <c r="AG4708">
        <v>-1.1102358772149901</v>
      </c>
      <c r="AH4708">
        <v>16.195160704025898</v>
      </c>
      <c r="AI4708">
        <v>93.866252647139106</v>
      </c>
      <c r="AJ4708">
        <v>80.339591348382598</v>
      </c>
      <c r="AK4708">
        <v>16.4655899254841</v>
      </c>
      <c r="AL4708">
        <v>77.933003913717897</v>
      </c>
      <c r="AM4708">
        <v>87.042343191286506</v>
      </c>
      <c r="AN4708">
        <v>1.0000000064447601</v>
      </c>
    </row>
    <row r="4709" spans="1:40" x14ac:dyDescent="0.25">
      <c r="A4709" t="str">
        <f>"20190312172800824"</f>
        <v>20190312172800824</v>
      </c>
      <c r="B4709" t="str">
        <f>"1552382880813710"</f>
        <v>1552382880813710</v>
      </c>
      <c r="C4709" t="s">
        <v>40</v>
      </c>
      <c r="D4709">
        <v>3.70384</v>
      </c>
      <c r="E4709">
        <v>0.54241200000000001</v>
      </c>
      <c r="F4709" t="s">
        <v>41</v>
      </c>
      <c r="G4709">
        <v>-343.27030000000002</v>
      </c>
      <c r="H4709" s="1">
        <v>-3.9942340000000003E-6</v>
      </c>
      <c r="I4709">
        <v>13.2746</v>
      </c>
      <c r="J4709">
        <v>-359.5797</v>
      </c>
      <c r="K4709">
        <v>1.1102339999999999</v>
      </c>
      <c r="L4709">
        <v>15.910769999999999</v>
      </c>
      <c r="M4709">
        <v>0.99988770000000005</v>
      </c>
      <c r="N4709">
        <v>0</v>
      </c>
      <c r="O4709">
        <v>5.8561859999999898E-3</v>
      </c>
      <c r="P4709">
        <v>0.97971790000000003</v>
      </c>
      <c r="Q4709">
        <v>0.19564239999999999</v>
      </c>
      <c r="R4709">
        <v>-4.332457E-2</v>
      </c>
      <c r="S4709">
        <v>3.0811160000000002</v>
      </c>
      <c r="T4709">
        <v>-0.20640059999999999</v>
      </c>
      <c r="U4709">
        <v>-0.48977660000000001</v>
      </c>
      <c r="V4709">
        <v>4.9069689999999999E-2</v>
      </c>
      <c r="W4709">
        <v>0.20913499999999999</v>
      </c>
      <c r="X4709">
        <v>0.97665489999999999</v>
      </c>
      <c r="Y4709">
        <v>0.1624032</v>
      </c>
      <c r="Z4709">
        <v>-5.7892380000000004E-3</v>
      </c>
      <c r="AA4709">
        <v>0.98670749999999996</v>
      </c>
      <c r="AB4709">
        <v>24</v>
      </c>
      <c r="AC4709">
        <v>16.309399999999901</v>
      </c>
      <c r="AD4709">
        <v>-1.1102379942339999</v>
      </c>
      <c r="AE4709">
        <v>-2.6361699999999999</v>
      </c>
      <c r="AF4709">
        <v>2.71936406194735</v>
      </c>
      <c r="AG4709">
        <v>-1.1102379942339999</v>
      </c>
      <c r="AH4709">
        <v>16.220429175634099</v>
      </c>
      <c r="AI4709">
        <v>93.861881116925304</v>
      </c>
      <c r="AJ4709">
        <v>80.482837122419298</v>
      </c>
      <c r="AK4709">
        <v>16.484231615304701</v>
      </c>
      <c r="AL4709">
        <v>77.928334606983</v>
      </c>
      <c r="AM4709">
        <v>87.123729150401999</v>
      </c>
      <c r="AN4709">
        <v>1.00000003819785</v>
      </c>
    </row>
    <row r="4710" spans="1:40" x14ac:dyDescent="0.25">
      <c r="A4710" t="str">
        <f>"20190312172800845"</f>
        <v>20190312172800845</v>
      </c>
      <c r="B4710" t="str">
        <f>"1552382880834206"</f>
        <v>1552382880834206</v>
      </c>
      <c r="C4710" t="s">
        <v>40</v>
      </c>
      <c r="D4710">
        <v>3.7140119999999999</v>
      </c>
      <c r="E4710">
        <v>0.54151229999999995</v>
      </c>
      <c r="F4710" t="s">
        <v>41</v>
      </c>
      <c r="G4710">
        <v>-342.85120000000001</v>
      </c>
      <c r="H4710" s="1">
        <v>-4.1636019999999999E-6</v>
      </c>
      <c r="I4710">
        <v>13.333259999999999</v>
      </c>
      <c r="J4710">
        <v>-359.35270000000003</v>
      </c>
      <c r="K4710">
        <v>1.1102339999999999</v>
      </c>
      <c r="L4710">
        <v>15.912050000000001</v>
      </c>
      <c r="M4710">
        <v>0.99988779999999999</v>
      </c>
      <c r="N4710">
        <v>0</v>
      </c>
      <c r="O4710">
        <v>5.8568630000000003E-3</v>
      </c>
      <c r="P4710">
        <v>0.97991079999999997</v>
      </c>
      <c r="Q4710">
        <v>0.19515289999999999</v>
      </c>
      <c r="R4710">
        <v>-4.111385E-2</v>
      </c>
      <c r="S4710">
        <v>3.082001</v>
      </c>
      <c r="T4710">
        <v>-0.20454600000000001</v>
      </c>
      <c r="U4710">
        <v>-0.47485349999999998</v>
      </c>
      <c r="V4710">
        <v>4.6860600000000002E-2</v>
      </c>
      <c r="W4710">
        <v>0.2086459</v>
      </c>
      <c r="X4710">
        <v>0.97686799999999996</v>
      </c>
      <c r="Y4710">
        <v>0.157711299999999</v>
      </c>
      <c r="Z4710">
        <v>-5.5832599999999996E-3</v>
      </c>
      <c r="AA4710">
        <v>0.9874695</v>
      </c>
      <c r="AB4710">
        <v>24</v>
      </c>
      <c r="AC4710">
        <v>16.5015</v>
      </c>
      <c r="AD4710">
        <v>-1.110238163602</v>
      </c>
      <c r="AE4710">
        <v>-2.5787900000000001</v>
      </c>
      <c r="AF4710">
        <v>2.6636318589943899</v>
      </c>
      <c r="AG4710">
        <v>-1.110238163602</v>
      </c>
      <c r="AH4710">
        <v>16.413583168516301</v>
      </c>
      <c r="AI4710">
        <v>93.819852520461296</v>
      </c>
      <c r="AJ4710">
        <v>80.782273943644697</v>
      </c>
      <c r="AK4710">
        <v>16.665331556556801</v>
      </c>
      <c r="AL4710">
        <v>77.956990387532102</v>
      </c>
      <c r="AM4710">
        <v>87.2536125809483</v>
      </c>
      <c r="AN4710">
        <v>1.00000005842158</v>
      </c>
    </row>
    <row r="4711" spans="1:40" x14ac:dyDescent="0.25">
      <c r="A4711" t="str">
        <f>"20190312172800866"</f>
        <v>20190312172800866</v>
      </c>
      <c r="B4711" t="str">
        <f>"1552382880864463"</f>
        <v>1552382880864463</v>
      </c>
      <c r="C4711" t="s">
        <v>40</v>
      </c>
      <c r="D4711">
        <v>3.7025980000000001</v>
      </c>
      <c r="E4711">
        <v>0.54053009999999901</v>
      </c>
      <c r="F4711" t="s">
        <v>41</v>
      </c>
      <c r="G4711">
        <v>-342.63940000000002</v>
      </c>
      <c r="H4711" s="1">
        <v>-4.2387700000000004E-6</v>
      </c>
      <c r="I4711">
        <v>13.42179</v>
      </c>
      <c r="J4711">
        <v>-359.11959999999999</v>
      </c>
      <c r="K4711">
        <v>1.110233</v>
      </c>
      <c r="L4711">
        <v>15.91342</v>
      </c>
      <c r="M4711">
        <v>0.99988779999999999</v>
      </c>
      <c r="N4711">
        <v>0</v>
      </c>
      <c r="O4711">
        <v>5.8575989999999998E-3</v>
      </c>
      <c r="P4711">
        <v>0.98017790000000005</v>
      </c>
      <c r="Q4711">
        <v>0.19465399999999999</v>
      </c>
      <c r="R4711">
        <v>-3.6892939999999999E-2</v>
      </c>
      <c r="S4711">
        <v>3.0830380000000002</v>
      </c>
      <c r="T4711">
        <v>-0.20480100000000001</v>
      </c>
      <c r="U4711">
        <v>-0.4593506</v>
      </c>
      <c r="V4711">
        <v>4.2642140000000002E-2</v>
      </c>
      <c r="W4711">
        <v>0.20814869999999999</v>
      </c>
      <c r="X4711">
        <v>0.97716720000000001</v>
      </c>
      <c r="Y4711">
        <v>0.1528156</v>
      </c>
      <c r="Z4711">
        <v>-5.4289459999999996E-3</v>
      </c>
      <c r="AA4711">
        <v>0.9882398</v>
      </c>
      <c r="AB4711">
        <v>24</v>
      </c>
      <c r="AC4711">
        <v>16.4801999999999</v>
      </c>
      <c r="AD4711">
        <v>-1.1102372387699999</v>
      </c>
      <c r="AE4711">
        <v>-2.4916299999999998</v>
      </c>
      <c r="AF4711">
        <v>2.5766979692812</v>
      </c>
      <c r="AG4711">
        <v>-1.1102372387699999</v>
      </c>
      <c r="AH4711">
        <v>16.392586655198599</v>
      </c>
      <c r="AI4711">
        <v>93.827755194349706</v>
      </c>
      <c r="AJ4711">
        <v>81.066953773957493</v>
      </c>
      <c r="AK4711">
        <v>16.630961980578402</v>
      </c>
      <c r="AL4711">
        <v>77.986116457715298</v>
      </c>
      <c r="AM4711">
        <v>87.501281733076695</v>
      </c>
      <c r="AN4711">
        <v>0.99999998508565402</v>
      </c>
    </row>
    <row r="4712" spans="1:40" x14ac:dyDescent="0.25">
      <c r="A4712" t="str">
        <f>"20190312172800888"</f>
        <v>20190312172800888</v>
      </c>
      <c r="B4712" t="str">
        <f>"1552382880883982"</f>
        <v>1552382880883982</v>
      </c>
      <c r="C4712" t="s">
        <v>40</v>
      </c>
      <c r="D4712">
        <v>3.6827640000000001</v>
      </c>
      <c r="E4712">
        <v>0.54018840000000001</v>
      </c>
      <c r="F4712" t="s">
        <v>41</v>
      </c>
      <c r="G4712">
        <v>-342.39550000000003</v>
      </c>
      <c r="H4712" s="1">
        <v>-4.3222459999999999E-6</v>
      </c>
      <c r="I4712">
        <v>13.540990000000001</v>
      </c>
      <c r="J4712">
        <v>-358.88839999999999</v>
      </c>
      <c r="K4712">
        <v>1.1102289999999999</v>
      </c>
      <c r="L4712">
        <v>15.91479</v>
      </c>
      <c r="M4712">
        <v>0.99988790000000005</v>
      </c>
      <c r="N4712">
        <v>0</v>
      </c>
      <c r="O4712">
        <v>5.8580940000000003E-3</v>
      </c>
      <c r="P4712">
        <v>0.98039929999999997</v>
      </c>
      <c r="Q4712">
        <v>0.19446720000000001</v>
      </c>
      <c r="R4712">
        <v>-3.1623499999999999E-2</v>
      </c>
      <c r="S4712">
        <v>3.0848390000000001</v>
      </c>
      <c r="T4712">
        <v>-0.20478879999999999</v>
      </c>
      <c r="U4712">
        <v>-0.43759160000000002</v>
      </c>
      <c r="V4712">
        <v>3.737468E-2</v>
      </c>
      <c r="W4712">
        <v>0.2079626</v>
      </c>
      <c r="X4712">
        <v>0.97742249999999997</v>
      </c>
      <c r="Y4712">
        <v>0.14591689999999999</v>
      </c>
      <c r="Z4712">
        <v>-5.2006600000000002E-3</v>
      </c>
      <c r="AA4712">
        <v>0.98928320000000003</v>
      </c>
      <c r="AB4712">
        <v>24</v>
      </c>
      <c r="AC4712">
        <v>16.492899999999899</v>
      </c>
      <c r="AD4712">
        <v>-1.1102333222459999</v>
      </c>
      <c r="AE4712">
        <v>-2.3738000000000001</v>
      </c>
      <c r="AF4712">
        <v>2.4594666981514899</v>
      </c>
      <c r="AG4712">
        <v>-1.1102333222459999</v>
      </c>
      <c r="AH4712">
        <v>16.4058765134717</v>
      </c>
      <c r="AI4712">
        <v>93.828812907694001</v>
      </c>
      <c r="AJ4712">
        <v>81.474066690573196</v>
      </c>
      <c r="AK4712">
        <v>16.626315847006602</v>
      </c>
      <c r="AL4712">
        <v>77.997018261454798</v>
      </c>
      <c r="AM4712">
        <v>87.8101909307602</v>
      </c>
      <c r="AN4712">
        <v>1.0000000266050499</v>
      </c>
    </row>
    <row r="4713" spans="1:40" x14ac:dyDescent="0.25">
      <c r="A4713" t="str">
        <f>"20190312172800911"</f>
        <v>20190312172800911</v>
      </c>
      <c r="B4713" t="str">
        <f>"1552382880904478"</f>
        <v>1552382880904478</v>
      </c>
      <c r="C4713" t="s">
        <v>40</v>
      </c>
      <c r="D4713">
        <v>3.6983649999999999</v>
      </c>
      <c r="E4713">
        <v>0.54012720000000003</v>
      </c>
      <c r="F4713" t="s">
        <v>41</v>
      </c>
      <c r="G4713">
        <v>-342.1234</v>
      </c>
      <c r="H4713" s="1">
        <v>-4.4198509999999999E-6</v>
      </c>
      <c r="I4713">
        <v>13.64897</v>
      </c>
      <c r="J4713">
        <v>-358.64699999999999</v>
      </c>
      <c r="K4713">
        <v>1.1102259999999999</v>
      </c>
      <c r="L4713">
        <v>15.916230000000001</v>
      </c>
      <c r="M4713">
        <v>0.999888</v>
      </c>
      <c r="N4713">
        <v>0</v>
      </c>
      <c r="O4713">
        <v>5.8584680000000004E-3</v>
      </c>
      <c r="P4713">
        <v>0.98058909999999999</v>
      </c>
      <c r="Q4713">
        <v>0.1943964</v>
      </c>
      <c r="R4713">
        <v>-2.5598349999999999E-2</v>
      </c>
      <c r="S4713">
        <v>3.0870669999999998</v>
      </c>
      <c r="T4713">
        <v>-0.2044348</v>
      </c>
      <c r="U4713">
        <v>-0.41720580000000002</v>
      </c>
      <c r="V4713">
        <v>3.1351129999999998E-2</v>
      </c>
      <c r="W4713">
        <v>0.2078931</v>
      </c>
      <c r="X4713">
        <v>0.97764899999999999</v>
      </c>
      <c r="Y4713">
        <v>0.13942019999999999</v>
      </c>
      <c r="Z4713">
        <v>-4.9764279999999998E-3</v>
      </c>
      <c r="AA4713">
        <v>0.99022080000000001</v>
      </c>
      <c r="AB4713">
        <v>24</v>
      </c>
      <c r="AC4713">
        <v>16.523599999999899</v>
      </c>
      <c r="AD4713">
        <v>-1.110230419851</v>
      </c>
      <c r="AE4713">
        <v>-2.2672599999999901</v>
      </c>
      <c r="AF4713">
        <v>2.3536040801419502</v>
      </c>
      <c r="AG4713">
        <v>-1.110230419851</v>
      </c>
      <c r="AH4713">
        <v>16.437196808062598</v>
      </c>
      <c r="AI4713">
        <v>93.825207483935003</v>
      </c>
      <c r="AJ4713">
        <v>81.851338877782496</v>
      </c>
      <c r="AK4713">
        <v>16.6419200412154</v>
      </c>
      <c r="AL4713">
        <v>78.001088979473195</v>
      </c>
      <c r="AM4713">
        <v>88.163275291149503</v>
      </c>
      <c r="AN4713">
        <v>1.0000000007904399</v>
      </c>
    </row>
    <row r="4714" spans="1:40" x14ac:dyDescent="0.25">
      <c r="A4714" t="str">
        <f>"20190312172800933"</f>
        <v>20190312172800933</v>
      </c>
      <c r="B4714" t="str">
        <f>"1552382880924001"</f>
        <v>1552382880924001</v>
      </c>
      <c r="C4714" t="s">
        <v>40</v>
      </c>
      <c r="D4714">
        <v>3.6582599999999998</v>
      </c>
      <c r="E4714">
        <v>0.50914040000000005</v>
      </c>
      <c r="F4714" t="s">
        <v>41</v>
      </c>
      <c r="G4714">
        <v>-341.93799999999999</v>
      </c>
      <c r="H4714" s="1">
        <v>-4.4772640000000002E-6</v>
      </c>
      <c r="I4714">
        <v>13.773490000000001</v>
      </c>
      <c r="J4714">
        <v>-358.40719999999999</v>
      </c>
      <c r="K4714">
        <v>1.110233</v>
      </c>
      <c r="L4714">
        <v>15.91766</v>
      </c>
      <c r="M4714">
        <v>0.99988790000000005</v>
      </c>
      <c r="N4714">
        <v>0</v>
      </c>
      <c r="O4714">
        <v>5.8587810000000004E-3</v>
      </c>
      <c r="P4714">
        <v>0.9807186</v>
      </c>
      <c r="Q4714">
        <v>0.19483420000000001</v>
      </c>
      <c r="R4714">
        <v>-1.519184E-2</v>
      </c>
      <c r="S4714">
        <v>3.0897519999999998</v>
      </c>
      <c r="T4714">
        <v>-0.20529910000000001</v>
      </c>
      <c r="U4714">
        <v>-0.3962097</v>
      </c>
      <c r="V4714">
        <v>2.0945849999999998E-2</v>
      </c>
      <c r="W4714">
        <v>0.20833109999999999</v>
      </c>
      <c r="X4714">
        <v>0.97783399999999998</v>
      </c>
      <c r="Y4714">
        <v>0.13270090000000001</v>
      </c>
      <c r="Z4714">
        <v>-4.7732649999999996E-3</v>
      </c>
      <c r="AA4714">
        <v>0.99114469999999999</v>
      </c>
      <c r="AB4714">
        <v>24</v>
      </c>
      <c r="AC4714">
        <v>16.469199999999901</v>
      </c>
      <c r="AD4714">
        <v>-1.110237477264</v>
      </c>
      <c r="AE4714">
        <v>-2.1441699999999999</v>
      </c>
      <c r="AF4714">
        <v>2.2306634889521701</v>
      </c>
      <c r="AG4714">
        <v>-1.110237477264</v>
      </c>
      <c r="AH4714">
        <v>16.3831415348345</v>
      </c>
      <c r="AI4714">
        <v>93.841502967457401</v>
      </c>
      <c r="AJ4714">
        <v>82.246512198234399</v>
      </c>
      <c r="AK4714">
        <v>16.571536241618801</v>
      </c>
      <c r="AL4714">
        <v>77.975431085728303</v>
      </c>
      <c r="AM4714">
        <v>88.772874230887794</v>
      </c>
      <c r="AN4714">
        <v>0.99999995370771499</v>
      </c>
    </row>
    <row r="4715" spans="1:40" x14ac:dyDescent="0.25">
      <c r="A4715" t="str">
        <f>"20190312172800956"</f>
        <v>20190312172800956</v>
      </c>
      <c r="B4715" t="str">
        <f>"1552382880944494"</f>
        <v>1552382880944494</v>
      </c>
      <c r="C4715" t="s">
        <v>40</v>
      </c>
      <c r="D4715">
        <v>3.4252009999999999</v>
      </c>
      <c r="E4715">
        <v>0.4490769</v>
      </c>
      <c r="F4715" t="s">
        <v>41</v>
      </c>
      <c r="G4715">
        <v>-338.67540000000002</v>
      </c>
      <c r="H4715" s="1">
        <v>-1.617486E-6</v>
      </c>
      <c r="I4715">
        <v>15.17902</v>
      </c>
      <c r="J4715">
        <v>-358.16879999999998</v>
      </c>
      <c r="K4715">
        <v>1.1102350000000001</v>
      </c>
      <c r="L4715">
        <v>15.9191</v>
      </c>
      <c r="M4715">
        <v>0.999888</v>
      </c>
      <c r="N4715">
        <v>0</v>
      </c>
      <c r="O4715">
        <v>5.8587969999999998E-3</v>
      </c>
      <c r="P4715">
        <v>0.98080780000000001</v>
      </c>
      <c r="Q4715">
        <v>0.1949755</v>
      </c>
      <c r="R4715">
        <v>-1.0535620000000001E-3</v>
      </c>
      <c r="S4715">
        <v>3.091736</v>
      </c>
      <c r="T4715">
        <v>-0.17395959999999999</v>
      </c>
      <c r="U4715">
        <v>-0.115722699999999</v>
      </c>
      <c r="V4715">
        <v>6.8084060000000004E-3</v>
      </c>
      <c r="W4715">
        <v>0.20847280000000001</v>
      </c>
      <c r="X4715">
        <v>0.97800450000000005</v>
      </c>
      <c r="Y4715">
        <v>4.3180629999999998E-2</v>
      </c>
      <c r="Z4715">
        <v>-1.5427310000000001E-3</v>
      </c>
      <c r="AA4715">
        <v>0.99906609999999996</v>
      </c>
      <c r="AB4715">
        <v>24</v>
      </c>
      <c r="AC4715">
        <v>19.493399999999902</v>
      </c>
      <c r="AD4715">
        <v>-1.1102366174860001</v>
      </c>
      <c r="AE4715">
        <v>-0.74007999999999896</v>
      </c>
      <c r="AF4715">
        <v>0.85152777929187795</v>
      </c>
      <c r="AG4715">
        <v>-1.1102366174860001</v>
      </c>
      <c r="AH4715">
        <v>19.425805984501</v>
      </c>
      <c r="AI4715">
        <v>93.267916820555996</v>
      </c>
      <c r="AJ4715">
        <v>87.490053455298593</v>
      </c>
      <c r="AK4715">
        <v>19.476130597559301</v>
      </c>
      <c r="AL4715">
        <v>77.967130969594393</v>
      </c>
      <c r="AM4715">
        <v>89.601140252913297</v>
      </c>
      <c r="AN4715">
        <v>1.00000003237617</v>
      </c>
    </row>
    <row r="4716" spans="1:40" x14ac:dyDescent="0.25">
      <c r="A4716" t="str">
        <f>"20190312172800977"</f>
        <v>20190312172800977</v>
      </c>
      <c r="B4716" t="str">
        <f>"1552382880974751"</f>
        <v>1552382880974751</v>
      </c>
      <c r="C4716" t="s">
        <v>40</v>
      </c>
      <c r="D4716">
        <v>3.4956200000000002</v>
      </c>
      <c r="E4716">
        <v>0.42535309999999998</v>
      </c>
      <c r="F4716" t="s">
        <v>41</v>
      </c>
      <c r="G4716">
        <v>-330.91629999999998</v>
      </c>
      <c r="H4716" s="1">
        <v>-3.8959579999999997E-6</v>
      </c>
      <c r="I4716">
        <v>19.521699999999999</v>
      </c>
      <c r="J4716">
        <v>-357.93770000000001</v>
      </c>
      <c r="K4716">
        <v>1.110236</v>
      </c>
      <c r="L4716">
        <v>15.920500000000001</v>
      </c>
      <c r="M4716">
        <v>0.99988809999999995</v>
      </c>
      <c r="N4716">
        <v>0</v>
      </c>
      <c r="O4716">
        <v>5.8588119999999997E-3</v>
      </c>
      <c r="P4716">
        <v>0.98089749999999998</v>
      </c>
      <c r="Q4716">
        <v>0.19397919999999999</v>
      </c>
      <c r="R4716">
        <v>1.4573010000000001E-2</v>
      </c>
      <c r="S4716">
        <v>3.0841669999999999</v>
      </c>
      <c r="T4716">
        <v>-0.1256456</v>
      </c>
      <c r="U4716">
        <v>0.40771479999999999</v>
      </c>
      <c r="V4716">
        <v>-8.8176909999999904E-3</v>
      </c>
      <c r="W4716">
        <v>0.2074771</v>
      </c>
      <c r="X4716">
        <v>0.97820010000000002</v>
      </c>
      <c r="Y4716">
        <v>-0.1251476</v>
      </c>
      <c r="Z4716">
        <v>2.29956E-3</v>
      </c>
      <c r="AA4716">
        <v>0.99213549999999995</v>
      </c>
      <c r="AB4716">
        <v>24</v>
      </c>
      <c r="AC4716">
        <v>27.0214</v>
      </c>
      <c r="AD4716">
        <v>-1.110239895958</v>
      </c>
      <c r="AE4716">
        <v>3.6011999999999902</v>
      </c>
      <c r="AF4716">
        <v>-3.4371086928246202</v>
      </c>
      <c r="AG4716">
        <v>-1.110239895958</v>
      </c>
      <c r="AH4716">
        <v>26.997256123622002</v>
      </c>
      <c r="AI4716">
        <v>92.336079619956095</v>
      </c>
      <c r="AJ4716">
        <v>97.255479946424899</v>
      </c>
      <c r="AK4716">
        <v>27.237808043183499</v>
      </c>
      <c r="AL4716">
        <v>78.025454905345796</v>
      </c>
      <c r="AM4716">
        <v>90.516461607492403</v>
      </c>
      <c r="AN4716">
        <v>0.99999996716949502</v>
      </c>
    </row>
    <row r="4717" spans="1:40" x14ac:dyDescent="0.25">
      <c r="A4717" t="str">
        <f>"20190312172801001"</f>
        <v>20190312172801001</v>
      </c>
      <c r="B4717" t="str">
        <f>"1552382880994271"</f>
        <v>1552382880994271</v>
      </c>
      <c r="C4717" t="s">
        <v>40</v>
      </c>
      <c r="D4717">
        <v>3.5050520000000001</v>
      </c>
      <c r="E4717">
        <v>0.4164621</v>
      </c>
      <c r="F4717" t="s">
        <v>41</v>
      </c>
      <c r="G4717">
        <v>-334.18259999999998</v>
      </c>
      <c r="H4717" s="1">
        <v>-2.82199E-6</v>
      </c>
      <c r="I4717">
        <v>20.909330000000001</v>
      </c>
      <c r="J4717">
        <v>-357.69529999999997</v>
      </c>
      <c r="K4717">
        <v>1.1102369999999999</v>
      </c>
      <c r="L4717">
        <v>15.92197</v>
      </c>
      <c r="M4717">
        <v>0.99988790000000005</v>
      </c>
      <c r="N4717">
        <v>0</v>
      </c>
      <c r="O4717">
        <v>5.8588299999999998E-3</v>
      </c>
      <c r="P4717">
        <v>0.9805142</v>
      </c>
      <c r="Q4717">
        <v>0.1939343</v>
      </c>
      <c r="R4717">
        <v>3.1328439999999999E-2</v>
      </c>
      <c r="S4717">
        <v>3.0772710000000001</v>
      </c>
      <c r="T4717">
        <v>-0.14382200000000001</v>
      </c>
      <c r="U4717">
        <v>0.64627080000000003</v>
      </c>
      <c r="V4717">
        <v>-2.5574659999999999E-2</v>
      </c>
      <c r="W4717">
        <v>0.20742669999999999</v>
      </c>
      <c r="X4717">
        <v>0.97791620000000001</v>
      </c>
      <c r="Y4717">
        <v>-0.1995903</v>
      </c>
      <c r="Z4717">
        <v>4.3406419999999996E-3</v>
      </c>
      <c r="AA4717">
        <v>0.97986980000000001</v>
      </c>
      <c r="AB4717">
        <v>24</v>
      </c>
      <c r="AC4717">
        <v>23.512699999999899</v>
      </c>
      <c r="AD4717">
        <v>-1.11023982199</v>
      </c>
      <c r="AE4717">
        <v>4.98735999999999</v>
      </c>
      <c r="AF4717">
        <v>-4.8391794592574104</v>
      </c>
      <c r="AG4717">
        <v>-1.11023982199</v>
      </c>
      <c r="AH4717">
        <v>23.491397697693198</v>
      </c>
      <c r="AI4717">
        <v>92.650306784121994</v>
      </c>
      <c r="AJ4717">
        <v>101.639987028124</v>
      </c>
      <c r="AK4717">
        <v>24.010332277842799</v>
      </c>
      <c r="AL4717">
        <v>78.028407189567602</v>
      </c>
      <c r="AM4717">
        <v>91.498069215972194</v>
      </c>
      <c r="AN4717">
        <v>0.99999999666472195</v>
      </c>
    </row>
    <row r="4718" spans="1:40" x14ac:dyDescent="0.25">
      <c r="A4718" t="str">
        <f>"20190312172801024"</f>
        <v>20190312172801024</v>
      </c>
      <c r="B4718" t="str">
        <f>"1552382881013790"</f>
        <v>1552382881013790</v>
      </c>
      <c r="C4718" t="s">
        <v>40</v>
      </c>
      <c r="D4718">
        <v>3.5875430000000001</v>
      </c>
      <c r="E4718">
        <v>0.41271540000000001</v>
      </c>
      <c r="F4718" t="s">
        <v>41</v>
      </c>
      <c r="G4718">
        <v>-332.58519999999999</v>
      </c>
      <c r="H4718" s="1">
        <v>-3.8582300000000002E-6</v>
      </c>
      <c r="I4718">
        <v>22.22833</v>
      </c>
      <c r="J4718">
        <v>-357.4425</v>
      </c>
      <c r="K4718">
        <v>1.1102379999999901</v>
      </c>
      <c r="L4718">
        <v>15.923489999999999</v>
      </c>
      <c r="M4718">
        <v>0.99988790000000005</v>
      </c>
      <c r="N4718">
        <v>0</v>
      </c>
      <c r="O4718">
        <v>5.8587300000000004E-3</v>
      </c>
      <c r="P4718">
        <v>0.98014469999999998</v>
      </c>
      <c r="Q4718">
        <v>0.19387960000000001</v>
      </c>
      <c r="R4718">
        <v>4.1558030000000003E-2</v>
      </c>
      <c r="S4718">
        <v>3.0618289999999999</v>
      </c>
      <c r="T4718">
        <v>-0.1353782</v>
      </c>
      <c r="U4718">
        <v>0.7689819</v>
      </c>
      <c r="V4718">
        <v>-3.5806190000000002E-2</v>
      </c>
      <c r="W4718">
        <v>0.2073651</v>
      </c>
      <c r="X4718">
        <v>0.97760809999999998</v>
      </c>
      <c r="Y4718">
        <v>-0.23768639999999999</v>
      </c>
      <c r="Z4718">
        <v>4.9169319999999997E-3</v>
      </c>
      <c r="AA4718">
        <v>0.97132949999999996</v>
      </c>
      <c r="AB4718">
        <v>24</v>
      </c>
      <c r="AC4718">
        <v>24.857299999999999</v>
      </c>
      <c r="AD4718">
        <v>-1.11024185822999</v>
      </c>
      <c r="AE4718">
        <v>6.3048400000000004</v>
      </c>
      <c r="AF4718">
        <v>-6.1475630864985602</v>
      </c>
      <c r="AG4718">
        <v>-1.11024185822999</v>
      </c>
      <c r="AH4718">
        <v>24.847242879695099</v>
      </c>
      <c r="AI4718">
        <v>92.483638809121103</v>
      </c>
      <c r="AJ4718">
        <v>103.896723595425</v>
      </c>
      <c r="AK4718">
        <v>25.620512243294598</v>
      </c>
      <c r="AL4718">
        <v>78.032014883814</v>
      </c>
      <c r="AM4718">
        <v>92.097596093721194</v>
      </c>
      <c r="AN4718">
        <v>0.99999998256296696</v>
      </c>
    </row>
    <row r="4719" spans="1:40" x14ac:dyDescent="0.25">
      <c r="A4719" t="str">
        <f>"20190312172801046"</f>
        <v>20190312172801046</v>
      </c>
      <c r="B4719" t="str">
        <f>"1552382881044047"</f>
        <v>1552382881044047</v>
      </c>
      <c r="C4719" t="s">
        <v>40</v>
      </c>
      <c r="D4719">
        <v>3.6026980000000002</v>
      </c>
      <c r="E4719">
        <v>0.4112615</v>
      </c>
      <c r="F4719" t="s">
        <v>41</v>
      </c>
      <c r="G4719">
        <v>-332.29430000000002</v>
      </c>
      <c r="H4719" s="1">
        <v>-4.0539509999999998E-6</v>
      </c>
      <c r="I4719">
        <v>22.765969999999999</v>
      </c>
      <c r="J4719">
        <v>-357.20659999999998</v>
      </c>
      <c r="K4719">
        <v>1.1102379999999901</v>
      </c>
      <c r="L4719">
        <v>15.92496</v>
      </c>
      <c r="M4719">
        <v>0.99988809999999995</v>
      </c>
      <c r="N4719">
        <v>0</v>
      </c>
      <c r="O4719">
        <v>5.8585679999999998E-3</v>
      </c>
      <c r="P4719">
        <v>0.97946739999999999</v>
      </c>
      <c r="Q4719">
        <v>0.1924517</v>
      </c>
      <c r="R4719">
        <v>6.0053740000000001E-2</v>
      </c>
      <c r="S4719">
        <v>3.052216</v>
      </c>
      <c r="T4719">
        <v>-0.1347489</v>
      </c>
      <c r="U4719">
        <v>0.83047490000000002</v>
      </c>
      <c r="V4719">
        <v>-5.4306229999999997E-2</v>
      </c>
      <c r="W4719">
        <v>0.20592769999999999</v>
      </c>
      <c r="X4719">
        <v>0.97705920000000002</v>
      </c>
      <c r="Y4719">
        <v>-0.25665890000000002</v>
      </c>
      <c r="Z4719">
        <v>5.3078810000000004E-3</v>
      </c>
      <c r="AA4719">
        <v>0.96648750000000005</v>
      </c>
      <c r="AB4719">
        <v>24</v>
      </c>
      <c r="AC4719">
        <v>24.912299999999899</v>
      </c>
      <c r="AD4719">
        <v>-1.1102420539509901</v>
      </c>
      <c r="AE4719">
        <v>6.8410099999999998</v>
      </c>
      <c r="AF4719">
        <v>-6.6825865196106404</v>
      </c>
      <c r="AG4719">
        <v>-1.1102420539509901</v>
      </c>
      <c r="AH4719">
        <v>24.9059568063734</v>
      </c>
      <c r="AI4719">
        <v>92.465319553297206</v>
      </c>
      <c r="AJ4719">
        <v>105.01943480643</v>
      </c>
      <c r="AK4719">
        <v>25.810778454966801</v>
      </c>
      <c r="AL4719">
        <v>78.116189279757194</v>
      </c>
      <c r="AM4719">
        <v>93.181301181787106</v>
      </c>
      <c r="AN4719">
        <v>1.0000000322743701</v>
      </c>
    </row>
    <row r="4720" spans="1:40" x14ac:dyDescent="0.25">
      <c r="A4720" t="str">
        <f>"20190312172801068"</f>
        <v>20190312172801068</v>
      </c>
      <c r="B4720" t="str">
        <f>"1552382881064543"</f>
        <v>1552382881064543</v>
      </c>
      <c r="C4720" t="s">
        <v>40</v>
      </c>
      <c r="D4720">
        <v>3.6000809999999999</v>
      </c>
      <c r="E4720">
        <v>0.4116146</v>
      </c>
      <c r="F4720" t="s">
        <v>41</v>
      </c>
      <c r="G4720">
        <v>-334.29640000000001</v>
      </c>
      <c r="H4720" s="1">
        <v>-3.250891E-6</v>
      </c>
      <c r="I4720">
        <v>22.70476</v>
      </c>
      <c r="J4720">
        <v>-356.98020000000002</v>
      </c>
      <c r="K4720">
        <v>1.1102289999999999</v>
      </c>
      <c r="L4720">
        <v>15.926360000000001</v>
      </c>
      <c r="M4720">
        <v>0.99988809999999995</v>
      </c>
      <c r="N4720">
        <v>0</v>
      </c>
      <c r="O4720">
        <v>5.858584E-3</v>
      </c>
      <c r="P4720">
        <v>0.97835989999999995</v>
      </c>
      <c r="Q4720">
        <v>0.19051409999999999</v>
      </c>
      <c r="R4720">
        <v>8.0725519999999995E-2</v>
      </c>
      <c r="S4720">
        <v>3.0366819999999999</v>
      </c>
      <c r="T4720">
        <v>-0.14715889999999901</v>
      </c>
      <c r="U4720">
        <v>0.89865110000000004</v>
      </c>
      <c r="V4720">
        <v>-7.4983649999999999E-2</v>
      </c>
      <c r="W4720">
        <v>0.2039754</v>
      </c>
      <c r="X4720">
        <v>0.97610010000000003</v>
      </c>
      <c r="Y4720">
        <v>-0.2778506</v>
      </c>
      <c r="Z4720">
        <v>6.309706E-3</v>
      </c>
      <c r="AA4720">
        <v>0.9606036</v>
      </c>
      <c r="AB4720">
        <v>24</v>
      </c>
      <c r="AC4720">
        <v>22.683800000000002</v>
      </c>
      <c r="AD4720">
        <v>-1.1102322508910001</v>
      </c>
      <c r="AE4720">
        <v>6.7784000000000004</v>
      </c>
      <c r="AF4720">
        <v>-6.63079413202518</v>
      </c>
      <c r="AG4720">
        <v>-1.1102322508910001</v>
      </c>
      <c r="AH4720">
        <v>22.673264765884799</v>
      </c>
      <c r="AI4720">
        <v>92.690807655490303</v>
      </c>
      <c r="AJ4720">
        <v>106.301553960588</v>
      </c>
      <c r="AK4720">
        <v>23.649037646723201</v>
      </c>
      <c r="AL4720">
        <v>78.230472984907905</v>
      </c>
      <c r="AM4720">
        <v>94.392813187513497</v>
      </c>
      <c r="AN4720">
        <v>0.999999958396245</v>
      </c>
    </row>
    <row r="4721" spans="1:40" x14ac:dyDescent="0.25">
      <c r="A4721" t="str">
        <f>"20190312172801090"</f>
        <v>20190312172801090</v>
      </c>
      <c r="B4721" t="str">
        <f>"1552382881084063"</f>
        <v>1552382881084063</v>
      </c>
      <c r="C4721" t="s">
        <v>40</v>
      </c>
      <c r="D4721">
        <v>3.475196</v>
      </c>
      <c r="E4721">
        <v>0.41128710000000002</v>
      </c>
      <c r="F4721" t="s">
        <v>41</v>
      </c>
      <c r="G4721">
        <v>-335.84699999999998</v>
      </c>
      <c r="H4721" s="1">
        <v>-2.5679579999999999E-6</v>
      </c>
      <c r="I4721">
        <v>22.63813</v>
      </c>
      <c r="J4721">
        <v>-356.74020000000002</v>
      </c>
      <c r="K4721">
        <v>1.11022</v>
      </c>
      <c r="L4721">
        <v>15.927860000000001</v>
      </c>
      <c r="M4721">
        <v>0.9998882</v>
      </c>
      <c r="N4721">
        <v>0</v>
      </c>
      <c r="O4721">
        <v>5.8587789999999997E-3</v>
      </c>
      <c r="P4721">
        <v>0.97668520000000003</v>
      </c>
      <c r="Q4721">
        <v>0.18798970000000001</v>
      </c>
      <c r="R4721">
        <v>0.10366309999999999</v>
      </c>
      <c r="S4721">
        <v>3.0181580000000001</v>
      </c>
      <c r="T4721">
        <v>-0.15855849999999999</v>
      </c>
      <c r="U4721">
        <v>0.95855710000000005</v>
      </c>
      <c r="V4721">
        <v>-9.7930959999999997E-2</v>
      </c>
      <c r="W4721">
        <v>0.20142869999999999</v>
      </c>
      <c r="X4721">
        <v>0.97459530000000005</v>
      </c>
      <c r="Y4721">
        <v>-0.29674349999999999</v>
      </c>
      <c r="Z4721">
        <v>7.3024190000000001E-3</v>
      </c>
      <c r="AA4721">
        <v>0.95492929999999998</v>
      </c>
      <c r="AB4721">
        <v>24</v>
      </c>
      <c r="AC4721">
        <v>20.8932</v>
      </c>
      <c r="AD4721">
        <v>-1.110222567958</v>
      </c>
      <c r="AE4721">
        <v>6.7102700000000004</v>
      </c>
      <c r="AF4721">
        <v>-6.5709155362585898</v>
      </c>
      <c r="AG4721">
        <v>-1.110222567958</v>
      </c>
      <c r="AH4721">
        <v>20.878717468922201</v>
      </c>
      <c r="AI4721">
        <v>92.903678836748995</v>
      </c>
      <c r="AJ4721">
        <v>107.469745532178</v>
      </c>
      <c r="AK4721">
        <v>21.916440593356501</v>
      </c>
      <c r="AL4721">
        <v>78.379481996860306</v>
      </c>
      <c r="AM4721">
        <v>95.738032456553597</v>
      </c>
      <c r="AN4721">
        <v>0.99999999644615001</v>
      </c>
    </row>
    <row r="4722" spans="1:40" x14ac:dyDescent="0.25">
      <c r="A4722" t="str">
        <f>"20190312172801113"</f>
        <v>20190312172801113</v>
      </c>
      <c r="B4722" t="str">
        <f>"1552382881104558"</f>
        <v>1552382881104558</v>
      </c>
      <c r="C4722" t="s">
        <v>40</v>
      </c>
      <c r="D4722">
        <v>3.505547</v>
      </c>
      <c r="E4722">
        <v>0.41169519999999998</v>
      </c>
      <c r="F4722" t="s">
        <v>41</v>
      </c>
      <c r="G4722">
        <v>-336.93880000000001</v>
      </c>
      <c r="H4722" s="1">
        <v>-2.1271010000000002E-6</v>
      </c>
      <c r="I4722">
        <v>22.741440000000001</v>
      </c>
      <c r="J4722">
        <v>-356.50880000000001</v>
      </c>
      <c r="K4722">
        <v>1.1102129999999999</v>
      </c>
      <c r="L4722">
        <v>15.92929</v>
      </c>
      <c r="M4722">
        <v>0.9998882</v>
      </c>
      <c r="N4722">
        <v>0</v>
      </c>
      <c r="O4722">
        <v>5.858795E-3</v>
      </c>
      <c r="P4722">
        <v>0.9745066</v>
      </c>
      <c r="Q4722">
        <v>0.18550659999999999</v>
      </c>
      <c r="R4722">
        <v>0.12619169999999999</v>
      </c>
      <c r="S4722">
        <v>2.9945680000000001</v>
      </c>
      <c r="T4722">
        <v>-0.1678982</v>
      </c>
      <c r="U4722">
        <v>1.0304260000000001</v>
      </c>
      <c r="V4722">
        <v>-0.1204716</v>
      </c>
      <c r="W4722">
        <v>0.1989167</v>
      </c>
      <c r="X4722">
        <v>0.97258350000000005</v>
      </c>
      <c r="Y4722">
        <v>-0.31938820000000001</v>
      </c>
      <c r="Z4722">
        <v>8.3779430000000005E-3</v>
      </c>
      <c r="AA4722">
        <v>0.94758699999999996</v>
      </c>
      <c r="AB4722">
        <v>24</v>
      </c>
      <c r="AC4722">
        <v>19.57</v>
      </c>
      <c r="AD4722">
        <v>-1.1102151271009999</v>
      </c>
      <c r="AE4722">
        <v>6.8121499999999999</v>
      </c>
      <c r="AF4722">
        <v>-6.6781956321881299</v>
      </c>
      <c r="AG4722">
        <v>-1.1102151271009999</v>
      </c>
      <c r="AH4722">
        <v>19.5534500647885</v>
      </c>
      <c r="AI4722">
        <v>93.075608941829998</v>
      </c>
      <c r="AJ4722">
        <v>108.856853094321</v>
      </c>
      <c r="AK4722">
        <v>20.692227622138599</v>
      </c>
      <c r="AL4722">
        <v>78.526381809591101</v>
      </c>
      <c r="AM4722">
        <v>97.061124841996602</v>
      </c>
      <c r="AN4722">
        <v>0.99999996220884901</v>
      </c>
    </row>
    <row r="4723" spans="1:40" x14ac:dyDescent="0.25">
      <c r="A4723" t="str">
        <f>"20190312172801135"</f>
        <v>20190312172801135</v>
      </c>
      <c r="B4723" t="str">
        <f>"1552382881124078"</f>
        <v>1552382881124078</v>
      </c>
      <c r="C4723" t="s">
        <v>40</v>
      </c>
      <c r="D4723">
        <v>3.5150839999999901</v>
      </c>
      <c r="E4723">
        <v>0.41265649999999998</v>
      </c>
      <c r="F4723" t="s">
        <v>41</v>
      </c>
      <c r="G4723">
        <v>-337.8802</v>
      </c>
      <c r="H4723" s="1">
        <v>-1.7385419999999901E-6</v>
      </c>
      <c r="I4723">
        <v>22.79899</v>
      </c>
      <c r="J4723">
        <v>-356.27289999999999</v>
      </c>
      <c r="K4723">
        <v>1.11022</v>
      </c>
      <c r="L4723">
        <v>15.93079</v>
      </c>
      <c r="M4723">
        <v>0.9998882</v>
      </c>
      <c r="N4723">
        <v>0</v>
      </c>
      <c r="O4723">
        <v>5.8589310000000004E-3</v>
      </c>
      <c r="P4723">
        <v>0.97149929999999995</v>
      </c>
      <c r="Q4723">
        <v>0.18539430000000001</v>
      </c>
      <c r="R4723">
        <v>0.1477106</v>
      </c>
      <c r="S4723">
        <v>2.970367</v>
      </c>
      <c r="T4723">
        <v>-0.17702560000000001</v>
      </c>
      <c r="U4723">
        <v>1.0953980000000001</v>
      </c>
      <c r="V4723">
        <v>-0.142008299999999</v>
      </c>
      <c r="W4723">
        <v>0.19876289999999999</v>
      </c>
      <c r="X4723">
        <v>0.96970460000000003</v>
      </c>
      <c r="Y4723">
        <v>-0.33997280000000002</v>
      </c>
      <c r="Z4723">
        <v>9.4622660000000004E-3</v>
      </c>
      <c r="AA4723">
        <v>0.94038770000000005</v>
      </c>
      <c r="AB4723">
        <v>24</v>
      </c>
      <c r="AC4723">
        <v>18.392699999999898</v>
      </c>
      <c r="AD4723">
        <v>-1.1102217385419999</v>
      </c>
      <c r="AE4723">
        <v>6.8681999999999999</v>
      </c>
      <c r="AF4723">
        <v>-6.7387618764104698</v>
      </c>
      <c r="AG4723">
        <v>-1.1102217385419999</v>
      </c>
      <c r="AH4723">
        <v>18.373874452859599</v>
      </c>
      <c r="AI4723">
        <v>93.246848123771201</v>
      </c>
      <c r="AJ4723">
        <v>110.14090632242799</v>
      </c>
      <c r="AK4723">
        <v>19.602111272644599</v>
      </c>
      <c r="AL4723">
        <v>78.535374227389596</v>
      </c>
      <c r="AM4723">
        <v>98.331452859582996</v>
      </c>
      <c r="AN4723">
        <v>1.0000000294732201</v>
      </c>
    </row>
    <row r="4724" spans="1:40" x14ac:dyDescent="0.25">
      <c r="A4724" t="str">
        <f>"20190312172801158"</f>
        <v>20190312172801158</v>
      </c>
      <c r="B4724" t="str">
        <f>"1552382881154335"</f>
        <v>1552382881154335</v>
      </c>
      <c r="C4724" t="s">
        <v>40</v>
      </c>
      <c r="D4724">
        <v>3.525833</v>
      </c>
      <c r="E4724">
        <v>0.41406179999999898</v>
      </c>
      <c r="F4724" t="s">
        <v>41</v>
      </c>
      <c r="G4724">
        <v>-338.14940000000001</v>
      </c>
      <c r="H4724" s="1">
        <v>-1.680161E-6</v>
      </c>
      <c r="I4724">
        <v>23.013649999999998</v>
      </c>
      <c r="J4724">
        <v>-356.0369</v>
      </c>
      <c r="K4724">
        <v>1.110228</v>
      </c>
      <c r="L4724">
        <v>15.93225</v>
      </c>
      <c r="M4724">
        <v>0.9998882</v>
      </c>
      <c r="N4724">
        <v>0</v>
      </c>
      <c r="O4724">
        <v>5.8589489999999996E-3</v>
      </c>
      <c r="P4724">
        <v>0.96851039999999999</v>
      </c>
      <c r="Q4724">
        <v>0.18549399999999999</v>
      </c>
      <c r="R4724">
        <v>0.16607149999999901</v>
      </c>
      <c r="S4724">
        <v>2.947327</v>
      </c>
      <c r="T4724">
        <v>-0.1805485</v>
      </c>
      <c r="U4724">
        <v>1.1518550000000001</v>
      </c>
      <c r="V4724">
        <v>-0.1603861</v>
      </c>
      <c r="W4724">
        <v>0.19882130000000001</v>
      </c>
      <c r="X4724">
        <v>0.96682279999999998</v>
      </c>
      <c r="Y4724">
        <v>-0.35796689999999998</v>
      </c>
      <c r="Z4724">
        <v>1.0220089999999999E-2</v>
      </c>
      <c r="AA4724">
        <v>0.93367840000000002</v>
      </c>
      <c r="AB4724">
        <v>24</v>
      </c>
      <c r="AC4724">
        <v>17.8874999999999</v>
      </c>
      <c r="AD4724">
        <v>-1.1102296801610001</v>
      </c>
      <c r="AE4724">
        <v>7.0813999999999897</v>
      </c>
      <c r="AF4724">
        <v>-6.9533092758081896</v>
      </c>
      <c r="AG4724">
        <v>-1.1102296801610001</v>
      </c>
      <c r="AH4724">
        <v>17.869174945300099</v>
      </c>
      <c r="AI4724">
        <v>93.313828621678098</v>
      </c>
      <c r="AJ4724">
        <v>111.262162501414</v>
      </c>
      <c r="AK4724">
        <v>19.206471124428099</v>
      </c>
      <c r="AL4724">
        <v>78.531959303281496</v>
      </c>
      <c r="AM4724">
        <v>99.419011990344501</v>
      </c>
      <c r="AN4724">
        <v>0.99999996850336903</v>
      </c>
    </row>
    <row r="4725" spans="1:40" x14ac:dyDescent="0.25">
      <c r="A4725" t="str">
        <f>"20190312172801180"</f>
        <v>20190312172801180</v>
      </c>
      <c r="B4725" t="str">
        <f>"1552382881173855"</f>
        <v>1552382881173855</v>
      </c>
      <c r="C4725" t="s">
        <v>40</v>
      </c>
      <c r="D4725">
        <v>3.5177330000000002</v>
      </c>
      <c r="E4725">
        <v>0.4356273</v>
      </c>
      <c r="F4725" t="s">
        <v>41</v>
      </c>
      <c r="G4725">
        <v>-338.5258</v>
      </c>
      <c r="H4725" s="1">
        <v>-1.53393E-6</v>
      </c>
      <c r="I4725">
        <v>23.070820000000001</v>
      </c>
      <c r="J4725">
        <v>-355.79649999999998</v>
      </c>
      <c r="K4725">
        <v>1.110236</v>
      </c>
      <c r="L4725">
        <v>15.933719999999999</v>
      </c>
      <c r="M4725">
        <v>0.9998882</v>
      </c>
      <c r="N4725">
        <v>0</v>
      </c>
      <c r="O4725">
        <v>5.8589660000000002E-3</v>
      </c>
      <c r="P4725">
        <v>0.96615240000000002</v>
      </c>
      <c r="Q4725">
        <v>0.18388270000000001</v>
      </c>
      <c r="R4725">
        <v>0.1809337</v>
      </c>
      <c r="S4725">
        <v>2.928375</v>
      </c>
      <c r="T4725">
        <v>-0.1856623</v>
      </c>
      <c r="U4725">
        <v>1.1937869999999999</v>
      </c>
      <c r="V4725">
        <v>-0.175262</v>
      </c>
      <c r="W4725">
        <v>0.19717699999999999</v>
      </c>
      <c r="X4725">
        <v>0.96457479999999995</v>
      </c>
      <c r="Y4725">
        <v>-0.37143730000000003</v>
      </c>
      <c r="Z4725">
        <v>1.095551E-2</v>
      </c>
      <c r="AA4725">
        <v>0.92839340000000004</v>
      </c>
      <c r="AB4725">
        <v>24</v>
      </c>
      <c r="AC4725">
        <v>17.270699999999898</v>
      </c>
      <c r="AD4725">
        <v>-1.1102375339299999</v>
      </c>
      <c r="AE4725">
        <v>7.1371000000000002</v>
      </c>
      <c r="AF4725">
        <v>-7.0110325691543602</v>
      </c>
      <c r="AG4725">
        <v>-1.1102375339299999</v>
      </c>
      <c r="AH4725">
        <v>17.251331361099599</v>
      </c>
      <c r="AI4725">
        <v>93.411994755837199</v>
      </c>
      <c r="AJ4725">
        <v>112.117085677029</v>
      </c>
      <c r="AK4725">
        <v>18.654641213326801</v>
      </c>
      <c r="AL4725">
        <v>78.628074461727607</v>
      </c>
      <c r="AM4725">
        <v>100.29822032654199</v>
      </c>
      <c r="AN4725">
        <v>1.00000004138401</v>
      </c>
    </row>
    <row r="4726" spans="1:40" x14ac:dyDescent="0.25">
      <c r="A4726" t="str">
        <f>"20190312172801205"</f>
        <v>20190312172801205</v>
      </c>
      <c r="B4726" t="str">
        <f>"1552382881194351"</f>
        <v>1552382881194351</v>
      </c>
      <c r="C4726" t="s">
        <v>40</v>
      </c>
      <c r="D4726">
        <v>3.4773779999999999</v>
      </c>
      <c r="E4726">
        <v>0.43925180000000003</v>
      </c>
      <c r="F4726" t="s">
        <v>41</v>
      </c>
      <c r="G4726">
        <v>-341.31569999999999</v>
      </c>
      <c r="H4726" s="1">
        <v>-4.104651E-6</v>
      </c>
      <c r="I4726">
        <v>21.174230000000001</v>
      </c>
      <c r="J4726">
        <v>-355.5471</v>
      </c>
      <c r="K4726">
        <v>1.1102449999999999</v>
      </c>
      <c r="L4726">
        <v>15.93524</v>
      </c>
      <c r="M4726">
        <v>0.99988840000000001</v>
      </c>
      <c r="N4726">
        <v>0</v>
      </c>
      <c r="O4726">
        <v>5.8589840000000002E-3</v>
      </c>
      <c r="P4726">
        <v>0.96336390000000005</v>
      </c>
      <c r="Q4726">
        <v>0.1840262</v>
      </c>
      <c r="R4726">
        <v>0.1951022</v>
      </c>
      <c r="S4726">
        <v>2.9483030000000001</v>
      </c>
      <c r="T4726">
        <v>-0.22604489999999999</v>
      </c>
      <c r="U4726">
        <v>1.066986</v>
      </c>
      <c r="V4726">
        <v>-0.18944659999999999</v>
      </c>
      <c r="W4726">
        <v>0.19728129999999999</v>
      </c>
      <c r="X4726">
        <v>0.96186799999999995</v>
      </c>
      <c r="Y4726">
        <v>-0.33393260000000002</v>
      </c>
      <c r="Z4726">
        <v>1.195616E-2</v>
      </c>
      <c r="AA4726">
        <v>0.94252119999999995</v>
      </c>
      <c r="AB4726">
        <v>23</v>
      </c>
      <c r="AC4726">
        <v>14.231400000000001</v>
      </c>
      <c r="AD4726">
        <v>-1.1102491046509999</v>
      </c>
      <c r="AE4726">
        <v>5.2389899999999896</v>
      </c>
      <c r="AF4726">
        <v>-5.1280252831446598</v>
      </c>
      <c r="AG4726">
        <v>-1.1102491046509999</v>
      </c>
      <c r="AH4726">
        <v>14.185820119654201</v>
      </c>
      <c r="AI4726">
        <v>94.209566392135201</v>
      </c>
      <c r="AJ4726">
        <v>109.87439208999599</v>
      </c>
      <c r="AK4726">
        <v>15.1250384742034</v>
      </c>
      <c r="AL4726">
        <v>78.6219781559289</v>
      </c>
      <c r="AM4726">
        <v>101.142187498192</v>
      </c>
      <c r="AN4726">
        <v>0.99999998750262398</v>
      </c>
    </row>
    <row r="4727" spans="1:40" x14ac:dyDescent="0.25">
      <c r="A4727" t="str">
        <f>"20190312172801228"</f>
        <v>20190312172801228</v>
      </c>
      <c r="B4727" t="str">
        <f>"1552382881224609"</f>
        <v>1552382881224609</v>
      </c>
      <c r="C4727" t="s">
        <v>40</v>
      </c>
      <c r="D4727">
        <v>3.5106250000000001</v>
      </c>
      <c r="E4727">
        <v>0.44312079999999998</v>
      </c>
      <c r="F4727" t="s">
        <v>41</v>
      </c>
      <c r="G4727">
        <v>-341.25790000000001</v>
      </c>
      <c r="H4727" s="1">
        <v>-4.1262319999999996E-6</v>
      </c>
      <c r="I4727">
        <v>21.18505</v>
      </c>
      <c r="J4727">
        <v>-355.30459999999999</v>
      </c>
      <c r="K4727">
        <v>1.1102559999999999</v>
      </c>
      <c r="L4727">
        <v>15.93674</v>
      </c>
      <c r="M4727">
        <v>0.99988829999999995</v>
      </c>
      <c r="N4727">
        <v>0</v>
      </c>
      <c r="O4727">
        <v>5.8591809999999998E-3</v>
      </c>
      <c r="P4727">
        <v>0.96049819999999997</v>
      </c>
      <c r="Q4727">
        <v>0.18495700000000001</v>
      </c>
      <c r="R4727">
        <v>0.20792859999999999</v>
      </c>
      <c r="S4727">
        <v>2.9390260000000001</v>
      </c>
      <c r="T4727">
        <v>-0.22835730000000001</v>
      </c>
      <c r="U4727">
        <v>1.0798030000000001</v>
      </c>
      <c r="V4727">
        <v>-0.20228950000000001</v>
      </c>
      <c r="W4727">
        <v>0.19817219999999999</v>
      </c>
      <c r="X4727">
        <v>0.95906559999999996</v>
      </c>
      <c r="Y4727">
        <v>-0.33847379999999999</v>
      </c>
      <c r="Z4727">
        <v>1.227573E-2</v>
      </c>
      <c r="AA4727">
        <v>0.9408957</v>
      </c>
      <c r="AB4727">
        <v>23</v>
      </c>
      <c r="AC4727">
        <v>14.0466999999999</v>
      </c>
      <c r="AD4727">
        <v>-1.110260126232</v>
      </c>
      <c r="AE4727">
        <v>5.24831</v>
      </c>
      <c r="AF4727">
        <v>-5.1377442716071204</v>
      </c>
      <c r="AG4727">
        <v>-1.110260126232</v>
      </c>
      <c r="AH4727">
        <v>14.0004604673898</v>
      </c>
      <c r="AI4727">
        <v>94.257655052479706</v>
      </c>
      <c r="AJ4727">
        <v>110.151604979667</v>
      </c>
      <c r="AK4727">
        <v>14.954664390994401</v>
      </c>
      <c r="AL4727">
        <v>78.569905930810904</v>
      </c>
      <c r="AM4727">
        <v>101.91044899908501</v>
      </c>
      <c r="AN4727">
        <v>1.0000000438832199</v>
      </c>
    </row>
    <row r="4728" spans="1:40" x14ac:dyDescent="0.25">
      <c r="A4728" t="str">
        <f>"20190312172801249"</f>
        <v>20190312172801249</v>
      </c>
      <c r="B4728" t="str">
        <f>"1552382881244126"</f>
        <v>1552382881244126</v>
      </c>
      <c r="C4728" t="s">
        <v>40</v>
      </c>
      <c r="D4728">
        <v>3.581569</v>
      </c>
      <c r="E4728">
        <v>0.4451427</v>
      </c>
      <c r="F4728" t="s">
        <v>41</v>
      </c>
      <c r="G4728">
        <v>-340.46530000000001</v>
      </c>
      <c r="H4728" s="1">
        <v>-4.4416479999999996E-6</v>
      </c>
      <c r="I4728">
        <v>21.442589999999999</v>
      </c>
      <c r="J4728">
        <v>-355.07940000000002</v>
      </c>
      <c r="K4728">
        <v>1.1102559999999999</v>
      </c>
      <c r="L4728">
        <v>15.93811</v>
      </c>
      <c r="M4728">
        <v>0.99988840000000001</v>
      </c>
      <c r="N4728">
        <v>0</v>
      </c>
      <c r="O4728">
        <v>5.8591969999999896E-3</v>
      </c>
      <c r="P4728">
        <v>0.95830300000000002</v>
      </c>
      <c r="Q4728">
        <v>0.18647939999999999</v>
      </c>
      <c r="R4728">
        <v>0.2165204</v>
      </c>
      <c r="S4728">
        <v>2.930237</v>
      </c>
      <c r="T4728">
        <v>-0.2192355</v>
      </c>
      <c r="U4728">
        <v>1.0872189999999999</v>
      </c>
      <c r="V4728">
        <v>-0.21089359999999999</v>
      </c>
      <c r="W4728">
        <v>0.1996629</v>
      </c>
      <c r="X4728">
        <v>0.95690050000000004</v>
      </c>
      <c r="Y4728">
        <v>-0.341537799999999</v>
      </c>
      <c r="Z4728">
        <v>1.192551E-2</v>
      </c>
      <c r="AA4728">
        <v>0.93979239999999997</v>
      </c>
      <c r="AB4728">
        <v>23</v>
      </c>
      <c r="AC4728">
        <v>14.614100000000001</v>
      </c>
      <c r="AD4728">
        <v>-1.110260441648</v>
      </c>
      <c r="AE4728">
        <v>5.5044799999999903</v>
      </c>
      <c r="AF4728">
        <v>-5.3914985004329301</v>
      </c>
      <c r="AG4728">
        <v>-1.110260441648</v>
      </c>
      <c r="AH4728">
        <v>14.572445687256399</v>
      </c>
      <c r="AI4728">
        <v>94.087138679447605</v>
      </c>
      <c r="AJ4728">
        <v>110.303414053444</v>
      </c>
      <c r="AK4728">
        <v>15.5774551078312</v>
      </c>
      <c r="AL4728">
        <v>78.482752674097199</v>
      </c>
      <c r="AM4728">
        <v>102.42886181814301</v>
      </c>
      <c r="AN4728">
        <v>0.99999997552880904</v>
      </c>
    </row>
    <row r="4729" spans="1:40" x14ac:dyDescent="0.25">
      <c r="A4729" t="str">
        <f>"20190312172801271"</f>
        <v>20190312172801271</v>
      </c>
      <c r="B4729" t="str">
        <f>"1552382881264624"</f>
        <v>1552382881264624</v>
      </c>
      <c r="C4729" t="s">
        <v>40</v>
      </c>
      <c r="D4729">
        <v>3.509887</v>
      </c>
      <c r="E4729">
        <v>0.45585589999999998</v>
      </c>
      <c r="F4729" t="s">
        <v>41</v>
      </c>
      <c r="G4729">
        <v>-339.6173</v>
      </c>
      <c r="H4729" s="1">
        <v>-7.0946509999999997E-7</v>
      </c>
      <c r="I4729">
        <v>21.73208</v>
      </c>
      <c r="J4729">
        <v>-354.85180000000003</v>
      </c>
      <c r="K4729">
        <v>1.110258</v>
      </c>
      <c r="L4729">
        <v>15.93948</v>
      </c>
      <c r="M4729">
        <v>0.99988829999999995</v>
      </c>
      <c r="N4729">
        <v>0</v>
      </c>
      <c r="O4729">
        <v>5.8595710000000001E-3</v>
      </c>
      <c r="P4729">
        <v>0.95738760000000001</v>
      </c>
      <c r="Q4729">
        <v>0.18604850000000001</v>
      </c>
      <c r="R4729">
        <v>0.22089619999999999</v>
      </c>
      <c r="S4729">
        <v>2.9238590000000002</v>
      </c>
      <c r="T4729">
        <v>-0.2099471</v>
      </c>
      <c r="U4729">
        <v>1.095642</v>
      </c>
      <c r="V4729">
        <v>-0.21527470000000001</v>
      </c>
      <c r="W4729">
        <v>0.19921759999999999</v>
      </c>
      <c r="X4729">
        <v>0.95601729999999996</v>
      </c>
      <c r="Y4729">
        <v>-0.34463939999999998</v>
      </c>
      <c r="Z4729">
        <v>1.154675E-2</v>
      </c>
      <c r="AA4729">
        <v>0.9386641</v>
      </c>
      <c r="AB4729">
        <v>23</v>
      </c>
      <c r="AC4729">
        <v>15.234500000000001</v>
      </c>
      <c r="AD4729">
        <v>-1.1102587094651</v>
      </c>
      <c r="AE4729">
        <v>5.7926000000000002</v>
      </c>
      <c r="AF4729">
        <v>-5.6768819086305502</v>
      </c>
      <c r="AG4729">
        <v>-1.1102587094651</v>
      </c>
      <c r="AH4729">
        <v>15.1976617431223</v>
      </c>
      <c r="AI4729">
        <v>93.914989670159997</v>
      </c>
      <c r="AJ4729">
        <v>110.482497225087</v>
      </c>
      <c r="AK4729">
        <v>16.261260254507999</v>
      </c>
      <c r="AL4729">
        <v>78.508789424108002</v>
      </c>
      <c r="AM4729">
        <v>102.690126643539</v>
      </c>
      <c r="AN4729">
        <v>0.99999996325456897</v>
      </c>
    </row>
    <row r="4730" spans="1:40" x14ac:dyDescent="0.25">
      <c r="A4730" t="str">
        <f>"20190312172801293"</f>
        <v>20190312172801293</v>
      </c>
      <c r="B4730" t="str">
        <f>"1552382881284143"</f>
        <v>1552382881284143</v>
      </c>
      <c r="C4730" t="s">
        <v>40</v>
      </c>
      <c r="D4730">
        <v>3.4751820000000002</v>
      </c>
      <c r="E4730">
        <v>0.45809050000000001</v>
      </c>
      <c r="F4730" t="s">
        <v>41</v>
      </c>
      <c r="G4730">
        <v>-337.6404</v>
      </c>
      <c r="H4730" s="1">
        <v>-1.6112229999999999E-6</v>
      </c>
      <c r="I4730">
        <v>21.93384</v>
      </c>
      <c r="J4730">
        <v>-354.62049999999999</v>
      </c>
      <c r="K4730">
        <v>1.110263</v>
      </c>
      <c r="L4730">
        <v>15.940829999999901</v>
      </c>
      <c r="M4730">
        <v>0.99988849999999996</v>
      </c>
      <c r="N4730">
        <v>0</v>
      </c>
      <c r="O4730">
        <v>5.859408E-3</v>
      </c>
      <c r="P4730">
        <v>0.95781139999999998</v>
      </c>
      <c r="Q4730">
        <v>0.18605959999999999</v>
      </c>
      <c r="R4730">
        <v>0.2190423</v>
      </c>
      <c r="S4730">
        <v>2.9345089999999998</v>
      </c>
      <c r="T4730">
        <v>-0.18929599999999999</v>
      </c>
      <c r="U4730">
        <v>1.0220340000000001</v>
      </c>
      <c r="V4730">
        <v>-0.21341830000000001</v>
      </c>
      <c r="W4730">
        <v>0.19923160000000001</v>
      </c>
      <c r="X4730">
        <v>0.95643060000000002</v>
      </c>
      <c r="Y4730">
        <v>-0.32277699999999998</v>
      </c>
      <c r="Z4730">
        <v>9.736392E-3</v>
      </c>
      <c r="AA4730">
        <v>0.94642499999999996</v>
      </c>
      <c r="AB4730">
        <v>23</v>
      </c>
      <c r="AC4730">
        <v>16.980099999999901</v>
      </c>
      <c r="AD4730">
        <v>-1.1102646112229999</v>
      </c>
      <c r="AE4730">
        <v>5.9930099999999999</v>
      </c>
      <c r="AF4730">
        <v>-5.8710838398110097</v>
      </c>
      <c r="AG4730">
        <v>-1.1102646112229999</v>
      </c>
      <c r="AH4730">
        <v>16.9504853227171</v>
      </c>
      <c r="AI4730">
        <v>93.541687018721703</v>
      </c>
      <c r="AJ4730">
        <v>109.10438249139</v>
      </c>
      <c r="AK4730">
        <v>17.972792371712099</v>
      </c>
      <c r="AL4730">
        <v>78.507971848928804</v>
      </c>
      <c r="AM4730">
        <v>102.578929625364</v>
      </c>
      <c r="AN4730">
        <v>1.0000000469149</v>
      </c>
    </row>
    <row r="4731" spans="1:40" x14ac:dyDescent="0.25">
      <c r="A4731" t="str">
        <f>"20190312172801315"</f>
        <v>20190312172801315</v>
      </c>
      <c r="B4731" t="str">
        <f>"1552382881304639"</f>
        <v>1552382881304639</v>
      </c>
      <c r="C4731" t="s">
        <v>40</v>
      </c>
      <c r="D4731">
        <v>3.5096940000000001</v>
      </c>
      <c r="E4731">
        <v>0.45939970000000002</v>
      </c>
      <c r="F4731" t="s">
        <v>41</v>
      </c>
      <c r="G4731">
        <v>-336.54059999999998</v>
      </c>
      <c r="H4731" s="1">
        <v>-2.1228689999999998E-6</v>
      </c>
      <c r="I4731">
        <v>22.083570000000002</v>
      </c>
      <c r="J4731">
        <v>-354.39400000000001</v>
      </c>
      <c r="K4731">
        <v>1.110274</v>
      </c>
      <c r="L4731">
        <v>15.942170000000001</v>
      </c>
      <c r="M4731">
        <v>0.99988849999999996</v>
      </c>
      <c r="N4731">
        <v>0</v>
      </c>
      <c r="O4731">
        <v>5.8596029999999997E-3</v>
      </c>
      <c r="P4731">
        <v>0.95864590000000005</v>
      </c>
      <c r="Q4731">
        <v>0.18773000000000001</v>
      </c>
      <c r="R4731">
        <v>0.21390600000000001</v>
      </c>
      <c r="S4731">
        <v>2.9388730000000001</v>
      </c>
      <c r="T4731">
        <v>-0.18047170000000001</v>
      </c>
      <c r="U4731">
        <v>0.99850459999999996</v>
      </c>
      <c r="V4731">
        <v>-0.20827699999999999</v>
      </c>
      <c r="W4731">
        <v>0.2009107</v>
      </c>
      <c r="X4731">
        <v>0.95721239999999996</v>
      </c>
      <c r="Y4731">
        <v>-0.31561990000000001</v>
      </c>
      <c r="Z4731">
        <v>9.0684440000000002E-3</v>
      </c>
      <c r="AA4731">
        <v>0.94884230000000003</v>
      </c>
      <c r="AB4731">
        <v>23</v>
      </c>
      <c r="AC4731">
        <v>17.853400000000001</v>
      </c>
      <c r="AD4731">
        <v>-1.1102761228689999</v>
      </c>
      <c r="AE4731">
        <v>6.1414</v>
      </c>
      <c r="AF4731">
        <v>-6.0158667587608203</v>
      </c>
      <c r="AG4731">
        <v>-1.1102761228689999</v>
      </c>
      <c r="AH4731">
        <v>17.8274321403938</v>
      </c>
      <c r="AI4731">
        <v>93.377098790053694</v>
      </c>
      <c r="AJ4731">
        <v>108.646966248634</v>
      </c>
      <c r="AK4731">
        <v>18.8478301840961</v>
      </c>
      <c r="AL4731">
        <v>78.409780647051605</v>
      </c>
      <c r="AM4731">
        <v>102.27548130554101</v>
      </c>
      <c r="AN4731">
        <v>0.99999999840862497</v>
      </c>
    </row>
    <row r="4732" spans="1:40" x14ac:dyDescent="0.25">
      <c r="A4732" t="str">
        <f>"20190312172801336"</f>
        <v>20190312172801336</v>
      </c>
      <c r="B4732" t="str">
        <f>"1552382881333919"</f>
        <v>1552382881333919</v>
      </c>
      <c r="C4732" t="s">
        <v>40</v>
      </c>
      <c r="D4732">
        <v>3.5221800000000001</v>
      </c>
      <c r="E4732">
        <v>0.46067829999999899</v>
      </c>
      <c r="F4732" t="s">
        <v>41</v>
      </c>
      <c r="G4732">
        <v>-336.0849</v>
      </c>
      <c r="H4732" s="1">
        <v>-2.2918650000000001E-6</v>
      </c>
      <c r="I4732">
        <v>21.98404</v>
      </c>
      <c r="J4732">
        <v>-354.16899999999998</v>
      </c>
      <c r="K4732">
        <v>1.1102749999999999</v>
      </c>
      <c r="L4732">
        <v>15.94345</v>
      </c>
      <c r="M4732">
        <v>0.99988849999999996</v>
      </c>
      <c r="N4732">
        <v>0</v>
      </c>
      <c r="O4732">
        <v>5.8596189999999999E-3</v>
      </c>
      <c r="P4732">
        <v>0.96045000000000003</v>
      </c>
      <c r="Q4732">
        <v>0.18760789999999999</v>
      </c>
      <c r="R4732">
        <v>0.20576449999999999</v>
      </c>
      <c r="S4732">
        <v>2.9473880000000001</v>
      </c>
      <c r="T4732">
        <v>-0.178731</v>
      </c>
      <c r="U4732">
        <v>0.97262570000000004</v>
      </c>
      <c r="V4732">
        <v>-0.20012450000000001</v>
      </c>
      <c r="W4732">
        <v>0.2008103</v>
      </c>
      <c r="X4732">
        <v>0.95897100000000002</v>
      </c>
      <c r="Y4732">
        <v>-0.30730439999999998</v>
      </c>
      <c r="Z4732">
        <v>8.7233019999999901E-3</v>
      </c>
      <c r="AA4732">
        <v>0.95157130000000001</v>
      </c>
      <c r="AB4732">
        <v>23</v>
      </c>
      <c r="AC4732">
        <v>18.084099999999999</v>
      </c>
      <c r="AD4732">
        <v>-1.1102772918649999</v>
      </c>
      <c r="AE4732">
        <v>6.0405899999999999</v>
      </c>
      <c r="AF4732">
        <v>-5.9144543028910297</v>
      </c>
      <c r="AG4732">
        <v>-1.1102772918649999</v>
      </c>
      <c r="AH4732">
        <v>18.0579534655134</v>
      </c>
      <c r="AI4732">
        <v>93.343987215763093</v>
      </c>
      <c r="AJ4732">
        <v>108.134981240408</v>
      </c>
      <c r="AK4732">
        <v>19.034263020365799</v>
      </c>
      <c r="AL4732">
        <v>78.415652667009994</v>
      </c>
      <c r="AM4732">
        <v>101.787692162496</v>
      </c>
      <c r="AN4732">
        <v>0.99999998546366997</v>
      </c>
    </row>
    <row r="4733" spans="1:40" x14ac:dyDescent="0.25">
      <c r="A4733" t="str">
        <f>"20190312172801359"</f>
        <v>20190312172801359</v>
      </c>
      <c r="B4733" t="str">
        <f>"1552382881354415"</f>
        <v>1552382881354415</v>
      </c>
      <c r="C4733" t="s">
        <v>40</v>
      </c>
      <c r="D4733">
        <v>3.5064039999999999</v>
      </c>
      <c r="E4733">
        <v>0.46119080000000001</v>
      </c>
      <c r="F4733" t="s">
        <v>41</v>
      </c>
      <c r="G4733">
        <v>-334.49310000000003</v>
      </c>
      <c r="H4733" s="1">
        <v>-3.0257300000000001E-6</v>
      </c>
      <c r="I4733">
        <v>22.175619999999999</v>
      </c>
      <c r="J4733">
        <v>-353.93619999999999</v>
      </c>
      <c r="K4733">
        <v>1.1102730000000001</v>
      </c>
      <c r="L4733">
        <v>15.944789999999999</v>
      </c>
      <c r="M4733">
        <v>0.99988860000000002</v>
      </c>
      <c r="N4733">
        <v>0</v>
      </c>
      <c r="O4733">
        <v>5.8596359999999997E-3</v>
      </c>
      <c r="P4733">
        <v>0.96261759999999996</v>
      </c>
      <c r="Q4733">
        <v>0.1861949</v>
      </c>
      <c r="R4733">
        <v>0.1967206</v>
      </c>
      <c r="S4733">
        <v>2.9555660000000001</v>
      </c>
      <c r="T4733">
        <v>-0.166776799999999</v>
      </c>
      <c r="U4733">
        <v>0.93615720000000002</v>
      </c>
      <c r="V4733">
        <v>-0.1910684</v>
      </c>
      <c r="W4733">
        <v>0.19942370000000001</v>
      </c>
      <c r="X4733">
        <v>0.96110510000000005</v>
      </c>
      <c r="Y4733">
        <v>-0.29594740000000003</v>
      </c>
      <c r="Z4733">
        <v>7.8218339999999997E-3</v>
      </c>
      <c r="AA4733">
        <v>0.95517220000000003</v>
      </c>
      <c r="AB4733">
        <v>23</v>
      </c>
      <c r="AC4733">
        <v>19.443099999999902</v>
      </c>
      <c r="AD4733">
        <v>-1.1102760257299999</v>
      </c>
      <c r="AE4733">
        <v>6.2308300000000001</v>
      </c>
      <c r="AF4733">
        <v>-6.0987478279531997</v>
      </c>
      <c r="AG4733">
        <v>-1.1102760257299999</v>
      </c>
      <c r="AH4733">
        <v>19.4218465224201</v>
      </c>
      <c r="AI4733">
        <v>93.121850885546493</v>
      </c>
      <c r="AJ4733">
        <v>107.43306201947</v>
      </c>
      <c r="AK4733">
        <v>20.387142032730299</v>
      </c>
      <c r="AL4733">
        <v>78.496739151347896</v>
      </c>
      <c r="AM4733">
        <v>101.243847223328</v>
      </c>
      <c r="AN4733">
        <v>0.99999997942312902</v>
      </c>
    </row>
    <row r="4734" spans="1:40" x14ac:dyDescent="0.25">
      <c r="A4734" t="str">
        <f>"20190312172801381"</f>
        <v>20190312172801381</v>
      </c>
      <c r="B4734" t="str">
        <f>"1552382881373935"</f>
        <v>1552382881373935</v>
      </c>
      <c r="C4734" t="s">
        <v>40</v>
      </c>
      <c r="D4734">
        <v>3.5104410000000001</v>
      </c>
      <c r="E4734">
        <v>0.46165729999999999</v>
      </c>
      <c r="F4734" t="s">
        <v>41</v>
      </c>
      <c r="G4734">
        <v>-334.1585</v>
      </c>
      <c r="H4734" s="1">
        <v>-3.113603E-6</v>
      </c>
      <c r="I4734">
        <v>21.966429999999999</v>
      </c>
      <c r="J4734">
        <v>-353.70699999999999</v>
      </c>
      <c r="K4734">
        <v>1.110269</v>
      </c>
      <c r="L4734">
        <v>15.946079999999901</v>
      </c>
      <c r="M4734">
        <v>0.99988849999999996</v>
      </c>
      <c r="N4734">
        <v>0</v>
      </c>
      <c r="O4734">
        <v>5.8596530000000003E-3</v>
      </c>
      <c r="P4734">
        <v>0.96513309999999997</v>
      </c>
      <c r="Q4734">
        <v>0.18403849999999999</v>
      </c>
      <c r="R4734">
        <v>0.18613969999999999</v>
      </c>
      <c r="S4734">
        <v>2.964264</v>
      </c>
      <c r="T4734">
        <v>-0.16640679999999999</v>
      </c>
      <c r="U4734">
        <v>0.90252690000000002</v>
      </c>
      <c r="V4734">
        <v>-0.18047299999999999</v>
      </c>
      <c r="W4734">
        <v>0.19729859999999999</v>
      </c>
      <c r="X4734">
        <v>0.96358849999999996</v>
      </c>
      <c r="Y4734">
        <v>-0.28525430000000002</v>
      </c>
      <c r="Z4734">
        <v>7.5021810000000001E-3</v>
      </c>
      <c r="AA4734">
        <v>0.95842249999999996</v>
      </c>
      <c r="AB4734">
        <v>23</v>
      </c>
      <c r="AC4734">
        <v>19.548499999999901</v>
      </c>
      <c r="AD4734">
        <v>-1.110272113603</v>
      </c>
      <c r="AE4734">
        <v>6.0203499999999996</v>
      </c>
      <c r="AF4734">
        <v>-5.8883394883611997</v>
      </c>
      <c r="AG4734">
        <v>-1.110272113603</v>
      </c>
      <c r="AH4734">
        <v>19.525915324703998</v>
      </c>
      <c r="AI4734">
        <v>93.116100166375006</v>
      </c>
      <c r="AJ4734">
        <v>106.781491262865</v>
      </c>
      <c r="AK4734">
        <v>20.424657043973799</v>
      </c>
      <c r="AL4734">
        <v>78.620967432935203</v>
      </c>
      <c r="AM4734">
        <v>100.608175537656</v>
      </c>
      <c r="AN4734">
        <v>1.0000000193116001</v>
      </c>
    </row>
    <row r="4735" spans="1:40" x14ac:dyDescent="0.25">
      <c r="A4735" t="str">
        <f>"20190312172801404"</f>
        <v>20190312172801404</v>
      </c>
      <c r="B4735" t="str">
        <f>"1552382881394431"</f>
        <v>1552382881394431</v>
      </c>
      <c r="C4735" t="s">
        <v>40</v>
      </c>
      <c r="D4735">
        <v>3.4250449999999999</v>
      </c>
      <c r="E4735">
        <v>0.46185090000000001</v>
      </c>
      <c r="F4735" t="s">
        <v>41</v>
      </c>
      <c r="G4735">
        <v>-334.3467</v>
      </c>
      <c r="H4735" s="1">
        <v>-2.9292019999999999E-6</v>
      </c>
      <c r="I4735">
        <v>21.57685</v>
      </c>
      <c r="J4735">
        <v>-353.47309999999999</v>
      </c>
      <c r="K4735">
        <v>1.1102700000000001</v>
      </c>
      <c r="L4735">
        <v>15.947419999999999</v>
      </c>
      <c r="M4735">
        <v>0.99988849999999996</v>
      </c>
      <c r="N4735">
        <v>0</v>
      </c>
      <c r="O4735">
        <v>5.85967E-3</v>
      </c>
      <c r="P4735">
        <v>0.9673117</v>
      </c>
      <c r="Q4735">
        <v>0.18349750000000001</v>
      </c>
      <c r="R4735">
        <v>0.17503289999999999</v>
      </c>
      <c r="S4735">
        <v>2.9740600000000001</v>
      </c>
      <c r="T4735">
        <v>-0.17055580000000001</v>
      </c>
      <c r="U4735">
        <v>0.86499020000000004</v>
      </c>
      <c r="V4735">
        <v>-0.169353799999999</v>
      </c>
      <c r="W4735">
        <v>0.19678390000000001</v>
      </c>
      <c r="X4735">
        <v>0.96570979999999995</v>
      </c>
      <c r="Y4735">
        <v>-0.27323599999999998</v>
      </c>
      <c r="Z4735">
        <v>7.3408619999999897E-3</v>
      </c>
      <c r="AA4735">
        <v>0.96191899999999997</v>
      </c>
      <c r="AB4735">
        <v>23</v>
      </c>
      <c r="AC4735">
        <v>19.126399999999901</v>
      </c>
      <c r="AD4735">
        <v>-1.1102729292019999</v>
      </c>
      <c r="AE4735">
        <v>5.6294299999999904</v>
      </c>
      <c r="AF4735">
        <v>-5.5001918806245396</v>
      </c>
      <c r="AG4735">
        <v>-1.1102729292019999</v>
      </c>
      <c r="AH4735">
        <v>19.099831342207899</v>
      </c>
      <c r="AI4735">
        <v>93.197217118717205</v>
      </c>
      <c r="AJ4735">
        <v>106.064850554725</v>
      </c>
      <c r="AK4735">
        <v>19.906993092925799</v>
      </c>
      <c r="AL4735">
        <v>78.651047234240593</v>
      </c>
      <c r="AM4735">
        <v>99.946656708912201</v>
      </c>
      <c r="AN4735">
        <v>1.0000000153448401</v>
      </c>
    </row>
    <row r="4736" spans="1:40" x14ac:dyDescent="0.25">
      <c r="A4736" t="str">
        <f>"20190312172801426"</f>
        <v>20190312172801426</v>
      </c>
      <c r="B4736" t="str">
        <f>"1552382881413954"</f>
        <v>1552382881413954</v>
      </c>
      <c r="C4736" t="s">
        <v>40</v>
      </c>
      <c r="D4736">
        <v>3.4621</v>
      </c>
      <c r="E4736">
        <v>0.46168369999999997</v>
      </c>
      <c r="F4736" t="s">
        <v>41</v>
      </c>
      <c r="G4736">
        <v>-334.71230000000003</v>
      </c>
      <c r="H4736" s="1">
        <v>-2.6597050000000001E-6</v>
      </c>
      <c r="I4736">
        <v>21.15344</v>
      </c>
      <c r="J4736">
        <v>-353.24340000000001</v>
      </c>
      <c r="K4736">
        <v>1.1102719999999999</v>
      </c>
      <c r="L4736">
        <v>15.948729999999999</v>
      </c>
      <c r="M4736">
        <v>0.99988869999999996</v>
      </c>
      <c r="N4736">
        <v>0</v>
      </c>
      <c r="O4736">
        <v>5.8596849999999999E-3</v>
      </c>
      <c r="P4736">
        <v>0.96919259999999996</v>
      </c>
      <c r="Q4736">
        <v>0.18439810000000001</v>
      </c>
      <c r="R4736">
        <v>0.16328870000000001</v>
      </c>
      <c r="S4736">
        <v>2.9850159999999999</v>
      </c>
      <c r="T4736">
        <v>-0.1766547</v>
      </c>
      <c r="U4736">
        <v>0.82833860000000004</v>
      </c>
      <c r="V4736">
        <v>-0.1575984</v>
      </c>
      <c r="W4736">
        <v>0.1977062</v>
      </c>
      <c r="X4736">
        <v>0.96750970000000003</v>
      </c>
      <c r="Y4736">
        <v>-0.26132810000000001</v>
      </c>
      <c r="Z4736">
        <v>7.2430639999999996E-3</v>
      </c>
      <c r="AA4736">
        <v>0.96522280000000005</v>
      </c>
      <c r="AB4736">
        <v>23</v>
      </c>
      <c r="AC4736">
        <v>18.531099999999899</v>
      </c>
      <c r="AD4736">
        <v>-1.1102746597049999</v>
      </c>
      <c r="AE4736">
        <v>5.2047099999999897</v>
      </c>
      <c r="AF4736">
        <v>-5.0791245523733304</v>
      </c>
      <c r="AG4736">
        <v>-1.1102746597049999</v>
      </c>
      <c r="AH4736">
        <v>18.499729666227601</v>
      </c>
      <c r="AI4736">
        <v>93.312248003301306</v>
      </c>
      <c r="AJ4736">
        <v>105.352346613981</v>
      </c>
      <c r="AK4736">
        <v>19.216404808444398</v>
      </c>
      <c r="AL4736">
        <v>78.5971442912127</v>
      </c>
      <c r="AM4736">
        <v>99.251698352423503</v>
      </c>
      <c r="AN4736">
        <v>1.00000000839754</v>
      </c>
    </row>
    <row r="4737" spans="1:40" x14ac:dyDescent="0.25">
      <c r="A4737" t="str">
        <f>"20190312172801451"</f>
        <v>20190312172801451</v>
      </c>
      <c r="B4737" t="str">
        <f>"1552382881444207"</f>
        <v>1552382881444207</v>
      </c>
      <c r="C4737" t="s">
        <v>40</v>
      </c>
      <c r="D4737">
        <v>3.4108869999999998</v>
      </c>
      <c r="E4737">
        <v>0.46098159999999999</v>
      </c>
      <c r="F4737" t="s">
        <v>41</v>
      </c>
      <c r="G4737">
        <v>-334.29379999999998</v>
      </c>
      <c r="H4737" s="1">
        <v>-2.7911729999999999E-6</v>
      </c>
      <c r="I4737">
        <v>20.97268</v>
      </c>
      <c r="J4737">
        <v>-352.99900000000002</v>
      </c>
      <c r="K4737">
        <v>1.110258</v>
      </c>
      <c r="L4737">
        <v>15.950100000000001</v>
      </c>
      <c r="M4737">
        <v>0.99988869999999996</v>
      </c>
      <c r="N4737">
        <v>0</v>
      </c>
      <c r="O4737">
        <v>5.8600600000000003E-3</v>
      </c>
      <c r="P4737">
        <v>0.97160659999999999</v>
      </c>
      <c r="Q4737">
        <v>0.1825841</v>
      </c>
      <c r="R4737">
        <v>0.15048</v>
      </c>
      <c r="S4737">
        <v>2.9949650000000001</v>
      </c>
      <c r="T4737">
        <v>-0.17547639999999901</v>
      </c>
      <c r="U4737">
        <v>0.79403690000000005</v>
      </c>
      <c r="V4737">
        <v>-0.14477590000000001</v>
      </c>
      <c r="W4737">
        <v>0.19592209999999999</v>
      </c>
      <c r="X4737">
        <v>0.9698734</v>
      </c>
      <c r="Y4737">
        <v>-0.25020949999999997</v>
      </c>
      <c r="Z4737">
        <v>6.8624080000000004E-3</v>
      </c>
      <c r="AA4737">
        <v>0.96816740000000001</v>
      </c>
      <c r="AB4737">
        <v>23</v>
      </c>
      <c r="AC4737">
        <v>18.705200000000001</v>
      </c>
      <c r="AD4737">
        <v>-1.110260791173</v>
      </c>
      <c r="AE4737">
        <v>5.0225799999999996</v>
      </c>
      <c r="AF4737">
        <v>-4.89677817153063</v>
      </c>
      <c r="AG4737">
        <v>-1.110260791173</v>
      </c>
      <c r="AH4737">
        <v>18.6729516077996</v>
      </c>
      <c r="AI4737">
        <v>93.291656433148802</v>
      </c>
      <c r="AJ4737">
        <v>104.69431860061</v>
      </c>
      <c r="AK4737">
        <v>19.336241548781398</v>
      </c>
      <c r="AL4737">
        <v>78.701404534996001</v>
      </c>
      <c r="AM4737">
        <v>98.490023136705403</v>
      </c>
      <c r="AN4737">
        <v>0.99999997125838902</v>
      </c>
    </row>
    <row r="4738" spans="1:40" x14ac:dyDescent="0.25">
      <c r="A4738" t="str">
        <f>"20190312172801471"</f>
        <v>20190312172801471</v>
      </c>
      <c r="B4738" t="str">
        <f>"1552382881464703"</f>
        <v>1552382881464703</v>
      </c>
      <c r="C4738" t="s">
        <v>40</v>
      </c>
      <c r="D4738">
        <v>3.640234</v>
      </c>
      <c r="E4738">
        <v>0.48916880000000001</v>
      </c>
      <c r="F4738" t="s">
        <v>41</v>
      </c>
      <c r="G4738">
        <v>-334.59629999999999</v>
      </c>
      <c r="H4738" s="1">
        <v>-2.5665389999999999E-6</v>
      </c>
      <c r="I4738">
        <v>20.616250000000001</v>
      </c>
      <c r="J4738">
        <v>-352.78140000000002</v>
      </c>
      <c r="K4738">
        <v>1.11025</v>
      </c>
      <c r="L4738">
        <v>15.95129</v>
      </c>
      <c r="M4738">
        <v>0.99988869999999996</v>
      </c>
      <c r="N4738">
        <v>0</v>
      </c>
      <c r="O4738">
        <v>5.861036E-3</v>
      </c>
      <c r="P4738">
        <v>0.97432490000000005</v>
      </c>
      <c r="Q4738">
        <v>0.17942369999999999</v>
      </c>
      <c r="R4738">
        <v>0.13600779999999901</v>
      </c>
      <c r="S4738">
        <v>3.0037229999999999</v>
      </c>
      <c r="T4738">
        <v>-0.18121809999999999</v>
      </c>
      <c r="U4738">
        <v>0.76162719999999995</v>
      </c>
      <c r="V4738">
        <v>-0.13028709999999999</v>
      </c>
      <c r="W4738">
        <v>0.19279479999999999</v>
      </c>
      <c r="X4738">
        <v>0.97255100000000005</v>
      </c>
      <c r="Y4738">
        <v>-0.23969770000000001</v>
      </c>
      <c r="Z4738">
        <v>6.7640640000000002E-3</v>
      </c>
      <c r="AA4738">
        <v>0.97082400000000002</v>
      </c>
      <c r="AB4738">
        <v>23</v>
      </c>
      <c r="AC4738">
        <v>18.185099999999998</v>
      </c>
      <c r="AD4738">
        <v>-1.110252566539</v>
      </c>
      <c r="AE4738">
        <v>4.6649599999999998</v>
      </c>
      <c r="AF4738">
        <v>-4.5424001210533804</v>
      </c>
      <c r="AG4738">
        <v>-1.110252566539</v>
      </c>
      <c r="AH4738">
        <v>18.148660181208601</v>
      </c>
      <c r="AI4738">
        <v>93.396227936535496</v>
      </c>
      <c r="AJ4738">
        <v>104.051797486349</v>
      </c>
      <c r="AK4738">
        <v>18.741396052435299</v>
      </c>
      <c r="AL4738">
        <v>78.8840694083096</v>
      </c>
      <c r="AM4738">
        <v>97.6301598778536</v>
      </c>
      <c r="AN4738">
        <v>1.00000000546722</v>
      </c>
    </row>
    <row r="4739" spans="1:40" x14ac:dyDescent="0.25">
      <c r="A4739" t="str">
        <f>"20190312172801493"</f>
        <v>20190312172801493</v>
      </c>
      <c r="B4739" t="str">
        <f>"1552382881484223"</f>
        <v>1552382881484223</v>
      </c>
      <c r="C4739" t="s">
        <v>40</v>
      </c>
      <c r="D4739">
        <v>3.589134</v>
      </c>
      <c r="E4739">
        <v>0.50119659999999999</v>
      </c>
      <c r="F4739" t="s">
        <v>41</v>
      </c>
      <c r="G4739">
        <v>-333.09050000000002</v>
      </c>
      <c r="H4739" s="1">
        <v>-3.0281810000000002E-6</v>
      </c>
      <c r="I4739">
        <v>19.155619999999999</v>
      </c>
      <c r="J4739">
        <v>-352.55739999999997</v>
      </c>
      <c r="K4739">
        <v>1.110249</v>
      </c>
      <c r="L4739">
        <v>15.95255</v>
      </c>
      <c r="M4739">
        <v>0.99988869999999996</v>
      </c>
      <c r="N4739">
        <v>0</v>
      </c>
      <c r="O4739">
        <v>5.8646540000000004E-3</v>
      </c>
      <c r="P4739">
        <v>0.97674919999999998</v>
      </c>
      <c r="Q4739">
        <v>0.17770169999999999</v>
      </c>
      <c r="R4739">
        <v>0.11992940000000001</v>
      </c>
      <c r="S4739">
        <v>3.041534</v>
      </c>
      <c r="T4739">
        <v>-0.1714936</v>
      </c>
      <c r="U4739">
        <v>0.49496459999999998</v>
      </c>
      <c r="V4739">
        <v>-0.1141923</v>
      </c>
      <c r="W4739">
        <v>0.19110170000000001</v>
      </c>
      <c r="X4739">
        <v>0.97490529999999997</v>
      </c>
      <c r="Y4739">
        <v>-0.1546003</v>
      </c>
      <c r="Z4739">
        <v>3.9983900000000001E-3</v>
      </c>
      <c r="AA4739">
        <v>0.98796899999999999</v>
      </c>
      <c r="AB4739">
        <v>23</v>
      </c>
      <c r="AC4739">
        <v>19.4668999999999</v>
      </c>
      <c r="AD4739">
        <v>-1.110252028181</v>
      </c>
      <c r="AE4739">
        <v>3.2030699999999999</v>
      </c>
      <c r="AF4739">
        <v>-3.0790860606609298</v>
      </c>
      <c r="AG4739">
        <v>-1.110252028181</v>
      </c>
      <c r="AH4739">
        <v>19.4238365205318</v>
      </c>
      <c r="AI4739">
        <v>93.2311655520908</v>
      </c>
      <c r="AJ4739">
        <v>99.0076328638809</v>
      </c>
      <c r="AK4739">
        <v>19.697686557344198</v>
      </c>
      <c r="AL4739">
        <v>78.9829153467998</v>
      </c>
      <c r="AM4739">
        <v>96.680709416913402</v>
      </c>
      <c r="AN4739">
        <v>1.0000000425451301</v>
      </c>
    </row>
    <row r="4740" spans="1:40" x14ac:dyDescent="0.25">
      <c r="A4740" t="str">
        <f>"20190312172801515"</f>
        <v>20190312172801515</v>
      </c>
      <c r="B4740" t="str">
        <f>"1552382881504726"</f>
        <v>1552382881504726</v>
      </c>
      <c r="C4740" t="s">
        <v>40</v>
      </c>
      <c r="D4740">
        <v>3.5537299999999998</v>
      </c>
      <c r="E4740">
        <v>0.56545769999999995</v>
      </c>
      <c r="F4740" t="s">
        <v>41</v>
      </c>
      <c r="G4740">
        <v>-335.35070000000002</v>
      </c>
      <c r="H4740" s="1">
        <v>-2.2768910000000001E-6</v>
      </c>
      <c r="I4740">
        <v>17.924679999999999</v>
      </c>
      <c r="J4740">
        <v>-352.32679999999999</v>
      </c>
      <c r="K4740">
        <v>1.110255</v>
      </c>
      <c r="L4740">
        <v>15.953860000000001</v>
      </c>
      <c r="M4740">
        <v>0.99988860000000002</v>
      </c>
      <c r="N4740">
        <v>0</v>
      </c>
      <c r="O4740">
        <v>5.8802139999999999E-3</v>
      </c>
      <c r="P4740">
        <v>0.97859260000000003</v>
      </c>
      <c r="Q4740">
        <v>0.17752390000000001</v>
      </c>
      <c r="R4740">
        <v>0.1041243</v>
      </c>
      <c r="S4740">
        <v>3.0643009999999999</v>
      </c>
      <c r="T4740">
        <v>-0.19772149999999999</v>
      </c>
      <c r="U4740">
        <v>0.35122680000000001</v>
      </c>
      <c r="V4740">
        <v>-9.8363779999999998E-2</v>
      </c>
      <c r="W4740">
        <v>0.19094349999999999</v>
      </c>
      <c r="X4740">
        <v>0.97666019999999998</v>
      </c>
      <c r="Y4740">
        <v>-0.1078197</v>
      </c>
      <c r="Z4740">
        <v>3.0857800000000002E-3</v>
      </c>
      <c r="AA4740">
        <v>0.99416570000000004</v>
      </c>
      <c r="AB4740">
        <v>23</v>
      </c>
      <c r="AC4740">
        <v>16.976099999999899</v>
      </c>
      <c r="AD4740">
        <v>-1.110257276891</v>
      </c>
      <c r="AE4740">
        <v>1.97081999999999</v>
      </c>
      <c r="AF4740">
        <v>-1.86309037359494</v>
      </c>
      <c r="AG4740">
        <v>-1.110257276891</v>
      </c>
      <c r="AH4740">
        <v>16.916003498483601</v>
      </c>
      <c r="AI4740">
        <v>93.732632829715598</v>
      </c>
      <c r="AJ4740">
        <v>96.285095870741102</v>
      </c>
      <c r="AK4740">
        <v>17.054470127265201</v>
      </c>
      <c r="AL4740">
        <v>78.992149105252295</v>
      </c>
      <c r="AM4740">
        <v>95.751119072751294</v>
      </c>
      <c r="AN4740">
        <v>0.999999999836089</v>
      </c>
    </row>
    <row r="4741" spans="1:40" x14ac:dyDescent="0.25">
      <c r="A4741" t="str">
        <f>"20190312172801537"</f>
        <v>20190312172801537</v>
      </c>
      <c r="B4741" t="str">
        <f>"1552382881533999"</f>
        <v>1552382881533999</v>
      </c>
      <c r="C4741" t="s">
        <v>40</v>
      </c>
      <c r="D4741">
        <v>3.5670120000000001</v>
      </c>
      <c r="E4741">
        <v>0.56814119999999901</v>
      </c>
      <c r="F4741" t="s">
        <v>44</v>
      </c>
      <c r="G4741">
        <v>-351.4588</v>
      </c>
      <c r="H4741">
        <v>1.0531820000000001</v>
      </c>
      <c r="I4741">
        <v>15.89669</v>
      </c>
      <c r="J4741">
        <v>-352.09679999999997</v>
      </c>
      <c r="K4741">
        <v>1.110255</v>
      </c>
      <c r="L4741">
        <v>15.955170000000001</v>
      </c>
      <c r="M4741">
        <v>0.99988849999999996</v>
      </c>
      <c r="N4741">
        <v>0</v>
      </c>
      <c r="O4741">
        <v>5.920168E-3</v>
      </c>
      <c r="P4741">
        <v>0.98082230000000004</v>
      </c>
      <c r="Q4741">
        <v>0.17678079999999999</v>
      </c>
      <c r="R4741">
        <v>8.2076419999999997E-2</v>
      </c>
      <c r="S4741">
        <v>3.1247859999999998</v>
      </c>
      <c r="T4741">
        <v>-0.20545830000000001</v>
      </c>
      <c r="U4741">
        <v>-0.20581050000000001</v>
      </c>
      <c r="V4741">
        <v>-7.6271229999999995E-2</v>
      </c>
      <c r="W4741">
        <v>0.19022410000000001</v>
      </c>
      <c r="X4741">
        <v>0.97877349999999996</v>
      </c>
      <c r="Y4741">
        <v>7.1461860000000002E-2</v>
      </c>
      <c r="Z4741">
        <v>-2.7327570000000002E-3</v>
      </c>
      <c r="AA4741">
        <v>0.99743959999999998</v>
      </c>
      <c r="AB4741">
        <v>23</v>
      </c>
      <c r="AC4741">
        <v>0.63799999999997603</v>
      </c>
      <c r="AD4741">
        <v>-5.7072999999999902E-2</v>
      </c>
      <c r="AE4741">
        <v>-5.8480000000001198E-2</v>
      </c>
      <c r="AF4741">
        <v>6.1766237480655801E-2</v>
      </c>
      <c r="AG4741">
        <v>-5.7072999999999902E-2</v>
      </c>
      <c r="AH4741">
        <v>0.63262225925996896</v>
      </c>
      <c r="AI4741">
        <v>95.130806310441201</v>
      </c>
      <c r="AJ4741">
        <v>84.423586288455695</v>
      </c>
      <c r="AK4741">
        <v>0.638187525992716</v>
      </c>
      <c r="AL4741">
        <v>79.034137701824207</v>
      </c>
      <c r="AM4741">
        <v>94.455786992750305</v>
      </c>
      <c r="AN4741">
        <v>1.00000003652438</v>
      </c>
    </row>
    <row r="4742" spans="1:40" x14ac:dyDescent="0.25">
      <c r="A4742" t="str">
        <f>"20190312172801572"</f>
        <v>20190312172801572</v>
      </c>
      <c r="B4742" t="str">
        <f>"1552382881564256"</f>
        <v>1552382881564256</v>
      </c>
      <c r="C4742" t="s">
        <v>40</v>
      </c>
      <c r="D4742">
        <v>3.624943</v>
      </c>
      <c r="E4742">
        <v>0.56531399999999998</v>
      </c>
      <c r="F4742" t="s">
        <v>41</v>
      </c>
      <c r="G4742">
        <v>-335.0668</v>
      </c>
      <c r="H4742" s="1">
        <v>-3.066347E-6</v>
      </c>
      <c r="I4742">
        <v>14.34895</v>
      </c>
      <c r="J4742">
        <v>-351.75529999999998</v>
      </c>
      <c r="K4742">
        <v>1.110279</v>
      </c>
      <c r="L4742">
        <v>15.957179999999999</v>
      </c>
      <c r="M4742">
        <v>0.99988770000000005</v>
      </c>
      <c r="N4742">
        <v>0</v>
      </c>
      <c r="O4742">
        <v>6.0509200000000004E-3</v>
      </c>
      <c r="P4742">
        <v>0.9828112</v>
      </c>
      <c r="Q4742">
        <v>0.174614299999999</v>
      </c>
      <c r="R4742">
        <v>5.9935670000000003E-2</v>
      </c>
      <c r="S4742">
        <v>3.1199650000000001</v>
      </c>
      <c r="T4742">
        <v>-0.20340369999999999</v>
      </c>
      <c r="U4742">
        <v>-0.29425050000000003</v>
      </c>
      <c r="V4742">
        <v>-5.4008720000000003E-2</v>
      </c>
      <c r="W4742">
        <v>0.1880744</v>
      </c>
      <c r="X4742">
        <v>0.98066869999999995</v>
      </c>
      <c r="Y4742">
        <v>9.9695950000000005E-2</v>
      </c>
      <c r="Z4742">
        <v>-3.6324510000000001E-3</v>
      </c>
      <c r="AA4742">
        <v>0.99501130000000004</v>
      </c>
      <c r="AB4742">
        <v>23</v>
      </c>
      <c r="AC4742">
        <v>16.688499999999902</v>
      </c>
      <c r="AD4742">
        <v>-1.1102820663470001</v>
      </c>
      <c r="AE4742">
        <v>-1.6082299999999901</v>
      </c>
      <c r="AF4742">
        <v>1.701727923358</v>
      </c>
      <c r="AG4742">
        <v>-1.1102820663470001</v>
      </c>
      <c r="AH4742">
        <v>16.605638485472198</v>
      </c>
      <c r="AI4742">
        <v>93.805332279789496</v>
      </c>
      <c r="AJ4742">
        <v>84.148816164286004</v>
      </c>
      <c r="AK4742">
        <v>16.729489941483099</v>
      </c>
      <c r="AL4742">
        <v>79.159570449070003</v>
      </c>
      <c r="AM4742">
        <v>93.152286603967198</v>
      </c>
      <c r="AN4742">
        <v>1.00000001046554</v>
      </c>
    </row>
    <row r="4743" spans="1:40" x14ac:dyDescent="0.25">
      <c r="A4743" t="str">
        <f>"20190312172801592"</f>
        <v>20190312172801592</v>
      </c>
      <c r="B4743" t="str">
        <f>"1552382881584751"</f>
        <v>1552382881584751</v>
      </c>
      <c r="C4743" t="s">
        <v>40</v>
      </c>
      <c r="D4743">
        <v>3.6113729999999999</v>
      </c>
      <c r="E4743">
        <v>0.56308239999999998</v>
      </c>
      <c r="F4743" t="s">
        <v>44</v>
      </c>
      <c r="G4743">
        <v>-350.84589999999997</v>
      </c>
      <c r="H4743">
        <v>1.0503049999999901</v>
      </c>
      <c r="I4743">
        <v>15.857559999999999</v>
      </c>
      <c r="J4743">
        <v>-351.53399999999999</v>
      </c>
      <c r="K4743">
        <v>1.110306</v>
      </c>
      <c r="L4743">
        <v>15.95865</v>
      </c>
      <c r="M4743">
        <v>0.99988690000000002</v>
      </c>
      <c r="N4743">
        <v>0</v>
      </c>
      <c r="O4743">
        <v>6.19996E-3</v>
      </c>
      <c r="P4743">
        <v>0.98405180000000003</v>
      </c>
      <c r="Q4743">
        <v>0.17175989999999999</v>
      </c>
      <c r="R4743">
        <v>4.6268869999999997E-2</v>
      </c>
      <c r="S4743">
        <v>3.1095890000000002</v>
      </c>
      <c r="T4743">
        <v>-0.2050556</v>
      </c>
      <c r="U4743">
        <v>-0.33978269999999999</v>
      </c>
      <c r="V4743">
        <v>-4.0204480000000001E-2</v>
      </c>
      <c r="W4743">
        <v>0.1852318</v>
      </c>
      <c r="X4743">
        <v>0.98187210000000003</v>
      </c>
      <c r="Y4743">
        <v>0.1145254</v>
      </c>
      <c r="Z4743">
        <v>-4.1680850000000002E-3</v>
      </c>
      <c r="AA4743">
        <v>0.99341159999999995</v>
      </c>
      <c r="AB4743">
        <v>23</v>
      </c>
      <c r="AC4743">
        <v>0.68810000000001903</v>
      </c>
      <c r="AD4743">
        <v>-6.0001000000000103E-2</v>
      </c>
      <c r="AE4743">
        <v>-0.101089999999999</v>
      </c>
      <c r="AF4743">
        <v>0.104576302351179</v>
      </c>
      <c r="AG4743">
        <v>-6.0001000000000103E-2</v>
      </c>
      <c r="AH4743">
        <v>0.68238108878789205</v>
      </c>
      <c r="AI4743">
        <v>94.967331501286793</v>
      </c>
      <c r="AJ4743">
        <v>81.287093169875007</v>
      </c>
      <c r="AK4743">
        <v>0.692950411898134</v>
      </c>
      <c r="AL4743">
        <v>79.325353080974494</v>
      </c>
      <c r="AM4743">
        <v>92.344766605527298</v>
      </c>
      <c r="AN4743">
        <v>1.0000000203508601</v>
      </c>
    </row>
    <row r="4744" spans="1:40" x14ac:dyDescent="0.25">
      <c r="A4744" t="str">
        <f>"20190312172801615"</f>
        <v>20190312172801615</v>
      </c>
      <c r="B4744" t="str">
        <f>"1552382881604271"</f>
        <v>1552382881604271</v>
      </c>
      <c r="C4744" t="s">
        <v>40</v>
      </c>
      <c r="D4744">
        <v>3.5961759999999998</v>
      </c>
      <c r="E4744">
        <v>0.56068419999999997</v>
      </c>
      <c r="F4744" t="s">
        <v>44</v>
      </c>
      <c r="G4744">
        <v>-350.64060000000001</v>
      </c>
      <c r="H4744">
        <v>1.0490029999999999</v>
      </c>
      <c r="I4744">
        <v>15.853619999999999</v>
      </c>
      <c r="J4744">
        <v>-351.30279999999999</v>
      </c>
      <c r="K4744">
        <v>1.110347</v>
      </c>
      <c r="L4744">
        <v>15.960240000000001</v>
      </c>
      <c r="M4744">
        <v>0.99988560000000004</v>
      </c>
      <c r="N4744">
        <v>0</v>
      </c>
      <c r="O4744">
        <v>6.4100160000000002E-3</v>
      </c>
      <c r="P4744">
        <v>0.98462209999999994</v>
      </c>
      <c r="Q4744">
        <v>0.17130419999999999</v>
      </c>
      <c r="R4744">
        <v>3.4271450000000002E-2</v>
      </c>
      <c r="S4744">
        <v>3.1029360000000001</v>
      </c>
      <c r="T4744">
        <v>-0.21299119999999999</v>
      </c>
      <c r="U4744">
        <v>-0.36465449999999999</v>
      </c>
      <c r="V4744">
        <v>-2.8015180000000001E-2</v>
      </c>
      <c r="W4744">
        <v>0.18478049999999999</v>
      </c>
      <c r="X4744">
        <v>0.98238040000000004</v>
      </c>
      <c r="Y4744">
        <v>0.1227805</v>
      </c>
      <c r="Z4744">
        <v>-4.6326630000000004E-3</v>
      </c>
      <c r="AA4744">
        <v>0.9924231</v>
      </c>
      <c r="AB4744">
        <v>23</v>
      </c>
      <c r="AC4744">
        <v>0.66219999999998402</v>
      </c>
      <c r="AD4744">
        <v>-6.1343999999999801E-2</v>
      </c>
      <c r="AE4744">
        <v>-0.10661999999999699</v>
      </c>
      <c r="AF4744">
        <v>0.10994327690156599</v>
      </c>
      <c r="AG4744">
        <v>-6.1343999999999801E-2</v>
      </c>
      <c r="AH4744">
        <v>0.65601551555395299</v>
      </c>
      <c r="AI4744">
        <v>95.269129635560702</v>
      </c>
      <c r="AJ4744">
        <v>80.486073183937407</v>
      </c>
      <c r="AK4744">
        <v>0.66798725071618903</v>
      </c>
      <c r="AL4744">
        <v>79.351664301125297</v>
      </c>
      <c r="AM4744">
        <v>91.633498240875198</v>
      </c>
      <c r="AN4744">
        <v>0.99999996689741999</v>
      </c>
    </row>
    <row r="4745" spans="1:40" x14ac:dyDescent="0.25">
      <c r="A4745" t="str">
        <f>"20190312172801639"</f>
        <v>20190312172801639</v>
      </c>
      <c r="B4745" t="str">
        <f>"1552382881634527"</f>
        <v>1552382881634527</v>
      </c>
      <c r="C4745" t="s">
        <v>40</v>
      </c>
      <c r="D4745">
        <v>3.6348389999999999</v>
      </c>
      <c r="E4745">
        <v>0.5386843</v>
      </c>
      <c r="F4745" t="s">
        <v>41</v>
      </c>
      <c r="G4745">
        <v>-335.19690000000003</v>
      </c>
      <c r="H4745" s="1">
        <v>-3.122602E-6</v>
      </c>
      <c r="I4745">
        <v>13.97113</v>
      </c>
      <c r="J4745">
        <v>-351.06950000000001</v>
      </c>
      <c r="K4745">
        <v>1.110412</v>
      </c>
      <c r="L4745">
        <v>15.962009999999999</v>
      </c>
      <c r="M4745">
        <v>0.99988370000000004</v>
      </c>
      <c r="N4745">
        <v>0</v>
      </c>
      <c r="O4745">
        <v>6.6894700000000003E-3</v>
      </c>
      <c r="P4745">
        <v>0.98418530000000004</v>
      </c>
      <c r="Q4745">
        <v>0.175753399999999</v>
      </c>
      <c r="R4745">
        <v>2.2146019999999999E-2</v>
      </c>
      <c r="S4745">
        <v>3.097321</v>
      </c>
      <c r="T4745">
        <v>-0.21353069999999999</v>
      </c>
      <c r="U4745">
        <v>-0.38250729999999999</v>
      </c>
      <c r="V4745">
        <v>-1.5638280000000001E-2</v>
      </c>
      <c r="W4745">
        <v>0.18922259999999999</v>
      </c>
      <c r="X4745">
        <v>0.98180970000000001</v>
      </c>
      <c r="Y4745">
        <v>0.128885</v>
      </c>
      <c r="Z4745">
        <v>-4.879675E-3</v>
      </c>
      <c r="AA4745">
        <v>0.99164750000000002</v>
      </c>
      <c r="AB4745">
        <v>23</v>
      </c>
      <c r="AC4745">
        <v>15.872599999999901</v>
      </c>
      <c r="AD4745">
        <v>-1.110415122602</v>
      </c>
      <c r="AE4745">
        <v>-1.99088</v>
      </c>
      <c r="AF4745">
        <v>2.0869690245845098</v>
      </c>
      <c r="AG4745">
        <v>-1.110415122602</v>
      </c>
      <c r="AH4745">
        <v>15.7828787039441</v>
      </c>
      <c r="AI4745">
        <v>93.989836006017995</v>
      </c>
      <c r="AJ4745">
        <v>82.467481376127793</v>
      </c>
      <c r="AK4745">
        <v>15.958938612498301</v>
      </c>
      <c r="AL4745">
        <v>79.092580685779794</v>
      </c>
      <c r="AM4745">
        <v>90.912530892201701</v>
      </c>
      <c r="AN4745">
        <v>1.0000000175831001</v>
      </c>
    </row>
    <row r="4746" spans="1:40" x14ac:dyDescent="0.25">
      <c r="A4746" t="str">
        <f>"20190312172801661"</f>
        <v>20190312172801661</v>
      </c>
      <c r="B4746" t="str">
        <f>"1552382881654048"</f>
        <v>1552382881654048</v>
      </c>
      <c r="C4746" t="s">
        <v>40</v>
      </c>
      <c r="D4746">
        <v>3.5897269999999999</v>
      </c>
      <c r="E4746">
        <v>0.5361918</v>
      </c>
      <c r="F4746" t="s">
        <v>41</v>
      </c>
      <c r="G4746">
        <v>-330.58949999999999</v>
      </c>
      <c r="H4746" s="1">
        <v>-4.9545900000000001E-6</v>
      </c>
      <c r="I4746">
        <v>14.344060000000001</v>
      </c>
      <c r="J4746">
        <v>-350.84019999999998</v>
      </c>
      <c r="K4746">
        <v>1.1104750000000001</v>
      </c>
      <c r="L4746">
        <v>15.963839999999999</v>
      </c>
      <c r="M4746">
        <v>0.99988149999999998</v>
      </c>
      <c r="N4746">
        <v>0</v>
      </c>
      <c r="O4746">
        <v>7.0359239999999998E-3</v>
      </c>
      <c r="P4746">
        <v>0.9836568</v>
      </c>
      <c r="Q4746">
        <v>0.17974989999999999</v>
      </c>
      <c r="R4746">
        <v>1.0475160000000001E-2</v>
      </c>
      <c r="S4746">
        <v>3.0835569999999999</v>
      </c>
      <c r="T4746">
        <v>-0.16718859999999999</v>
      </c>
      <c r="U4746">
        <v>-0.24359130000000001</v>
      </c>
      <c r="V4746">
        <v>-3.6518729999999999E-3</v>
      </c>
      <c r="W4746">
        <v>0.1932131</v>
      </c>
      <c r="X4746">
        <v>0.98114999999999997</v>
      </c>
      <c r="Y4746">
        <v>8.562902E-2</v>
      </c>
      <c r="Z4746">
        <v>-2.6967459999999999E-3</v>
      </c>
      <c r="AA4746">
        <v>0.99632350000000003</v>
      </c>
      <c r="AB4746">
        <v>23</v>
      </c>
      <c r="AC4746">
        <v>20.250699999999899</v>
      </c>
      <c r="AD4746">
        <v>-1.1104799545899999</v>
      </c>
      <c r="AE4746">
        <v>-1.61977999999999</v>
      </c>
      <c r="AF4746">
        <v>1.7569858773981899</v>
      </c>
      <c r="AG4746">
        <v>-1.1104799545899999</v>
      </c>
      <c r="AH4746">
        <v>20.178508787887001</v>
      </c>
      <c r="AI4746">
        <v>93.138120467306294</v>
      </c>
      <c r="AJ4746">
        <v>85.023684796031901</v>
      </c>
      <c r="AK4746">
        <v>20.285275004439999</v>
      </c>
      <c r="AL4746">
        <v>78.859643040474793</v>
      </c>
      <c r="AM4746">
        <v>90.213255816136495</v>
      </c>
      <c r="AN4746">
        <v>0.99999998034400805</v>
      </c>
    </row>
    <row r="4747" spans="1:40" x14ac:dyDescent="0.25">
      <c r="A4747" t="str">
        <f>"20190312172801682"</f>
        <v>20190312172801682</v>
      </c>
      <c r="B4747" t="str">
        <f>"1552382881674547"</f>
        <v>1552382881674547</v>
      </c>
      <c r="C4747" t="s">
        <v>40</v>
      </c>
      <c r="D4747">
        <v>3.56359</v>
      </c>
      <c r="E4747">
        <v>0.53437349999999995</v>
      </c>
      <c r="F4747" t="s">
        <v>41</v>
      </c>
      <c r="G4747">
        <v>-329.10849999999999</v>
      </c>
      <c r="H4747" s="1">
        <v>-1.78387E-6</v>
      </c>
      <c r="I4747">
        <v>14.1393</v>
      </c>
      <c r="J4747">
        <v>-350.62599999999998</v>
      </c>
      <c r="K4747">
        <v>1.1105309999999999</v>
      </c>
      <c r="L4747">
        <v>15.965730000000001</v>
      </c>
      <c r="M4747">
        <v>0.9998785</v>
      </c>
      <c r="N4747">
        <v>0</v>
      </c>
      <c r="O4747">
        <v>7.4250949999999996E-3</v>
      </c>
      <c r="P4747">
        <v>0.98353860000000004</v>
      </c>
      <c r="Q4747">
        <v>0.1806951</v>
      </c>
      <c r="R4747">
        <v>8.8190100000000004E-4</v>
      </c>
      <c r="S4747">
        <v>3.081299</v>
      </c>
      <c r="T4747">
        <v>-0.15745219999999999</v>
      </c>
      <c r="U4747">
        <v>-0.25869750000000002</v>
      </c>
      <c r="V4747">
        <v>6.3027600000000001E-3</v>
      </c>
      <c r="W4747">
        <v>0.19415950000000001</v>
      </c>
      <c r="X4747">
        <v>0.98094979999999998</v>
      </c>
      <c r="Y4747">
        <v>9.0932970000000002E-2</v>
      </c>
      <c r="Z4747">
        <v>-2.6962900000000001E-3</v>
      </c>
      <c r="AA4747">
        <v>0.9958534</v>
      </c>
      <c r="AB4747">
        <v>23</v>
      </c>
      <c r="AC4747">
        <v>21.517499999999899</v>
      </c>
      <c r="AD4747">
        <v>-1.1105327838700001</v>
      </c>
      <c r="AE4747">
        <v>-1.82642999999999</v>
      </c>
      <c r="AF4747">
        <v>1.9809253612064699</v>
      </c>
      <c r="AG4747">
        <v>-1.1105327838700001</v>
      </c>
      <c r="AH4747">
        <v>21.446626113296901</v>
      </c>
      <c r="AI4747">
        <v>92.951657084151293</v>
      </c>
      <c r="AJ4747">
        <v>84.722827808543897</v>
      </c>
      <c r="AK4747">
        <v>21.566527768611</v>
      </c>
      <c r="AL4747">
        <v>78.804372718334307</v>
      </c>
      <c r="AM4747">
        <v>89.631870480985995</v>
      </c>
      <c r="AN4747">
        <v>1.0000000731719501</v>
      </c>
    </row>
    <row r="4748" spans="1:40" x14ac:dyDescent="0.25">
      <c r="A4748" t="str">
        <f>"20190312172801703"</f>
        <v>20190312172801703</v>
      </c>
      <c r="B4748" t="str">
        <f>"1552382881694066"</f>
        <v>1552382881694066</v>
      </c>
      <c r="C4748" t="s">
        <v>40</v>
      </c>
      <c r="D4748">
        <v>3.5817399999999999</v>
      </c>
      <c r="E4748">
        <v>0.53285780000000005</v>
      </c>
      <c r="F4748" t="s">
        <v>41</v>
      </c>
      <c r="G4748">
        <v>-329.23379999999997</v>
      </c>
      <c r="H4748" s="1">
        <v>-1.7548370000000001E-6</v>
      </c>
      <c r="I4748">
        <v>14.067539999999999</v>
      </c>
      <c r="J4748">
        <v>-350.4</v>
      </c>
      <c r="K4748">
        <v>1.110573</v>
      </c>
      <c r="L4748">
        <v>15.96786</v>
      </c>
      <c r="M4748">
        <v>0.99987499999999996</v>
      </c>
      <c r="N4748">
        <v>0</v>
      </c>
      <c r="O4748">
        <v>7.9009259999999904E-3</v>
      </c>
      <c r="P4748">
        <v>0.98373639999999996</v>
      </c>
      <c r="Q4748">
        <v>0.17946960000000001</v>
      </c>
      <c r="R4748">
        <v>-7.3053160000000001E-3</v>
      </c>
      <c r="S4748">
        <v>3.0798649999999999</v>
      </c>
      <c r="T4748">
        <v>-0.15988459999999999</v>
      </c>
      <c r="U4748">
        <v>-0.2732849</v>
      </c>
      <c r="V4748">
        <v>1.4938369999999999E-2</v>
      </c>
      <c r="W4748">
        <v>0.1929408</v>
      </c>
      <c r="X4748">
        <v>0.98109669999999904</v>
      </c>
      <c r="Y4748">
        <v>9.6114519999999995E-2</v>
      </c>
      <c r="Z4748">
        <v>-2.8973860000000001E-3</v>
      </c>
      <c r="AA4748">
        <v>0.99536599999999997</v>
      </c>
      <c r="AB4748">
        <v>23</v>
      </c>
      <c r="AC4748">
        <v>21.1662</v>
      </c>
      <c r="AD4748">
        <v>-1.110574754837</v>
      </c>
      <c r="AE4748">
        <v>-1.90032</v>
      </c>
      <c r="AF4748">
        <v>2.0618779321569698</v>
      </c>
      <c r="AG4748">
        <v>-1.110574754837</v>
      </c>
      <c r="AH4748">
        <v>21.092918569465201</v>
      </c>
      <c r="AI4748">
        <v>92.999657111603497</v>
      </c>
      <c r="AJ4748">
        <v>84.416952743859397</v>
      </c>
      <c r="AK4748">
        <v>21.222533559197998</v>
      </c>
      <c r="AL4748">
        <v>78.875544335633407</v>
      </c>
      <c r="AM4748">
        <v>89.127670677648993</v>
      </c>
      <c r="AN4748">
        <v>1.00000002097689</v>
      </c>
    </row>
    <row r="4749" spans="1:40" x14ac:dyDescent="0.25">
      <c r="A4749" t="str">
        <f>"20190312172801726"</f>
        <v>20190312172801726</v>
      </c>
      <c r="B4749" t="str">
        <f>"1552382881724319"</f>
        <v>1552382881724319</v>
      </c>
      <c r="C4749" t="s">
        <v>40</v>
      </c>
      <c r="D4749">
        <v>3.5302509999999998</v>
      </c>
      <c r="E4749">
        <v>0.52176359999999999</v>
      </c>
      <c r="F4749" t="s">
        <v>41</v>
      </c>
      <c r="G4749">
        <v>-329.94970000000001</v>
      </c>
      <c r="H4749" s="1">
        <v>-1.482486E-6</v>
      </c>
      <c r="I4749">
        <v>14.05782</v>
      </c>
      <c r="J4749">
        <v>-350.17340000000002</v>
      </c>
      <c r="K4749">
        <v>1.110603</v>
      </c>
      <c r="L4749">
        <v>15.97021</v>
      </c>
      <c r="M4749">
        <v>0.9998707</v>
      </c>
      <c r="N4749">
        <v>0</v>
      </c>
      <c r="O4749">
        <v>8.4451219999999994E-3</v>
      </c>
      <c r="P4749">
        <v>0.98442110000000005</v>
      </c>
      <c r="Q4749">
        <v>0.1753149</v>
      </c>
      <c r="R4749">
        <v>-1.34054E-2</v>
      </c>
      <c r="S4749">
        <v>3.0779109999999998</v>
      </c>
      <c r="T4749">
        <v>-0.1671493</v>
      </c>
      <c r="U4749">
        <v>-0.2874756</v>
      </c>
      <c r="V4749">
        <v>2.156108E-2</v>
      </c>
      <c r="W4749">
        <v>0.18879979999999999</v>
      </c>
      <c r="X4749">
        <v>0.98177890000000001</v>
      </c>
      <c r="Y4749">
        <v>0.1012406</v>
      </c>
      <c r="Z4749">
        <v>-3.1983879999999999E-3</v>
      </c>
      <c r="AA4749">
        <v>0.99485679999999999</v>
      </c>
      <c r="AB4749">
        <v>23</v>
      </c>
      <c r="AC4749">
        <v>20.223700000000001</v>
      </c>
      <c r="AD4749">
        <v>-1.110604482486</v>
      </c>
      <c r="AE4749">
        <v>-1.91238999999999</v>
      </c>
      <c r="AF4749">
        <v>2.0769214005807202</v>
      </c>
      <c r="AG4749">
        <v>-1.110604482486</v>
      </c>
      <c r="AH4749">
        <v>20.146607817867</v>
      </c>
      <c r="AI4749">
        <v>93.138699998251397</v>
      </c>
      <c r="AJ4749">
        <v>84.114148584472801</v>
      </c>
      <c r="AK4749">
        <v>20.283807615623999</v>
      </c>
      <c r="AL4749">
        <v>79.117250106306301</v>
      </c>
      <c r="AM4749">
        <v>88.741915985030403</v>
      </c>
      <c r="AN4749">
        <v>1.000000026568</v>
      </c>
    </row>
    <row r="4750" spans="1:40" x14ac:dyDescent="0.25">
      <c r="A4750" t="str">
        <f>"20190312172801748"</f>
        <v>20190312172801748</v>
      </c>
      <c r="B4750" t="str">
        <f>"1552382881743839"</f>
        <v>1552382881743839</v>
      </c>
      <c r="C4750" t="s">
        <v>40</v>
      </c>
      <c r="D4750">
        <v>3.5392830000000002</v>
      </c>
      <c r="E4750">
        <v>0.51956619999999998</v>
      </c>
      <c r="F4750" t="s">
        <v>41</v>
      </c>
      <c r="G4750">
        <v>-332.49200000000002</v>
      </c>
      <c r="H4750" s="1">
        <v>-4.072739E-6</v>
      </c>
      <c r="I4750">
        <v>14.71428</v>
      </c>
      <c r="J4750">
        <v>-349.95549999999997</v>
      </c>
      <c r="K4750">
        <v>1.110617</v>
      </c>
      <c r="L4750">
        <v>15.97269</v>
      </c>
      <c r="M4750">
        <v>0.99986540000000002</v>
      </c>
      <c r="N4750">
        <v>0</v>
      </c>
      <c r="O4750">
        <v>9.0345640000000001E-3</v>
      </c>
      <c r="P4750">
        <v>0.98529869999999997</v>
      </c>
      <c r="Q4750">
        <v>0.16993510000000001</v>
      </c>
      <c r="R4750">
        <v>-1.756982E-2</v>
      </c>
      <c r="S4750">
        <v>3.0789490000000002</v>
      </c>
      <c r="T4750">
        <v>-0.1933955</v>
      </c>
      <c r="U4750">
        <v>-0.21868899999999999</v>
      </c>
      <c r="V4750">
        <v>2.6298229999999999E-2</v>
      </c>
      <c r="W4750">
        <v>0.18343680000000001</v>
      </c>
      <c r="X4750">
        <v>0.98267969999999905</v>
      </c>
      <c r="Y4750">
        <v>7.9684480000000002E-2</v>
      </c>
      <c r="Z4750">
        <v>-3.0632820000000001E-3</v>
      </c>
      <c r="AA4750">
        <v>0.99681540000000002</v>
      </c>
      <c r="AB4750">
        <v>23</v>
      </c>
      <c r="AC4750">
        <v>17.4635</v>
      </c>
      <c r="AD4750">
        <v>-1.110621072739</v>
      </c>
      <c r="AE4750">
        <v>-1.25841</v>
      </c>
      <c r="AF4750">
        <v>1.4104732900644501</v>
      </c>
      <c r="AG4750">
        <v>-1.110621072739</v>
      </c>
      <c r="AH4750">
        <v>17.3814799289487</v>
      </c>
      <c r="AI4750">
        <v>93.644101054779199</v>
      </c>
      <c r="AJ4750">
        <v>85.360724330470603</v>
      </c>
      <c r="AK4750">
        <v>17.4739451352476</v>
      </c>
      <c r="AL4750">
        <v>79.429992201253597</v>
      </c>
      <c r="AM4750">
        <v>88.467030479545201</v>
      </c>
      <c r="AN4750">
        <v>1.0000000246437299</v>
      </c>
    </row>
    <row r="4751" spans="1:40" x14ac:dyDescent="0.25">
      <c r="A4751" t="str">
        <f>"20190312172801771"</f>
        <v>20190312172801771</v>
      </c>
      <c r="B4751" t="str">
        <f>"1552382881764335"</f>
        <v>1552382881764335</v>
      </c>
      <c r="C4751" t="s">
        <v>40</v>
      </c>
      <c r="D4751">
        <v>3.5556770000000002</v>
      </c>
      <c r="E4751">
        <v>0.51768740000000002</v>
      </c>
      <c r="F4751" t="s">
        <v>44</v>
      </c>
      <c r="G4751">
        <v>-349.02260000000001</v>
      </c>
      <c r="H4751">
        <v>1.0485120000000001</v>
      </c>
      <c r="I4751">
        <v>15.90765</v>
      </c>
      <c r="J4751">
        <v>-349.72480000000002</v>
      </c>
      <c r="K4751">
        <v>1.110638</v>
      </c>
      <c r="L4751">
        <v>15.975519999999999</v>
      </c>
      <c r="M4751">
        <v>0.99985889999999999</v>
      </c>
      <c r="N4751">
        <v>0</v>
      </c>
      <c r="O4751">
        <v>9.7312200000000005E-3</v>
      </c>
      <c r="P4751">
        <v>0.98598070000000004</v>
      </c>
      <c r="Q4751">
        <v>0.16547919999999999</v>
      </c>
      <c r="R4751">
        <v>-2.1422859999999998E-2</v>
      </c>
      <c r="S4751">
        <v>3.0762939999999999</v>
      </c>
      <c r="T4751">
        <v>-0.20487739999999999</v>
      </c>
      <c r="U4751">
        <v>-0.21386720000000001</v>
      </c>
      <c r="V4751">
        <v>3.0829289999999999E-2</v>
      </c>
      <c r="W4751">
        <v>0.1789955</v>
      </c>
      <c r="X4751">
        <v>0.98336670000000004</v>
      </c>
      <c r="Y4751">
        <v>7.8863710000000004E-2</v>
      </c>
      <c r="Z4751">
        <v>-3.266756E-3</v>
      </c>
      <c r="AA4751">
        <v>0.99688010000000005</v>
      </c>
      <c r="AB4751">
        <v>23</v>
      </c>
      <c r="AC4751">
        <v>0.70220000000000404</v>
      </c>
      <c r="AD4751">
        <v>-6.2125999999999897E-2</v>
      </c>
      <c r="AE4751">
        <v>-6.7870000000000902E-2</v>
      </c>
      <c r="AF4751">
        <v>7.4125836591509495E-2</v>
      </c>
      <c r="AG4751">
        <v>-6.2125999999999897E-2</v>
      </c>
      <c r="AH4751">
        <v>0.69610784615776</v>
      </c>
      <c r="AI4751">
        <v>95.071480760950905</v>
      </c>
      <c r="AJ4751">
        <v>83.921699174256901</v>
      </c>
      <c r="AK4751">
        <v>0.70279471612184696</v>
      </c>
      <c r="AL4751">
        <v>79.6887434872406</v>
      </c>
      <c r="AM4751">
        <v>88.2043221176082</v>
      </c>
      <c r="AN4751">
        <v>0.99999995040552003</v>
      </c>
    </row>
    <row r="4752" spans="1:40" x14ac:dyDescent="0.25">
      <c r="A4752" t="str">
        <f>"20190312172801793"</f>
        <v>20190312172801793</v>
      </c>
      <c r="B4752" t="str">
        <f>"1552382881783859"</f>
        <v>1552382881783859</v>
      </c>
      <c r="C4752" t="s">
        <v>40</v>
      </c>
      <c r="D4752">
        <v>3.5420579999999999</v>
      </c>
      <c r="E4752">
        <v>0.51026510000000003</v>
      </c>
      <c r="F4752" t="s">
        <v>44</v>
      </c>
      <c r="G4752">
        <v>-348.8227</v>
      </c>
      <c r="H4752">
        <v>1.0467489999999999</v>
      </c>
      <c r="I4752">
        <v>15.91351</v>
      </c>
      <c r="J4752">
        <v>-349.5009</v>
      </c>
      <c r="K4752">
        <v>1.110663</v>
      </c>
      <c r="L4752">
        <v>15.97852</v>
      </c>
      <c r="M4752">
        <v>0.99985159999999995</v>
      </c>
      <c r="N4752">
        <v>0</v>
      </c>
      <c r="O4752">
        <v>1.04592E-2</v>
      </c>
      <c r="P4752">
        <v>0.98621060000000005</v>
      </c>
      <c r="Q4752">
        <v>0.16350490000000001</v>
      </c>
      <c r="R4752">
        <v>-2.5588690000000001E-2</v>
      </c>
      <c r="S4752">
        <v>3.0747070000000001</v>
      </c>
      <c r="T4752">
        <v>-0.21778500000000001</v>
      </c>
      <c r="U4752">
        <v>-0.2106934</v>
      </c>
      <c r="V4752">
        <v>3.5702329999999997E-2</v>
      </c>
      <c r="W4752">
        <v>0.17702989999999999</v>
      </c>
      <c r="X4752">
        <v>0.98355769999999998</v>
      </c>
      <c r="Y4752">
        <v>7.8574279999999996E-2</v>
      </c>
      <c r="Z4752">
        <v>-3.5152009999999999E-3</v>
      </c>
      <c r="AA4752">
        <v>0.99690199999999995</v>
      </c>
      <c r="AB4752">
        <v>23</v>
      </c>
      <c r="AC4752">
        <v>0.67820000000000302</v>
      </c>
      <c r="AD4752">
        <v>-6.3913999999999999E-2</v>
      </c>
      <c r="AE4752">
        <v>-6.50100000000009E-2</v>
      </c>
      <c r="AF4752">
        <v>7.1471556706591596E-2</v>
      </c>
      <c r="AG4752">
        <v>-6.3913999999999999E-2</v>
      </c>
      <c r="AH4752">
        <v>0.67157274772287801</v>
      </c>
      <c r="AI4752">
        <v>95.406154433429293</v>
      </c>
      <c r="AJ4752">
        <v>83.925211240617401</v>
      </c>
      <c r="AK4752">
        <v>0.67838273732320098</v>
      </c>
      <c r="AL4752">
        <v>79.8031925136642</v>
      </c>
      <c r="AM4752">
        <v>87.921123394526902</v>
      </c>
      <c r="AN4752">
        <v>0.99999999554536401</v>
      </c>
    </row>
    <row r="4753" spans="1:40" x14ac:dyDescent="0.25">
      <c r="A4753" t="str">
        <f>"20190312172801816"</f>
        <v>20190312172801816</v>
      </c>
      <c r="B4753" t="str">
        <f>"1552382881804351"</f>
        <v>1552382881804351</v>
      </c>
      <c r="C4753" t="s">
        <v>40</v>
      </c>
      <c r="D4753">
        <v>3.5425409999999999</v>
      </c>
      <c r="E4753">
        <v>0.50903889999999996</v>
      </c>
      <c r="F4753" t="s">
        <v>44</v>
      </c>
      <c r="G4753">
        <v>-348.61790000000002</v>
      </c>
      <c r="H4753">
        <v>1.0509489999999999</v>
      </c>
      <c r="I4753">
        <v>15.930999999999999</v>
      </c>
      <c r="J4753">
        <v>-349.27159999999998</v>
      </c>
      <c r="K4753">
        <v>1.110689</v>
      </c>
      <c r="L4753">
        <v>15.981780000000001</v>
      </c>
      <c r="M4753">
        <v>0.99984309999999998</v>
      </c>
      <c r="N4753">
        <v>0</v>
      </c>
      <c r="O4753">
        <v>1.125282E-2</v>
      </c>
      <c r="P4753">
        <v>0.98619219999999996</v>
      </c>
      <c r="Q4753">
        <v>0.16323950000000001</v>
      </c>
      <c r="R4753">
        <v>-2.789643E-2</v>
      </c>
      <c r="S4753">
        <v>3.0721129999999999</v>
      </c>
      <c r="T4753">
        <v>-0.20781910000000001</v>
      </c>
      <c r="U4753">
        <v>-0.16479489999999999</v>
      </c>
      <c r="V4753">
        <v>3.8780759999999997E-2</v>
      </c>
      <c r="W4753">
        <v>0.1767676</v>
      </c>
      <c r="X4753">
        <v>0.98348829999999998</v>
      </c>
      <c r="Y4753">
        <v>6.4626569999999994E-2</v>
      </c>
      <c r="Z4753">
        <v>-2.9417599999999999E-3</v>
      </c>
      <c r="AA4753">
        <v>0.99790520000000005</v>
      </c>
      <c r="AB4753">
        <v>23</v>
      </c>
      <c r="AC4753">
        <v>0.65369999999995798</v>
      </c>
      <c r="AD4753">
        <v>-5.9740000000000099E-2</v>
      </c>
      <c r="AE4753">
        <v>-5.0779999999999603E-2</v>
      </c>
      <c r="AF4753">
        <v>5.7654815162976297E-2</v>
      </c>
      <c r="AG4753">
        <v>-5.9740000000000099E-2</v>
      </c>
      <c r="AH4753">
        <v>0.64771011531949796</v>
      </c>
      <c r="AI4753">
        <v>95.248993646705898</v>
      </c>
      <c r="AJ4753">
        <v>84.913319835177305</v>
      </c>
      <c r="AK4753">
        <v>0.65300944771011804</v>
      </c>
      <c r="AL4753">
        <v>79.818461892317501</v>
      </c>
      <c r="AM4753">
        <v>87.741891469116098</v>
      </c>
      <c r="AN4753">
        <v>0.99999998399641299</v>
      </c>
    </row>
    <row r="4754" spans="1:40" x14ac:dyDescent="0.25">
      <c r="A4754" t="str">
        <f>"20190312172801851"</f>
        <v>20190312172801851</v>
      </c>
      <c r="B4754" t="str">
        <f>"1552382881844367"</f>
        <v>1552382881844367</v>
      </c>
      <c r="C4754" t="s">
        <v>40</v>
      </c>
      <c r="D4754">
        <v>3.5345689999999998</v>
      </c>
      <c r="E4754">
        <v>0.50755539999999999</v>
      </c>
      <c r="F4754" t="s">
        <v>44</v>
      </c>
      <c r="G4754">
        <v>-348.4153</v>
      </c>
      <c r="H4754">
        <v>1.052751</v>
      </c>
      <c r="I4754">
        <v>15.936249999999999</v>
      </c>
      <c r="J4754">
        <v>-348.93099999999998</v>
      </c>
      <c r="K4754">
        <v>1.110722</v>
      </c>
      <c r="L4754">
        <v>15.98709</v>
      </c>
      <c r="M4754">
        <v>0.9998281</v>
      </c>
      <c r="N4754">
        <v>0</v>
      </c>
      <c r="O4754">
        <v>1.251009E-2</v>
      </c>
      <c r="P4754">
        <v>0.98632249999999999</v>
      </c>
      <c r="Q4754">
        <v>0.1619265</v>
      </c>
      <c r="R4754">
        <v>-3.0791510000000001E-2</v>
      </c>
      <c r="S4754">
        <v>3.0718380000000001</v>
      </c>
      <c r="T4754">
        <v>-0.20787820000000001</v>
      </c>
      <c r="U4754">
        <v>-0.16250609999999999</v>
      </c>
      <c r="V4754">
        <v>4.290455E-2</v>
      </c>
      <c r="W4754">
        <v>0.1754608</v>
      </c>
      <c r="X4754">
        <v>0.98355110000000001</v>
      </c>
      <c r="Y4754">
        <v>6.514056E-2</v>
      </c>
      <c r="Z4754">
        <v>-3.0452169999999998E-3</v>
      </c>
      <c r="AA4754">
        <v>0.99787150000000002</v>
      </c>
      <c r="AB4754">
        <v>23</v>
      </c>
      <c r="AC4754">
        <v>0.51569999999998095</v>
      </c>
      <c r="AD4754">
        <v>-5.7971000000000002E-2</v>
      </c>
      <c r="AE4754">
        <v>-5.0840000000000801E-2</v>
      </c>
      <c r="AF4754">
        <v>5.6579986400024901E-2</v>
      </c>
      <c r="AG4754">
        <v>-5.7971000000000002E-2</v>
      </c>
      <c r="AH4754">
        <v>0.50865777104658105</v>
      </c>
      <c r="AI4754">
        <v>96.4623483992264</v>
      </c>
      <c r="AJ4754">
        <v>83.652858996668996</v>
      </c>
      <c r="AK4754">
        <v>0.51506762638327697</v>
      </c>
      <c r="AL4754">
        <v>79.8945253737987</v>
      </c>
      <c r="AM4754">
        <v>87.502222143614702</v>
      </c>
      <c r="AN4754">
        <v>1.0000000295292699</v>
      </c>
    </row>
    <row r="4755" spans="1:40" x14ac:dyDescent="0.25">
      <c r="A4755" t="str">
        <f>"20190312172801871"</f>
        <v>20190312172801871</v>
      </c>
      <c r="B4755" t="str">
        <f>"1552382881863891"</f>
        <v>1552382881863891</v>
      </c>
      <c r="C4755" t="s">
        <v>40</v>
      </c>
      <c r="D4755">
        <v>3.555037</v>
      </c>
      <c r="E4755">
        <v>0.50641999999999998</v>
      </c>
      <c r="F4755" t="s">
        <v>44</v>
      </c>
      <c r="G4755">
        <v>-348.01769999999999</v>
      </c>
      <c r="H4755">
        <v>1.0486</v>
      </c>
      <c r="I4755">
        <v>15.939590000000001</v>
      </c>
      <c r="J4755">
        <v>-348.71480000000003</v>
      </c>
      <c r="K4755">
        <v>1.1107340000000001</v>
      </c>
      <c r="L4755">
        <v>15.99075</v>
      </c>
      <c r="M4755">
        <v>0.99981730000000002</v>
      </c>
      <c r="N4755">
        <v>0</v>
      </c>
      <c r="O4755">
        <v>1.33493E-2</v>
      </c>
      <c r="P4755">
        <v>0.98634250000000001</v>
      </c>
      <c r="Q4755">
        <v>0.16140399999999999</v>
      </c>
      <c r="R4755">
        <v>-3.2821570000000001E-2</v>
      </c>
      <c r="S4755">
        <v>3.0709230000000001</v>
      </c>
      <c r="T4755">
        <v>-0.20894219999999999</v>
      </c>
      <c r="U4755">
        <v>-0.15942379999999901</v>
      </c>
      <c r="V4755">
        <v>4.5755959999999998E-2</v>
      </c>
      <c r="W4755">
        <v>0.17494109999999999</v>
      </c>
      <c r="X4755">
        <v>0.98351509999999998</v>
      </c>
      <c r="Y4755">
        <v>6.4991480000000004E-2</v>
      </c>
      <c r="Z4755">
        <v>-3.1136979999999998E-3</v>
      </c>
      <c r="AA4755">
        <v>0.99788089999999996</v>
      </c>
      <c r="AB4755">
        <v>22</v>
      </c>
      <c r="AC4755">
        <v>0.69710000000003403</v>
      </c>
      <c r="AD4755">
        <v>-6.2134000000000099E-2</v>
      </c>
      <c r="AE4755">
        <v>-5.1160000000001198E-2</v>
      </c>
      <c r="AF4755">
        <v>5.9988084203044197E-2</v>
      </c>
      <c r="AG4755">
        <v>-6.2134000000000099E-2</v>
      </c>
      <c r="AH4755">
        <v>0.69089542082356803</v>
      </c>
      <c r="AI4755">
        <v>95.119772629854296</v>
      </c>
      <c r="AJ4755">
        <v>85.037648786027304</v>
      </c>
      <c r="AK4755">
        <v>0.69627271001908897</v>
      </c>
      <c r="AL4755">
        <v>79.9247692255705</v>
      </c>
      <c r="AM4755">
        <v>87.336355636435101</v>
      </c>
      <c r="AN4755">
        <v>0.99999997413636998</v>
      </c>
    </row>
    <row r="4756" spans="1:40" x14ac:dyDescent="0.25">
      <c r="A4756" t="str">
        <f>"20190312172801894"</f>
        <v>20190312172801894</v>
      </c>
      <c r="B4756" t="str">
        <f>"1552382881884383"</f>
        <v>1552382881884383</v>
      </c>
      <c r="C4756" t="s">
        <v>40</v>
      </c>
      <c r="D4756">
        <v>3.5390730000000001</v>
      </c>
      <c r="E4756">
        <v>0.50533260000000002</v>
      </c>
      <c r="F4756" t="s">
        <v>44</v>
      </c>
      <c r="G4756">
        <v>-347.81830000000002</v>
      </c>
      <c r="H4756">
        <v>1.047806</v>
      </c>
      <c r="I4756">
        <v>15.944789999999999</v>
      </c>
      <c r="J4756">
        <v>-348.48809999999997</v>
      </c>
      <c r="K4756">
        <v>1.110743</v>
      </c>
      <c r="L4756">
        <v>15.994809999999999</v>
      </c>
      <c r="M4756">
        <v>0.9998049</v>
      </c>
      <c r="N4756">
        <v>0</v>
      </c>
      <c r="O4756">
        <v>1.424948E-2</v>
      </c>
      <c r="P4756">
        <v>0.98630510000000005</v>
      </c>
      <c r="Q4756">
        <v>0.16116800000000001</v>
      </c>
      <c r="R4756">
        <v>-3.5032340000000002E-2</v>
      </c>
      <c r="S4756">
        <v>3.0715940000000002</v>
      </c>
      <c r="T4756">
        <v>-0.21566769999999999</v>
      </c>
      <c r="U4756">
        <v>-0.15698239999999999</v>
      </c>
      <c r="V4756">
        <v>4.8848860000000001E-2</v>
      </c>
      <c r="W4756">
        <v>0.17470729999999901</v>
      </c>
      <c r="X4756">
        <v>0.9834079</v>
      </c>
      <c r="Y4756">
        <v>6.5073430000000002E-2</v>
      </c>
      <c r="Z4756">
        <v>-3.279016E-3</v>
      </c>
      <c r="AA4756">
        <v>0.99787510000000001</v>
      </c>
      <c r="AB4756">
        <v>22</v>
      </c>
      <c r="AC4756">
        <v>0.66979999999995199</v>
      </c>
      <c r="AD4756">
        <v>-6.2937000000000007E-2</v>
      </c>
      <c r="AE4756">
        <v>-5.0020000000001702E-2</v>
      </c>
      <c r="AF4756">
        <v>5.9041714802443197E-2</v>
      </c>
      <c r="AG4756">
        <v>-6.2937000000000007E-2</v>
      </c>
      <c r="AH4756">
        <v>0.66319613502823505</v>
      </c>
      <c r="AI4756">
        <v>95.399877786355802</v>
      </c>
      <c r="AJ4756">
        <v>84.912596586448899</v>
      </c>
      <c r="AK4756">
        <v>0.66878703902827097</v>
      </c>
      <c r="AL4756">
        <v>79.938374511723197</v>
      </c>
      <c r="AM4756">
        <v>87.156281786519799</v>
      </c>
      <c r="AN4756">
        <v>0.99999997478949898</v>
      </c>
    </row>
    <row r="4757" spans="1:40" x14ac:dyDescent="0.25">
      <c r="A4757" t="str">
        <f>"20190312172801916"</f>
        <v>20190312172801916</v>
      </c>
      <c r="B4757" t="str">
        <f>"1552382881903903"</f>
        <v>1552382881903903</v>
      </c>
      <c r="C4757" t="s">
        <v>40</v>
      </c>
      <c r="D4757">
        <v>3.5456840000000001</v>
      </c>
      <c r="E4757">
        <v>0.50446679999999999</v>
      </c>
      <c r="F4757" t="s">
        <v>44</v>
      </c>
      <c r="G4757">
        <v>-347.61610000000002</v>
      </c>
      <c r="H4757">
        <v>1.0503720000000001</v>
      </c>
      <c r="I4757">
        <v>15.95021</v>
      </c>
      <c r="J4757">
        <v>-348.26749999999998</v>
      </c>
      <c r="K4757">
        <v>1.110741</v>
      </c>
      <c r="L4757">
        <v>15.99896</v>
      </c>
      <c r="M4757">
        <v>0.99979189999999996</v>
      </c>
      <c r="N4757">
        <v>0</v>
      </c>
      <c r="O4757">
        <v>1.5137589999999999E-2</v>
      </c>
      <c r="P4757">
        <v>0.98624809999999996</v>
      </c>
      <c r="Q4757">
        <v>0.16076170000000001</v>
      </c>
      <c r="R4757">
        <v>-3.8347939999999997E-2</v>
      </c>
      <c r="S4757">
        <v>3.070862</v>
      </c>
      <c r="T4757">
        <v>-0.21270500000000001</v>
      </c>
      <c r="U4757">
        <v>-0.1560974</v>
      </c>
      <c r="V4757">
        <v>5.303691E-2</v>
      </c>
      <c r="W4757">
        <v>0.1743035</v>
      </c>
      <c r="X4757">
        <v>0.98326259999999999</v>
      </c>
      <c r="Y4757">
        <v>6.5686729999999999E-2</v>
      </c>
      <c r="Z4757">
        <v>-3.3174860000000001E-3</v>
      </c>
      <c r="AA4757">
        <v>0.99783480000000002</v>
      </c>
      <c r="AB4757">
        <v>22</v>
      </c>
      <c r="AC4757">
        <v>0.65139999999996601</v>
      </c>
      <c r="AD4757">
        <v>-6.0369000000000103E-2</v>
      </c>
      <c r="AE4757">
        <v>-4.8750000000000002E-2</v>
      </c>
      <c r="AF4757">
        <v>5.8109649114431998E-2</v>
      </c>
      <c r="AG4757">
        <v>-6.0369000000000103E-2</v>
      </c>
      <c r="AH4757">
        <v>0.64507773729296602</v>
      </c>
      <c r="AI4757">
        <v>95.3249637365669</v>
      </c>
      <c r="AJ4757">
        <v>84.8525964362303</v>
      </c>
      <c r="AK4757">
        <v>0.65049706735097301</v>
      </c>
      <c r="AL4757">
        <v>79.961871150064198</v>
      </c>
      <c r="AM4757">
        <v>86.912473716352594</v>
      </c>
      <c r="AN4757">
        <v>0.99999998224667896</v>
      </c>
    </row>
    <row r="4758" spans="1:40" x14ac:dyDescent="0.25">
      <c r="A4758" t="str">
        <f>"20190312172801938"</f>
        <v>20190312172801938</v>
      </c>
      <c r="B4758" t="str">
        <f>"1552382881934160"</f>
        <v>1552382881934160</v>
      </c>
      <c r="C4758" t="s">
        <v>40</v>
      </c>
      <c r="D4758">
        <v>3.5607600000000001</v>
      </c>
      <c r="E4758">
        <v>0.50313529999999995</v>
      </c>
      <c r="F4758" t="s">
        <v>44</v>
      </c>
      <c r="G4758">
        <v>-347.41460000000001</v>
      </c>
      <c r="H4758">
        <v>1.0524129999999901</v>
      </c>
      <c r="I4758">
        <v>15.95445</v>
      </c>
      <c r="J4758">
        <v>-348.0498</v>
      </c>
      <c r="K4758">
        <v>1.1107469999999999</v>
      </c>
      <c r="L4758">
        <v>16.003299999999999</v>
      </c>
      <c r="M4758">
        <v>0.9997781</v>
      </c>
      <c r="N4758">
        <v>0</v>
      </c>
      <c r="O4758">
        <v>1.6021090000000002E-2</v>
      </c>
      <c r="P4758">
        <v>0.98591019999999896</v>
      </c>
      <c r="Q4758">
        <v>0.16177929999999999</v>
      </c>
      <c r="R4758">
        <v>-4.2530600000000002E-2</v>
      </c>
      <c r="S4758">
        <v>3.0698240000000001</v>
      </c>
      <c r="T4758">
        <v>-0.20997579999999999</v>
      </c>
      <c r="U4758">
        <v>-0.16003419999999999</v>
      </c>
      <c r="V4758">
        <v>5.8082790000000002E-2</v>
      </c>
      <c r="W4758">
        <v>0.17531949999999999</v>
      </c>
      <c r="X4758">
        <v>0.98279669999999997</v>
      </c>
      <c r="Y4758">
        <v>6.7859349999999999E-2</v>
      </c>
      <c r="Z4758">
        <v>-3.4105170000000001E-3</v>
      </c>
      <c r="AA4758">
        <v>0.9976891</v>
      </c>
      <c r="AB4758">
        <v>22</v>
      </c>
      <c r="AC4758">
        <v>0.63519999999999699</v>
      </c>
      <c r="AD4758">
        <v>-5.8334000000000101E-2</v>
      </c>
      <c r="AE4758">
        <v>-4.8849999999999803E-2</v>
      </c>
      <c r="AF4758">
        <v>5.8530545842089797E-2</v>
      </c>
      <c r="AG4758">
        <v>-5.8334000000000101E-2</v>
      </c>
      <c r="AH4758">
        <v>0.62906157914101601</v>
      </c>
      <c r="AI4758">
        <v>95.275331886483201</v>
      </c>
      <c r="AJ4758">
        <v>84.684263308160993</v>
      </c>
      <c r="AK4758">
        <v>0.63446603589472095</v>
      </c>
      <c r="AL4758">
        <v>79.902747880684402</v>
      </c>
      <c r="AM4758">
        <v>86.617782373368101</v>
      </c>
      <c r="AN4758">
        <v>0.99999994555266003</v>
      </c>
    </row>
    <row r="4759" spans="1:40" x14ac:dyDescent="0.25">
      <c r="A4759" t="str">
        <f>"20190312172801961"</f>
        <v>20190312172801961</v>
      </c>
      <c r="B4759" t="str">
        <f>"1552382881954656"</f>
        <v>1552382881954656</v>
      </c>
      <c r="C4759" t="s">
        <v>40</v>
      </c>
      <c r="D4759">
        <v>3.5420500000000001</v>
      </c>
      <c r="E4759">
        <v>0.50243859999999996</v>
      </c>
      <c r="F4759" t="s">
        <v>41</v>
      </c>
      <c r="G4759">
        <v>-331.28949999999998</v>
      </c>
      <c r="H4759" s="1">
        <v>-4.5168060000000003E-6</v>
      </c>
      <c r="I4759">
        <v>15.11914</v>
      </c>
      <c r="J4759">
        <v>-347.82380000000001</v>
      </c>
      <c r="K4759">
        <v>1.110741</v>
      </c>
      <c r="L4759">
        <v>16.00797</v>
      </c>
      <c r="M4759">
        <v>0.99976299999999996</v>
      </c>
      <c r="N4759">
        <v>0</v>
      </c>
      <c r="O4759">
        <v>1.6940690000000001E-2</v>
      </c>
      <c r="P4759">
        <v>0.98567400000000005</v>
      </c>
      <c r="Q4759">
        <v>0.162212</v>
      </c>
      <c r="R4759">
        <v>-4.6196290000000001E-2</v>
      </c>
      <c r="S4759">
        <v>3.0692439999999999</v>
      </c>
      <c r="T4759">
        <v>-0.20340659999999999</v>
      </c>
      <c r="U4759">
        <v>-0.16189579999999901</v>
      </c>
      <c r="V4759">
        <v>6.2651719999999994E-2</v>
      </c>
      <c r="W4759">
        <v>0.17575089999999999</v>
      </c>
      <c r="X4759">
        <v>0.98243899999999995</v>
      </c>
      <c r="Y4759">
        <v>6.9396810000000003E-2</v>
      </c>
      <c r="Z4759">
        <v>-3.4163259999999999E-3</v>
      </c>
      <c r="AA4759">
        <v>0.99758329999999995</v>
      </c>
      <c r="AB4759">
        <v>22</v>
      </c>
      <c r="AC4759">
        <v>16.534300000000002</v>
      </c>
      <c r="AD4759">
        <v>-1.1107455168060001</v>
      </c>
      <c r="AE4759">
        <v>-0.88883000000000001</v>
      </c>
      <c r="AF4759">
        <v>1.1635949851141101</v>
      </c>
      <c r="AG4759">
        <v>-1.1107455168060001</v>
      </c>
      <c r="AH4759">
        <v>16.442876475170401</v>
      </c>
      <c r="AI4759">
        <v>93.854949317282305</v>
      </c>
      <c r="AJ4759">
        <v>85.952160423724607</v>
      </c>
      <c r="AK4759">
        <v>16.521376930213801</v>
      </c>
      <c r="AL4759">
        <v>79.877641229163302</v>
      </c>
      <c r="AM4759">
        <v>86.351096827960404</v>
      </c>
      <c r="AN4759">
        <v>1.0000000027953799</v>
      </c>
    </row>
    <row r="4760" spans="1:40" x14ac:dyDescent="0.25">
      <c r="A4760" t="str">
        <f>"20190312172801983"</f>
        <v>20190312172801983</v>
      </c>
      <c r="B4760" t="str">
        <f>"1552382881974178"</f>
        <v>1552382881974178</v>
      </c>
      <c r="C4760" t="s">
        <v>40</v>
      </c>
      <c r="D4760">
        <v>3.5787629999999999</v>
      </c>
      <c r="E4760">
        <v>0.5017334</v>
      </c>
      <c r="F4760" t="s">
        <v>41</v>
      </c>
      <c r="G4760">
        <v>-330.83780000000002</v>
      </c>
      <c r="H4760" s="1">
        <v>-4.7173929999999999E-6</v>
      </c>
      <c r="I4760">
        <v>15.080690000000001</v>
      </c>
      <c r="J4760">
        <v>-347.60149999999999</v>
      </c>
      <c r="K4760">
        <v>1.1107389999999999</v>
      </c>
      <c r="L4760">
        <v>16.012789999999999</v>
      </c>
      <c r="M4760">
        <v>0.99974730000000001</v>
      </c>
      <c r="N4760">
        <v>0</v>
      </c>
      <c r="O4760">
        <v>1.7843439999999999E-2</v>
      </c>
      <c r="P4760">
        <v>0.98555250000000005</v>
      </c>
      <c r="Q4760">
        <v>0.16164719999999999</v>
      </c>
      <c r="R4760">
        <v>-5.0560670000000002E-2</v>
      </c>
      <c r="S4760">
        <v>3.068756</v>
      </c>
      <c r="T4760">
        <v>-0.20067099999999999</v>
      </c>
      <c r="U4760">
        <v>-0.16751099999999999</v>
      </c>
      <c r="V4760">
        <v>6.7906449999999993E-2</v>
      </c>
      <c r="W4760">
        <v>0.17518610000000001</v>
      </c>
      <c r="X4760">
        <v>0.98219069999999997</v>
      </c>
      <c r="Y4760">
        <v>7.2123099999999996E-2</v>
      </c>
      <c r="Z4760">
        <v>-3.5187679999999998E-3</v>
      </c>
      <c r="AA4760">
        <v>0.99738959999999999</v>
      </c>
      <c r="AB4760">
        <v>22</v>
      </c>
      <c r="AC4760">
        <v>16.763699999999901</v>
      </c>
      <c r="AD4760">
        <v>-1.1107437173929999</v>
      </c>
      <c r="AE4760">
        <v>-0.93210000000000004</v>
      </c>
      <c r="AF4760">
        <v>1.2257369245912799</v>
      </c>
      <c r="AG4760">
        <v>-1.1107437173929999</v>
      </c>
      <c r="AH4760">
        <v>16.671431227281001</v>
      </c>
      <c r="AI4760">
        <v>93.801500201591594</v>
      </c>
      <c r="AJ4760">
        <v>85.794997155914999</v>
      </c>
      <c r="AK4760">
        <v>16.7532922668947</v>
      </c>
      <c r="AL4760">
        <v>79.910511980213599</v>
      </c>
      <c r="AM4760">
        <v>86.044992684711303</v>
      </c>
      <c r="AN4760">
        <v>1.0000000133756499</v>
      </c>
    </row>
    <row r="4761" spans="1:40" x14ac:dyDescent="0.25">
      <c r="A4761" t="str">
        <f>"20190312172802017"</f>
        <v>20190312172802017</v>
      </c>
      <c r="B4761" t="str">
        <f>"1552382882014191"</f>
        <v>1552382882014191</v>
      </c>
      <c r="C4761" t="s">
        <v>40</v>
      </c>
      <c r="D4761">
        <v>3.5531790000000001</v>
      </c>
      <c r="E4761">
        <v>0.5003126</v>
      </c>
      <c r="F4761" t="s">
        <v>41</v>
      </c>
      <c r="G4761">
        <v>-330.88310000000001</v>
      </c>
      <c r="H4761" s="1">
        <v>-4.7017119999999997E-6</v>
      </c>
      <c r="I4761">
        <v>15.059620000000001</v>
      </c>
      <c r="J4761">
        <v>-347.27370000000002</v>
      </c>
      <c r="K4761">
        <v>1.1107340000000001</v>
      </c>
      <c r="L4761">
        <v>16.020229999999898</v>
      </c>
      <c r="M4761">
        <v>0.99972280000000002</v>
      </c>
      <c r="N4761">
        <v>0</v>
      </c>
      <c r="O4761">
        <v>1.9165310000000001E-2</v>
      </c>
      <c r="P4761">
        <v>0.98527869999999995</v>
      </c>
      <c r="Q4761">
        <v>0.1606987</v>
      </c>
      <c r="R4761">
        <v>-5.8322539999999999E-2</v>
      </c>
      <c r="S4761">
        <v>3.068451</v>
      </c>
      <c r="T4761">
        <v>-0.20386199999999999</v>
      </c>
      <c r="U4761">
        <v>-0.17492679999999999</v>
      </c>
      <c r="V4761">
        <v>7.6969469999999998E-2</v>
      </c>
      <c r="W4761">
        <v>0.17423729999999901</v>
      </c>
      <c r="X4761">
        <v>0.98169090000000003</v>
      </c>
      <c r="Y4761">
        <v>7.583252E-2</v>
      </c>
      <c r="Z4761">
        <v>-3.7853850000000001E-3</v>
      </c>
      <c r="AA4761">
        <v>0.99711340000000004</v>
      </c>
      <c r="AB4761">
        <v>22</v>
      </c>
      <c r="AC4761">
        <v>16.390599999999999</v>
      </c>
      <c r="AD4761">
        <v>-1.1107387017120001</v>
      </c>
      <c r="AE4761">
        <v>-0.96060999999999697</v>
      </c>
      <c r="AF4761">
        <v>1.2687870806230199</v>
      </c>
      <c r="AG4761">
        <v>-1.1107387017120001</v>
      </c>
      <c r="AH4761">
        <v>16.294602623546002</v>
      </c>
      <c r="AI4761">
        <v>93.887862433416402</v>
      </c>
      <c r="AJ4761">
        <v>85.547620341135499</v>
      </c>
      <c r="AK4761">
        <v>16.3816249431706</v>
      </c>
      <c r="AL4761">
        <v>79.965723046499605</v>
      </c>
      <c r="AM4761">
        <v>85.516896081898807</v>
      </c>
      <c r="AN4761">
        <v>0.99999997958308995</v>
      </c>
    </row>
    <row r="4762" spans="1:40" x14ac:dyDescent="0.25">
      <c r="A4762" t="str">
        <f>"20190312172802040"</f>
        <v>20190312172802040</v>
      </c>
      <c r="B4762" t="str">
        <f>"1552382882034687"</f>
        <v>1552382882034687</v>
      </c>
      <c r="C4762" t="s">
        <v>40</v>
      </c>
      <c r="D4762">
        <v>3.5421619999999998</v>
      </c>
      <c r="E4762">
        <v>0.49962380000000001</v>
      </c>
      <c r="F4762" t="s">
        <v>44</v>
      </c>
      <c r="G4762">
        <v>-346.4196</v>
      </c>
      <c r="H4762">
        <v>1.052557</v>
      </c>
      <c r="I4762">
        <v>15.96773</v>
      </c>
      <c r="J4762">
        <v>-347.0378</v>
      </c>
      <c r="K4762">
        <v>1.1107229999999999</v>
      </c>
      <c r="L4762">
        <v>16.025879999999901</v>
      </c>
      <c r="M4762">
        <v>0.99970440000000005</v>
      </c>
      <c r="N4762">
        <v>0</v>
      </c>
      <c r="O4762">
        <v>2.0108480000000001E-2</v>
      </c>
      <c r="P4762">
        <v>0.98530580000000001</v>
      </c>
      <c r="Q4762">
        <v>0.1585714</v>
      </c>
      <c r="R4762">
        <v>-6.3465300000000002E-2</v>
      </c>
      <c r="S4762">
        <v>3.0678100000000001</v>
      </c>
      <c r="T4762">
        <v>-0.2091113</v>
      </c>
      <c r="U4762">
        <v>-0.1874084</v>
      </c>
      <c r="V4762">
        <v>8.3045740000000007E-2</v>
      </c>
      <c r="W4762">
        <v>0.17211219999999999</v>
      </c>
      <c r="X4762">
        <v>0.98157059999999996</v>
      </c>
      <c r="Y4762">
        <v>8.0802250000000006E-2</v>
      </c>
      <c r="Z4762">
        <v>-4.1161849999999996E-3</v>
      </c>
      <c r="AA4762">
        <v>0.99672159999999999</v>
      </c>
      <c r="AB4762">
        <v>22</v>
      </c>
      <c r="AC4762">
        <v>0.61820000000000097</v>
      </c>
      <c r="AD4762">
        <v>-5.8165999999999898E-2</v>
      </c>
      <c r="AE4762">
        <v>-5.8149999999997697E-2</v>
      </c>
      <c r="AF4762">
        <v>6.9956583714975901E-2</v>
      </c>
      <c r="AG4762">
        <v>-5.8165999999999898E-2</v>
      </c>
      <c r="AH4762">
        <v>0.61153921173517001</v>
      </c>
      <c r="AI4762">
        <v>95.398294876203593</v>
      </c>
      <c r="AJ4762">
        <v>83.474058543808098</v>
      </c>
      <c r="AK4762">
        <v>0.61826969410665999</v>
      </c>
      <c r="AL4762">
        <v>80.089350644749601</v>
      </c>
      <c r="AM4762">
        <v>85.164009673471199</v>
      </c>
      <c r="AN4762">
        <v>1.00000002355267</v>
      </c>
    </row>
    <row r="4763" spans="1:40" x14ac:dyDescent="0.25">
      <c r="A4763" t="str">
        <f>"20190312172802063"</f>
        <v>20190312172802063</v>
      </c>
      <c r="B4763" t="str">
        <f>"1552382882054207"</f>
        <v>1552382882054207</v>
      </c>
      <c r="C4763" t="s">
        <v>40</v>
      </c>
      <c r="D4763">
        <v>3.5771950000000001</v>
      </c>
      <c r="E4763">
        <v>0.49892180000000003</v>
      </c>
      <c r="F4763" t="s">
        <v>44</v>
      </c>
      <c r="G4763">
        <v>-346.21980000000002</v>
      </c>
      <c r="H4763">
        <v>1.053585</v>
      </c>
      <c r="I4763">
        <v>15.97301</v>
      </c>
      <c r="J4763">
        <v>-346.81029999999998</v>
      </c>
      <c r="K4763">
        <v>1.1107089999999999</v>
      </c>
      <c r="L4763">
        <v>16.03152</v>
      </c>
      <c r="M4763">
        <v>0.99968590000000002</v>
      </c>
      <c r="N4763">
        <v>0</v>
      </c>
      <c r="O4763">
        <v>2.101364E-2</v>
      </c>
      <c r="P4763">
        <v>0.98529949999999999</v>
      </c>
      <c r="Q4763">
        <v>0.15673299999999901</v>
      </c>
      <c r="R4763">
        <v>-6.7967689999999997E-2</v>
      </c>
      <c r="S4763">
        <v>3.066589</v>
      </c>
      <c r="T4763">
        <v>-0.21428800000000001</v>
      </c>
      <c r="U4763">
        <v>-0.19735720000000001</v>
      </c>
      <c r="V4763">
        <v>8.8442740000000006E-2</v>
      </c>
      <c r="W4763">
        <v>0.170274799999999</v>
      </c>
      <c r="X4763">
        <v>0.98141959999999995</v>
      </c>
      <c r="Y4763">
        <v>8.4925029999999999E-2</v>
      </c>
      <c r="Z4763">
        <v>-4.4259440000000002E-3</v>
      </c>
      <c r="AA4763">
        <v>0.99637750000000003</v>
      </c>
      <c r="AB4763">
        <v>22</v>
      </c>
      <c r="AC4763">
        <v>0.59049999999996305</v>
      </c>
      <c r="AD4763">
        <v>-5.7123999999999897E-2</v>
      </c>
      <c r="AE4763">
        <v>-5.851E-2</v>
      </c>
      <c r="AF4763">
        <v>7.0255707412453197E-2</v>
      </c>
      <c r="AG4763">
        <v>-5.7123999999999897E-2</v>
      </c>
      <c r="AH4763">
        <v>0.58373034597055895</v>
      </c>
      <c r="AI4763">
        <v>95.549386930567195</v>
      </c>
      <c r="AJ4763">
        <v>83.1370947370973</v>
      </c>
      <c r="AK4763">
        <v>0.59071154771760903</v>
      </c>
      <c r="AL4763">
        <v>80.196203394175996</v>
      </c>
      <c r="AM4763">
        <v>84.850577087185997</v>
      </c>
      <c r="AN4763">
        <v>1.0000000285189501</v>
      </c>
    </row>
    <row r="4764" spans="1:40" x14ac:dyDescent="0.25">
      <c r="A4764" t="str">
        <f>"20190312172802083"</f>
        <v>20190312172802083</v>
      </c>
      <c r="B4764" t="str">
        <f>"1552382882074707"</f>
        <v>1552382882074707</v>
      </c>
      <c r="C4764" t="s">
        <v>40</v>
      </c>
      <c r="D4764">
        <v>3.569089</v>
      </c>
      <c r="E4764">
        <v>0.49824740000000001</v>
      </c>
      <c r="F4764" t="s">
        <v>44</v>
      </c>
      <c r="G4764">
        <v>-346.01400000000001</v>
      </c>
      <c r="H4764">
        <v>1.053855</v>
      </c>
      <c r="I4764">
        <v>15.978149999999999</v>
      </c>
      <c r="J4764">
        <v>-346.60980000000001</v>
      </c>
      <c r="K4764">
        <v>1.1106929999999999</v>
      </c>
      <c r="L4764">
        <v>16.036619999999999</v>
      </c>
      <c r="M4764">
        <v>0.99966880000000002</v>
      </c>
      <c r="N4764">
        <v>0</v>
      </c>
      <c r="O4764">
        <v>2.180903E-2</v>
      </c>
      <c r="P4764">
        <v>0.9852341</v>
      </c>
      <c r="Q4764">
        <v>0.1549701</v>
      </c>
      <c r="R4764">
        <v>-7.2790590000000002E-2</v>
      </c>
      <c r="S4764">
        <v>3.0655209999999999</v>
      </c>
      <c r="T4764">
        <v>-0.21896589999999999</v>
      </c>
      <c r="U4764">
        <v>-0.2043152</v>
      </c>
      <c r="V4764">
        <v>9.4049480000000005E-2</v>
      </c>
      <c r="W4764">
        <v>0.16851350000000001</v>
      </c>
      <c r="X4764">
        <v>0.98120229999999997</v>
      </c>
      <c r="Y4764">
        <v>8.7970290000000007E-2</v>
      </c>
      <c r="Z4764">
        <v>-4.6887600000000001E-3</v>
      </c>
      <c r="AA4764">
        <v>0.996112</v>
      </c>
      <c r="AB4764">
        <v>22</v>
      </c>
      <c r="AC4764">
        <v>0.595799999999997</v>
      </c>
      <c r="AD4764">
        <v>-5.6837999999999902E-2</v>
      </c>
      <c r="AE4764">
        <v>-5.8470000000003297E-2</v>
      </c>
      <c r="AF4764">
        <v>7.0812822034373696E-2</v>
      </c>
      <c r="AG4764">
        <v>-5.6837999999999902E-2</v>
      </c>
      <c r="AH4764">
        <v>0.58907311128730599</v>
      </c>
      <c r="AI4764">
        <v>95.472093332651596</v>
      </c>
      <c r="AJ4764">
        <v>83.145332653637496</v>
      </c>
      <c r="AK4764">
        <v>0.59603032175400195</v>
      </c>
      <c r="AL4764">
        <v>80.298598237134399</v>
      </c>
      <c r="AM4764">
        <v>84.524853839157501</v>
      </c>
      <c r="AN4764">
        <v>1.0000000289479001</v>
      </c>
    </row>
    <row r="4765" spans="1:40" x14ac:dyDescent="0.25">
      <c r="A4765" t="str">
        <f>"20190312172802105"</f>
        <v>20190312172802105</v>
      </c>
      <c r="B4765" t="str">
        <f>"1552382882094223"</f>
        <v>1552382882094223</v>
      </c>
      <c r="C4765" t="s">
        <v>40</v>
      </c>
      <c r="D4765">
        <v>3.5707249999999999</v>
      </c>
      <c r="E4765">
        <v>0.49754609999999999</v>
      </c>
      <c r="F4765" t="s">
        <v>44</v>
      </c>
      <c r="G4765">
        <v>-345.82510000000002</v>
      </c>
      <c r="H4765">
        <v>1.053491</v>
      </c>
      <c r="I4765">
        <v>15.98188</v>
      </c>
      <c r="J4765">
        <v>-346.38600000000002</v>
      </c>
      <c r="K4765">
        <v>1.1106720000000001</v>
      </c>
      <c r="L4765">
        <v>16.042570000000001</v>
      </c>
      <c r="M4765">
        <v>0.99964920000000002</v>
      </c>
      <c r="N4765">
        <v>0</v>
      </c>
      <c r="O4765">
        <v>2.2695920000000001E-2</v>
      </c>
      <c r="P4765">
        <v>0.98554359999999996</v>
      </c>
      <c r="Q4765">
        <v>0.1502665</v>
      </c>
      <c r="R4765">
        <v>-7.825617E-2</v>
      </c>
      <c r="S4765">
        <v>3.0643310000000001</v>
      </c>
      <c r="T4765">
        <v>-0.22337969999999999</v>
      </c>
      <c r="U4765">
        <v>-0.21377560000000001</v>
      </c>
      <c r="V4765">
        <v>0.1004009</v>
      </c>
      <c r="W4765">
        <v>0.16381609999999999</v>
      </c>
      <c r="X4765">
        <v>0.98136840000000003</v>
      </c>
      <c r="Y4765">
        <v>9.1915739999999996E-2</v>
      </c>
      <c r="Z4765">
        <v>-4.9923370000000003E-3</v>
      </c>
      <c r="AA4765">
        <v>0.99575429999999998</v>
      </c>
      <c r="AB4765">
        <v>22</v>
      </c>
      <c r="AC4765">
        <v>0.560899999999946</v>
      </c>
      <c r="AD4765">
        <v>-5.7180999999999899E-2</v>
      </c>
      <c r="AE4765">
        <v>-6.0690000000002797E-2</v>
      </c>
      <c r="AF4765">
        <v>7.2659296974048396E-2</v>
      </c>
      <c r="AG4765">
        <v>-5.7180999999999899E-2</v>
      </c>
      <c r="AH4765">
        <v>0.55369014784872395</v>
      </c>
      <c r="AI4765">
        <v>95.846406999621195</v>
      </c>
      <c r="AJ4765">
        <v>82.523944843599196</v>
      </c>
      <c r="AK4765">
        <v>0.56135712342723998</v>
      </c>
      <c r="AL4765">
        <v>80.571533740418104</v>
      </c>
      <c r="AM4765">
        <v>84.158561849202002</v>
      </c>
      <c r="AN4765">
        <v>0.99999999592928901</v>
      </c>
    </row>
    <row r="4766" spans="1:40" x14ac:dyDescent="0.25">
      <c r="A4766" t="str">
        <f>"20190312172802127"</f>
        <v>20190312172802127</v>
      </c>
      <c r="B4766" t="str">
        <f>"1552382882124479"</f>
        <v>1552382882124479</v>
      </c>
      <c r="C4766" t="s">
        <v>40</v>
      </c>
      <c r="D4766">
        <v>3.5536919999999999</v>
      </c>
      <c r="E4766">
        <v>0.48397760000000001</v>
      </c>
      <c r="F4766" t="s">
        <v>44</v>
      </c>
      <c r="G4766">
        <v>-345.62900000000002</v>
      </c>
      <c r="H4766">
        <v>1.0520560000000001</v>
      </c>
      <c r="I4766">
        <v>15.986599999999999</v>
      </c>
      <c r="J4766">
        <v>-346.17410000000001</v>
      </c>
      <c r="K4766">
        <v>1.1106529999999999</v>
      </c>
      <c r="L4766">
        <v>16.04834</v>
      </c>
      <c r="M4766">
        <v>0.99962969999999896</v>
      </c>
      <c r="N4766">
        <v>0</v>
      </c>
      <c r="O4766">
        <v>2.3536149999999999E-2</v>
      </c>
      <c r="P4766">
        <v>0.98577519999999996</v>
      </c>
      <c r="Q4766">
        <v>0.147288</v>
      </c>
      <c r="R4766">
        <v>-8.0954440000000003E-2</v>
      </c>
      <c r="S4766">
        <v>3.0622250000000002</v>
      </c>
      <c r="T4766">
        <v>-0.2371827</v>
      </c>
      <c r="U4766">
        <v>-0.225769</v>
      </c>
      <c r="V4766">
        <v>0.1039354</v>
      </c>
      <c r="W4766">
        <v>0.1608406</v>
      </c>
      <c r="X4766">
        <v>0.98149260000000005</v>
      </c>
      <c r="Y4766">
        <v>9.6623700000000007E-2</v>
      </c>
      <c r="Z4766">
        <v>-5.5495600000000003E-3</v>
      </c>
      <c r="AA4766">
        <v>0.99530549999999995</v>
      </c>
      <c r="AB4766">
        <v>22</v>
      </c>
      <c r="AC4766">
        <v>0.54509999999999004</v>
      </c>
      <c r="AD4766">
        <v>-5.8597000000000198E-2</v>
      </c>
      <c r="AE4766">
        <v>-6.1740000000000302E-2</v>
      </c>
      <c r="AF4766">
        <v>7.3712629825006995E-2</v>
      </c>
      <c r="AG4766">
        <v>-5.8597000000000198E-2</v>
      </c>
      <c r="AH4766">
        <v>0.53736471079041703</v>
      </c>
      <c r="AI4766">
        <v>96.165946142905099</v>
      </c>
      <c r="AJ4766">
        <v>82.189239076331901</v>
      </c>
      <c r="AK4766">
        <v>0.545552923745797</v>
      </c>
      <c r="AL4766">
        <v>80.7443089462014</v>
      </c>
      <c r="AM4766">
        <v>83.955177329604894</v>
      </c>
      <c r="AN4766">
        <v>0.99999999491813996</v>
      </c>
    </row>
    <row r="4767" spans="1:40" x14ac:dyDescent="0.25">
      <c r="A4767" t="str">
        <f>"20190312172802150"</f>
        <v>20190312172802150</v>
      </c>
      <c r="B4767" t="str">
        <f>"1552382882144003"</f>
        <v>1552382882144003</v>
      </c>
      <c r="C4767" t="s">
        <v>40</v>
      </c>
      <c r="D4767">
        <v>3.5554169999999998</v>
      </c>
      <c r="E4767">
        <v>0.48353750000000001</v>
      </c>
      <c r="F4767" t="s">
        <v>41</v>
      </c>
      <c r="G4767">
        <v>-330.33339999999998</v>
      </c>
      <c r="H4767" s="1">
        <v>-4.8784339999999901E-6</v>
      </c>
      <c r="I4767">
        <v>15.392609999999999</v>
      </c>
      <c r="J4767">
        <v>-345.94779999999997</v>
      </c>
      <c r="K4767">
        <v>1.110644</v>
      </c>
      <c r="L4767">
        <v>16.05472</v>
      </c>
      <c r="M4767">
        <v>0.99960819999999995</v>
      </c>
      <c r="N4767">
        <v>0</v>
      </c>
      <c r="O4767">
        <v>2.4434259999999999E-2</v>
      </c>
      <c r="P4767">
        <v>0.98579190000000005</v>
      </c>
      <c r="Q4767">
        <v>0.1443914</v>
      </c>
      <c r="R4767">
        <v>-8.5823099999999999E-2</v>
      </c>
      <c r="S4767">
        <v>3.0650019999999998</v>
      </c>
      <c r="T4767">
        <v>-0.21490010000000001</v>
      </c>
      <c r="U4767">
        <v>-0.12686159999999999</v>
      </c>
      <c r="V4767">
        <v>0.10969139999999999</v>
      </c>
      <c r="W4767">
        <v>0.157946</v>
      </c>
      <c r="X4767">
        <v>0.98133630000000005</v>
      </c>
      <c r="Y4767">
        <v>6.5537680000000001E-2</v>
      </c>
      <c r="Z4767">
        <v>-4.0043709999999996E-3</v>
      </c>
      <c r="AA4767">
        <v>0.99784209999999995</v>
      </c>
      <c r="AB4767">
        <v>22</v>
      </c>
      <c r="AC4767">
        <v>15.6143999999999</v>
      </c>
      <c r="AD4767">
        <v>-1.1106488784340001</v>
      </c>
      <c r="AE4767">
        <v>-0.66210999999999798</v>
      </c>
      <c r="AF4767">
        <v>1.0382307139109499</v>
      </c>
      <c r="AG4767">
        <v>-1.1106488784340001</v>
      </c>
      <c r="AH4767">
        <v>15.5152001781584</v>
      </c>
      <c r="AI4767">
        <v>94.085403442441603</v>
      </c>
      <c r="AJ4767">
        <v>86.171645590799599</v>
      </c>
      <c r="AK4767">
        <v>15.589512516907</v>
      </c>
      <c r="AL4767">
        <v>80.912305573270203</v>
      </c>
      <c r="AM4767">
        <v>83.6220906595005</v>
      </c>
      <c r="AN4767">
        <v>1.0000000379238201</v>
      </c>
    </row>
    <row r="4768" spans="1:40" x14ac:dyDescent="0.25">
      <c r="A4768" t="str">
        <f>"20190312172802162"</f>
        <v>20190312172802162</v>
      </c>
      <c r="B4768" t="str">
        <f>"1552382882153762"</f>
        <v>1552382882153762</v>
      </c>
      <c r="C4768" t="s">
        <v>40</v>
      </c>
      <c r="D4768">
        <v>3.5662389999999999</v>
      </c>
      <c r="E4768">
        <v>0.48316379999999998</v>
      </c>
      <c r="F4768" t="s">
        <v>44</v>
      </c>
      <c r="G4768">
        <v>-345.04410000000001</v>
      </c>
      <c r="H4768">
        <v>1.0462180000000001</v>
      </c>
      <c r="I4768">
        <v>16.013479999999898</v>
      </c>
      <c r="J4768">
        <v>-345.8279</v>
      </c>
      <c r="K4768">
        <v>1.110646</v>
      </c>
      <c r="L4768">
        <v>16.058199999999999</v>
      </c>
      <c r="M4768">
        <v>0.9995965</v>
      </c>
      <c r="N4768">
        <v>0</v>
      </c>
      <c r="O4768">
        <v>2.4910600000000001E-2</v>
      </c>
      <c r="P4768">
        <v>0.98556920000000003</v>
      </c>
      <c r="Q4768">
        <v>0.14433859999999901</v>
      </c>
      <c r="R4768">
        <v>-8.8429610000000006E-2</v>
      </c>
      <c r="S4768">
        <v>3.0631409999999999</v>
      </c>
      <c r="T4768">
        <v>-0.2184469</v>
      </c>
      <c r="U4768">
        <v>-0.1390381</v>
      </c>
      <c r="V4768">
        <v>0.1127606</v>
      </c>
      <c r="W4768">
        <v>0.15789039999999999</v>
      </c>
      <c r="X4768">
        <v>0.98099729999999996</v>
      </c>
      <c r="Y4768">
        <v>6.9976679999999999E-2</v>
      </c>
      <c r="Z4768">
        <v>-4.2643459999999996E-3</v>
      </c>
      <c r="AA4768">
        <v>0.99753950000000002</v>
      </c>
      <c r="AB4768">
        <v>22</v>
      </c>
      <c r="AC4768">
        <v>0.78379999999998495</v>
      </c>
      <c r="AD4768">
        <v>-6.4427999999999902E-2</v>
      </c>
      <c r="AE4768">
        <v>-4.4720000000001599E-2</v>
      </c>
      <c r="AF4768">
        <v>6.3803163179501604E-2</v>
      </c>
      <c r="AG4768">
        <v>-6.4427999999999902E-2</v>
      </c>
      <c r="AH4768">
        <v>0.77720824871799599</v>
      </c>
      <c r="AI4768">
        <v>94.722980507239996</v>
      </c>
      <c r="AJ4768">
        <v>85.306955449933994</v>
      </c>
      <c r="AK4768">
        <v>0.78247969474677304</v>
      </c>
      <c r="AL4768">
        <v>80.915531507276896</v>
      </c>
      <c r="AM4768">
        <v>83.442921516843398</v>
      </c>
      <c r="AN4768">
        <v>1.0000000169659</v>
      </c>
    </row>
    <row r="4769" spans="1:40" x14ac:dyDescent="0.25">
      <c r="A4769" t="str">
        <f>"20190312172802175"</f>
        <v>20190312172802175</v>
      </c>
      <c r="B4769" t="str">
        <f>"1552382882164496"</f>
        <v>1552382882164496</v>
      </c>
      <c r="C4769" t="s">
        <v>40</v>
      </c>
      <c r="D4769">
        <v>3.5617760000000001</v>
      </c>
      <c r="E4769">
        <v>0.48289759999999998</v>
      </c>
      <c r="F4769" t="s">
        <v>44</v>
      </c>
      <c r="G4769">
        <v>-345.02859999999998</v>
      </c>
      <c r="H4769">
        <v>1.0540529999999999</v>
      </c>
      <c r="I4769">
        <v>16.02036</v>
      </c>
      <c r="J4769">
        <v>-345.70909999999998</v>
      </c>
      <c r="K4769">
        <v>1.110644</v>
      </c>
      <c r="L4769">
        <v>16.061679999999999</v>
      </c>
      <c r="M4769">
        <v>0.99958449999999999</v>
      </c>
      <c r="N4769">
        <v>0</v>
      </c>
      <c r="O4769">
        <v>2.5382930000000001E-2</v>
      </c>
      <c r="P4769">
        <v>0.98530019999999996</v>
      </c>
      <c r="Q4769">
        <v>0.14448569999999999</v>
      </c>
      <c r="R4769">
        <v>-9.1143600000000005E-2</v>
      </c>
      <c r="S4769">
        <v>3.0627749999999998</v>
      </c>
      <c r="T4769">
        <v>-0.21693299999999999</v>
      </c>
      <c r="U4769">
        <v>-0.1441345</v>
      </c>
      <c r="V4769">
        <v>0.1159316</v>
      </c>
      <c r="W4769">
        <v>0.15803449999999999</v>
      </c>
      <c r="X4769">
        <v>0.98060440000000004</v>
      </c>
      <c r="Y4769">
        <v>7.2106420000000004E-2</v>
      </c>
      <c r="Z4769">
        <v>-4.3439070000000002E-3</v>
      </c>
      <c r="AA4769">
        <v>0.99738749999999998</v>
      </c>
      <c r="AB4769">
        <v>22</v>
      </c>
      <c r="AC4769">
        <v>0.680499999999994</v>
      </c>
      <c r="AD4769">
        <v>-5.6590999999999801E-2</v>
      </c>
      <c r="AE4769">
        <v>-4.1319999999998899E-2</v>
      </c>
      <c r="AF4769">
        <v>5.8180496382331401E-2</v>
      </c>
      <c r="AG4769">
        <v>-5.6590999999999801E-2</v>
      </c>
      <c r="AH4769">
        <v>0.674583676364367</v>
      </c>
      <c r="AI4769">
        <v>94.777675906086202</v>
      </c>
      <c r="AJ4769">
        <v>85.070636395155603</v>
      </c>
      <c r="AK4769">
        <v>0.67944878236520501</v>
      </c>
      <c r="AL4769">
        <v>80.907170184995394</v>
      </c>
      <c r="AM4769">
        <v>83.257524325858796</v>
      </c>
      <c r="AN4769">
        <v>1.0000000141840799</v>
      </c>
    </row>
    <row r="4770" spans="1:40" x14ac:dyDescent="0.25">
      <c r="A4770" t="str">
        <f>"20190312172802196"</f>
        <v>20190312172802196</v>
      </c>
      <c r="B4770" t="str">
        <f>"1552382882193776"</f>
        <v>1552382882193776</v>
      </c>
      <c r="C4770" t="s">
        <v>40</v>
      </c>
      <c r="D4770">
        <v>3.5645880000000001</v>
      </c>
      <c r="E4770">
        <v>0.48193910000000001</v>
      </c>
      <c r="F4770" t="s">
        <v>44</v>
      </c>
      <c r="G4770">
        <v>-344.84379999999999</v>
      </c>
      <c r="H4770">
        <v>1.0505979999999999</v>
      </c>
      <c r="I4770">
        <v>16.019020000000001</v>
      </c>
      <c r="J4770">
        <v>-345.49650000000003</v>
      </c>
      <c r="K4770">
        <v>1.110643</v>
      </c>
      <c r="L4770">
        <v>16.068049999999999</v>
      </c>
      <c r="M4770">
        <v>0.99956279999999997</v>
      </c>
      <c r="N4770">
        <v>0</v>
      </c>
      <c r="O4770">
        <v>2.6228669999999999E-2</v>
      </c>
      <c r="P4770">
        <v>0.98462640000000001</v>
      </c>
      <c r="Q4770">
        <v>0.1447562</v>
      </c>
      <c r="R4770">
        <v>-9.7759250000000006E-2</v>
      </c>
      <c r="S4770">
        <v>3.062103</v>
      </c>
      <c r="T4770">
        <v>-0.21253140000000001</v>
      </c>
      <c r="U4770">
        <v>-0.150177</v>
      </c>
      <c r="V4770">
        <v>0.12335889999999999</v>
      </c>
      <c r="W4770">
        <v>0.15829869999999999</v>
      </c>
      <c r="X4770">
        <v>0.9796551</v>
      </c>
      <c r="Y4770">
        <v>7.49248E-2</v>
      </c>
      <c r="Z4770">
        <v>-4.4129570000000003E-3</v>
      </c>
      <c r="AA4770">
        <v>0.99717940000000005</v>
      </c>
      <c r="AB4770">
        <v>22</v>
      </c>
      <c r="AC4770">
        <v>0.65270000000003803</v>
      </c>
      <c r="AD4770">
        <v>-6.0045000000000098E-2</v>
      </c>
      <c r="AE4770">
        <v>-4.9029999999998297E-2</v>
      </c>
      <c r="AF4770">
        <v>6.5582265445444002E-2</v>
      </c>
      <c r="AG4770">
        <v>-6.0045000000000098E-2</v>
      </c>
      <c r="AH4770">
        <v>0.64575491244898597</v>
      </c>
      <c r="AI4770">
        <v>95.285294941379206</v>
      </c>
      <c r="AJ4770">
        <v>84.200977144679698</v>
      </c>
      <c r="AK4770">
        <v>0.65184802102787298</v>
      </c>
      <c r="AL4770">
        <v>80.891839589323297</v>
      </c>
      <c r="AM4770">
        <v>82.823046362843399</v>
      </c>
      <c r="AN4770">
        <v>1.0000000057934499</v>
      </c>
    </row>
    <row r="4771" spans="1:40" x14ac:dyDescent="0.25">
      <c r="A4771" t="str">
        <f>"20190312172802219"</f>
        <v>20190312172802219</v>
      </c>
      <c r="B4771" t="str">
        <f>"1552382882214272"</f>
        <v>1552382882214272</v>
      </c>
      <c r="C4771" t="s">
        <v>40</v>
      </c>
      <c r="D4771">
        <v>3.5915509999999999</v>
      </c>
      <c r="E4771">
        <v>0.48108640000000003</v>
      </c>
      <c r="F4771" t="s">
        <v>44</v>
      </c>
      <c r="G4771">
        <v>-344.642</v>
      </c>
      <c r="H4771">
        <v>1.053669</v>
      </c>
      <c r="I4771">
        <v>16.022410000000001</v>
      </c>
      <c r="J4771">
        <v>-345.27800000000002</v>
      </c>
      <c r="K4771">
        <v>1.1106510000000001</v>
      </c>
      <c r="L4771">
        <v>16.0748</v>
      </c>
      <c r="M4771">
        <v>0.99953959999999997</v>
      </c>
      <c r="N4771">
        <v>0</v>
      </c>
      <c r="O4771">
        <v>2.709814E-2</v>
      </c>
      <c r="P4771">
        <v>0.98373730000000004</v>
      </c>
      <c r="Q4771">
        <v>0.14529629999999999</v>
      </c>
      <c r="R4771">
        <v>-0.105593699999999</v>
      </c>
      <c r="S4771">
        <v>3.0606689999999999</v>
      </c>
      <c r="T4771">
        <v>-0.20411360000000001</v>
      </c>
      <c r="U4771">
        <v>-0.16314699999999999</v>
      </c>
      <c r="V4771">
        <v>0.1320202</v>
      </c>
      <c r="W4771">
        <v>0.1588302</v>
      </c>
      <c r="X4771">
        <v>0.97843939999999996</v>
      </c>
      <c r="Y4771">
        <v>8.0034090000000002E-2</v>
      </c>
      <c r="Z4771">
        <v>-4.4680600000000003E-3</v>
      </c>
      <c r="AA4771">
        <v>0.9967821</v>
      </c>
      <c r="AB4771">
        <v>22</v>
      </c>
      <c r="AC4771">
        <v>0.63600000000002399</v>
      </c>
      <c r="AD4771">
        <v>-5.6981999999999998E-2</v>
      </c>
      <c r="AE4771">
        <v>-5.2389999999999E-2</v>
      </c>
      <c r="AF4771">
        <v>6.9056192028330202E-2</v>
      </c>
      <c r="AG4771">
        <v>-5.6981999999999998E-2</v>
      </c>
      <c r="AH4771">
        <v>0.629328931886039</v>
      </c>
      <c r="AI4771">
        <v>95.142982494822107</v>
      </c>
      <c r="AJ4771">
        <v>83.737993318782401</v>
      </c>
      <c r="AK4771">
        <v>0.635665486313577</v>
      </c>
      <c r="AL4771">
        <v>80.8609967395072</v>
      </c>
      <c r="AM4771">
        <v>82.315527315439098</v>
      </c>
      <c r="AN4771">
        <v>1.0000000125562101</v>
      </c>
    </row>
    <row r="4772" spans="1:40" x14ac:dyDescent="0.25">
      <c r="A4772" t="str">
        <f>"20190312172802241"</f>
        <v>20190312172802241</v>
      </c>
      <c r="B4772" t="str">
        <f>"1552382882233793"</f>
        <v>1552382882233793</v>
      </c>
      <c r="C4772" t="s">
        <v>40</v>
      </c>
      <c r="D4772">
        <v>3.605143</v>
      </c>
      <c r="E4772">
        <v>0.48020380000000001</v>
      </c>
      <c r="F4772" t="s">
        <v>41</v>
      </c>
      <c r="G4772">
        <v>-328.39760000000001</v>
      </c>
      <c r="H4772" s="1">
        <v>-1.807697E-6</v>
      </c>
      <c r="I4772">
        <v>15.07579</v>
      </c>
      <c r="J4772">
        <v>-345.05930000000001</v>
      </c>
      <c r="K4772">
        <v>1.1106579999999999</v>
      </c>
      <c r="L4772">
        <v>16.08173</v>
      </c>
      <c r="M4772">
        <v>0.99951570000000001</v>
      </c>
      <c r="N4772">
        <v>0</v>
      </c>
      <c r="O4772">
        <v>2.7968920000000001E-2</v>
      </c>
      <c r="P4772">
        <v>0.9828692</v>
      </c>
      <c r="Q4772">
        <v>0.14645</v>
      </c>
      <c r="R4772">
        <v>-0.11189589999999899</v>
      </c>
      <c r="S4772">
        <v>3.0599370000000001</v>
      </c>
      <c r="T4772">
        <v>-0.20132939999999999</v>
      </c>
      <c r="U4772">
        <v>-0.18109130000000001</v>
      </c>
      <c r="V4772">
        <v>0.13914899999999999</v>
      </c>
      <c r="W4772">
        <v>0.15997410000000001</v>
      </c>
      <c r="X4772">
        <v>0.97726449999999998</v>
      </c>
      <c r="Y4772">
        <v>8.6730349999999998E-2</v>
      </c>
      <c r="Z4772">
        <v>-4.6846630000000004E-3</v>
      </c>
      <c r="AA4772">
        <v>0.99622080000000002</v>
      </c>
      <c r="AB4772">
        <v>22</v>
      </c>
      <c r="AC4772">
        <v>16.6616999999999</v>
      </c>
      <c r="AD4772">
        <v>-1.110659807697</v>
      </c>
      <c r="AE4772">
        <v>-1.0059400000000001</v>
      </c>
      <c r="AF4772">
        <v>1.46511295988242</v>
      </c>
      <c r="AG4772">
        <v>-1.110659807697</v>
      </c>
      <c r="AH4772">
        <v>16.553753768882402</v>
      </c>
      <c r="AI4772">
        <v>93.823556083303302</v>
      </c>
      <c r="AJ4772">
        <v>84.942136735078194</v>
      </c>
      <c r="AK4772">
        <v>16.6555361677263</v>
      </c>
      <c r="AL4772">
        <v>80.794607381283598</v>
      </c>
      <c r="AM4772">
        <v>81.896341532287195</v>
      </c>
      <c r="AN4772">
        <v>1.0000000299160201</v>
      </c>
    </row>
    <row r="4773" spans="1:40" x14ac:dyDescent="0.25">
      <c r="A4773" t="str">
        <f>"20190312172802264"</f>
        <v>20190312172802264</v>
      </c>
      <c r="B4773" t="str">
        <f>"1552382882254288"</f>
        <v>1552382882254288</v>
      </c>
      <c r="C4773" t="s">
        <v>40</v>
      </c>
      <c r="D4773">
        <v>3.5629219999999999</v>
      </c>
      <c r="E4773">
        <v>0.47931610000000002</v>
      </c>
      <c r="F4773" t="s">
        <v>41</v>
      </c>
      <c r="G4773">
        <v>-327.69799999999998</v>
      </c>
      <c r="H4773" s="1">
        <v>-2.1000269999999999E-6</v>
      </c>
      <c r="I4773">
        <v>14.986739999999999</v>
      </c>
      <c r="J4773">
        <v>-344.84309999999999</v>
      </c>
      <c r="K4773">
        <v>1.1106560000000001</v>
      </c>
      <c r="L4773">
        <v>16.08878</v>
      </c>
      <c r="M4773">
        <v>0.99949120000000002</v>
      </c>
      <c r="N4773">
        <v>0</v>
      </c>
      <c r="O4773">
        <v>2.8830640000000001E-2</v>
      </c>
      <c r="P4773">
        <v>0.9819445</v>
      </c>
      <c r="Q4773">
        <v>0.14762059999999999</v>
      </c>
      <c r="R4773">
        <v>-0.11829340000000001</v>
      </c>
      <c r="S4773">
        <v>3.0594790000000001</v>
      </c>
      <c r="T4773">
        <v>-0.19572519999999999</v>
      </c>
      <c r="U4773">
        <v>-0.19296260000000001</v>
      </c>
      <c r="V4773">
        <v>0.1463605</v>
      </c>
      <c r="W4773">
        <v>0.16113420000000001</v>
      </c>
      <c r="X4773">
        <v>0.97601970000000005</v>
      </c>
      <c r="Y4773">
        <v>9.1450329999999996E-2</v>
      </c>
      <c r="Z4773">
        <v>-4.7603999999999997E-3</v>
      </c>
      <c r="AA4773">
        <v>0.99579830000000003</v>
      </c>
      <c r="AB4773">
        <v>22</v>
      </c>
      <c r="AC4773">
        <v>17.1450999999999</v>
      </c>
      <c r="AD4773">
        <v>-1.1106581000269999</v>
      </c>
      <c r="AE4773">
        <v>-1.1020399999999999</v>
      </c>
      <c r="AF4773">
        <v>1.5892901098021699</v>
      </c>
      <c r="AG4773">
        <v>-1.1106581000269999</v>
      </c>
      <c r="AH4773">
        <v>17.0350039726566</v>
      </c>
      <c r="AI4773">
        <v>93.714239839227005</v>
      </c>
      <c r="AJ4773">
        <v>84.669987106413998</v>
      </c>
      <c r="AK4773">
        <v>17.144992412267101</v>
      </c>
      <c r="AL4773">
        <v>80.727265013556504</v>
      </c>
      <c r="AM4773">
        <v>81.471671821153393</v>
      </c>
      <c r="AN4773">
        <v>1.00000004057898</v>
      </c>
    </row>
    <row r="4774" spans="1:40" x14ac:dyDescent="0.25">
      <c r="A4774" t="str">
        <f>"20190312172802284"</f>
        <v>20190312172802284</v>
      </c>
      <c r="B4774" t="str">
        <f>"1552382882274148"</f>
        <v>1552382882274148</v>
      </c>
      <c r="C4774" t="s">
        <v>40</v>
      </c>
      <c r="D4774">
        <v>3.6405720000000001</v>
      </c>
      <c r="E4774">
        <v>0.47905900000000001</v>
      </c>
      <c r="F4774" t="s">
        <v>41</v>
      </c>
      <c r="G4774">
        <v>-327.12169999999998</v>
      </c>
      <c r="H4774" s="1">
        <v>-2.344227E-6</v>
      </c>
      <c r="I4774">
        <v>14.90067</v>
      </c>
      <c r="J4774">
        <v>-344.63240000000002</v>
      </c>
      <c r="K4774">
        <v>1.110654</v>
      </c>
      <c r="L4774">
        <v>16.095790000000001</v>
      </c>
      <c r="M4774">
        <v>0.99946670000000004</v>
      </c>
      <c r="N4774">
        <v>0</v>
      </c>
      <c r="O4774">
        <v>2.9670430000000001E-2</v>
      </c>
      <c r="P4774">
        <v>0.98140000000000005</v>
      </c>
      <c r="Q4774">
        <v>0.1466365</v>
      </c>
      <c r="R4774">
        <v>-0.1239046</v>
      </c>
      <c r="S4774">
        <v>3.059326</v>
      </c>
      <c r="T4774">
        <v>-0.19173870000000001</v>
      </c>
      <c r="U4774">
        <v>-0.2051086</v>
      </c>
      <c r="V4774">
        <v>0.1527762</v>
      </c>
      <c r="W4774">
        <v>0.16014439999999999</v>
      </c>
      <c r="X4774">
        <v>0.97519900000000004</v>
      </c>
      <c r="Y4774">
        <v>9.6224790000000004E-2</v>
      </c>
      <c r="Z4774">
        <v>-4.8651290000000002E-3</v>
      </c>
      <c r="AA4774">
        <v>0.99534769999999995</v>
      </c>
      <c r="AB4774">
        <v>22</v>
      </c>
      <c r="AC4774">
        <v>17.5107</v>
      </c>
      <c r="AD4774">
        <v>-1.1106563442270001</v>
      </c>
      <c r="AE4774">
        <v>-1.19511999999999</v>
      </c>
      <c r="AF4774">
        <v>1.7073551725254099</v>
      </c>
      <c r="AG4774">
        <v>-1.1106563442270001</v>
      </c>
      <c r="AH4774">
        <v>17.397858768272499</v>
      </c>
      <c r="AI4774">
        <v>93.635314119843599</v>
      </c>
      <c r="AJ4774">
        <v>84.395171748545494</v>
      </c>
      <c r="AK4774">
        <v>17.5166808762641</v>
      </c>
      <c r="AL4774">
        <v>80.784721659027099</v>
      </c>
      <c r="AM4774">
        <v>81.096323431785805</v>
      </c>
      <c r="AN4774">
        <v>0.99999994286939797</v>
      </c>
    </row>
    <row r="4775" spans="1:40" x14ac:dyDescent="0.25">
      <c r="A4775" t="str">
        <f>"20190312172802297"</f>
        <v>20190312172802297</v>
      </c>
      <c r="B4775" t="str">
        <f>"1552382882294641"</f>
        <v>1552382882294641</v>
      </c>
      <c r="C4775" t="s">
        <v>40</v>
      </c>
      <c r="D4775">
        <v>3.682572</v>
      </c>
      <c r="E4775">
        <v>0.49586560000000002</v>
      </c>
      <c r="F4775" t="s">
        <v>41</v>
      </c>
      <c r="G4775">
        <v>-327.10079999999999</v>
      </c>
      <c r="H4775" s="1">
        <v>-2.3700909999999999E-6</v>
      </c>
      <c r="I4775">
        <v>14.83365</v>
      </c>
      <c r="J4775">
        <v>-344.50970000000001</v>
      </c>
      <c r="K4775">
        <v>1.1106529999999999</v>
      </c>
      <c r="L4775">
        <v>16.100010000000001</v>
      </c>
      <c r="M4775">
        <v>0.99945209999999995</v>
      </c>
      <c r="N4775">
        <v>0</v>
      </c>
      <c r="O4775">
        <v>3.015957E-2</v>
      </c>
      <c r="P4775">
        <v>0.9811183</v>
      </c>
      <c r="Q4775">
        <v>0.1459414</v>
      </c>
      <c r="R4775">
        <v>-0.12691839999999999</v>
      </c>
      <c r="S4775">
        <v>3.058014</v>
      </c>
      <c r="T4775">
        <v>-0.19373070000000001</v>
      </c>
      <c r="U4775">
        <v>-0.22015380000000001</v>
      </c>
      <c r="V4775">
        <v>0.1562598</v>
      </c>
      <c r="W4775">
        <v>0.15944549999999999</v>
      </c>
      <c r="X4775">
        <v>0.97476149999999995</v>
      </c>
      <c r="Y4775">
        <v>0.10159550000000001</v>
      </c>
      <c r="Z4775">
        <v>-5.1175329999999996E-3</v>
      </c>
      <c r="AA4775">
        <v>0.99481260000000005</v>
      </c>
      <c r="AB4775">
        <v>22</v>
      </c>
      <c r="AC4775">
        <v>17.408899999999999</v>
      </c>
      <c r="AD4775">
        <v>-1.110655370091</v>
      </c>
      <c r="AE4775">
        <v>-1.2663599999999999</v>
      </c>
      <c r="AF4775">
        <v>1.78365594181722</v>
      </c>
      <c r="AG4775">
        <v>-1.110655370091</v>
      </c>
      <c r="AH4775">
        <v>17.292768151397802</v>
      </c>
      <c r="AI4775">
        <v>93.655523785641194</v>
      </c>
      <c r="AJ4775">
        <v>84.111073593674504</v>
      </c>
      <c r="AK4775">
        <v>17.419954483519401</v>
      </c>
      <c r="AL4775">
        <v>80.825287347583696</v>
      </c>
      <c r="AM4775">
        <v>80.892647183393194</v>
      </c>
      <c r="AN4775">
        <v>0.99999998722426897</v>
      </c>
    </row>
    <row r="4776" spans="1:40" x14ac:dyDescent="0.25">
      <c r="A4776" t="str">
        <f>"20190312172802310"</f>
        <v>20190312172802310</v>
      </c>
      <c r="B4776" t="str">
        <f>"1552382882304401"</f>
        <v>1552382882304401</v>
      </c>
      <c r="C4776" t="s">
        <v>40</v>
      </c>
      <c r="D4776">
        <v>3.6730049999999999</v>
      </c>
      <c r="E4776">
        <v>0.49854789999999999</v>
      </c>
      <c r="F4776" t="s">
        <v>41</v>
      </c>
      <c r="G4776">
        <v>-325.81830000000002</v>
      </c>
      <c r="H4776" s="1">
        <v>-3.1184660000000002E-6</v>
      </c>
      <c r="I4776">
        <v>13.872059999999999</v>
      </c>
      <c r="J4776">
        <v>-344.3922</v>
      </c>
      <c r="K4776">
        <v>1.110654</v>
      </c>
      <c r="L4776">
        <v>16.104029999999899</v>
      </c>
      <c r="M4776">
        <v>0.99943769999999998</v>
      </c>
      <c r="N4776">
        <v>0</v>
      </c>
      <c r="O4776">
        <v>3.0628160000000001E-2</v>
      </c>
      <c r="P4776">
        <v>0.98080639999999997</v>
      </c>
      <c r="Q4776">
        <v>0.14570720000000001</v>
      </c>
      <c r="R4776">
        <v>-0.1295694</v>
      </c>
      <c r="S4776">
        <v>3.0377809999999998</v>
      </c>
      <c r="T4776">
        <v>-0.18050669999999999</v>
      </c>
      <c r="U4776">
        <v>-0.3620911</v>
      </c>
      <c r="V4776">
        <v>0.15935859999999999</v>
      </c>
      <c r="W4776">
        <v>0.1592073</v>
      </c>
      <c r="X4776">
        <v>0.97429869999999996</v>
      </c>
      <c r="Y4776">
        <v>0.1484066</v>
      </c>
      <c r="Z4776">
        <v>-6.2025459999999998E-3</v>
      </c>
      <c r="AA4776">
        <v>0.98890699999999998</v>
      </c>
      <c r="AB4776">
        <v>22</v>
      </c>
      <c r="AC4776">
        <v>18.573899999999899</v>
      </c>
      <c r="AD4776">
        <v>-1.1106571184659999</v>
      </c>
      <c r="AE4776">
        <v>-2.2319699999999898</v>
      </c>
      <c r="AF4776">
        <v>2.7900259001236698</v>
      </c>
      <c r="AG4776">
        <v>-1.1106571184659999</v>
      </c>
      <c r="AH4776">
        <v>18.431849370063699</v>
      </c>
      <c r="AI4776">
        <v>93.409583564442897</v>
      </c>
      <c r="AJ4776">
        <v>81.392491461377304</v>
      </c>
      <c r="AK4776">
        <v>18.6748728230978</v>
      </c>
      <c r="AL4776">
        <v>80.839112305362207</v>
      </c>
      <c r="AM4776">
        <v>80.710820667155403</v>
      </c>
      <c r="AN4776">
        <v>1.0000000422944599</v>
      </c>
    </row>
    <row r="4777" spans="1:40" x14ac:dyDescent="0.25">
      <c r="A4777" t="str">
        <f>"20190312172802328"</f>
        <v>20190312172802328</v>
      </c>
      <c r="B4777" t="str">
        <f>"1552382882323920"</f>
        <v>1552382882323920</v>
      </c>
      <c r="C4777" t="s">
        <v>40</v>
      </c>
      <c r="D4777">
        <v>3.6562649999999999</v>
      </c>
      <c r="E4777">
        <v>0.50064279999999906</v>
      </c>
      <c r="F4777" t="s">
        <v>41</v>
      </c>
      <c r="G4777">
        <v>-325.8922</v>
      </c>
      <c r="H4777" s="1">
        <v>-3.131394E-6</v>
      </c>
      <c r="I4777">
        <v>13.716799999999999</v>
      </c>
      <c r="J4777">
        <v>-344.20280000000002</v>
      </c>
      <c r="K4777">
        <v>1.1106549999999999</v>
      </c>
      <c r="L4777">
        <v>16.110720000000001</v>
      </c>
      <c r="M4777">
        <v>0.99941449999999998</v>
      </c>
      <c r="N4777">
        <v>0</v>
      </c>
      <c r="O4777">
        <v>3.1383010000000003E-2</v>
      </c>
      <c r="P4777">
        <v>0.98009959999999996</v>
      </c>
      <c r="Q4777">
        <v>0.14529110000000001</v>
      </c>
      <c r="R4777">
        <v>-0.1352611</v>
      </c>
      <c r="S4777">
        <v>3.034027</v>
      </c>
      <c r="T4777">
        <v>-0.18214939999999999</v>
      </c>
      <c r="U4777">
        <v>-0.39151000000000002</v>
      </c>
      <c r="V4777">
        <v>0.16576370000000001</v>
      </c>
      <c r="W4777">
        <v>0.15878310000000001</v>
      </c>
      <c r="X4777">
        <v>0.97329869999999996</v>
      </c>
      <c r="Y4777">
        <v>0.1587064</v>
      </c>
      <c r="Z4777">
        <v>-6.6156679999999999E-3</v>
      </c>
      <c r="AA4777">
        <v>0.98730370000000001</v>
      </c>
      <c r="AB4777">
        <v>22</v>
      </c>
      <c r="AC4777">
        <v>18.310600000000001</v>
      </c>
      <c r="AD4777">
        <v>-1.110658131394</v>
      </c>
      <c r="AE4777">
        <v>-2.39392</v>
      </c>
      <c r="AF4777">
        <v>2.9567400616566899</v>
      </c>
      <c r="AG4777">
        <v>-1.110658131394</v>
      </c>
      <c r="AH4777">
        <v>18.160749243864601</v>
      </c>
      <c r="AI4777">
        <v>93.454313116983698</v>
      </c>
      <c r="AJ4777">
        <v>80.752845282276894</v>
      </c>
      <c r="AK4777">
        <v>18.4333579788265</v>
      </c>
      <c r="AL4777">
        <v>80.863730109793096</v>
      </c>
      <c r="AM4777">
        <v>80.334624213208699</v>
      </c>
      <c r="AN4777">
        <v>1.00000001825249</v>
      </c>
    </row>
    <row r="4778" spans="1:40" x14ac:dyDescent="0.25">
      <c r="A4778" t="str">
        <f>"20190312172802340"</f>
        <v>20190312172802340</v>
      </c>
      <c r="B4778" t="str">
        <f>"1552382882334657"</f>
        <v>1552382882334657</v>
      </c>
      <c r="C4778" t="s">
        <v>40</v>
      </c>
      <c r="D4778">
        <v>3.6543800000000002</v>
      </c>
      <c r="E4778">
        <v>0.50121199999999999</v>
      </c>
      <c r="F4778" t="s">
        <v>41</v>
      </c>
      <c r="G4778">
        <v>-327.46409999999997</v>
      </c>
      <c r="H4778" s="1">
        <v>-2.5162149999999999E-6</v>
      </c>
      <c r="I4778">
        <v>13.760109999999999</v>
      </c>
      <c r="J4778">
        <v>-344.08819999999997</v>
      </c>
      <c r="K4778">
        <v>1.1106560000000001</v>
      </c>
      <c r="L4778">
        <v>16.114809999999999</v>
      </c>
      <c r="M4778">
        <v>0.99939999999999996</v>
      </c>
      <c r="N4778">
        <v>0</v>
      </c>
      <c r="O4778">
        <v>3.1840029999999998E-2</v>
      </c>
      <c r="P4778">
        <v>0.97971730000000001</v>
      </c>
      <c r="Q4778">
        <v>0.1454838</v>
      </c>
      <c r="R4778">
        <v>-0.13779949999999999</v>
      </c>
      <c r="S4778">
        <v>3.0319820000000002</v>
      </c>
      <c r="T4778">
        <v>-0.20118030000000001</v>
      </c>
      <c r="U4778">
        <v>-0.42578129999999997</v>
      </c>
      <c r="V4778">
        <v>0.16873460000000001</v>
      </c>
      <c r="W4778">
        <v>0.15897</v>
      </c>
      <c r="X4778">
        <v>0.97275750000000005</v>
      </c>
      <c r="Y4778">
        <v>0.17009260000000001</v>
      </c>
      <c r="Z4778">
        <v>-7.7106060000000001E-3</v>
      </c>
      <c r="AA4778">
        <v>0.98539790000000005</v>
      </c>
      <c r="AB4778">
        <v>22</v>
      </c>
      <c r="AC4778">
        <v>16.624099999999999</v>
      </c>
      <c r="AD4778">
        <v>-1.11065851621499</v>
      </c>
      <c r="AE4778">
        <v>-2.3546999999999998</v>
      </c>
      <c r="AF4778">
        <v>2.8703070287635302</v>
      </c>
      <c r="AG4778">
        <v>-1.11065851621499</v>
      </c>
      <c r="AH4778">
        <v>16.468625482912199</v>
      </c>
      <c r="AI4778">
        <v>93.801106126809501</v>
      </c>
      <c r="AJ4778">
        <v>80.113263218952497</v>
      </c>
      <c r="AK4778">
        <v>16.753741375449099</v>
      </c>
      <c r="AL4778">
        <v>80.852883502535406</v>
      </c>
      <c r="AM4778">
        <v>80.159385601142105</v>
      </c>
      <c r="AN4778">
        <v>0.99999998997170503</v>
      </c>
    </row>
    <row r="4779" spans="1:40" x14ac:dyDescent="0.25">
      <c r="A4779" t="str">
        <f>"20190312172802353"</f>
        <v>20190312172802353</v>
      </c>
      <c r="B4779" t="str">
        <f>"1552382882344416"</f>
        <v>1552382882344416</v>
      </c>
      <c r="C4779" t="s">
        <v>40</v>
      </c>
      <c r="D4779">
        <v>3.6359940000000002</v>
      </c>
      <c r="E4779">
        <v>0.50153359999999902</v>
      </c>
      <c r="F4779" t="s">
        <v>41</v>
      </c>
      <c r="G4779">
        <v>-327.44650000000001</v>
      </c>
      <c r="H4779" s="1">
        <v>-2.5362770000000002E-6</v>
      </c>
      <c r="I4779">
        <v>13.710179999999999</v>
      </c>
      <c r="J4779">
        <v>-343.96859999999998</v>
      </c>
      <c r="K4779">
        <v>1.110652</v>
      </c>
      <c r="L4779">
        <v>16.119139999999899</v>
      </c>
      <c r="M4779">
        <v>0.99938459999999996</v>
      </c>
      <c r="N4779">
        <v>0</v>
      </c>
      <c r="O4779">
        <v>3.2317020000000002E-2</v>
      </c>
      <c r="P4779">
        <v>0.97936190000000001</v>
      </c>
      <c r="Q4779">
        <v>0.1456597</v>
      </c>
      <c r="R4779">
        <v>-0.1401202</v>
      </c>
      <c r="S4779">
        <v>3.030548</v>
      </c>
      <c r="T4779">
        <v>-0.20225699999999999</v>
      </c>
      <c r="U4779">
        <v>-0.43789670000000003</v>
      </c>
      <c r="V4779">
        <v>0.17150799999999999</v>
      </c>
      <c r="W4779">
        <v>0.159140899999999</v>
      </c>
      <c r="X4779">
        <v>0.97224440000000001</v>
      </c>
      <c r="Y4779">
        <v>0.17447099999999999</v>
      </c>
      <c r="Z4779">
        <v>-7.9301319999999995E-3</v>
      </c>
      <c r="AA4779">
        <v>0.98463029999999996</v>
      </c>
      <c r="AB4779">
        <v>22</v>
      </c>
      <c r="AC4779">
        <v>16.522099999999899</v>
      </c>
      <c r="AD4779">
        <v>-1.1106545362769999</v>
      </c>
      <c r="AE4779">
        <v>-2.4089599999999902</v>
      </c>
      <c r="AF4779">
        <v>2.9287371749652902</v>
      </c>
      <c r="AG4779">
        <v>-1.1106545362769999</v>
      </c>
      <c r="AH4779">
        <v>16.3632071060727</v>
      </c>
      <c r="AI4779">
        <v>93.822442945625596</v>
      </c>
      <c r="AJ4779">
        <v>79.852473050937306</v>
      </c>
      <c r="AK4779">
        <v>16.6603001694209</v>
      </c>
      <c r="AL4779">
        <v>80.842965455067002</v>
      </c>
      <c r="AM4779">
        <v>79.995708875082599</v>
      </c>
      <c r="AN4779">
        <v>0.99999999672408402</v>
      </c>
    </row>
    <row r="4780" spans="1:40" x14ac:dyDescent="0.25">
      <c r="A4780" t="str">
        <f>"20190312172802373"</f>
        <v>20190312172802373</v>
      </c>
      <c r="B4780" t="str">
        <f>"1552382882363936"</f>
        <v>1552382882363936</v>
      </c>
      <c r="C4780" t="s">
        <v>40</v>
      </c>
      <c r="D4780">
        <v>3.6406350000000001</v>
      </c>
      <c r="E4780">
        <v>0.50188940000000004</v>
      </c>
      <c r="F4780" t="s">
        <v>41</v>
      </c>
      <c r="G4780">
        <v>-327.44990000000001</v>
      </c>
      <c r="H4780" s="1">
        <v>-2.542899E-6</v>
      </c>
      <c r="I4780">
        <v>13.68038</v>
      </c>
      <c r="J4780">
        <v>-343.76679999999999</v>
      </c>
      <c r="K4780">
        <v>1.1106510000000001</v>
      </c>
      <c r="L4780">
        <v>16.12659</v>
      </c>
      <c r="M4780">
        <v>0.99935839999999998</v>
      </c>
      <c r="N4780">
        <v>0</v>
      </c>
      <c r="O4780">
        <v>3.3121289999999998E-2</v>
      </c>
      <c r="P4780">
        <v>0.97858049999999996</v>
      </c>
      <c r="Q4780">
        <v>0.14589839999999901</v>
      </c>
      <c r="R4780">
        <v>-0.14523820000000001</v>
      </c>
      <c r="S4780">
        <v>3.0295100000000001</v>
      </c>
      <c r="T4780">
        <v>-0.2036927</v>
      </c>
      <c r="U4780">
        <v>-0.44726559999999999</v>
      </c>
      <c r="V4780">
        <v>0.1773817</v>
      </c>
      <c r="W4780">
        <v>0.15936919999999999</v>
      </c>
      <c r="X4780">
        <v>0.97115249999999997</v>
      </c>
      <c r="Y4780">
        <v>0.1782745</v>
      </c>
      <c r="Z4780">
        <v>-8.1680580000000006E-3</v>
      </c>
      <c r="AA4780">
        <v>0.98394689999999996</v>
      </c>
      <c r="AB4780">
        <v>22</v>
      </c>
      <c r="AC4780">
        <v>16.316899999999901</v>
      </c>
      <c r="AD4780">
        <v>-1.1106535428990001</v>
      </c>
      <c r="AE4780">
        <v>-2.4462100000000002</v>
      </c>
      <c r="AF4780">
        <v>2.9718878883917998</v>
      </c>
      <c r="AG4780">
        <v>-1.1106535428990001</v>
      </c>
      <c r="AH4780">
        <v>16.153718365531599</v>
      </c>
      <c r="AI4780">
        <v>93.868476554172204</v>
      </c>
      <c r="AJ4780">
        <v>79.575551058073401</v>
      </c>
      <c r="AK4780">
        <v>16.462329298930801</v>
      </c>
      <c r="AL4780">
        <v>80.829715701773097</v>
      </c>
      <c r="AM4780">
        <v>79.648986003037095</v>
      </c>
      <c r="AN4780">
        <v>0.99999999382988902</v>
      </c>
    </row>
    <row r="4781" spans="1:40" x14ac:dyDescent="0.25">
      <c r="A4781" t="str">
        <f>"20190312172802384"</f>
        <v>20190312172802384</v>
      </c>
      <c r="B4781" t="str">
        <f>"1552382882374673"</f>
        <v>1552382882374673</v>
      </c>
      <c r="C4781" t="s">
        <v>40</v>
      </c>
      <c r="D4781">
        <v>3.6443789999999998</v>
      </c>
      <c r="E4781">
        <v>0.50189119999999998</v>
      </c>
      <c r="F4781" t="s">
        <v>41</v>
      </c>
      <c r="G4781">
        <v>-327.31369999999998</v>
      </c>
      <c r="H4781" s="1">
        <v>-2.6172199999999998E-6</v>
      </c>
      <c r="I4781">
        <v>13.59768</v>
      </c>
      <c r="J4781">
        <v>-343.65899999999999</v>
      </c>
      <c r="K4781">
        <v>1.1106499999999999</v>
      </c>
      <c r="L4781">
        <v>16.13062</v>
      </c>
      <c r="M4781">
        <v>0.99934409999999896</v>
      </c>
      <c r="N4781">
        <v>0</v>
      </c>
      <c r="O4781">
        <v>3.3551369999999997E-2</v>
      </c>
      <c r="P4781">
        <v>0.97814690000000004</v>
      </c>
      <c r="Q4781">
        <v>0.14627780000000001</v>
      </c>
      <c r="R4781">
        <v>-0.14775669999999999</v>
      </c>
      <c r="S4781">
        <v>3.027069</v>
      </c>
      <c r="T4781">
        <v>-0.20433879999999999</v>
      </c>
      <c r="U4781">
        <v>-0.46527099999999999</v>
      </c>
      <c r="V4781">
        <v>0.18030280000000001</v>
      </c>
      <c r="W4781">
        <v>0.15974249999999901</v>
      </c>
      <c r="X4781">
        <v>0.970553</v>
      </c>
      <c r="Y4781">
        <v>0.18451339999999999</v>
      </c>
      <c r="Z4781">
        <v>-8.4348569999999901E-3</v>
      </c>
      <c r="AA4781">
        <v>0.98279380000000005</v>
      </c>
      <c r="AB4781">
        <v>22</v>
      </c>
      <c r="AC4781">
        <v>16.345300000000002</v>
      </c>
      <c r="AD4781">
        <v>-1.11065261722</v>
      </c>
      <c r="AE4781">
        <v>-2.53294</v>
      </c>
      <c r="AF4781">
        <v>3.06614703735241</v>
      </c>
      <c r="AG4781">
        <v>-1.11065261722</v>
      </c>
      <c r="AH4781">
        <v>16.178159564256902</v>
      </c>
      <c r="AI4781">
        <v>93.858792951379499</v>
      </c>
      <c r="AJ4781">
        <v>79.2683662192225</v>
      </c>
      <c r="AK4781">
        <v>16.503564880878301</v>
      </c>
      <c r="AL4781">
        <v>80.808049176374197</v>
      </c>
      <c r="AM4781">
        <v>79.4759491018403</v>
      </c>
      <c r="AN4781">
        <v>0.99999994590154295</v>
      </c>
    </row>
    <row r="4782" spans="1:40" x14ac:dyDescent="0.25">
      <c r="A4782" t="str">
        <f>"20190312172802396"</f>
        <v>20190312172802396</v>
      </c>
      <c r="B4782" t="str">
        <f>"1552382882394193"</f>
        <v>1552382882394193</v>
      </c>
      <c r="C4782" t="s">
        <v>40</v>
      </c>
      <c r="D4782">
        <v>3.654026</v>
      </c>
      <c r="E4782">
        <v>0.5018435</v>
      </c>
      <c r="F4782" t="s">
        <v>41</v>
      </c>
      <c r="G4782">
        <v>-327.19959999999998</v>
      </c>
      <c r="H4782" s="1">
        <v>-2.670519E-6</v>
      </c>
      <c r="I4782">
        <v>13.561999999999999</v>
      </c>
      <c r="J4782">
        <v>-343.54880000000003</v>
      </c>
      <c r="K4782">
        <v>1.110646</v>
      </c>
      <c r="L4782">
        <v>16.134829999999901</v>
      </c>
      <c r="M4782">
        <v>0.99932929999999998</v>
      </c>
      <c r="N4782">
        <v>0</v>
      </c>
      <c r="O4782">
        <v>3.3990159999999998E-2</v>
      </c>
      <c r="P4782">
        <v>0.977823</v>
      </c>
      <c r="Q4782">
        <v>0.14608940000000001</v>
      </c>
      <c r="R4782">
        <v>-0.15006700000000001</v>
      </c>
      <c r="S4782">
        <v>3.0261840000000002</v>
      </c>
      <c r="T4782">
        <v>-0.20420189999999999</v>
      </c>
      <c r="U4782">
        <v>-0.4722595</v>
      </c>
      <c r="V4782">
        <v>0.18302850000000001</v>
      </c>
      <c r="W4782">
        <v>0.15954949999999901</v>
      </c>
      <c r="X4782">
        <v>0.97007449999999995</v>
      </c>
      <c r="Y4782">
        <v>0.18719749999999999</v>
      </c>
      <c r="Z4782">
        <v>-8.5495369999999994E-3</v>
      </c>
      <c r="AA4782">
        <v>0.98228510000000002</v>
      </c>
      <c r="AB4782">
        <v>22</v>
      </c>
      <c r="AC4782">
        <v>16.3492</v>
      </c>
      <c r="AD4782">
        <v>-1.110648670519</v>
      </c>
      <c r="AE4782">
        <v>-2.57282999999999</v>
      </c>
      <c r="AF4782">
        <v>3.1130872242259899</v>
      </c>
      <c r="AG4782">
        <v>-1.110648670519</v>
      </c>
      <c r="AH4782">
        <v>16.179430384175401</v>
      </c>
      <c r="AI4782">
        <v>93.856431902912703</v>
      </c>
      <c r="AJ4782">
        <v>79.108809978416005</v>
      </c>
      <c r="AK4782">
        <v>16.513595008093901</v>
      </c>
      <c r="AL4782">
        <v>80.819251481206194</v>
      </c>
      <c r="AM4782">
        <v>79.315339943949098</v>
      </c>
      <c r="AN4782">
        <v>1.00000000515637</v>
      </c>
    </row>
    <row r="4783" spans="1:40" x14ac:dyDescent="0.25">
      <c r="A4783" t="str">
        <f>"20190312172802408"</f>
        <v>20190312172802408</v>
      </c>
      <c r="B4783" t="str">
        <f>"1552382882403953"</f>
        <v>1552382882403953</v>
      </c>
      <c r="C4783" t="s">
        <v>40</v>
      </c>
      <c r="D4783">
        <v>3.6471710000000002</v>
      </c>
      <c r="E4783">
        <v>0.50165990000000005</v>
      </c>
      <c r="F4783" t="s">
        <v>41</v>
      </c>
      <c r="G4783">
        <v>-327.2516</v>
      </c>
      <c r="H4783" s="1">
        <v>-2.651502E-6</v>
      </c>
      <c r="I4783">
        <v>13.5583299999999</v>
      </c>
      <c r="J4783">
        <v>-343.43239999999997</v>
      </c>
      <c r="K4783">
        <v>1.1106400000000001</v>
      </c>
      <c r="L4783">
        <v>16.139279999999999</v>
      </c>
      <c r="M4783">
        <v>0.99931329999999996</v>
      </c>
      <c r="N4783">
        <v>0</v>
      </c>
      <c r="O4783">
        <v>3.4454680000000001E-2</v>
      </c>
      <c r="P4783">
        <v>0.97761600000000004</v>
      </c>
      <c r="Q4783">
        <v>0.1451954</v>
      </c>
      <c r="R4783">
        <v>-0.15226719999999999</v>
      </c>
      <c r="S4783">
        <v>3.0254210000000001</v>
      </c>
      <c r="T4783">
        <v>-0.20618159999999999</v>
      </c>
      <c r="U4783">
        <v>-0.478302</v>
      </c>
      <c r="V4783">
        <v>0.18567349999999999</v>
      </c>
      <c r="W4783">
        <v>0.15865270000000001</v>
      </c>
      <c r="X4783">
        <v>0.96971890000000005</v>
      </c>
      <c r="Y4783">
        <v>0.1895897</v>
      </c>
      <c r="Z4783">
        <v>-8.7454530000000003E-3</v>
      </c>
      <c r="AA4783">
        <v>0.98182449999999999</v>
      </c>
      <c r="AB4783">
        <v>22</v>
      </c>
      <c r="AC4783">
        <v>16.180799999999898</v>
      </c>
      <c r="AD4783">
        <v>-1.110642651502</v>
      </c>
      <c r="AE4783">
        <v>-2.5809500000000001</v>
      </c>
      <c r="AF4783">
        <v>3.1226265118062799</v>
      </c>
      <c r="AG4783">
        <v>-1.110642651502</v>
      </c>
      <c r="AH4783">
        <v>16.008705123731598</v>
      </c>
      <c r="AI4783">
        <v>93.895491233399795</v>
      </c>
      <c r="AJ4783">
        <v>78.962587859705195</v>
      </c>
      <c r="AK4783">
        <v>16.348179200454101</v>
      </c>
      <c r="AL4783">
        <v>80.871297569760699</v>
      </c>
      <c r="AM4783">
        <v>79.1606835946518</v>
      </c>
      <c r="AN4783">
        <v>1.0000000364183701</v>
      </c>
    </row>
    <row r="4784" spans="1:40" x14ac:dyDescent="0.25">
      <c r="A4784" t="str">
        <f>"20190312172802420"</f>
        <v>20190312172802420</v>
      </c>
      <c r="B4784" t="str">
        <f>"1552382882414688"</f>
        <v>1552382882414688</v>
      </c>
      <c r="C4784" t="s">
        <v>40</v>
      </c>
      <c r="D4784">
        <v>3.6371150000000001</v>
      </c>
      <c r="E4784">
        <v>0.50149790000000005</v>
      </c>
      <c r="F4784" t="s">
        <v>41</v>
      </c>
      <c r="G4784">
        <v>-327.30500000000001</v>
      </c>
      <c r="H4784" s="1">
        <v>-2.6290690000000002E-6</v>
      </c>
      <c r="I4784">
        <v>13.565670000000001</v>
      </c>
      <c r="J4784">
        <v>-343.315</v>
      </c>
      <c r="K4784">
        <v>1.1106309999999999</v>
      </c>
      <c r="L4784">
        <v>16.143829999999902</v>
      </c>
      <c r="M4784">
        <v>0.99929710000000005</v>
      </c>
      <c r="N4784">
        <v>0</v>
      </c>
      <c r="O4784">
        <v>3.4922920000000003E-2</v>
      </c>
      <c r="P4784">
        <v>0.97750119999999896</v>
      </c>
      <c r="Q4784">
        <v>0.1437079</v>
      </c>
      <c r="R4784">
        <v>-0.1544005</v>
      </c>
      <c r="S4784">
        <v>3.0244140000000002</v>
      </c>
      <c r="T4784">
        <v>-0.20828140000000001</v>
      </c>
      <c r="U4784">
        <v>-0.4826355</v>
      </c>
      <c r="V4784">
        <v>0.1882588</v>
      </c>
      <c r="W4784">
        <v>0.15716240000000001</v>
      </c>
      <c r="X4784">
        <v>0.96946310000000002</v>
      </c>
      <c r="Y4784">
        <v>0.19145599999999999</v>
      </c>
      <c r="Z4784">
        <v>-8.9320630000000005E-3</v>
      </c>
      <c r="AA4784">
        <v>0.98146060000000002</v>
      </c>
      <c r="AB4784">
        <v>22</v>
      </c>
      <c r="AC4784">
        <v>16.009999999999899</v>
      </c>
      <c r="AD4784">
        <v>-1.110633629069</v>
      </c>
      <c r="AE4784">
        <v>-2.5781599999999898</v>
      </c>
      <c r="AF4784">
        <v>3.12111461814813</v>
      </c>
      <c r="AG4784">
        <v>-1.110633629069</v>
      </c>
      <c r="AH4784">
        <v>15.8359050459059</v>
      </c>
      <c r="AI4784">
        <v>93.936327076535704</v>
      </c>
      <c r="AJ4784">
        <v>78.850418824428104</v>
      </c>
      <c r="AK4784">
        <v>16.1787129321397</v>
      </c>
      <c r="AL4784">
        <v>80.957770486661602</v>
      </c>
      <c r="AM4784">
        <v>79.010577881202394</v>
      </c>
      <c r="AN4784">
        <v>1.0000000490064</v>
      </c>
    </row>
    <row r="4785" spans="1:40" x14ac:dyDescent="0.25">
      <c r="A4785" t="str">
        <f>"20190312172802433"</f>
        <v>20190312172802433</v>
      </c>
      <c r="B4785" t="str">
        <f>"1552382882424449"</f>
        <v>1552382882424449</v>
      </c>
      <c r="C4785" t="s">
        <v>40</v>
      </c>
      <c r="D4785">
        <v>3.6548050000000001</v>
      </c>
      <c r="E4785">
        <v>0.50140309999999999</v>
      </c>
      <c r="F4785" t="s">
        <v>41</v>
      </c>
      <c r="G4785">
        <v>-327.56920000000002</v>
      </c>
      <c r="H4785" s="1">
        <v>-2.5161310000000002E-6</v>
      </c>
      <c r="I4785">
        <v>13.608750000000001</v>
      </c>
      <c r="J4785">
        <v>-343.2011</v>
      </c>
      <c r="K4785">
        <v>1.110619</v>
      </c>
      <c r="L4785">
        <v>16.148319999999998</v>
      </c>
      <c r="M4785">
        <v>0.99928119999999998</v>
      </c>
      <c r="N4785">
        <v>0</v>
      </c>
      <c r="O4785">
        <v>3.5377079999999998E-2</v>
      </c>
      <c r="P4785">
        <v>0.97736140000000005</v>
      </c>
      <c r="Q4785">
        <v>0.14243159999999999</v>
      </c>
      <c r="R4785">
        <v>-0.15645519999999999</v>
      </c>
      <c r="S4785">
        <v>3.0234990000000002</v>
      </c>
      <c r="T4785">
        <v>-0.21326339999999999</v>
      </c>
      <c r="U4785">
        <v>-0.48678589999999999</v>
      </c>
      <c r="V4785">
        <v>0.19075059999999999</v>
      </c>
      <c r="W4785">
        <v>0.155884299999999</v>
      </c>
      <c r="X4785">
        <v>0.96918230000000005</v>
      </c>
      <c r="Y4785">
        <v>0.1932305</v>
      </c>
      <c r="Z4785">
        <v>-9.2408899999999999E-3</v>
      </c>
      <c r="AA4785">
        <v>0.98110989999999998</v>
      </c>
      <c r="AB4785">
        <v>22</v>
      </c>
      <c r="AC4785">
        <v>15.6318999999999</v>
      </c>
      <c r="AD4785">
        <v>-1.110621516131</v>
      </c>
      <c r="AE4785">
        <v>-2.5395699999999999</v>
      </c>
      <c r="AF4785">
        <v>3.0759147465624701</v>
      </c>
      <c r="AG4785">
        <v>-1.110621516131</v>
      </c>
      <c r="AH4785">
        <v>15.4562473446749</v>
      </c>
      <c r="AI4785">
        <v>94.031189527339507</v>
      </c>
      <c r="AJ4785">
        <v>78.744736873339704</v>
      </c>
      <c r="AK4785">
        <v>15.7984275692229</v>
      </c>
      <c r="AL4785">
        <v>81.031913823526494</v>
      </c>
      <c r="AM4785">
        <v>78.865586746433195</v>
      </c>
      <c r="AN4785">
        <v>1.0000000185100699</v>
      </c>
    </row>
    <row r="4786" spans="1:40" x14ac:dyDescent="0.25">
      <c r="A4786" t="str">
        <f>"20190312172802445"</f>
        <v>20190312172802445</v>
      </c>
      <c r="B4786" t="str">
        <f>"1552382882434209"</f>
        <v>1552382882434209</v>
      </c>
      <c r="C4786" t="s">
        <v>40</v>
      </c>
      <c r="D4786">
        <v>3.6474329999999999</v>
      </c>
      <c r="E4786">
        <v>0.50129029999999997</v>
      </c>
      <c r="F4786" t="s">
        <v>41</v>
      </c>
      <c r="G4786">
        <v>-327.80180000000001</v>
      </c>
      <c r="H4786" s="1">
        <v>-2.4172450000000001E-6</v>
      </c>
      <c r="I4786">
        <v>13.64466</v>
      </c>
      <c r="J4786">
        <v>-343.07440000000003</v>
      </c>
      <c r="K4786">
        <v>1.1106149999999999</v>
      </c>
      <c r="L4786">
        <v>16.153379999999999</v>
      </c>
      <c r="M4786">
        <v>0.99926309999999996</v>
      </c>
      <c r="N4786">
        <v>0</v>
      </c>
      <c r="O4786">
        <v>3.5882320000000002E-2</v>
      </c>
      <c r="P4786">
        <v>0.97721429999999998</v>
      </c>
      <c r="Q4786">
        <v>0.14184959999999999</v>
      </c>
      <c r="R4786">
        <v>-0.157895799999999</v>
      </c>
      <c r="S4786">
        <v>3.0226139999999999</v>
      </c>
      <c r="T4786">
        <v>-0.2179961</v>
      </c>
      <c r="U4786">
        <v>-0.49142459999999999</v>
      </c>
      <c r="V4786">
        <v>0.19267709999999999</v>
      </c>
      <c r="W4786">
        <v>0.15529879999999999</v>
      </c>
      <c r="X4786">
        <v>0.96889510000000001</v>
      </c>
      <c r="Y4786">
        <v>0.19520709999999999</v>
      </c>
      <c r="Z4786">
        <v>-9.5539609999999997E-3</v>
      </c>
      <c r="AA4786">
        <v>0.98071549999999996</v>
      </c>
      <c r="AB4786">
        <v>22</v>
      </c>
      <c r="AC4786">
        <v>15.272600000000001</v>
      </c>
      <c r="AD4786">
        <v>-1.1106174172449901</v>
      </c>
      <c r="AE4786">
        <v>-2.5087199999999901</v>
      </c>
      <c r="AF4786">
        <v>3.0395202466079301</v>
      </c>
      <c r="AG4786">
        <v>-1.1106174172449901</v>
      </c>
      <c r="AH4786">
        <v>15.095008631093</v>
      </c>
      <c r="AI4786">
        <v>94.125454180926994</v>
      </c>
      <c r="AJ4786">
        <v>78.615200908874598</v>
      </c>
      <c r="AK4786">
        <v>15.4379869137721</v>
      </c>
      <c r="AL4786">
        <v>81.065873457378004</v>
      </c>
      <c r="AM4786">
        <v>78.752737197912097</v>
      </c>
      <c r="AN4786">
        <v>0.99999994847492801</v>
      </c>
    </row>
    <row r="4787" spans="1:40" x14ac:dyDescent="0.25">
      <c r="A4787" t="str">
        <f>"20190312172802464"</f>
        <v>20190312172802464</v>
      </c>
      <c r="B4787" t="str">
        <f>"1552382882454704"</f>
        <v>1552382882454704</v>
      </c>
      <c r="C4787" t="s">
        <v>40</v>
      </c>
      <c r="D4787">
        <v>3.6459519999999999</v>
      </c>
      <c r="E4787">
        <v>0.5009787</v>
      </c>
      <c r="F4787" t="s">
        <v>41</v>
      </c>
      <c r="G4787">
        <v>-327.81229999999999</v>
      </c>
      <c r="H4787" s="1">
        <v>-2.4099009999999998E-6</v>
      </c>
      <c r="I4787">
        <v>13.65719</v>
      </c>
      <c r="J4787">
        <v>-342.89260000000002</v>
      </c>
      <c r="K4787">
        <v>1.1106100000000001</v>
      </c>
      <c r="L4787">
        <v>16.160740000000001</v>
      </c>
      <c r="M4787">
        <v>0.99923689999999998</v>
      </c>
      <c r="N4787">
        <v>0</v>
      </c>
      <c r="O4787">
        <v>3.660737E-2</v>
      </c>
      <c r="P4787">
        <v>0.97679229999999995</v>
      </c>
      <c r="Q4787">
        <v>0.14207600000000001</v>
      </c>
      <c r="R4787">
        <v>-0.16028419999999999</v>
      </c>
      <c r="S4787">
        <v>3.0220030000000002</v>
      </c>
      <c r="T4787">
        <v>-0.21990979999999999</v>
      </c>
      <c r="U4787">
        <v>-0.4942627</v>
      </c>
      <c r="V4787">
        <v>0.19575319999999999</v>
      </c>
      <c r="W4787">
        <v>0.155517299999999</v>
      </c>
      <c r="X4787">
        <v>0.96824330000000003</v>
      </c>
      <c r="Y4787">
        <v>0.19683039999999999</v>
      </c>
      <c r="Z4787">
        <v>-9.7498199999999993E-3</v>
      </c>
      <c r="AA4787">
        <v>0.98038910000000001</v>
      </c>
      <c r="AB4787">
        <v>22</v>
      </c>
      <c r="AC4787">
        <v>15.080299999999999</v>
      </c>
      <c r="AD4787">
        <v>-1.110612409901</v>
      </c>
      <c r="AE4787">
        <v>-2.5035500000000002</v>
      </c>
      <c r="AF4787">
        <v>3.0379376853083602</v>
      </c>
      <c r="AG4787">
        <v>-1.110612409901</v>
      </c>
      <c r="AH4787">
        <v>14.8998866026886</v>
      </c>
      <c r="AI4787">
        <v>94.177219512364701</v>
      </c>
      <c r="AJ4787">
        <v>78.475921186806204</v>
      </c>
      <c r="AK4787">
        <v>15.2469389084439</v>
      </c>
      <c r="AL4787">
        <v>81.053200972945902</v>
      </c>
      <c r="AM4787">
        <v>78.570371467058806</v>
      </c>
      <c r="AN4787">
        <v>1.0000000169522001</v>
      </c>
    </row>
    <row r="4788" spans="1:40" x14ac:dyDescent="0.25">
      <c r="A4788" t="str">
        <f>"20190312172802486"</f>
        <v>20190312172802486</v>
      </c>
      <c r="B4788" t="str">
        <f>"1552382882474224"</f>
        <v>1552382882474224</v>
      </c>
      <c r="C4788" t="s">
        <v>40</v>
      </c>
      <c r="D4788">
        <v>3.629591</v>
      </c>
      <c r="E4788">
        <v>0.50071889999999997</v>
      </c>
      <c r="F4788" t="s">
        <v>41</v>
      </c>
      <c r="G4788">
        <v>-327.57229999999998</v>
      </c>
      <c r="H4788" s="1">
        <v>-2.508379E-6</v>
      </c>
      <c r="I4788">
        <v>13.633430000000001</v>
      </c>
      <c r="J4788">
        <v>-342.68360000000001</v>
      </c>
      <c r="K4788">
        <v>1.110609</v>
      </c>
      <c r="L4788">
        <v>16.169370000000001</v>
      </c>
      <c r="M4788">
        <v>0.99920600000000004</v>
      </c>
      <c r="N4788">
        <v>0</v>
      </c>
      <c r="O4788">
        <v>3.7440960000000002E-2</v>
      </c>
      <c r="P4788">
        <v>0.9767536</v>
      </c>
      <c r="Q4788">
        <v>0.14119770000000001</v>
      </c>
      <c r="R4788">
        <v>-0.16129470000000001</v>
      </c>
      <c r="S4788">
        <v>3.0213320000000001</v>
      </c>
      <c r="T4788">
        <v>-0.219025</v>
      </c>
      <c r="U4788">
        <v>-0.4984131</v>
      </c>
      <c r="V4788">
        <v>0.19757230000000001</v>
      </c>
      <c r="W4788">
        <v>0.15463499999999999</v>
      </c>
      <c r="X4788">
        <v>0.96801510000000002</v>
      </c>
      <c r="Y4788">
        <v>0.1989909</v>
      </c>
      <c r="Z4788">
        <v>-9.8494589999999996E-3</v>
      </c>
      <c r="AA4788">
        <v>0.97995189999999999</v>
      </c>
      <c r="AB4788">
        <v>22</v>
      </c>
      <c r="AC4788">
        <v>15.1113</v>
      </c>
      <c r="AD4788">
        <v>-1.110611508379</v>
      </c>
      <c r="AE4788">
        <v>-2.5359400000000001</v>
      </c>
      <c r="AF4788">
        <v>3.0837945571738201</v>
      </c>
      <c r="AG4788">
        <v>-1.110611508379</v>
      </c>
      <c r="AH4788">
        <v>14.927323260909301</v>
      </c>
      <c r="AI4788">
        <v>94.167358947119595</v>
      </c>
      <c r="AJ4788">
        <v>78.327626479576395</v>
      </c>
      <c r="AK4788">
        <v>15.2829390671128</v>
      </c>
      <c r="AL4788">
        <v>81.1043720676264</v>
      </c>
      <c r="AM4788">
        <v>78.464345299886503</v>
      </c>
      <c r="AN4788">
        <v>1.0000000153901401</v>
      </c>
    </row>
    <row r="4789" spans="1:40" x14ac:dyDescent="0.25">
      <c r="A4789" t="str">
        <f>"20190312172802498"</f>
        <v>20190312172802498</v>
      </c>
      <c r="B4789" t="str">
        <f>"1552382882494721"</f>
        <v>1552382882494721</v>
      </c>
      <c r="C4789" t="s">
        <v>40</v>
      </c>
      <c r="D4789">
        <v>3.638255</v>
      </c>
      <c r="E4789">
        <v>0.50045039999999996</v>
      </c>
      <c r="F4789" t="s">
        <v>41</v>
      </c>
      <c r="G4789">
        <v>-327.49590000000001</v>
      </c>
      <c r="H4789" s="1">
        <v>-2.5298330000000002E-6</v>
      </c>
      <c r="I4789">
        <v>13.663040000000001</v>
      </c>
      <c r="J4789">
        <v>-342.56709999999998</v>
      </c>
      <c r="K4789">
        <v>1.110608</v>
      </c>
      <c r="L4789">
        <v>16.174289999999999</v>
      </c>
      <c r="M4789">
        <v>0.99918859999999998</v>
      </c>
      <c r="N4789">
        <v>0</v>
      </c>
      <c r="O4789">
        <v>3.7905969999999997E-2</v>
      </c>
      <c r="P4789">
        <v>0.9766629</v>
      </c>
      <c r="Q4789">
        <v>0.1409629</v>
      </c>
      <c r="R4789">
        <v>-0.1620481</v>
      </c>
      <c r="S4789">
        <v>3.0209959999999998</v>
      </c>
      <c r="T4789">
        <v>-0.22091250000000001</v>
      </c>
      <c r="U4789">
        <v>-0.49853520000000001</v>
      </c>
      <c r="V4789">
        <v>0.19877349999999999</v>
      </c>
      <c r="W4789">
        <v>0.15439710000000001</v>
      </c>
      <c r="X4789">
        <v>0.96780710000000003</v>
      </c>
      <c r="Y4789">
        <v>0.19948979999999999</v>
      </c>
      <c r="Z4789">
        <v>-9.9870359999999995E-3</v>
      </c>
      <c r="AA4789">
        <v>0.97984899999999997</v>
      </c>
      <c r="AB4789">
        <v>22</v>
      </c>
      <c r="AC4789">
        <v>15.0711999999999</v>
      </c>
      <c r="AD4789">
        <v>-1.110610529833</v>
      </c>
      <c r="AE4789">
        <v>-2.51125</v>
      </c>
      <c r="AF4789">
        <v>3.0645939855173401</v>
      </c>
      <c r="AG4789">
        <v>-1.110610529833</v>
      </c>
      <c r="AH4789">
        <v>14.8865111036302</v>
      </c>
      <c r="AI4789">
        <v>94.179335810840499</v>
      </c>
      <c r="AJ4789">
        <v>78.367384894293593</v>
      </c>
      <c r="AK4789">
        <v>15.2392061762925</v>
      </c>
      <c r="AL4789">
        <v>81.118168069316795</v>
      </c>
      <c r="AM4789">
        <v>78.393681217178496</v>
      </c>
      <c r="AN4789">
        <v>0.99999997580053401</v>
      </c>
    </row>
    <row r="4790" spans="1:40" x14ac:dyDescent="0.25">
      <c r="A4790" t="str">
        <f>"20190312172802510"</f>
        <v>20190312172802510</v>
      </c>
      <c r="B4790" t="str">
        <f>"1552382882504480"</f>
        <v>1552382882504480</v>
      </c>
      <c r="C4790" t="s">
        <v>40</v>
      </c>
      <c r="D4790">
        <v>3.6207280000000002</v>
      </c>
      <c r="E4790">
        <v>0.50029820000000003</v>
      </c>
      <c r="F4790" t="s">
        <v>41</v>
      </c>
      <c r="G4790">
        <v>-327.37479999999999</v>
      </c>
      <c r="H4790" s="1">
        <v>-2.575234E-6</v>
      </c>
      <c r="I4790">
        <v>13.667229999999901</v>
      </c>
      <c r="J4790">
        <v>-342.45179999999999</v>
      </c>
      <c r="K4790">
        <v>1.1106100000000001</v>
      </c>
      <c r="L4790">
        <v>16.17914</v>
      </c>
      <c r="M4790">
        <v>0.99917100000000003</v>
      </c>
      <c r="N4790">
        <v>0</v>
      </c>
      <c r="O4790">
        <v>3.8365549999999998E-2</v>
      </c>
      <c r="P4790">
        <v>0.97656969999999998</v>
      </c>
      <c r="Q4790">
        <v>0.14093020000000001</v>
      </c>
      <c r="R4790">
        <v>-0.16263629999999901</v>
      </c>
      <c r="S4790">
        <v>3.0208439999999999</v>
      </c>
      <c r="T4790">
        <v>-0.22083449999999999</v>
      </c>
      <c r="U4790">
        <v>-0.49850460000000002</v>
      </c>
      <c r="V4790">
        <v>0.1998045</v>
      </c>
      <c r="W4790">
        <v>0.15436129999999901</v>
      </c>
      <c r="X4790">
        <v>0.96760049999999997</v>
      </c>
      <c r="Y4790">
        <v>0.1999368</v>
      </c>
      <c r="Z4790">
        <v>-1.003359E-2</v>
      </c>
      <c r="AA4790">
        <v>0.9797574</v>
      </c>
      <c r="AB4790">
        <v>22</v>
      </c>
      <c r="AC4790">
        <v>15.0769999999999</v>
      </c>
      <c r="AD4790">
        <v>-1.1106125752339999</v>
      </c>
      <c r="AE4790">
        <v>-2.5119099999999999</v>
      </c>
      <c r="AF4790">
        <v>3.0723305279512001</v>
      </c>
      <c r="AG4790">
        <v>-1.1106125752339999</v>
      </c>
      <c r="AH4790">
        <v>14.890899417430401</v>
      </c>
      <c r="AI4790">
        <v>94.177738524697006</v>
      </c>
      <c r="AJ4790">
        <v>78.342164197889602</v>
      </c>
      <c r="AK4790">
        <v>15.245050364799599</v>
      </c>
      <c r="AL4790">
        <v>81.120244259573198</v>
      </c>
      <c r="AM4790">
        <v>78.332704761187102</v>
      </c>
      <c r="AN4790">
        <v>0.99999998837909398</v>
      </c>
    </row>
    <row r="4791" spans="1:40" x14ac:dyDescent="0.25">
      <c r="A4791" t="str">
        <f>"20190312172802523"</f>
        <v>20190312172802523</v>
      </c>
      <c r="B4791" t="str">
        <f>"1552382882514242"</f>
        <v>1552382882514242</v>
      </c>
      <c r="C4791" t="s">
        <v>40</v>
      </c>
      <c r="D4791">
        <v>3.622512</v>
      </c>
      <c r="E4791">
        <v>0.50016300000000002</v>
      </c>
      <c r="F4791" t="s">
        <v>41</v>
      </c>
      <c r="G4791">
        <v>-327.2353</v>
      </c>
      <c r="H4791" s="1">
        <v>-2.6288050000000001E-6</v>
      </c>
      <c r="I4791">
        <v>13.667229999999901</v>
      </c>
      <c r="J4791">
        <v>-342.33229999999998</v>
      </c>
      <c r="K4791">
        <v>1.110614</v>
      </c>
      <c r="L4791">
        <v>16.1843</v>
      </c>
      <c r="M4791">
        <v>0.9991525</v>
      </c>
      <c r="N4791">
        <v>0</v>
      </c>
      <c r="O4791">
        <v>3.88429E-2</v>
      </c>
      <c r="P4791">
        <v>0.97656540000000003</v>
      </c>
      <c r="Q4791">
        <v>0.14053650000000001</v>
      </c>
      <c r="R4791">
        <v>-0.16300049999999999</v>
      </c>
      <c r="S4791">
        <v>3.0207519999999999</v>
      </c>
      <c r="T4791">
        <v>-0.22047600000000001</v>
      </c>
      <c r="U4791">
        <v>-0.49865720000000002</v>
      </c>
      <c r="V4791">
        <v>0.20063230000000001</v>
      </c>
      <c r="W4791">
        <v>0.15396560000000001</v>
      </c>
      <c r="X4791">
        <v>0.96749229999999997</v>
      </c>
      <c r="Y4791">
        <v>0.2004571</v>
      </c>
      <c r="Z4791">
        <v>-1.007105E-2</v>
      </c>
      <c r="AA4791">
        <v>0.97965069999999999</v>
      </c>
      <c r="AB4791">
        <v>22</v>
      </c>
      <c r="AC4791">
        <v>15.0969999999999</v>
      </c>
      <c r="AD4791">
        <v>-1.1106166288049999</v>
      </c>
      <c r="AE4791">
        <v>-2.5170699999999999</v>
      </c>
      <c r="AF4791">
        <v>3.0853896410727399</v>
      </c>
      <c r="AG4791">
        <v>-1.1106166288049999</v>
      </c>
      <c r="AH4791">
        <v>14.9093202777029</v>
      </c>
      <c r="AI4791">
        <v>94.172098591609</v>
      </c>
      <c r="AJ4791">
        <v>78.308041305640103</v>
      </c>
      <c r="AK4791">
        <v>15.265678159732699</v>
      </c>
      <c r="AL4791">
        <v>81.1431909587657</v>
      </c>
      <c r="AM4791">
        <v>78.284425917457995</v>
      </c>
      <c r="AN4791">
        <v>1.0000000381729599</v>
      </c>
    </row>
    <row r="4792" spans="1:40" x14ac:dyDescent="0.25">
      <c r="A4792" t="str">
        <f>"20190312172802542"</f>
        <v>20190312172802542</v>
      </c>
      <c r="B4792" t="str">
        <f>"1552382882533761"</f>
        <v>1552382882533761</v>
      </c>
      <c r="C4792" t="s">
        <v>40</v>
      </c>
      <c r="D4792">
        <v>3.6303969999999999</v>
      </c>
      <c r="E4792">
        <v>0.4998785</v>
      </c>
      <c r="F4792" t="s">
        <v>41</v>
      </c>
      <c r="G4792">
        <v>-327.16269999999997</v>
      </c>
      <c r="H4792" s="1">
        <v>-2.6525320000000001E-6</v>
      </c>
      <c r="I4792">
        <v>13.68285</v>
      </c>
      <c r="J4792">
        <v>-342.14859999999999</v>
      </c>
      <c r="K4792">
        <v>1.110614</v>
      </c>
      <c r="L4792">
        <v>16.19229</v>
      </c>
      <c r="M4792">
        <v>0.99912389999999995</v>
      </c>
      <c r="N4792">
        <v>0</v>
      </c>
      <c r="O4792">
        <v>3.9575760000000001E-2</v>
      </c>
      <c r="P4792">
        <v>0.97642430000000002</v>
      </c>
      <c r="Q4792">
        <v>0.1400332</v>
      </c>
      <c r="R4792">
        <v>-0.16427610000000001</v>
      </c>
      <c r="S4792">
        <v>3.0206909999999998</v>
      </c>
      <c r="T4792">
        <v>-0.22115489999999999</v>
      </c>
      <c r="U4792">
        <v>-0.49810789999999999</v>
      </c>
      <c r="V4792">
        <v>0.20261309999999999</v>
      </c>
      <c r="W4792">
        <v>0.1534576</v>
      </c>
      <c r="X4792">
        <v>0.96716009999999997</v>
      </c>
      <c r="Y4792">
        <v>0.20099819999999999</v>
      </c>
      <c r="Z4792">
        <v>-1.017526E-2</v>
      </c>
      <c r="AA4792">
        <v>0.97953880000000004</v>
      </c>
      <c r="AB4792">
        <v>22</v>
      </c>
      <c r="AC4792">
        <v>14.985900000000001</v>
      </c>
      <c r="AD4792">
        <v>-1.110616652532</v>
      </c>
      <c r="AE4792">
        <v>-2.5094400000000001</v>
      </c>
      <c r="AF4792">
        <v>3.0841297157862</v>
      </c>
      <c r="AG4792">
        <v>-1.110616652532</v>
      </c>
      <c r="AH4792">
        <v>14.7957873401909</v>
      </c>
      <c r="AI4792">
        <v>94.202745016210002</v>
      </c>
      <c r="AJ4792">
        <v>78.225498325240594</v>
      </c>
      <c r="AK4792">
        <v>15.1545586695499</v>
      </c>
      <c r="AL4792">
        <v>81.172646772835094</v>
      </c>
      <c r="AM4792">
        <v>78.168055418507294</v>
      </c>
      <c r="AN4792">
        <v>0.999999981160689</v>
      </c>
    </row>
    <row r="4793" spans="1:40" x14ac:dyDescent="0.25">
      <c r="A4793" t="str">
        <f>"20190312172802555"</f>
        <v>20190312172802555</v>
      </c>
      <c r="B4793" t="str">
        <f>"1552382882544496"</f>
        <v>1552382882544496</v>
      </c>
      <c r="C4793" t="s">
        <v>40</v>
      </c>
      <c r="D4793">
        <v>3.615307</v>
      </c>
      <c r="E4793">
        <v>0.4997723</v>
      </c>
      <c r="F4793" t="s">
        <v>41</v>
      </c>
      <c r="G4793">
        <v>-327.00799999999998</v>
      </c>
      <c r="H4793" s="1">
        <v>-2.709567E-6</v>
      </c>
      <c r="I4793">
        <v>13.69177</v>
      </c>
      <c r="J4793">
        <v>-342.02289999999999</v>
      </c>
      <c r="K4793">
        <v>1.1106119999999999</v>
      </c>
      <c r="L4793">
        <v>16.197849999999999</v>
      </c>
      <c r="M4793">
        <v>0.99910379999999999</v>
      </c>
      <c r="N4793">
        <v>0</v>
      </c>
      <c r="O4793">
        <v>4.0077250000000002E-2</v>
      </c>
      <c r="P4793">
        <v>0.97649790000000003</v>
      </c>
      <c r="Q4793">
        <v>0.13950370000000001</v>
      </c>
      <c r="R4793">
        <v>-0.1642875</v>
      </c>
      <c r="S4793">
        <v>3.0202939999999998</v>
      </c>
      <c r="T4793">
        <v>-0.22154879999999999</v>
      </c>
      <c r="U4793">
        <v>-0.49880980000000003</v>
      </c>
      <c r="V4793">
        <v>0.20311509999999999</v>
      </c>
      <c r="W4793">
        <v>0.1529266</v>
      </c>
      <c r="X4793">
        <v>0.96713890000000002</v>
      </c>
      <c r="Y4793">
        <v>0.2017264</v>
      </c>
      <c r="Z4793">
        <v>-1.0257479999999999E-2</v>
      </c>
      <c r="AA4793">
        <v>0.97938820000000004</v>
      </c>
      <c r="AB4793">
        <v>22</v>
      </c>
      <c r="AC4793">
        <v>15.014900000000001</v>
      </c>
      <c r="AD4793">
        <v>-1.110614709567</v>
      </c>
      <c r="AE4793">
        <v>-2.5060799999999901</v>
      </c>
      <c r="AF4793">
        <v>3.0894331285929701</v>
      </c>
      <c r="AG4793">
        <v>-1.110614709567</v>
      </c>
      <c r="AH4793">
        <v>14.823484403088999</v>
      </c>
      <c r="AI4793">
        <v>94.194939578526103</v>
      </c>
      <c r="AJ4793">
        <v>78.227239121820901</v>
      </c>
      <c r="AK4793">
        <v>15.182679339885301</v>
      </c>
      <c r="AL4793">
        <v>81.203434139032794</v>
      </c>
      <c r="AM4793">
        <v>78.139316952208404</v>
      </c>
      <c r="AN4793">
        <v>0.99999997036438903</v>
      </c>
    </row>
    <row r="4794" spans="1:40" x14ac:dyDescent="0.25">
      <c r="A4794" t="str">
        <f>"20190312172802575"</f>
        <v>20190312172802575</v>
      </c>
      <c r="B4794" t="str">
        <f>"1552382882564020"</f>
        <v>1552382882564020</v>
      </c>
      <c r="C4794" t="s">
        <v>40</v>
      </c>
      <c r="D4794">
        <v>3.6004659999999999</v>
      </c>
      <c r="E4794">
        <v>0.49955759999999999</v>
      </c>
      <c r="F4794" t="s">
        <v>41</v>
      </c>
      <c r="G4794">
        <v>-326.97329999999999</v>
      </c>
      <c r="H4794" s="1">
        <v>-2.7158189999999998E-6</v>
      </c>
      <c r="I4794">
        <v>13.718310000000001</v>
      </c>
      <c r="J4794">
        <v>-341.82940000000002</v>
      </c>
      <c r="K4794">
        <v>1.1106100000000001</v>
      </c>
      <c r="L4794">
        <v>16.206510000000002</v>
      </c>
      <c r="M4794">
        <v>0.99907259999999998</v>
      </c>
      <c r="N4794">
        <v>0</v>
      </c>
      <c r="O4794">
        <v>4.0849919999999998E-2</v>
      </c>
      <c r="P4794">
        <v>0.97656109999999896</v>
      </c>
      <c r="Q4794">
        <v>0.13874890000000001</v>
      </c>
      <c r="R4794">
        <v>-0.164553</v>
      </c>
      <c r="S4794">
        <v>3.0203250000000001</v>
      </c>
      <c r="T4794">
        <v>-0.22289030000000001</v>
      </c>
      <c r="U4794">
        <v>-0.4976196</v>
      </c>
      <c r="V4794">
        <v>0.2041335</v>
      </c>
      <c r="W4794">
        <v>0.15216930000000001</v>
      </c>
      <c r="X4794">
        <v>0.96704400000000001</v>
      </c>
      <c r="Y4794">
        <v>0.20209559999999999</v>
      </c>
      <c r="Z4794">
        <v>-1.0389789999999999E-2</v>
      </c>
      <c r="AA4794">
        <v>0.97931069999999998</v>
      </c>
      <c r="AB4794">
        <v>21</v>
      </c>
      <c r="AC4794">
        <v>14.8561</v>
      </c>
      <c r="AD4794">
        <v>-1.110612715819</v>
      </c>
      <c r="AE4794">
        <v>-2.4882</v>
      </c>
      <c r="AF4794">
        <v>3.0763256836442499</v>
      </c>
      <c r="AG4794">
        <v>-1.110612715819</v>
      </c>
      <c r="AH4794">
        <v>14.662336681489901</v>
      </c>
      <c r="AI4794">
        <v>94.239687361064497</v>
      </c>
      <c r="AJ4794">
        <v>78.150569727104994</v>
      </c>
      <c r="AK4794">
        <v>15.022694740882899</v>
      </c>
      <c r="AL4794">
        <v>81.247338696598902</v>
      </c>
      <c r="AM4794">
        <v>78.080409108844293</v>
      </c>
      <c r="AN4794">
        <v>1.0000000398103599</v>
      </c>
    </row>
    <row r="4795" spans="1:40" x14ac:dyDescent="0.25">
      <c r="A4795" t="str">
        <f>"20190312172802586"</f>
        <v>20190312172802586</v>
      </c>
      <c r="B4795" t="str">
        <f>"1552382882584512"</f>
        <v>1552382882584512</v>
      </c>
      <c r="C4795" t="s">
        <v>40</v>
      </c>
      <c r="D4795">
        <v>3.647125</v>
      </c>
      <c r="E4795">
        <v>0.49941069999999999</v>
      </c>
      <c r="F4795" t="s">
        <v>41</v>
      </c>
      <c r="G4795">
        <v>-326.89249999999998</v>
      </c>
      <c r="H4795" s="1">
        <v>-2.7380409999999999E-6</v>
      </c>
      <c r="I4795">
        <v>13.75142</v>
      </c>
      <c r="J4795">
        <v>-341.71690000000001</v>
      </c>
      <c r="K4795">
        <v>1.1106069999999999</v>
      </c>
      <c r="L4795">
        <v>16.211579999999898</v>
      </c>
      <c r="M4795">
        <v>0.99905409999999994</v>
      </c>
      <c r="N4795">
        <v>0</v>
      </c>
      <c r="O4795">
        <v>4.1298899999999999E-2</v>
      </c>
      <c r="P4795">
        <v>0.97657439999999995</v>
      </c>
      <c r="Q4795">
        <v>0.138742899999999</v>
      </c>
      <c r="R4795">
        <v>-0.16447709999999999</v>
      </c>
      <c r="S4795">
        <v>3.0202939999999998</v>
      </c>
      <c r="T4795">
        <v>-0.2245702</v>
      </c>
      <c r="U4795">
        <v>-0.49642940000000002</v>
      </c>
      <c r="V4795">
        <v>0.20449400000000001</v>
      </c>
      <c r="W4795">
        <v>0.152161299999999</v>
      </c>
      <c r="X4795">
        <v>0.96696910000000003</v>
      </c>
      <c r="Y4795">
        <v>0.20215040000000001</v>
      </c>
      <c r="Z4795">
        <v>-1.0503490000000001E-2</v>
      </c>
      <c r="AA4795">
        <v>0.97929820000000001</v>
      </c>
      <c r="AB4795">
        <v>21</v>
      </c>
      <c r="AC4795">
        <v>14.824400000000001</v>
      </c>
      <c r="AD4795">
        <v>-1.1106097380409901</v>
      </c>
      <c r="AE4795">
        <v>-2.4601599999999899</v>
      </c>
      <c r="AF4795">
        <v>3.0536690051513502</v>
      </c>
      <c r="AG4795">
        <v>-1.1106097380409901</v>
      </c>
      <c r="AH4795">
        <v>14.6302250913138</v>
      </c>
      <c r="AI4795">
        <v>94.249871196622195</v>
      </c>
      <c r="AJ4795">
        <v>78.210298178149898</v>
      </c>
      <c r="AK4795">
        <v>14.9867219432991</v>
      </c>
      <c r="AL4795">
        <v>81.247802542687296</v>
      </c>
      <c r="AM4795">
        <v>78.059064442297995</v>
      </c>
      <c r="AN4795">
        <v>1.00000004880424</v>
      </c>
    </row>
    <row r="4796" spans="1:40" x14ac:dyDescent="0.25">
      <c r="A4796" t="str">
        <f>"20190312172802598"</f>
        <v>20190312172802598</v>
      </c>
      <c r="B4796" t="str">
        <f>"1552382882594273"</f>
        <v>1552382882594273</v>
      </c>
      <c r="C4796" t="s">
        <v>40</v>
      </c>
      <c r="D4796">
        <v>3.6036160000000002</v>
      </c>
      <c r="E4796">
        <v>0.49932369999999998</v>
      </c>
      <c r="F4796" t="s">
        <v>41</v>
      </c>
      <c r="G4796">
        <v>-326.7534</v>
      </c>
      <c r="H4796" s="1">
        <v>-2.78948E-6</v>
      </c>
      <c r="I4796">
        <v>13.75886</v>
      </c>
      <c r="J4796">
        <v>-341.613</v>
      </c>
      <c r="K4796">
        <v>1.110606</v>
      </c>
      <c r="L4796">
        <v>16.216370000000001</v>
      </c>
      <c r="M4796">
        <v>0.99903699999999995</v>
      </c>
      <c r="N4796">
        <v>0</v>
      </c>
      <c r="O4796">
        <v>4.171366E-2</v>
      </c>
      <c r="P4796">
        <v>0.97662009999999999</v>
      </c>
      <c r="Q4796">
        <v>0.138132</v>
      </c>
      <c r="R4796">
        <v>-0.16472120000000001</v>
      </c>
      <c r="S4796">
        <v>3.020416</v>
      </c>
      <c r="T4796">
        <v>-0.22417889999999999</v>
      </c>
      <c r="U4796">
        <v>-0.49508669999999999</v>
      </c>
      <c r="V4796">
        <v>0.20514270000000001</v>
      </c>
      <c r="W4796">
        <v>0.15154899999999999</v>
      </c>
      <c r="X4796">
        <v>0.9669278</v>
      </c>
      <c r="Y4796">
        <v>0.2021279</v>
      </c>
      <c r="Z4796">
        <v>-1.051494E-2</v>
      </c>
      <c r="AA4796">
        <v>0.97930269999999997</v>
      </c>
      <c r="AB4796">
        <v>21</v>
      </c>
      <c r="AC4796">
        <v>14.8596</v>
      </c>
      <c r="AD4796">
        <v>-1.1106087894800001</v>
      </c>
      <c r="AE4796">
        <v>-2.4575100000000001</v>
      </c>
      <c r="AF4796">
        <v>3.0586452706352101</v>
      </c>
      <c r="AG4796">
        <v>-1.1106087894800001</v>
      </c>
      <c r="AH4796">
        <v>14.6644068488611</v>
      </c>
      <c r="AI4796">
        <v>94.240121908282802</v>
      </c>
      <c r="AJ4796">
        <v>78.218379005306204</v>
      </c>
      <c r="AK4796">
        <v>15.021104852965101</v>
      </c>
      <c r="AL4796">
        <v>81.283295936778899</v>
      </c>
      <c r="AM4796">
        <v>78.021780690451905</v>
      </c>
      <c r="AN4796">
        <v>0.99999999858856403</v>
      </c>
    </row>
    <row r="4797" spans="1:40" x14ac:dyDescent="0.25">
      <c r="A4797" t="str">
        <f>"20190312172802609"</f>
        <v>20190312172802609</v>
      </c>
      <c r="B4797" t="str">
        <f>"1552382882604033"</f>
        <v>1552382882604033</v>
      </c>
      <c r="C4797" t="s">
        <v>40</v>
      </c>
      <c r="D4797">
        <v>3.6212749999999998</v>
      </c>
      <c r="E4797">
        <v>0.49922359999999999</v>
      </c>
      <c r="F4797" t="s">
        <v>41</v>
      </c>
      <c r="G4797">
        <v>-326.75810000000001</v>
      </c>
      <c r="H4797" s="1">
        <v>-2.7816429999999999E-6</v>
      </c>
      <c r="I4797">
        <v>13.781610000000001</v>
      </c>
      <c r="J4797">
        <v>-341.5027</v>
      </c>
      <c r="K4797">
        <v>1.1106039999999999</v>
      </c>
      <c r="L4797">
        <v>16.221499999999999</v>
      </c>
      <c r="M4797">
        <v>0.99901850000000003</v>
      </c>
      <c r="N4797">
        <v>0</v>
      </c>
      <c r="O4797">
        <v>4.2153879999999998E-2</v>
      </c>
      <c r="P4797">
        <v>0.97664960000000001</v>
      </c>
      <c r="Q4797">
        <v>0.13738359999999999</v>
      </c>
      <c r="R4797">
        <v>-0.16517179999999901</v>
      </c>
      <c r="S4797">
        <v>3.0202640000000001</v>
      </c>
      <c r="T4797">
        <v>-0.22580500000000001</v>
      </c>
      <c r="U4797">
        <v>-0.49502560000000001</v>
      </c>
      <c r="V4797">
        <v>0.20602229999999999</v>
      </c>
      <c r="W4797">
        <v>0.1507986</v>
      </c>
      <c r="X4797">
        <v>0.96685810000000005</v>
      </c>
      <c r="Y4797">
        <v>0.20253599999999999</v>
      </c>
      <c r="Z4797">
        <v>-1.063937E-2</v>
      </c>
      <c r="AA4797">
        <v>0.979217</v>
      </c>
      <c r="AB4797">
        <v>21</v>
      </c>
      <c r="AC4797">
        <v>14.744599999999901</v>
      </c>
      <c r="AD4797">
        <v>-1.1106067816429901</v>
      </c>
      <c r="AE4797">
        <v>-2.4398899999999899</v>
      </c>
      <c r="AF4797">
        <v>3.0425186845526899</v>
      </c>
      <c r="AG4797">
        <v>-1.1106067816429901</v>
      </c>
      <c r="AH4797">
        <v>14.5482907128367</v>
      </c>
      <c r="AI4797">
        <v>94.273357567880097</v>
      </c>
      <c r="AJ4797">
        <v>78.187840397367594</v>
      </c>
      <c r="AK4797">
        <v>14.9044667812872</v>
      </c>
      <c r="AL4797">
        <v>81.326790540748306</v>
      </c>
      <c r="AM4797">
        <v>77.971071946582896</v>
      </c>
      <c r="AN4797">
        <v>0.99999999569743003</v>
      </c>
    </row>
    <row r="4798" spans="1:40" x14ac:dyDescent="0.25">
      <c r="A4798" t="str">
        <f>"20190312172802621"</f>
        <v>20190312172802621</v>
      </c>
      <c r="B4798" t="str">
        <f>"1552382882613792"</f>
        <v>1552382882613792</v>
      </c>
      <c r="C4798" t="s">
        <v>40</v>
      </c>
      <c r="D4798">
        <v>3.6363810000000001</v>
      </c>
      <c r="E4798">
        <v>0.49916539999999998</v>
      </c>
      <c r="F4798" t="s">
        <v>41</v>
      </c>
      <c r="G4798">
        <v>-326.78519999999997</v>
      </c>
      <c r="H4798" s="1">
        <v>-2.7647719999999998E-6</v>
      </c>
      <c r="I4798">
        <v>13.805879999999901</v>
      </c>
      <c r="J4798">
        <v>-341.38630000000001</v>
      </c>
      <c r="K4798">
        <v>1.1105989999999999</v>
      </c>
      <c r="L4798">
        <v>16.226929999999999</v>
      </c>
      <c r="M4798">
        <v>0.99899890000000002</v>
      </c>
      <c r="N4798">
        <v>0</v>
      </c>
      <c r="O4798">
        <v>4.2617750000000003E-2</v>
      </c>
      <c r="P4798">
        <v>0.97663580000000005</v>
      </c>
      <c r="Q4798">
        <v>0.13650139999999999</v>
      </c>
      <c r="R4798">
        <v>-0.16598309999999999</v>
      </c>
      <c r="S4798">
        <v>3.0199280000000002</v>
      </c>
      <c r="T4798">
        <v>-0.2278879</v>
      </c>
      <c r="U4798">
        <v>-0.49566650000000001</v>
      </c>
      <c r="V4798">
        <v>0.20728360000000001</v>
      </c>
      <c r="W4798">
        <v>0.14991470000000001</v>
      </c>
      <c r="X4798">
        <v>0.96672590000000003</v>
      </c>
      <c r="Y4798">
        <v>0.20319480000000001</v>
      </c>
      <c r="Z4798">
        <v>-1.0797650000000001E-2</v>
      </c>
      <c r="AA4798">
        <v>0.97907880000000003</v>
      </c>
      <c r="AB4798">
        <v>21</v>
      </c>
      <c r="AC4798">
        <v>14.601100000000001</v>
      </c>
      <c r="AD4798">
        <v>-1.1106017647719999</v>
      </c>
      <c r="AE4798">
        <v>-2.4210500000000001</v>
      </c>
      <c r="AF4798">
        <v>3.0241453151983499</v>
      </c>
      <c r="AG4798">
        <v>-1.1106017647719999</v>
      </c>
      <c r="AH4798">
        <v>14.403539740287099</v>
      </c>
      <c r="AI4798">
        <v>94.3154095847935</v>
      </c>
      <c r="AJ4798">
        <v>78.142499321635995</v>
      </c>
      <c r="AK4798">
        <v>14.759432516779899</v>
      </c>
      <c r="AL4798">
        <v>81.378016118970194</v>
      </c>
      <c r="AM4798">
        <v>77.8979870564892</v>
      </c>
      <c r="AN4798">
        <v>0.99999993691792799</v>
      </c>
    </row>
    <row r="4799" spans="1:40" x14ac:dyDescent="0.25">
      <c r="A4799" t="str">
        <f>"20190312172802633"</f>
        <v>20190312172802633</v>
      </c>
      <c r="B4799" t="str">
        <f>"1552382882624529"</f>
        <v>1552382882624529</v>
      </c>
      <c r="C4799" t="s">
        <v>40</v>
      </c>
      <c r="D4799">
        <v>3.6279780000000001</v>
      </c>
      <c r="E4799">
        <v>0.49908770000000002</v>
      </c>
      <c r="F4799" t="s">
        <v>41</v>
      </c>
      <c r="G4799">
        <v>-326.834</v>
      </c>
      <c r="H4799" s="1">
        <v>-2.7401869999999999E-6</v>
      </c>
      <c r="I4799">
        <v>13.827819999999999</v>
      </c>
      <c r="J4799">
        <v>-341.27940000000001</v>
      </c>
      <c r="K4799">
        <v>1.1105860000000001</v>
      </c>
      <c r="L4799">
        <v>16.231960000000001</v>
      </c>
      <c r="M4799">
        <v>0.9989806</v>
      </c>
      <c r="N4799">
        <v>0</v>
      </c>
      <c r="O4799">
        <v>4.3042869999999997E-2</v>
      </c>
      <c r="P4799">
        <v>0.97661430000000005</v>
      </c>
      <c r="Q4799">
        <v>0.13536970000000001</v>
      </c>
      <c r="R4799">
        <v>-0.16703189999999901</v>
      </c>
      <c r="S4799">
        <v>3.0193479999999999</v>
      </c>
      <c r="T4799">
        <v>-0.23042979999999999</v>
      </c>
      <c r="U4799">
        <v>-0.4977722</v>
      </c>
      <c r="V4799">
        <v>0.20874490000000001</v>
      </c>
      <c r="W4799">
        <v>0.14878079999999999</v>
      </c>
      <c r="X4799">
        <v>0.96658670000000002</v>
      </c>
      <c r="Y4799">
        <v>0.20428650000000001</v>
      </c>
      <c r="Z4799">
        <v>-1.0992750000000001E-2</v>
      </c>
      <c r="AA4799">
        <v>0.97884939999999998</v>
      </c>
      <c r="AB4799">
        <v>21</v>
      </c>
      <c r="AC4799">
        <v>14.445399999999999</v>
      </c>
      <c r="AD4799">
        <v>-1.110588740187</v>
      </c>
      <c r="AE4799">
        <v>-2.4041399999999999</v>
      </c>
      <c r="AF4799">
        <v>3.0064489040370499</v>
      </c>
      <c r="AG4799">
        <v>-1.110588740187</v>
      </c>
      <c r="AH4799">
        <v>14.2465799544056</v>
      </c>
      <c r="AI4799">
        <v>94.361782400646405</v>
      </c>
      <c r="AJ4799">
        <v>78.083737000128096</v>
      </c>
      <c r="AK4799">
        <v>14.602643005966</v>
      </c>
      <c r="AL4799">
        <v>81.443721285544797</v>
      </c>
      <c r="AM4799">
        <v>77.813509124040195</v>
      </c>
      <c r="AN4799">
        <v>1.00000000417077</v>
      </c>
    </row>
    <row r="4800" spans="1:40" x14ac:dyDescent="0.25">
      <c r="A4800" t="str">
        <f>"20190312172802646"</f>
        <v>20190312172802646</v>
      </c>
      <c r="B4800" t="str">
        <f>"1552382882634289"</f>
        <v>1552382882634289</v>
      </c>
      <c r="C4800" t="s">
        <v>40</v>
      </c>
      <c r="D4800">
        <v>3.6174759999999999</v>
      </c>
      <c r="E4800">
        <v>0.49901980000000001</v>
      </c>
      <c r="F4800" t="s">
        <v>41</v>
      </c>
      <c r="G4800">
        <v>-326.94069999999999</v>
      </c>
      <c r="H4800" s="1">
        <v>-2.6924689999999998E-6</v>
      </c>
      <c r="I4800">
        <v>13.853120000000001</v>
      </c>
      <c r="J4800">
        <v>-341.15730000000002</v>
      </c>
      <c r="K4800">
        <v>1.1105780000000001</v>
      </c>
      <c r="L4800">
        <v>16.237760000000002</v>
      </c>
      <c r="M4800">
        <v>0.99895959999999995</v>
      </c>
      <c r="N4800">
        <v>0</v>
      </c>
      <c r="O4800">
        <v>4.3527169999999997E-2</v>
      </c>
      <c r="P4800">
        <v>0.97660000000000002</v>
      </c>
      <c r="Q4800">
        <v>0.1340636</v>
      </c>
      <c r="R4800">
        <v>-0.168165799999999</v>
      </c>
      <c r="S4800">
        <v>3.0185849999999999</v>
      </c>
      <c r="T4800">
        <v>-0.2338008</v>
      </c>
      <c r="U4800">
        <v>-0.5007935</v>
      </c>
      <c r="V4800">
        <v>0.2103487</v>
      </c>
      <c r="W4800">
        <v>0.14747170000000001</v>
      </c>
      <c r="X4800">
        <v>0.96643959999999995</v>
      </c>
      <c r="Y4800">
        <v>0.20572760000000001</v>
      </c>
      <c r="Z4800">
        <v>-1.124758E-2</v>
      </c>
      <c r="AA4800">
        <v>0.97854470000000005</v>
      </c>
      <c r="AB4800">
        <v>21</v>
      </c>
      <c r="AC4800">
        <v>14.2166</v>
      </c>
      <c r="AD4800">
        <v>-1.110580692469</v>
      </c>
      <c r="AE4800">
        <v>-2.3846400000000001</v>
      </c>
      <c r="AF4800">
        <v>2.9835363434745599</v>
      </c>
      <c r="AG4800">
        <v>-1.110580692469</v>
      </c>
      <c r="AH4800">
        <v>14.016124475137399</v>
      </c>
      <c r="AI4800">
        <v>94.431540757833702</v>
      </c>
      <c r="AJ4800">
        <v>77.983116204323295</v>
      </c>
      <c r="AK4800">
        <v>14.3731215777877</v>
      </c>
      <c r="AL4800">
        <v>81.519563728268494</v>
      </c>
      <c r="AM4800">
        <v>77.720897069413695</v>
      </c>
      <c r="AN4800">
        <v>0.99999998917036903</v>
      </c>
    </row>
    <row r="4801" spans="1:40" x14ac:dyDescent="0.25">
      <c r="A4801" t="str">
        <f>"20190312172802665"</f>
        <v>20190312172802665</v>
      </c>
      <c r="B4801" t="str">
        <f>"1552382882653809"</f>
        <v>1552382882653809</v>
      </c>
      <c r="C4801" t="s">
        <v>40</v>
      </c>
      <c r="D4801">
        <v>3.647367</v>
      </c>
      <c r="E4801">
        <v>0.49891479999999999</v>
      </c>
      <c r="F4801" t="s">
        <v>41</v>
      </c>
      <c r="G4801">
        <v>-327.06459999999998</v>
      </c>
      <c r="H4801" s="1">
        <v>-2.6367070000000001E-6</v>
      </c>
      <c r="I4801">
        <v>13.883929999999999</v>
      </c>
      <c r="J4801">
        <v>-340.9701</v>
      </c>
      <c r="K4801">
        <v>1.110562</v>
      </c>
      <c r="L4801">
        <v>16.2468</v>
      </c>
      <c r="M4801">
        <v>0.99892740000000002</v>
      </c>
      <c r="N4801">
        <v>0</v>
      </c>
      <c r="O4801">
        <v>4.4262700000000002E-2</v>
      </c>
      <c r="P4801">
        <v>0.97639790000000004</v>
      </c>
      <c r="Q4801">
        <v>0.13171669999999999</v>
      </c>
      <c r="R4801">
        <v>-0.1711676</v>
      </c>
      <c r="S4801">
        <v>3.0177</v>
      </c>
      <c r="T4801">
        <v>-0.23780970000000001</v>
      </c>
      <c r="U4801">
        <v>-0.50402829999999998</v>
      </c>
      <c r="V4801">
        <v>0.2140562</v>
      </c>
      <c r="W4801">
        <v>0.14511840000000001</v>
      </c>
      <c r="X4801">
        <v>0.96598170000000005</v>
      </c>
      <c r="Y4801">
        <v>0.20748169999999999</v>
      </c>
      <c r="Z4801">
        <v>-1.156827E-2</v>
      </c>
      <c r="AA4801">
        <v>0.97817050000000005</v>
      </c>
      <c r="AB4801">
        <v>21</v>
      </c>
      <c r="AC4801">
        <v>13.9055</v>
      </c>
      <c r="AD4801">
        <v>-1.1105646367069999</v>
      </c>
      <c r="AE4801">
        <v>-2.36287</v>
      </c>
      <c r="AF4801">
        <v>2.9577691540818498</v>
      </c>
      <c r="AG4801">
        <v>-1.1105646367069999</v>
      </c>
      <c r="AH4801">
        <v>13.7023256801661</v>
      </c>
      <c r="AI4801">
        <v>94.529775554742201</v>
      </c>
      <c r="AJ4801">
        <v>77.819090263344407</v>
      </c>
      <c r="AK4801">
        <v>14.0618448727926</v>
      </c>
      <c r="AL4801">
        <v>81.655864687577306</v>
      </c>
      <c r="AM4801">
        <v>77.505471966554097</v>
      </c>
      <c r="AN4801">
        <v>1.00000002575594</v>
      </c>
    </row>
    <row r="4802" spans="1:40" x14ac:dyDescent="0.25">
      <c r="A4802" t="str">
        <f>"20190312172802687"</f>
        <v>20190312172802687</v>
      </c>
      <c r="B4802" t="str">
        <f>"1552382882684064"</f>
        <v>1552382882684064</v>
      </c>
      <c r="C4802" t="s">
        <v>40</v>
      </c>
      <c r="D4802">
        <v>3.6362489999999998</v>
      </c>
      <c r="E4802">
        <v>0.4987664</v>
      </c>
      <c r="F4802" t="s">
        <v>41</v>
      </c>
      <c r="G4802">
        <v>-327.29199999999997</v>
      </c>
      <c r="H4802" s="1">
        <v>-2.53993E-6</v>
      </c>
      <c r="I4802">
        <v>13.919359999999999</v>
      </c>
      <c r="J4802">
        <v>-340.76170000000002</v>
      </c>
      <c r="K4802">
        <v>1.11054599999999</v>
      </c>
      <c r="L4802">
        <v>16.256989999999998</v>
      </c>
      <c r="M4802">
        <v>0.99889130000000004</v>
      </c>
      <c r="N4802">
        <v>0</v>
      </c>
      <c r="O4802">
        <v>4.5068320000000002E-2</v>
      </c>
      <c r="P4802">
        <v>0.9759004</v>
      </c>
      <c r="Q4802">
        <v>0.1301937</v>
      </c>
      <c r="R4802">
        <v>-0.1751229</v>
      </c>
      <c r="S4802">
        <v>3.0155639999999999</v>
      </c>
      <c r="T4802">
        <v>-0.24484310000000001</v>
      </c>
      <c r="U4802">
        <v>-0.51312259999999998</v>
      </c>
      <c r="V4802">
        <v>0.2187711</v>
      </c>
      <c r="W4802">
        <v>0.14358109999999999</v>
      </c>
      <c r="X4802">
        <v>0.96515479999999998</v>
      </c>
      <c r="Y4802">
        <v>0.21118919999999999</v>
      </c>
      <c r="Z4802">
        <v>-1.212885E-2</v>
      </c>
      <c r="AA4802">
        <v>0.97736999999999996</v>
      </c>
      <c r="AB4802">
        <v>21</v>
      </c>
      <c r="AC4802">
        <v>13.4696999999999</v>
      </c>
      <c r="AD4802">
        <v>-1.1105485399299999</v>
      </c>
      <c r="AE4802">
        <v>-2.3376299999999901</v>
      </c>
      <c r="AF4802">
        <v>2.9230781068162002</v>
      </c>
      <c r="AG4802">
        <v>-1.1105485399299999</v>
      </c>
      <c r="AH4802">
        <v>13.2631260627972</v>
      </c>
      <c r="AI4802">
        <v>94.674658992100504</v>
      </c>
      <c r="AJ4802">
        <v>77.571196307434505</v>
      </c>
      <c r="AK4802">
        <v>13.6267463701259</v>
      </c>
      <c r="AL4802">
        <v>81.744878015931704</v>
      </c>
      <c r="AM4802">
        <v>77.228606188618002</v>
      </c>
      <c r="AN4802">
        <v>1.0000000572177199</v>
      </c>
    </row>
    <row r="4803" spans="1:40" x14ac:dyDescent="0.25">
      <c r="A4803" t="str">
        <f>"20190312172802700"</f>
        <v>20190312172802700</v>
      </c>
      <c r="B4803" t="str">
        <f>"1552382882693825"</f>
        <v>1552382882693825</v>
      </c>
      <c r="C4803" t="s">
        <v>40</v>
      </c>
      <c r="D4803">
        <v>3.6351089999999999</v>
      </c>
      <c r="E4803">
        <v>0.49871320000000002</v>
      </c>
      <c r="F4803" t="s">
        <v>41</v>
      </c>
      <c r="G4803">
        <v>-327.32220000000001</v>
      </c>
      <c r="H4803" s="1">
        <v>-2.528813E-6</v>
      </c>
      <c r="I4803">
        <v>13.917579999999999</v>
      </c>
      <c r="J4803">
        <v>-340.6397</v>
      </c>
      <c r="K4803">
        <v>1.1105419999999999</v>
      </c>
      <c r="L4803">
        <v>16.263030000000001</v>
      </c>
      <c r="M4803">
        <v>0.99887049999999999</v>
      </c>
      <c r="N4803">
        <v>0</v>
      </c>
      <c r="O4803">
        <v>4.5528079999999999E-2</v>
      </c>
      <c r="P4803">
        <v>0.97558520000000004</v>
      </c>
      <c r="Q4803">
        <v>0.12943940000000001</v>
      </c>
      <c r="R4803">
        <v>-0.1774241</v>
      </c>
      <c r="S4803">
        <v>3.0131839999999999</v>
      </c>
      <c r="T4803">
        <v>-0.2489895</v>
      </c>
      <c r="U4803">
        <v>-0.52450559999999902</v>
      </c>
      <c r="V4803">
        <v>0.2215046</v>
      </c>
      <c r="W4803">
        <v>0.14281659999999999</v>
      </c>
      <c r="X4803">
        <v>0.96464459999999996</v>
      </c>
      <c r="Y4803">
        <v>0.21530679999999999</v>
      </c>
      <c r="Z4803">
        <v>-1.2545580000000001E-2</v>
      </c>
      <c r="AA4803">
        <v>0.9764659</v>
      </c>
      <c r="AB4803">
        <v>21</v>
      </c>
      <c r="AC4803">
        <v>13.3174999999999</v>
      </c>
      <c r="AD4803">
        <v>-1.11054452881299</v>
      </c>
      <c r="AE4803">
        <v>-2.34545</v>
      </c>
      <c r="AF4803">
        <v>2.9296343230317801</v>
      </c>
      <c r="AG4803">
        <v>-1.11054452881299</v>
      </c>
      <c r="AH4803">
        <v>13.108481934383899</v>
      </c>
      <c r="AI4803">
        <v>94.726455073151897</v>
      </c>
      <c r="AJ4803">
        <v>77.401908869047901</v>
      </c>
      <c r="AK4803">
        <v>13.4776988036249</v>
      </c>
      <c r="AL4803">
        <v>81.789136601709501</v>
      </c>
      <c r="AM4803">
        <v>77.067751693160503</v>
      </c>
      <c r="AN4803">
        <v>1.00000003668293</v>
      </c>
    </row>
    <row r="4804" spans="1:40" x14ac:dyDescent="0.25">
      <c r="A4804" t="str">
        <f>"20190312172802712"</f>
        <v>20190312172802712</v>
      </c>
      <c r="B4804" t="str">
        <f>"1552382882704561"</f>
        <v>1552382882704561</v>
      </c>
      <c r="C4804" t="s">
        <v>40</v>
      </c>
      <c r="D4804">
        <v>3.6285189999999998</v>
      </c>
      <c r="E4804">
        <v>0.49865359999999997</v>
      </c>
      <c r="F4804" t="s">
        <v>41</v>
      </c>
      <c r="G4804">
        <v>-327.3168</v>
      </c>
      <c r="H4804" s="1">
        <v>-2.5321380000000001E-6</v>
      </c>
      <c r="I4804">
        <v>13.9129</v>
      </c>
      <c r="J4804">
        <v>-340.52679999999998</v>
      </c>
      <c r="K4804">
        <v>1.1105370000000001</v>
      </c>
      <c r="L4804">
        <v>16.268619999999999</v>
      </c>
      <c r="M4804">
        <v>0.99885119999999905</v>
      </c>
      <c r="N4804">
        <v>0</v>
      </c>
      <c r="O4804">
        <v>4.5948200000000002E-2</v>
      </c>
      <c r="P4804">
        <v>0.97506720000000002</v>
      </c>
      <c r="Q4804">
        <v>0.12953629999999999</v>
      </c>
      <c r="R4804">
        <v>-0.18017849999999999</v>
      </c>
      <c r="S4804">
        <v>3.011841</v>
      </c>
      <c r="T4804">
        <v>-0.25105509999999998</v>
      </c>
      <c r="U4804">
        <v>-0.53128050000000004</v>
      </c>
      <c r="V4804">
        <v>0.22464219999999999</v>
      </c>
      <c r="W4804">
        <v>0.1429001</v>
      </c>
      <c r="X4804">
        <v>0.96390629999999999</v>
      </c>
      <c r="Y4804">
        <v>0.21789639999999999</v>
      </c>
      <c r="Z4804">
        <v>-1.2794130000000001E-2</v>
      </c>
      <c r="AA4804">
        <v>0.97588810000000004</v>
      </c>
      <c r="AB4804">
        <v>21</v>
      </c>
      <c r="AC4804">
        <v>13.2099999999999</v>
      </c>
      <c r="AD4804">
        <v>-1.1105395321380001</v>
      </c>
      <c r="AE4804">
        <v>-2.3557199999999998</v>
      </c>
      <c r="AF4804">
        <v>2.9401246371914298</v>
      </c>
      <c r="AG4804">
        <v>-1.1105395321380001</v>
      </c>
      <c r="AH4804">
        <v>12.998757675696</v>
      </c>
      <c r="AI4804">
        <v>94.7634132324755</v>
      </c>
      <c r="AJ4804">
        <v>77.255006366917698</v>
      </c>
      <c r="AK4804">
        <v>13.373306698275</v>
      </c>
      <c r="AL4804">
        <v>81.784302156592304</v>
      </c>
      <c r="AM4804">
        <v>76.881157943408198</v>
      </c>
      <c r="AN4804">
        <v>0.99999995589026902</v>
      </c>
    </row>
    <row r="4805" spans="1:40" x14ac:dyDescent="0.25">
      <c r="A4805" t="str">
        <f>"20190312172802723"</f>
        <v>20190312172802723</v>
      </c>
      <c r="B4805" t="str">
        <f>"1552382882714321"</f>
        <v>1552382882714321</v>
      </c>
      <c r="C4805" t="s">
        <v>40</v>
      </c>
      <c r="D4805">
        <v>3.6280209999999999</v>
      </c>
      <c r="E4805">
        <v>0.49858770000000002</v>
      </c>
      <c r="F4805" t="s">
        <v>41</v>
      </c>
      <c r="G4805">
        <v>-327.17919999999998</v>
      </c>
      <c r="H4805" s="1">
        <v>-2.5944110000000002E-6</v>
      </c>
      <c r="I4805">
        <v>13.877479999999901</v>
      </c>
      <c r="J4805">
        <v>-340.41660000000002</v>
      </c>
      <c r="K4805">
        <v>1.1105309999999999</v>
      </c>
      <c r="L4805">
        <v>16.274139999999999</v>
      </c>
      <c r="M4805">
        <v>0.99883270000000002</v>
      </c>
      <c r="N4805">
        <v>0</v>
      </c>
      <c r="O4805">
        <v>4.6349580000000001E-2</v>
      </c>
      <c r="P4805">
        <v>0.97453020000000001</v>
      </c>
      <c r="Q4805">
        <v>0.12999729999999901</v>
      </c>
      <c r="R4805">
        <v>-0.18273400000000001</v>
      </c>
      <c r="S4805">
        <v>3.0103149999999999</v>
      </c>
      <c r="T4805">
        <v>-0.25046180000000001</v>
      </c>
      <c r="U4805">
        <v>-0.53927609999999904</v>
      </c>
      <c r="V4805">
        <v>0.22756109999999999</v>
      </c>
      <c r="W4805">
        <v>0.143347</v>
      </c>
      <c r="X4805">
        <v>0.96315499999999998</v>
      </c>
      <c r="Y4805">
        <v>0.22087709999999999</v>
      </c>
      <c r="Z4805">
        <v>-1.292341E-2</v>
      </c>
      <c r="AA4805">
        <v>0.97521599999999997</v>
      </c>
      <c r="AB4805">
        <v>21</v>
      </c>
      <c r="AC4805">
        <v>13.237399999999999</v>
      </c>
      <c r="AD4805">
        <v>-1.110533594411</v>
      </c>
      <c r="AE4805">
        <v>-2.3966599999999998</v>
      </c>
      <c r="AF4805">
        <v>2.9873305380905002</v>
      </c>
      <c r="AG4805">
        <v>-1.110533594411</v>
      </c>
      <c r="AH4805">
        <v>13.0233256460089</v>
      </c>
      <c r="AI4805">
        <v>94.751166811632999</v>
      </c>
      <c r="AJ4805">
        <v>77.080811057194197</v>
      </c>
      <c r="AK4805">
        <v>13.407626169091801</v>
      </c>
      <c r="AL4805">
        <v>81.758430560682598</v>
      </c>
      <c r="AM4805">
        <v>76.706709867760594</v>
      </c>
      <c r="AN4805">
        <v>0.99999998533360401</v>
      </c>
    </row>
    <row r="4806" spans="1:40" x14ac:dyDescent="0.25">
      <c r="A4806" t="str">
        <f>"20190312172802735"</f>
        <v>20190312172802735</v>
      </c>
      <c r="B4806" t="str">
        <f>"1552382882724082"</f>
        <v>1552382882724082</v>
      </c>
      <c r="C4806" t="s">
        <v>40</v>
      </c>
      <c r="D4806">
        <v>3.6152340000000001</v>
      </c>
      <c r="E4806">
        <v>0.4985444</v>
      </c>
      <c r="F4806" t="s">
        <v>41</v>
      </c>
      <c r="G4806">
        <v>-326.9676</v>
      </c>
      <c r="H4806" s="1">
        <v>-2.6878739999999998E-6</v>
      </c>
      <c r="I4806">
        <v>13.831530000000001</v>
      </c>
      <c r="J4806">
        <v>-340.30399999999997</v>
      </c>
      <c r="K4806">
        <v>1.110525</v>
      </c>
      <c r="L4806">
        <v>16.27985</v>
      </c>
      <c r="M4806">
        <v>0.99881410000000004</v>
      </c>
      <c r="N4806">
        <v>0</v>
      </c>
      <c r="O4806">
        <v>4.6749569999999997E-2</v>
      </c>
      <c r="P4806">
        <v>0.97404590000000002</v>
      </c>
      <c r="Q4806">
        <v>0.1305384</v>
      </c>
      <c r="R4806">
        <v>-0.18491730000000001</v>
      </c>
      <c r="S4806">
        <v>3.009064</v>
      </c>
      <c r="T4806">
        <v>-0.24847079999999999</v>
      </c>
      <c r="U4806">
        <v>-0.54650880000000002</v>
      </c>
      <c r="V4806">
        <v>0.23010949999999999</v>
      </c>
      <c r="W4806">
        <v>0.14387320000000001</v>
      </c>
      <c r="X4806">
        <v>0.96247079999999996</v>
      </c>
      <c r="Y4806">
        <v>0.2236108</v>
      </c>
      <c r="Z4806">
        <v>-1.296811E-2</v>
      </c>
      <c r="AA4806">
        <v>0.97459229999999997</v>
      </c>
      <c r="AB4806">
        <v>21</v>
      </c>
      <c r="AC4806">
        <v>13.336399999999999</v>
      </c>
      <c r="AD4806">
        <v>-1.110527687874</v>
      </c>
      <c r="AE4806">
        <v>-2.4483199999999998</v>
      </c>
      <c r="AF4806">
        <v>3.0487207261285301</v>
      </c>
      <c r="AG4806">
        <v>-1.110527687874</v>
      </c>
      <c r="AH4806">
        <v>13.119344193437399</v>
      </c>
      <c r="AI4806">
        <v>94.713439078091199</v>
      </c>
      <c r="AJ4806">
        <v>76.917593363261702</v>
      </c>
      <c r="AK4806">
        <v>13.5146277002861</v>
      </c>
      <c r="AL4806">
        <v>81.727965523956797</v>
      </c>
      <c r="AM4806">
        <v>76.554006814868899</v>
      </c>
      <c r="AN4806">
        <v>0.99999996026056404</v>
      </c>
    </row>
    <row r="4807" spans="1:40" x14ac:dyDescent="0.25">
      <c r="A4807" t="str">
        <f>"20190312172802753"</f>
        <v>20190312172802753</v>
      </c>
      <c r="B4807" t="str">
        <f>"1552382882744580"</f>
        <v>1552382882744580</v>
      </c>
      <c r="C4807" t="s">
        <v>40</v>
      </c>
      <c r="D4807">
        <v>3.6255160000000002</v>
      </c>
      <c r="E4807">
        <v>0.49842829999999999</v>
      </c>
      <c r="F4807" t="s">
        <v>41</v>
      </c>
      <c r="G4807">
        <v>-326.74599999999998</v>
      </c>
      <c r="H4807" s="1">
        <v>-2.7838100000000002E-6</v>
      </c>
      <c r="I4807">
        <v>13.79082</v>
      </c>
      <c r="J4807">
        <v>-340.13529999999997</v>
      </c>
      <c r="K4807">
        <v>1.1105179999999999</v>
      </c>
      <c r="L4807">
        <v>16.288419999999999</v>
      </c>
      <c r="M4807">
        <v>0.99878659999999997</v>
      </c>
      <c r="N4807">
        <v>0</v>
      </c>
      <c r="O4807">
        <v>4.733267E-2</v>
      </c>
      <c r="P4807">
        <v>0.97305850000000005</v>
      </c>
      <c r="Q4807">
        <v>0.13193920000000001</v>
      </c>
      <c r="R4807">
        <v>-0.1890751</v>
      </c>
      <c r="S4807">
        <v>3.0081479999999998</v>
      </c>
      <c r="T4807">
        <v>-0.2463958</v>
      </c>
      <c r="U4807">
        <v>-0.55224609999999996</v>
      </c>
      <c r="V4807">
        <v>0.2347843</v>
      </c>
      <c r="W4807">
        <v>0.1452476</v>
      </c>
      <c r="X4807">
        <v>0.96113440000000006</v>
      </c>
      <c r="Y4807">
        <v>0.22603480000000001</v>
      </c>
      <c r="Z4807">
        <v>-1.300752E-2</v>
      </c>
      <c r="AA4807">
        <v>0.97403240000000002</v>
      </c>
      <c r="AB4807">
        <v>21</v>
      </c>
      <c r="AC4807">
        <v>13.389299999999899</v>
      </c>
      <c r="AD4807">
        <v>-1.11052078381</v>
      </c>
      <c r="AE4807">
        <v>-2.4975999999999998</v>
      </c>
      <c r="AF4807">
        <v>3.1079487995242201</v>
      </c>
      <c r="AG4807">
        <v>-1.11052078381</v>
      </c>
      <c r="AH4807">
        <v>13.168518560486</v>
      </c>
      <c r="AI4807">
        <v>94.692121703010798</v>
      </c>
      <c r="AJ4807">
        <v>76.720428359255493</v>
      </c>
      <c r="AK4807">
        <v>13.5758050674575</v>
      </c>
      <c r="AL4807">
        <v>81.648382028049994</v>
      </c>
      <c r="AM4807">
        <v>76.272713397026294</v>
      </c>
      <c r="AN4807">
        <v>0.99999993384780195</v>
      </c>
    </row>
    <row r="4808" spans="1:40" x14ac:dyDescent="0.25">
      <c r="A4808" t="str">
        <f>"20190312172802765"</f>
        <v>20190312172802765</v>
      </c>
      <c r="B4808" t="str">
        <f>"1552382882754337"</f>
        <v>1552382882754337</v>
      </c>
      <c r="C4808" t="s">
        <v>40</v>
      </c>
      <c r="D4808">
        <v>3.6025749999999999</v>
      </c>
      <c r="E4808">
        <v>0.49836629999999899</v>
      </c>
      <c r="F4808" t="s">
        <v>41</v>
      </c>
      <c r="G4808">
        <v>-326.30059999999997</v>
      </c>
      <c r="H4808" s="1">
        <v>-2.9796030000000001E-6</v>
      </c>
      <c r="I4808">
        <v>13.6978299999999</v>
      </c>
      <c r="J4808">
        <v>-340.02080000000001</v>
      </c>
      <c r="K4808">
        <v>1.1105130000000001</v>
      </c>
      <c r="L4808">
        <v>16.294280000000001</v>
      </c>
      <c r="M4808">
        <v>0.99876849999999995</v>
      </c>
      <c r="N4808">
        <v>0</v>
      </c>
      <c r="O4808">
        <v>4.7716120000000001E-2</v>
      </c>
      <c r="P4808">
        <v>0.97272610000000004</v>
      </c>
      <c r="Q4808">
        <v>0.13267809999999999</v>
      </c>
      <c r="R4808">
        <v>-0.1902653</v>
      </c>
      <c r="S4808">
        <v>3.0064090000000001</v>
      </c>
      <c r="T4808">
        <v>-0.2413257</v>
      </c>
      <c r="U4808">
        <v>-0.56295779999999995</v>
      </c>
      <c r="V4808">
        <v>0.23633119999999999</v>
      </c>
      <c r="W4808">
        <v>0.14597179999999901</v>
      </c>
      <c r="X4808">
        <v>0.96064550000000004</v>
      </c>
      <c r="Y4808">
        <v>0.22988459999999999</v>
      </c>
      <c r="Z4808">
        <v>-1.292739E-2</v>
      </c>
      <c r="AA4808">
        <v>0.973132</v>
      </c>
      <c r="AB4808">
        <v>21</v>
      </c>
      <c r="AC4808">
        <v>13.7202</v>
      </c>
      <c r="AD4808">
        <v>-1.110515979603</v>
      </c>
      <c r="AE4808">
        <v>-2.5964499999999999</v>
      </c>
      <c r="AF4808">
        <v>3.22781180215545</v>
      </c>
      <c r="AG4808">
        <v>-1.110515979603</v>
      </c>
      <c r="AH4808">
        <v>13.4953097213922</v>
      </c>
      <c r="AI4808">
        <v>94.575724487287602</v>
      </c>
      <c r="AJ4808">
        <v>76.548684161034004</v>
      </c>
      <c r="AK4808">
        <v>13.920323245075499</v>
      </c>
      <c r="AL4808">
        <v>81.606441893635804</v>
      </c>
      <c r="AM4808">
        <v>76.178962710312206</v>
      </c>
      <c r="AN4808">
        <v>0.99999998957946501</v>
      </c>
    </row>
    <row r="4809" spans="1:40" x14ac:dyDescent="0.25">
      <c r="A4809" t="str">
        <f>"20190312172802777"</f>
        <v>20190312172802777</v>
      </c>
      <c r="B4809" t="str">
        <f>"1552382882774834"</f>
        <v>1552382882774834</v>
      </c>
      <c r="C4809" t="s">
        <v>40</v>
      </c>
      <c r="D4809">
        <v>3.6370879999999999</v>
      </c>
      <c r="E4809">
        <v>0.49823139999999999</v>
      </c>
      <c r="F4809" t="s">
        <v>41</v>
      </c>
      <c r="G4809">
        <v>-326.041</v>
      </c>
      <c r="H4809" s="1">
        <v>-3.0887650000000001E-6</v>
      </c>
      <c r="I4809">
        <v>13.662269999999999</v>
      </c>
      <c r="J4809">
        <v>-339.9128</v>
      </c>
      <c r="K4809">
        <v>1.1105050000000001</v>
      </c>
      <c r="L4809">
        <v>16.299869999999999</v>
      </c>
      <c r="M4809">
        <v>0.99875190000000003</v>
      </c>
      <c r="N4809">
        <v>0</v>
      </c>
      <c r="O4809">
        <v>4.8064120000000002E-2</v>
      </c>
      <c r="P4809">
        <v>0.97235819999999995</v>
      </c>
      <c r="Q4809">
        <v>0.13362109999999999</v>
      </c>
      <c r="R4809">
        <v>-0.19148219999999999</v>
      </c>
      <c r="S4809">
        <v>3.0060120000000001</v>
      </c>
      <c r="T4809">
        <v>-0.23878840000000001</v>
      </c>
      <c r="U4809">
        <v>-0.56594849999999997</v>
      </c>
      <c r="V4809">
        <v>0.23786850000000001</v>
      </c>
      <c r="W4809">
        <v>0.14690049999999999</v>
      </c>
      <c r="X4809">
        <v>0.96012439999999999</v>
      </c>
      <c r="Y4809">
        <v>0.23119480000000001</v>
      </c>
      <c r="Z4809">
        <v>-1.287131E-2</v>
      </c>
      <c r="AA4809">
        <v>0.97282230000000003</v>
      </c>
      <c r="AB4809">
        <v>21</v>
      </c>
      <c r="AC4809">
        <v>13.8718</v>
      </c>
      <c r="AD4809">
        <v>-1.1105080887649901</v>
      </c>
      <c r="AE4809">
        <v>-2.6375999999999999</v>
      </c>
      <c r="AF4809">
        <v>3.2810544326082201</v>
      </c>
      <c r="AG4809">
        <v>-1.1105080887649901</v>
      </c>
      <c r="AH4809">
        <v>13.644584654568201</v>
      </c>
      <c r="AI4809">
        <v>94.524528444943499</v>
      </c>
      <c r="AJ4809">
        <v>76.479040622588599</v>
      </c>
      <c r="AK4809">
        <v>14.0774016352673</v>
      </c>
      <c r="AL4809">
        <v>81.552651720662396</v>
      </c>
      <c r="AM4809">
        <v>76.085283304240306</v>
      </c>
      <c r="AN4809">
        <v>1.00000002183392</v>
      </c>
    </row>
    <row r="4810" spans="1:40" x14ac:dyDescent="0.25">
      <c r="A4810" t="str">
        <f>"20190312172802790"</f>
        <v>20190312172802790</v>
      </c>
      <c r="B4810" t="str">
        <f>"1552382882784593"</f>
        <v>1552382882784593</v>
      </c>
      <c r="C4810" t="s">
        <v>40</v>
      </c>
      <c r="D4810">
        <v>3.683227</v>
      </c>
      <c r="E4810">
        <v>0.49818050000000003</v>
      </c>
      <c r="F4810" t="s">
        <v>41</v>
      </c>
      <c r="G4810">
        <v>-325.71480000000003</v>
      </c>
      <c r="H4810" s="1">
        <v>-3.226778E-6</v>
      </c>
      <c r="I4810">
        <v>13.61434</v>
      </c>
      <c r="J4810">
        <v>-339.79129999999998</v>
      </c>
      <c r="K4810">
        <v>1.1104959999999999</v>
      </c>
      <c r="L4810">
        <v>16.306149999999999</v>
      </c>
      <c r="M4810">
        <v>0.99873330000000005</v>
      </c>
      <c r="N4810">
        <v>0</v>
      </c>
      <c r="O4810">
        <v>4.8448100000000001E-2</v>
      </c>
      <c r="P4810">
        <v>0.97195759999999998</v>
      </c>
      <c r="Q4810">
        <v>0.1349667</v>
      </c>
      <c r="R4810">
        <v>-0.19256860000000001</v>
      </c>
      <c r="S4810">
        <v>3.005646</v>
      </c>
      <c r="T4810">
        <v>-0.2350891</v>
      </c>
      <c r="U4810">
        <v>-0.56851200000000002</v>
      </c>
      <c r="V4810">
        <v>0.23930799999999999</v>
      </c>
      <c r="W4810">
        <v>0.14823</v>
      </c>
      <c r="X4810">
        <v>0.95956220000000003</v>
      </c>
      <c r="Y4810">
        <v>0.2324127</v>
      </c>
      <c r="Z4810">
        <v>-1.2749959999999999E-2</v>
      </c>
      <c r="AA4810">
        <v>0.97253369999999995</v>
      </c>
      <c r="AB4810">
        <v>21</v>
      </c>
      <c r="AC4810">
        <v>14.0764999999999</v>
      </c>
      <c r="AD4810">
        <v>-1.1104992267779901</v>
      </c>
      <c r="AE4810">
        <v>-2.6918099999999998</v>
      </c>
      <c r="AF4810">
        <v>3.3505738047795601</v>
      </c>
      <c r="AG4810">
        <v>-1.1104992267779901</v>
      </c>
      <c r="AH4810">
        <v>13.8464063185095</v>
      </c>
      <c r="AI4810">
        <v>94.457278328224405</v>
      </c>
      <c r="AJ4810">
        <v>76.396968199357005</v>
      </c>
      <c r="AK4810">
        <v>14.2892449517534</v>
      </c>
      <c r="AL4810">
        <v>81.475633912194198</v>
      </c>
      <c r="AM4810">
        <v>75.996499328173201</v>
      </c>
      <c r="AN4810">
        <v>1.0000000337164101</v>
      </c>
    </row>
    <row r="4811" spans="1:40" x14ac:dyDescent="0.25">
      <c r="A4811" t="str">
        <f>"20190312172802808"</f>
        <v>20190312172802808</v>
      </c>
      <c r="B4811" t="str">
        <f>"1552382882804114"</f>
        <v>1552382882804114</v>
      </c>
      <c r="C4811" t="s">
        <v>40</v>
      </c>
      <c r="D4811">
        <v>3.6264419999999999</v>
      </c>
      <c r="E4811">
        <v>0.49811480000000002</v>
      </c>
      <c r="F4811" t="s">
        <v>41</v>
      </c>
      <c r="G4811">
        <v>-325.303</v>
      </c>
      <c r="H4811" s="1">
        <v>-3.401608E-6</v>
      </c>
      <c r="I4811">
        <v>13.551629999999999</v>
      </c>
      <c r="J4811">
        <v>-339.60930000000002</v>
      </c>
      <c r="K4811">
        <v>1.110479</v>
      </c>
      <c r="L4811">
        <v>16.31561</v>
      </c>
      <c r="M4811">
        <v>0.9987066</v>
      </c>
      <c r="N4811">
        <v>0</v>
      </c>
      <c r="O4811">
        <v>4.899444E-2</v>
      </c>
      <c r="P4811">
        <v>0.97117600000000004</v>
      </c>
      <c r="Q4811">
        <v>0.1367862</v>
      </c>
      <c r="R4811">
        <v>-0.1952093</v>
      </c>
      <c r="S4811">
        <v>3.0053709999999998</v>
      </c>
      <c r="T4811">
        <v>-0.23035539999999999</v>
      </c>
      <c r="U4811">
        <v>-0.57138059999999902</v>
      </c>
      <c r="V4811">
        <v>0.24243970000000001</v>
      </c>
      <c r="W4811">
        <v>0.15002270000000001</v>
      </c>
      <c r="X4811">
        <v>0.95849689999999999</v>
      </c>
      <c r="Y4811">
        <v>0.23388400000000001</v>
      </c>
      <c r="Z4811">
        <v>-1.259132E-2</v>
      </c>
      <c r="AA4811">
        <v>0.97218300000000002</v>
      </c>
      <c r="AB4811">
        <v>21</v>
      </c>
      <c r="AC4811">
        <v>14.3063</v>
      </c>
      <c r="AD4811">
        <v>-1.1104824016079999</v>
      </c>
      <c r="AE4811">
        <v>-2.7639800000000001</v>
      </c>
      <c r="AF4811">
        <v>3.4416634647852402</v>
      </c>
      <c r="AG4811">
        <v>-1.1104824016079999</v>
      </c>
      <c r="AH4811">
        <v>14.0719486311704</v>
      </c>
      <c r="AI4811">
        <v>94.383449856919597</v>
      </c>
      <c r="AJ4811">
        <v>76.256609509598604</v>
      </c>
      <c r="AK4811">
        <v>14.5292104688251</v>
      </c>
      <c r="AL4811">
        <v>81.371758488845501</v>
      </c>
      <c r="AM4811">
        <v>75.805466527080796</v>
      </c>
      <c r="AN4811">
        <v>1.0000000629804899</v>
      </c>
    </row>
    <row r="4812" spans="1:40" x14ac:dyDescent="0.25">
      <c r="A4812" t="str">
        <f>"20190312172802820"</f>
        <v>20190312172802820</v>
      </c>
      <c r="B4812" t="str">
        <f>"1552382882813874"</f>
        <v>1552382882813874</v>
      </c>
      <c r="C4812" t="s">
        <v>40</v>
      </c>
      <c r="D4812">
        <v>3.6385160000000001</v>
      </c>
      <c r="E4812">
        <v>0.49298110000000001</v>
      </c>
      <c r="F4812" t="s">
        <v>41</v>
      </c>
      <c r="G4812">
        <v>-324.7441</v>
      </c>
      <c r="H4812" s="1">
        <v>-3.642651E-6</v>
      </c>
      <c r="I4812">
        <v>13.45227</v>
      </c>
      <c r="J4812">
        <v>-339.49639999999999</v>
      </c>
      <c r="K4812">
        <v>1.110471</v>
      </c>
      <c r="L4812">
        <v>16.321529999999999</v>
      </c>
      <c r="M4812">
        <v>0.99869079999999999</v>
      </c>
      <c r="N4812">
        <v>0</v>
      </c>
      <c r="O4812">
        <v>4.9315970000000001E-2</v>
      </c>
      <c r="P4812">
        <v>0.97091899999999998</v>
      </c>
      <c r="Q4812">
        <v>0.1373704</v>
      </c>
      <c r="R4812">
        <v>-0.19607649999999999</v>
      </c>
      <c r="S4812">
        <v>3.0043639999999998</v>
      </c>
      <c r="T4812">
        <v>-0.2244371</v>
      </c>
      <c r="U4812">
        <v>-0.57870480000000002</v>
      </c>
      <c r="V4812">
        <v>0.24360660000000001</v>
      </c>
      <c r="W4812">
        <v>0.15059349999999999</v>
      </c>
      <c r="X4812">
        <v>0.9581113</v>
      </c>
      <c r="Y4812">
        <v>0.2365746</v>
      </c>
      <c r="Z4812">
        <v>-1.239328E-2</v>
      </c>
      <c r="AA4812">
        <v>0.97153429999999996</v>
      </c>
      <c r="AB4812">
        <v>21</v>
      </c>
      <c r="AC4812">
        <v>14.7522999999999</v>
      </c>
      <c r="AD4812">
        <v>-1.1104746426509999</v>
      </c>
      <c r="AE4812">
        <v>-2.8692599999999899</v>
      </c>
      <c r="AF4812">
        <v>3.5738469839951201</v>
      </c>
      <c r="AG4812">
        <v>-1.1104746426509999</v>
      </c>
      <c r="AH4812">
        <v>14.513592600736599</v>
      </c>
      <c r="AI4812">
        <v>94.248897779980794</v>
      </c>
      <c r="AJ4812">
        <v>76.166620652558294</v>
      </c>
      <c r="AK4812">
        <v>14.9883256695715</v>
      </c>
      <c r="AL4812">
        <v>81.338676997985004</v>
      </c>
      <c r="AM4812">
        <v>75.734421522103602</v>
      </c>
      <c r="AN4812">
        <v>0.99999992049674702</v>
      </c>
    </row>
    <row r="4813" spans="1:40" x14ac:dyDescent="0.25">
      <c r="A4813" t="str">
        <f>"20190312172802833"</f>
        <v>20190312172802833</v>
      </c>
      <c r="B4813" t="str">
        <f>"1552382882824609"</f>
        <v>1552382882824609</v>
      </c>
      <c r="C4813" t="s">
        <v>40</v>
      </c>
      <c r="D4813">
        <v>3.6375989999999998</v>
      </c>
      <c r="E4813">
        <v>0.4931007</v>
      </c>
      <c r="F4813" t="s">
        <v>41</v>
      </c>
      <c r="G4813">
        <v>-324.06630000000001</v>
      </c>
      <c r="H4813" s="1">
        <v>-3.8768739999999998E-6</v>
      </c>
      <c r="I4813">
        <v>13.55026</v>
      </c>
      <c r="J4813">
        <v>-339.38839999999999</v>
      </c>
      <c r="K4813">
        <v>1.110466</v>
      </c>
      <c r="L4813">
        <v>16.327210000000001</v>
      </c>
      <c r="M4813">
        <v>0.99867609999999996</v>
      </c>
      <c r="N4813">
        <v>0</v>
      </c>
      <c r="O4813">
        <v>4.9617029999999999E-2</v>
      </c>
      <c r="P4813">
        <v>0.97067170000000003</v>
      </c>
      <c r="Q4813">
        <v>0.13790179999999999</v>
      </c>
      <c r="R4813">
        <v>-0.1969255</v>
      </c>
      <c r="S4813">
        <v>3.0112920000000001</v>
      </c>
      <c r="T4813">
        <v>-0.21671699999999999</v>
      </c>
      <c r="U4813">
        <v>-0.54083249999999905</v>
      </c>
      <c r="V4813">
        <v>0.24473590000000001</v>
      </c>
      <c r="W4813">
        <v>0.1511121</v>
      </c>
      <c r="X4813">
        <v>0.95774190000000003</v>
      </c>
      <c r="Y4813">
        <v>0.22470660000000001</v>
      </c>
      <c r="Z4813">
        <v>-1.1552750000000001E-2</v>
      </c>
      <c r="AA4813">
        <v>0.97435799999999995</v>
      </c>
      <c r="AB4813">
        <v>21</v>
      </c>
      <c r="AC4813">
        <v>15.322099999999899</v>
      </c>
      <c r="AD4813">
        <v>-1.110469876874</v>
      </c>
      <c r="AE4813">
        <v>-2.7769499999999998</v>
      </c>
      <c r="AF4813">
        <v>3.5159554800511299</v>
      </c>
      <c r="AG4813">
        <v>-1.110469876874</v>
      </c>
      <c r="AH4813">
        <v>15.088693020857001</v>
      </c>
      <c r="AI4813">
        <v>94.099718510210195</v>
      </c>
      <c r="AJ4813">
        <v>76.883046978924398</v>
      </c>
      <c r="AK4813">
        <v>15.5326669752108</v>
      </c>
      <c r="AL4813">
        <v>81.308620455012004</v>
      </c>
      <c r="AM4813">
        <v>75.665708116318598</v>
      </c>
      <c r="AN4813">
        <v>1.0000000372654101</v>
      </c>
    </row>
    <row r="4814" spans="1:40" x14ac:dyDescent="0.25">
      <c r="A4814" t="str">
        <f>"20190312172802846"</f>
        <v>20190312172802846</v>
      </c>
      <c r="B4814" t="str">
        <f>"1552382882834369"</f>
        <v>1552382882834369</v>
      </c>
      <c r="C4814" t="s">
        <v>40</v>
      </c>
      <c r="D4814">
        <v>3.6268630000000002</v>
      </c>
      <c r="E4814">
        <v>0.49300539999999998</v>
      </c>
      <c r="F4814" t="s">
        <v>41</v>
      </c>
      <c r="G4814">
        <v>-323.9067</v>
      </c>
      <c r="H4814" s="1">
        <v>-3.9435140000000004E-6</v>
      </c>
      <c r="I4814">
        <v>13.5300799999999</v>
      </c>
      <c r="J4814">
        <v>-339.26499999999999</v>
      </c>
      <c r="K4814">
        <v>1.1104560000000001</v>
      </c>
      <c r="L4814">
        <v>16.333770000000001</v>
      </c>
      <c r="M4814">
        <v>0.99865930000000003</v>
      </c>
      <c r="N4814">
        <v>0</v>
      </c>
      <c r="O4814">
        <v>4.995144E-2</v>
      </c>
      <c r="P4814">
        <v>0.97041840000000001</v>
      </c>
      <c r="Q4814">
        <v>0.13843749999999999</v>
      </c>
      <c r="R4814">
        <v>-0.197796</v>
      </c>
      <c r="S4814">
        <v>3.0109859999999999</v>
      </c>
      <c r="T4814">
        <v>-0.2159722</v>
      </c>
      <c r="U4814">
        <v>-0.54400630000000005</v>
      </c>
      <c r="V4814">
        <v>0.24591830000000001</v>
      </c>
      <c r="W4814">
        <v>0.151634299999999</v>
      </c>
      <c r="X4814">
        <v>0.9573564</v>
      </c>
      <c r="Y4814">
        <v>0.2260451</v>
      </c>
      <c r="Z4814">
        <v>-1.158461E-2</v>
      </c>
      <c r="AA4814">
        <v>0.97404800000000002</v>
      </c>
      <c r="AB4814">
        <v>21</v>
      </c>
      <c r="AC4814">
        <v>15.3582999999999</v>
      </c>
      <c r="AD4814">
        <v>-1.1104599435139999</v>
      </c>
      <c r="AE4814">
        <v>-2.80369</v>
      </c>
      <c r="AF4814">
        <v>3.5494718133993999</v>
      </c>
      <c r="AG4814">
        <v>-1.1104599435139999</v>
      </c>
      <c r="AH4814">
        <v>15.1225544856373</v>
      </c>
      <c r="AI4814">
        <v>94.089001903768093</v>
      </c>
      <c r="AJ4814">
        <v>76.790991153595201</v>
      </c>
      <c r="AK4814">
        <v>15.5731668459352</v>
      </c>
      <c r="AL4814">
        <v>81.278351687151499</v>
      </c>
      <c r="AM4814">
        <v>75.593770428142406</v>
      </c>
      <c r="AN4814">
        <v>1.0000000239161599</v>
      </c>
    </row>
    <row r="4815" spans="1:40" x14ac:dyDescent="0.25">
      <c r="A4815" t="str">
        <f>"20190312172802866"</f>
        <v>20190312172802866</v>
      </c>
      <c r="B4815" t="str">
        <f>"1552382882864625"</f>
        <v>1552382882864625</v>
      </c>
      <c r="C4815" t="s">
        <v>40</v>
      </c>
      <c r="D4815">
        <v>3.5817839999999999</v>
      </c>
      <c r="E4815">
        <v>0.49238969999999999</v>
      </c>
      <c r="F4815" t="s">
        <v>41</v>
      </c>
      <c r="G4815">
        <v>-323.76420000000002</v>
      </c>
      <c r="H4815" s="1">
        <v>-4.008791E-6</v>
      </c>
      <c r="I4815">
        <v>13.524240000000001</v>
      </c>
      <c r="J4815">
        <v>-339.07069999999999</v>
      </c>
      <c r="K4815">
        <v>1.1104480000000001</v>
      </c>
      <c r="L4815">
        <v>16.344089999999898</v>
      </c>
      <c r="M4815">
        <v>0.99863409999999997</v>
      </c>
      <c r="N4815">
        <v>0</v>
      </c>
      <c r="O4815">
        <v>5.045318E-2</v>
      </c>
      <c r="P4815">
        <v>0.97036699999999998</v>
      </c>
      <c r="Q4815">
        <v>0.13845839999999901</v>
      </c>
      <c r="R4815">
        <v>-0.19803419999999999</v>
      </c>
      <c r="S4815">
        <v>3.0109859999999999</v>
      </c>
      <c r="T4815">
        <v>-0.2157048</v>
      </c>
      <c r="U4815">
        <v>-0.54574579999999995</v>
      </c>
      <c r="V4815">
        <v>0.24664249999999999</v>
      </c>
      <c r="W4815">
        <v>0.151639</v>
      </c>
      <c r="X4815">
        <v>0.9571693</v>
      </c>
      <c r="Y4815">
        <v>0.22707720000000001</v>
      </c>
      <c r="Z4815">
        <v>-1.164201E-2</v>
      </c>
      <c r="AA4815">
        <v>0.97380719999999998</v>
      </c>
      <c r="AB4815">
        <v>21</v>
      </c>
      <c r="AC4815">
        <v>15.3064999999999</v>
      </c>
      <c r="AD4815">
        <v>-1.1104520087909999</v>
      </c>
      <c r="AE4815">
        <v>-2.81984999999999</v>
      </c>
      <c r="AF4815">
        <v>3.5704159850627999</v>
      </c>
      <c r="AG4815">
        <v>-1.1104520087909999</v>
      </c>
      <c r="AH4815">
        <v>15.068016546634601</v>
      </c>
      <c r="AI4815">
        <v>94.101676476855602</v>
      </c>
      <c r="AJ4815">
        <v>76.669437229463398</v>
      </c>
      <c r="AK4815">
        <v>15.5250151890385</v>
      </c>
      <c r="AL4815">
        <v>81.278078939618794</v>
      </c>
      <c r="AM4815">
        <v>75.550413058461302</v>
      </c>
      <c r="AN4815">
        <v>0.99999998899486897</v>
      </c>
    </row>
    <row r="4816" spans="1:40" x14ac:dyDescent="0.25">
      <c r="A4816" t="str">
        <f>"20190312172802889"</f>
        <v>20190312172802889</v>
      </c>
      <c r="B4816" t="str">
        <f>"1552382882884145"</f>
        <v>1552382882884145</v>
      </c>
      <c r="C4816" t="s">
        <v>40</v>
      </c>
      <c r="D4816">
        <v>3.6044700000000001</v>
      </c>
      <c r="E4816">
        <v>0.49238199999999999</v>
      </c>
      <c r="F4816" t="s">
        <v>41</v>
      </c>
      <c r="G4816">
        <v>-323.7747</v>
      </c>
      <c r="H4816" s="1">
        <v>-3.9907060000000003E-6</v>
      </c>
      <c r="I4816">
        <v>13.598269999999999</v>
      </c>
      <c r="J4816">
        <v>-338.86660000000001</v>
      </c>
      <c r="K4816">
        <v>1.110441</v>
      </c>
      <c r="L4816">
        <v>16.35501</v>
      </c>
      <c r="M4816">
        <v>0.99860890000000002</v>
      </c>
      <c r="N4816">
        <v>0</v>
      </c>
      <c r="O4816">
        <v>5.095123E-2</v>
      </c>
      <c r="P4816">
        <v>0.97022059999999999</v>
      </c>
      <c r="Q4816">
        <v>0.13930789999999901</v>
      </c>
      <c r="R4816">
        <v>-0.19815469999999999</v>
      </c>
      <c r="S4816">
        <v>3.012451</v>
      </c>
      <c r="T4816">
        <v>-0.21869710000000001</v>
      </c>
      <c r="U4816">
        <v>-0.54077149999999996</v>
      </c>
      <c r="V4816">
        <v>0.2472403</v>
      </c>
      <c r="W4816">
        <v>0.1524713</v>
      </c>
      <c r="X4816">
        <v>0.95688280000000003</v>
      </c>
      <c r="Y4816">
        <v>0.2259051</v>
      </c>
      <c r="Z4816">
        <v>-1.1792850000000001E-2</v>
      </c>
      <c r="AA4816">
        <v>0.97407790000000005</v>
      </c>
      <c r="AB4816">
        <v>21</v>
      </c>
      <c r="AC4816">
        <v>15.091900000000001</v>
      </c>
      <c r="AD4816">
        <v>-1.1104449907059999</v>
      </c>
      <c r="AE4816">
        <v>-2.75673999999999</v>
      </c>
      <c r="AF4816">
        <v>3.5038237506741798</v>
      </c>
      <c r="AG4816">
        <v>-1.1104449907059999</v>
      </c>
      <c r="AH4816">
        <v>14.8540011484315</v>
      </c>
      <c r="AI4816">
        <v>94.161533440896207</v>
      </c>
      <c r="AJ4816">
        <v>76.727450232979507</v>
      </c>
      <c r="AK4816">
        <v>15.3020004924446</v>
      </c>
      <c r="AL4816">
        <v>81.229830533157894</v>
      </c>
      <c r="AM4816">
        <v>75.512708181113794</v>
      </c>
      <c r="AN4816">
        <v>0.99999997810180896</v>
      </c>
    </row>
    <row r="4817" spans="1:40" x14ac:dyDescent="0.25">
      <c r="A4817" t="str">
        <f>"20190312172802910"</f>
        <v>20190312172802910</v>
      </c>
      <c r="B4817" t="str">
        <f>"1552382882904641"</f>
        <v>1552382882904641</v>
      </c>
      <c r="C4817" t="s">
        <v>40</v>
      </c>
      <c r="D4817">
        <v>3.6088179999999999</v>
      </c>
      <c r="E4817">
        <v>0.49234719999999998</v>
      </c>
      <c r="F4817" t="s">
        <v>41</v>
      </c>
      <c r="G4817">
        <v>-323.57350000000002</v>
      </c>
      <c r="H4817" s="1">
        <v>-4.08413E-6</v>
      </c>
      <c r="I4817">
        <v>13.607679999999901</v>
      </c>
      <c r="J4817">
        <v>-338.66520000000003</v>
      </c>
      <c r="K4817">
        <v>1.1104290000000001</v>
      </c>
      <c r="L4817">
        <v>16.365839999999999</v>
      </c>
      <c r="M4817">
        <v>0.99858530000000001</v>
      </c>
      <c r="N4817">
        <v>0</v>
      </c>
      <c r="O4817">
        <v>5.1413220000000003E-2</v>
      </c>
      <c r="P4817">
        <v>0.96975919999999904</v>
      </c>
      <c r="Q4817">
        <v>0.14075279999999901</v>
      </c>
      <c r="R4817">
        <v>-0.19939009999999999</v>
      </c>
      <c r="S4817">
        <v>3.0129389999999998</v>
      </c>
      <c r="T4817">
        <v>-0.2187722</v>
      </c>
      <c r="U4817">
        <v>-0.54125979999999996</v>
      </c>
      <c r="V4817">
        <v>0.2488996</v>
      </c>
      <c r="W4817">
        <v>0.153894899999999</v>
      </c>
      <c r="X4817">
        <v>0.95622459999999998</v>
      </c>
      <c r="Y4817">
        <v>0.22647819999999999</v>
      </c>
      <c r="Z4817">
        <v>-1.184875E-2</v>
      </c>
      <c r="AA4817">
        <v>0.97394409999999998</v>
      </c>
      <c r="AB4817">
        <v>21</v>
      </c>
      <c r="AC4817">
        <v>15.091699999999999</v>
      </c>
      <c r="AD4817">
        <v>-1.1104330841299901</v>
      </c>
      <c r="AE4817">
        <v>-2.75815999999999</v>
      </c>
      <c r="AF4817">
        <v>3.5120963889783701</v>
      </c>
      <c r="AG4817">
        <v>-1.1104330841299901</v>
      </c>
      <c r="AH4817">
        <v>14.852109490026701</v>
      </c>
      <c r="AI4817">
        <v>94.161472540117202</v>
      </c>
      <c r="AJ4817">
        <v>76.695592099685996</v>
      </c>
      <c r="AK4817">
        <v>15.3020599588273</v>
      </c>
      <c r="AL4817">
        <v>81.147290900892898</v>
      </c>
      <c r="AM4817">
        <v>75.410002438012398</v>
      </c>
      <c r="AN4817">
        <v>1.00000006838566</v>
      </c>
    </row>
    <row r="4818" spans="1:40" x14ac:dyDescent="0.25">
      <c r="A4818" t="str">
        <f>"20190312172802922"</f>
        <v>20190312172802922</v>
      </c>
      <c r="B4818" t="str">
        <f>"1552382882914401"</f>
        <v>1552382882914401</v>
      </c>
      <c r="C4818" t="s">
        <v>40</v>
      </c>
      <c r="D4818">
        <v>3.6318199999999998</v>
      </c>
      <c r="E4818">
        <v>0.4924288</v>
      </c>
      <c r="F4818" t="s">
        <v>41</v>
      </c>
      <c r="G4818">
        <v>-323.20339999999999</v>
      </c>
      <c r="H4818" s="1">
        <v>-4.2657130000000002E-6</v>
      </c>
      <c r="I4818">
        <v>13.57039</v>
      </c>
      <c r="J4818">
        <v>-338.54610000000002</v>
      </c>
      <c r="K4818">
        <v>1.110419</v>
      </c>
      <c r="L4818">
        <v>16.37228</v>
      </c>
      <c r="M4818">
        <v>0.99857169999999895</v>
      </c>
      <c r="N4818">
        <v>0</v>
      </c>
      <c r="O4818">
        <v>5.167509E-2</v>
      </c>
      <c r="P4818">
        <v>0.96961580000000003</v>
      </c>
      <c r="Q4818">
        <v>0.1407283</v>
      </c>
      <c r="R4818">
        <v>-0.20010310000000001</v>
      </c>
      <c r="S4818">
        <v>3.0129700000000001</v>
      </c>
      <c r="T4818">
        <v>-0.21638560000000001</v>
      </c>
      <c r="U4818">
        <v>-0.54473879999999997</v>
      </c>
      <c r="V4818">
        <v>0.24985930000000001</v>
      </c>
      <c r="W4818">
        <v>0.15386050000000001</v>
      </c>
      <c r="X4818">
        <v>0.95597980000000005</v>
      </c>
      <c r="Y4818">
        <v>0.22783239999999999</v>
      </c>
      <c r="Z4818">
        <v>-1.178538E-2</v>
      </c>
      <c r="AA4818">
        <v>0.97362910000000003</v>
      </c>
      <c r="AB4818">
        <v>21</v>
      </c>
      <c r="AC4818">
        <v>15.342700000000001</v>
      </c>
      <c r="AD4818">
        <v>-1.110423265713</v>
      </c>
      <c r="AE4818">
        <v>-2.8018900000000002</v>
      </c>
      <c r="AF4818">
        <v>3.5729428944164399</v>
      </c>
      <c r="AG4818">
        <v>-1.110423265713</v>
      </c>
      <c r="AH4818">
        <v>15.100849490636</v>
      </c>
      <c r="AI4818">
        <v>94.093001317418398</v>
      </c>
      <c r="AJ4818">
        <v>76.688309983869502</v>
      </c>
      <c r="AK4818">
        <v>15.5574617497406</v>
      </c>
      <c r="AL4818">
        <v>81.149285474635406</v>
      </c>
      <c r="AM4818">
        <v>75.3525718135201</v>
      </c>
      <c r="AN4818">
        <v>1.0000000506323801</v>
      </c>
    </row>
    <row r="4819" spans="1:40" x14ac:dyDescent="0.25">
      <c r="A4819" t="str">
        <f>"20190312172802933"</f>
        <v>20190312172802933</v>
      </c>
      <c r="B4819" t="str">
        <f>"1552382882924161"</f>
        <v>1552382882924161</v>
      </c>
      <c r="C4819" t="s">
        <v>40</v>
      </c>
      <c r="D4819">
        <v>3.6189559999999998</v>
      </c>
      <c r="E4819">
        <v>0.49244529999999997</v>
      </c>
      <c r="F4819" t="s">
        <v>41</v>
      </c>
      <c r="G4819">
        <v>-323.17</v>
      </c>
      <c r="H4819" s="1">
        <v>-4.2799619999999999E-6</v>
      </c>
      <c r="I4819">
        <v>13.579050000000001</v>
      </c>
      <c r="J4819">
        <v>-338.44400000000002</v>
      </c>
      <c r="K4819">
        <v>1.1104149999999999</v>
      </c>
      <c r="L4819">
        <v>16.377779999999898</v>
      </c>
      <c r="M4819">
        <v>0.99856040000000001</v>
      </c>
      <c r="N4819">
        <v>0</v>
      </c>
      <c r="O4819">
        <v>5.1894120000000002E-2</v>
      </c>
      <c r="P4819">
        <v>0.96945130000000002</v>
      </c>
      <c r="Q4819">
        <v>0.1401616</v>
      </c>
      <c r="R4819">
        <v>-0.2012941</v>
      </c>
      <c r="S4819">
        <v>3.0126040000000001</v>
      </c>
      <c r="T4819">
        <v>-0.21756220000000001</v>
      </c>
      <c r="U4819">
        <v>-0.54727169999999903</v>
      </c>
      <c r="V4819">
        <v>0.25125360000000002</v>
      </c>
      <c r="W4819">
        <v>0.1532847</v>
      </c>
      <c r="X4819">
        <v>0.95570679999999997</v>
      </c>
      <c r="Y4819">
        <v>0.22884840000000001</v>
      </c>
      <c r="Z4819">
        <v>-1.190188E-2</v>
      </c>
      <c r="AA4819">
        <v>0.97338930000000001</v>
      </c>
      <c r="AB4819">
        <v>21</v>
      </c>
      <c r="AC4819">
        <v>15.273999999999999</v>
      </c>
      <c r="AD4819">
        <v>-1.1104192799619901</v>
      </c>
      <c r="AE4819">
        <v>-2.7987299999999902</v>
      </c>
      <c r="AF4819">
        <v>3.5694095287014198</v>
      </c>
      <c r="AG4819">
        <v>-1.1104192799619901</v>
      </c>
      <c r="AH4819">
        <v>15.0313009014878</v>
      </c>
      <c r="AI4819">
        <v>94.111069251283993</v>
      </c>
      <c r="AJ4819">
        <v>76.641673857500095</v>
      </c>
      <c r="AK4819">
        <v>15.489148528952899</v>
      </c>
      <c r="AL4819">
        <v>81.182672249806004</v>
      </c>
      <c r="AM4819">
        <v>75.270353629481605</v>
      </c>
      <c r="AN4819">
        <v>1.00000002916664</v>
      </c>
    </row>
    <row r="4820" spans="1:40" x14ac:dyDescent="0.25">
      <c r="A4820" t="str">
        <f>"20190312172802945"</f>
        <v>20190312172802945</v>
      </c>
      <c r="B4820" t="str">
        <f>"1552382882933921"</f>
        <v>1552382882933921</v>
      </c>
      <c r="C4820" t="s">
        <v>40</v>
      </c>
      <c r="D4820">
        <v>3.6140780000000001</v>
      </c>
      <c r="E4820">
        <v>0.49248940000000002</v>
      </c>
      <c r="F4820" t="s">
        <v>41</v>
      </c>
      <c r="G4820">
        <v>-323.28129999999999</v>
      </c>
      <c r="H4820" s="1">
        <v>-4.222306E-6</v>
      </c>
      <c r="I4820">
        <v>13.607379999999999</v>
      </c>
      <c r="J4820">
        <v>-338.32960000000003</v>
      </c>
      <c r="K4820">
        <v>1.110406</v>
      </c>
      <c r="L4820">
        <v>16.384029999999999</v>
      </c>
      <c r="M4820">
        <v>0.99854799999999999</v>
      </c>
      <c r="N4820">
        <v>0</v>
      </c>
      <c r="O4820">
        <v>5.2133779999999998E-2</v>
      </c>
      <c r="P4820">
        <v>0.9692788</v>
      </c>
      <c r="Q4820">
        <v>0.13971620000000001</v>
      </c>
      <c r="R4820">
        <v>-0.2024318</v>
      </c>
      <c r="S4820">
        <v>3.012146</v>
      </c>
      <c r="T4820">
        <v>-0.22059090000000001</v>
      </c>
      <c r="U4820">
        <v>-0.55035400000000001</v>
      </c>
      <c r="V4820">
        <v>0.25261410000000001</v>
      </c>
      <c r="W4820">
        <v>0.15282950000000001</v>
      </c>
      <c r="X4820">
        <v>0.95542099999999996</v>
      </c>
      <c r="Y4820">
        <v>0.23004820000000001</v>
      </c>
      <c r="Z4820">
        <v>-1.21288E-2</v>
      </c>
      <c r="AA4820">
        <v>0.97310359999999996</v>
      </c>
      <c r="AB4820">
        <v>21</v>
      </c>
      <c r="AC4820">
        <v>15.048299999999999</v>
      </c>
      <c r="AD4820">
        <v>-1.1104102223059999</v>
      </c>
      <c r="AE4820">
        <v>-2.7766500000000001</v>
      </c>
      <c r="AF4820">
        <v>3.5388360206626301</v>
      </c>
      <c r="AG4820">
        <v>-1.1104102223059999</v>
      </c>
      <c r="AH4820">
        <v>14.805103105611799</v>
      </c>
      <c r="AI4820">
        <v>94.172160202039905</v>
      </c>
      <c r="AJ4820">
        <v>76.5569299777152</v>
      </c>
      <c r="AK4820">
        <v>15.2626160670685</v>
      </c>
      <c r="AL4820">
        <v>81.209064116401194</v>
      </c>
      <c r="AM4820">
        <v>75.189855285994398</v>
      </c>
      <c r="AN4820">
        <v>1.00000001341503</v>
      </c>
    </row>
    <row r="4821" spans="1:40" x14ac:dyDescent="0.25">
      <c r="A4821" t="str">
        <f>"20190312172802958"</f>
        <v>20190312172802958</v>
      </c>
      <c r="B4821" t="str">
        <f>"1552382882954417"</f>
        <v>1552382882954417</v>
      </c>
      <c r="C4821" t="s">
        <v>40</v>
      </c>
      <c r="D4821">
        <v>3.6048460000000002</v>
      </c>
      <c r="E4821">
        <v>0.49253429999999998</v>
      </c>
      <c r="F4821" t="s">
        <v>41</v>
      </c>
      <c r="G4821">
        <v>-323.3417</v>
      </c>
      <c r="H4821" s="1">
        <v>-4.1900609999999999E-6</v>
      </c>
      <c r="I4821">
        <v>13.628220000000001</v>
      </c>
      <c r="J4821">
        <v>-338.2199</v>
      </c>
      <c r="K4821">
        <v>1.1103940000000001</v>
      </c>
      <c r="L4821">
        <v>16.389979999999898</v>
      </c>
      <c r="M4821">
        <v>0.99853650000000005</v>
      </c>
      <c r="N4821">
        <v>0</v>
      </c>
      <c r="O4821">
        <v>5.2350580000000001E-2</v>
      </c>
      <c r="P4821">
        <v>0.96931730000000005</v>
      </c>
      <c r="Q4821">
        <v>0.13847599999999999</v>
      </c>
      <c r="R4821">
        <v>-0.203097</v>
      </c>
      <c r="S4821">
        <v>3.0115970000000001</v>
      </c>
      <c r="T4821">
        <v>-0.22312080000000001</v>
      </c>
      <c r="U4821">
        <v>-0.5537415</v>
      </c>
      <c r="V4821">
        <v>0.25349270000000002</v>
      </c>
      <c r="W4821">
        <v>0.15158150000000001</v>
      </c>
      <c r="X4821">
        <v>0.95538710000000004</v>
      </c>
      <c r="Y4821">
        <v>0.2313286</v>
      </c>
      <c r="Z4821">
        <v>-1.2331440000000001E-2</v>
      </c>
      <c r="AA4821">
        <v>0.97279749999999998</v>
      </c>
      <c r="AB4821">
        <v>21</v>
      </c>
      <c r="AC4821">
        <v>14.8781999999999</v>
      </c>
      <c r="AD4821">
        <v>-1.110398190061</v>
      </c>
      <c r="AE4821">
        <v>-2.76175999999999</v>
      </c>
      <c r="AF4821">
        <v>3.5179839171842699</v>
      </c>
      <c r="AG4821">
        <v>-1.110398190061</v>
      </c>
      <c r="AH4821">
        <v>14.6344029378992</v>
      </c>
      <c r="AI4821">
        <v>94.219305786843094</v>
      </c>
      <c r="AJ4821">
        <v>76.483066963306001</v>
      </c>
      <c r="AK4821">
        <v>15.09221469271</v>
      </c>
      <c r="AL4821">
        <v>81.281412120465305</v>
      </c>
      <c r="AM4821">
        <v>75.140116362072703</v>
      </c>
      <c r="AN4821">
        <v>1.0000000054709699</v>
      </c>
    </row>
    <row r="4822" spans="1:40" x14ac:dyDescent="0.25">
      <c r="A4822" t="str">
        <f>"20190312172802970"</f>
        <v>20190312172802970</v>
      </c>
      <c r="B4822" t="str">
        <f>"1552382882964177"</f>
        <v>1552382882964177</v>
      </c>
      <c r="C4822" t="s">
        <v>40</v>
      </c>
      <c r="D4822">
        <v>3.6101079999999999</v>
      </c>
      <c r="E4822">
        <v>0.49257220000000002</v>
      </c>
      <c r="F4822" t="s">
        <v>41</v>
      </c>
      <c r="G4822">
        <v>-323.63940000000002</v>
      </c>
      <c r="H4822" s="1">
        <v>-4.0369929999999997E-6</v>
      </c>
      <c r="I4822">
        <v>13.697929999999999</v>
      </c>
      <c r="J4822">
        <v>-338.10750000000002</v>
      </c>
      <c r="K4822">
        <v>1.110374</v>
      </c>
      <c r="L4822">
        <v>16.396149999999999</v>
      </c>
      <c r="M4822">
        <v>0.99852540000000001</v>
      </c>
      <c r="N4822">
        <v>0</v>
      </c>
      <c r="O4822">
        <v>5.2566189999999999E-2</v>
      </c>
      <c r="P4822">
        <v>0.96934319999999896</v>
      </c>
      <c r="Q4822">
        <v>0.13724330000000001</v>
      </c>
      <c r="R4822">
        <v>-0.20381009999999999</v>
      </c>
      <c r="S4822">
        <v>3.0112000000000001</v>
      </c>
      <c r="T4822">
        <v>-0.22932179999999999</v>
      </c>
      <c r="U4822">
        <v>-0.55596919999999905</v>
      </c>
      <c r="V4822">
        <v>0.25441720000000001</v>
      </c>
      <c r="W4822">
        <v>0.1503409</v>
      </c>
      <c r="X4822">
        <v>0.9553374</v>
      </c>
      <c r="Y4822">
        <v>0.2322118</v>
      </c>
      <c r="Z4822">
        <v>-1.27236E-2</v>
      </c>
      <c r="AA4822">
        <v>0.97258199999999995</v>
      </c>
      <c r="AB4822">
        <v>21</v>
      </c>
      <c r="AC4822">
        <v>14.4680999999999</v>
      </c>
      <c r="AD4822">
        <v>-1.1103780369930001</v>
      </c>
      <c r="AE4822">
        <v>-2.6982199999999898</v>
      </c>
      <c r="AF4822">
        <v>3.4355363415146498</v>
      </c>
      <c r="AG4822">
        <v>-1.1103780369930001</v>
      </c>
      <c r="AH4822">
        <v>14.2252738232678</v>
      </c>
      <c r="AI4822">
        <v>94.339019727698798</v>
      </c>
      <c r="AJ4822">
        <v>76.422526424178002</v>
      </c>
      <c r="AK4822">
        <v>14.6763164549506</v>
      </c>
      <c r="AL4822">
        <v>81.353317476607998</v>
      </c>
      <c r="AM4822">
        <v>75.087590661071701</v>
      </c>
      <c r="AN4822">
        <v>1.0000000228537</v>
      </c>
    </row>
    <row r="4823" spans="1:40" x14ac:dyDescent="0.25">
      <c r="A4823" t="str">
        <f>"20190312172802981"</f>
        <v>20190312172802981</v>
      </c>
      <c r="B4823" t="str">
        <f>"1552382882973937"</f>
        <v>1552382882973937</v>
      </c>
      <c r="C4823" t="s">
        <v>40</v>
      </c>
      <c r="D4823">
        <v>3.5884740000000002</v>
      </c>
      <c r="E4823">
        <v>0.49258999999999997</v>
      </c>
      <c r="F4823" t="s">
        <v>41</v>
      </c>
      <c r="G4823">
        <v>-323.83170000000001</v>
      </c>
      <c r="H4823" s="1">
        <v>-3.9369929999999998E-6</v>
      </c>
      <c r="I4823">
        <v>13.749309999999999</v>
      </c>
      <c r="J4823">
        <v>-337.99340000000001</v>
      </c>
      <c r="K4823">
        <v>1.1103590000000001</v>
      </c>
      <c r="L4823">
        <v>16.4024</v>
      </c>
      <c r="M4823">
        <v>0.99851480000000004</v>
      </c>
      <c r="N4823">
        <v>0</v>
      </c>
      <c r="O4823">
        <v>5.2767019999999998E-2</v>
      </c>
      <c r="P4823">
        <v>0.96934169999999997</v>
      </c>
      <c r="Q4823">
        <v>0.1362901</v>
      </c>
      <c r="R4823">
        <v>-0.20445659999999999</v>
      </c>
      <c r="S4823">
        <v>3.0106510000000002</v>
      </c>
      <c r="T4823">
        <v>-0.2341694</v>
      </c>
      <c r="U4823">
        <v>-0.55819700000000005</v>
      </c>
      <c r="V4823">
        <v>0.2552604</v>
      </c>
      <c r="W4823">
        <v>0.1493777</v>
      </c>
      <c r="X4823">
        <v>0.95526359999999999</v>
      </c>
      <c r="Y4823">
        <v>0.23309740000000001</v>
      </c>
      <c r="Z4823">
        <v>-1.304285E-2</v>
      </c>
      <c r="AA4823">
        <v>0.97236590000000001</v>
      </c>
      <c r="AB4823">
        <v>21</v>
      </c>
      <c r="AC4823">
        <v>14.1616999999999</v>
      </c>
      <c r="AD4823">
        <v>-1.1103629369929999</v>
      </c>
      <c r="AE4823">
        <v>-2.6530900000000002</v>
      </c>
      <c r="AF4823">
        <v>3.3766782657495602</v>
      </c>
      <c r="AG4823">
        <v>-1.1103629369929999</v>
      </c>
      <c r="AH4823">
        <v>13.919290925706999</v>
      </c>
      <c r="AI4823">
        <v>94.432875569149004</v>
      </c>
      <c r="AJ4823">
        <v>76.364045232435799</v>
      </c>
      <c r="AK4823">
        <v>14.3659848891993</v>
      </c>
      <c r="AL4823">
        <v>81.409135400287795</v>
      </c>
      <c r="AM4823">
        <v>75.039275744849903</v>
      </c>
      <c r="AN4823">
        <v>1.0000000572751999</v>
      </c>
    </row>
    <row r="4824" spans="1:40" x14ac:dyDescent="0.25">
      <c r="A4824" t="str">
        <f>"20190312172802999"</f>
        <v>20190312172802999</v>
      </c>
      <c r="B4824" t="str">
        <f>"1552382882994432"</f>
        <v>1552382882994432</v>
      </c>
      <c r="C4824" t="s">
        <v>40</v>
      </c>
      <c r="D4824">
        <v>3.6112169999999999</v>
      </c>
      <c r="E4824">
        <v>0.49265120000000001</v>
      </c>
      <c r="F4824" t="s">
        <v>41</v>
      </c>
      <c r="G4824">
        <v>-323.96710000000002</v>
      </c>
      <c r="H4824" s="1">
        <v>-3.865342E-6</v>
      </c>
      <c r="I4824">
        <v>13.792350000000001</v>
      </c>
      <c r="J4824">
        <v>-337.83429999999998</v>
      </c>
      <c r="K4824">
        <v>1.110336</v>
      </c>
      <c r="L4824">
        <v>16.411100000000001</v>
      </c>
      <c r="M4824">
        <v>0.99850090000000002</v>
      </c>
      <c r="N4824">
        <v>0</v>
      </c>
      <c r="O4824">
        <v>5.302722E-2</v>
      </c>
      <c r="P4824">
        <v>0.96927920000000001</v>
      </c>
      <c r="Q4824">
        <v>0.1347727</v>
      </c>
      <c r="R4824">
        <v>-0.20575270000000001</v>
      </c>
      <c r="S4824">
        <v>3.0102229999999999</v>
      </c>
      <c r="T4824">
        <v>-0.2382977</v>
      </c>
      <c r="U4824">
        <v>-0.56015009999999998</v>
      </c>
      <c r="V4824">
        <v>0.25680910000000001</v>
      </c>
      <c r="W4824">
        <v>0.14784330000000001</v>
      </c>
      <c r="X4824">
        <v>0.95508709999999997</v>
      </c>
      <c r="Y4824">
        <v>0.23395199999999999</v>
      </c>
      <c r="Z4824">
        <v>-1.332709E-2</v>
      </c>
      <c r="AA4824">
        <v>0.97215680000000004</v>
      </c>
      <c r="AB4824">
        <v>21</v>
      </c>
      <c r="AC4824">
        <v>13.867199999999899</v>
      </c>
      <c r="AD4824">
        <v>-1.110339865342</v>
      </c>
      <c r="AE4824">
        <v>-2.6187499999999999</v>
      </c>
      <c r="AF4824">
        <v>3.3298586334089002</v>
      </c>
      <c r="AG4824">
        <v>-1.110339865342</v>
      </c>
      <c r="AH4824">
        <v>13.6244679741782</v>
      </c>
      <c r="AI4824">
        <v>94.526432141706593</v>
      </c>
      <c r="AJ4824">
        <v>76.2659812000702</v>
      </c>
      <c r="AK4824">
        <v>14.069361773529801</v>
      </c>
      <c r="AL4824">
        <v>81.498036414686396</v>
      </c>
      <c r="AM4824">
        <v>74.949957343809203</v>
      </c>
      <c r="AN4824">
        <v>0.99999996189205398</v>
      </c>
    </row>
    <row r="4825" spans="1:40" x14ac:dyDescent="0.25">
      <c r="A4825" t="str">
        <f>"20190312172803011"</f>
        <v>20190312172803011</v>
      </c>
      <c r="B4825" t="str">
        <f>"1552382883004193"</f>
        <v>1552382883004193</v>
      </c>
      <c r="C4825" t="s">
        <v>40</v>
      </c>
      <c r="D4825">
        <v>3.6007850000000001</v>
      </c>
      <c r="E4825">
        <v>0.49270589999999997</v>
      </c>
      <c r="F4825" t="s">
        <v>41</v>
      </c>
      <c r="G4825">
        <v>-324.16449999999998</v>
      </c>
      <c r="H4825" s="1">
        <v>-3.761826E-6</v>
      </c>
      <c r="I4825">
        <v>13.849740000000001</v>
      </c>
      <c r="J4825">
        <v>-337.72030000000001</v>
      </c>
      <c r="K4825">
        <v>1.11032</v>
      </c>
      <c r="L4825">
        <v>16.417390000000001</v>
      </c>
      <c r="M4825">
        <v>0.99849180000000004</v>
      </c>
      <c r="N4825">
        <v>0</v>
      </c>
      <c r="O4825">
        <v>5.3199030000000001E-2</v>
      </c>
      <c r="P4825">
        <v>0.96920220000000001</v>
      </c>
      <c r="Q4825">
        <v>0.13452020000000001</v>
      </c>
      <c r="R4825">
        <v>-0.2062804</v>
      </c>
      <c r="S4825">
        <v>3.0093380000000001</v>
      </c>
      <c r="T4825">
        <v>-0.2444366</v>
      </c>
      <c r="U4825">
        <v>-0.56387330000000002</v>
      </c>
      <c r="V4825">
        <v>0.25750279999999998</v>
      </c>
      <c r="W4825">
        <v>0.14757729999999999</v>
      </c>
      <c r="X4825">
        <v>0.9549415</v>
      </c>
      <c r="Y4825">
        <v>0.2352822</v>
      </c>
      <c r="Z4825">
        <v>-1.3739090000000001E-2</v>
      </c>
      <c r="AA4825">
        <v>0.97182999999999997</v>
      </c>
      <c r="AB4825">
        <v>21</v>
      </c>
      <c r="AC4825">
        <v>13.5558</v>
      </c>
      <c r="AD4825">
        <v>-1.110323761826</v>
      </c>
      <c r="AE4825">
        <v>-2.56765</v>
      </c>
      <c r="AF4825">
        <v>3.26409519452737</v>
      </c>
      <c r="AG4825">
        <v>-1.110323761826</v>
      </c>
      <c r="AH4825">
        <v>13.3137647904866</v>
      </c>
      <c r="AI4825">
        <v>94.630730477948106</v>
      </c>
      <c r="AJ4825">
        <v>76.224675433818405</v>
      </c>
      <c r="AK4825">
        <v>13.7529440190605</v>
      </c>
      <c r="AL4825">
        <v>81.513446537767905</v>
      </c>
      <c r="AM4825">
        <v>74.908959493613295</v>
      </c>
      <c r="AN4825">
        <v>1.00000000995269</v>
      </c>
    </row>
    <row r="4826" spans="1:40" x14ac:dyDescent="0.25">
      <c r="A4826" t="str">
        <f>"20190312172803033"</f>
        <v>20190312172803033</v>
      </c>
      <c r="B4826" t="str">
        <f>"1552382883024692"</f>
        <v>1552382883024692</v>
      </c>
      <c r="C4826" t="s">
        <v>40</v>
      </c>
      <c r="D4826">
        <v>3.5729690000000001</v>
      </c>
      <c r="E4826">
        <v>0.49275780000000002</v>
      </c>
      <c r="F4826" t="s">
        <v>41</v>
      </c>
      <c r="G4826">
        <v>-324.13420000000002</v>
      </c>
      <c r="H4826" s="1">
        <v>-3.7734179999999998E-6</v>
      </c>
      <c r="I4826">
        <v>13.865130000000001</v>
      </c>
      <c r="J4826">
        <v>-337.51650000000001</v>
      </c>
      <c r="K4826">
        <v>1.1102909999999999</v>
      </c>
      <c r="L4826">
        <v>16.42859</v>
      </c>
      <c r="M4826">
        <v>0.99847790000000003</v>
      </c>
      <c r="N4826">
        <v>0</v>
      </c>
      <c r="O4826">
        <v>5.3461219999999997E-2</v>
      </c>
      <c r="P4826">
        <v>0.96887299999999998</v>
      </c>
      <c r="Q4826">
        <v>0.13428370000000001</v>
      </c>
      <c r="R4826">
        <v>-0.20797489999999999</v>
      </c>
      <c r="S4826">
        <v>3.0092159999999999</v>
      </c>
      <c r="T4826">
        <v>-0.2459288</v>
      </c>
      <c r="U4826">
        <v>-0.56530760000000002</v>
      </c>
      <c r="V4826">
        <v>0.25944080000000003</v>
      </c>
      <c r="W4826">
        <v>0.14731129999999901</v>
      </c>
      <c r="X4826">
        <v>0.95445789999999997</v>
      </c>
      <c r="Y4826">
        <v>0.23597770000000001</v>
      </c>
      <c r="Z4826">
        <v>-1.3872010000000001E-2</v>
      </c>
      <c r="AA4826">
        <v>0.97165950000000001</v>
      </c>
      <c r="AB4826">
        <v>21</v>
      </c>
      <c r="AC4826">
        <v>13.382299999999899</v>
      </c>
      <c r="AD4826">
        <v>-1.110294773418</v>
      </c>
      <c r="AE4826">
        <v>-2.5634600000000001</v>
      </c>
      <c r="AF4826">
        <v>3.2536889028318301</v>
      </c>
      <c r="AG4826">
        <v>-1.110294773418</v>
      </c>
      <c r="AH4826">
        <v>13.1388591847772</v>
      </c>
      <c r="AI4826">
        <v>94.6892985807023</v>
      </c>
      <c r="AJ4826">
        <v>76.0911657895915</v>
      </c>
      <c r="AK4826">
        <v>13.581195331696501</v>
      </c>
      <c r="AL4826">
        <v>81.528855676834098</v>
      </c>
      <c r="AM4826">
        <v>74.793273515900395</v>
      </c>
      <c r="AN4826">
        <v>1.00000001534236</v>
      </c>
    </row>
    <row r="4827" spans="1:40" x14ac:dyDescent="0.25">
      <c r="A4827" t="str">
        <f>"20190312172803046"</f>
        <v>20190312172803046</v>
      </c>
      <c r="B4827" t="str">
        <f>"1552382883034449"</f>
        <v>1552382883034449</v>
      </c>
      <c r="C4827" t="s">
        <v>40</v>
      </c>
      <c r="D4827">
        <v>3.580937</v>
      </c>
      <c r="E4827">
        <v>0.49282900000000002</v>
      </c>
      <c r="F4827" t="s">
        <v>41</v>
      </c>
      <c r="G4827">
        <v>-323.98829999999998</v>
      </c>
      <c r="H4827" s="1">
        <v>-3.8424039999999999E-6</v>
      </c>
      <c r="I4827">
        <v>13.86511</v>
      </c>
      <c r="J4827">
        <v>-337.39960000000002</v>
      </c>
      <c r="K4827">
        <v>1.110274</v>
      </c>
      <c r="L4827">
        <v>16.434999999999999</v>
      </c>
      <c r="M4827">
        <v>0.998471</v>
      </c>
      <c r="N4827">
        <v>0</v>
      </c>
      <c r="O4827">
        <v>5.358885E-2</v>
      </c>
      <c r="P4827">
        <v>0.96860780000000002</v>
      </c>
      <c r="Q4827">
        <v>0.13393070000000001</v>
      </c>
      <c r="R4827">
        <v>-0.20943149999999999</v>
      </c>
      <c r="S4827">
        <v>3.0082399999999998</v>
      </c>
      <c r="T4827">
        <v>-0.24689459999999999</v>
      </c>
      <c r="U4827">
        <v>-0.57003780000000004</v>
      </c>
      <c r="V4827">
        <v>0.2610112</v>
      </c>
      <c r="W4827">
        <v>0.14693870000000001</v>
      </c>
      <c r="X4827">
        <v>0.95408709999999997</v>
      </c>
      <c r="Y4827">
        <v>0.23762059999999999</v>
      </c>
      <c r="Z4827">
        <v>-1.400588E-2</v>
      </c>
      <c r="AA4827">
        <v>0.97125700000000004</v>
      </c>
      <c r="AB4827">
        <v>21</v>
      </c>
      <c r="AC4827">
        <v>13.411300000000001</v>
      </c>
      <c r="AD4827">
        <v>-1.1102778424040001</v>
      </c>
      <c r="AE4827">
        <v>-2.5698899999999898</v>
      </c>
      <c r="AF4827">
        <v>3.2633849287376502</v>
      </c>
      <c r="AG4827">
        <v>-1.1102778424040001</v>
      </c>
      <c r="AH4827">
        <v>13.1672480689988</v>
      </c>
      <c r="AI4827">
        <v>94.678942116266896</v>
      </c>
      <c r="AJ4827">
        <v>76.080236469680202</v>
      </c>
      <c r="AK4827">
        <v>13.610981588077999</v>
      </c>
      <c r="AL4827">
        <v>81.550438920358303</v>
      </c>
      <c r="AM4827">
        <v>74.699860039836096</v>
      </c>
      <c r="AN4827">
        <v>1.00000001123476</v>
      </c>
    </row>
    <row r="4828" spans="1:40" x14ac:dyDescent="0.25">
      <c r="A4828" t="str">
        <f>"20190312172803067"</f>
        <v>20190312172803067</v>
      </c>
      <c r="B4828" t="str">
        <f>"1552382883064705"</f>
        <v>1552382883064705</v>
      </c>
      <c r="C4828" t="s">
        <v>40</v>
      </c>
      <c r="D4828">
        <v>3.5297239999999999</v>
      </c>
      <c r="E4828">
        <v>0.49292809999999998</v>
      </c>
      <c r="F4828" t="s">
        <v>41</v>
      </c>
      <c r="G4828">
        <v>-323.94819999999999</v>
      </c>
      <c r="H4828" s="1">
        <v>-3.8610129999999997E-6</v>
      </c>
      <c r="I4828">
        <v>13.866949999999999</v>
      </c>
      <c r="J4828">
        <v>-337.20170000000002</v>
      </c>
      <c r="K4828">
        <v>1.110239</v>
      </c>
      <c r="L4828">
        <v>16.445799999999998</v>
      </c>
      <c r="M4828">
        <v>0.99846210000000002</v>
      </c>
      <c r="N4828">
        <v>0</v>
      </c>
      <c r="O4828">
        <v>5.3756640000000001E-2</v>
      </c>
      <c r="P4828">
        <v>0.96795240000000005</v>
      </c>
      <c r="Q4828">
        <v>0.13352240000000001</v>
      </c>
      <c r="R4828">
        <v>-0.21269759999999999</v>
      </c>
      <c r="S4828">
        <v>3.0074160000000001</v>
      </c>
      <c r="T4828">
        <v>-0.24823310000000001</v>
      </c>
      <c r="U4828">
        <v>-0.57415769999999899</v>
      </c>
      <c r="V4828">
        <v>0.26441110000000001</v>
      </c>
      <c r="W4828">
        <v>0.1464934</v>
      </c>
      <c r="X4828">
        <v>0.95321900000000004</v>
      </c>
      <c r="Y4828">
        <v>0.23910039999999999</v>
      </c>
      <c r="Z4828">
        <v>-1.415775E-2</v>
      </c>
      <c r="AA4828">
        <v>0.97089170000000002</v>
      </c>
      <c r="AB4828">
        <v>21</v>
      </c>
      <c r="AC4828">
        <v>13.253500000000001</v>
      </c>
      <c r="AD4828">
        <v>-1.110242861013</v>
      </c>
      <c r="AE4828">
        <v>-2.5788499999999899</v>
      </c>
      <c r="AF4828">
        <v>3.2655697570064599</v>
      </c>
      <c r="AG4828">
        <v>-1.110242861013</v>
      </c>
      <c r="AH4828">
        <v>13.007739420862601</v>
      </c>
      <c r="AI4828">
        <v>94.732360866535501</v>
      </c>
      <c r="AJ4828">
        <v>75.9072450576991</v>
      </c>
      <c r="AK4828">
        <v>13.4572608613108</v>
      </c>
      <c r="AL4828">
        <v>81.576231783837699</v>
      </c>
      <c r="AM4828">
        <v>74.496646943619496</v>
      </c>
      <c r="AN4828">
        <v>1.0000000040038799</v>
      </c>
    </row>
    <row r="4829" spans="1:40" x14ac:dyDescent="0.25">
      <c r="A4829" t="str">
        <f>"20190312172803089"</f>
        <v>20190312172803089</v>
      </c>
      <c r="B4829" t="str">
        <f>"1552382883084225"</f>
        <v>1552382883084225</v>
      </c>
      <c r="C4829" t="s">
        <v>40</v>
      </c>
      <c r="D4829">
        <v>3.490316</v>
      </c>
      <c r="E4829">
        <v>0.49296649999999997</v>
      </c>
      <c r="F4829" t="s">
        <v>41</v>
      </c>
      <c r="G4829">
        <v>-323.8528</v>
      </c>
      <c r="H4829" s="1">
        <v>-3.9085930000000002E-6</v>
      </c>
      <c r="I4829">
        <v>13.85314</v>
      </c>
      <c r="J4829">
        <v>-337.00720000000001</v>
      </c>
      <c r="K4829">
        <v>1.110198</v>
      </c>
      <c r="L4829">
        <v>16.456420000000001</v>
      </c>
      <c r="M4829">
        <v>0.99845689999999998</v>
      </c>
      <c r="N4829">
        <v>0</v>
      </c>
      <c r="O4829">
        <v>5.3854390000000002E-2</v>
      </c>
      <c r="P4829">
        <v>0.96718490000000001</v>
      </c>
      <c r="Q4829">
        <v>0.13337579999999999</v>
      </c>
      <c r="R4829">
        <v>-0.21625130000000001</v>
      </c>
      <c r="S4829">
        <v>3.0055239999999999</v>
      </c>
      <c r="T4829">
        <v>-0.2499719</v>
      </c>
      <c r="U4829">
        <v>-0.58374019999999904</v>
      </c>
      <c r="V4829">
        <v>0.26802619999999999</v>
      </c>
      <c r="W4829">
        <v>0.1463052</v>
      </c>
      <c r="X4829">
        <v>0.95223769999999996</v>
      </c>
      <c r="Y4829">
        <v>0.2422665</v>
      </c>
      <c r="Z4829">
        <v>-1.4399520000000001E-2</v>
      </c>
      <c r="AA4829">
        <v>0.97010289999999999</v>
      </c>
      <c r="AB4829">
        <v>21</v>
      </c>
      <c r="AC4829">
        <v>13.154400000000001</v>
      </c>
      <c r="AD4829">
        <v>-1.1102019085929999</v>
      </c>
      <c r="AE4829">
        <v>-2.6032799999999998</v>
      </c>
      <c r="AF4829">
        <v>3.2854683068521502</v>
      </c>
      <c r="AG4829">
        <v>-1.1102019085929999</v>
      </c>
      <c r="AH4829">
        <v>12.906627115069799</v>
      </c>
      <c r="AI4829">
        <v>94.7651334915153</v>
      </c>
      <c r="AJ4829">
        <v>75.718299571316194</v>
      </c>
      <c r="AK4829">
        <v>13.3644256801641</v>
      </c>
      <c r="AL4829">
        <v>81.587131807828101</v>
      </c>
      <c r="AM4829">
        <v>74.279689868554001</v>
      </c>
      <c r="AN4829">
        <v>0.99999994636738299</v>
      </c>
    </row>
    <row r="4830" spans="1:40" x14ac:dyDescent="0.25">
      <c r="A4830" t="str">
        <f>"20190312172803100"</f>
        <v>20190312172803100</v>
      </c>
      <c r="B4830" t="str">
        <f>"1552382883093985"</f>
        <v>1552382883093985</v>
      </c>
      <c r="C4830" t="s">
        <v>40</v>
      </c>
      <c r="D4830">
        <v>3.4738380000000002</v>
      </c>
      <c r="E4830">
        <v>0.49299739999999997</v>
      </c>
      <c r="F4830" t="s">
        <v>41</v>
      </c>
      <c r="G4830">
        <v>-323.68259999999998</v>
      </c>
      <c r="H4830" s="1">
        <v>-3.9950050000000002E-6</v>
      </c>
      <c r="I4830">
        <v>13.81939</v>
      </c>
      <c r="J4830">
        <v>-336.88780000000003</v>
      </c>
      <c r="K4830">
        <v>1.1101650000000001</v>
      </c>
      <c r="L4830">
        <v>16.46292</v>
      </c>
      <c r="M4830">
        <v>0.99845550000000005</v>
      </c>
      <c r="N4830">
        <v>0</v>
      </c>
      <c r="O4830">
        <v>5.387861E-2</v>
      </c>
      <c r="P4830">
        <v>0.96677789999999997</v>
      </c>
      <c r="Q4830">
        <v>0.1333956</v>
      </c>
      <c r="R4830">
        <v>-0.2180511</v>
      </c>
      <c r="S4830">
        <v>3.003387</v>
      </c>
      <c r="T4830">
        <v>-0.25024160000000001</v>
      </c>
      <c r="U4830">
        <v>-0.59439090000000006</v>
      </c>
      <c r="V4830">
        <v>0.2698334</v>
      </c>
      <c r="W4830">
        <v>0.14630099999999999</v>
      </c>
      <c r="X4830">
        <v>0.95172789999999996</v>
      </c>
      <c r="Y4830">
        <v>0.24571599999999999</v>
      </c>
      <c r="Z4830">
        <v>-1.456437E-2</v>
      </c>
      <c r="AA4830">
        <v>0.96923239999999999</v>
      </c>
      <c r="AB4830">
        <v>21</v>
      </c>
      <c r="AC4830">
        <v>13.2052</v>
      </c>
      <c r="AD4830">
        <v>-1.110168995005</v>
      </c>
      <c r="AE4830">
        <v>-2.6435299999999899</v>
      </c>
      <c r="AF4830">
        <v>3.3286130384088199</v>
      </c>
      <c r="AG4830">
        <v>-1.110168995005</v>
      </c>
      <c r="AH4830">
        <v>12.955533295637</v>
      </c>
      <c r="AI4830">
        <v>94.744401033247698</v>
      </c>
      <c r="AJ4830">
        <v>75.590883147025394</v>
      </c>
      <c r="AK4830">
        <v>13.422294249914801</v>
      </c>
      <c r="AL4830">
        <v>81.587375700022903</v>
      </c>
      <c r="AM4830">
        <v>74.170933648044098</v>
      </c>
      <c r="AN4830">
        <v>1.00000002099748</v>
      </c>
    </row>
    <row r="4831" spans="1:40" x14ac:dyDescent="0.25">
      <c r="A4831" t="str">
        <f>"20190312172803112"</f>
        <v>20190312172803112</v>
      </c>
      <c r="B4831" t="str">
        <f>"1552382883104721"</f>
        <v>1552382883104721</v>
      </c>
      <c r="C4831" t="s">
        <v>40</v>
      </c>
      <c r="D4831">
        <v>3.477678</v>
      </c>
      <c r="E4831">
        <v>0.49299090000000001</v>
      </c>
      <c r="F4831" t="s">
        <v>41</v>
      </c>
      <c r="G4831">
        <v>-323.5498</v>
      </c>
      <c r="H4831" s="1">
        <v>-4.0613530000000004E-6</v>
      </c>
      <c r="I4831">
        <v>13.799239999999999</v>
      </c>
      <c r="J4831">
        <v>-336.78469999999999</v>
      </c>
      <c r="K4831">
        <v>1.1101430000000001</v>
      </c>
      <c r="L4831">
        <v>16.468509999999998</v>
      </c>
      <c r="M4831">
        <v>0.99845470000000003</v>
      </c>
      <c r="N4831">
        <v>0</v>
      </c>
      <c r="O4831">
        <v>5.3890750000000001E-2</v>
      </c>
      <c r="P4831">
        <v>0.96635510000000002</v>
      </c>
      <c r="Q4831">
        <v>0.1335219</v>
      </c>
      <c r="R4831">
        <v>-0.2198396</v>
      </c>
      <c r="S4831">
        <v>3.0022890000000002</v>
      </c>
      <c r="T4831">
        <v>-0.2498927</v>
      </c>
      <c r="U4831">
        <v>-0.59957890000000003</v>
      </c>
      <c r="V4831">
        <v>0.2716151</v>
      </c>
      <c r="W4831">
        <v>0.1464067</v>
      </c>
      <c r="X4831">
        <v>0.95120470000000001</v>
      </c>
      <c r="Y4831">
        <v>0.24740300000000001</v>
      </c>
      <c r="Z4831">
        <v>-1.4617379999999999E-2</v>
      </c>
      <c r="AA4831">
        <v>0.96880239999999995</v>
      </c>
      <c r="AB4831">
        <v>21</v>
      </c>
      <c r="AC4831">
        <v>13.2348999999999</v>
      </c>
      <c r="AD4831">
        <v>-1.110147061353</v>
      </c>
      <c r="AE4831">
        <v>-2.66927</v>
      </c>
      <c r="AF4831">
        <v>3.3560051313978101</v>
      </c>
      <c r="AG4831">
        <v>-1.110147061353</v>
      </c>
      <c r="AH4831">
        <v>12.984018267221</v>
      </c>
      <c r="AI4831">
        <v>94.732186558836304</v>
      </c>
      <c r="AJ4831">
        <v>75.507818881256</v>
      </c>
      <c r="AK4831">
        <v>13.4565941940496</v>
      </c>
      <c r="AL4831">
        <v>81.581253715825</v>
      </c>
      <c r="AM4831">
        <v>74.063385036268301</v>
      </c>
      <c r="AN4831">
        <v>1.0000000328274901</v>
      </c>
    </row>
    <row r="4832" spans="1:40" x14ac:dyDescent="0.25">
      <c r="A4832" t="str">
        <f>"20190312172803123"</f>
        <v>20190312172803123</v>
      </c>
      <c r="B4832" t="str">
        <f>"1552382883114481"</f>
        <v>1552382883114481</v>
      </c>
      <c r="C4832" t="s">
        <v>40</v>
      </c>
      <c r="D4832">
        <v>3.3959540000000001</v>
      </c>
      <c r="E4832">
        <v>0.49300250000000001</v>
      </c>
      <c r="F4832" t="s">
        <v>41</v>
      </c>
      <c r="G4832">
        <v>-323.39920000000001</v>
      </c>
      <c r="H4832" s="1">
        <v>-4.1373439999999997E-6</v>
      </c>
      <c r="I4832">
        <v>13.772270000000001</v>
      </c>
      <c r="J4832">
        <v>-336.67520000000002</v>
      </c>
      <c r="K4832">
        <v>1.1101209999999999</v>
      </c>
      <c r="L4832">
        <v>16.474429999999899</v>
      </c>
      <c r="M4832">
        <v>0.99845490000000003</v>
      </c>
      <c r="N4832">
        <v>0</v>
      </c>
      <c r="O4832">
        <v>5.3888970000000001E-2</v>
      </c>
      <c r="P4832">
        <v>0.96598079999999997</v>
      </c>
      <c r="Q4832">
        <v>0.13334489999999999</v>
      </c>
      <c r="R4832">
        <v>-0.22158630000000001</v>
      </c>
      <c r="S4832">
        <v>3.001312</v>
      </c>
      <c r="T4832">
        <v>-0.24891920000000001</v>
      </c>
      <c r="U4832">
        <v>-0.60455319999999901</v>
      </c>
      <c r="V4832">
        <v>0.27334370000000002</v>
      </c>
      <c r="W4832">
        <v>0.14620999999999901</v>
      </c>
      <c r="X4832">
        <v>0.95073960000000002</v>
      </c>
      <c r="Y4832">
        <v>0.24900720000000001</v>
      </c>
      <c r="Z4832">
        <v>-1.462857E-2</v>
      </c>
      <c r="AA4832">
        <v>0.96839120000000001</v>
      </c>
      <c r="AB4832">
        <v>21</v>
      </c>
      <c r="AC4832">
        <v>13.276</v>
      </c>
      <c r="AD4832">
        <v>-1.110125137344</v>
      </c>
      <c r="AE4832">
        <v>-2.7021599999999899</v>
      </c>
      <c r="AF4832">
        <v>3.3909617128030698</v>
      </c>
      <c r="AG4832">
        <v>-1.110125137344</v>
      </c>
      <c r="AH4832">
        <v>13.0236350465629</v>
      </c>
      <c r="AI4832">
        <v>94.715598020631006</v>
      </c>
      <c r="AJ4832">
        <v>75.405937327857302</v>
      </c>
      <c r="AK4832">
        <v>13.5035576417595</v>
      </c>
      <c r="AL4832">
        <v>81.592645814732293</v>
      </c>
      <c r="AM4832">
        <v>73.959719095432604</v>
      </c>
      <c r="AN4832">
        <v>0.99999996471892405</v>
      </c>
    </row>
    <row r="4833" spans="1:40" x14ac:dyDescent="0.25">
      <c r="A4833" t="str">
        <f>"20190312172803134"</f>
        <v>20190312172803134</v>
      </c>
      <c r="B4833" t="str">
        <f>"1552382883124241"</f>
        <v>1552382883124241</v>
      </c>
      <c r="C4833" t="s">
        <v>40</v>
      </c>
      <c r="D4833">
        <v>3.4249369999999999</v>
      </c>
      <c r="E4833">
        <v>0.49300549999999999</v>
      </c>
      <c r="F4833" t="s">
        <v>41</v>
      </c>
      <c r="G4833">
        <v>-323.29590000000002</v>
      </c>
      <c r="H4833" s="1">
        <v>-4.1891189999999997E-6</v>
      </c>
      <c r="I4833">
        <v>13.75569</v>
      </c>
      <c r="J4833">
        <v>-336.57499999999999</v>
      </c>
      <c r="K4833">
        <v>1.1101030000000001</v>
      </c>
      <c r="L4833">
        <v>16.47983</v>
      </c>
      <c r="M4833">
        <v>0.99845609999999996</v>
      </c>
      <c r="N4833">
        <v>0</v>
      </c>
      <c r="O4833">
        <v>5.3869519999999997E-2</v>
      </c>
      <c r="P4833">
        <v>0.96563350000000003</v>
      </c>
      <c r="Q4833">
        <v>0.1327516</v>
      </c>
      <c r="R4833">
        <v>-0.2234487</v>
      </c>
      <c r="S4833">
        <v>3.0001829999999998</v>
      </c>
      <c r="T4833">
        <v>-0.24893460000000001</v>
      </c>
      <c r="U4833">
        <v>-0.60964969999999996</v>
      </c>
      <c r="V4833">
        <v>0.27517190000000002</v>
      </c>
      <c r="W4833">
        <v>0.14559859999999999</v>
      </c>
      <c r="X4833">
        <v>0.95030599999999998</v>
      </c>
      <c r="Y4833">
        <v>0.25063299999999999</v>
      </c>
      <c r="Z4833">
        <v>-1.469754E-2</v>
      </c>
      <c r="AA4833">
        <v>0.96797060000000001</v>
      </c>
      <c r="AB4833">
        <v>21</v>
      </c>
      <c r="AC4833">
        <v>13.2790999999999</v>
      </c>
      <c r="AD4833">
        <v>-1.110107189119</v>
      </c>
      <c r="AE4833">
        <v>-2.7241399999999998</v>
      </c>
      <c r="AF4833">
        <v>3.4127012088085</v>
      </c>
      <c r="AG4833">
        <v>-1.110107189119</v>
      </c>
      <c r="AH4833">
        <v>13.025697826712401</v>
      </c>
      <c r="AI4833">
        <v>94.712911127205402</v>
      </c>
      <c r="AJ4833">
        <v>75.318630673731306</v>
      </c>
      <c r="AK4833">
        <v>13.511020368009101</v>
      </c>
      <c r="AL4833">
        <v>81.628055768249993</v>
      </c>
      <c r="AM4833">
        <v>73.851026146601896</v>
      </c>
      <c r="AN4833">
        <v>1.00000001025378</v>
      </c>
    </row>
    <row r="4834" spans="1:40" x14ac:dyDescent="0.25">
      <c r="A4834" t="str">
        <f>"20190312172803146"</f>
        <v>20190312172803146</v>
      </c>
      <c r="B4834" t="str">
        <f>"1552382883144737"</f>
        <v>1552382883144737</v>
      </c>
      <c r="C4834" t="s">
        <v>40</v>
      </c>
      <c r="D4834">
        <v>3.3550550000000001</v>
      </c>
      <c r="E4834">
        <v>0.4924965</v>
      </c>
      <c r="F4834" t="s">
        <v>41</v>
      </c>
      <c r="G4834">
        <v>-323.2604</v>
      </c>
      <c r="H4834" s="1">
        <v>-4.2068470000000003E-6</v>
      </c>
      <c r="I4834">
        <v>13.750310000000001</v>
      </c>
      <c r="J4834">
        <v>-336.46280000000002</v>
      </c>
      <c r="K4834">
        <v>1.110082</v>
      </c>
      <c r="L4834">
        <v>16.485869999999998</v>
      </c>
      <c r="M4834">
        <v>0.99845779999999995</v>
      </c>
      <c r="N4834">
        <v>0</v>
      </c>
      <c r="O4834">
        <v>5.3836920000000003E-2</v>
      </c>
      <c r="P4834">
        <v>0.96529940000000003</v>
      </c>
      <c r="Q4834">
        <v>0.13232149999999901</v>
      </c>
      <c r="R4834">
        <v>-0.2251407</v>
      </c>
      <c r="S4834">
        <v>2.9988709999999998</v>
      </c>
      <c r="T4834">
        <v>-0.25003249999999999</v>
      </c>
      <c r="U4834">
        <v>-0.61477660000000001</v>
      </c>
      <c r="V4834">
        <v>0.27681869999999997</v>
      </c>
      <c r="W4834">
        <v>0.14515</v>
      </c>
      <c r="X4834">
        <v>0.94989619999999997</v>
      </c>
      <c r="Y4834">
        <v>0.25225779999999998</v>
      </c>
      <c r="Z4834">
        <v>-1.483025E-2</v>
      </c>
      <c r="AA4834">
        <v>0.96754640000000003</v>
      </c>
      <c r="AB4834">
        <v>21</v>
      </c>
      <c r="AC4834">
        <v>13.202400000000001</v>
      </c>
      <c r="AD4834">
        <v>-1.1100862068469901</v>
      </c>
      <c r="AE4834">
        <v>-2.73556</v>
      </c>
      <c r="AF4834">
        <v>3.4192554412753502</v>
      </c>
      <c r="AG4834">
        <v>-1.1100862068469901</v>
      </c>
      <c r="AH4834">
        <v>12.948189040045399</v>
      </c>
      <c r="AI4834">
        <v>94.738497589289295</v>
      </c>
      <c r="AJ4834">
        <v>75.207460708634201</v>
      </c>
      <c r="AK4834">
        <v>13.437975985098101</v>
      </c>
      <c r="AL4834">
        <v>81.654034153956403</v>
      </c>
      <c r="AM4834">
        <v>73.752823903490594</v>
      </c>
      <c r="AN4834">
        <v>0.99999995297206301</v>
      </c>
    </row>
    <row r="4835" spans="1:40" x14ac:dyDescent="0.25">
      <c r="A4835" t="str">
        <f>"20190312172803167"</f>
        <v>20190312172803167</v>
      </c>
      <c r="B4835" t="str">
        <f>"1552382883164257"</f>
        <v>1552382883164257</v>
      </c>
      <c r="C4835" t="s">
        <v>40</v>
      </c>
      <c r="D4835">
        <v>3.2635350000000001</v>
      </c>
      <c r="E4835">
        <v>0.49218390000000001</v>
      </c>
      <c r="F4835" t="s">
        <v>41</v>
      </c>
      <c r="G4835">
        <v>-321.46440000000001</v>
      </c>
      <c r="H4835" s="1">
        <v>-5.1175489999999996E-6</v>
      </c>
      <c r="I4835">
        <v>13.402340000000001</v>
      </c>
      <c r="J4835">
        <v>-336.28320000000002</v>
      </c>
      <c r="K4835">
        <v>1.110044</v>
      </c>
      <c r="L4835">
        <v>16.495419999999999</v>
      </c>
      <c r="M4835">
        <v>0.99846369999999895</v>
      </c>
      <c r="N4835">
        <v>0</v>
      </c>
      <c r="O4835">
        <v>5.3727360000000002E-2</v>
      </c>
      <c r="P4835">
        <v>0.96456120000000001</v>
      </c>
      <c r="Q4835">
        <v>0.13133880000000001</v>
      </c>
      <c r="R4835">
        <v>-0.22884840000000001</v>
      </c>
      <c r="S4835">
        <v>2.9945979999999999</v>
      </c>
      <c r="T4835">
        <v>-0.2216417</v>
      </c>
      <c r="U4835">
        <v>-0.61566160000000003</v>
      </c>
      <c r="V4835">
        <v>0.28038849999999998</v>
      </c>
      <c r="W4835">
        <v>0.14412939999999999</v>
      </c>
      <c r="X4835">
        <v>0.94900419999999996</v>
      </c>
      <c r="Y4835">
        <v>0.25291259999999999</v>
      </c>
      <c r="Z4835">
        <v>-1.3184899999999999E-2</v>
      </c>
      <c r="AA4835">
        <v>0.96739929999999996</v>
      </c>
      <c r="AB4835">
        <v>21</v>
      </c>
      <c r="AC4835">
        <v>14.8188</v>
      </c>
      <c r="AD4835">
        <v>-1.1100491175489999</v>
      </c>
      <c r="AE4835">
        <v>-3.0930800000000001</v>
      </c>
      <c r="AF4835">
        <v>3.8640826934347099</v>
      </c>
      <c r="AG4835">
        <v>-1.1100491175489999</v>
      </c>
      <c r="AH4835">
        <v>14.5529433208714</v>
      </c>
      <c r="AI4835">
        <v>94.216340192075904</v>
      </c>
      <c r="AJ4835">
        <v>75.129992198361904</v>
      </c>
      <c r="AK4835">
        <v>15.0980629024246</v>
      </c>
      <c r="AL4835">
        <v>81.713131931291699</v>
      </c>
      <c r="AM4835">
        <v>73.539935465662793</v>
      </c>
      <c r="AN4835">
        <v>0.99999998324712402</v>
      </c>
    </row>
    <row r="4836" spans="1:40" x14ac:dyDescent="0.25">
      <c r="A4836" t="str">
        <f>"20190312172803190"</f>
        <v>20190312172803190</v>
      </c>
      <c r="B4836" t="str">
        <f>"1552382883184753"</f>
        <v>1552382883184753</v>
      </c>
      <c r="C4836" t="s">
        <v>40</v>
      </c>
      <c r="D4836">
        <v>3.2183540000000002</v>
      </c>
      <c r="E4836">
        <v>0.49212709999999998</v>
      </c>
      <c r="F4836" t="s">
        <v>41</v>
      </c>
      <c r="G4836">
        <v>-321.4701</v>
      </c>
      <c r="H4836" s="1">
        <v>-5.11434199999999E-6</v>
      </c>
      <c r="I4836">
        <v>13.405430000000001</v>
      </c>
      <c r="J4836">
        <v>-336.07089999999999</v>
      </c>
      <c r="K4836">
        <v>1.109988</v>
      </c>
      <c r="L4836">
        <v>16.50665</v>
      </c>
      <c r="M4836">
        <v>0.998475</v>
      </c>
      <c r="N4836">
        <v>0</v>
      </c>
      <c r="O4836">
        <v>5.3514949999999999E-2</v>
      </c>
      <c r="P4836">
        <v>0.96381779999999995</v>
      </c>
      <c r="Q4836">
        <v>0.13035919999999901</v>
      </c>
      <c r="R4836">
        <v>-0.232511</v>
      </c>
      <c r="S4836">
        <v>2.9926759999999999</v>
      </c>
      <c r="T4836">
        <v>-0.22426180000000001</v>
      </c>
      <c r="U4836">
        <v>-0.62426759999999903</v>
      </c>
      <c r="V4836">
        <v>0.28382089999999999</v>
      </c>
      <c r="W4836">
        <v>0.14310110000000001</v>
      </c>
      <c r="X4836">
        <v>0.94813910000000001</v>
      </c>
      <c r="Y4836">
        <v>0.25546990000000003</v>
      </c>
      <c r="Z4836">
        <v>-1.3423879999999999E-2</v>
      </c>
      <c r="AA4836">
        <v>0.96672380000000002</v>
      </c>
      <c r="AB4836">
        <v>21</v>
      </c>
      <c r="AC4836">
        <v>14.6007999999999</v>
      </c>
      <c r="AD4836">
        <v>-1.1099931143420001</v>
      </c>
      <c r="AE4836">
        <v>-3.1012200000000001</v>
      </c>
      <c r="AF4836">
        <v>3.8568797241118</v>
      </c>
      <c r="AG4836">
        <v>-1.1099931143420001</v>
      </c>
      <c r="AH4836">
        <v>14.3346268186377</v>
      </c>
      <c r="AI4836">
        <v>94.276337507652798</v>
      </c>
      <c r="AJ4836">
        <v>74.940616543892602</v>
      </c>
      <c r="AK4836">
        <v>14.8858702113702</v>
      </c>
      <c r="AL4836">
        <v>81.772666403061905</v>
      </c>
      <c r="AM4836">
        <v>73.335180848899697</v>
      </c>
      <c r="AN4836">
        <v>0.99999999052341504</v>
      </c>
    </row>
    <row r="4837" spans="1:40" x14ac:dyDescent="0.25">
      <c r="A4837" t="str">
        <f>"20190312172803213"</f>
        <v>20190312172803213</v>
      </c>
      <c r="B4837" t="str">
        <f>"1552382883204273"</f>
        <v>1552382883204273</v>
      </c>
      <c r="C4837" t="s">
        <v>40</v>
      </c>
      <c r="D4837">
        <v>3.1547860000000001</v>
      </c>
      <c r="E4837">
        <v>0.49191960000000001</v>
      </c>
      <c r="F4837" t="s">
        <v>41</v>
      </c>
      <c r="G4837">
        <v>-321.23070000000001</v>
      </c>
      <c r="H4837" s="1">
        <v>-5.2365069999999997E-6</v>
      </c>
      <c r="I4837">
        <v>13.35446</v>
      </c>
      <c r="J4837">
        <v>-335.86070000000001</v>
      </c>
      <c r="K4837">
        <v>1.1099270000000001</v>
      </c>
      <c r="L4837">
        <v>16.517610000000001</v>
      </c>
      <c r="M4837">
        <v>0.99849120000000002</v>
      </c>
      <c r="N4837">
        <v>0</v>
      </c>
      <c r="O4837">
        <v>5.3215800000000001E-2</v>
      </c>
      <c r="P4837">
        <v>0.96313190000000004</v>
      </c>
      <c r="Q4837">
        <v>0.1296889</v>
      </c>
      <c r="R4837">
        <v>-0.2357071</v>
      </c>
      <c r="S4837">
        <v>2.9896850000000001</v>
      </c>
      <c r="T4837">
        <v>-0.22361890000000001</v>
      </c>
      <c r="U4837">
        <v>-0.6350403</v>
      </c>
      <c r="V4837">
        <v>0.28671069999999999</v>
      </c>
      <c r="W4837">
        <v>0.14237759999999999</v>
      </c>
      <c r="X4837">
        <v>0.94737830000000001</v>
      </c>
      <c r="Y4837">
        <v>0.25870359999999998</v>
      </c>
      <c r="Z4837">
        <v>-1.3491070000000001E-2</v>
      </c>
      <c r="AA4837">
        <v>0.96586249999999996</v>
      </c>
      <c r="AB4837">
        <v>21</v>
      </c>
      <c r="AC4837">
        <v>14.6299999999999</v>
      </c>
      <c r="AD4837">
        <v>-1.1099322365069999</v>
      </c>
      <c r="AE4837">
        <v>-3.1631499999999999</v>
      </c>
      <c r="AF4837">
        <v>3.91575397524492</v>
      </c>
      <c r="AG4837">
        <v>-1.1099322365069999</v>
      </c>
      <c r="AH4837">
        <v>14.361948478398499</v>
      </c>
      <c r="AI4837">
        <v>94.264151543151499</v>
      </c>
      <c r="AJ4837">
        <v>74.749118411140302</v>
      </c>
      <c r="AK4837">
        <v>14.9275129495994</v>
      </c>
      <c r="AL4837">
        <v>81.814549046428098</v>
      </c>
      <c r="AM4837">
        <v>73.162299707806895</v>
      </c>
      <c r="AN4837">
        <v>1.0000000248935601</v>
      </c>
    </row>
    <row r="4838" spans="1:40" x14ac:dyDescent="0.25">
      <c r="A4838" t="str">
        <f>"20190312172803235"</f>
        <v>20190312172803235</v>
      </c>
      <c r="B4838" t="str">
        <f>"1552382883224769"</f>
        <v>1552382883224769</v>
      </c>
      <c r="C4838" t="s">
        <v>40</v>
      </c>
      <c r="D4838">
        <v>3.2061760000000001</v>
      </c>
      <c r="E4838">
        <v>0.49180879999999999</v>
      </c>
      <c r="F4838" t="s">
        <v>41</v>
      </c>
      <c r="G4838">
        <v>-321.0052</v>
      </c>
      <c r="H4838" s="1">
        <v>-5.3490729999999996E-6</v>
      </c>
      <c r="I4838">
        <v>13.321020000000001</v>
      </c>
      <c r="J4838">
        <v>-335.65469999999999</v>
      </c>
      <c r="K4838">
        <v>1.109864</v>
      </c>
      <c r="L4838">
        <v>16.528169999999999</v>
      </c>
      <c r="M4838">
        <v>0.99851049999999997</v>
      </c>
      <c r="N4838">
        <v>0</v>
      </c>
      <c r="O4838">
        <v>5.285223E-2</v>
      </c>
      <c r="P4838">
        <v>0.96256330000000001</v>
      </c>
      <c r="Q4838">
        <v>0.12904949999999901</v>
      </c>
      <c r="R4838">
        <v>-0.2383671</v>
      </c>
      <c r="S4838">
        <v>2.987549</v>
      </c>
      <c r="T4838">
        <v>-0.223214</v>
      </c>
      <c r="U4838">
        <v>-0.6428528</v>
      </c>
      <c r="V4838">
        <v>0.28900890000000001</v>
      </c>
      <c r="W4838">
        <v>0.14168989999999901</v>
      </c>
      <c r="X4838">
        <v>0.94678289999999998</v>
      </c>
      <c r="Y4838">
        <v>0.26090449999999998</v>
      </c>
      <c r="Z4838">
        <v>-1.352685E-2</v>
      </c>
      <c r="AA4838">
        <v>0.96526990000000001</v>
      </c>
      <c r="AB4838">
        <v>21</v>
      </c>
      <c r="AC4838">
        <v>14.6494999999999</v>
      </c>
      <c r="AD4838">
        <v>-1.1098693490730001</v>
      </c>
      <c r="AE4838">
        <v>-3.2071499999999999</v>
      </c>
      <c r="AF4838">
        <v>3.9553319087749501</v>
      </c>
      <c r="AG4838">
        <v>-1.1098693490730001</v>
      </c>
      <c r="AH4838">
        <v>14.380733120434</v>
      </c>
      <c r="AI4838">
        <v>94.255772849751196</v>
      </c>
      <c r="AJ4838">
        <v>74.621414091348001</v>
      </c>
      <c r="AK4838">
        <v>14.956000319662101</v>
      </c>
      <c r="AL4838">
        <v>81.854354839193903</v>
      </c>
      <c r="AM4838">
        <v>73.025000850801803</v>
      </c>
      <c r="AN4838">
        <v>1.0000000158868101</v>
      </c>
    </row>
    <row r="4839" spans="1:40" x14ac:dyDescent="0.25">
      <c r="A4839" t="str">
        <f>"20190312172803248"</f>
        <v>20190312172803248</v>
      </c>
      <c r="B4839" t="str">
        <f>"1552382883244289"</f>
        <v>1552382883244289</v>
      </c>
      <c r="C4839" t="s">
        <v>40</v>
      </c>
      <c r="D4839">
        <v>3.1113719999999998</v>
      </c>
      <c r="E4839">
        <v>0.49168269999999997</v>
      </c>
      <c r="F4839" t="s">
        <v>41</v>
      </c>
      <c r="G4839">
        <v>-320.68299999999999</v>
      </c>
      <c r="H4839" s="1">
        <v>-5.510316E-6</v>
      </c>
      <c r="I4839">
        <v>13.27037</v>
      </c>
      <c r="J4839">
        <v>-335.53410000000002</v>
      </c>
      <c r="K4839">
        <v>1.1098349999999999</v>
      </c>
      <c r="L4839">
        <v>16.534300000000002</v>
      </c>
      <c r="M4839">
        <v>0.9985231</v>
      </c>
      <c r="N4839">
        <v>0</v>
      </c>
      <c r="O4839">
        <v>5.2611720000000001E-2</v>
      </c>
      <c r="P4839">
        <v>0.96235470000000001</v>
      </c>
      <c r="Q4839">
        <v>0.12872900000000001</v>
      </c>
      <c r="R4839">
        <v>-0.2393797</v>
      </c>
      <c r="S4839">
        <v>2.9854430000000001</v>
      </c>
      <c r="T4839">
        <v>-0.22131590000000001</v>
      </c>
      <c r="U4839">
        <v>-0.64962769999999903</v>
      </c>
      <c r="V4839">
        <v>0.2897904</v>
      </c>
      <c r="W4839">
        <v>0.1413449</v>
      </c>
      <c r="X4839">
        <v>0.94659550000000003</v>
      </c>
      <c r="Y4839">
        <v>0.262912799999999</v>
      </c>
      <c r="Z4839">
        <v>-1.3474089999999999E-2</v>
      </c>
      <c r="AA4839">
        <v>0.96472550000000001</v>
      </c>
      <c r="AB4839">
        <v>21</v>
      </c>
      <c r="AC4839">
        <v>14.851100000000001</v>
      </c>
      <c r="AD4839">
        <v>-1.1098405103160001</v>
      </c>
      <c r="AE4839">
        <v>-3.26392999999999</v>
      </c>
      <c r="AF4839">
        <v>4.0194093228135799</v>
      </c>
      <c r="AG4839">
        <v>-1.1098405103160001</v>
      </c>
      <c r="AH4839">
        <v>14.581111556894999</v>
      </c>
      <c r="AI4839">
        <v>94.196732344676207</v>
      </c>
      <c r="AJ4839">
        <v>74.588670816428504</v>
      </c>
      <c r="AK4839">
        <v>15.165625984352699</v>
      </c>
      <c r="AL4839">
        <v>81.874322295550101</v>
      </c>
      <c r="AM4839">
        <v>72.978574123668594</v>
      </c>
      <c r="AN4839">
        <v>0.99999994865420805</v>
      </c>
    </row>
    <row r="4840" spans="1:40" x14ac:dyDescent="0.25">
      <c r="A4840" t="str">
        <f>"20190312172803268"</f>
        <v>20190312172803268</v>
      </c>
      <c r="B4840" t="str">
        <f>"1552382883264785"</f>
        <v>1552382883264785</v>
      </c>
      <c r="C4840" t="s">
        <v>40</v>
      </c>
      <c r="D4840">
        <v>3.077747</v>
      </c>
      <c r="E4840">
        <v>0.49149999999999999</v>
      </c>
      <c r="F4840" t="s">
        <v>41</v>
      </c>
      <c r="G4840">
        <v>-320.42020000000002</v>
      </c>
      <c r="H4840" s="1">
        <v>-5.640827E-6</v>
      </c>
      <c r="I4840">
        <v>13.23523</v>
      </c>
      <c r="J4840">
        <v>-335.35050000000001</v>
      </c>
      <c r="K4840">
        <v>1.109793</v>
      </c>
      <c r="L4840">
        <v>16.543489999999998</v>
      </c>
      <c r="M4840">
        <v>0.9985463</v>
      </c>
      <c r="N4840">
        <v>0</v>
      </c>
      <c r="O4840">
        <v>5.2173650000000002E-2</v>
      </c>
      <c r="P4840">
        <v>0.96184780000000003</v>
      </c>
      <c r="Q4840">
        <v>0.12831380000000001</v>
      </c>
      <c r="R4840">
        <v>-0.2416295</v>
      </c>
      <c r="S4840">
        <v>2.9846499999999998</v>
      </c>
      <c r="T4840">
        <v>-0.21916759999999999</v>
      </c>
      <c r="U4840">
        <v>-0.65148930000000005</v>
      </c>
      <c r="V4840">
        <v>0.2916086</v>
      </c>
      <c r="W4840">
        <v>0.140890299999999</v>
      </c>
      <c r="X4840">
        <v>0.94610479999999997</v>
      </c>
      <c r="Y4840">
        <v>0.26313360000000002</v>
      </c>
      <c r="Z4840">
        <v>-1.332243E-2</v>
      </c>
      <c r="AA4840">
        <v>0.96466739999999995</v>
      </c>
      <c r="AB4840">
        <v>21</v>
      </c>
      <c r="AC4840">
        <v>14.9302999999999</v>
      </c>
      <c r="AD4840">
        <v>-1.109798640827</v>
      </c>
      <c r="AE4840">
        <v>-3.30825999999999</v>
      </c>
      <c r="AF4840">
        <v>4.0614029931225497</v>
      </c>
      <c r="AG4840">
        <v>-1.109798640827</v>
      </c>
      <c r="AH4840">
        <v>14.660131866212399</v>
      </c>
      <c r="AI4840">
        <v>94.172562649341899</v>
      </c>
      <c r="AJ4840">
        <v>74.515284936181601</v>
      </c>
      <c r="AK4840">
        <v>15.2527411841434</v>
      </c>
      <c r="AL4840">
        <v>81.900632440078198</v>
      </c>
      <c r="AM4840">
        <v>72.869645591861797</v>
      </c>
      <c r="AN4840">
        <v>0.99999997240554395</v>
      </c>
    </row>
    <row r="4841" spans="1:40" x14ac:dyDescent="0.25">
      <c r="A4841" t="str">
        <f>"20190312172803291"</f>
        <v>20190312172803291</v>
      </c>
      <c r="B4841" t="str">
        <f>"1552382883284306"</f>
        <v>1552382883284306</v>
      </c>
      <c r="C4841" t="s">
        <v>40</v>
      </c>
      <c r="D4841">
        <v>3.073089</v>
      </c>
      <c r="E4841">
        <v>0.49141370000000001</v>
      </c>
      <c r="F4841" t="s">
        <v>41</v>
      </c>
      <c r="G4841">
        <v>-320.20170000000002</v>
      </c>
      <c r="H4841" s="1">
        <v>-5.7487900000000001E-6</v>
      </c>
      <c r="I4841">
        <v>13.208729999999999</v>
      </c>
      <c r="J4841">
        <v>-335.14299999999997</v>
      </c>
      <c r="K4841">
        <v>1.109745</v>
      </c>
      <c r="L4841">
        <v>16.55368</v>
      </c>
      <c r="M4841">
        <v>0.99857739999999995</v>
      </c>
      <c r="N4841">
        <v>0</v>
      </c>
      <c r="O4841">
        <v>5.1574490000000001E-2</v>
      </c>
      <c r="P4841">
        <v>0.96112129999999996</v>
      </c>
      <c r="Q4841">
        <v>0.1285635</v>
      </c>
      <c r="R4841">
        <v>-0.244371</v>
      </c>
      <c r="S4841">
        <v>2.983215</v>
      </c>
      <c r="T4841">
        <v>-0.21855060000000001</v>
      </c>
      <c r="U4841">
        <v>-0.65670779999999995</v>
      </c>
      <c r="V4841">
        <v>0.29375790000000002</v>
      </c>
      <c r="W4841">
        <v>0.14109179999999999</v>
      </c>
      <c r="X4841">
        <v>0.94540970000000002</v>
      </c>
      <c r="Y4841">
        <v>0.26426430000000001</v>
      </c>
      <c r="Z4841">
        <v>-1.3286310000000001E-2</v>
      </c>
      <c r="AA4841">
        <v>0.96435879999999996</v>
      </c>
      <c r="AB4841">
        <v>21</v>
      </c>
      <c r="AC4841">
        <v>14.9413</v>
      </c>
      <c r="AD4841">
        <v>-1.10975074879</v>
      </c>
      <c r="AE4841">
        <v>-3.3449499999999999</v>
      </c>
      <c r="AF4841">
        <v>4.0896736492718899</v>
      </c>
      <c r="AG4841">
        <v>-1.10975074879</v>
      </c>
      <c r="AH4841">
        <v>14.6718058304838</v>
      </c>
      <c r="AI4841">
        <v>94.167246687078404</v>
      </c>
      <c r="AJ4841">
        <v>74.424522214657998</v>
      </c>
      <c r="AK4841">
        <v>15.2715049556161</v>
      </c>
      <c r="AL4841">
        <v>81.888971487479196</v>
      </c>
      <c r="AM4841">
        <v>72.738924403384104</v>
      </c>
      <c r="AN4841">
        <v>1.00000005034686</v>
      </c>
    </row>
    <row r="4842" spans="1:40" x14ac:dyDescent="0.25">
      <c r="A4842" t="str">
        <f>"20190312172803301"</f>
        <v>20190312172803301</v>
      </c>
      <c r="B4842" t="str">
        <f>"1552382883294065"</f>
        <v>1552382883294065</v>
      </c>
      <c r="C4842" t="s">
        <v>40</v>
      </c>
      <c r="D4842">
        <v>3.0991849999999999</v>
      </c>
      <c r="E4842">
        <v>0.49141370000000001</v>
      </c>
      <c r="F4842" t="s">
        <v>43</v>
      </c>
      <c r="G4842">
        <v>-319.08969999999999</v>
      </c>
      <c r="H4842">
        <v>-0.05</v>
      </c>
      <c r="I4842">
        <v>12.97566</v>
      </c>
      <c r="J4842">
        <v>-335.03699999999998</v>
      </c>
      <c r="K4842">
        <v>1.1097189999999999</v>
      </c>
      <c r="L4842">
        <v>16.558779999999999</v>
      </c>
      <c r="M4842">
        <v>0.99859520000000002</v>
      </c>
      <c r="N4842">
        <v>0</v>
      </c>
      <c r="O4842">
        <v>5.1229400000000001E-2</v>
      </c>
      <c r="P4842">
        <v>0.960727</v>
      </c>
      <c r="Q4842">
        <v>0.12892210000000001</v>
      </c>
      <c r="R4842">
        <v>-0.24572869999999999</v>
      </c>
      <c r="S4842">
        <v>2.981201</v>
      </c>
      <c r="T4842">
        <v>-0.21537210000000001</v>
      </c>
      <c r="U4842">
        <v>-0.66445919999999903</v>
      </c>
      <c r="V4842">
        <v>0.29477599999999998</v>
      </c>
      <c r="W4842">
        <v>0.1414242</v>
      </c>
      <c r="X4842">
        <v>0.94504299999999997</v>
      </c>
      <c r="Y4842">
        <v>0.26647539999999997</v>
      </c>
      <c r="Z4842">
        <v>-1.3152779999999999E-2</v>
      </c>
      <c r="AA4842">
        <v>0.96375200000000005</v>
      </c>
      <c r="AB4842">
        <v>20</v>
      </c>
      <c r="AC4842">
        <v>15.947299999999901</v>
      </c>
      <c r="AD4842">
        <v>-1.1597189999999999</v>
      </c>
      <c r="AE4842">
        <v>-3.5831199999999899</v>
      </c>
      <c r="AF4842">
        <v>4.3734422620220297</v>
      </c>
      <c r="AG4842">
        <v>-1.1597189999999999</v>
      </c>
      <c r="AH4842">
        <v>15.6639206441728</v>
      </c>
      <c r="AI4842">
        <v>94.078871404296905</v>
      </c>
      <c r="AJ4842">
        <v>74.400010058137696</v>
      </c>
      <c r="AK4842">
        <v>16.304304809624501</v>
      </c>
      <c r="AL4842">
        <v>81.869732918366296</v>
      </c>
      <c r="AM4842">
        <v>72.676355516851899</v>
      </c>
      <c r="AN4842">
        <v>0.99999998318531902</v>
      </c>
    </row>
    <row r="4843" spans="1:40" x14ac:dyDescent="0.25">
      <c r="A4843" t="str">
        <f>"20190312172803313"</f>
        <v>20190312172803313</v>
      </c>
      <c r="B4843" t="str">
        <f>"1552382883304802"</f>
        <v>1552382883304802</v>
      </c>
      <c r="C4843" t="s">
        <v>40</v>
      </c>
      <c r="D4843">
        <v>3.0439780000000001</v>
      </c>
      <c r="E4843">
        <v>0.4913901</v>
      </c>
      <c r="F4843" t="s">
        <v>43</v>
      </c>
      <c r="G4843">
        <v>-318.90190000000001</v>
      </c>
      <c r="H4843">
        <v>-0.05</v>
      </c>
      <c r="I4843">
        <v>12.94008</v>
      </c>
      <c r="J4843">
        <v>-334.93509999999998</v>
      </c>
      <c r="K4843">
        <v>1.1096950000000001</v>
      </c>
      <c r="L4843">
        <v>16.56363</v>
      </c>
      <c r="M4843">
        <v>0.99861310000000003</v>
      </c>
      <c r="N4843">
        <v>0</v>
      </c>
      <c r="O4843">
        <v>5.087763E-2</v>
      </c>
      <c r="P4843">
        <v>0.96022929999999995</v>
      </c>
      <c r="Q4843">
        <v>0.1296619</v>
      </c>
      <c r="R4843">
        <v>-0.24728130000000001</v>
      </c>
      <c r="S4843">
        <v>2.9804080000000002</v>
      </c>
      <c r="T4843">
        <v>-0.21421770000000001</v>
      </c>
      <c r="U4843">
        <v>-0.66842650000000003</v>
      </c>
      <c r="V4843">
        <v>0.295977299999999</v>
      </c>
      <c r="W4843">
        <v>0.1421365</v>
      </c>
      <c r="X4843">
        <v>0.94456059999999997</v>
      </c>
      <c r="Y4843">
        <v>0.26741900000000002</v>
      </c>
      <c r="Z4843">
        <v>-1.309247E-2</v>
      </c>
      <c r="AA4843">
        <v>0.9634914</v>
      </c>
      <c r="AB4843">
        <v>20</v>
      </c>
      <c r="AC4843">
        <v>16.033199999999901</v>
      </c>
      <c r="AD4843">
        <v>-1.1596949999999999</v>
      </c>
      <c r="AE4843">
        <v>-3.6235499999999998</v>
      </c>
      <c r="AF4843">
        <v>4.4126980014122896</v>
      </c>
      <c r="AG4843">
        <v>-1.1596949999999999</v>
      </c>
      <c r="AH4843">
        <v>15.7496628030629</v>
      </c>
      <c r="AI4843">
        <v>94.055636657021907</v>
      </c>
      <c r="AJ4843">
        <v>74.348333959275095</v>
      </c>
      <c r="AK4843">
        <v>16.397215451255001</v>
      </c>
      <c r="AL4843">
        <v>81.828505092909197</v>
      </c>
      <c r="AM4843">
        <v>72.601659760442104</v>
      </c>
      <c r="AN4843">
        <v>1.00000003690994</v>
      </c>
    </row>
    <row r="4844" spans="1:40" x14ac:dyDescent="0.25">
      <c r="A4844" t="str">
        <f>"20190312172803325"</f>
        <v>20190312172803325</v>
      </c>
      <c r="B4844" t="str">
        <f>"1552382883314562"</f>
        <v>1552382883314562</v>
      </c>
      <c r="C4844" t="s">
        <v>40</v>
      </c>
      <c r="D4844">
        <v>3.0384139999999999</v>
      </c>
      <c r="E4844">
        <v>0.49136790000000002</v>
      </c>
      <c r="F4844" t="s">
        <v>43</v>
      </c>
      <c r="G4844">
        <v>-318.54930000000002</v>
      </c>
      <c r="H4844">
        <v>-0.05</v>
      </c>
      <c r="I4844">
        <v>12.86392</v>
      </c>
      <c r="J4844">
        <v>-334.82159999999999</v>
      </c>
      <c r="K4844">
        <v>1.109664</v>
      </c>
      <c r="L4844">
        <v>16.568939999999898</v>
      </c>
      <c r="M4844">
        <v>0.99863420000000003</v>
      </c>
      <c r="N4844">
        <v>0</v>
      </c>
      <c r="O4844">
        <v>5.0464170000000003E-2</v>
      </c>
      <c r="P4844">
        <v>0.95975699999999997</v>
      </c>
      <c r="Q4844">
        <v>0.13012360000000001</v>
      </c>
      <c r="R4844">
        <v>-0.24886659999999999</v>
      </c>
      <c r="S4844">
        <v>2.979492</v>
      </c>
      <c r="T4844">
        <v>-0.21087110000000001</v>
      </c>
      <c r="U4844">
        <v>-0.67272949999999998</v>
      </c>
      <c r="V4844">
        <v>0.29715619999999998</v>
      </c>
      <c r="W4844">
        <v>0.14256779999999999</v>
      </c>
      <c r="X4844">
        <v>0.94412529999999995</v>
      </c>
      <c r="Y4844">
        <v>0.26843020000000001</v>
      </c>
      <c r="Z4844">
        <v>-1.2896680000000001E-2</v>
      </c>
      <c r="AA4844">
        <v>0.96321279999999998</v>
      </c>
      <c r="AB4844">
        <v>20</v>
      </c>
      <c r="AC4844">
        <v>16.272299999999898</v>
      </c>
      <c r="AD4844">
        <v>-1.159664</v>
      </c>
      <c r="AE4844">
        <v>-3.70501999999999</v>
      </c>
      <c r="AF4844">
        <v>4.49981423252623</v>
      </c>
      <c r="AG4844">
        <v>-1.159664</v>
      </c>
      <c r="AH4844">
        <v>15.987379618794201</v>
      </c>
      <c r="AI4844">
        <v>93.994093744777103</v>
      </c>
      <c r="AJ4844">
        <v>74.280191523113899</v>
      </c>
      <c r="AK4844">
        <v>16.649007651976699</v>
      </c>
      <c r="AL4844">
        <v>81.803538731694999</v>
      </c>
      <c r="AM4844">
        <v>72.529004226464096</v>
      </c>
      <c r="AN4844">
        <v>0.99999998344768404</v>
      </c>
    </row>
    <row r="4845" spans="1:40" x14ac:dyDescent="0.25">
      <c r="A4845" t="str">
        <f>"20190312172803345"</f>
        <v>20190312172803345</v>
      </c>
      <c r="B4845" t="str">
        <f>"1552382883334083"</f>
        <v>1552382883334083</v>
      </c>
      <c r="C4845" t="s">
        <v>40</v>
      </c>
      <c r="D4845">
        <v>3.109102</v>
      </c>
      <c r="E4845">
        <v>0.4913225</v>
      </c>
      <c r="F4845" t="s">
        <v>43</v>
      </c>
      <c r="G4845">
        <v>-318.24849999999998</v>
      </c>
      <c r="H4845">
        <v>-0.05</v>
      </c>
      <c r="I4845">
        <v>12.801769999999999</v>
      </c>
      <c r="J4845">
        <v>-334.64530000000002</v>
      </c>
      <c r="K4845">
        <v>1.1096189999999999</v>
      </c>
      <c r="L4845">
        <v>16.577059999999999</v>
      </c>
      <c r="M4845">
        <v>0.9986699</v>
      </c>
      <c r="N4845">
        <v>0</v>
      </c>
      <c r="O4845">
        <v>4.9751839999999999E-2</v>
      </c>
      <c r="P4845">
        <v>0.95890050000000004</v>
      </c>
      <c r="Q4845">
        <v>0.13076179999999901</v>
      </c>
      <c r="R4845">
        <v>-0.2518166</v>
      </c>
      <c r="S4845">
        <v>2.978485</v>
      </c>
      <c r="T4845">
        <v>-0.2084135</v>
      </c>
      <c r="U4845">
        <v>-0.67703250000000004</v>
      </c>
      <c r="V4845">
        <v>0.2994039</v>
      </c>
      <c r="W4845">
        <v>0.14315349999999999</v>
      </c>
      <c r="X4845">
        <v>0.9433262</v>
      </c>
      <c r="Y4845">
        <v>0.26915409999999901</v>
      </c>
      <c r="Z4845">
        <v>-1.272468E-2</v>
      </c>
      <c r="AA4845">
        <v>0.96301309999999996</v>
      </c>
      <c r="AB4845">
        <v>20</v>
      </c>
      <c r="AC4845">
        <v>16.396799999999999</v>
      </c>
      <c r="AD4845">
        <v>-1.159619</v>
      </c>
      <c r="AE4845">
        <v>-3.77529</v>
      </c>
      <c r="AF4845">
        <v>4.5647776121732297</v>
      </c>
      <c r="AG4845">
        <v>-1.159619</v>
      </c>
      <c r="AH4845">
        <v>16.112115895751501</v>
      </c>
      <c r="AI4845">
        <v>93.961204040780203</v>
      </c>
      <c r="AJ4845">
        <v>74.181865663756099</v>
      </c>
      <c r="AK4845">
        <v>16.786369158096299</v>
      </c>
      <c r="AL4845">
        <v>81.769632699677004</v>
      </c>
      <c r="AM4845">
        <v>72.390994120509902</v>
      </c>
      <c r="AN4845">
        <v>0.99999996975194905</v>
      </c>
    </row>
    <row r="4846" spans="1:40" x14ac:dyDescent="0.25">
      <c r="A4846" t="str">
        <f>"20190312172803368"</f>
        <v>20190312172803368</v>
      </c>
      <c r="B4846" t="str">
        <f>"1552382883364337"</f>
        <v>1552382883364337</v>
      </c>
      <c r="C4846" t="s">
        <v>40</v>
      </c>
      <c r="D4846">
        <v>3.0221879999999999</v>
      </c>
      <c r="E4846">
        <v>0.4910969</v>
      </c>
      <c r="F4846" t="s">
        <v>43</v>
      </c>
      <c r="G4846">
        <v>-317.83229999999998</v>
      </c>
      <c r="H4846">
        <v>-0.05</v>
      </c>
      <c r="I4846">
        <v>12.70749</v>
      </c>
      <c r="J4846">
        <v>-334.44260000000003</v>
      </c>
      <c r="K4846">
        <v>1.109572</v>
      </c>
      <c r="L4846">
        <v>16.58615</v>
      </c>
      <c r="M4846">
        <v>0.99871489999999996</v>
      </c>
      <c r="N4846">
        <v>0</v>
      </c>
      <c r="O4846">
        <v>4.8840639999999998E-2</v>
      </c>
      <c r="P4846">
        <v>0.95789190000000002</v>
      </c>
      <c r="Q4846">
        <v>0.13158900000000001</v>
      </c>
      <c r="R4846">
        <v>-0.25520150000000003</v>
      </c>
      <c r="S4846">
        <v>2.9766539999999999</v>
      </c>
      <c r="T4846">
        <v>-0.20530509999999999</v>
      </c>
      <c r="U4846">
        <v>-0.68508910000000001</v>
      </c>
      <c r="V4846">
        <v>0.30189629999999901</v>
      </c>
      <c r="W4846">
        <v>0.14391799999999999</v>
      </c>
      <c r="X4846">
        <v>0.94241509999999995</v>
      </c>
      <c r="Y4846">
        <v>0.27089980000000002</v>
      </c>
      <c r="Z4846">
        <v>-1.2536439999999999E-2</v>
      </c>
      <c r="AA4846">
        <v>0.96252590000000005</v>
      </c>
      <c r="AB4846">
        <v>20</v>
      </c>
      <c r="AC4846">
        <v>16.610299999999999</v>
      </c>
      <c r="AD4846">
        <v>-1.1595719999999901</v>
      </c>
      <c r="AE4846">
        <v>-3.87866</v>
      </c>
      <c r="AF4846">
        <v>4.6638084855140596</v>
      </c>
      <c r="AG4846">
        <v>-1.1595719999999901</v>
      </c>
      <c r="AH4846">
        <v>16.3255711551564</v>
      </c>
      <c r="AI4846">
        <v>93.906993651074202</v>
      </c>
      <c r="AJ4846">
        <v>74.056682077840094</v>
      </c>
      <c r="AK4846">
        <v>17.0182252410412</v>
      </c>
      <c r="AL4846">
        <v>81.725371957032493</v>
      </c>
      <c r="AM4846">
        <v>72.237491070143804</v>
      </c>
      <c r="AN4846">
        <v>0.99999999369284898</v>
      </c>
    </row>
    <row r="4847" spans="1:40" x14ac:dyDescent="0.25">
      <c r="A4847" t="str">
        <f>"20190312172803379"</f>
        <v>20190312172803379</v>
      </c>
      <c r="B4847" t="str">
        <f>"1552382883374098"</f>
        <v>1552382883374098</v>
      </c>
      <c r="C4847" t="s">
        <v>40</v>
      </c>
      <c r="D4847">
        <v>3.205463</v>
      </c>
      <c r="E4847">
        <v>0.49105850000000001</v>
      </c>
      <c r="F4847" t="s">
        <v>43</v>
      </c>
      <c r="G4847">
        <v>-317.52530000000002</v>
      </c>
      <c r="H4847">
        <v>-0.05</v>
      </c>
      <c r="I4847">
        <v>12.642899999999999</v>
      </c>
      <c r="J4847">
        <v>-334.33539999999999</v>
      </c>
      <c r="K4847">
        <v>1.10955</v>
      </c>
      <c r="L4847">
        <v>16.59076</v>
      </c>
      <c r="M4847">
        <v>0.99874099999999999</v>
      </c>
      <c r="N4847">
        <v>0</v>
      </c>
      <c r="O4847">
        <v>4.8304640000000003E-2</v>
      </c>
      <c r="P4847">
        <v>0.95728389999999997</v>
      </c>
      <c r="Q4847">
        <v>0.1325345</v>
      </c>
      <c r="R4847">
        <v>-0.25698690000000002</v>
      </c>
      <c r="S4847">
        <v>2.9751590000000001</v>
      </c>
      <c r="T4847">
        <v>-0.2039281</v>
      </c>
      <c r="U4847">
        <v>-0.69348140000000003</v>
      </c>
      <c r="V4847">
        <v>0.3031565</v>
      </c>
      <c r="W4847">
        <v>0.14483009999999999</v>
      </c>
      <c r="X4847">
        <v>0.94187069999999995</v>
      </c>
      <c r="Y4847">
        <v>0.27307100000000001</v>
      </c>
      <c r="Z4847">
        <v>-1.2491850000000001E-2</v>
      </c>
      <c r="AA4847">
        <v>0.96191280000000001</v>
      </c>
      <c r="AB4847">
        <v>20</v>
      </c>
      <c r="AC4847">
        <v>16.810099999999899</v>
      </c>
      <c r="AD4847">
        <v>-1.1595500000000001</v>
      </c>
      <c r="AE4847">
        <v>-3.9478599999999999</v>
      </c>
      <c r="AF4847">
        <v>4.7339831947618203</v>
      </c>
      <c r="AG4847">
        <v>-1.1595500000000001</v>
      </c>
      <c r="AH4847">
        <v>16.5252362195789</v>
      </c>
      <c r="AI4847">
        <v>93.859049457226703</v>
      </c>
      <c r="AJ4847">
        <v>74.014584648530402</v>
      </c>
      <c r="AK4847">
        <v>17.2290041849107</v>
      </c>
      <c r="AL4847">
        <v>81.672559371906601</v>
      </c>
      <c r="AM4847">
        <v>72.158379060332706</v>
      </c>
      <c r="AN4847">
        <v>1.0000000184383699</v>
      </c>
    </row>
    <row r="4848" spans="1:40" x14ac:dyDescent="0.25">
      <c r="A4848" t="str">
        <f>"20190312172803390"</f>
        <v>20190312172803390</v>
      </c>
      <c r="B4848" t="str">
        <f>"1552382883384833"</f>
        <v>1552382883384833</v>
      </c>
      <c r="C4848" t="s">
        <v>40</v>
      </c>
      <c r="D4848">
        <v>2.9963229999999998</v>
      </c>
      <c r="E4848">
        <v>0.49103059999999998</v>
      </c>
      <c r="F4848" t="s">
        <v>43</v>
      </c>
      <c r="G4848">
        <v>-317.13600000000002</v>
      </c>
      <c r="H4848">
        <v>-0.05</v>
      </c>
      <c r="I4848">
        <v>12.5486</v>
      </c>
      <c r="J4848">
        <v>-334.23329999999999</v>
      </c>
      <c r="K4848">
        <v>1.1095269999999999</v>
      </c>
      <c r="L4848">
        <v>16.595120000000001</v>
      </c>
      <c r="M4848">
        <v>0.99876609999999999</v>
      </c>
      <c r="N4848">
        <v>0</v>
      </c>
      <c r="O4848">
        <v>4.7783039999999999E-2</v>
      </c>
      <c r="P4848">
        <v>0.95658500000000002</v>
      </c>
      <c r="Q4848">
        <v>0.1338162</v>
      </c>
      <c r="R4848">
        <v>-0.25891779999999998</v>
      </c>
      <c r="S4848">
        <v>2.9739990000000001</v>
      </c>
      <c r="T4848">
        <v>-0.2005016</v>
      </c>
      <c r="U4848">
        <v>-0.69894409999999996</v>
      </c>
      <c r="V4848">
        <v>0.30457190000000001</v>
      </c>
      <c r="W4848">
        <v>0.14607790000000001</v>
      </c>
      <c r="X4848">
        <v>0.94122110000000003</v>
      </c>
      <c r="Y4848">
        <v>0.2743485</v>
      </c>
      <c r="Z4848">
        <v>-1.2292290000000001E-2</v>
      </c>
      <c r="AA4848">
        <v>0.96155179999999996</v>
      </c>
      <c r="AB4848">
        <v>20</v>
      </c>
      <c r="AC4848">
        <v>17.097300000000001</v>
      </c>
      <c r="AD4848">
        <v>-1.159527</v>
      </c>
      <c r="AE4848">
        <v>-4.0465200000000001</v>
      </c>
      <c r="AF4848">
        <v>4.8378614980279604</v>
      </c>
      <c r="AG4848">
        <v>-1.159527</v>
      </c>
      <c r="AH4848">
        <v>16.811173314472001</v>
      </c>
      <c r="AI4848">
        <v>93.792219389540605</v>
      </c>
      <c r="AJ4848">
        <v>73.945422205206398</v>
      </c>
      <c r="AK4848">
        <v>17.5318269141309</v>
      </c>
      <c r="AL4848">
        <v>81.600296837676893</v>
      </c>
      <c r="AM4848">
        <v>72.068818516409294</v>
      </c>
      <c r="AN4848">
        <v>0.99999997711161404</v>
      </c>
    </row>
    <row r="4849" spans="1:40" x14ac:dyDescent="0.25">
      <c r="A4849" t="str">
        <f>"20190312172803401"</f>
        <v>20190312172803401</v>
      </c>
      <c r="B4849" t="str">
        <f>"1552382883394593"</f>
        <v>1552382883394593</v>
      </c>
      <c r="C4849" t="s">
        <v>40</v>
      </c>
      <c r="D4849">
        <v>3.015609</v>
      </c>
      <c r="E4849">
        <v>0.49098930000000002</v>
      </c>
      <c r="F4849" t="s">
        <v>43</v>
      </c>
      <c r="G4849">
        <v>-316.6696</v>
      </c>
      <c r="H4849">
        <v>-0.05</v>
      </c>
      <c r="I4849">
        <v>12.42966</v>
      </c>
      <c r="J4849">
        <v>-334.12709999999998</v>
      </c>
      <c r="K4849">
        <v>1.109504</v>
      </c>
      <c r="L4849">
        <v>16.59958</v>
      </c>
      <c r="M4849">
        <v>0.9987935</v>
      </c>
      <c r="N4849">
        <v>0</v>
      </c>
      <c r="O4849">
        <v>4.720568E-2</v>
      </c>
      <c r="P4849">
        <v>0.95591090000000001</v>
      </c>
      <c r="Q4849">
        <v>0.13512939999999901</v>
      </c>
      <c r="R4849">
        <v>-0.26071899999999998</v>
      </c>
      <c r="S4849">
        <v>2.972839</v>
      </c>
      <c r="T4849">
        <v>-0.19626160000000001</v>
      </c>
      <c r="U4849">
        <v>-0.7050476</v>
      </c>
      <c r="V4849">
        <v>0.30580659999999998</v>
      </c>
      <c r="W4849">
        <v>0.1473585</v>
      </c>
      <c r="X4849">
        <v>0.94062100000000004</v>
      </c>
      <c r="Y4849">
        <v>0.27577309999999999</v>
      </c>
      <c r="Z4849">
        <v>-1.2043399999999999E-2</v>
      </c>
      <c r="AA4849">
        <v>0.96114730000000004</v>
      </c>
      <c r="AB4849">
        <v>20</v>
      </c>
      <c r="AC4849">
        <v>17.4574999999999</v>
      </c>
      <c r="AD4849">
        <v>-1.1595040000000001</v>
      </c>
      <c r="AE4849">
        <v>-4.1699199999999896</v>
      </c>
      <c r="AF4849">
        <v>4.9687030762266504</v>
      </c>
      <c r="AG4849">
        <v>-1.1595040000000001</v>
      </c>
      <c r="AH4849">
        <v>17.169518603337401</v>
      </c>
      <c r="AI4849">
        <v>93.711630126040603</v>
      </c>
      <c r="AJ4849">
        <v>73.860035821389204</v>
      </c>
      <c r="AK4849">
        <v>17.911583650143001</v>
      </c>
      <c r="AL4849">
        <v>81.526121643644004</v>
      </c>
      <c r="AM4849">
        <v>71.990066164987198</v>
      </c>
      <c r="AN4849">
        <v>1.0000000348833999</v>
      </c>
    </row>
    <row r="4850" spans="1:40" x14ac:dyDescent="0.25">
      <c r="A4850" t="str">
        <f>"20190312172803413"</f>
        <v>20190312172803413</v>
      </c>
      <c r="B4850" t="str">
        <f>"1552382883404353"</f>
        <v>1552382883404353</v>
      </c>
      <c r="C4850" t="s">
        <v>40</v>
      </c>
      <c r="D4850">
        <v>3.024864</v>
      </c>
      <c r="E4850">
        <v>0.49095680000000003</v>
      </c>
      <c r="F4850" t="s">
        <v>43</v>
      </c>
      <c r="G4850">
        <v>-316.18560000000002</v>
      </c>
      <c r="H4850">
        <v>-0.05</v>
      </c>
      <c r="I4850">
        <v>12.310499999999999</v>
      </c>
      <c r="J4850">
        <v>-334.03190000000001</v>
      </c>
      <c r="K4850">
        <v>1.1094850000000001</v>
      </c>
      <c r="L4850">
        <v>16.603490000000001</v>
      </c>
      <c r="M4850">
        <v>0.99881850000000005</v>
      </c>
      <c r="N4850">
        <v>0</v>
      </c>
      <c r="O4850">
        <v>4.667168E-2</v>
      </c>
      <c r="P4850">
        <v>0.95531900000000003</v>
      </c>
      <c r="Q4850">
        <v>0.1360411</v>
      </c>
      <c r="R4850">
        <v>-0.2624088</v>
      </c>
      <c r="S4850">
        <v>2.9717410000000002</v>
      </c>
      <c r="T4850">
        <v>-0.19205369999999999</v>
      </c>
      <c r="U4850">
        <v>-0.71041869999999996</v>
      </c>
      <c r="V4850">
        <v>0.306973</v>
      </c>
      <c r="W4850">
        <v>0.14824370000000001</v>
      </c>
      <c r="X4850">
        <v>0.94010179999999999</v>
      </c>
      <c r="Y4850">
        <v>0.27700960000000002</v>
      </c>
      <c r="Z4850">
        <v>-1.1792840000000001E-2</v>
      </c>
      <c r="AA4850">
        <v>0.96079479999999995</v>
      </c>
      <c r="AB4850">
        <v>20</v>
      </c>
      <c r="AC4850">
        <v>17.8462999999999</v>
      </c>
      <c r="AD4850">
        <v>-1.1594850000000001</v>
      </c>
      <c r="AE4850">
        <v>-4.2929899999999996</v>
      </c>
      <c r="AF4850">
        <v>5.1009499612641598</v>
      </c>
      <c r="AG4850">
        <v>-1.1594850000000001</v>
      </c>
      <c r="AH4850">
        <v>17.556414606942099</v>
      </c>
      <c r="AI4850">
        <v>93.628879100611201</v>
      </c>
      <c r="AJ4850">
        <v>73.798976743713098</v>
      </c>
      <c r="AK4850">
        <v>18.3191645503662</v>
      </c>
      <c r="AL4850">
        <v>81.474839951508102</v>
      </c>
      <c r="AM4850">
        <v>71.916500441919098</v>
      </c>
      <c r="AN4850">
        <v>1.0000000058409599</v>
      </c>
    </row>
    <row r="4851" spans="1:40" x14ac:dyDescent="0.25">
      <c r="A4851" t="str">
        <f>"20190312172803424"</f>
        <v>20190312172803424</v>
      </c>
      <c r="B4851" t="str">
        <f>"1552382883414114"</f>
        <v>1552382883414114</v>
      </c>
      <c r="C4851" t="s">
        <v>40</v>
      </c>
      <c r="D4851">
        <v>2.9930509999999999</v>
      </c>
      <c r="E4851">
        <v>0.49088989999999999</v>
      </c>
      <c r="F4851" t="s">
        <v>43</v>
      </c>
      <c r="G4851">
        <v>-315.8313</v>
      </c>
      <c r="H4851">
        <v>-0.05</v>
      </c>
      <c r="I4851">
        <v>12.22078</v>
      </c>
      <c r="J4851">
        <v>-333.91539999999998</v>
      </c>
      <c r="K4851">
        <v>1.1094599999999999</v>
      </c>
      <c r="L4851">
        <v>16.608179999999901</v>
      </c>
      <c r="M4851">
        <v>0.99885009999999996</v>
      </c>
      <c r="N4851">
        <v>0</v>
      </c>
      <c r="O4851">
        <v>4.5995149999999999E-2</v>
      </c>
      <c r="P4851">
        <v>0.95468730000000002</v>
      </c>
      <c r="Q4851">
        <v>0.13659879999999999</v>
      </c>
      <c r="R4851">
        <v>-0.26441120000000001</v>
      </c>
      <c r="S4851">
        <v>2.970764</v>
      </c>
      <c r="T4851">
        <v>-0.1892557</v>
      </c>
      <c r="U4851">
        <v>-0.71536250000000001</v>
      </c>
      <c r="V4851">
        <v>0.30831629999999999</v>
      </c>
      <c r="W4851">
        <v>0.14877179999999901</v>
      </c>
      <c r="X4851">
        <v>0.93957869999999999</v>
      </c>
      <c r="Y4851">
        <v>0.27795989999999998</v>
      </c>
      <c r="Z4851">
        <v>-1.161016E-2</v>
      </c>
      <c r="AA4851">
        <v>0.96052249999999995</v>
      </c>
      <c r="AB4851">
        <v>20</v>
      </c>
      <c r="AC4851">
        <v>18.0840999999999</v>
      </c>
      <c r="AD4851">
        <v>-1.1594599999999999</v>
      </c>
      <c r="AE4851">
        <v>-4.3873999999999898</v>
      </c>
      <c r="AF4851">
        <v>5.1944468407885296</v>
      </c>
      <c r="AG4851">
        <v>-1.1594599999999999</v>
      </c>
      <c r="AH4851">
        <v>17.794059544525801</v>
      </c>
      <c r="AI4851">
        <v>93.579147178454207</v>
      </c>
      <c r="AJ4851">
        <v>73.726404470739794</v>
      </c>
      <c r="AK4851">
        <v>18.572969082715598</v>
      </c>
      <c r="AL4851">
        <v>81.444243244385802</v>
      </c>
      <c r="AM4851">
        <v>71.833105425065597</v>
      </c>
      <c r="AN4851">
        <v>1.0000000614072999</v>
      </c>
    </row>
    <row r="4852" spans="1:40" x14ac:dyDescent="0.25">
      <c r="A4852" t="str">
        <f>"20190312172803436"</f>
        <v>20190312172803436</v>
      </c>
      <c r="B4852" t="str">
        <f>"1552382883434610"</f>
        <v>1552382883434610</v>
      </c>
      <c r="C4852" t="s">
        <v>40</v>
      </c>
      <c r="D4852">
        <v>3.0129929999999998</v>
      </c>
      <c r="E4852">
        <v>0.49079109999999998</v>
      </c>
      <c r="F4852" t="s">
        <v>43</v>
      </c>
      <c r="G4852">
        <v>-315.58629999999999</v>
      </c>
      <c r="H4852">
        <v>-0.05</v>
      </c>
      <c r="I4852">
        <v>12.15747</v>
      </c>
      <c r="J4852">
        <v>-333.81400000000002</v>
      </c>
      <c r="K4852">
        <v>1.1094409999999999</v>
      </c>
      <c r="L4852">
        <v>16.61215</v>
      </c>
      <c r="M4852">
        <v>0.99887809999999999</v>
      </c>
      <c r="N4852">
        <v>0</v>
      </c>
      <c r="O4852">
        <v>4.538122E-2</v>
      </c>
      <c r="P4852">
        <v>0.95422499999999999</v>
      </c>
      <c r="Q4852">
        <v>0.13699600000000001</v>
      </c>
      <c r="R4852">
        <v>-0.26587040000000001</v>
      </c>
      <c r="S4852">
        <v>2.9695429999999998</v>
      </c>
      <c r="T4852">
        <v>-0.18784690000000001</v>
      </c>
      <c r="U4852">
        <v>-0.72106930000000002</v>
      </c>
      <c r="V4852">
        <v>0.30918129999999999</v>
      </c>
      <c r="W4852">
        <v>0.14914949999999999</v>
      </c>
      <c r="X4852">
        <v>0.93923440000000002</v>
      </c>
      <c r="Y4852">
        <v>0.27921089999999998</v>
      </c>
      <c r="Z4852">
        <v>-1.152661E-2</v>
      </c>
      <c r="AA4852">
        <v>0.96016060000000003</v>
      </c>
      <c r="AB4852">
        <v>20</v>
      </c>
      <c r="AC4852">
        <v>18.227699999999999</v>
      </c>
      <c r="AD4852">
        <v>-1.1594409999999999</v>
      </c>
      <c r="AE4852">
        <v>-4.4546799999999998</v>
      </c>
      <c r="AF4852">
        <v>5.2572881881809002</v>
      </c>
      <c r="AG4852">
        <v>-1.1594409999999999</v>
      </c>
      <c r="AH4852">
        <v>17.938251169051799</v>
      </c>
      <c r="AI4852">
        <v>93.549289532625096</v>
      </c>
      <c r="AJ4852">
        <v>73.665354519914999</v>
      </c>
      <c r="AK4852">
        <v>18.728700903427701</v>
      </c>
      <c r="AL4852">
        <v>81.422357534640398</v>
      </c>
      <c r="AM4852">
        <v>71.779262219904993</v>
      </c>
      <c r="AN4852">
        <v>0.99999995388164797</v>
      </c>
    </row>
    <row r="4853" spans="1:40" x14ac:dyDescent="0.25">
      <c r="A4853" t="str">
        <f>"20190312172803451"</f>
        <v>20190312172803451</v>
      </c>
      <c r="B4853" t="str">
        <f>"1552382883444369"</f>
        <v>1552382883444369</v>
      </c>
      <c r="C4853" t="s">
        <v>40</v>
      </c>
      <c r="D4853">
        <v>3.006605</v>
      </c>
      <c r="E4853">
        <v>0.49079</v>
      </c>
      <c r="F4853" t="s">
        <v>43</v>
      </c>
      <c r="G4853">
        <v>-315.59429999999998</v>
      </c>
      <c r="H4853">
        <v>-0.05</v>
      </c>
      <c r="I4853">
        <v>12.165940000000001</v>
      </c>
      <c r="J4853">
        <v>-333.68990000000002</v>
      </c>
      <c r="K4853">
        <v>1.109421</v>
      </c>
      <c r="L4853">
        <v>16.616969999999998</v>
      </c>
      <c r="M4853">
        <v>0.99891249999999998</v>
      </c>
      <c r="N4853">
        <v>0</v>
      </c>
      <c r="O4853">
        <v>4.4616299999999998E-2</v>
      </c>
      <c r="P4853">
        <v>0.9538124</v>
      </c>
      <c r="Q4853">
        <v>0.13686909999999999</v>
      </c>
      <c r="R4853">
        <v>-0.26741100000000001</v>
      </c>
      <c r="S4853">
        <v>2.9691770000000002</v>
      </c>
      <c r="T4853">
        <v>-0.18894920000000001</v>
      </c>
      <c r="U4853">
        <v>-0.72457890000000003</v>
      </c>
      <c r="V4853">
        <v>0.30998809999999999</v>
      </c>
      <c r="W4853">
        <v>0.14900289999999999</v>
      </c>
      <c r="X4853">
        <v>0.93899169999999998</v>
      </c>
      <c r="Y4853">
        <v>0.27956799999999998</v>
      </c>
      <c r="Z4853">
        <v>-1.1557100000000001E-2</v>
      </c>
      <c r="AA4853">
        <v>0.96005629999999997</v>
      </c>
      <c r="AB4853">
        <v>20</v>
      </c>
      <c r="AC4853">
        <v>18.095600000000001</v>
      </c>
      <c r="AD4853">
        <v>-1.15942099999999</v>
      </c>
      <c r="AE4853">
        <v>-4.4510300000000003</v>
      </c>
      <c r="AF4853">
        <v>5.2337695361733001</v>
      </c>
      <c r="AG4853">
        <v>-1.15942099999999</v>
      </c>
      <c r="AH4853">
        <v>17.810027525925001</v>
      </c>
      <c r="AI4853">
        <v>93.5739546844069</v>
      </c>
      <c r="AJ4853">
        <v>73.623707276436704</v>
      </c>
      <c r="AK4853">
        <v>18.599292488888398</v>
      </c>
      <c r="AL4853">
        <v>81.430851978364998</v>
      </c>
      <c r="AM4853">
        <v>71.730461017214907</v>
      </c>
      <c r="AN4853">
        <v>0.99999994950945303</v>
      </c>
    </row>
    <row r="4854" spans="1:40" x14ac:dyDescent="0.25">
      <c r="A4854" t="str">
        <f>"20190312172803469"</f>
        <v>20190312172803469</v>
      </c>
      <c r="B4854" t="str">
        <f>"1552382883464866"</f>
        <v>1552382883464866</v>
      </c>
      <c r="C4854" t="s">
        <v>40</v>
      </c>
      <c r="D4854">
        <v>2.9864980000000001</v>
      </c>
      <c r="E4854">
        <v>0.49068230000000002</v>
      </c>
      <c r="F4854" t="s">
        <v>43</v>
      </c>
      <c r="G4854">
        <v>-315.54129999999998</v>
      </c>
      <c r="H4854">
        <v>-0.05</v>
      </c>
      <c r="I4854">
        <v>12.15605</v>
      </c>
      <c r="J4854">
        <v>-333.52050000000003</v>
      </c>
      <c r="K4854">
        <v>1.1093930000000001</v>
      </c>
      <c r="L4854">
        <v>16.623259999999998</v>
      </c>
      <c r="M4854">
        <v>0.99896039999999997</v>
      </c>
      <c r="N4854">
        <v>0</v>
      </c>
      <c r="O4854">
        <v>4.3532269999999998E-2</v>
      </c>
      <c r="P4854">
        <v>0.95310779999999995</v>
      </c>
      <c r="Q4854">
        <v>0.13660239999999901</v>
      </c>
      <c r="R4854">
        <v>-0.27004719999999999</v>
      </c>
      <c r="S4854">
        <v>2.9679570000000002</v>
      </c>
      <c r="T4854">
        <v>-0.18960669999999999</v>
      </c>
      <c r="U4854">
        <v>-0.72952269999999997</v>
      </c>
      <c r="V4854">
        <v>0.31157590000000002</v>
      </c>
      <c r="W4854">
        <v>0.14871189999999901</v>
      </c>
      <c r="X4854">
        <v>0.93851229999999997</v>
      </c>
      <c r="Y4854">
        <v>0.28012239999999999</v>
      </c>
      <c r="Z4854">
        <v>-1.154875E-2</v>
      </c>
      <c r="AA4854">
        <v>0.95989480000000005</v>
      </c>
      <c r="AB4854">
        <v>20</v>
      </c>
      <c r="AC4854">
        <v>17.979199999999999</v>
      </c>
      <c r="AD4854">
        <v>-1.1593929999999999</v>
      </c>
      <c r="AE4854">
        <v>-4.4672099999999997</v>
      </c>
      <c r="AF4854">
        <v>5.22525642719493</v>
      </c>
      <c r="AG4854">
        <v>-1.1593929999999999</v>
      </c>
      <c r="AH4854">
        <v>17.6983507869524</v>
      </c>
      <c r="AI4854">
        <v>93.595025886039096</v>
      </c>
      <c r="AJ4854">
        <v>73.551305362227097</v>
      </c>
      <c r="AK4854">
        <v>18.489973429846</v>
      </c>
      <c r="AL4854">
        <v>81.447713804180793</v>
      </c>
      <c r="AM4854">
        <v>71.634393575367795</v>
      </c>
      <c r="AN4854">
        <v>1.0000000539568501</v>
      </c>
    </row>
    <row r="4855" spans="1:40" x14ac:dyDescent="0.25">
      <c r="A4855" t="str">
        <f>"20190312172803490"</f>
        <v>20190312172803490</v>
      </c>
      <c r="B4855" t="str">
        <f>"1552382883484941"</f>
        <v>1552382883484941</v>
      </c>
      <c r="C4855" t="s">
        <v>40</v>
      </c>
      <c r="D4855">
        <v>2.9807619999999999</v>
      </c>
      <c r="E4855">
        <v>0.49060169999999997</v>
      </c>
      <c r="F4855" t="s">
        <v>43</v>
      </c>
      <c r="G4855">
        <v>-315.51960000000003</v>
      </c>
      <c r="H4855">
        <v>-0.05</v>
      </c>
      <c r="I4855">
        <v>12.14822</v>
      </c>
      <c r="J4855">
        <v>-333.32479999999998</v>
      </c>
      <c r="K4855">
        <v>1.1093770000000001</v>
      </c>
      <c r="L4855">
        <v>16.630310000000001</v>
      </c>
      <c r="M4855">
        <v>0.99901569999999995</v>
      </c>
      <c r="N4855">
        <v>0</v>
      </c>
      <c r="O4855">
        <v>4.2242559999999998E-2</v>
      </c>
      <c r="P4855">
        <v>0.95243</v>
      </c>
      <c r="Q4855">
        <v>0.1361047</v>
      </c>
      <c r="R4855">
        <v>-0.27267780000000003</v>
      </c>
      <c r="S4855">
        <v>2.9660639999999998</v>
      </c>
      <c r="T4855">
        <v>-0.19103690000000001</v>
      </c>
      <c r="U4855">
        <v>-0.73736569999999901</v>
      </c>
      <c r="V4855">
        <v>0.31296459999999998</v>
      </c>
      <c r="W4855">
        <v>0.14819560000000001</v>
      </c>
      <c r="X4855">
        <v>0.93813179999999996</v>
      </c>
      <c r="Y4855">
        <v>0.28140720000000002</v>
      </c>
      <c r="Z4855">
        <v>-1.159811E-2</v>
      </c>
      <c r="AA4855">
        <v>0.95951839999999999</v>
      </c>
      <c r="AB4855">
        <v>20</v>
      </c>
      <c r="AC4855">
        <v>17.8051999999999</v>
      </c>
      <c r="AD4855">
        <v>-1.1593770000000001</v>
      </c>
      <c r="AE4855">
        <v>-4.4820900000000004</v>
      </c>
      <c r="AF4855">
        <v>5.2095230072252097</v>
      </c>
      <c r="AG4855">
        <v>-1.1593770000000001</v>
      </c>
      <c r="AH4855">
        <v>17.530055080779999</v>
      </c>
      <c r="AI4855">
        <v>93.627489123883905</v>
      </c>
      <c r="AJ4855">
        <v>73.449280165456102</v>
      </c>
      <c r="AK4855">
        <v>18.3244676901164</v>
      </c>
      <c r="AL4855">
        <v>81.477626827450607</v>
      </c>
      <c r="AM4855">
        <v>71.551090717417097</v>
      </c>
      <c r="AN4855">
        <v>1.0000000254418699</v>
      </c>
    </row>
    <row r="4856" spans="1:40" x14ac:dyDescent="0.25">
      <c r="A4856" t="str">
        <f>"20190312172803501"</f>
        <v>20190312172803501</v>
      </c>
      <c r="B4856" t="str">
        <f>"1552382883494701"</f>
        <v>1552382883494701</v>
      </c>
      <c r="C4856" t="s">
        <v>40</v>
      </c>
      <c r="D4856">
        <v>2.9598059999999999</v>
      </c>
      <c r="E4856">
        <v>0.49056369999999999</v>
      </c>
      <c r="F4856" t="s">
        <v>43</v>
      </c>
      <c r="G4856">
        <v>-315.5324</v>
      </c>
      <c r="H4856">
        <v>-0.05</v>
      </c>
      <c r="I4856">
        <v>12.15845</v>
      </c>
      <c r="J4856">
        <v>-333.21949999999998</v>
      </c>
      <c r="K4856">
        <v>1.109378</v>
      </c>
      <c r="L4856">
        <v>16.633939999999999</v>
      </c>
      <c r="M4856">
        <v>0.99904530000000002</v>
      </c>
      <c r="N4856">
        <v>0</v>
      </c>
      <c r="O4856">
        <v>4.153842E-2</v>
      </c>
      <c r="P4856">
        <v>0.95193839999999996</v>
      </c>
      <c r="Q4856">
        <v>0.136188</v>
      </c>
      <c r="R4856">
        <v>-0.27434720000000001</v>
      </c>
      <c r="S4856">
        <v>2.9641419999999998</v>
      </c>
      <c r="T4856">
        <v>-0.19314790000000001</v>
      </c>
      <c r="U4856">
        <v>-0.74499510000000002</v>
      </c>
      <c r="V4856">
        <v>0.31395089999999998</v>
      </c>
      <c r="W4856">
        <v>0.14826919999999999</v>
      </c>
      <c r="X4856">
        <v>0.93779049999999997</v>
      </c>
      <c r="Y4856">
        <v>0.28318409999999999</v>
      </c>
      <c r="Z4856">
        <v>-1.174154E-2</v>
      </c>
      <c r="AA4856">
        <v>0.95899369999999995</v>
      </c>
      <c r="AB4856">
        <v>20</v>
      </c>
      <c r="AC4856">
        <v>17.687099999999901</v>
      </c>
      <c r="AD4856">
        <v>-1.159378</v>
      </c>
      <c r="AE4856">
        <v>-4.47548999999999</v>
      </c>
      <c r="AF4856">
        <v>5.1854482812648</v>
      </c>
      <c r="AG4856">
        <v>-1.159378</v>
      </c>
      <c r="AH4856">
        <v>17.415582824745201</v>
      </c>
      <c r="AI4856">
        <v>93.650703241258199</v>
      </c>
      <c r="AJ4856">
        <v>73.419225416430507</v>
      </c>
      <c r="AK4856">
        <v>18.208117869513998</v>
      </c>
      <c r="AL4856">
        <v>81.473362296986807</v>
      </c>
      <c r="AM4856">
        <v>71.490627515277694</v>
      </c>
      <c r="AN4856">
        <v>0.99999997258484896</v>
      </c>
    </row>
    <row r="4857" spans="1:40" x14ac:dyDescent="0.25">
      <c r="A4857" t="str">
        <f>"20190312172803513"</f>
        <v>20190312172803513</v>
      </c>
      <c r="B4857" t="str">
        <f>"1552382883504461"</f>
        <v>1552382883504461</v>
      </c>
      <c r="C4857" t="s">
        <v>40</v>
      </c>
      <c r="D4857">
        <v>3.0130710000000001</v>
      </c>
      <c r="E4857">
        <v>0.49060789999999999</v>
      </c>
      <c r="F4857" t="s">
        <v>43</v>
      </c>
      <c r="G4857">
        <v>-315.43790000000001</v>
      </c>
      <c r="H4857">
        <v>-0.05</v>
      </c>
      <c r="I4857">
        <v>12.13496</v>
      </c>
      <c r="J4857">
        <v>-333.12220000000002</v>
      </c>
      <c r="K4857">
        <v>1.1093740000000001</v>
      </c>
      <c r="L4857">
        <v>16.637270000000001</v>
      </c>
      <c r="M4857">
        <v>0.99907219999999997</v>
      </c>
      <c r="N4857">
        <v>0</v>
      </c>
      <c r="O4857">
        <v>4.0883900000000001E-2</v>
      </c>
      <c r="P4857">
        <v>0.95134099999999999</v>
      </c>
      <c r="Q4857">
        <v>0.13668559999999999</v>
      </c>
      <c r="R4857">
        <v>-0.27616570000000001</v>
      </c>
      <c r="S4857">
        <v>2.9630740000000002</v>
      </c>
      <c r="T4857">
        <v>-0.19319510000000001</v>
      </c>
      <c r="U4857">
        <v>-0.74969479999999999</v>
      </c>
      <c r="V4857">
        <v>0.315129299999999</v>
      </c>
      <c r="W4857">
        <v>0.14875579999999999</v>
      </c>
      <c r="X4857">
        <v>0.93731810000000004</v>
      </c>
      <c r="Y4857">
        <v>0.28406670000000001</v>
      </c>
      <c r="Z4857">
        <v>-1.173253E-2</v>
      </c>
      <c r="AA4857">
        <v>0.95873269999999999</v>
      </c>
      <c r="AB4857">
        <v>20</v>
      </c>
      <c r="AC4857">
        <v>17.6843</v>
      </c>
      <c r="AD4857">
        <v>-1.1593739999999999</v>
      </c>
      <c r="AE4857">
        <v>-4.5023099999999996</v>
      </c>
      <c r="AF4857">
        <v>5.2006224706892601</v>
      </c>
      <c r="AG4857">
        <v>-1.1593739999999999</v>
      </c>
      <c r="AH4857">
        <v>17.415127937129999</v>
      </c>
      <c r="AI4857">
        <v>93.649909401780405</v>
      </c>
      <c r="AJ4857">
        <v>73.372969588524398</v>
      </c>
      <c r="AK4857">
        <v>18.212009862206902</v>
      </c>
      <c r="AL4857">
        <v>81.445169695530893</v>
      </c>
      <c r="AM4857">
        <v>71.417193136080002</v>
      </c>
      <c r="AN4857">
        <v>0.99999999216986901</v>
      </c>
    </row>
    <row r="4858" spans="1:40" x14ac:dyDescent="0.25">
      <c r="A4858" t="str">
        <f>"20190312172803535"</f>
        <v>20190312172803535</v>
      </c>
      <c r="B4858" t="str">
        <f>"1552382883524957"</f>
        <v>1552382883524957</v>
      </c>
      <c r="C4858" t="s">
        <v>40</v>
      </c>
      <c r="D4858">
        <v>3.0109180000000002</v>
      </c>
      <c r="E4858">
        <v>0.49098059999999899</v>
      </c>
      <c r="F4858" t="s">
        <v>43</v>
      </c>
      <c r="G4858">
        <v>-315.24119999999999</v>
      </c>
      <c r="H4858">
        <v>-0.05</v>
      </c>
      <c r="I4858">
        <v>12.075839999999999</v>
      </c>
      <c r="J4858">
        <v>-332.91969999999998</v>
      </c>
      <c r="K4858">
        <v>1.1093729999999999</v>
      </c>
      <c r="L4858">
        <v>16.643920000000001</v>
      </c>
      <c r="M4858">
        <v>0.99912749999999995</v>
      </c>
      <c r="N4858">
        <v>0</v>
      </c>
      <c r="O4858">
        <v>3.9512810000000002E-2</v>
      </c>
      <c r="P4858">
        <v>0.95028500000000005</v>
      </c>
      <c r="Q4858">
        <v>0.136892299999999</v>
      </c>
      <c r="R4858">
        <v>-0.27967690000000001</v>
      </c>
      <c r="S4858">
        <v>2.9616699999999998</v>
      </c>
      <c r="T4858">
        <v>-0.19203010000000001</v>
      </c>
      <c r="U4858">
        <v>-0.75552369999999902</v>
      </c>
      <c r="V4858">
        <v>0.31730760000000002</v>
      </c>
      <c r="W4858">
        <v>0.1489463</v>
      </c>
      <c r="X4858">
        <v>0.93655270000000002</v>
      </c>
      <c r="Y4858">
        <v>0.28464080000000003</v>
      </c>
      <c r="Z4858">
        <v>-1.159523E-2</v>
      </c>
      <c r="AA4858">
        <v>0.95856410000000003</v>
      </c>
      <c r="AB4858">
        <v>20</v>
      </c>
      <c r="AC4858">
        <v>17.6784999999999</v>
      </c>
      <c r="AD4858">
        <v>-1.159373</v>
      </c>
      <c r="AE4858">
        <v>-4.5680800000000001</v>
      </c>
      <c r="AF4858">
        <v>5.2419692028545901</v>
      </c>
      <c r="AG4858">
        <v>-1.159373</v>
      </c>
      <c r="AH4858">
        <v>17.4139701105371</v>
      </c>
      <c r="AI4858">
        <v>93.6477514691138</v>
      </c>
      <c r="AJ4858">
        <v>73.247106566443193</v>
      </c>
      <c r="AK4858">
        <v>18.222753411257202</v>
      </c>
      <c r="AL4858">
        <v>81.434132267460598</v>
      </c>
      <c r="AM4858">
        <v>71.2834252006474</v>
      </c>
      <c r="AN4858">
        <v>1.00000003658936</v>
      </c>
    </row>
    <row r="4859" spans="1:40" x14ac:dyDescent="0.25">
      <c r="A4859" t="str">
        <f>"20190312172803547"</f>
        <v>20190312172803547</v>
      </c>
      <c r="B4859" t="str">
        <f>"1552382883544478"</f>
        <v>1552382883544478</v>
      </c>
      <c r="C4859" t="s">
        <v>40</v>
      </c>
      <c r="D4859">
        <v>2.9936889999999998</v>
      </c>
      <c r="E4859">
        <v>0.51380249999999905</v>
      </c>
      <c r="F4859" t="s">
        <v>43</v>
      </c>
      <c r="G4859">
        <v>-314.97379999999998</v>
      </c>
      <c r="H4859">
        <v>-0.05</v>
      </c>
      <c r="I4859">
        <v>11.982799999999999</v>
      </c>
      <c r="J4859">
        <v>-332.81400000000002</v>
      </c>
      <c r="K4859">
        <v>1.1093759999999999</v>
      </c>
      <c r="L4859">
        <v>16.647310000000001</v>
      </c>
      <c r="M4859">
        <v>0.99915549999999997</v>
      </c>
      <c r="N4859">
        <v>0</v>
      </c>
      <c r="O4859">
        <v>3.8794509999999997E-2</v>
      </c>
      <c r="P4859">
        <v>0.9498046</v>
      </c>
      <c r="Q4859">
        <v>0.13701820000000001</v>
      </c>
      <c r="R4859">
        <v>-0.2812424</v>
      </c>
      <c r="S4859">
        <v>2.9583439999999999</v>
      </c>
      <c r="T4859">
        <v>-0.19111980000000001</v>
      </c>
      <c r="U4859">
        <v>-0.76837159999999904</v>
      </c>
      <c r="V4859">
        <v>0.31817839999999997</v>
      </c>
      <c r="W4859">
        <v>0.14906559999999999</v>
      </c>
      <c r="X4859">
        <v>0.93623820000000002</v>
      </c>
      <c r="Y4859">
        <v>0.28811219999999998</v>
      </c>
      <c r="Z4859">
        <v>-1.161134E-2</v>
      </c>
      <c r="AA4859">
        <v>0.95752630000000005</v>
      </c>
      <c r="AB4859">
        <v>20</v>
      </c>
      <c r="AC4859">
        <v>17.840199999999999</v>
      </c>
      <c r="AD4859">
        <v>-1.159376</v>
      </c>
      <c r="AE4859">
        <v>-4.6645099999999999</v>
      </c>
      <c r="AF4859">
        <v>5.3320852753730197</v>
      </c>
      <c r="AG4859">
        <v>-1.159376</v>
      </c>
      <c r="AH4859">
        <v>17.576313823701401</v>
      </c>
      <c r="AI4859">
        <v>93.611816428243799</v>
      </c>
      <c r="AJ4859">
        <v>73.123899185933794</v>
      </c>
      <c r="AK4859">
        <v>18.4038608374021</v>
      </c>
      <c r="AL4859">
        <v>81.427219457963503</v>
      </c>
      <c r="AM4859">
        <v>71.229789013347599</v>
      </c>
      <c r="AN4859">
        <v>1.00000000723458</v>
      </c>
    </row>
    <row r="4860" spans="1:40" x14ac:dyDescent="0.25">
      <c r="A4860" t="str">
        <f>"20190312172803559"</f>
        <v>20190312172803559</v>
      </c>
      <c r="B4860" t="str">
        <f>"1552382883554237"</f>
        <v>1552382883554237</v>
      </c>
      <c r="C4860" t="s">
        <v>40</v>
      </c>
      <c r="D4860">
        <v>2.991174</v>
      </c>
      <c r="E4860">
        <v>0.51408450000000006</v>
      </c>
      <c r="F4860" t="s">
        <v>43</v>
      </c>
      <c r="G4860">
        <v>-314.95370000000003</v>
      </c>
      <c r="H4860">
        <v>-0.05</v>
      </c>
      <c r="I4860">
        <v>10.82199</v>
      </c>
      <c r="J4860">
        <v>-332.71050000000002</v>
      </c>
      <c r="K4860">
        <v>1.109381</v>
      </c>
      <c r="L4860">
        <v>16.650479999999899</v>
      </c>
      <c r="M4860">
        <v>0.99918280000000004</v>
      </c>
      <c r="N4860">
        <v>0</v>
      </c>
      <c r="O4860">
        <v>3.8089049999999999E-2</v>
      </c>
      <c r="P4860">
        <v>0.94929229999999998</v>
      </c>
      <c r="Q4860">
        <v>0.1371136</v>
      </c>
      <c r="R4860">
        <v>-0.28292089999999998</v>
      </c>
      <c r="S4860">
        <v>2.905151</v>
      </c>
      <c r="T4860">
        <v>-0.18858349999999999</v>
      </c>
      <c r="U4860">
        <v>-0.9475403</v>
      </c>
      <c r="V4860">
        <v>0.31917299999999998</v>
      </c>
      <c r="W4860">
        <v>0.1491556</v>
      </c>
      <c r="X4860">
        <v>0.93588530000000003</v>
      </c>
      <c r="Y4860">
        <v>0.34534029999999999</v>
      </c>
      <c r="Z4860">
        <v>-1.332586E-2</v>
      </c>
      <c r="AA4860">
        <v>0.93838290000000002</v>
      </c>
      <c r="AB4860">
        <v>20</v>
      </c>
      <c r="AC4860">
        <v>17.756799999999998</v>
      </c>
      <c r="AD4860">
        <v>-1.159381</v>
      </c>
      <c r="AE4860">
        <v>-5.8284899999999897</v>
      </c>
      <c r="AF4860">
        <v>6.4757398105028203</v>
      </c>
      <c r="AG4860">
        <v>-1.159381</v>
      </c>
      <c r="AH4860">
        <v>17.454717035002901</v>
      </c>
      <c r="AI4860">
        <v>93.563465712203694</v>
      </c>
      <c r="AJ4860">
        <v>69.645031389131901</v>
      </c>
      <c r="AK4860">
        <v>18.653324560745499</v>
      </c>
      <c r="AL4860">
        <v>81.422004871493897</v>
      </c>
      <c r="AM4860">
        <v>71.168643197199202</v>
      </c>
      <c r="AN4860">
        <v>1.0000000458482201</v>
      </c>
    </row>
    <row r="4861" spans="1:40" x14ac:dyDescent="0.25">
      <c r="A4861" t="str">
        <f>"20190312172803570"</f>
        <v>20190312172803570</v>
      </c>
      <c r="B4861" t="str">
        <f>"1552382883564972"</f>
        <v>1552382883564972</v>
      </c>
      <c r="C4861" t="s">
        <v>40</v>
      </c>
      <c r="D4861">
        <v>2.9965679999999999</v>
      </c>
      <c r="E4861">
        <v>0.51432730000000004</v>
      </c>
      <c r="F4861" t="s">
        <v>43</v>
      </c>
      <c r="G4861">
        <v>-314.88459999999998</v>
      </c>
      <c r="H4861">
        <v>-0.05</v>
      </c>
      <c r="I4861">
        <v>10.78922</v>
      </c>
      <c r="J4861">
        <v>-332.60489999999999</v>
      </c>
      <c r="K4861">
        <v>1.1093869999999999</v>
      </c>
      <c r="L4861">
        <v>16.653690000000001</v>
      </c>
      <c r="M4861">
        <v>0.99921000000000004</v>
      </c>
      <c r="N4861">
        <v>0</v>
      </c>
      <c r="O4861">
        <v>3.7369119999999999E-2</v>
      </c>
      <c r="P4861">
        <v>0.94877210000000001</v>
      </c>
      <c r="Q4861">
        <v>0.13749629999999999</v>
      </c>
      <c r="R4861">
        <v>-0.2844757</v>
      </c>
      <c r="S4861">
        <v>2.9030149999999999</v>
      </c>
      <c r="T4861">
        <v>-0.1888089</v>
      </c>
      <c r="U4861">
        <v>-0.95452879999999996</v>
      </c>
      <c r="V4861">
        <v>0.32003110000000001</v>
      </c>
      <c r="W4861">
        <v>0.14953329999999901</v>
      </c>
      <c r="X4861">
        <v>0.93553189999999997</v>
      </c>
      <c r="Y4861">
        <v>0.34690379999999998</v>
      </c>
      <c r="Z4861">
        <v>-1.3350040000000001E-2</v>
      </c>
      <c r="AA4861">
        <v>0.93780569999999996</v>
      </c>
      <c r="AB4861">
        <v>20</v>
      </c>
      <c r="AC4861">
        <v>17.720300000000002</v>
      </c>
      <c r="AD4861">
        <v>-1.1593869999999999</v>
      </c>
      <c r="AE4861">
        <v>-5.8644699999999998</v>
      </c>
      <c r="AF4861">
        <v>6.4975572356447699</v>
      </c>
      <c r="AG4861">
        <v>-1.1593869999999999</v>
      </c>
      <c r="AH4861">
        <v>17.4215358801194</v>
      </c>
      <c r="AI4861">
        <v>93.567974859487194</v>
      </c>
      <c r="AJ4861">
        <v>69.546435305319605</v>
      </c>
      <c r="AK4861">
        <v>18.629877634287801</v>
      </c>
      <c r="AL4861">
        <v>81.400118623028703</v>
      </c>
      <c r="AM4861">
        <v>71.114970082440806</v>
      </c>
      <c r="AN4861">
        <v>1.0000000243468501</v>
      </c>
    </row>
    <row r="4862" spans="1:40" x14ac:dyDescent="0.25">
      <c r="A4862" t="str">
        <f>"20190312172803581"</f>
        <v>20190312172803581</v>
      </c>
      <c r="B4862" t="str">
        <f>"1552382883574733"</f>
        <v>1552382883574733</v>
      </c>
      <c r="C4862" t="s">
        <v>40</v>
      </c>
      <c r="D4862">
        <v>3.0106380000000001</v>
      </c>
      <c r="E4862">
        <v>0.51442860000000001</v>
      </c>
      <c r="F4862" t="s">
        <v>43</v>
      </c>
      <c r="G4862">
        <v>-314.64710000000002</v>
      </c>
      <c r="H4862">
        <v>-0.05</v>
      </c>
      <c r="I4862">
        <v>10.70496</v>
      </c>
      <c r="J4862">
        <v>-332.50630000000001</v>
      </c>
      <c r="K4862">
        <v>1.1093949999999999</v>
      </c>
      <c r="L4862">
        <v>16.65662</v>
      </c>
      <c r="M4862">
        <v>0.99923490000000004</v>
      </c>
      <c r="N4862">
        <v>0</v>
      </c>
      <c r="O4862">
        <v>3.6697239999999999E-2</v>
      </c>
      <c r="P4862">
        <v>0.94828159999999895</v>
      </c>
      <c r="Q4862">
        <v>0.13805789999999901</v>
      </c>
      <c r="R4862">
        <v>-0.28583560000000002</v>
      </c>
      <c r="S4862">
        <v>2.9010310000000001</v>
      </c>
      <c r="T4862">
        <v>-0.1872954</v>
      </c>
      <c r="U4862">
        <v>-0.96099849999999998</v>
      </c>
      <c r="V4862">
        <v>0.32074170000000002</v>
      </c>
      <c r="W4862">
        <v>0.15009110000000001</v>
      </c>
      <c r="X4862">
        <v>0.93519909999999995</v>
      </c>
      <c r="Y4862">
        <v>0.34835899999999997</v>
      </c>
      <c r="Z4862">
        <v>-1.325073E-2</v>
      </c>
      <c r="AA4862">
        <v>0.93726750000000003</v>
      </c>
      <c r="AB4862">
        <v>20</v>
      </c>
      <c r="AC4862">
        <v>17.859199999999898</v>
      </c>
      <c r="AD4862">
        <v>-1.159395</v>
      </c>
      <c r="AE4862">
        <v>-5.9516599999999897</v>
      </c>
      <c r="AF4862">
        <v>6.5781417188146403</v>
      </c>
      <c r="AG4862">
        <v>-1.159395</v>
      </c>
      <c r="AH4862">
        <v>17.562122840916501</v>
      </c>
      <c r="AI4862">
        <v>93.537654604121698</v>
      </c>
      <c r="AJ4862">
        <v>69.465851198128306</v>
      </c>
      <c r="AK4862">
        <v>18.789473220882901</v>
      </c>
      <c r="AL4862">
        <v>81.367793736885204</v>
      </c>
      <c r="AM4862">
        <v>71.069763504616105</v>
      </c>
      <c r="AN4862">
        <v>0.999999966529454</v>
      </c>
    </row>
    <row r="4863" spans="1:40" x14ac:dyDescent="0.25">
      <c r="A4863" t="str">
        <f>"20190312172803593"</f>
        <v>20190312172803593</v>
      </c>
      <c r="B4863" t="str">
        <f>"1552382883584493"</f>
        <v>1552382883584493</v>
      </c>
      <c r="C4863" t="s">
        <v>40</v>
      </c>
      <c r="D4863">
        <v>3.0183119999999999</v>
      </c>
      <c r="E4863">
        <v>0.514513</v>
      </c>
      <c r="F4863" t="s">
        <v>43</v>
      </c>
      <c r="G4863">
        <v>-314.44799999999998</v>
      </c>
      <c r="H4863">
        <v>-0.05</v>
      </c>
      <c r="I4863">
        <v>10.64085</v>
      </c>
      <c r="J4863">
        <v>-332.40539999999999</v>
      </c>
      <c r="K4863">
        <v>1.1094040000000001</v>
      </c>
      <c r="L4863">
        <v>16.659520000000001</v>
      </c>
      <c r="M4863">
        <v>0.99925989999999998</v>
      </c>
      <c r="N4863">
        <v>0</v>
      </c>
      <c r="O4863">
        <v>3.6009930000000002E-2</v>
      </c>
      <c r="P4863">
        <v>0.94763280000000005</v>
      </c>
      <c r="Q4863">
        <v>0.13894509999999999</v>
      </c>
      <c r="R4863">
        <v>-0.28755269999999999</v>
      </c>
      <c r="S4863">
        <v>2.899597</v>
      </c>
      <c r="T4863">
        <v>-0.18616250000000001</v>
      </c>
      <c r="U4863">
        <v>-0.96594239999999998</v>
      </c>
      <c r="V4863">
        <v>0.32178959999999901</v>
      </c>
      <c r="W4863">
        <v>0.1509721</v>
      </c>
      <c r="X4863">
        <v>0.93469720000000001</v>
      </c>
      <c r="Y4863">
        <v>0.3493</v>
      </c>
      <c r="Z4863">
        <v>-1.3159840000000001E-2</v>
      </c>
      <c r="AA4863">
        <v>0.93691860000000005</v>
      </c>
      <c r="AB4863">
        <v>20</v>
      </c>
      <c r="AC4863">
        <v>17.9574</v>
      </c>
      <c r="AD4863">
        <v>-1.1594040000000001</v>
      </c>
      <c r="AE4863">
        <v>-6.0186699999999904</v>
      </c>
      <c r="AF4863">
        <v>6.6365986724732497</v>
      </c>
      <c r="AG4863">
        <v>-1.1594040000000001</v>
      </c>
      <c r="AH4863">
        <v>17.6628073509515</v>
      </c>
      <c r="AI4863">
        <v>93.516211733270495</v>
      </c>
      <c r="AJ4863">
        <v>69.406862026374199</v>
      </c>
      <c r="AK4863">
        <v>18.904058376219499</v>
      </c>
      <c r="AL4863">
        <v>81.3167345336105</v>
      </c>
      <c r="AM4863">
        <v>71.002874714355301</v>
      </c>
      <c r="AN4863">
        <v>0.99999998866720397</v>
      </c>
    </row>
    <row r="4864" spans="1:40" x14ac:dyDescent="0.25">
      <c r="A4864" t="str">
        <f>"20190312172803604"</f>
        <v>20190312172803604</v>
      </c>
      <c r="B4864" t="str">
        <f>"1552382883594254"</f>
        <v>1552382883594254</v>
      </c>
      <c r="C4864" t="s">
        <v>40</v>
      </c>
      <c r="D4864">
        <v>3.016651</v>
      </c>
      <c r="E4864">
        <v>0.51449469999999997</v>
      </c>
      <c r="F4864" t="s">
        <v>43</v>
      </c>
      <c r="G4864">
        <v>-314.24149999999997</v>
      </c>
      <c r="H4864">
        <v>-0.05</v>
      </c>
      <c r="I4864">
        <v>10.568160000000001</v>
      </c>
      <c r="J4864">
        <v>-332.30489999999998</v>
      </c>
      <c r="K4864">
        <v>1.1094109999999999</v>
      </c>
      <c r="L4864">
        <v>16.66235</v>
      </c>
      <c r="M4864">
        <v>0.99928430000000001</v>
      </c>
      <c r="N4864">
        <v>0</v>
      </c>
      <c r="O4864">
        <v>3.5326040000000003E-2</v>
      </c>
      <c r="P4864">
        <v>0.94701080000000004</v>
      </c>
      <c r="Q4864">
        <v>0.1400969</v>
      </c>
      <c r="R4864">
        <v>-0.28903849999999998</v>
      </c>
      <c r="S4864">
        <v>2.8980100000000002</v>
      </c>
      <c r="T4864">
        <v>-0.18498039999999999</v>
      </c>
      <c r="U4864">
        <v>-0.97186280000000003</v>
      </c>
      <c r="V4864">
        <v>0.32261200000000001</v>
      </c>
      <c r="W4864">
        <v>0.1521188</v>
      </c>
      <c r="X4864">
        <v>0.93422760000000005</v>
      </c>
      <c r="Y4864">
        <v>0.35054190000000002</v>
      </c>
      <c r="Z4864">
        <v>-1.3075109999999999E-2</v>
      </c>
      <c r="AA4864">
        <v>0.93645579999999995</v>
      </c>
      <c r="AB4864">
        <v>20</v>
      </c>
      <c r="AC4864">
        <v>18.063400000000001</v>
      </c>
      <c r="AD4864">
        <v>-1.159411</v>
      </c>
      <c r="AE4864">
        <v>-6.0941899999999896</v>
      </c>
      <c r="AF4864">
        <v>6.7037565615576797</v>
      </c>
      <c r="AG4864">
        <v>-1.159411</v>
      </c>
      <c r="AH4864">
        <v>17.7710887237522</v>
      </c>
      <c r="AI4864">
        <v>93.493149344610103</v>
      </c>
      <c r="AJ4864">
        <v>69.332107981963603</v>
      </c>
      <c r="AK4864">
        <v>19.0288249855587</v>
      </c>
      <c r="AL4864">
        <v>81.250265160034999</v>
      </c>
      <c r="AM4864">
        <v>70.948934817697705</v>
      </c>
      <c r="AN4864">
        <v>0.99999992022959605</v>
      </c>
    </row>
    <row r="4865" spans="1:40" x14ac:dyDescent="0.25">
      <c r="A4865" t="str">
        <f>"20190312172803615"</f>
        <v>20190312172803615</v>
      </c>
      <c r="B4865" t="str">
        <f>"1552382883604014"</f>
        <v>1552382883604014</v>
      </c>
      <c r="C4865" t="s">
        <v>40</v>
      </c>
      <c r="D4865">
        <v>3.0102980000000001</v>
      </c>
      <c r="E4865">
        <v>0.51448359999999904</v>
      </c>
      <c r="F4865" t="s">
        <v>43</v>
      </c>
      <c r="G4865">
        <v>-313.94130000000001</v>
      </c>
      <c r="H4865">
        <v>-0.05</v>
      </c>
      <c r="I4865">
        <v>10.47311</v>
      </c>
      <c r="J4865">
        <v>-332.20249999999999</v>
      </c>
      <c r="K4865">
        <v>1.1094200000000001</v>
      </c>
      <c r="L4865">
        <v>16.665129999999898</v>
      </c>
      <c r="M4865">
        <v>0.9993088</v>
      </c>
      <c r="N4865">
        <v>0</v>
      </c>
      <c r="O4865">
        <v>3.4630300000000003E-2</v>
      </c>
      <c r="P4865">
        <v>0.94632210000000005</v>
      </c>
      <c r="Q4865">
        <v>0.1406549</v>
      </c>
      <c r="R4865">
        <v>-0.29101709999999997</v>
      </c>
      <c r="S4865">
        <v>2.8969420000000001</v>
      </c>
      <c r="T4865">
        <v>-0.1829016</v>
      </c>
      <c r="U4865">
        <v>-0.97637940000000001</v>
      </c>
      <c r="V4865">
        <v>0.32391249999999999</v>
      </c>
      <c r="W4865">
        <v>0.15267020000000001</v>
      </c>
      <c r="X4865">
        <v>0.93368759999999995</v>
      </c>
      <c r="Y4865">
        <v>0.351321299999999</v>
      </c>
      <c r="Z4865">
        <v>-1.2910960000000001E-2</v>
      </c>
      <c r="AA4865">
        <v>0.9361659</v>
      </c>
      <c r="AB4865">
        <v>20</v>
      </c>
      <c r="AC4865">
        <v>18.261199999999899</v>
      </c>
      <c r="AD4865">
        <v>-1.1594199999999999</v>
      </c>
      <c r="AE4865">
        <v>-6.1920199999999896</v>
      </c>
      <c r="AF4865">
        <v>6.7961829064839403</v>
      </c>
      <c r="AG4865">
        <v>-1.1594199999999999</v>
      </c>
      <c r="AH4865">
        <v>17.970821786361999</v>
      </c>
      <c r="AI4865">
        <v>93.453364186691402</v>
      </c>
      <c r="AJ4865">
        <v>69.284447222088701</v>
      </c>
      <c r="AK4865">
        <v>19.247929564292601</v>
      </c>
      <c r="AL4865">
        <v>81.218299737729694</v>
      </c>
      <c r="AM4865">
        <v>70.867448558422097</v>
      </c>
      <c r="AN4865">
        <v>1.0000000160090201</v>
      </c>
    </row>
    <row r="4866" spans="1:40" x14ac:dyDescent="0.25">
      <c r="A4866" t="str">
        <f>"20190312172803626"</f>
        <v>20190312172803626</v>
      </c>
      <c r="B4866" t="str">
        <f>"1552382883614750"</f>
        <v>1552382883614750</v>
      </c>
      <c r="C4866" t="s">
        <v>40</v>
      </c>
      <c r="D4866">
        <v>2.9941949999999999</v>
      </c>
      <c r="E4866">
        <v>0.51456459999999904</v>
      </c>
      <c r="F4866" t="s">
        <v>43</v>
      </c>
      <c r="G4866">
        <v>-313.91329999999999</v>
      </c>
      <c r="H4866">
        <v>-0.05</v>
      </c>
      <c r="I4866">
        <v>10.46049</v>
      </c>
      <c r="J4866">
        <v>-332.10199999999998</v>
      </c>
      <c r="K4866">
        <v>1.1094299999999999</v>
      </c>
      <c r="L4866">
        <v>16.667850000000001</v>
      </c>
      <c r="M4866">
        <v>0.9993322</v>
      </c>
      <c r="N4866">
        <v>0</v>
      </c>
      <c r="O4866">
        <v>3.394755E-2</v>
      </c>
      <c r="P4866">
        <v>0.94565730000000003</v>
      </c>
      <c r="Q4866">
        <v>0.14107229999999901</v>
      </c>
      <c r="R4866">
        <v>-0.29296990000000001</v>
      </c>
      <c r="S4866">
        <v>2.895416</v>
      </c>
      <c r="T4866">
        <v>-0.18355070000000001</v>
      </c>
      <c r="U4866">
        <v>-0.98226930000000001</v>
      </c>
      <c r="V4866">
        <v>0.32520100000000002</v>
      </c>
      <c r="W4866">
        <v>0.1530821</v>
      </c>
      <c r="X4866">
        <v>0.93317209999999995</v>
      </c>
      <c r="Y4866">
        <v>0.35253370000000001</v>
      </c>
      <c r="Z4866">
        <v>-1.295425E-2</v>
      </c>
      <c r="AA4866">
        <v>0.93570949999999997</v>
      </c>
      <c r="AB4866">
        <v>20</v>
      </c>
      <c r="AC4866">
        <v>18.188699999999901</v>
      </c>
      <c r="AD4866">
        <v>-1.15943</v>
      </c>
      <c r="AE4866">
        <v>-6.2073600000000004</v>
      </c>
      <c r="AF4866">
        <v>6.7965638008145701</v>
      </c>
      <c r="AG4866">
        <v>-1.15943</v>
      </c>
      <c r="AH4866">
        <v>17.902315409414101</v>
      </c>
      <c r="AI4866">
        <v>93.464894595836896</v>
      </c>
      <c r="AJ4866">
        <v>69.210874747556005</v>
      </c>
      <c r="AK4866">
        <v>19.184119850584501</v>
      </c>
      <c r="AL4866">
        <v>81.194418700021899</v>
      </c>
      <c r="AM4866">
        <v>70.7870729320354</v>
      </c>
      <c r="AN4866">
        <v>0.99999999397990902</v>
      </c>
    </row>
    <row r="4867" spans="1:40" x14ac:dyDescent="0.25">
      <c r="A4867" t="str">
        <f>"20190312172803639"</f>
        <v>20190312172803639</v>
      </c>
      <c r="B4867" t="str">
        <f>"1552382883634269"</f>
        <v>1552382883634269</v>
      </c>
      <c r="C4867" t="s">
        <v>40</v>
      </c>
      <c r="D4867">
        <v>3.0445790000000001</v>
      </c>
      <c r="E4867">
        <v>0.5147427</v>
      </c>
      <c r="F4867" t="s">
        <v>43</v>
      </c>
      <c r="G4867">
        <v>-313.92959999999999</v>
      </c>
      <c r="H4867">
        <v>-0.05</v>
      </c>
      <c r="I4867">
        <v>10.458019999999999</v>
      </c>
      <c r="J4867">
        <v>-331.99680000000001</v>
      </c>
      <c r="K4867">
        <v>1.1094440000000001</v>
      </c>
      <c r="L4867">
        <v>16.670559999999998</v>
      </c>
      <c r="M4867">
        <v>0.99935620000000003</v>
      </c>
      <c r="N4867">
        <v>0</v>
      </c>
      <c r="O4867">
        <v>3.3234899999999998E-2</v>
      </c>
      <c r="P4867">
        <v>0.94501250000000003</v>
      </c>
      <c r="Q4867">
        <v>0.14162729999999901</v>
      </c>
      <c r="R4867">
        <v>-0.2947767</v>
      </c>
      <c r="S4867">
        <v>2.8936160000000002</v>
      </c>
      <c r="T4867">
        <v>-0.18461759999999999</v>
      </c>
      <c r="U4867">
        <v>-0.98880000000000001</v>
      </c>
      <c r="V4867">
        <v>0.32631710000000003</v>
      </c>
      <c r="W4867">
        <v>0.153632399999999</v>
      </c>
      <c r="X4867">
        <v>0.93269190000000002</v>
      </c>
      <c r="Y4867">
        <v>0.35392610000000002</v>
      </c>
      <c r="Z4867">
        <v>-1.3031360000000001E-2</v>
      </c>
      <c r="AA4867">
        <v>0.93518259999999998</v>
      </c>
      <c r="AB4867">
        <v>20</v>
      </c>
      <c r="AC4867">
        <v>18.0672</v>
      </c>
      <c r="AD4867">
        <v>-1.1594439999999999</v>
      </c>
      <c r="AE4867">
        <v>-6.2125399999999997</v>
      </c>
      <c r="AF4867">
        <v>6.7846370125873898</v>
      </c>
      <c r="AG4867">
        <v>-1.1594439999999999</v>
      </c>
      <c r="AH4867">
        <v>17.7852250193503</v>
      </c>
      <c r="AI4867">
        <v>93.4855774511948</v>
      </c>
      <c r="AJ4867">
        <v>69.119346048066106</v>
      </c>
      <c r="AK4867">
        <v>19.070653863216901</v>
      </c>
      <c r="AL4867">
        <v>81.162511200424802</v>
      </c>
      <c r="AM4867">
        <v>70.716798443036694</v>
      </c>
      <c r="AN4867">
        <v>0.99999997220388903</v>
      </c>
    </row>
    <row r="4868" spans="1:40" x14ac:dyDescent="0.25">
      <c r="A4868" t="str">
        <f>"20190312172803659"</f>
        <v>20190312172803659</v>
      </c>
      <c r="B4868" t="str">
        <f>"1552382883654765"</f>
        <v>1552382883654765</v>
      </c>
      <c r="C4868" t="s">
        <v>40</v>
      </c>
      <c r="D4868">
        <v>3.0398019999999999</v>
      </c>
      <c r="E4868">
        <v>0.51477499999999998</v>
      </c>
      <c r="F4868" t="s">
        <v>43</v>
      </c>
      <c r="G4868">
        <v>-314.02789999999999</v>
      </c>
      <c r="H4868">
        <v>-0.05</v>
      </c>
      <c r="I4868">
        <v>10.485609999999999</v>
      </c>
      <c r="J4868">
        <v>-331.81020000000001</v>
      </c>
      <c r="K4868">
        <v>1.109459</v>
      </c>
      <c r="L4868">
        <v>16.675229999999999</v>
      </c>
      <c r="M4868">
        <v>0.99939730000000004</v>
      </c>
      <c r="N4868">
        <v>0</v>
      </c>
      <c r="O4868">
        <v>3.1972380000000002E-2</v>
      </c>
      <c r="P4868">
        <v>0.94391380000000003</v>
      </c>
      <c r="Q4868">
        <v>0.1421036</v>
      </c>
      <c r="R4868">
        <v>-0.29804999999999998</v>
      </c>
      <c r="S4868">
        <v>2.8920590000000002</v>
      </c>
      <c r="T4868">
        <v>-0.18661</v>
      </c>
      <c r="U4868">
        <v>-0.99545289999999997</v>
      </c>
      <c r="V4868">
        <v>0.32836939999999998</v>
      </c>
      <c r="W4868">
        <v>0.15410079999999901</v>
      </c>
      <c r="X4868">
        <v>0.93189409999999895</v>
      </c>
      <c r="Y4868">
        <v>0.35480879999999998</v>
      </c>
      <c r="Z4868">
        <v>-1.312203E-2</v>
      </c>
      <c r="AA4868">
        <v>0.93484679999999998</v>
      </c>
      <c r="AB4868">
        <v>20</v>
      </c>
      <c r="AC4868">
        <v>17.782299999999999</v>
      </c>
      <c r="AD4868">
        <v>-1.159459</v>
      </c>
      <c r="AE4868">
        <v>-6.1896199999999899</v>
      </c>
      <c r="AF4868">
        <v>6.729531052434</v>
      </c>
      <c r="AG4868">
        <v>-1.159459</v>
      </c>
      <c r="AH4868">
        <v>17.508898503569998</v>
      </c>
      <c r="AI4868">
        <v>93.537107089303404</v>
      </c>
      <c r="AJ4868">
        <v>68.975776275405707</v>
      </c>
      <c r="AK4868">
        <v>18.793415340663099</v>
      </c>
      <c r="AL4868">
        <v>81.135351258371998</v>
      </c>
      <c r="AM4868">
        <v>70.589187521541206</v>
      </c>
      <c r="AN4868">
        <v>1.0000000665158999</v>
      </c>
    </row>
    <row r="4869" spans="1:40" x14ac:dyDescent="0.25">
      <c r="A4869" t="str">
        <f>"20190312172803672"</f>
        <v>20190312172803672</v>
      </c>
      <c r="B4869" t="str">
        <f>"1552382883664525"</f>
        <v>1552382883664525</v>
      </c>
      <c r="C4869" t="s">
        <v>40</v>
      </c>
      <c r="D4869">
        <v>3.0534569999999999</v>
      </c>
      <c r="E4869">
        <v>0.51479189999999997</v>
      </c>
      <c r="F4869" t="s">
        <v>43</v>
      </c>
      <c r="G4869">
        <v>-314.03440000000001</v>
      </c>
      <c r="H4869">
        <v>-0.05</v>
      </c>
      <c r="I4869">
        <v>10.48799</v>
      </c>
      <c r="J4869">
        <v>-331.69349999999997</v>
      </c>
      <c r="K4869">
        <v>1.1094679999999999</v>
      </c>
      <c r="L4869">
        <v>16.678070000000002</v>
      </c>
      <c r="M4869">
        <v>0.99942229999999999</v>
      </c>
      <c r="N4869">
        <v>0</v>
      </c>
      <c r="O4869">
        <v>3.1185170000000002E-2</v>
      </c>
      <c r="P4869">
        <v>0.94340389999999996</v>
      </c>
      <c r="Q4869">
        <v>0.1421808</v>
      </c>
      <c r="R4869">
        <v>-0.29962309999999998</v>
      </c>
      <c r="S4869">
        <v>2.8890989999999999</v>
      </c>
      <c r="T4869">
        <v>-0.1884469</v>
      </c>
      <c r="U4869">
        <v>-1.0056149999999999</v>
      </c>
      <c r="V4869">
        <v>0.32918789999999998</v>
      </c>
      <c r="W4869">
        <v>0.15417610000000001</v>
      </c>
      <c r="X4869">
        <v>0.9315928</v>
      </c>
      <c r="Y4869">
        <v>0.3572845</v>
      </c>
      <c r="Z4869">
        <v>-1.3284799999999901E-2</v>
      </c>
      <c r="AA4869">
        <v>0.93390110000000004</v>
      </c>
      <c r="AB4869">
        <v>20</v>
      </c>
      <c r="AC4869">
        <v>17.659099999999899</v>
      </c>
      <c r="AD4869">
        <v>-1.1594679999999999</v>
      </c>
      <c r="AE4869">
        <v>-6.19008</v>
      </c>
      <c r="AF4869">
        <v>6.7120516028046504</v>
      </c>
      <c r="AG4869">
        <v>-1.1594679999999999</v>
      </c>
      <c r="AH4869">
        <v>17.390685429918602</v>
      </c>
      <c r="AI4869">
        <v>93.559201915702005</v>
      </c>
      <c r="AJ4869">
        <v>68.895570814214295</v>
      </c>
      <c r="AK4869">
        <v>18.677043194363499</v>
      </c>
      <c r="AL4869">
        <v>81.130984503062507</v>
      </c>
      <c r="AM4869">
        <v>70.538614602429604</v>
      </c>
      <c r="AN4869">
        <v>1.0000000441647201</v>
      </c>
    </row>
    <row r="4870" spans="1:40" x14ac:dyDescent="0.25">
      <c r="A4870" t="str">
        <f>"20190312172803691"</f>
        <v>20190312172803691</v>
      </c>
      <c r="B4870" t="str">
        <f>"1552382883684597"</f>
        <v>1552382883684597</v>
      </c>
      <c r="C4870" t="s">
        <v>40</v>
      </c>
      <c r="D4870">
        <v>3.033709</v>
      </c>
      <c r="E4870">
        <v>0.51480539999999997</v>
      </c>
      <c r="F4870" t="s">
        <v>43</v>
      </c>
      <c r="G4870">
        <v>-314.02690000000001</v>
      </c>
      <c r="H4870">
        <v>-0.05</v>
      </c>
      <c r="I4870">
        <v>10.493880000000001</v>
      </c>
      <c r="J4870">
        <v>-331.51609999999999</v>
      </c>
      <c r="K4870">
        <v>1.1094790000000001</v>
      </c>
      <c r="L4870">
        <v>16.68216</v>
      </c>
      <c r="M4870">
        <v>0.99945890000000004</v>
      </c>
      <c r="N4870">
        <v>0</v>
      </c>
      <c r="O4870">
        <v>2.9989660000000001E-2</v>
      </c>
      <c r="P4870">
        <v>0.9425907</v>
      </c>
      <c r="Q4870">
        <v>0.1422042</v>
      </c>
      <c r="R4870">
        <v>-0.30216100000000001</v>
      </c>
      <c r="S4870">
        <v>2.8875120000000001</v>
      </c>
      <c r="T4870">
        <v>-0.1895087</v>
      </c>
      <c r="U4870">
        <v>-1.0107729999999999</v>
      </c>
      <c r="V4870">
        <v>0.33058009999999999</v>
      </c>
      <c r="W4870">
        <v>0.15419550000000001</v>
      </c>
      <c r="X4870">
        <v>0.93109640000000005</v>
      </c>
      <c r="Y4870">
        <v>0.35780640000000002</v>
      </c>
      <c r="Z4870">
        <v>-1.3302949999999999E-2</v>
      </c>
      <c r="AA4870">
        <v>0.933701</v>
      </c>
      <c r="AB4870">
        <v>20</v>
      </c>
      <c r="AC4870">
        <v>17.489199999999901</v>
      </c>
      <c r="AD4870">
        <v>-1.1594789999999999</v>
      </c>
      <c r="AE4870">
        <v>-6.18827999999999</v>
      </c>
      <c r="AF4870">
        <v>6.6839301963041402</v>
      </c>
      <c r="AG4870">
        <v>-1.1594789999999999</v>
      </c>
      <c r="AH4870">
        <v>17.228432686601899</v>
      </c>
      <c r="AI4870">
        <v>93.590253864643898</v>
      </c>
      <c r="AJ4870">
        <v>68.795775126770295</v>
      </c>
      <c r="AK4870">
        <v>18.5158906687548</v>
      </c>
      <c r="AL4870">
        <v>81.129858942170699</v>
      </c>
      <c r="AM4870">
        <v>70.452903774132807</v>
      </c>
      <c r="AN4870">
        <v>0.99999998041460902</v>
      </c>
    </row>
    <row r="4871" spans="1:40" x14ac:dyDescent="0.25">
      <c r="A4871" t="str">
        <f>"20190312172803703"</f>
        <v>20190312172803703</v>
      </c>
      <c r="B4871" t="str">
        <f>"1552382883694343"</f>
        <v>1552382883694343</v>
      </c>
      <c r="C4871" t="s">
        <v>40</v>
      </c>
      <c r="D4871">
        <v>3.0384660000000001</v>
      </c>
      <c r="E4871">
        <v>0.51483979999999996</v>
      </c>
      <c r="F4871" t="s">
        <v>43</v>
      </c>
      <c r="G4871">
        <v>-314.13</v>
      </c>
      <c r="H4871">
        <v>-0.05</v>
      </c>
      <c r="I4871">
        <v>10.54102</v>
      </c>
      <c r="J4871">
        <v>-331.41660000000002</v>
      </c>
      <c r="K4871">
        <v>1.1094839999999999</v>
      </c>
      <c r="L4871">
        <v>16.684360000000002</v>
      </c>
      <c r="M4871">
        <v>0.99947870000000005</v>
      </c>
      <c r="N4871">
        <v>0</v>
      </c>
      <c r="O4871">
        <v>2.9320720000000002E-2</v>
      </c>
      <c r="P4871">
        <v>0.94214489999999995</v>
      </c>
      <c r="Q4871">
        <v>0.14195920000000001</v>
      </c>
      <c r="R4871">
        <v>-0.3036625</v>
      </c>
      <c r="S4871">
        <v>2.8850709999999999</v>
      </c>
      <c r="T4871">
        <v>-0.19240579999999999</v>
      </c>
      <c r="U4871">
        <v>-1.0190729999999999</v>
      </c>
      <c r="V4871">
        <v>0.33144129999999999</v>
      </c>
      <c r="W4871">
        <v>0.15394769999999999</v>
      </c>
      <c r="X4871">
        <v>0.93083119999999997</v>
      </c>
      <c r="Y4871">
        <v>0.3597919</v>
      </c>
      <c r="Z4871">
        <v>-1.353129E-2</v>
      </c>
      <c r="AA4871">
        <v>0.9329345</v>
      </c>
      <c r="AB4871">
        <v>20</v>
      </c>
      <c r="AC4871">
        <v>17.2866</v>
      </c>
      <c r="AD4871">
        <v>-1.159484</v>
      </c>
      <c r="AE4871">
        <v>-6.1433400000000002</v>
      </c>
      <c r="AF4871">
        <v>6.6211521582864998</v>
      </c>
      <c r="AG4871">
        <v>-1.159484</v>
      </c>
      <c r="AH4871">
        <v>17.030993183761801</v>
      </c>
      <c r="AI4871">
        <v>93.630788603038994</v>
      </c>
      <c r="AJ4871">
        <v>68.755373898269596</v>
      </c>
      <c r="AK4871">
        <v>18.309527243344601</v>
      </c>
      <c r="AL4871">
        <v>81.144228375810698</v>
      </c>
      <c r="AM4871">
        <v>70.400698186400106</v>
      </c>
      <c r="AN4871">
        <v>0.99999997628720905</v>
      </c>
    </row>
    <row r="4872" spans="1:40" x14ac:dyDescent="0.25">
      <c r="A4872" t="str">
        <f>"20190312172803713"</f>
        <v>20190312172803713</v>
      </c>
      <c r="B4872" t="str">
        <f>"1552382883704103"</f>
        <v>1552382883704103</v>
      </c>
      <c r="C4872" t="s">
        <v>40</v>
      </c>
      <c r="D4872">
        <v>3.0306989999999998</v>
      </c>
      <c r="E4872">
        <v>0.51484609999999997</v>
      </c>
      <c r="F4872" t="s">
        <v>43</v>
      </c>
      <c r="G4872">
        <v>-314.21409999999997</v>
      </c>
      <c r="H4872">
        <v>-0.05</v>
      </c>
      <c r="I4872">
        <v>10.57597</v>
      </c>
      <c r="J4872">
        <v>-331.3218</v>
      </c>
      <c r="K4872">
        <v>1.1094869999999999</v>
      </c>
      <c r="L4872">
        <v>16.686399999999999</v>
      </c>
      <c r="M4872">
        <v>0.99949719999999997</v>
      </c>
      <c r="N4872">
        <v>0</v>
      </c>
      <c r="O4872">
        <v>2.868358E-2</v>
      </c>
      <c r="P4872">
        <v>0.9417027</v>
      </c>
      <c r="Q4872">
        <v>0.1415139</v>
      </c>
      <c r="R4872">
        <v>-0.30523739999999999</v>
      </c>
      <c r="S4872">
        <v>2.8835139999999999</v>
      </c>
      <c r="T4872">
        <v>-0.19435450000000001</v>
      </c>
      <c r="U4872">
        <v>-1.023895</v>
      </c>
      <c r="V4872">
        <v>0.33240609999999998</v>
      </c>
      <c r="W4872">
        <v>0.1534991</v>
      </c>
      <c r="X4872">
        <v>0.93056119999999998</v>
      </c>
      <c r="Y4872">
        <v>0.36072480000000001</v>
      </c>
      <c r="Z4872">
        <v>-1.366007E-2</v>
      </c>
      <c r="AA4872">
        <v>0.93257219999999996</v>
      </c>
      <c r="AB4872">
        <v>20</v>
      </c>
      <c r="AC4872">
        <v>17.107700000000001</v>
      </c>
      <c r="AD4872">
        <v>-1.1594869999999999</v>
      </c>
      <c r="AE4872">
        <v>-6.1104299999999903</v>
      </c>
      <c r="AF4872">
        <v>6.5718974011385303</v>
      </c>
      <c r="AG4872">
        <v>-1.1594869999999999</v>
      </c>
      <c r="AH4872">
        <v>16.856703127998902</v>
      </c>
      <c r="AI4872">
        <v>93.666879286257597</v>
      </c>
      <c r="AJ4872">
        <v>68.700756857953905</v>
      </c>
      <c r="AK4872">
        <v>18.129607990790799</v>
      </c>
      <c r="AL4872">
        <v>81.170240371008504</v>
      </c>
      <c r="AM4872">
        <v>70.342745969516301</v>
      </c>
      <c r="AN4872">
        <v>0.99999996798172897</v>
      </c>
    </row>
    <row r="4873" spans="1:40" x14ac:dyDescent="0.25">
      <c r="A4873" t="str">
        <f>"20190312172803725"</f>
        <v>20190312172803725</v>
      </c>
      <c r="B4873" t="str">
        <f>"1552382883713864"</f>
        <v>1552382883713864</v>
      </c>
      <c r="C4873" t="s">
        <v>40</v>
      </c>
      <c r="D4873">
        <v>3.0258769999999999</v>
      </c>
      <c r="E4873">
        <v>0.51482249999999996</v>
      </c>
      <c r="F4873" t="s">
        <v>43</v>
      </c>
      <c r="G4873">
        <v>-314.3802</v>
      </c>
      <c r="H4873">
        <v>-0.05</v>
      </c>
      <c r="I4873">
        <v>10.63818</v>
      </c>
      <c r="J4873">
        <v>-331.21660000000003</v>
      </c>
      <c r="K4873">
        <v>1.109486</v>
      </c>
      <c r="L4873">
        <v>16.688600000000001</v>
      </c>
      <c r="M4873">
        <v>0.99951730000000005</v>
      </c>
      <c r="N4873">
        <v>0</v>
      </c>
      <c r="O4873">
        <v>2.7975940000000001E-2</v>
      </c>
      <c r="P4873">
        <v>0.94121379999999999</v>
      </c>
      <c r="Q4873">
        <v>0.1409157</v>
      </c>
      <c r="R4873">
        <v>-0.3070176</v>
      </c>
      <c r="S4873">
        <v>2.881866</v>
      </c>
      <c r="T4873">
        <v>-0.1972352</v>
      </c>
      <c r="U4873">
        <v>-1.0288389999999901</v>
      </c>
      <c r="V4873">
        <v>0.3335091</v>
      </c>
      <c r="W4873">
        <v>0.15289639999999999</v>
      </c>
      <c r="X4873">
        <v>0.93026580000000003</v>
      </c>
      <c r="Y4873">
        <v>0.36162830000000001</v>
      </c>
      <c r="Z4873">
        <v>-1.3848640000000001E-2</v>
      </c>
      <c r="AA4873">
        <v>0.93221949999999998</v>
      </c>
      <c r="AB4873">
        <v>20</v>
      </c>
      <c r="AC4873">
        <v>16.836400000000001</v>
      </c>
      <c r="AD4873">
        <v>-1.159486</v>
      </c>
      <c r="AE4873">
        <v>-6.0504199999999999</v>
      </c>
      <c r="AF4873">
        <v>6.4918406465369101</v>
      </c>
      <c r="AG4873">
        <v>-1.159486</v>
      </c>
      <c r="AH4873">
        <v>16.5908403366474</v>
      </c>
      <c r="AI4873">
        <v>93.723682460114105</v>
      </c>
      <c r="AJ4873">
        <v>68.630058504867606</v>
      </c>
      <c r="AK4873">
        <v>17.853413842745901</v>
      </c>
      <c r="AL4873">
        <v>81.205185713507703</v>
      </c>
      <c r="AM4873">
        <v>70.276762410493205</v>
      </c>
      <c r="AN4873">
        <v>1.0000000437826999</v>
      </c>
    </row>
    <row r="4874" spans="1:40" x14ac:dyDescent="0.25">
      <c r="A4874" t="str">
        <f>"20190312172803736"</f>
        <v>20190312172803736</v>
      </c>
      <c r="B4874" t="str">
        <f>"1552382883724600"</f>
        <v>1552382883724600</v>
      </c>
      <c r="C4874" t="s">
        <v>40</v>
      </c>
      <c r="D4874">
        <v>3.0447950000000001</v>
      </c>
      <c r="E4874">
        <v>0.51481579999999905</v>
      </c>
      <c r="F4874" t="s">
        <v>43</v>
      </c>
      <c r="G4874">
        <v>-314.55739999999997</v>
      </c>
      <c r="H4874">
        <v>-0.05</v>
      </c>
      <c r="I4874">
        <v>10.70947</v>
      </c>
      <c r="J4874">
        <v>-331.12299999999999</v>
      </c>
      <c r="K4874">
        <v>1.1094850000000001</v>
      </c>
      <c r="L4874">
        <v>16.69049</v>
      </c>
      <c r="M4874">
        <v>0.9995347</v>
      </c>
      <c r="N4874">
        <v>0</v>
      </c>
      <c r="O4874">
        <v>2.7347610000000001E-2</v>
      </c>
      <c r="P4874">
        <v>0.94096570000000002</v>
      </c>
      <c r="Q4874">
        <v>0.13963599999999901</v>
      </c>
      <c r="R4874">
        <v>-0.30835879999999999</v>
      </c>
      <c r="S4874">
        <v>2.880188</v>
      </c>
      <c r="T4874">
        <v>-0.2004621</v>
      </c>
      <c r="U4874">
        <v>-1.033722</v>
      </c>
      <c r="V4874">
        <v>0.33425389999999999</v>
      </c>
      <c r="W4874">
        <v>0.15161549999999999</v>
      </c>
      <c r="X4874">
        <v>0.93020809999999998</v>
      </c>
      <c r="Y4874">
        <v>0.3625874</v>
      </c>
      <c r="Z4874">
        <v>-1.406842E-2</v>
      </c>
      <c r="AA4874">
        <v>0.93184359999999999</v>
      </c>
      <c r="AB4874">
        <v>20</v>
      </c>
      <c r="AC4874">
        <v>16.5656</v>
      </c>
      <c r="AD4874">
        <v>-1.1594850000000001</v>
      </c>
      <c r="AE4874">
        <v>-5.98102</v>
      </c>
      <c r="AF4874">
        <v>6.4040974333377498</v>
      </c>
      <c r="AG4874">
        <v>-1.1594850000000001</v>
      </c>
      <c r="AH4874">
        <v>16.325066881108398</v>
      </c>
      <c r="AI4874">
        <v>93.782850777014005</v>
      </c>
      <c r="AJ4874">
        <v>68.580611160211205</v>
      </c>
      <c r="AK4874">
        <v>17.574546312026701</v>
      </c>
      <c r="AL4874">
        <v>81.2794414078313</v>
      </c>
      <c r="AM4874">
        <v>70.234993472863707</v>
      </c>
      <c r="AN4874">
        <v>1.0000000194055301</v>
      </c>
    </row>
    <row r="4875" spans="1:40" x14ac:dyDescent="0.25">
      <c r="A4875" t="str">
        <f>"20190312172803749"</f>
        <v>20190312172803749</v>
      </c>
      <c r="B4875" t="str">
        <f>"1552382883744119"</f>
        <v>1552382883744119</v>
      </c>
      <c r="C4875" t="s">
        <v>40</v>
      </c>
      <c r="D4875">
        <v>3.0481699999999998</v>
      </c>
      <c r="E4875">
        <v>0.51480979999999998</v>
      </c>
      <c r="F4875" t="s">
        <v>43</v>
      </c>
      <c r="G4875">
        <v>-314.8947</v>
      </c>
      <c r="H4875">
        <v>-0.05</v>
      </c>
      <c r="I4875">
        <v>10.84215</v>
      </c>
      <c r="J4875">
        <v>-331.00450000000001</v>
      </c>
      <c r="K4875">
        <v>1.1094809999999999</v>
      </c>
      <c r="L4875">
        <v>16.692810000000001</v>
      </c>
      <c r="M4875">
        <v>0.99955609999999995</v>
      </c>
      <c r="N4875">
        <v>0</v>
      </c>
      <c r="O4875">
        <v>2.6551990000000001E-2</v>
      </c>
      <c r="P4875">
        <v>0.94062630000000003</v>
      </c>
      <c r="Q4875">
        <v>0.13864019999999999</v>
      </c>
      <c r="R4875">
        <v>-0.30984070000000002</v>
      </c>
      <c r="S4875">
        <v>2.8787539999999998</v>
      </c>
      <c r="T4875">
        <v>-0.20568239999999999</v>
      </c>
      <c r="U4875">
        <v>-1.037445</v>
      </c>
      <c r="V4875">
        <v>0.33498109999999998</v>
      </c>
      <c r="W4875">
        <v>0.1506181</v>
      </c>
      <c r="X4875">
        <v>0.9301085</v>
      </c>
      <c r="Y4875">
        <v>0.36301689999999998</v>
      </c>
      <c r="Z4875">
        <v>-1.439734E-2</v>
      </c>
      <c r="AA4875">
        <v>0.93167129999999998</v>
      </c>
      <c r="AB4875">
        <v>20</v>
      </c>
      <c r="AC4875">
        <v>16.1098</v>
      </c>
      <c r="AD4875">
        <v>-1.159481</v>
      </c>
      <c r="AE4875">
        <v>-5.8506600000000004</v>
      </c>
      <c r="AF4875">
        <v>6.2477896978757403</v>
      </c>
      <c r="AG4875">
        <v>-1.159481</v>
      </c>
      <c r="AH4875">
        <v>15.876100156846499</v>
      </c>
      <c r="AI4875">
        <v>93.887843388414197</v>
      </c>
      <c r="AJ4875">
        <v>68.518661389579606</v>
      </c>
      <c r="AK4875">
        <v>17.100579770536001</v>
      </c>
      <c r="AL4875">
        <v>81.337251827785096</v>
      </c>
      <c r="AM4875">
        <v>70.193378066969302</v>
      </c>
      <c r="AN4875">
        <v>0.99999998558853498</v>
      </c>
    </row>
    <row r="4876" spans="1:40" x14ac:dyDescent="0.25">
      <c r="A4876" t="str">
        <f>"20190312172803760"</f>
        <v>20190312172803760</v>
      </c>
      <c r="B4876" t="str">
        <f>"1552382883753879"</f>
        <v>1552382883753879</v>
      </c>
      <c r="C4876" t="s">
        <v>40</v>
      </c>
      <c r="D4876">
        <v>3.0446900000000001</v>
      </c>
      <c r="E4876">
        <v>0.51480979999999998</v>
      </c>
      <c r="F4876" t="s">
        <v>43</v>
      </c>
      <c r="G4876">
        <v>-315.21289999999999</v>
      </c>
      <c r="H4876">
        <v>-0.05</v>
      </c>
      <c r="I4876">
        <v>10.978759999999999</v>
      </c>
      <c r="J4876">
        <v>-330.8974</v>
      </c>
      <c r="K4876">
        <v>1.1094790000000001</v>
      </c>
      <c r="L4876">
        <v>16.694790000000001</v>
      </c>
      <c r="M4876">
        <v>0.99957499999999999</v>
      </c>
      <c r="N4876">
        <v>0</v>
      </c>
      <c r="O4876">
        <v>2.5832580000000001E-2</v>
      </c>
      <c r="P4876">
        <v>0.94028690000000004</v>
      </c>
      <c r="Q4876">
        <v>0.13768639999999999</v>
      </c>
      <c r="R4876">
        <v>-0.31129250000000003</v>
      </c>
      <c r="S4876">
        <v>2.8775940000000002</v>
      </c>
      <c r="T4876">
        <v>-0.21128359999999999</v>
      </c>
      <c r="U4876">
        <v>-1.041229</v>
      </c>
      <c r="V4876">
        <v>0.3357504</v>
      </c>
      <c r="W4876">
        <v>0.14966199999999999</v>
      </c>
      <c r="X4876">
        <v>0.92998550000000002</v>
      </c>
      <c r="Y4876">
        <v>0.36350179999999999</v>
      </c>
      <c r="Z4876">
        <v>-1.475686E-2</v>
      </c>
      <c r="AA4876">
        <v>0.93147659999999999</v>
      </c>
      <c r="AB4876">
        <v>20</v>
      </c>
      <c r="AC4876">
        <v>15.6845</v>
      </c>
      <c r="AD4876">
        <v>-1.1594789999999999</v>
      </c>
      <c r="AE4876">
        <v>-5.7160299999999999</v>
      </c>
      <c r="AF4876">
        <v>6.0899510479877303</v>
      </c>
      <c r="AG4876">
        <v>-1.1594789999999999</v>
      </c>
      <c r="AH4876">
        <v>15.457023800971101</v>
      </c>
      <c r="AI4876">
        <v>93.992287018380296</v>
      </c>
      <c r="AJ4876">
        <v>68.495933024276098</v>
      </c>
      <c r="AK4876">
        <v>16.653872825925902</v>
      </c>
      <c r="AL4876">
        <v>81.392660848889804</v>
      </c>
      <c r="AM4876">
        <v>70.149020411279096</v>
      </c>
      <c r="AN4876">
        <v>1.0000000377772</v>
      </c>
    </row>
    <row r="4877" spans="1:40" x14ac:dyDescent="0.25">
      <c r="A4877" t="str">
        <f>"20190312172803773"</f>
        <v>20190312172803773</v>
      </c>
      <c r="B4877" t="str">
        <f>"1552382883764615"</f>
        <v>1552382883764615</v>
      </c>
      <c r="C4877" t="s">
        <v>40</v>
      </c>
      <c r="D4877">
        <v>3.069458</v>
      </c>
      <c r="E4877">
        <v>0.51714189999999904</v>
      </c>
      <c r="F4877" t="s">
        <v>43</v>
      </c>
      <c r="G4877">
        <v>-315.33580000000001</v>
      </c>
      <c r="H4877">
        <v>-0.05</v>
      </c>
      <c r="I4877">
        <v>11.040150000000001</v>
      </c>
      <c r="J4877">
        <v>-330.78989999999999</v>
      </c>
      <c r="K4877">
        <v>1.1094790000000001</v>
      </c>
      <c r="L4877">
        <v>16.696750000000002</v>
      </c>
      <c r="M4877">
        <v>0.99959339999999997</v>
      </c>
      <c r="N4877">
        <v>0</v>
      </c>
      <c r="O4877">
        <v>2.5110540000000001E-2</v>
      </c>
      <c r="P4877">
        <v>0.93987949999999998</v>
      </c>
      <c r="Q4877">
        <v>0.136979399999999</v>
      </c>
      <c r="R4877">
        <v>-0.31283050000000001</v>
      </c>
      <c r="S4877">
        <v>2.8758849999999998</v>
      </c>
      <c r="T4877">
        <v>-0.214278</v>
      </c>
      <c r="U4877">
        <v>-1.045013</v>
      </c>
      <c r="V4877">
        <v>0.33660259999999997</v>
      </c>
      <c r="W4877">
        <v>0.148951</v>
      </c>
      <c r="X4877">
        <v>0.92979149999999999</v>
      </c>
      <c r="Y4877">
        <v>0.36406280000000002</v>
      </c>
      <c r="Z4877">
        <v>-1.493864E-2</v>
      </c>
      <c r="AA4877">
        <v>0.93125460000000004</v>
      </c>
      <c r="AB4877">
        <v>20</v>
      </c>
      <c r="AC4877">
        <v>15.454099999999899</v>
      </c>
      <c r="AD4877">
        <v>-1.1594789999999999</v>
      </c>
      <c r="AE4877">
        <v>-5.6566000000000001</v>
      </c>
      <c r="AF4877">
        <v>6.0130631899560596</v>
      </c>
      <c r="AG4877">
        <v>-1.1594789999999999</v>
      </c>
      <c r="AH4877">
        <v>15.231562870192899</v>
      </c>
      <c r="AI4877">
        <v>94.050106086839406</v>
      </c>
      <c r="AJ4877">
        <v>68.457057840574905</v>
      </c>
      <c r="AK4877">
        <v>16.4165108335018</v>
      </c>
      <c r="AL4877">
        <v>81.433859382891598</v>
      </c>
      <c r="AM4877">
        <v>70.098759126036995</v>
      </c>
      <c r="AN4877">
        <v>0.99999997210000402</v>
      </c>
    </row>
    <row r="4878" spans="1:40" x14ac:dyDescent="0.25">
      <c r="A4878" t="str">
        <f>"20190312172803786"</f>
        <v>20190312172803786</v>
      </c>
      <c r="B4878" t="str">
        <f>"1552382883774375"</f>
        <v>1552382883774375</v>
      </c>
      <c r="C4878" t="s">
        <v>40</v>
      </c>
      <c r="D4878">
        <v>3.046478</v>
      </c>
      <c r="E4878">
        <v>0.51659149999999998</v>
      </c>
      <c r="F4878" t="s">
        <v>43</v>
      </c>
      <c r="G4878">
        <v>-317.36810000000003</v>
      </c>
      <c r="H4878">
        <v>-0.05</v>
      </c>
      <c r="I4878">
        <v>11.712429999999999</v>
      </c>
      <c r="J4878">
        <v>-330.68099999999998</v>
      </c>
      <c r="K4878">
        <v>1.1094820000000001</v>
      </c>
      <c r="L4878">
        <v>16.698640000000001</v>
      </c>
      <c r="M4878">
        <v>0.99961160000000004</v>
      </c>
      <c r="N4878">
        <v>0</v>
      </c>
      <c r="O4878">
        <v>2.4378250000000001E-2</v>
      </c>
      <c r="P4878">
        <v>0.9394941</v>
      </c>
      <c r="Q4878">
        <v>0.1365981</v>
      </c>
      <c r="R4878">
        <v>-0.31415279999999901</v>
      </c>
      <c r="S4878">
        <v>2.8729550000000001</v>
      </c>
      <c r="T4878">
        <v>-0.24818670000000001</v>
      </c>
      <c r="U4878">
        <v>-1.0668949999999999</v>
      </c>
      <c r="V4878">
        <v>0.33723109999999901</v>
      </c>
      <c r="W4878">
        <v>0.14856620000000001</v>
      </c>
      <c r="X4878">
        <v>0.92962529999999999</v>
      </c>
      <c r="Y4878">
        <v>0.36958750000000001</v>
      </c>
      <c r="Z4878">
        <v>-1.745915E-2</v>
      </c>
      <c r="AA4878">
        <v>0.92903190000000002</v>
      </c>
      <c r="AB4878">
        <v>20</v>
      </c>
      <c r="AC4878">
        <v>13.3128999999999</v>
      </c>
      <c r="AD4878">
        <v>-1.1594819999999999</v>
      </c>
      <c r="AE4878">
        <v>-4.9862099999999998</v>
      </c>
      <c r="AF4878">
        <v>5.2742170373413302</v>
      </c>
      <c r="AG4878">
        <v>-1.1594819999999999</v>
      </c>
      <c r="AH4878">
        <v>13.1002300810053</v>
      </c>
      <c r="AI4878">
        <v>94.693692887676306</v>
      </c>
      <c r="AJ4878">
        <v>68.070041785106795</v>
      </c>
      <c r="AK4878">
        <v>14.169608041176801</v>
      </c>
      <c r="AL4878">
        <v>81.456154803993101</v>
      </c>
      <c r="AM4878">
        <v>70.061241406011106</v>
      </c>
      <c r="AN4878">
        <v>0.99999996449486905</v>
      </c>
    </row>
    <row r="4879" spans="1:40" x14ac:dyDescent="0.25">
      <c r="A4879" t="str">
        <f>"20190312172803803"</f>
        <v>20190312172803803</v>
      </c>
      <c r="B4879" t="str">
        <f>"1552382883794871"</f>
        <v>1552382883794871</v>
      </c>
      <c r="C4879" t="s">
        <v>40</v>
      </c>
      <c r="D4879">
        <v>3.0770930000000001</v>
      </c>
      <c r="E4879">
        <v>0.51624459999999905</v>
      </c>
      <c r="F4879" t="s">
        <v>43</v>
      </c>
      <c r="G4879">
        <v>-317.17689999999999</v>
      </c>
      <c r="H4879">
        <v>-0.05</v>
      </c>
      <c r="I4879">
        <v>11.685269999999999</v>
      </c>
      <c r="J4879">
        <v>-330.52980000000002</v>
      </c>
      <c r="K4879">
        <v>1.1094809999999999</v>
      </c>
      <c r="L4879">
        <v>16.70111</v>
      </c>
      <c r="M4879">
        <v>0.99963579999999996</v>
      </c>
      <c r="N4879">
        <v>0</v>
      </c>
      <c r="O4879">
        <v>2.3361369999999999E-2</v>
      </c>
      <c r="P4879">
        <v>0.93867140000000004</v>
      </c>
      <c r="Q4879">
        <v>0.13586129999999999</v>
      </c>
      <c r="R4879">
        <v>-0.31691940000000002</v>
      </c>
      <c r="S4879">
        <v>2.8724980000000002</v>
      </c>
      <c r="T4879">
        <v>-0.24663669999999999</v>
      </c>
      <c r="U4879">
        <v>-1.066406</v>
      </c>
      <c r="V4879">
        <v>0.33902779999999999</v>
      </c>
      <c r="W4879">
        <v>0.1478188</v>
      </c>
      <c r="X4879">
        <v>0.92909079999999999</v>
      </c>
      <c r="Y4879">
        <v>0.36857440000000002</v>
      </c>
      <c r="Z4879">
        <v>-1.7227010000000001E-2</v>
      </c>
      <c r="AA4879">
        <v>0.9294386</v>
      </c>
      <c r="AB4879">
        <v>20</v>
      </c>
      <c r="AC4879">
        <v>13.3529</v>
      </c>
      <c r="AD4879">
        <v>-1.159481</v>
      </c>
      <c r="AE4879">
        <v>-5.0158399999999999</v>
      </c>
      <c r="AF4879">
        <v>5.2914767992642604</v>
      </c>
      <c r="AG4879">
        <v>-1.159481</v>
      </c>
      <c r="AH4879">
        <v>13.145207777181399</v>
      </c>
      <c r="AI4879">
        <v>94.677804436385003</v>
      </c>
      <c r="AJ4879">
        <v>68.073224269674895</v>
      </c>
      <c r="AK4879">
        <v>14.2176162000451</v>
      </c>
      <c r="AL4879">
        <v>81.499455917449694</v>
      </c>
      <c r="AM4879">
        <v>69.952834303909398</v>
      </c>
      <c r="AN4879">
        <v>0.99999998072545904</v>
      </c>
    </row>
    <row r="4880" spans="1:40" x14ac:dyDescent="0.25">
      <c r="A4880" t="str">
        <f>"20190312172803814"</f>
        <v>20190312172803814</v>
      </c>
      <c r="B4880" t="str">
        <f>"1552382883804632"</f>
        <v>1552382883804632</v>
      </c>
      <c r="C4880" t="s">
        <v>40</v>
      </c>
      <c r="D4880">
        <v>3.0859519999999998</v>
      </c>
      <c r="E4880">
        <v>0.51630129999999996</v>
      </c>
      <c r="F4880" t="s">
        <v>43</v>
      </c>
      <c r="G4880">
        <v>-316.90750000000003</v>
      </c>
      <c r="H4880">
        <v>-0.05</v>
      </c>
      <c r="I4880">
        <v>11.612869999999999</v>
      </c>
      <c r="J4880">
        <v>-330.42439999999999</v>
      </c>
      <c r="K4880">
        <v>1.1094839999999999</v>
      </c>
      <c r="L4880">
        <v>16.702760000000001</v>
      </c>
      <c r="M4880">
        <v>0.99965210000000004</v>
      </c>
      <c r="N4880">
        <v>0</v>
      </c>
      <c r="O4880">
        <v>2.2652740000000001E-2</v>
      </c>
      <c r="P4880">
        <v>0.93819529999999995</v>
      </c>
      <c r="Q4880">
        <v>0.13575409999999999</v>
      </c>
      <c r="R4880">
        <v>-0.31837169999999998</v>
      </c>
      <c r="S4880">
        <v>2.8694459999999999</v>
      </c>
      <c r="T4880">
        <v>-0.2442378</v>
      </c>
      <c r="U4880">
        <v>-1.0718080000000001</v>
      </c>
      <c r="V4880">
        <v>0.33980830000000001</v>
      </c>
      <c r="W4880">
        <v>0.14770649999999999</v>
      </c>
      <c r="X4880">
        <v>0.92882350000000002</v>
      </c>
      <c r="Y4880">
        <v>0.36979580000000001</v>
      </c>
      <c r="Z4880">
        <v>-1.7063399999999999E-2</v>
      </c>
      <c r="AA4880">
        <v>0.92895629999999996</v>
      </c>
      <c r="AB4880">
        <v>20</v>
      </c>
      <c r="AC4880">
        <v>13.5168999999999</v>
      </c>
      <c r="AD4880">
        <v>-1.159484</v>
      </c>
      <c r="AE4880">
        <v>-5.0898899999999996</v>
      </c>
      <c r="AF4880">
        <v>5.3602624026172103</v>
      </c>
      <c r="AG4880">
        <v>-1.159484</v>
      </c>
      <c r="AH4880">
        <v>13.312329504442999</v>
      </c>
      <c r="AI4880">
        <v>94.619166350492904</v>
      </c>
      <c r="AJ4880">
        <v>68.0676230001053</v>
      </c>
      <c r="AK4880">
        <v>14.397740552115501</v>
      </c>
      <c r="AL4880">
        <v>81.505961748933004</v>
      </c>
      <c r="AM4880">
        <v>69.905050384693695</v>
      </c>
      <c r="AN4880">
        <v>0.99999999252169502</v>
      </c>
    </row>
    <row r="4881" spans="1:40" x14ac:dyDescent="0.25">
      <c r="A4881" t="str">
        <f>"20190312172803826"</f>
        <v>20190312172803826</v>
      </c>
      <c r="B4881" t="str">
        <f>"1552382883814391"</f>
        <v>1552382883814391</v>
      </c>
      <c r="C4881" t="s">
        <v>40</v>
      </c>
      <c r="D4881">
        <v>3.076981</v>
      </c>
      <c r="E4881">
        <v>0.5166598</v>
      </c>
      <c r="F4881" t="s">
        <v>43</v>
      </c>
      <c r="G4881">
        <v>-316.76990000000001</v>
      </c>
      <c r="H4881">
        <v>-0.05</v>
      </c>
      <c r="I4881">
        <v>11.57686</v>
      </c>
      <c r="J4881">
        <v>-330.32380000000001</v>
      </c>
      <c r="K4881">
        <v>1.109486</v>
      </c>
      <c r="L4881">
        <v>16.704249999999998</v>
      </c>
      <c r="M4881">
        <v>0.99966739999999998</v>
      </c>
      <c r="N4881">
        <v>0</v>
      </c>
      <c r="O4881">
        <v>2.1975209999999998E-2</v>
      </c>
      <c r="P4881">
        <v>0.93765430000000005</v>
      </c>
      <c r="Q4881">
        <v>0.13581070000000001</v>
      </c>
      <c r="R4881">
        <v>-0.31993779999999999</v>
      </c>
      <c r="S4881">
        <v>2.8675540000000002</v>
      </c>
      <c r="T4881">
        <v>-0.24349999999999999</v>
      </c>
      <c r="U4881">
        <v>-1.0764769999999999</v>
      </c>
      <c r="V4881">
        <v>0.3407308</v>
      </c>
      <c r="W4881">
        <v>0.14775750000000001</v>
      </c>
      <c r="X4881">
        <v>0.92847729999999995</v>
      </c>
      <c r="Y4881">
        <v>0.37069990000000003</v>
      </c>
      <c r="Z4881">
        <v>-1.6999239999999999E-2</v>
      </c>
      <c r="AA4881">
        <v>0.92859720000000001</v>
      </c>
      <c r="AB4881">
        <v>20</v>
      </c>
      <c r="AC4881">
        <v>13.553900000000001</v>
      </c>
      <c r="AD4881">
        <v>-1.159486</v>
      </c>
      <c r="AE4881">
        <v>-5.1273899999999903</v>
      </c>
      <c r="AF4881">
        <v>5.3895248266204501</v>
      </c>
      <c r="AG4881">
        <v>-1.159486</v>
      </c>
      <c r="AH4881">
        <v>13.3524582758583</v>
      </c>
      <c r="AI4881">
        <v>94.603791479261801</v>
      </c>
      <c r="AJ4881">
        <v>68.019252956793594</v>
      </c>
      <c r="AK4881">
        <v>14.445744274681401</v>
      </c>
      <c r="AL4881">
        <v>81.503006682622399</v>
      </c>
      <c r="AM4881">
        <v>69.847970960598701</v>
      </c>
      <c r="AN4881">
        <v>0.99999992674508698</v>
      </c>
    </row>
    <row r="4882" spans="1:40" x14ac:dyDescent="0.25">
      <c r="A4882" t="str">
        <f>"20190312172803836"</f>
        <v>20190312172803836</v>
      </c>
      <c r="B4882" t="str">
        <f>"1552382883833911"</f>
        <v>1552382883833911</v>
      </c>
      <c r="C4882" t="s">
        <v>40</v>
      </c>
      <c r="D4882">
        <v>3.1014699999999999</v>
      </c>
      <c r="E4882">
        <v>0.51702040000000005</v>
      </c>
      <c r="F4882" t="s">
        <v>43</v>
      </c>
      <c r="G4882">
        <v>-316.75029999999998</v>
      </c>
      <c r="H4882">
        <v>-0.05</v>
      </c>
      <c r="I4882">
        <v>11.56995</v>
      </c>
      <c r="J4882">
        <v>-330.2287</v>
      </c>
      <c r="K4882">
        <v>1.1094900000000001</v>
      </c>
      <c r="L4882">
        <v>16.7056</v>
      </c>
      <c r="M4882">
        <v>0.99968120000000005</v>
      </c>
      <c r="N4882">
        <v>0</v>
      </c>
      <c r="O4882">
        <v>2.133463E-2</v>
      </c>
      <c r="P4882">
        <v>0.93722640000000002</v>
      </c>
      <c r="Q4882">
        <v>0.13542799999999999</v>
      </c>
      <c r="R4882">
        <v>-0.32135049999999998</v>
      </c>
      <c r="S4882">
        <v>2.8651430000000002</v>
      </c>
      <c r="T4882">
        <v>-0.2447491</v>
      </c>
      <c r="U4882">
        <v>-1.08377099999999</v>
      </c>
      <c r="V4882">
        <v>0.34153679999999997</v>
      </c>
      <c r="W4882">
        <v>0.1473698</v>
      </c>
      <c r="X4882">
        <v>0.92824280000000003</v>
      </c>
      <c r="Y4882">
        <v>0.37241449999999998</v>
      </c>
      <c r="Z4882">
        <v>-1.7109969999999999E-2</v>
      </c>
      <c r="AA4882">
        <v>0.92790879999999998</v>
      </c>
      <c r="AB4882">
        <v>20</v>
      </c>
      <c r="AC4882">
        <v>13.478400000000001</v>
      </c>
      <c r="AD4882">
        <v>-1.1594899999999999</v>
      </c>
      <c r="AE4882">
        <v>-5.13565</v>
      </c>
      <c r="AF4882">
        <v>5.3872500940527699</v>
      </c>
      <c r="AG4882">
        <v>-1.1594899999999999</v>
      </c>
      <c r="AH4882">
        <v>13.279936401332399</v>
      </c>
      <c r="AI4882">
        <v>94.6255830323162</v>
      </c>
      <c r="AJ4882">
        <v>67.919161820372196</v>
      </c>
      <c r="AK4882">
        <v>14.3778855002884</v>
      </c>
      <c r="AL4882">
        <v>81.525466498542499</v>
      </c>
      <c r="AM4882">
        <v>69.799459138642703</v>
      </c>
      <c r="AN4882">
        <v>0.99999996972905902</v>
      </c>
    </row>
    <row r="4883" spans="1:40" x14ac:dyDescent="0.25">
      <c r="A4883" t="str">
        <f>"20190312172803849"</f>
        <v>20190312172803849</v>
      </c>
      <c r="B4883" t="str">
        <f>"1552382883844647"</f>
        <v>1552382883844647</v>
      </c>
      <c r="C4883" t="s">
        <v>40</v>
      </c>
      <c r="D4883">
        <v>3.1120169999999998</v>
      </c>
      <c r="E4883">
        <v>0.51695849999999999</v>
      </c>
      <c r="F4883" t="s">
        <v>43</v>
      </c>
      <c r="G4883">
        <v>-316.76459999999997</v>
      </c>
      <c r="H4883">
        <v>-0.05</v>
      </c>
      <c r="I4883">
        <v>11.57649</v>
      </c>
      <c r="J4883">
        <v>-330.12439999999998</v>
      </c>
      <c r="K4883">
        <v>1.109488</v>
      </c>
      <c r="L4883">
        <v>16.707000000000001</v>
      </c>
      <c r="M4883">
        <v>0.99969609999999998</v>
      </c>
      <c r="N4883">
        <v>0</v>
      </c>
      <c r="O4883">
        <v>2.0631409999999999E-2</v>
      </c>
      <c r="P4883">
        <v>0.93679210000000002</v>
      </c>
      <c r="Q4883">
        <v>0.1355681</v>
      </c>
      <c r="R4883">
        <v>-0.32255630000000002</v>
      </c>
      <c r="S4883">
        <v>2.8626399999999999</v>
      </c>
      <c r="T4883">
        <v>-0.24652279999999999</v>
      </c>
      <c r="U4883">
        <v>-1.0905149999999999</v>
      </c>
      <c r="V4883">
        <v>0.34207880000000002</v>
      </c>
      <c r="W4883">
        <v>0.1475052</v>
      </c>
      <c r="X4883">
        <v>0.92802169999999895</v>
      </c>
      <c r="Y4883">
        <v>0.3739189</v>
      </c>
      <c r="Z4883">
        <v>-1.724463E-2</v>
      </c>
      <c r="AA4883">
        <v>0.92730100000000004</v>
      </c>
      <c r="AB4883">
        <v>20</v>
      </c>
      <c r="AC4883">
        <v>13.3598</v>
      </c>
      <c r="AD4883">
        <v>-1.1594879999999901</v>
      </c>
      <c r="AE4883">
        <v>-5.1305100000000001</v>
      </c>
      <c r="AF4883">
        <v>5.3698251837657303</v>
      </c>
      <c r="AG4883">
        <v>-1.1594879999999901</v>
      </c>
      <c r="AH4883">
        <v>13.1646795300938</v>
      </c>
      <c r="AI4883">
        <v>94.662283017663597</v>
      </c>
      <c r="AJ4883">
        <v>67.809630165059701</v>
      </c>
      <c r="AK4883">
        <v>14.2649297950049</v>
      </c>
      <c r="AL4883">
        <v>81.517623039914398</v>
      </c>
      <c r="AM4883">
        <v>69.7655698934974</v>
      </c>
      <c r="AN4883">
        <v>0.99999998255368405</v>
      </c>
    </row>
    <row r="4884" spans="1:40" x14ac:dyDescent="0.25">
      <c r="A4884" t="str">
        <f>"20190312172803872"</f>
        <v>20190312172803872</v>
      </c>
      <c r="B4884" t="str">
        <f>"1552382883864167"</f>
        <v>1552382883864167</v>
      </c>
      <c r="C4884" t="s">
        <v>40</v>
      </c>
      <c r="D4884">
        <v>3.11206</v>
      </c>
      <c r="E4884">
        <v>0.51714399999999905</v>
      </c>
      <c r="F4884" t="s">
        <v>43</v>
      </c>
      <c r="G4884">
        <v>-316.5471</v>
      </c>
      <c r="H4884">
        <v>-0.05</v>
      </c>
      <c r="I4884">
        <v>11.516159999999999</v>
      </c>
      <c r="J4884">
        <v>-329.91770000000002</v>
      </c>
      <c r="K4884">
        <v>1.109488</v>
      </c>
      <c r="L4884">
        <v>16.709589999999999</v>
      </c>
      <c r="M4884">
        <v>0.99972399999999995</v>
      </c>
      <c r="N4884">
        <v>0</v>
      </c>
      <c r="O4884">
        <v>1.9235450000000001E-2</v>
      </c>
      <c r="P4884">
        <v>0.93576429999999999</v>
      </c>
      <c r="Q4884">
        <v>0.13485239999999901</v>
      </c>
      <c r="R4884">
        <v>-0.32582270000000002</v>
      </c>
      <c r="S4884">
        <v>2.861145</v>
      </c>
      <c r="T4884">
        <v>-0.24433969999999999</v>
      </c>
      <c r="U4884">
        <v>-1.093872</v>
      </c>
      <c r="V4884">
        <v>0.34402440000000001</v>
      </c>
      <c r="W4884">
        <v>0.1467765</v>
      </c>
      <c r="X4884">
        <v>0.92741790000000002</v>
      </c>
      <c r="Y4884">
        <v>0.37376239999999999</v>
      </c>
      <c r="Z4884">
        <v>-1.69757E-2</v>
      </c>
      <c r="AA4884">
        <v>0.92736909999999895</v>
      </c>
      <c r="AB4884">
        <v>20</v>
      </c>
      <c r="AC4884">
        <v>13.3706</v>
      </c>
      <c r="AD4884">
        <v>-1.1594879999999901</v>
      </c>
      <c r="AE4884">
        <v>-5.1934299999999904</v>
      </c>
      <c r="AF4884">
        <v>5.4143027743941996</v>
      </c>
      <c r="AG4884">
        <v>-1.1594879999999901</v>
      </c>
      <c r="AH4884">
        <v>13.1820820461627</v>
      </c>
      <c r="AI4884">
        <v>94.651549038416405</v>
      </c>
      <c r="AJ4884">
        <v>67.670475722941106</v>
      </c>
      <c r="AK4884">
        <v>14.297775142542999</v>
      </c>
      <c r="AL4884">
        <v>81.559834449266702</v>
      </c>
      <c r="AM4884">
        <v>69.647733395176104</v>
      </c>
      <c r="AN4884">
        <v>1.0000000449940001</v>
      </c>
    </row>
    <row r="4885" spans="1:40" x14ac:dyDescent="0.25">
      <c r="A4885" t="str">
        <f>"20190312172803892"</f>
        <v>20190312172803892</v>
      </c>
      <c r="B4885" t="str">
        <f>"1552382883884193"</f>
        <v>1552382883884193</v>
      </c>
      <c r="C4885" t="s">
        <v>40</v>
      </c>
      <c r="D4885">
        <v>3.1400899999999998</v>
      </c>
      <c r="E4885">
        <v>0.51728399999999997</v>
      </c>
      <c r="F4885" t="s">
        <v>43</v>
      </c>
      <c r="G4885">
        <v>-316.52640000000002</v>
      </c>
      <c r="H4885">
        <v>-0.05</v>
      </c>
      <c r="I4885">
        <v>11.52913</v>
      </c>
      <c r="J4885">
        <v>-329.73689999999999</v>
      </c>
      <c r="K4885">
        <v>1.109488</v>
      </c>
      <c r="L4885">
        <v>16.71161</v>
      </c>
      <c r="M4885">
        <v>0.99974669999999999</v>
      </c>
      <c r="N4885">
        <v>0</v>
      </c>
      <c r="O4885">
        <v>1.8011180000000002E-2</v>
      </c>
      <c r="P4885">
        <v>0.93476890000000001</v>
      </c>
      <c r="Q4885">
        <v>0.13384599999999999</v>
      </c>
      <c r="R4885">
        <v>-0.32907819999999999</v>
      </c>
      <c r="S4885">
        <v>2.8568120000000001</v>
      </c>
      <c r="T4885">
        <v>-0.24735740000000001</v>
      </c>
      <c r="U4885">
        <v>-1.105164</v>
      </c>
      <c r="V4885">
        <v>0.34612140000000002</v>
      </c>
      <c r="W4885">
        <v>0.14575569999999999</v>
      </c>
      <c r="X4885">
        <v>0.92679840000000002</v>
      </c>
      <c r="Y4885">
        <v>0.376251</v>
      </c>
      <c r="Z4885">
        <v>-1.7198709999999999E-2</v>
      </c>
      <c r="AA4885">
        <v>0.92635809999999996</v>
      </c>
      <c r="AB4885">
        <v>20</v>
      </c>
      <c r="AC4885">
        <v>13.2104999999999</v>
      </c>
      <c r="AD4885">
        <v>-1.1594879999999901</v>
      </c>
      <c r="AE4885">
        <v>-5.18248</v>
      </c>
      <c r="AF4885">
        <v>5.3836554472079499</v>
      </c>
      <c r="AG4885">
        <v>-1.1594879999999901</v>
      </c>
      <c r="AH4885">
        <v>13.0280285222186</v>
      </c>
      <c r="AI4885">
        <v>94.702176128809299</v>
      </c>
      <c r="AJ4885">
        <v>67.547805232040602</v>
      </c>
      <c r="AK4885">
        <v>14.144174969652299</v>
      </c>
      <c r="AL4885">
        <v>81.6189575488918</v>
      </c>
      <c r="AM4885">
        <v>69.5213907010599</v>
      </c>
      <c r="AN4885">
        <v>1.0000000109314999</v>
      </c>
    </row>
    <row r="4886" spans="1:40" x14ac:dyDescent="0.25">
      <c r="A4886" t="str">
        <f>"20190312172803903"</f>
        <v>20190312172803903</v>
      </c>
      <c r="B4886" t="str">
        <f>"1552382883893952"</f>
        <v>1552382883893952</v>
      </c>
      <c r="C4886" t="s">
        <v>40</v>
      </c>
      <c r="D4886">
        <v>3.1471680000000002</v>
      </c>
      <c r="E4886">
        <v>0.51723200000000003</v>
      </c>
      <c r="F4886" t="s">
        <v>43</v>
      </c>
      <c r="G4886">
        <v>-316.49930000000001</v>
      </c>
      <c r="H4886">
        <v>-0.05</v>
      </c>
      <c r="I4886">
        <v>11.529400000000001</v>
      </c>
      <c r="J4886">
        <v>-329.63490000000002</v>
      </c>
      <c r="K4886">
        <v>1.1094850000000001</v>
      </c>
      <c r="L4886">
        <v>16.71265</v>
      </c>
      <c r="M4886">
        <v>0.99975899999999995</v>
      </c>
      <c r="N4886">
        <v>0</v>
      </c>
      <c r="O4886">
        <v>1.731885E-2</v>
      </c>
      <c r="P4886">
        <v>0.93426690000000001</v>
      </c>
      <c r="Q4886">
        <v>0.1335354</v>
      </c>
      <c r="R4886">
        <v>-0.33062629999999998</v>
      </c>
      <c r="S4886">
        <v>2.8520509999999999</v>
      </c>
      <c r="T4886">
        <v>-0.2498136</v>
      </c>
      <c r="U4886">
        <v>-1.1165160000000001</v>
      </c>
      <c r="V4886">
        <v>0.34701690000000002</v>
      </c>
      <c r="W4886">
        <v>0.1454387</v>
      </c>
      <c r="X4886">
        <v>0.92651329999999998</v>
      </c>
      <c r="Y4886">
        <v>0.37929449999999998</v>
      </c>
      <c r="Z4886">
        <v>-1.7453650000000001E-2</v>
      </c>
      <c r="AA4886">
        <v>0.92511140000000003</v>
      </c>
      <c r="AB4886">
        <v>20</v>
      </c>
      <c r="AC4886">
        <v>13.1356</v>
      </c>
      <c r="AD4886">
        <v>-1.1594850000000001</v>
      </c>
      <c r="AE4886">
        <v>-5.1832499999999904</v>
      </c>
      <c r="AF4886">
        <v>5.3737572447576198</v>
      </c>
      <c r="AG4886">
        <v>-1.1594850000000001</v>
      </c>
      <c r="AH4886">
        <v>12.956501814743399</v>
      </c>
      <c r="AI4886">
        <v>94.725481820149497</v>
      </c>
      <c r="AJ4886">
        <v>67.473588939292</v>
      </c>
      <c r="AK4886">
        <v>14.0745377070175</v>
      </c>
      <c r="AL4886">
        <v>81.637316012699401</v>
      </c>
      <c r="AM4886">
        <v>69.467031948822594</v>
      </c>
      <c r="AN4886">
        <v>1.00000001971009</v>
      </c>
    </row>
    <row r="4887" spans="1:40" x14ac:dyDescent="0.25">
      <c r="A4887" t="str">
        <f>"20190312172803914"</f>
        <v>20190312172803914</v>
      </c>
      <c r="B4887" t="str">
        <f>"1552382883904689"</f>
        <v>1552382883904689</v>
      </c>
      <c r="C4887" t="s">
        <v>40</v>
      </c>
      <c r="D4887">
        <v>3.152164</v>
      </c>
      <c r="E4887">
        <v>0.51719809999999999</v>
      </c>
      <c r="F4887" t="s">
        <v>43</v>
      </c>
      <c r="G4887">
        <v>-316.42189999999999</v>
      </c>
      <c r="H4887">
        <v>-0.05</v>
      </c>
      <c r="I4887">
        <v>11.516690000000001</v>
      </c>
      <c r="J4887">
        <v>-329.54070000000002</v>
      </c>
      <c r="K4887">
        <v>1.10948</v>
      </c>
      <c r="L4887">
        <v>16.713529999999999</v>
      </c>
      <c r="M4887">
        <v>0.99977000000000005</v>
      </c>
      <c r="N4887">
        <v>0</v>
      </c>
      <c r="O4887">
        <v>1.66777E-2</v>
      </c>
      <c r="P4887">
        <v>0.93379460000000003</v>
      </c>
      <c r="Q4887">
        <v>0.1330269</v>
      </c>
      <c r="R4887">
        <v>-0.33216230000000002</v>
      </c>
      <c r="S4887">
        <v>2.8501590000000001</v>
      </c>
      <c r="T4887">
        <v>-0.25011250000000002</v>
      </c>
      <c r="U4887">
        <v>-1.120819</v>
      </c>
      <c r="V4887">
        <v>0.3479488</v>
      </c>
      <c r="W4887">
        <v>0.144923</v>
      </c>
      <c r="X4887">
        <v>0.92624459999999997</v>
      </c>
      <c r="Y4887">
        <v>0.3801155</v>
      </c>
      <c r="Z4887">
        <v>-1.7461040000000001E-2</v>
      </c>
      <c r="AA4887">
        <v>0.92477419999999999</v>
      </c>
      <c r="AB4887">
        <v>20</v>
      </c>
      <c r="AC4887">
        <v>13.1188</v>
      </c>
      <c r="AD4887">
        <v>-1.1594799999999901</v>
      </c>
      <c r="AE4887">
        <v>-5.1968399999999999</v>
      </c>
      <c r="AF4887">
        <v>5.3786119188356798</v>
      </c>
      <c r="AG4887">
        <v>-1.1594799999999901</v>
      </c>
      <c r="AH4887">
        <v>12.942905180052099</v>
      </c>
      <c r="AI4887">
        <v>94.729051327131998</v>
      </c>
      <c r="AJ4887">
        <v>67.433963959277605</v>
      </c>
      <c r="AK4887">
        <v>14.0638776496264</v>
      </c>
      <c r="AL4887">
        <v>81.667180113457903</v>
      </c>
      <c r="AM4887">
        <v>69.411039103816506</v>
      </c>
      <c r="AN4887">
        <v>1.00000005118979</v>
      </c>
    </row>
    <row r="4888" spans="1:40" x14ac:dyDescent="0.25">
      <c r="A4888" t="str">
        <f>"20190312172803925"</f>
        <v>20190312172803925</v>
      </c>
      <c r="B4888" t="str">
        <f>"1552382883914449"</f>
        <v>1552382883914449</v>
      </c>
      <c r="C4888" t="s">
        <v>40</v>
      </c>
      <c r="D4888">
        <v>3.1166619999999998</v>
      </c>
      <c r="E4888">
        <v>0.51718339999999996</v>
      </c>
      <c r="F4888" t="s">
        <v>43</v>
      </c>
      <c r="G4888">
        <v>-316.39679999999998</v>
      </c>
      <c r="H4888">
        <v>-0.05</v>
      </c>
      <c r="I4888">
        <v>11.520390000000001</v>
      </c>
      <c r="J4888">
        <v>-329.44499999999999</v>
      </c>
      <c r="K4888">
        <v>1.1094759999999999</v>
      </c>
      <c r="L4888">
        <v>16.714359999999999</v>
      </c>
      <c r="M4888">
        <v>0.99978060000000002</v>
      </c>
      <c r="N4888">
        <v>0</v>
      </c>
      <c r="O4888">
        <v>1.60251E-2</v>
      </c>
      <c r="P4888">
        <v>0.93328739999999999</v>
      </c>
      <c r="Q4888">
        <v>0.1325394</v>
      </c>
      <c r="R4888">
        <v>-0.33377879999999999</v>
      </c>
      <c r="S4888">
        <v>2.848236</v>
      </c>
      <c r="T4888">
        <v>-0.25125520000000001</v>
      </c>
      <c r="U4888">
        <v>-1.1253359999999999</v>
      </c>
      <c r="V4888">
        <v>0.3489507</v>
      </c>
      <c r="W4888">
        <v>0.14442759999999999</v>
      </c>
      <c r="X4888">
        <v>0.92594500000000002</v>
      </c>
      <c r="Y4888">
        <v>0.38098029999999999</v>
      </c>
      <c r="Z4888">
        <v>-1.7527850000000001E-2</v>
      </c>
      <c r="AA4888">
        <v>0.92441700000000004</v>
      </c>
      <c r="AB4888">
        <v>20</v>
      </c>
      <c r="AC4888">
        <v>13.0482</v>
      </c>
      <c r="AD4888">
        <v>-1.159476</v>
      </c>
      <c r="AE4888">
        <v>-5.1939699999999904</v>
      </c>
      <c r="AF4888">
        <v>5.3658458120112602</v>
      </c>
      <c r="AG4888">
        <v>-1.159476</v>
      </c>
      <c r="AH4888">
        <v>12.875520195543499</v>
      </c>
      <c r="AI4888">
        <v>94.751685800364598</v>
      </c>
      <c r="AJ4888">
        <v>67.376170072868106</v>
      </c>
      <c r="AK4888">
        <v>13.9969891826315</v>
      </c>
      <c r="AL4888">
        <v>81.695866089537901</v>
      </c>
      <c r="AM4888">
        <v>69.350631134219398</v>
      </c>
      <c r="AN4888">
        <v>1.00000003284862</v>
      </c>
    </row>
    <row r="4889" spans="1:40" x14ac:dyDescent="0.25">
      <c r="A4889" t="str">
        <f>"20190312172803936"</f>
        <v>20190312172803936</v>
      </c>
      <c r="B4889" t="str">
        <f>"1552382883933968"</f>
        <v>1552382883933968</v>
      </c>
      <c r="C4889" t="s">
        <v>40</v>
      </c>
      <c r="D4889">
        <v>3.122773</v>
      </c>
      <c r="E4889">
        <v>0.51717139999999995</v>
      </c>
      <c r="F4889" t="s">
        <v>43</v>
      </c>
      <c r="G4889">
        <v>-316.38060000000002</v>
      </c>
      <c r="H4889">
        <v>-0.05</v>
      </c>
      <c r="I4889">
        <v>11.52707</v>
      </c>
      <c r="J4889">
        <v>-329.34820000000002</v>
      </c>
      <c r="K4889">
        <v>1.109469</v>
      </c>
      <c r="L4889">
        <v>16.715150000000001</v>
      </c>
      <c r="M4889">
        <v>0.99979110000000004</v>
      </c>
      <c r="N4889">
        <v>0</v>
      </c>
      <c r="O4889">
        <v>1.535709E-2</v>
      </c>
      <c r="P4889">
        <v>0.93287609999999999</v>
      </c>
      <c r="Q4889">
        <v>0.13195499999999999</v>
      </c>
      <c r="R4889">
        <v>-0.33515709999999999</v>
      </c>
      <c r="S4889">
        <v>2.84613</v>
      </c>
      <c r="T4889">
        <v>-0.25259470000000001</v>
      </c>
      <c r="U4889">
        <v>-1.130066</v>
      </c>
      <c r="V4889">
        <v>0.34970269999999998</v>
      </c>
      <c r="W4889">
        <v>0.1438354</v>
      </c>
      <c r="X4889">
        <v>0.92575339999999995</v>
      </c>
      <c r="Y4889">
        <v>0.38190829999999998</v>
      </c>
      <c r="Z4889">
        <v>-1.761039E-2</v>
      </c>
      <c r="AA4889">
        <v>0.92403239999999998</v>
      </c>
      <c r="AB4889">
        <v>20</v>
      </c>
      <c r="AC4889">
        <v>12.967599999999999</v>
      </c>
      <c r="AD4889">
        <v>-1.1594690000000001</v>
      </c>
      <c r="AE4889">
        <v>-5.1880800000000002</v>
      </c>
      <c r="AF4889">
        <v>5.34976262102027</v>
      </c>
      <c r="AG4889">
        <v>-1.1594690000000001</v>
      </c>
      <c r="AH4889">
        <v>12.7981900346535</v>
      </c>
      <c r="AI4889">
        <v>94.778102437252898</v>
      </c>
      <c r="AJ4889">
        <v>67.314618231189698</v>
      </c>
      <c r="AK4889">
        <v>13.919698151408699</v>
      </c>
      <c r="AL4889">
        <v>81.730154225094395</v>
      </c>
      <c r="AM4889">
        <v>69.305977091307795</v>
      </c>
      <c r="AN4889">
        <v>0.99999997914600403</v>
      </c>
    </row>
    <row r="4890" spans="1:40" x14ac:dyDescent="0.25">
      <c r="A4890" t="str">
        <f>"20190312172803947"</f>
        <v>20190312172803947</v>
      </c>
      <c r="B4890" t="str">
        <f>"1552382883944705"</f>
        <v>1552382883944705</v>
      </c>
      <c r="C4890" t="s">
        <v>40</v>
      </c>
      <c r="D4890">
        <v>3.1512190000000002</v>
      </c>
      <c r="E4890">
        <v>0.51719759999999904</v>
      </c>
      <c r="F4890" t="s">
        <v>43</v>
      </c>
      <c r="G4890">
        <v>-316.36239999999998</v>
      </c>
      <c r="H4890">
        <v>-0.05</v>
      </c>
      <c r="I4890">
        <v>11.53697</v>
      </c>
      <c r="J4890">
        <v>-329.25170000000003</v>
      </c>
      <c r="K4890">
        <v>1.1094630000000001</v>
      </c>
      <c r="L4890">
        <v>16.715879999999999</v>
      </c>
      <c r="M4890">
        <v>0.9998011</v>
      </c>
      <c r="N4890">
        <v>0</v>
      </c>
      <c r="O4890">
        <v>1.469031E-2</v>
      </c>
      <c r="P4890">
        <v>0.93242780000000003</v>
      </c>
      <c r="Q4890">
        <v>0.13155700000000001</v>
      </c>
      <c r="R4890">
        <v>-0.33655849999999998</v>
      </c>
      <c r="S4890">
        <v>2.8442989999999999</v>
      </c>
      <c r="T4890">
        <v>-0.25396079999999999</v>
      </c>
      <c r="U4890">
        <v>-1.1341859999999999</v>
      </c>
      <c r="V4890">
        <v>0.35047909999999999</v>
      </c>
      <c r="W4890">
        <v>0.14342820000000001</v>
      </c>
      <c r="X4890">
        <v>0.92552299999999998</v>
      </c>
      <c r="Y4890">
        <v>0.38263609999999998</v>
      </c>
      <c r="Z4890">
        <v>-1.768523E-2</v>
      </c>
      <c r="AA4890">
        <v>0.92372980000000005</v>
      </c>
      <c r="AB4890">
        <v>20</v>
      </c>
      <c r="AC4890">
        <v>12.8893</v>
      </c>
      <c r="AD4890">
        <v>-1.1594629999999999</v>
      </c>
      <c r="AE4890">
        <v>-5.1789099999999904</v>
      </c>
      <c r="AF4890">
        <v>5.3305769722216603</v>
      </c>
      <c r="AG4890">
        <v>-1.1594629999999999</v>
      </c>
      <c r="AH4890">
        <v>12.7231774274861</v>
      </c>
      <c r="AI4890">
        <v>94.804487342228796</v>
      </c>
      <c r="AJ4890">
        <v>67.267979962646294</v>
      </c>
      <c r="AK4890">
        <v>13.8433611943213</v>
      </c>
      <c r="AL4890">
        <v>81.753729985242501</v>
      </c>
      <c r="AM4890">
        <v>69.259214333238404</v>
      </c>
      <c r="AN4890">
        <v>1.0000000358105201</v>
      </c>
    </row>
    <row r="4891" spans="1:40" x14ac:dyDescent="0.25">
      <c r="A4891" t="str">
        <f>"20190312172803960"</f>
        <v>20190312172803960</v>
      </c>
      <c r="B4891" t="str">
        <f>"1552382883954465"</f>
        <v>1552382883954465</v>
      </c>
      <c r="C4891" t="s">
        <v>40</v>
      </c>
      <c r="D4891">
        <v>3.147138</v>
      </c>
      <c r="E4891">
        <v>0.51722999999999997</v>
      </c>
      <c r="F4891" t="s">
        <v>43</v>
      </c>
      <c r="G4891">
        <v>-316.31599999999997</v>
      </c>
      <c r="H4891">
        <v>-0.05</v>
      </c>
      <c r="I4891">
        <v>11.534409999999999</v>
      </c>
      <c r="J4891">
        <v>-329.14589999999998</v>
      </c>
      <c r="K4891">
        <v>1.1094520000000001</v>
      </c>
      <c r="L4891">
        <v>16.716550000000002</v>
      </c>
      <c r="M4891">
        <v>0.99981180000000003</v>
      </c>
      <c r="N4891">
        <v>0</v>
      </c>
      <c r="O4891">
        <v>1.394508E-2</v>
      </c>
      <c r="P4891">
        <v>0.93196970000000001</v>
      </c>
      <c r="Q4891">
        <v>0.13083599999999901</v>
      </c>
      <c r="R4891">
        <v>-0.33810449999999997</v>
      </c>
      <c r="S4891">
        <v>2.842438</v>
      </c>
      <c r="T4891">
        <v>-0.254774</v>
      </c>
      <c r="U4891">
        <v>-1.13855</v>
      </c>
      <c r="V4891">
        <v>0.3513289</v>
      </c>
      <c r="W4891">
        <v>0.14269519999999999</v>
      </c>
      <c r="X4891">
        <v>0.92531399999999997</v>
      </c>
      <c r="Y4891">
        <v>0.38336940000000003</v>
      </c>
      <c r="Z4891">
        <v>-1.7714859999999999E-2</v>
      </c>
      <c r="AA4891">
        <v>0.92342519999999995</v>
      </c>
      <c r="AB4891">
        <v>20</v>
      </c>
      <c r="AC4891">
        <v>12.8299</v>
      </c>
      <c r="AD4891">
        <v>-1.1594519999999999</v>
      </c>
      <c r="AE4891">
        <v>-5.1821400000000004</v>
      </c>
      <c r="AF4891">
        <v>5.32318987388489</v>
      </c>
      <c r="AG4891">
        <v>-1.1594519999999999</v>
      </c>
      <c r="AH4891">
        <v>12.6674368048315</v>
      </c>
      <c r="AI4891">
        <v>94.823324119400198</v>
      </c>
      <c r="AJ4891">
        <v>67.206574234409601</v>
      </c>
      <c r="AK4891">
        <v>13.789294201594799</v>
      </c>
      <c r="AL4891">
        <v>81.796163631732398</v>
      </c>
      <c r="AM4891">
        <v>69.208924459103798</v>
      </c>
      <c r="AN4891">
        <v>0.99999995733712399</v>
      </c>
    </row>
    <row r="4892" spans="1:40" x14ac:dyDescent="0.25">
      <c r="A4892" t="str">
        <f>"20190312172803971"</f>
        <v>20190312172803971</v>
      </c>
      <c r="B4892" t="str">
        <f>"1552382883964225"</f>
        <v>1552382883964225</v>
      </c>
      <c r="C4892" t="s">
        <v>40</v>
      </c>
      <c r="D4892">
        <v>3.1934439999999999</v>
      </c>
      <c r="E4892">
        <v>0.51722999999999997</v>
      </c>
      <c r="F4892" t="s">
        <v>43</v>
      </c>
      <c r="G4892">
        <v>-316.31610000000001</v>
      </c>
      <c r="H4892">
        <v>-0.05</v>
      </c>
      <c r="I4892">
        <v>11.551410000000001</v>
      </c>
      <c r="J4892">
        <v>-329.04939999999999</v>
      </c>
      <c r="K4892">
        <v>1.1094360000000001</v>
      </c>
      <c r="L4892">
        <v>16.717129999999901</v>
      </c>
      <c r="M4892">
        <v>0.99982119999999997</v>
      </c>
      <c r="N4892">
        <v>0</v>
      </c>
      <c r="O4892">
        <v>1.326046E-2</v>
      </c>
      <c r="P4892">
        <v>0.93168280000000003</v>
      </c>
      <c r="Q4892">
        <v>0.13009289999999901</v>
      </c>
      <c r="R4892">
        <v>-0.33918029999999999</v>
      </c>
      <c r="S4892">
        <v>2.8402099999999999</v>
      </c>
      <c r="T4892">
        <v>-0.2566735</v>
      </c>
      <c r="U4892">
        <v>-1.1434329999999999</v>
      </c>
      <c r="V4892">
        <v>0.35176740000000001</v>
      </c>
      <c r="W4892">
        <v>0.14194289999999901</v>
      </c>
      <c r="X4892">
        <v>0.92526319999999995</v>
      </c>
      <c r="Y4892">
        <v>0.3843316</v>
      </c>
      <c r="Z4892">
        <v>-1.783618E-2</v>
      </c>
      <c r="AA4892">
        <v>0.92302280000000003</v>
      </c>
      <c r="AB4892">
        <v>20</v>
      </c>
      <c r="AC4892">
        <v>12.7332999999999</v>
      </c>
      <c r="AD4892">
        <v>-1.1594359999999999</v>
      </c>
      <c r="AE4892">
        <v>-5.1657199999999897</v>
      </c>
      <c r="AF4892">
        <v>5.2964232610315998</v>
      </c>
      <c r="AG4892">
        <v>-1.1594359999999999</v>
      </c>
      <c r="AH4892">
        <v>12.574154062529599</v>
      </c>
      <c r="AI4892">
        <v>94.857160241526898</v>
      </c>
      <c r="AJ4892">
        <v>67.158440476035693</v>
      </c>
      <c r="AK4892">
        <v>13.693273589113801</v>
      </c>
      <c r="AL4892">
        <v>81.839711199031299</v>
      </c>
      <c r="AM4892">
        <v>69.184152342281394</v>
      </c>
      <c r="AN4892">
        <v>1.0000000399186999</v>
      </c>
    </row>
    <row r="4893" spans="1:40" x14ac:dyDescent="0.25">
      <c r="A4893" t="str">
        <f>"20190312172803985"</f>
        <v>20190312172803985</v>
      </c>
      <c r="B4893" t="str">
        <f>"1552382883973985"</f>
        <v>1552382883973985</v>
      </c>
      <c r="C4893" t="s">
        <v>40</v>
      </c>
      <c r="D4893">
        <v>3.156873</v>
      </c>
      <c r="E4893">
        <v>0.51726779999999895</v>
      </c>
      <c r="F4893" t="s">
        <v>43</v>
      </c>
      <c r="G4893">
        <v>-316.33769999999998</v>
      </c>
      <c r="H4893">
        <v>-0.05</v>
      </c>
      <c r="I4893">
        <v>11.582599999999999</v>
      </c>
      <c r="J4893">
        <v>-328.91719999999998</v>
      </c>
      <c r="K4893">
        <v>1.109416</v>
      </c>
      <c r="L4893">
        <v>16.717770000000002</v>
      </c>
      <c r="M4893">
        <v>0.99983330000000004</v>
      </c>
      <c r="N4893">
        <v>0</v>
      </c>
      <c r="O4893">
        <v>1.2306310000000001E-2</v>
      </c>
      <c r="P4893">
        <v>0.93124309999999999</v>
      </c>
      <c r="Q4893">
        <v>0.12963339999999901</v>
      </c>
      <c r="R4893">
        <v>-0.34056110000000001</v>
      </c>
      <c r="S4893">
        <v>2.8387449999999999</v>
      </c>
      <c r="T4893">
        <v>-0.25892340000000003</v>
      </c>
      <c r="U4893">
        <v>-1.1466369999999999</v>
      </c>
      <c r="V4893">
        <v>0.35226229999999997</v>
      </c>
      <c r="W4893">
        <v>0.14146619999999999</v>
      </c>
      <c r="X4893">
        <v>0.92514790000000002</v>
      </c>
      <c r="Y4893">
        <v>0.38449</v>
      </c>
      <c r="Z4893">
        <v>-1.7920149999999999E-2</v>
      </c>
      <c r="AA4893">
        <v>0.92295519999999998</v>
      </c>
      <c r="AB4893">
        <v>20</v>
      </c>
      <c r="AC4893">
        <v>12.5794999999999</v>
      </c>
      <c r="AD4893">
        <v>-1.159416</v>
      </c>
      <c r="AE4893">
        <v>-5.1351699999999996</v>
      </c>
      <c r="AF4893">
        <v>5.2513651260316596</v>
      </c>
      <c r="AG4893">
        <v>-1.159416</v>
      </c>
      <c r="AH4893">
        <v>12.4248760958747</v>
      </c>
      <c r="AI4893">
        <v>94.912635872242305</v>
      </c>
      <c r="AJ4893">
        <v>67.088684252362199</v>
      </c>
      <c r="AK4893">
        <v>13.538782336155499</v>
      </c>
      <c r="AL4893">
        <v>81.867302400805002</v>
      </c>
      <c r="AM4893">
        <v>69.155006777672099</v>
      </c>
      <c r="AN4893">
        <v>1.00000002530906</v>
      </c>
    </row>
    <row r="4894" spans="1:40" x14ac:dyDescent="0.25">
      <c r="A4894" t="str">
        <f>"20190312172803999"</f>
        <v>20190312172803999</v>
      </c>
      <c r="B4894" t="str">
        <f>"1552382883994481"</f>
        <v>1552382883994481</v>
      </c>
      <c r="C4894" t="s">
        <v>40</v>
      </c>
      <c r="D4894">
        <v>3.1980780000000002</v>
      </c>
      <c r="E4894">
        <v>0.51738989999999996</v>
      </c>
      <c r="F4894" t="s">
        <v>43</v>
      </c>
      <c r="G4894">
        <v>-316.2491</v>
      </c>
      <c r="H4894">
        <v>-0.05</v>
      </c>
      <c r="I4894">
        <v>11.57751</v>
      </c>
      <c r="J4894">
        <v>-328.80540000000002</v>
      </c>
      <c r="K4894">
        <v>1.109397</v>
      </c>
      <c r="L4894">
        <v>16.7182</v>
      </c>
      <c r="M4894">
        <v>0.99984309999999998</v>
      </c>
      <c r="N4894">
        <v>0</v>
      </c>
      <c r="O4894">
        <v>1.1480229999999999E-2</v>
      </c>
      <c r="P4894">
        <v>0.93086869999999999</v>
      </c>
      <c r="Q4894">
        <v>0.12899440000000001</v>
      </c>
      <c r="R4894">
        <v>-0.34182469999999998</v>
      </c>
      <c r="S4894">
        <v>2.8367</v>
      </c>
      <c r="T4894">
        <v>-0.25962170000000001</v>
      </c>
      <c r="U4894">
        <v>-1.1510309999999999</v>
      </c>
      <c r="V4894">
        <v>0.35275980000000001</v>
      </c>
      <c r="W4894">
        <v>0.14081050000000001</v>
      </c>
      <c r="X4894">
        <v>0.92505839999999995</v>
      </c>
      <c r="Y4894">
        <v>0.3851792</v>
      </c>
      <c r="Z4894">
        <v>-1.793287E-2</v>
      </c>
      <c r="AA4894">
        <v>0.92266760000000003</v>
      </c>
      <c r="AB4894">
        <v>20</v>
      </c>
      <c r="AC4894">
        <v>12.5563</v>
      </c>
      <c r="AD4894">
        <v>-1.159397</v>
      </c>
      <c r="AE4894">
        <v>-5.1406899999999904</v>
      </c>
      <c r="AF4894">
        <v>5.24620583060321</v>
      </c>
      <c r="AG4894">
        <v>-1.159397</v>
      </c>
      <c r="AH4894">
        <v>12.405863405164</v>
      </c>
      <c r="AI4894">
        <v>94.919640483165495</v>
      </c>
      <c r="AJ4894">
        <v>67.077414064387696</v>
      </c>
      <c r="AK4894">
        <v>13.519331486736</v>
      </c>
      <c r="AL4894">
        <v>81.905251384023899</v>
      </c>
      <c r="AM4894">
        <v>69.126256663761296</v>
      </c>
      <c r="AN4894">
        <v>1.0000000584084201</v>
      </c>
    </row>
    <row r="4895" spans="1:40" x14ac:dyDescent="0.25">
      <c r="A4895" t="str">
        <f>"20190312172804014"</f>
        <v>20190312172804014</v>
      </c>
      <c r="B4895" t="str">
        <f>"1552382884004241"</f>
        <v>1552382884004241</v>
      </c>
      <c r="C4895" t="s">
        <v>40</v>
      </c>
      <c r="D4895">
        <v>3.1797270000000002</v>
      </c>
      <c r="E4895">
        <v>0.51742879999999902</v>
      </c>
      <c r="F4895" t="s">
        <v>43</v>
      </c>
      <c r="G4895">
        <v>-316.21109999999999</v>
      </c>
      <c r="H4895">
        <v>-0.05</v>
      </c>
      <c r="I4895">
        <v>11.58362</v>
      </c>
      <c r="J4895">
        <v>-328.65969999999999</v>
      </c>
      <c r="K4895">
        <v>1.1093759999999999</v>
      </c>
      <c r="L4895">
        <v>16.718599999999999</v>
      </c>
      <c r="M4895">
        <v>0.99985520000000006</v>
      </c>
      <c r="N4895">
        <v>0</v>
      </c>
      <c r="O4895">
        <v>1.038319E-2</v>
      </c>
      <c r="P4895">
        <v>0.93055330000000003</v>
      </c>
      <c r="Q4895">
        <v>0.1281968</v>
      </c>
      <c r="R4895">
        <v>-0.34298129999999999</v>
      </c>
      <c r="S4895">
        <v>2.8345950000000002</v>
      </c>
      <c r="T4895">
        <v>-0.26094509999999999</v>
      </c>
      <c r="U4895">
        <v>-1.15564</v>
      </c>
      <c r="V4895">
        <v>0.3529024</v>
      </c>
      <c r="W4895">
        <v>0.1399928</v>
      </c>
      <c r="X4895">
        <v>0.92512799999999995</v>
      </c>
      <c r="Y4895">
        <v>0.38567980000000002</v>
      </c>
      <c r="Z4895">
        <v>-1.7956099999999999E-2</v>
      </c>
      <c r="AA4895">
        <v>0.922458</v>
      </c>
      <c r="AB4895">
        <v>20</v>
      </c>
      <c r="AC4895">
        <v>12.448600000000001</v>
      </c>
      <c r="AD4895">
        <v>-1.159376</v>
      </c>
      <c r="AE4895">
        <v>-5.1349799999999899</v>
      </c>
      <c r="AF4895">
        <v>5.22523892291842</v>
      </c>
      <c r="AG4895">
        <v>-1.159376</v>
      </c>
      <c r="AH4895">
        <v>12.303407344166899</v>
      </c>
      <c r="AI4895">
        <v>94.957094106436401</v>
      </c>
      <c r="AJ4895">
        <v>66.989140286107798</v>
      </c>
      <c r="AK4895">
        <v>13.4171944454665</v>
      </c>
      <c r="AL4895">
        <v>81.952569997921302</v>
      </c>
      <c r="AM4895">
        <v>69.119981618862596</v>
      </c>
      <c r="AN4895">
        <v>0.99999995218079796</v>
      </c>
    </row>
    <row r="4896" spans="1:40" x14ac:dyDescent="0.25">
      <c r="A4896" t="str">
        <f>"20190312172804025"</f>
        <v>20190312172804025</v>
      </c>
      <c r="B4896" t="str">
        <f>"1552382884014001"</f>
        <v>1552382884014001</v>
      </c>
      <c r="C4896" t="s">
        <v>40</v>
      </c>
      <c r="D4896">
        <v>3.165753</v>
      </c>
      <c r="E4896">
        <v>0.51746829999999999</v>
      </c>
      <c r="F4896" t="s">
        <v>43</v>
      </c>
      <c r="G4896">
        <v>-316.18040000000002</v>
      </c>
      <c r="H4896">
        <v>-0.05</v>
      </c>
      <c r="I4896">
        <v>11.61195</v>
      </c>
      <c r="J4896">
        <v>-328.56670000000003</v>
      </c>
      <c r="K4896">
        <v>1.109359</v>
      </c>
      <c r="L4896">
        <v>16.71875</v>
      </c>
      <c r="M4896">
        <v>0.99986249999999999</v>
      </c>
      <c r="N4896">
        <v>0</v>
      </c>
      <c r="O4896">
        <v>9.6697520000000002E-3</v>
      </c>
      <c r="P4896">
        <v>0.93022760000000004</v>
      </c>
      <c r="Q4896">
        <v>0.12829499999999999</v>
      </c>
      <c r="R4896">
        <v>-0.34382780000000002</v>
      </c>
      <c r="S4896">
        <v>2.8328859999999998</v>
      </c>
      <c r="T4896">
        <v>-0.2631849</v>
      </c>
      <c r="U4896">
        <v>-1.159241</v>
      </c>
      <c r="V4896">
        <v>0.3530895</v>
      </c>
      <c r="W4896">
        <v>0.1400749</v>
      </c>
      <c r="X4896">
        <v>0.92504419999999998</v>
      </c>
      <c r="Y4896">
        <v>0.3861965</v>
      </c>
      <c r="Z4896">
        <v>-1.8074920000000001E-2</v>
      </c>
      <c r="AA4896">
        <v>0.92223940000000004</v>
      </c>
      <c r="AB4896">
        <v>20</v>
      </c>
      <c r="AC4896">
        <v>12.3863</v>
      </c>
      <c r="AD4896">
        <v>-1.159359</v>
      </c>
      <c r="AE4896">
        <v>-5.1067999999999998</v>
      </c>
      <c r="AF4896">
        <v>5.1874999808543096</v>
      </c>
      <c r="AG4896">
        <v>-1.159359</v>
      </c>
      <c r="AH4896">
        <v>12.244645654489901</v>
      </c>
      <c r="AI4896">
        <v>94.982551189135606</v>
      </c>
      <c r="AJ4896">
        <v>67.039833806120697</v>
      </c>
      <c r="AK4896">
        <v>13.348618525759999</v>
      </c>
      <c r="AL4896">
        <v>81.947819366240097</v>
      </c>
      <c r="AM4896">
        <v>69.108137531232401</v>
      </c>
      <c r="AN4896">
        <v>0.99999997228694903</v>
      </c>
    </row>
    <row r="4897" spans="1:40" x14ac:dyDescent="0.25">
      <c r="A4897" t="str">
        <f>"20190312172804037"</f>
        <v>20190312172804037</v>
      </c>
      <c r="B4897" t="str">
        <f>"1552382884034497"</f>
        <v>1552382884034497</v>
      </c>
      <c r="C4897" t="s">
        <v>40</v>
      </c>
      <c r="D4897">
        <v>3.1975340000000001</v>
      </c>
      <c r="E4897">
        <v>0.51757900000000001</v>
      </c>
      <c r="F4897" t="s">
        <v>43</v>
      </c>
      <c r="G4897">
        <v>-316.05889999999999</v>
      </c>
      <c r="H4897">
        <v>-0.05</v>
      </c>
      <c r="I4897">
        <v>11.58652</v>
      </c>
      <c r="J4897">
        <v>-328.46780000000001</v>
      </c>
      <c r="K4897">
        <v>1.1093409999999999</v>
      </c>
      <c r="L4897">
        <v>16.718810000000001</v>
      </c>
      <c r="M4897">
        <v>0.99986960000000003</v>
      </c>
      <c r="N4897">
        <v>0</v>
      </c>
      <c r="O4897">
        <v>8.8880299999999999E-3</v>
      </c>
      <c r="P4897">
        <v>0.92994520000000003</v>
      </c>
      <c r="Q4897">
        <v>0.1284198</v>
      </c>
      <c r="R4897">
        <v>-0.34454400000000002</v>
      </c>
      <c r="S4897">
        <v>2.8317570000000001</v>
      </c>
      <c r="T4897">
        <v>-0.26247700000000002</v>
      </c>
      <c r="U4897">
        <v>-1.161926</v>
      </c>
      <c r="V4897">
        <v>0.35308499999999998</v>
      </c>
      <c r="W4897">
        <v>0.14018349999999999</v>
      </c>
      <c r="X4897">
        <v>0.92502949999999995</v>
      </c>
      <c r="Y4897">
        <v>0.38636330000000002</v>
      </c>
      <c r="Z4897">
        <v>-1.796787E-2</v>
      </c>
      <c r="AA4897">
        <v>0.92217170000000004</v>
      </c>
      <c r="AB4897">
        <v>20</v>
      </c>
      <c r="AC4897">
        <v>12.408899999999999</v>
      </c>
      <c r="AD4897">
        <v>-1.159341</v>
      </c>
      <c r="AE4897">
        <v>-5.1322900000000002</v>
      </c>
      <c r="AF4897">
        <v>5.20360152819962</v>
      </c>
      <c r="AG4897">
        <v>-1.159341</v>
      </c>
      <c r="AH4897">
        <v>12.271322142079701</v>
      </c>
      <c r="AI4897">
        <v>94.971002045240496</v>
      </c>
      <c r="AJ4897">
        <v>67.020835558221506</v>
      </c>
      <c r="AK4897">
        <v>13.379345556986699</v>
      </c>
      <c r="AL4897">
        <v>81.941535290627598</v>
      </c>
      <c r="AM4897">
        <v>69.108077467984899</v>
      </c>
      <c r="AN4897">
        <v>1.0000000033837499</v>
      </c>
    </row>
    <row r="4898" spans="1:40" x14ac:dyDescent="0.25">
      <c r="A4898" t="str">
        <f>"20190312172804049"</f>
        <v>20190312172804049</v>
      </c>
      <c r="B4898" t="str">
        <f>"1552382884044257"</f>
        <v>1552382884044257</v>
      </c>
      <c r="C4898" t="s">
        <v>40</v>
      </c>
      <c r="D4898">
        <v>3.227884</v>
      </c>
      <c r="E4898">
        <v>0.51765969999999994</v>
      </c>
      <c r="F4898" t="s">
        <v>43</v>
      </c>
      <c r="G4898">
        <v>-315.90519999999998</v>
      </c>
      <c r="H4898">
        <v>-0.05</v>
      </c>
      <c r="I4898">
        <v>11.550660000000001</v>
      </c>
      <c r="J4898">
        <v>-328.36660000000001</v>
      </c>
      <c r="K4898">
        <v>1.1093219999999999</v>
      </c>
      <c r="L4898">
        <v>16.718779999999999</v>
      </c>
      <c r="M4898">
        <v>0.9998766</v>
      </c>
      <c r="N4898">
        <v>0</v>
      </c>
      <c r="O4898">
        <v>8.0807250000000004E-3</v>
      </c>
      <c r="P4898">
        <v>0.92966159999999998</v>
      </c>
      <c r="Q4898">
        <v>0.12866669999999999</v>
      </c>
      <c r="R4898">
        <v>-0.34521679999999999</v>
      </c>
      <c r="S4898">
        <v>2.8306269999999998</v>
      </c>
      <c r="T4898">
        <v>-0.26122380000000001</v>
      </c>
      <c r="U4898">
        <v>-1.16449</v>
      </c>
      <c r="V4898">
        <v>0.353014099999999</v>
      </c>
      <c r="W4898">
        <v>0.14041339999999999</v>
      </c>
      <c r="X4898">
        <v>0.9250216</v>
      </c>
      <c r="Y4898">
        <v>0.38647880000000001</v>
      </c>
      <c r="Z4898">
        <v>-1.7819620000000001E-2</v>
      </c>
      <c r="AA4898">
        <v>0.92212620000000001</v>
      </c>
      <c r="AB4898">
        <v>19</v>
      </c>
      <c r="AC4898">
        <v>12.461399999999999</v>
      </c>
      <c r="AD4898">
        <v>-1.159322</v>
      </c>
      <c r="AE4898">
        <v>-5.1681199999999903</v>
      </c>
      <c r="AF4898">
        <v>5.2300340787880897</v>
      </c>
      <c r="AG4898">
        <v>-1.159322</v>
      </c>
      <c r="AH4898">
        <v>12.3281843336371</v>
      </c>
      <c r="AI4898">
        <v>94.947774220950194</v>
      </c>
      <c r="AJ4898">
        <v>67.011695692546894</v>
      </c>
      <c r="AK4898">
        <v>13.441778637111399</v>
      </c>
      <c r="AL4898">
        <v>81.9282307206539</v>
      </c>
      <c r="AM4898">
        <v>69.111747611238698</v>
      </c>
      <c r="AN4898">
        <v>0.999999919082461</v>
      </c>
    </row>
    <row r="4899" spans="1:40" x14ac:dyDescent="0.25">
      <c r="A4899" t="str">
        <f>"20190312172804072"</f>
        <v>20190312172804072</v>
      </c>
      <c r="B4899" t="str">
        <f>"1552382884064752"</f>
        <v>1552382884064752</v>
      </c>
      <c r="C4899" t="s">
        <v>40</v>
      </c>
      <c r="D4899">
        <v>3.1723330000000001</v>
      </c>
      <c r="E4899">
        <v>0.51775590000000005</v>
      </c>
      <c r="F4899" t="s">
        <v>43</v>
      </c>
      <c r="G4899">
        <v>-315.76900000000001</v>
      </c>
      <c r="H4899">
        <v>-0.05</v>
      </c>
      <c r="I4899">
        <v>11.522</v>
      </c>
      <c r="J4899">
        <v>-328.16559999999998</v>
      </c>
      <c r="K4899">
        <v>1.1092789999999999</v>
      </c>
      <c r="L4899">
        <v>16.718440000000001</v>
      </c>
      <c r="M4899">
        <v>0.99988860000000002</v>
      </c>
      <c r="N4899">
        <v>0</v>
      </c>
      <c r="O4899">
        <v>6.4036969999999999E-3</v>
      </c>
      <c r="P4899">
        <v>0.92900260000000001</v>
      </c>
      <c r="Q4899">
        <v>0.128384199999999</v>
      </c>
      <c r="R4899">
        <v>-0.34709069999999997</v>
      </c>
      <c r="S4899">
        <v>2.82959</v>
      </c>
      <c r="T4899">
        <v>-0.2603993</v>
      </c>
      <c r="U4899">
        <v>-1.1672670000000001</v>
      </c>
      <c r="V4899">
        <v>0.3533422</v>
      </c>
      <c r="W4899">
        <v>0.14009340000000001</v>
      </c>
      <c r="X4899">
        <v>0.92494489999999996</v>
      </c>
      <c r="Y4899">
        <v>0.38584269999999998</v>
      </c>
      <c r="Z4899">
        <v>-1.759024E-2</v>
      </c>
      <c r="AA4899">
        <v>0.92239689999999996</v>
      </c>
      <c r="AB4899">
        <v>19</v>
      </c>
      <c r="AC4899">
        <v>12.3965999999999</v>
      </c>
      <c r="AD4899">
        <v>-1.1592789999999999</v>
      </c>
      <c r="AE4899">
        <v>-5.1964399999999999</v>
      </c>
      <c r="AF4899">
        <v>5.2367724535190003</v>
      </c>
      <c r="AG4899">
        <v>-1.1592789999999999</v>
      </c>
      <c r="AH4899">
        <v>12.2717860768017</v>
      </c>
      <c r="AI4899">
        <v>94.965766074927203</v>
      </c>
      <c r="AJ4899">
        <v>66.890472279662703</v>
      </c>
      <c r="AK4899">
        <v>13.392701260185</v>
      </c>
      <c r="AL4899">
        <v>81.946748816110698</v>
      </c>
      <c r="AM4899">
        <v>69.092426954929394</v>
      </c>
      <c r="AN4899">
        <v>0.99999996953020398</v>
      </c>
    </row>
    <row r="4900" spans="1:40" x14ac:dyDescent="0.25">
      <c r="A4900" t="str">
        <f>"20190312172804094"</f>
        <v>20190312172804094</v>
      </c>
      <c r="B4900" t="str">
        <f>"1552382884084273"</f>
        <v>1552382884084273</v>
      </c>
      <c r="C4900" t="s">
        <v>40</v>
      </c>
      <c r="D4900">
        <v>3.2304400000000002</v>
      </c>
      <c r="E4900">
        <v>0.49619980000000002</v>
      </c>
      <c r="F4900" t="s">
        <v>43</v>
      </c>
      <c r="G4900">
        <v>-315.62079999999997</v>
      </c>
      <c r="H4900">
        <v>-0.05</v>
      </c>
      <c r="I4900">
        <v>11.509219999999999</v>
      </c>
      <c r="J4900">
        <v>-327.97669999999999</v>
      </c>
      <c r="K4900">
        <v>1.10924</v>
      </c>
      <c r="L4900">
        <v>16.71771</v>
      </c>
      <c r="M4900">
        <v>0.99989779999999995</v>
      </c>
      <c r="N4900">
        <v>0</v>
      </c>
      <c r="O4900">
        <v>4.7595449999999996E-3</v>
      </c>
      <c r="P4900">
        <v>0.92842250000000004</v>
      </c>
      <c r="Q4900">
        <v>0.12780459999999999</v>
      </c>
      <c r="R4900">
        <v>-0.34885169999999999</v>
      </c>
      <c r="S4900">
        <v>2.826813</v>
      </c>
      <c r="T4900">
        <v>-0.2612275</v>
      </c>
      <c r="U4900">
        <v>-1.1738280000000001</v>
      </c>
      <c r="V4900">
        <v>0.35358830000000002</v>
      </c>
      <c r="W4900">
        <v>0.13947909999999999</v>
      </c>
      <c r="X4900">
        <v>0.92494370000000004</v>
      </c>
      <c r="Y4900">
        <v>0.38646750000000002</v>
      </c>
      <c r="Z4900">
        <v>-1.7536409999999999E-2</v>
      </c>
      <c r="AA4900">
        <v>0.92213630000000002</v>
      </c>
      <c r="AB4900">
        <v>19</v>
      </c>
      <c r="AC4900">
        <v>12.3559</v>
      </c>
      <c r="AD4900">
        <v>-1.15924</v>
      </c>
      <c r="AE4900">
        <v>-5.2084900000000003</v>
      </c>
      <c r="AF4900">
        <v>5.2281683845052997</v>
      </c>
      <c r="AG4900">
        <v>-1.15924</v>
      </c>
      <c r="AH4900">
        <v>12.239487257659</v>
      </c>
      <c r="AI4900">
        <v>94.977880959058794</v>
      </c>
      <c r="AJ4900">
        <v>66.869966536284494</v>
      </c>
      <c r="AK4900">
        <v>13.3597391578106</v>
      </c>
      <c r="AL4900">
        <v>81.982294672250802</v>
      </c>
      <c r="AM4900">
        <v>69.079100071302705</v>
      </c>
      <c r="AN4900">
        <v>0.99999997670169405</v>
      </c>
    </row>
    <row r="4901" spans="1:40" x14ac:dyDescent="0.25">
      <c r="A4901" t="str">
        <f>"20190312172804104"</f>
        <v>20190312172804104</v>
      </c>
      <c r="B4901" t="str">
        <f>"1552382884094033"</f>
        <v>1552382884094033</v>
      </c>
      <c r="C4901" t="s">
        <v>40</v>
      </c>
      <c r="D4901">
        <v>3.15191</v>
      </c>
      <c r="E4901">
        <v>0.48747410000000002</v>
      </c>
      <c r="F4901" t="s">
        <v>43</v>
      </c>
      <c r="G4901">
        <v>-318.99959999999999</v>
      </c>
      <c r="H4901">
        <v>-0.05</v>
      </c>
      <c r="I4901">
        <v>13.564220000000001</v>
      </c>
      <c r="J4901">
        <v>-327.87549999999999</v>
      </c>
      <c r="K4901">
        <v>1.1092249999999999</v>
      </c>
      <c r="L4901">
        <v>16.717189999999999</v>
      </c>
      <c r="M4901">
        <v>0.99990179999999995</v>
      </c>
      <c r="N4901">
        <v>0</v>
      </c>
      <c r="O4901">
        <v>3.8562510000000002E-3</v>
      </c>
      <c r="P4901">
        <v>0.92801080000000002</v>
      </c>
      <c r="Q4901">
        <v>0.127357199999999</v>
      </c>
      <c r="R4901">
        <v>-0.35010989999999997</v>
      </c>
      <c r="S4901">
        <v>2.900055</v>
      </c>
      <c r="T4901">
        <v>-0.3744941</v>
      </c>
      <c r="U4901">
        <v>-1.0187379999999999</v>
      </c>
      <c r="V4901">
        <v>0.35401290000000002</v>
      </c>
      <c r="W4901">
        <v>0.13901160000000001</v>
      </c>
      <c r="X4901">
        <v>0.92485170000000005</v>
      </c>
      <c r="Y4901">
        <v>0.33257550000000002</v>
      </c>
      <c r="Z4901">
        <v>-2.1251590000000001E-2</v>
      </c>
      <c r="AA4901">
        <v>0.94283720000000004</v>
      </c>
      <c r="AB4901">
        <v>19</v>
      </c>
      <c r="AC4901">
        <v>8.8758999999999997</v>
      </c>
      <c r="AD4901">
        <v>-1.1592249999999999</v>
      </c>
      <c r="AE4901">
        <v>-3.1529699999999901</v>
      </c>
      <c r="AF4901">
        <v>3.1396243675763502</v>
      </c>
      <c r="AG4901">
        <v>-1.1592249999999999</v>
      </c>
      <c r="AH4901">
        <v>8.7314273807796106</v>
      </c>
      <c r="AI4901">
        <v>97.121259929523703</v>
      </c>
      <c r="AJ4901">
        <v>70.222559334605293</v>
      </c>
      <c r="AK4901">
        <v>9.3508752465174094</v>
      </c>
      <c r="AL4901">
        <v>82.009344255779496</v>
      </c>
      <c r="AM4901">
        <v>69.054252622004398</v>
      </c>
      <c r="AN4901">
        <v>1.0000000126469299</v>
      </c>
    </row>
    <row r="4902" spans="1:40" x14ac:dyDescent="0.25">
      <c r="A4902" t="str">
        <f>"20190312172804117"</f>
        <v>20190312172804117</v>
      </c>
      <c r="B4902" t="str">
        <f>"1552382884104770"</f>
        <v>1552382884104770</v>
      </c>
      <c r="C4902" t="s">
        <v>40</v>
      </c>
      <c r="D4902">
        <v>3.1515819999999999</v>
      </c>
      <c r="E4902">
        <v>0.4811549</v>
      </c>
      <c r="F4902" t="s">
        <v>43</v>
      </c>
      <c r="G4902">
        <v>-319.38339999999999</v>
      </c>
      <c r="H4902">
        <v>-0.05</v>
      </c>
      <c r="I4902">
        <v>13.938610000000001</v>
      </c>
      <c r="J4902">
        <v>-327.77330000000001</v>
      </c>
      <c r="K4902">
        <v>1.1092029999999999</v>
      </c>
      <c r="L4902">
        <v>16.716519999999999</v>
      </c>
      <c r="M4902">
        <v>0.99990489999999999</v>
      </c>
      <c r="N4902">
        <v>0</v>
      </c>
      <c r="O4902">
        <v>2.9204809999999999E-3</v>
      </c>
      <c r="P4902">
        <v>0.92762480000000003</v>
      </c>
      <c r="Q4902">
        <v>0.127216</v>
      </c>
      <c r="R4902">
        <v>-0.35118169999999999</v>
      </c>
      <c r="S4902">
        <v>2.9263309999999998</v>
      </c>
      <c r="T4902">
        <v>-0.39946530000000002</v>
      </c>
      <c r="U4902">
        <v>-0.95748900000000003</v>
      </c>
      <c r="V4902">
        <v>0.3542227</v>
      </c>
      <c r="W4902">
        <v>0.13885249999999999</v>
      </c>
      <c r="X4902">
        <v>0.92479520000000004</v>
      </c>
      <c r="Y4902">
        <v>0.31111680000000003</v>
      </c>
      <c r="Z4902">
        <v>-2.0993439999999999E-2</v>
      </c>
      <c r="AA4902">
        <v>0.95013979999999998</v>
      </c>
      <c r="AB4902">
        <v>19</v>
      </c>
      <c r="AC4902">
        <v>8.3899000000000097</v>
      </c>
      <c r="AD4902">
        <v>-1.159203</v>
      </c>
      <c r="AE4902">
        <v>-2.7779099999999999</v>
      </c>
      <c r="AF4902">
        <v>2.7550059663961601</v>
      </c>
      <c r="AG4902">
        <v>-1.159203</v>
      </c>
      <c r="AH4902">
        <v>8.2399903533018897</v>
      </c>
      <c r="AI4902">
        <v>97.599540231145994</v>
      </c>
      <c r="AJ4902">
        <v>71.512859237012904</v>
      </c>
      <c r="AK4902">
        <v>8.7653437178809792</v>
      </c>
      <c r="AL4902">
        <v>82.018548781643204</v>
      </c>
      <c r="AM4902">
        <v>69.041747916668399</v>
      </c>
      <c r="AN4902">
        <v>0.99999994994728802</v>
      </c>
    </row>
    <row r="4903" spans="1:40" x14ac:dyDescent="0.25">
      <c r="A4903" t="str">
        <f>"20190312172804129"</f>
        <v>20190312172804129</v>
      </c>
      <c r="B4903" t="str">
        <f>"1552382884124289"</f>
        <v>1552382884124289</v>
      </c>
      <c r="C4903" t="s">
        <v>40</v>
      </c>
      <c r="D4903">
        <v>3.1647569999999998</v>
      </c>
      <c r="E4903">
        <v>0.47101749999999998</v>
      </c>
      <c r="F4903" t="s">
        <v>41</v>
      </c>
      <c r="G4903">
        <v>-320.09390000000002</v>
      </c>
      <c r="H4903" s="1">
        <v>-5.5999639999999996E-6</v>
      </c>
      <c r="I4903">
        <v>14.33501</v>
      </c>
      <c r="J4903">
        <v>-327.67079999999999</v>
      </c>
      <c r="K4903">
        <v>1.1091819999999999</v>
      </c>
      <c r="L4903">
        <v>16.71576</v>
      </c>
      <c r="M4903">
        <v>0.99990730000000005</v>
      </c>
      <c r="N4903">
        <v>0</v>
      </c>
      <c r="O4903">
        <v>1.971062E-3</v>
      </c>
      <c r="P4903">
        <v>0.92720559999999996</v>
      </c>
      <c r="Q4903">
        <v>0.12675400000000001</v>
      </c>
      <c r="R4903">
        <v>-0.35245389999999999</v>
      </c>
      <c r="S4903">
        <v>2.9465029999999999</v>
      </c>
      <c r="T4903">
        <v>-0.4255892</v>
      </c>
      <c r="U4903">
        <v>-0.91375729999999999</v>
      </c>
      <c r="V4903">
        <v>0.35461949999999998</v>
      </c>
      <c r="W4903">
        <v>0.1383713</v>
      </c>
      <c r="X4903">
        <v>0.92471530000000002</v>
      </c>
      <c r="Y4903">
        <v>0.29526629999999998</v>
      </c>
      <c r="Z4903">
        <v>-2.101095E-2</v>
      </c>
      <c r="AA4903">
        <v>0.95518389999999997</v>
      </c>
      <c r="AB4903">
        <v>19</v>
      </c>
      <c r="AC4903">
        <v>7.5768999999999602</v>
      </c>
      <c r="AD4903">
        <v>-1.109187599964</v>
      </c>
      <c r="AE4903">
        <v>-2.3807499999999902</v>
      </c>
      <c r="AF4903">
        <v>2.3498484898818401</v>
      </c>
      <c r="AG4903">
        <v>-1.109187599964</v>
      </c>
      <c r="AH4903">
        <v>7.4273254719917601</v>
      </c>
      <c r="AI4903">
        <v>98.103462898434202</v>
      </c>
      <c r="AJ4903">
        <v>72.443731618826604</v>
      </c>
      <c r="AK4903">
        <v>7.8687514082102901</v>
      </c>
      <c r="AL4903">
        <v>82.046388623679803</v>
      </c>
      <c r="AM4903">
        <v>69.018657476314701</v>
      </c>
      <c r="AN4903">
        <v>0.99999999624901503</v>
      </c>
    </row>
    <row r="4904" spans="1:40" x14ac:dyDescent="0.25">
      <c r="A4904" t="str">
        <f>"20190312172804140"</f>
        <v>20190312172804140</v>
      </c>
      <c r="B4904" t="str">
        <f>"1552382884134050"</f>
        <v>1552382884134050</v>
      </c>
      <c r="C4904" t="s">
        <v>40</v>
      </c>
      <c r="D4904">
        <v>3.1220189999999999</v>
      </c>
      <c r="E4904">
        <v>0.46811380000000002</v>
      </c>
      <c r="F4904" t="s">
        <v>41</v>
      </c>
      <c r="G4904">
        <v>-320.56920000000002</v>
      </c>
      <c r="H4904" s="1">
        <v>-5.3090509999999998E-6</v>
      </c>
      <c r="I4904">
        <v>14.708310000000001</v>
      </c>
      <c r="J4904">
        <v>-327.56079999999997</v>
      </c>
      <c r="K4904">
        <v>1.1091610000000001</v>
      </c>
      <c r="L4904">
        <v>16.714749999999999</v>
      </c>
      <c r="M4904">
        <v>0.99990869999999998</v>
      </c>
      <c r="N4904">
        <v>0</v>
      </c>
      <c r="O4904">
        <v>9.1561509999999997E-4</v>
      </c>
      <c r="P4904">
        <v>0.92678190000000005</v>
      </c>
      <c r="Q4904">
        <v>0.12627769999999999</v>
      </c>
      <c r="R4904">
        <v>-0.35373599999999999</v>
      </c>
      <c r="S4904">
        <v>2.979034</v>
      </c>
      <c r="T4904">
        <v>-0.46529100000000001</v>
      </c>
      <c r="U4904">
        <v>-0.84210209999999996</v>
      </c>
      <c r="V4904">
        <v>0.35492950000000001</v>
      </c>
      <c r="W4904">
        <v>0.13787449999999901</v>
      </c>
      <c r="X4904">
        <v>0.92467060000000001</v>
      </c>
      <c r="Y4904">
        <v>0.26985679999999901</v>
      </c>
      <c r="Z4904">
        <v>-2.0691149999999998E-2</v>
      </c>
      <c r="AA4904">
        <v>0.96267809999999998</v>
      </c>
      <c r="AB4904">
        <v>19</v>
      </c>
      <c r="AC4904">
        <v>6.9915999999999396</v>
      </c>
      <c r="AD4904">
        <v>-1.109166309051</v>
      </c>
      <c r="AE4904">
        <v>-2.0064399999999898</v>
      </c>
      <c r="AF4904">
        <v>1.96710132035004</v>
      </c>
      <c r="AG4904">
        <v>-1.109166309051</v>
      </c>
      <c r="AH4904">
        <v>6.8309236826278399</v>
      </c>
      <c r="AI4904">
        <v>98.868546767789596</v>
      </c>
      <c r="AJ4904">
        <v>73.935184938446994</v>
      </c>
      <c r="AK4904">
        <v>7.1945295790303501</v>
      </c>
      <c r="AL4904">
        <v>82.075128851867603</v>
      </c>
      <c r="AM4904">
        <v>69.000987639652806</v>
      </c>
      <c r="AN4904">
        <v>1.00000002311242</v>
      </c>
    </row>
    <row r="4905" spans="1:40" x14ac:dyDescent="0.25">
      <c r="A4905" t="str">
        <f>"20190312172804153"</f>
        <v>20190312172804153</v>
      </c>
      <c r="B4905" t="str">
        <f>"1552382884144785"</f>
        <v>1552382884144785</v>
      </c>
      <c r="C4905" t="s">
        <v>40</v>
      </c>
      <c r="D4905">
        <v>3.0454560000000002</v>
      </c>
      <c r="E4905">
        <v>0.46578259999999999</v>
      </c>
      <c r="F4905" t="s">
        <v>41</v>
      </c>
      <c r="G4905">
        <v>-320.59269999999998</v>
      </c>
      <c r="H4905" s="1">
        <v>-5.2832249999999997E-6</v>
      </c>
      <c r="I4905">
        <v>14.791499999999999</v>
      </c>
      <c r="J4905">
        <v>-327.46100000000001</v>
      </c>
      <c r="K4905">
        <v>1.109135</v>
      </c>
      <c r="L4905">
        <v>16.71378</v>
      </c>
      <c r="M4905">
        <v>0.99990919999999905</v>
      </c>
      <c r="N4905">
        <v>0</v>
      </c>
      <c r="O4905" s="1">
        <v>-5.7607159999999997E-5</v>
      </c>
      <c r="P4905">
        <v>0.92638679999999995</v>
      </c>
      <c r="Q4905">
        <v>0.12611410000000001</v>
      </c>
      <c r="R4905">
        <v>-0.35482799999999998</v>
      </c>
      <c r="S4905">
        <v>2.9871219999999998</v>
      </c>
      <c r="T4905">
        <v>-0.47547919999999999</v>
      </c>
      <c r="U4905">
        <v>-0.8244629</v>
      </c>
      <c r="V4905">
        <v>0.3551261</v>
      </c>
      <c r="W4905">
        <v>0.13769210000000001</v>
      </c>
      <c r="X4905">
        <v>0.92462230000000001</v>
      </c>
      <c r="Y4905">
        <v>0.26292579999999999</v>
      </c>
      <c r="Z4905">
        <v>-2.0411120000000001E-2</v>
      </c>
      <c r="AA4905">
        <v>0.96460009999999996</v>
      </c>
      <c r="AB4905">
        <v>19</v>
      </c>
      <c r="AC4905">
        <v>6.8683000000000298</v>
      </c>
      <c r="AD4905">
        <v>-1.1091402832249999</v>
      </c>
      <c r="AE4905">
        <v>-1.92228</v>
      </c>
      <c r="AF4905">
        <v>1.8765035482044601</v>
      </c>
      <c r="AG4905">
        <v>-1.1091402832249999</v>
      </c>
      <c r="AH4905">
        <v>6.7062294707815404</v>
      </c>
      <c r="AI4905">
        <v>99.049592951350903</v>
      </c>
      <c r="AJ4905">
        <v>74.367583536702497</v>
      </c>
      <c r="AK4905">
        <v>7.0515935396954896</v>
      </c>
      <c r="AL4905">
        <v>82.085680287449094</v>
      </c>
      <c r="AM4905">
        <v>68.989369029131694</v>
      </c>
      <c r="AN4905">
        <v>1.0000000294804501</v>
      </c>
    </row>
    <row r="4906" spans="1:40" x14ac:dyDescent="0.25">
      <c r="A4906" t="str">
        <f>"20190312172804165"</f>
        <v>20190312172804165</v>
      </c>
      <c r="B4906" t="str">
        <f>"1552382884154545"</f>
        <v>1552382884154545</v>
      </c>
      <c r="C4906" t="s">
        <v>40</v>
      </c>
      <c r="D4906">
        <v>3.0494629999999998</v>
      </c>
      <c r="E4906">
        <v>0.46405459999999898</v>
      </c>
      <c r="F4906" t="s">
        <v>41</v>
      </c>
      <c r="G4906">
        <v>-320.61279999999999</v>
      </c>
      <c r="H4906" s="1">
        <v>-5.2615219999999997E-6</v>
      </c>
      <c r="I4906">
        <v>14.86016</v>
      </c>
      <c r="J4906">
        <v>-327.35539999999997</v>
      </c>
      <c r="K4906">
        <v>1.109111</v>
      </c>
      <c r="L4906">
        <v>16.712589999999999</v>
      </c>
      <c r="M4906">
        <v>0.99990849999999998</v>
      </c>
      <c r="N4906">
        <v>0</v>
      </c>
      <c r="O4906">
        <v>-1.1067339999999901E-3</v>
      </c>
      <c r="P4906">
        <v>0.92602309999999999</v>
      </c>
      <c r="Q4906">
        <v>0.12558239999999901</v>
      </c>
      <c r="R4906">
        <v>-0.35596430000000001</v>
      </c>
      <c r="S4906">
        <v>2.9939879999999999</v>
      </c>
      <c r="T4906">
        <v>-0.48491190000000001</v>
      </c>
      <c r="U4906">
        <v>-0.81039430000000001</v>
      </c>
      <c r="V4906">
        <v>0.35529660000000002</v>
      </c>
      <c r="W4906">
        <v>0.1371405</v>
      </c>
      <c r="X4906">
        <v>0.92463879999999998</v>
      </c>
      <c r="Y4906">
        <v>0.2570944</v>
      </c>
      <c r="Z4906">
        <v>-2.015113E-2</v>
      </c>
      <c r="AA4906">
        <v>0.96617620000000004</v>
      </c>
      <c r="AB4906">
        <v>19</v>
      </c>
      <c r="AC4906">
        <v>6.7425999999999799</v>
      </c>
      <c r="AD4906">
        <v>-1.109116261522</v>
      </c>
      <c r="AE4906">
        <v>-1.85242999999999</v>
      </c>
      <c r="AF4906">
        <v>1.7996871903943501</v>
      </c>
      <c r="AG4906">
        <v>-1.109116261522</v>
      </c>
      <c r="AH4906">
        <v>6.5791206380028404</v>
      </c>
      <c r="AI4906">
        <v>99.235873722003504</v>
      </c>
      <c r="AJ4906">
        <v>74.701268405052403</v>
      </c>
      <c r="AK4906">
        <v>6.9104154169077896</v>
      </c>
      <c r="AL4906">
        <v>82.117587496255496</v>
      </c>
      <c r="AM4906">
        <v>68.9805048021245</v>
      </c>
      <c r="AN4906">
        <v>1.00000005058862</v>
      </c>
    </row>
    <row r="4907" spans="1:40" x14ac:dyDescent="0.25">
      <c r="A4907" t="str">
        <f>"20190312172804178"</f>
        <v>20190312172804178</v>
      </c>
      <c r="B4907" t="str">
        <f>"1552382884174065"</f>
        <v>1552382884174065</v>
      </c>
      <c r="C4907" t="s">
        <v>40</v>
      </c>
      <c r="D4907">
        <v>3.1383079999999999</v>
      </c>
      <c r="E4907">
        <v>0.46145940000000002</v>
      </c>
      <c r="F4907" t="s">
        <v>44</v>
      </c>
      <c r="G4907">
        <v>-326.62610000000001</v>
      </c>
      <c r="H4907">
        <v>0.9889985</v>
      </c>
      <c r="I4907">
        <v>16.517340000000001</v>
      </c>
      <c r="J4907">
        <v>-327.24400000000003</v>
      </c>
      <c r="K4907">
        <v>1.109089</v>
      </c>
      <c r="L4907">
        <v>16.711179999999999</v>
      </c>
      <c r="M4907">
        <v>0.99990670000000004</v>
      </c>
      <c r="N4907">
        <v>0</v>
      </c>
      <c r="O4907">
        <v>-2.2424860000000001E-3</v>
      </c>
      <c r="P4907">
        <v>0.92561649999999995</v>
      </c>
      <c r="Q4907">
        <v>0.12525619999999901</v>
      </c>
      <c r="R4907">
        <v>-0.35713509999999998</v>
      </c>
      <c r="S4907">
        <v>2.9985050000000002</v>
      </c>
      <c r="T4907">
        <v>-0.49347269999999999</v>
      </c>
      <c r="U4907">
        <v>-0.80145259999999996</v>
      </c>
      <c r="V4907">
        <v>0.35542240000000003</v>
      </c>
      <c r="W4907">
        <v>0.13679469999999999</v>
      </c>
      <c r="X4907">
        <v>0.92464159999999995</v>
      </c>
      <c r="Y4907">
        <v>0.25290439999999997</v>
      </c>
      <c r="Z4907">
        <v>-1.9961420000000001E-2</v>
      </c>
      <c r="AA4907">
        <v>0.96728530000000001</v>
      </c>
      <c r="AB4907">
        <v>19</v>
      </c>
      <c r="AC4907">
        <v>0.61790000000001999</v>
      </c>
      <c r="AD4907">
        <v>-0.120090499999999</v>
      </c>
      <c r="AE4907">
        <v>-0.19383999999999799</v>
      </c>
      <c r="AF4907">
        <v>0.18605555085002201</v>
      </c>
      <c r="AG4907">
        <v>-0.120090499999999</v>
      </c>
      <c r="AH4907">
        <v>0.59777642998953195</v>
      </c>
      <c r="AI4907">
        <v>100.858519567684</v>
      </c>
      <c r="AJ4907">
        <v>72.711452910911802</v>
      </c>
      <c r="AK4907">
        <v>0.63747553399592205</v>
      </c>
      <c r="AL4907">
        <v>82.137588323101596</v>
      </c>
      <c r="AM4907">
        <v>68.973770852039493</v>
      </c>
      <c r="AN4907">
        <v>0.99999998041020399</v>
      </c>
    </row>
    <row r="4908" spans="1:40" x14ac:dyDescent="0.25">
      <c r="A4908" t="str">
        <f>"20190312172804194"</f>
        <v>20190312172804194</v>
      </c>
      <c r="B4908" t="str">
        <f>"1552382884184801"</f>
        <v>1552382884184801</v>
      </c>
      <c r="C4908" t="s">
        <v>40</v>
      </c>
      <c r="D4908">
        <v>3.0657040000000002</v>
      </c>
      <c r="E4908">
        <v>0.46054240000000002</v>
      </c>
      <c r="F4908" t="s">
        <v>44</v>
      </c>
      <c r="G4908">
        <v>-326.45870000000002</v>
      </c>
      <c r="H4908">
        <v>0.97695120000000002</v>
      </c>
      <c r="I4908">
        <v>16.505659999999999</v>
      </c>
      <c r="J4908">
        <v>-327.10329999999999</v>
      </c>
      <c r="K4908">
        <v>1.109056</v>
      </c>
      <c r="L4908">
        <v>16.709199999999999</v>
      </c>
      <c r="M4908">
        <v>0.99990230000000002</v>
      </c>
      <c r="N4908">
        <v>0</v>
      </c>
      <c r="O4908">
        <v>-3.7024599999999999E-3</v>
      </c>
      <c r="P4908">
        <v>0.92535780000000001</v>
      </c>
      <c r="Q4908">
        <v>0.1240057</v>
      </c>
      <c r="R4908">
        <v>-0.35824060000000002</v>
      </c>
      <c r="S4908">
        <v>3.006256</v>
      </c>
      <c r="T4908">
        <v>-0.50570340000000003</v>
      </c>
      <c r="U4908">
        <v>-0.78601069999999995</v>
      </c>
      <c r="V4908">
        <v>0.35518169999999999</v>
      </c>
      <c r="W4908">
        <v>0.13552400000000001</v>
      </c>
      <c r="X4908">
        <v>0.9249212</v>
      </c>
      <c r="Y4908">
        <v>0.2461817</v>
      </c>
      <c r="Z4908">
        <v>-1.9619999999999999E-2</v>
      </c>
      <c r="AA4908">
        <v>0.96902509999999997</v>
      </c>
      <c r="AB4908">
        <v>19</v>
      </c>
      <c r="AC4908">
        <v>0.64459999999996798</v>
      </c>
      <c r="AD4908">
        <v>-0.13210479999999999</v>
      </c>
      <c r="AE4908">
        <v>-0.20354</v>
      </c>
      <c r="AF4908">
        <v>0.19375187732486801</v>
      </c>
      <c r="AG4908">
        <v>-0.13210479999999999</v>
      </c>
      <c r="AH4908">
        <v>0.62160835493381095</v>
      </c>
      <c r="AI4908">
        <v>101.469250785334</v>
      </c>
      <c r="AJ4908">
        <v>72.688033080799798</v>
      </c>
      <c r="AK4908">
        <v>0.66437069101027402</v>
      </c>
      <c r="AL4908">
        <v>82.211078729591406</v>
      </c>
      <c r="AM4908">
        <v>68.992564941599696</v>
      </c>
      <c r="AN4908">
        <v>1.0000000104001601</v>
      </c>
    </row>
    <row r="4909" spans="1:40" x14ac:dyDescent="0.25">
      <c r="A4909" t="str">
        <f>"20190312172804208"</f>
        <v>20190312172804208</v>
      </c>
      <c r="B4909" t="str">
        <f>"1552382884204322"</f>
        <v>1552382884204322</v>
      </c>
      <c r="C4909" t="s">
        <v>40</v>
      </c>
      <c r="D4909">
        <v>3.0982889999999998</v>
      </c>
      <c r="E4909">
        <v>0.4592213</v>
      </c>
      <c r="F4909" t="s">
        <v>44</v>
      </c>
      <c r="G4909">
        <v>-326.28930000000003</v>
      </c>
      <c r="H4909">
        <v>0.96994780000000003</v>
      </c>
      <c r="I4909">
        <v>16.497309999999999</v>
      </c>
      <c r="J4909">
        <v>-326.98419999999999</v>
      </c>
      <c r="K4909">
        <v>1.109022</v>
      </c>
      <c r="L4909">
        <v>16.707339999999999</v>
      </c>
      <c r="M4909">
        <v>0.99989680000000003</v>
      </c>
      <c r="N4909">
        <v>0</v>
      </c>
      <c r="O4909">
        <v>-4.9605200000000004E-3</v>
      </c>
      <c r="P4909">
        <v>0.92503919999999995</v>
      </c>
      <c r="Q4909">
        <v>0.12315909999999999</v>
      </c>
      <c r="R4909">
        <v>-0.35935270000000002</v>
      </c>
      <c r="S4909">
        <v>3.0078130000000001</v>
      </c>
      <c r="T4909">
        <v>-0.51394269999999997</v>
      </c>
      <c r="U4909">
        <v>-0.78277589999999997</v>
      </c>
      <c r="V4909">
        <v>0.35513460000000002</v>
      </c>
      <c r="W4909">
        <v>0.13465929999999901</v>
      </c>
      <c r="X4909">
        <v>0.92506560000000004</v>
      </c>
      <c r="Y4909">
        <v>0.24381159999999999</v>
      </c>
      <c r="Z4909">
        <v>-1.9520349999999999E-2</v>
      </c>
      <c r="AA4909">
        <v>0.96962610000000005</v>
      </c>
      <c r="AB4909">
        <v>19</v>
      </c>
      <c r="AC4909">
        <v>0.69489999999996099</v>
      </c>
      <c r="AD4909">
        <v>-0.13907419999999901</v>
      </c>
      <c r="AE4909">
        <v>-0.210029999999999</v>
      </c>
      <c r="AF4909">
        <v>0.19926665405726501</v>
      </c>
      <c r="AG4909">
        <v>-0.13907419999999901</v>
      </c>
      <c r="AH4909">
        <v>0.67129584520422103</v>
      </c>
      <c r="AI4909">
        <v>101.23319401688499</v>
      </c>
      <c r="AJ4909">
        <v>73.467068201614595</v>
      </c>
      <c r="AK4909">
        <v>0.71392362638679197</v>
      </c>
      <c r="AL4909">
        <v>82.261080967422004</v>
      </c>
      <c r="AM4909">
        <v>68.998100587355694</v>
      </c>
      <c r="AN4909">
        <v>1.0000000377485001</v>
      </c>
    </row>
    <row r="4910" spans="1:40" x14ac:dyDescent="0.25">
      <c r="A4910" t="str">
        <f>"20190312172804220"</f>
        <v>20190312172804220</v>
      </c>
      <c r="B4910" t="str">
        <f>"1552382884214083"</f>
        <v>1552382884214083</v>
      </c>
      <c r="C4910" t="s">
        <v>40</v>
      </c>
      <c r="D4910">
        <v>3.1763309999999998</v>
      </c>
      <c r="E4910">
        <v>0.45884599999999998</v>
      </c>
      <c r="F4910" t="s">
        <v>44</v>
      </c>
      <c r="G4910">
        <v>-326.12189999999998</v>
      </c>
      <c r="H4910">
        <v>0.95898700000000003</v>
      </c>
      <c r="I4910">
        <v>16.484749999999998</v>
      </c>
      <c r="J4910">
        <v>-326.86970000000002</v>
      </c>
      <c r="K4910">
        <v>1.108997</v>
      </c>
      <c r="L4910">
        <v>16.70532</v>
      </c>
      <c r="M4910">
        <v>0.9998899</v>
      </c>
      <c r="N4910">
        <v>0</v>
      </c>
      <c r="O4910">
        <v>-6.2007360000000001E-3</v>
      </c>
      <c r="P4910">
        <v>0.92485390000000001</v>
      </c>
      <c r="Q4910">
        <v>0.1222734</v>
      </c>
      <c r="R4910">
        <v>-0.3601317</v>
      </c>
      <c r="S4910">
        <v>3.0111690000000002</v>
      </c>
      <c r="T4910">
        <v>-0.52372470000000004</v>
      </c>
      <c r="U4910">
        <v>-0.77648930000000005</v>
      </c>
      <c r="V4910">
        <v>0.35476849999999999</v>
      </c>
      <c r="W4910">
        <v>0.13376199999999999</v>
      </c>
      <c r="X4910">
        <v>0.92533620000000005</v>
      </c>
      <c r="Y4910">
        <v>0.24039460000000001</v>
      </c>
      <c r="Z4910">
        <v>-1.9369560000000001E-2</v>
      </c>
      <c r="AA4910">
        <v>0.97048199999999996</v>
      </c>
      <c r="AB4910">
        <v>19</v>
      </c>
      <c r="AC4910">
        <v>0.74780000000003999</v>
      </c>
      <c r="AD4910">
        <v>-0.15000999999999901</v>
      </c>
      <c r="AE4910">
        <v>-0.22057000000000199</v>
      </c>
      <c r="AF4910">
        <v>0.20822006134989399</v>
      </c>
      <c r="AG4910">
        <v>-0.15000999999999901</v>
      </c>
      <c r="AH4910">
        <v>0.72240963241969702</v>
      </c>
      <c r="AI4910">
        <v>101.28400946078099</v>
      </c>
      <c r="AJ4910">
        <v>73.921436407771296</v>
      </c>
      <c r="AK4910">
        <v>0.76663829219607604</v>
      </c>
      <c r="AL4910">
        <v>82.312961724879102</v>
      </c>
      <c r="AM4910">
        <v>69.023467771691699</v>
      </c>
      <c r="AN4910">
        <v>1.00000002213334</v>
      </c>
    </row>
    <row r="4911" spans="1:40" x14ac:dyDescent="0.25">
      <c r="A4911" t="str">
        <f>"20190312172804239"</f>
        <v>20190312172804239</v>
      </c>
      <c r="B4911" t="str">
        <f>"1552382884234578"</f>
        <v>1552382884234578</v>
      </c>
      <c r="C4911" t="s">
        <v>40</v>
      </c>
      <c r="D4911">
        <v>3.1946560000000002</v>
      </c>
      <c r="E4911">
        <v>0.43995849999999997</v>
      </c>
      <c r="F4911" t="s">
        <v>44</v>
      </c>
      <c r="G4911">
        <v>-326.11470000000003</v>
      </c>
      <c r="H4911">
        <v>0.97616550000000002</v>
      </c>
      <c r="I4911">
        <v>16.510570000000001</v>
      </c>
      <c r="J4911">
        <v>-326.71969999999999</v>
      </c>
      <c r="K4911">
        <v>1.1089709999999999</v>
      </c>
      <c r="L4911">
        <v>16.70251</v>
      </c>
      <c r="M4911">
        <v>0.9998783</v>
      </c>
      <c r="N4911">
        <v>0</v>
      </c>
      <c r="O4911">
        <v>-7.8480770000000002E-3</v>
      </c>
      <c r="P4911">
        <v>0.92458770000000001</v>
      </c>
      <c r="Q4911">
        <v>0.1208864</v>
      </c>
      <c r="R4911">
        <v>-0.36128120000000002</v>
      </c>
      <c r="S4911">
        <v>3.0116269999999998</v>
      </c>
      <c r="T4911">
        <v>-0.52963300000000002</v>
      </c>
      <c r="U4911">
        <v>-0.77597050000000001</v>
      </c>
      <c r="V4911">
        <v>0.35439520000000002</v>
      </c>
      <c r="W4911">
        <v>0.1323627</v>
      </c>
      <c r="X4911">
        <v>0.92568039999999996</v>
      </c>
      <c r="Y4911">
        <v>0.2385806</v>
      </c>
      <c r="Z4911">
        <v>-1.9143830000000001E-2</v>
      </c>
      <c r="AA4911">
        <v>0.97093399999999996</v>
      </c>
      <c r="AB4911">
        <v>19</v>
      </c>
      <c r="AC4911">
        <v>0.60499999999996101</v>
      </c>
      <c r="AD4911">
        <v>-0.13280549999999899</v>
      </c>
      <c r="AE4911">
        <v>-0.191939999999998</v>
      </c>
      <c r="AF4911">
        <v>0.179334386304558</v>
      </c>
      <c r="AG4911">
        <v>-0.13280549999999899</v>
      </c>
      <c r="AH4911">
        <v>0.58104975014288696</v>
      </c>
      <c r="AI4911">
        <v>102.319726275703</v>
      </c>
      <c r="AJ4911">
        <v>72.847754390519896</v>
      </c>
      <c r="AK4911">
        <v>0.62242825697633097</v>
      </c>
      <c r="AL4911">
        <v>82.393855047666094</v>
      </c>
      <c r="AM4911">
        <v>69.050738662355798</v>
      </c>
      <c r="AN4911">
        <v>1.00000002253924</v>
      </c>
    </row>
    <row r="4912" spans="1:40" x14ac:dyDescent="0.25">
      <c r="A4912" t="str">
        <f>"20190312172804253"</f>
        <v>20190312172804253</v>
      </c>
      <c r="B4912" t="str">
        <f>"1552382884244337"</f>
        <v>1552382884244337</v>
      </c>
      <c r="C4912" t="s">
        <v>40</v>
      </c>
      <c r="D4912">
        <v>3.201479</v>
      </c>
      <c r="E4912">
        <v>0.43722100000000003</v>
      </c>
      <c r="F4912" t="s">
        <v>44</v>
      </c>
      <c r="G4912">
        <v>-325.9545</v>
      </c>
      <c r="H4912">
        <v>0.95349790000000001</v>
      </c>
      <c r="I4912">
        <v>16.543510000000001</v>
      </c>
      <c r="J4912">
        <v>-326.5994</v>
      </c>
      <c r="K4912">
        <v>1.1089530000000001</v>
      </c>
      <c r="L4912">
        <v>16.700039999999898</v>
      </c>
      <c r="M4912">
        <v>0.9998669</v>
      </c>
      <c r="N4912">
        <v>0</v>
      </c>
      <c r="O4912">
        <v>-9.1890440000000004E-3</v>
      </c>
      <c r="P4912">
        <v>0.92411639999999995</v>
      </c>
      <c r="Q4912">
        <v>0.1207168</v>
      </c>
      <c r="R4912">
        <v>-0.36254189999999997</v>
      </c>
      <c r="S4912">
        <v>3.0767820000000001</v>
      </c>
      <c r="T4912">
        <v>-0.62503619999999904</v>
      </c>
      <c r="U4912">
        <v>-0.63885499999999995</v>
      </c>
      <c r="V4912">
        <v>0.35442000000000001</v>
      </c>
      <c r="W4912">
        <v>0.1321812</v>
      </c>
      <c r="X4912">
        <v>0.92569679999999999</v>
      </c>
      <c r="Y4912">
        <v>0.19073979999999999</v>
      </c>
      <c r="Z4912">
        <v>-1.7153069999999999E-2</v>
      </c>
      <c r="AA4912">
        <v>0.98149070000000005</v>
      </c>
      <c r="AB4912">
        <v>19</v>
      </c>
      <c r="AC4912">
        <v>0.64490000000000602</v>
      </c>
      <c r="AD4912">
        <v>-0.15545510000000001</v>
      </c>
      <c r="AE4912">
        <v>-0.15652999999999601</v>
      </c>
      <c r="AF4912">
        <v>0.142762895883177</v>
      </c>
      <c r="AG4912">
        <v>-0.15545510000000001</v>
      </c>
      <c r="AH4912">
        <v>0.61269060366651695</v>
      </c>
      <c r="AI4912">
        <v>103.88006772372199</v>
      </c>
      <c r="AJ4912">
        <v>76.883560612568601</v>
      </c>
      <c r="AK4912">
        <v>0.64802570039945395</v>
      </c>
      <c r="AL4912">
        <v>82.404346133350302</v>
      </c>
      <c r="AM4912">
        <v>69.049738845430895</v>
      </c>
      <c r="AN4912">
        <v>0.99999998578183902</v>
      </c>
    </row>
    <row r="4913" spans="1:40" x14ac:dyDescent="0.25">
      <c r="A4913" t="str">
        <f>"20190312172804265"</f>
        <v>20190312172804265</v>
      </c>
      <c r="B4913" t="str">
        <f>"1552382884254097"</f>
        <v>1552382884254097</v>
      </c>
      <c r="C4913" t="s">
        <v>40</v>
      </c>
      <c r="D4913">
        <v>3.1031439999999999</v>
      </c>
      <c r="E4913">
        <v>0.43585499999999999</v>
      </c>
      <c r="F4913" t="s">
        <v>44</v>
      </c>
      <c r="G4913">
        <v>-325.78640000000001</v>
      </c>
      <c r="H4913">
        <v>0.94537769999999999</v>
      </c>
      <c r="I4913">
        <v>16.535540000000001</v>
      </c>
      <c r="J4913">
        <v>-326.48520000000002</v>
      </c>
      <c r="K4913">
        <v>1.10894</v>
      </c>
      <c r="L4913">
        <v>16.69754</v>
      </c>
      <c r="M4913">
        <v>0.99985409999999997</v>
      </c>
      <c r="N4913">
        <v>0</v>
      </c>
      <c r="O4913">
        <v>-1.048145E-2</v>
      </c>
      <c r="P4913">
        <v>0.92367739999999998</v>
      </c>
      <c r="Q4913">
        <v>0.1207723</v>
      </c>
      <c r="R4913">
        <v>-0.36364020000000002</v>
      </c>
      <c r="S4913">
        <v>3.0829469999999999</v>
      </c>
      <c r="T4913">
        <v>-0.62003059999999999</v>
      </c>
      <c r="U4913">
        <v>-0.62286379999999997</v>
      </c>
      <c r="V4913">
        <v>0.35432780000000003</v>
      </c>
      <c r="W4913">
        <v>0.13222700000000001</v>
      </c>
      <c r="X4913">
        <v>0.92572560000000004</v>
      </c>
      <c r="Y4913">
        <v>0.18440280000000001</v>
      </c>
      <c r="Z4913">
        <v>-1.61146E-2</v>
      </c>
      <c r="AA4913">
        <v>0.9827186</v>
      </c>
      <c r="AB4913">
        <v>19</v>
      </c>
      <c r="AC4913">
        <v>0.69880000000000497</v>
      </c>
      <c r="AD4913">
        <v>-0.16356229999999999</v>
      </c>
      <c r="AE4913">
        <v>-0.16199999999999901</v>
      </c>
      <c r="AF4913">
        <v>0.14702220598736601</v>
      </c>
      <c r="AG4913">
        <v>-0.16356229999999999</v>
      </c>
      <c r="AH4913">
        <v>0.66584214565025901</v>
      </c>
      <c r="AI4913">
        <v>103.48865659539</v>
      </c>
      <c r="AJ4913">
        <v>77.548518719415796</v>
      </c>
      <c r="AK4913">
        <v>0.70122315845871896</v>
      </c>
      <c r="AL4913">
        <v>82.401699071449201</v>
      </c>
      <c r="AM4913">
        <v>69.055311225503701</v>
      </c>
      <c r="AN4913">
        <v>1.0000000279385901</v>
      </c>
    </row>
    <row r="4914" spans="1:40" x14ac:dyDescent="0.25">
      <c r="A4914" t="str">
        <f>"20190312172804280"</f>
        <v>20190312172804280</v>
      </c>
      <c r="B4914" t="str">
        <f>"1552382884274593"</f>
        <v>1552382884274593</v>
      </c>
      <c r="C4914" t="s">
        <v>40</v>
      </c>
      <c r="D4914">
        <v>3.1004160000000001</v>
      </c>
      <c r="E4914">
        <v>0.43453239999999999</v>
      </c>
      <c r="F4914" t="s">
        <v>44</v>
      </c>
      <c r="G4914">
        <v>-325.77760000000001</v>
      </c>
      <c r="H4914">
        <v>0.96503019999999995</v>
      </c>
      <c r="I4914">
        <v>16.556010000000001</v>
      </c>
      <c r="J4914">
        <v>-326.36509999999998</v>
      </c>
      <c r="K4914">
        <v>1.108927</v>
      </c>
      <c r="L4914">
        <v>16.69464</v>
      </c>
      <c r="M4914">
        <v>0.99983880000000003</v>
      </c>
      <c r="N4914">
        <v>0</v>
      </c>
      <c r="O4914">
        <v>-1.1863830000000001E-2</v>
      </c>
      <c r="P4914">
        <v>0.92319099999999998</v>
      </c>
      <c r="Q4914">
        <v>0.1206589</v>
      </c>
      <c r="R4914">
        <v>-0.36491129999999999</v>
      </c>
      <c r="S4914">
        <v>3.08725</v>
      </c>
      <c r="T4914">
        <v>-0.62766909999999998</v>
      </c>
      <c r="U4914">
        <v>-0.61651610000000001</v>
      </c>
      <c r="V4914">
        <v>0.354325</v>
      </c>
      <c r="W4914">
        <v>0.1321051</v>
      </c>
      <c r="X4914">
        <v>0.92574409999999896</v>
      </c>
      <c r="Y4914">
        <v>0.18085799999999999</v>
      </c>
      <c r="Z4914">
        <v>-1.5661830000000002E-2</v>
      </c>
      <c r="AA4914">
        <v>0.98338449999999999</v>
      </c>
      <c r="AB4914">
        <v>19</v>
      </c>
      <c r="AC4914">
        <v>0.58749999999997704</v>
      </c>
      <c r="AD4914">
        <v>-0.14389679999999999</v>
      </c>
      <c r="AE4914">
        <v>-0.138629999999999</v>
      </c>
      <c r="AF4914">
        <v>0.1245706404008</v>
      </c>
      <c r="AG4914">
        <v>-0.14389679999999999</v>
      </c>
      <c r="AH4914">
        <v>0.55742662863633896</v>
      </c>
      <c r="AI4914">
        <v>104.140307230076</v>
      </c>
      <c r="AJ4914">
        <v>77.402836379356799</v>
      </c>
      <c r="AK4914">
        <v>0.58902341193961005</v>
      </c>
      <c r="AL4914">
        <v>82.408745413809598</v>
      </c>
      <c r="AM4914">
        <v>69.055844632947299</v>
      </c>
      <c r="AN4914">
        <v>1.0000000508778999</v>
      </c>
    </row>
    <row r="4915" spans="1:40" x14ac:dyDescent="0.25">
      <c r="A4915" t="str">
        <f>"20190312172804295"</f>
        <v>20190312172804295</v>
      </c>
      <c r="B4915" t="str">
        <f>"1552382884284353"</f>
        <v>1552382884284353</v>
      </c>
      <c r="C4915" t="s">
        <v>40</v>
      </c>
      <c r="D4915">
        <v>3.0982750000000001</v>
      </c>
      <c r="E4915">
        <v>0.4341759</v>
      </c>
      <c r="F4915" t="s">
        <v>44</v>
      </c>
      <c r="G4915">
        <v>-325.6105</v>
      </c>
      <c r="H4915">
        <v>0.95536569999999998</v>
      </c>
      <c r="I4915">
        <v>16.545289999999898</v>
      </c>
      <c r="J4915">
        <v>-326.23410000000001</v>
      </c>
      <c r="K4915">
        <v>1.108911</v>
      </c>
      <c r="L4915">
        <v>16.69135</v>
      </c>
      <c r="M4915">
        <v>0.99981949999999997</v>
      </c>
      <c r="N4915">
        <v>0</v>
      </c>
      <c r="O4915">
        <v>-1.338929E-2</v>
      </c>
      <c r="P4915">
        <v>0.92255529999999997</v>
      </c>
      <c r="Q4915">
        <v>0.12054280000000001</v>
      </c>
      <c r="R4915">
        <v>-0.36655300000000002</v>
      </c>
      <c r="S4915">
        <v>3.090363</v>
      </c>
      <c r="T4915">
        <v>-0.62868789999999997</v>
      </c>
      <c r="U4915">
        <v>-0.6108093</v>
      </c>
      <c r="V4915">
        <v>0.35456339999999997</v>
      </c>
      <c r="W4915">
        <v>0.13197600000000001</v>
      </c>
      <c r="X4915">
        <v>0.92567120000000003</v>
      </c>
      <c r="Y4915">
        <v>0.17751049999999999</v>
      </c>
      <c r="Z4915">
        <v>-1.50362E-2</v>
      </c>
      <c r="AA4915">
        <v>0.98400399999999999</v>
      </c>
      <c r="AB4915">
        <v>19</v>
      </c>
      <c r="AC4915">
        <v>0.62360000000001004</v>
      </c>
      <c r="AD4915">
        <v>-0.1535453</v>
      </c>
      <c r="AE4915">
        <v>-0.14606000000000199</v>
      </c>
      <c r="AF4915">
        <v>0.130212821442481</v>
      </c>
      <c r="AG4915">
        <v>-0.1535453</v>
      </c>
      <c r="AH4915">
        <v>0.59150419631963302</v>
      </c>
      <c r="AI4915">
        <v>104.22559976078</v>
      </c>
      <c r="AJ4915">
        <v>77.585014889553804</v>
      </c>
      <c r="AK4915">
        <v>0.62482697787774499</v>
      </c>
      <c r="AL4915">
        <v>82.416207398750799</v>
      </c>
      <c r="AM4915">
        <v>69.041469002921104</v>
      </c>
      <c r="AN4915">
        <v>1.0000000198524901</v>
      </c>
    </row>
    <row r="4916" spans="1:40" x14ac:dyDescent="0.25">
      <c r="A4916" t="str">
        <f>"20190312172804307"</f>
        <v>20190312172804307</v>
      </c>
      <c r="B4916" t="str">
        <f>"1552382884303874"</f>
        <v>1552382884303874</v>
      </c>
      <c r="C4916" t="s">
        <v>40</v>
      </c>
      <c r="D4916">
        <v>3.1993119999999999</v>
      </c>
      <c r="E4916">
        <v>0.43371470000000001</v>
      </c>
      <c r="F4916" t="s">
        <v>44</v>
      </c>
      <c r="G4916">
        <v>-325.4425</v>
      </c>
      <c r="H4916">
        <v>0.94752789999999998</v>
      </c>
      <c r="I4916">
        <v>16.53388</v>
      </c>
      <c r="J4916">
        <v>-326.12630000000001</v>
      </c>
      <c r="K4916">
        <v>1.1089039999999999</v>
      </c>
      <c r="L4916">
        <v>16.688510000000001</v>
      </c>
      <c r="M4916">
        <v>0.99980179999999996</v>
      </c>
      <c r="N4916">
        <v>0</v>
      </c>
      <c r="O4916">
        <v>-1.465819E-2</v>
      </c>
      <c r="P4916">
        <v>0.92211469999999995</v>
      </c>
      <c r="Q4916">
        <v>0.1203769</v>
      </c>
      <c r="R4916">
        <v>-0.36771530000000002</v>
      </c>
      <c r="S4916">
        <v>3.0902099999999999</v>
      </c>
      <c r="T4916">
        <v>-0.6297121</v>
      </c>
      <c r="U4916">
        <v>-0.61389159999999998</v>
      </c>
      <c r="V4916">
        <v>0.35455720000000002</v>
      </c>
      <c r="W4916">
        <v>0.13180210000000001</v>
      </c>
      <c r="X4916">
        <v>0.92569829999999997</v>
      </c>
      <c r="Y4916">
        <v>0.17723659999999999</v>
      </c>
      <c r="Z4916">
        <v>-1.4778799999999899E-2</v>
      </c>
      <c r="AA4916">
        <v>0.98405730000000002</v>
      </c>
      <c r="AB4916">
        <v>19</v>
      </c>
      <c r="AC4916">
        <v>0.68380000000001895</v>
      </c>
      <c r="AD4916">
        <v>-0.16137609999999999</v>
      </c>
      <c r="AE4916">
        <v>-0.15462999999999999</v>
      </c>
      <c r="AF4916">
        <v>0.13731350920867899</v>
      </c>
      <c r="AG4916">
        <v>-0.16137609999999999</v>
      </c>
      <c r="AH4916">
        <v>0.651474300183428</v>
      </c>
      <c r="AI4916">
        <v>103.624794565447</v>
      </c>
      <c r="AJ4916">
        <v>78.097781864894301</v>
      </c>
      <c r="AK4916">
        <v>0.68506642689734798</v>
      </c>
      <c r="AL4916">
        <v>82.426258576452298</v>
      </c>
      <c r="AM4916">
        <v>69.042363935905001</v>
      </c>
      <c r="AN4916">
        <v>0.99999997212956904</v>
      </c>
    </row>
    <row r="4917" spans="1:40" x14ac:dyDescent="0.25">
      <c r="A4917" t="str">
        <f>"20190312172804319"</f>
        <v>20190312172804319</v>
      </c>
      <c r="B4917" t="str">
        <f>"1552382884314609"</f>
        <v>1552382884314609</v>
      </c>
      <c r="C4917" t="s">
        <v>40</v>
      </c>
      <c r="D4917">
        <v>3.2284519999999999</v>
      </c>
      <c r="E4917">
        <v>0.43339040000000001</v>
      </c>
      <c r="F4917" t="s">
        <v>44</v>
      </c>
      <c r="G4917">
        <v>-325.4332</v>
      </c>
      <c r="H4917">
        <v>0.96794959999999997</v>
      </c>
      <c r="I4917">
        <v>16.550539999999899</v>
      </c>
      <c r="J4917">
        <v>-326.03339999999997</v>
      </c>
      <c r="K4917">
        <v>1.108894</v>
      </c>
      <c r="L4917">
        <v>16.685849999999999</v>
      </c>
      <c r="M4917">
        <v>0.99978480000000003</v>
      </c>
      <c r="N4917">
        <v>0</v>
      </c>
      <c r="O4917">
        <v>-1.577247E-2</v>
      </c>
      <c r="P4917">
        <v>0.92163969999999995</v>
      </c>
      <c r="Q4917">
        <v>0.120083</v>
      </c>
      <c r="R4917">
        <v>-0.36899979999999999</v>
      </c>
      <c r="S4917">
        <v>3.0905149999999999</v>
      </c>
      <c r="T4917">
        <v>-0.62818379999999996</v>
      </c>
      <c r="U4917">
        <v>-0.61419679999999999</v>
      </c>
      <c r="V4917">
        <v>0.35481770000000001</v>
      </c>
      <c r="W4917">
        <v>0.1314977</v>
      </c>
      <c r="X4917">
        <v>0.92564179999999996</v>
      </c>
      <c r="Y4917">
        <v>0.1762724</v>
      </c>
      <c r="Z4917">
        <v>-1.4424080000000001E-2</v>
      </c>
      <c r="AA4917">
        <v>0.98423579999999999</v>
      </c>
      <c r="AB4917">
        <v>19</v>
      </c>
      <c r="AC4917">
        <v>0.60019999999997198</v>
      </c>
      <c r="AD4917">
        <v>-0.1409444</v>
      </c>
      <c r="AE4917">
        <v>-0.13531000000000001</v>
      </c>
      <c r="AF4917">
        <v>0.11955187694778199</v>
      </c>
      <c r="AG4917">
        <v>-0.1409444</v>
      </c>
      <c r="AH4917">
        <v>0.57223042872349805</v>
      </c>
      <c r="AI4917">
        <v>103.55538656664299</v>
      </c>
      <c r="AJ4917">
        <v>78.199356049375098</v>
      </c>
      <c r="AK4917">
        <v>0.60133654365103695</v>
      </c>
      <c r="AL4917">
        <v>82.4438527087339</v>
      </c>
      <c r="AM4917">
        <v>69.027135669716102</v>
      </c>
      <c r="AN4917">
        <v>0.99999999362291003</v>
      </c>
    </row>
    <row r="4918" spans="1:40" x14ac:dyDescent="0.25">
      <c r="A4918" t="str">
        <f>"20190312172804339"</f>
        <v>20190312172804339</v>
      </c>
      <c r="B4918" t="str">
        <f>"1552382884334129"</f>
        <v>1552382884334129</v>
      </c>
      <c r="C4918" t="s">
        <v>40</v>
      </c>
      <c r="D4918">
        <v>3.192402</v>
      </c>
      <c r="E4918">
        <v>0.43307279999999998</v>
      </c>
      <c r="F4918" t="s">
        <v>44</v>
      </c>
      <c r="G4918">
        <v>-325.26900000000001</v>
      </c>
      <c r="H4918">
        <v>0.95290779999999997</v>
      </c>
      <c r="I4918">
        <v>16.53342</v>
      </c>
      <c r="J4918">
        <v>-325.85559999999998</v>
      </c>
      <c r="K4918">
        <v>1.108876</v>
      </c>
      <c r="L4918">
        <v>16.680510000000002</v>
      </c>
      <c r="M4918">
        <v>0.99974850000000004</v>
      </c>
      <c r="N4918">
        <v>0</v>
      </c>
      <c r="O4918">
        <v>-1.7925480000000001E-2</v>
      </c>
      <c r="P4918">
        <v>0.92064420000000002</v>
      </c>
      <c r="Q4918">
        <v>0.1202114</v>
      </c>
      <c r="R4918">
        <v>-0.37143490000000001</v>
      </c>
      <c r="S4918">
        <v>3.0906370000000001</v>
      </c>
      <c r="T4918">
        <v>-0.63045469999999904</v>
      </c>
      <c r="U4918">
        <v>-0.61587519999999996</v>
      </c>
      <c r="V4918">
        <v>0.35527950000000003</v>
      </c>
      <c r="W4918">
        <v>0.131604</v>
      </c>
      <c r="X4918">
        <v>0.92544959999999998</v>
      </c>
      <c r="Y4918">
        <v>0.17471220000000001</v>
      </c>
      <c r="Z4918">
        <v>-1.388765E-2</v>
      </c>
      <c r="AA4918">
        <v>0.9845216</v>
      </c>
      <c r="AB4918">
        <v>19</v>
      </c>
      <c r="AC4918">
        <v>0.58659999999997503</v>
      </c>
      <c r="AD4918">
        <v>-0.155968199999999</v>
      </c>
      <c r="AE4918">
        <v>-0.147090000000002</v>
      </c>
      <c r="AF4918">
        <v>0.12803438838784201</v>
      </c>
      <c r="AG4918">
        <v>-0.155968199999999</v>
      </c>
      <c r="AH4918">
        <v>0.552400872720063</v>
      </c>
      <c r="AI4918">
        <v>105.379158331803</v>
      </c>
      <c r="AJ4918">
        <v>76.950517651991703</v>
      </c>
      <c r="AK4918">
        <v>0.58810339924453403</v>
      </c>
      <c r="AL4918">
        <v>82.437709194504905</v>
      </c>
      <c r="AM4918">
        <v>68.998236477073405</v>
      </c>
      <c r="AN4918">
        <v>1.0000000490381999</v>
      </c>
    </row>
    <row r="4919" spans="1:40" x14ac:dyDescent="0.25">
      <c r="A4919" t="str">
        <f>"20190312172804351"</f>
        <v>20190312172804351</v>
      </c>
      <c r="B4919" t="str">
        <f>"1552382884343889"</f>
        <v>1552382884343889</v>
      </c>
      <c r="C4919" t="s">
        <v>40</v>
      </c>
      <c r="D4919">
        <v>3.217676</v>
      </c>
      <c r="E4919">
        <v>0.43292049999999999</v>
      </c>
      <c r="F4919" t="s">
        <v>44</v>
      </c>
      <c r="G4919">
        <v>-325.09699999999998</v>
      </c>
      <c r="H4919">
        <v>0.95489179999999996</v>
      </c>
      <c r="I4919">
        <v>16.527550000000002</v>
      </c>
      <c r="J4919">
        <v>-325.75319999999999</v>
      </c>
      <c r="K4919">
        <v>1.1088629999999999</v>
      </c>
      <c r="L4919">
        <v>16.677250000000001</v>
      </c>
      <c r="M4919">
        <v>0.99972510000000003</v>
      </c>
      <c r="N4919">
        <v>0</v>
      </c>
      <c r="O4919">
        <v>-1.9181670000000001E-2</v>
      </c>
      <c r="P4919">
        <v>0.92004560000000002</v>
      </c>
      <c r="Q4919">
        <v>0.12007379999999999</v>
      </c>
      <c r="R4919">
        <v>-0.37295879999999998</v>
      </c>
      <c r="S4919">
        <v>3.0895079999999999</v>
      </c>
      <c r="T4919">
        <v>-0.62689849999999903</v>
      </c>
      <c r="U4919">
        <v>-0.62197880000000005</v>
      </c>
      <c r="V4919">
        <v>0.3556531</v>
      </c>
      <c r="W4919">
        <v>0.13145229999999999</v>
      </c>
      <c r="X4919">
        <v>0.92532760000000003</v>
      </c>
      <c r="Y4919">
        <v>0.17545859999999999</v>
      </c>
      <c r="Z4919">
        <v>-1.3637720000000001E-2</v>
      </c>
      <c r="AA4919">
        <v>0.9843923</v>
      </c>
      <c r="AB4919">
        <v>19</v>
      </c>
      <c r="AC4919">
        <v>0.656200000000012</v>
      </c>
      <c r="AD4919">
        <v>-0.153971199999999</v>
      </c>
      <c r="AE4919">
        <v>-0.149699999999999</v>
      </c>
      <c r="AF4919">
        <v>0.13026707682746799</v>
      </c>
      <c r="AG4919">
        <v>-0.153971199999999</v>
      </c>
      <c r="AH4919">
        <v>0.62618128677673002</v>
      </c>
      <c r="AI4919">
        <v>103.535548705903</v>
      </c>
      <c r="AJ4919">
        <v>78.248142240080099</v>
      </c>
      <c r="AK4919">
        <v>0.65785989818803803</v>
      </c>
      <c r="AL4919">
        <v>82.446476771048793</v>
      </c>
      <c r="AM4919">
        <v>68.975550687752104</v>
      </c>
      <c r="AN4919">
        <v>1.0000000010183201</v>
      </c>
    </row>
    <row r="4920" spans="1:40" x14ac:dyDescent="0.25">
      <c r="A4920" t="str">
        <f>"20190312172804362"</f>
        <v>20190312172804362</v>
      </c>
      <c r="B4920" t="str">
        <f>"1552382884354625"</f>
        <v>1552382884354625</v>
      </c>
      <c r="C4920" t="s">
        <v>40</v>
      </c>
      <c r="D4920">
        <v>3.1935820000000001</v>
      </c>
      <c r="E4920">
        <v>0.43302180000000001</v>
      </c>
      <c r="F4920" t="s">
        <v>44</v>
      </c>
      <c r="G4920">
        <v>-324.9323</v>
      </c>
      <c r="H4920">
        <v>0.94183300000000003</v>
      </c>
      <c r="I4920">
        <v>16.510999999999999</v>
      </c>
      <c r="J4920">
        <v>-325.65320000000003</v>
      </c>
      <c r="K4920">
        <v>1.108849</v>
      </c>
      <c r="L4920">
        <v>16.673919999999999</v>
      </c>
      <c r="M4920">
        <v>0.99970049999999999</v>
      </c>
      <c r="N4920">
        <v>0</v>
      </c>
      <c r="O4920">
        <v>-2.042559E-2</v>
      </c>
      <c r="P4920">
        <v>0.91947869999999998</v>
      </c>
      <c r="Q4920">
        <v>0.12014130000000001</v>
      </c>
      <c r="R4920">
        <v>-0.37433280000000002</v>
      </c>
      <c r="S4920">
        <v>3.0890200000000001</v>
      </c>
      <c r="T4920">
        <v>-0.62862369999999901</v>
      </c>
      <c r="U4920">
        <v>-0.625946</v>
      </c>
      <c r="V4920">
        <v>0.35588880000000001</v>
      </c>
      <c r="W4920">
        <v>0.1315067</v>
      </c>
      <c r="X4920">
        <v>0.92522930000000003</v>
      </c>
      <c r="Y4920">
        <v>0.17548659999999999</v>
      </c>
      <c r="Z4920">
        <v>-1.342986E-2</v>
      </c>
      <c r="AA4920">
        <v>0.98439019999999999</v>
      </c>
      <c r="AB4920">
        <v>19</v>
      </c>
      <c r="AC4920">
        <v>0.72090000000002796</v>
      </c>
      <c r="AD4920">
        <v>-0.167015999999999</v>
      </c>
      <c r="AE4920">
        <v>-0.16292000000000301</v>
      </c>
      <c r="AF4920">
        <v>0.140961501919458</v>
      </c>
      <c r="AG4920">
        <v>-0.167015999999999</v>
      </c>
      <c r="AH4920">
        <v>0.68889825372397595</v>
      </c>
      <c r="AI4920">
        <v>103.36119301169801</v>
      </c>
      <c r="AJ4920">
        <v>78.435838201843296</v>
      </c>
      <c r="AK4920">
        <v>0.72273459393011796</v>
      </c>
      <c r="AL4920">
        <v>82.443332987145595</v>
      </c>
      <c r="AM4920">
        <v>68.960796338288205</v>
      </c>
      <c r="AN4920">
        <v>1.0000000538444</v>
      </c>
    </row>
    <row r="4921" spans="1:40" x14ac:dyDescent="0.25">
      <c r="A4921" t="str">
        <f>"20190312172804374"</f>
        <v>20190312172804374</v>
      </c>
      <c r="B4921" t="str">
        <f>"1552382884364385"</f>
        <v>1552382884364385</v>
      </c>
      <c r="C4921" t="s">
        <v>40</v>
      </c>
      <c r="D4921">
        <v>3.319293</v>
      </c>
      <c r="E4921">
        <v>0.43297360000000001</v>
      </c>
      <c r="F4921" t="s">
        <v>44</v>
      </c>
      <c r="G4921">
        <v>-324.92360000000002</v>
      </c>
      <c r="H4921">
        <v>0.96057939999999997</v>
      </c>
      <c r="I4921">
        <v>16.524719999999999</v>
      </c>
      <c r="J4921">
        <v>-325.5564</v>
      </c>
      <c r="K4921">
        <v>1.1088420000000001</v>
      </c>
      <c r="L4921">
        <v>16.670529999999999</v>
      </c>
      <c r="M4921">
        <v>0.99967490000000003</v>
      </c>
      <c r="N4921">
        <v>0</v>
      </c>
      <c r="O4921">
        <v>-2.1642080000000001E-2</v>
      </c>
      <c r="P4921">
        <v>0.91888409999999998</v>
      </c>
      <c r="Q4921">
        <v>0.120245</v>
      </c>
      <c r="R4921">
        <v>-0.3757569</v>
      </c>
      <c r="S4921">
        <v>3.0874329999999999</v>
      </c>
      <c r="T4921">
        <v>-0.627664</v>
      </c>
      <c r="U4921">
        <v>-0.63192749999999998</v>
      </c>
      <c r="V4921">
        <v>0.3562015</v>
      </c>
      <c r="W4921">
        <v>0.13159699999999999</v>
      </c>
      <c r="X4921">
        <v>0.92509600000000003</v>
      </c>
      <c r="Y4921">
        <v>0.1762358</v>
      </c>
      <c r="Z4921">
        <v>-1.324645E-2</v>
      </c>
      <c r="AA4921">
        <v>0.98425879999999999</v>
      </c>
      <c r="AB4921">
        <v>19</v>
      </c>
      <c r="AC4921">
        <v>0.63279999999997405</v>
      </c>
      <c r="AD4921">
        <v>-0.14826259999999999</v>
      </c>
      <c r="AE4921">
        <v>-0.145809999999997</v>
      </c>
      <c r="AF4921">
        <v>0.125535682285696</v>
      </c>
      <c r="AG4921">
        <v>-0.14826259999999999</v>
      </c>
      <c r="AH4921">
        <v>0.60430692786095297</v>
      </c>
      <c r="AI4921">
        <v>103.507372598899</v>
      </c>
      <c r="AJ4921">
        <v>78.264572505002604</v>
      </c>
      <c r="AK4921">
        <v>0.63476599558139402</v>
      </c>
      <c r="AL4921">
        <v>82.4381129856542</v>
      </c>
      <c r="AM4921">
        <v>68.941161662629199</v>
      </c>
      <c r="AN4921">
        <v>0.99999994411362303</v>
      </c>
    </row>
    <row r="4922" spans="1:40" x14ac:dyDescent="0.25">
      <c r="A4922" t="str">
        <f>"20190312172804384"</f>
        <v>20190312172804384</v>
      </c>
      <c r="B4922" t="str">
        <f>"1552382884374145"</f>
        <v>1552382884374145</v>
      </c>
      <c r="C4922" t="s">
        <v>40</v>
      </c>
      <c r="D4922">
        <v>3.2656019999999999</v>
      </c>
      <c r="E4922">
        <v>0.43287130000000001</v>
      </c>
      <c r="F4922" t="s">
        <v>44</v>
      </c>
      <c r="G4922">
        <v>-324.75940000000003</v>
      </c>
      <c r="H4922">
        <v>0.94697209999999998</v>
      </c>
      <c r="I4922">
        <v>16.505939999999999</v>
      </c>
      <c r="J4922">
        <v>-325.46480000000003</v>
      </c>
      <c r="K4922">
        <v>1.1088340000000001</v>
      </c>
      <c r="L4922">
        <v>16.66724</v>
      </c>
      <c r="M4922">
        <v>0.99964900000000001</v>
      </c>
      <c r="N4922">
        <v>0</v>
      </c>
      <c r="O4922">
        <v>-2.2803830000000001E-2</v>
      </c>
      <c r="P4922">
        <v>0.91820310000000005</v>
      </c>
      <c r="Q4922">
        <v>0.1204278</v>
      </c>
      <c r="R4922">
        <v>-0.37735990000000003</v>
      </c>
      <c r="S4922">
        <v>3.0864560000000001</v>
      </c>
      <c r="T4922">
        <v>-0.62664119999999901</v>
      </c>
      <c r="U4922">
        <v>-0.63671880000000003</v>
      </c>
      <c r="V4922">
        <v>0.35674640000000002</v>
      </c>
      <c r="W4922">
        <v>0.1317652</v>
      </c>
      <c r="X4922">
        <v>0.92486210000000002</v>
      </c>
      <c r="Y4922">
        <v>0.17664369999999999</v>
      </c>
      <c r="Z4922">
        <v>-1.303706E-2</v>
      </c>
      <c r="AA4922">
        <v>0.98418850000000002</v>
      </c>
      <c r="AB4922">
        <v>19</v>
      </c>
      <c r="AC4922">
        <v>0.70539999999999703</v>
      </c>
      <c r="AD4922">
        <v>-0.1618619</v>
      </c>
      <c r="AE4922">
        <v>-0.1613</v>
      </c>
      <c r="AF4922">
        <v>0.13825310885883399</v>
      </c>
      <c r="AG4922">
        <v>-0.1618619</v>
      </c>
      <c r="AH4922">
        <v>0.67511496725338305</v>
      </c>
      <c r="AI4922">
        <v>103.218040930897</v>
      </c>
      <c r="AJ4922">
        <v>78.426721283841601</v>
      </c>
      <c r="AK4922">
        <v>0.70787952067444304</v>
      </c>
      <c r="AL4922">
        <v>82.428391474380405</v>
      </c>
      <c r="AM4922">
        <v>68.906912215026395</v>
      </c>
      <c r="AN4922">
        <v>0.99999998293020398</v>
      </c>
    </row>
    <row r="4923" spans="1:40" x14ac:dyDescent="0.25">
      <c r="A4923" t="str">
        <f>"20190312172804396"</f>
        <v>20190312172804396</v>
      </c>
      <c r="B4923" t="str">
        <f>"1552382884383905"</f>
        <v>1552382884383905</v>
      </c>
      <c r="C4923" t="s">
        <v>40</v>
      </c>
      <c r="D4923">
        <v>3.2268859999999999</v>
      </c>
      <c r="E4923">
        <v>0.4328284</v>
      </c>
      <c r="F4923" t="s">
        <v>44</v>
      </c>
      <c r="G4923">
        <v>-324.7516</v>
      </c>
      <c r="H4923">
        <v>0.96383569999999996</v>
      </c>
      <c r="I4923">
        <v>16.51876</v>
      </c>
      <c r="J4923">
        <v>-325.36869999999999</v>
      </c>
      <c r="K4923">
        <v>1.1088229999999999</v>
      </c>
      <c r="L4923">
        <v>16.663599999999999</v>
      </c>
      <c r="M4923">
        <v>0.99962010000000001</v>
      </c>
      <c r="N4923">
        <v>0</v>
      </c>
      <c r="O4923">
        <v>-2.4041300000000002E-2</v>
      </c>
      <c r="P4923">
        <v>0.91747480000000003</v>
      </c>
      <c r="Q4923">
        <v>0.12093569999999999</v>
      </c>
      <c r="R4923">
        <v>-0.37896560000000001</v>
      </c>
      <c r="S4923">
        <v>3.0858150000000002</v>
      </c>
      <c r="T4923">
        <v>-0.62717009999999995</v>
      </c>
      <c r="U4923">
        <v>-0.64163210000000004</v>
      </c>
      <c r="V4923">
        <v>0.35722730000000003</v>
      </c>
      <c r="W4923">
        <v>0.13225780000000001</v>
      </c>
      <c r="X4923">
        <v>0.92460609999999999</v>
      </c>
      <c r="Y4923">
        <v>0.17698169999999999</v>
      </c>
      <c r="Z4923">
        <v>-1.283603E-2</v>
      </c>
      <c r="AA4923">
        <v>0.98413039999999996</v>
      </c>
      <c r="AB4923">
        <v>19</v>
      </c>
      <c r="AC4923">
        <v>0.61709999999999299</v>
      </c>
      <c r="AD4923">
        <v>-0.14498729999999899</v>
      </c>
      <c r="AE4923">
        <v>-0.144839999999998</v>
      </c>
      <c r="AF4923">
        <v>0.123499519642761</v>
      </c>
      <c r="AG4923">
        <v>-0.14498729999999899</v>
      </c>
      <c r="AH4923">
        <v>0.589558912733123</v>
      </c>
      <c r="AI4923">
        <v>103.533685211305</v>
      </c>
      <c r="AJ4923">
        <v>78.168878552437604</v>
      </c>
      <c r="AK4923">
        <v>0.61955884312657905</v>
      </c>
      <c r="AL4923">
        <v>82.399918166611599</v>
      </c>
      <c r="AM4923">
        <v>68.875651547455604</v>
      </c>
      <c r="AN4923">
        <v>0.99999995484166904</v>
      </c>
    </row>
    <row r="4924" spans="1:40" x14ac:dyDescent="0.25">
      <c r="A4924" t="str">
        <f>"20190312172804407"</f>
        <v>20190312172804407</v>
      </c>
      <c r="B4924" t="str">
        <f>"1552382884404401"</f>
        <v>1552382884404401</v>
      </c>
      <c r="C4924" t="s">
        <v>40</v>
      </c>
      <c r="D4924">
        <v>3.1980930000000001</v>
      </c>
      <c r="E4924">
        <v>0.433112</v>
      </c>
      <c r="F4924" t="s">
        <v>44</v>
      </c>
      <c r="G4924">
        <v>-324.58780000000002</v>
      </c>
      <c r="H4924">
        <v>0.95002450000000005</v>
      </c>
      <c r="I4924">
        <v>16.499669999999998</v>
      </c>
      <c r="J4924">
        <v>-325.27550000000002</v>
      </c>
      <c r="K4924">
        <v>1.1088129999999901</v>
      </c>
      <c r="L4924">
        <v>16.660060000000001</v>
      </c>
      <c r="M4924">
        <v>0.99959039999999999</v>
      </c>
      <c r="N4924">
        <v>0</v>
      </c>
      <c r="O4924">
        <v>-2.524765E-2</v>
      </c>
      <c r="P4924">
        <v>0.91672509999999996</v>
      </c>
      <c r="Q4924">
        <v>0.121018</v>
      </c>
      <c r="R4924">
        <v>-0.38074930000000001</v>
      </c>
      <c r="S4924">
        <v>3.085175</v>
      </c>
      <c r="T4924">
        <v>-0.62724639999999998</v>
      </c>
      <c r="U4924">
        <v>-0.64724729999999997</v>
      </c>
      <c r="V4924">
        <v>0.35791529999999999</v>
      </c>
      <c r="W4924">
        <v>0.13232339999999901</v>
      </c>
      <c r="X4924">
        <v>0.92433069999999895</v>
      </c>
      <c r="Y4924">
        <v>0.17756350000000001</v>
      </c>
      <c r="Z4924">
        <v>-1.265587E-2</v>
      </c>
      <c r="AA4924">
        <v>0.98402800000000001</v>
      </c>
      <c r="AB4924">
        <v>19</v>
      </c>
      <c r="AC4924">
        <v>0.68770000000000597</v>
      </c>
      <c r="AD4924">
        <v>-0.158788499999999</v>
      </c>
      <c r="AE4924">
        <v>-0.16038999999999901</v>
      </c>
      <c r="AF4924">
        <v>0.13609313656734101</v>
      </c>
      <c r="AG4924">
        <v>-0.158788499999999</v>
      </c>
      <c r="AH4924">
        <v>0.65824731312061302</v>
      </c>
      <c r="AI4924">
        <v>103.29148552152</v>
      </c>
      <c r="AJ4924">
        <v>78.318641053946905</v>
      </c>
      <c r="AK4924">
        <v>0.69066971468531402</v>
      </c>
      <c r="AL4924">
        <v>82.396126914536296</v>
      </c>
      <c r="AM4924">
        <v>68.8328176270646</v>
      </c>
      <c r="AN4924">
        <v>1.00000004356206</v>
      </c>
    </row>
    <row r="4925" spans="1:40" x14ac:dyDescent="0.25">
      <c r="A4925" t="str">
        <f>"20190312172804418"</f>
        <v>20190312172804418</v>
      </c>
      <c r="B4925" t="str">
        <f>"1552382884414161"</f>
        <v>1552382884414161</v>
      </c>
      <c r="C4925" t="s">
        <v>40</v>
      </c>
      <c r="D4925">
        <v>3.2304179999999998</v>
      </c>
      <c r="E4925">
        <v>0.43328339999999999</v>
      </c>
      <c r="F4925" t="s">
        <v>44</v>
      </c>
      <c r="G4925">
        <v>-324.57990000000001</v>
      </c>
      <c r="H4925">
        <v>0.96688989999999997</v>
      </c>
      <c r="I4925">
        <v>16.512149999999998</v>
      </c>
      <c r="J4925">
        <v>-325.18209999999999</v>
      </c>
      <c r="K4925">
        <v>1.108803</v>
      </c>
      <c r="L4925">
        <v>16.65625</v>
      </c>
      <c r="M4925">
        <v>0.99955830000000001</v>
      </c>
      <c r="N4925">
        <v>0</v>
      </c>
      <c r="O4925">
        <v>-2.6481910000000001E-2</v>
      </c>
      <c r="P4925">
        <v>0.91601500000000002</v>
      </c>
      <c r="Q4925">
        <v>0.1210413</v>
      </c>
      <c r="R4925">
        <v>-0.38244689999999998</v>
      </c>
      <c r="S4925">
        <v>3.083405</v>
      </c>
      <c r="T4925">
        <v>-0.62898809999999905</v>
      </c>
      <c r="U4925">
        <v>-0.65527340000000001</v>
      </c>
      <c r="V4925">
        <v>0.35849160000000002</v>
      </c>
      <c r="W4925">
        <v>0.13233149999999999</v>
      </c>
      <c r="X4925">
        <v>0.92410610000000004</v>
      </c>
      <c r="Y4925">
        <v>0.1788949</v>
      </c>
      <c r="Z4925">
        <v>-1.2580890000000001E-2</v>
      </c>
      <c r="AA4925">
        <v>0.98378770000000004</v>
      </c>
      <c r="AB4925">
        <v>19</v>
      </c>
      <c r="AC4925">
        <v>0.60219999999998197</v>
      </c>
      <c r="AD4925">
        <v>-0.14191309999999999</v>
      </c>
      <c r="AE4925">
        <v>-0.14410000000000101</v>
      </c>
      <c r="AF4925">
        <v>0.12170766803887</v>
      </c>
      <c r="AG4925">
        <v>-0.14191309999999999</v>
      </c>
      <c r="AH4925">
        <v>0.57557212513843503</v>
      </c>
      <c r="AI4925">
        <v>103.562135606477</v>
      </c>
      <c r="AJ4925">
        <v>78.060393932583295</v>
      </c>
      <c r="AK4925">
        <v>0.60517382267200204</v>
      </c>
      <c r="AL4925">
        <v>82.395658127970506</v>
      </c>
      <c r="AM4925">
        <v>68.797064700441993</v>
      </c>
      <c r="AN4925">
        <v>0.99999996861000895</v>
      </c>
    </row>
    <row r="4926" spans="1:40" x14ac:dyDescent="0.25">
      <c r="A4926" t="str">
        <f>"20190312172804429"</f>
        <v>20190312172804429</v>
      </c>
      <c r="B4926" t="str">
        <f>"1552382884424898"</f>
        <v>1552382884424898</v>
      </c>
      <c r="C4926" t="s">
        <v>40</v>
      </c>
      <c r="D4926">
        <v>3.2636080000000001</v>
      </c>
      <c r="E4926">
        <v>0.43344260000000001</v>
      </c>
      <c r="F4926" t="s">
        <v>44</v>
      </c>
      <c r="G4926">
        <v>-324.4169</v>
      </c>
      <c r="H4926">
        <v>0.9519242</v>
      </c>
      <c r="I4926">
        <v>16.491610000000001</v>
      </c>
      <c r="J4926">
        <v>-325.08080000000001</v>
      </c>
      <c r="K4926">
        <v>1.1087899999999999</v>
      </c>
      <c r="L4926">
        <v>16.652069999999998</v>
      </c>
      <c r="M4926">
        <v>0.99952180000000002</v>
      </c>
      <c r="N4926">
        <v>0</v>
      </c>
      <c r="O4926">
        <v>-2.7828490000000001E-2</v>
      </c>
      <c r="P4926">
        <v>0.91515060000000004</v>
      </c>
      <c r="Q4926">
        <v>0.1210849</v>
      </c>
      <c r="R4926">
        <v>-0.38449699999999998</v>
      </c>
      <c r="S4926">
        <v>3.0820310000000002</v>
      </c>
      <c r="T4926">
        <v>-0.63162980000000002</v>
      </c>
      <c r="U4926">
        <v>-0.66223140000000003</v>
      </c>
      <c r="V4926">
        <v>0.35932190000000003</v>
      </c>
      <c r="W4926">
        <v>0.13235559999999999</v>
      </c>
      <c r="X4926">
        <v>0.92378009999999999</v>
      </c>
      <c r="Y4926">
        <v>0.17976710000000001</v>
      </c>
      <c r="Z4926">
        <v>-1.245304E-2</v>
      </c>
      <c r="AA4926">
        <v>0.98363040000000002</v>
      </c>
      <c r="AB4926">
        <v>19</v>
      </c>
      <c r="AC4926">
        <v>0.66390000000001204</v>
      </c>
      <c r="AD4926">
        <v>-0.156865799999999</v>
      </c>
      <c r="AE4926">
        <v>-0.16045999999999999</v>
      </c>
      <c r="AF4926">
        <v>0.13481005041711799</v>
      </c>
      <c r="AG4926">
        <v>-0.156865799999999</v>
      </c>
      <c r="AH4926">
        <v>0.63463378327266795</v>
      </c>
      <c r="AI4926">
        <v>103.59215643456901</v>
      </c>
      <c r="AJ4926">
        <v>78.007387722095899</v>
      </c>
      <c r="AK4926">
        <v>0.667488327818611</v>
      </c>
      <c r="AL4926">
        <v>82.394264925871099</v>
      </c>
      <c r="AM4926">
        <v>68.745503334528607</v>
      </c>
      <c r="AN4926">
        <v>0.99999995291348898</v>
      </c>
    </row>
    <row r="4927" spans="1:40" x14ac:dyDescent="0.25">
      <c r="A4927" t="str">
        <f>"20190312172804441"</f>
        <v>20190312172804441</v>
      </c>
      <c r="B4927" t="str">
        <f>"1552382884434658"</f>
        <v>1552382884434658</v>
      </c>
      <c r="C4927" t="s">
        <v>40</v>
      </c>
      <c r="D4927">
        <v>3.2793730000000001</v>
      </c>
      <c r="E4927">
        <v>0.43363400000000002</v>
      </c>
      <c r="F4927" t="s">
        <v>44</v>
      </c>
      <c r="G4927">
        <v>-324.2534</v>
      </c>
      <c r="H4927">
        <v>0.9383184</v>
      </c>
      <c r="I4927">
        <v>16.47185</v>
      </c>
      <c r="J4927">
        <v>-324.98129999999998</v>
      </c>
      <c r="K4927">
        <v>1.108776</v>
      </c>
      <c r="L4927">
        <v>16.647739999999999</v>
      </c>
      <c r="M4927">
        <v>0.99948320000000002</v>
      </c>
      <c r="N4927">
        <v>0</v>
      </c>
      <c r="O4927">
        <v>-2.9178430000000002E-2</v>
      </c>
      <c r="P4927">
        <v>0.91443180000000002</v>
      </c>
      <c r="Q4927">
        <v>0.1213027</v>
      </c>
      <c r="R4927">
        <v>-0.38613510000000001</v>
      </c>
      <c r="S4927">
        <v>3.0803219999999998</v>
      </c>
      <c r="T4927">
        <v>-0.63445399999999996</v>
      </c>
      <c r="U4927">
        <v>-0.67068479999999997</v>
      </c>
      <c r="V4927">
        <v>0.35973549999999999</v>
      </c>
      <c r="W4927">
        <v>0.13255690000000001</v>
      </c>
      <c r="X4927">
        <v>0.92359029999999998</v>
      </c>
      <c r="Y4927">
        <v>0.1811025</v>
      </c>
      <c r="Z4927">
        <v>-1.2373810000000001E-2</v>
      </c>
      <c r="AA4927">
        <v>0.98338639999999999</v>
      </c>
      <c r="AB4927">
        <v>19</v>
      </c>
      <c r="AC4927">
        <v>0.72789999999997601</v>
      </c>
      <c r="AD4927">
        <v>-0.17045759999999899</v>
      </c>
      <c r="AE4927">
        <v>-0.17588999999999899</v>
      </c>
      <c r="AF4927">
        <v>0.14695967788198699</v>
      </c>
      <c r="AG4927">
        <v>-0.17045759999999899</v>
      </c>
      <c r="AH4927">
        <v>0.69662789740820996</v>
      </c>
      <c r="AI4927">
        <v>103.46431107746599</v>
      </c>
      <c r="AJ4927">
        <v>78.087624618146506</v>
      </c>
      <c r="AK4927">
        <v>0.73208153082038696</v>
      </c>
      <c r="AL4927">
        <v>82.382629132827901</v>
      </c>
      <c r="AM4927">
        <v>68.719243774596805</v>
      </c>
      <c r="AN4927">
        <v>1.0000000019759701</v>
      </c>
    </row>
    <row r="4928" spans="1:40" x14ac:dyDescent="0.25">
      <c r="A4928" t="str">
        <f>"20190312172804453"</f>
        <v>20190312172804453</v>
      </c>
      <c r="B4928" t="str">
        <f>"1552382884444417"</f>
        <v>1552382884444417</v>
      </c>
      <c r="C4928" t="s">
        <v>40</v>
      </c>
      <c r="D4928">
        <v>3.2623859999999998</v>
      </c>
      <c r="E4928">
        <v>0.43375409999999998</v>
      </c>
      <c r="F4928" t="s">
        <v>44</v>
      </c>
      <c r="G4928">
        <v>-324.245</v>
      </c>
      <c r="H4928">
        <v>0.95640119999999895</v>
      </c>
      <c r="I4928">
        <v>16.485429999999901</v>
      </c>
      <c r="J4928">
        <v>-324.88499999999999</v>
      </c>
      <c r="K4928">
        <v>1.1087629999999999</v>
      </c>
      <c r="L4928">
        <v>16.6434</v>
      </c>
      <c r="M4928">
        <v>0.999444</v>
      </c>
      <c r="N4928">
        <v>0</v>
      </c>
      <c r="O4928">
        <v>-3.0496659999999998E-2</v>
      </c>
      <c r="P4928">
        <v>0.91366210000000003</v>
      </c>
      <c r="Q4928">
        <v>0.1214073</v>
      </c>
      <c r="R4928">
        <v>-0.3879204</v>
      </c>
      <c r="S4928">
        <v>3.0787659999999999</v>
      </c>
      <c r="T4928">
        <v>-0.63705040000000002</v>
      </c>
      <c r="U4928">
        <v>-0.67849729999999997</v>
      </c>
      <c r="V4928">
        <v>0.36032789999999998</v>
      </c>
      <c r="W4928">
        <v>0.13264339999999999</v>
      </c>
      <c r="X4928">
        <v>0.92334689999999997</v>
      </c>
      <c r="Y4928">
        <v>0.18226809999999999</v>
      </c>
      <c r="Z4928">
        <v>-1.2277919999999999E-2</v>
      </c>
      <c r="AA4928">
        <v>0.98317220000000005</v>
      </c>
      <c r="AB4928">
        <v>19</v>
      </c>
      <c r="AC4928">
        <v>0.63999999999998602</v>
      </c>
      <c r="AD4928">
        <v>-0.15236179999999999</v>
      </c>
      <c r="AE4928">
        <v>-0.157970000000002</v>
      </c>
      <c r="AF4928">
        <v>0.131359580590549</v>
      </c>
      <c r="AG4928">
        <v>-0.15236179999999999</v>
      </c>
      <c r="AH4928">
        <v>0.61183569070487498</v>
      </c>
      <c r="AI4928">
        <v>103.683884252825</v>
      </c>
      <c r="AJ4928">
        <v>77.882688188712805</v>
      </c>
      <c r="AK4928">
        <v>0.64405929069649803</v>
      </c>
      <c r="AL4928">
        <v>82.377628743840205</v>
      </c>
      <c r="AM4928">
        <v>68.682227606590402</v>
      </c>
      <c r="AN4928">
        <v>0.99999998241078902</v>
      </c>
    </row>
    <row r="4929" spans="1:40" x14ac:dyDescent="0.25">
      <c r="A4929" t="str">
        <f>"20190312172804474"</f>
        <v>20190312172804474</v>
      </c>
      <c r="B4929" t="str">
        <f>"1552382884463937"</f>
        <v>1552382884463937</v>
      </c>
      <c r="C4929" t="s">
        <v>40</v>
      </c>
      <c r="D4929">
        <v>3.2670059999999999</v>
      </c>
      <c r="E4929">
        <v>0.4339653</v>
      </c>
      <c r="F4929" t="s">
        <v>44</v>
      </c>
      <c r="G4929">
        <v>-324.0822</v>
      </c>
      <c r="H4929">
        <v>0.94184420000000002</v>
      </c>
      <c r="I4929">
        <v>16.46407</v>
      </c>
      <c r="J4929">
        <v>-324.70830000000001</v>
      </c>
      <c r="K4929">
        <v>1.108733</v>
      </c>
      <c r="L4929">
        <v>16.635100000000001</v>
      </c>
      <c r="M4929">
        <v>0.99936590000000003</v>
      </c>
      <c r="N4929">
        <v>0</v>
      </c>
      <c r="O4929">
        <v>-3.2957609999999998E-2</v>
      </c>
      <c r="P4929">
        <v>0.91220670000000004</v>
      </c>
      <c r="Q4929">
        <v>0.1213031</v>
      </c>
      <c r="R4929">
        <v>-0.3913626</v>
      </c>
      <c r="S4929">
        <v>3.077118</v>
      </c>
      <c r="T4929">
        <v>-0.63943269999999997</v>
      </c>
      <c r="U4929">
        <v>-0.68618769999999996</v>
      </c>
      <c r="V4929">
        <v>0.36154589999999998</v>
      </c>
      <c r="W4929">
        <v>0.1325054</v>
      </c>
      <c r="X4929">
        <v>0.92289049999999995</v>
      </c>
      <c r="Y4929">
        <v>0.1823265</v>
      </c>
      <c r="Z4929">
        <v>-1.183299E-2</v>
      </c>
      <c r="AA4929">
        <v>0.98316680000000001</v>
      </c>
      <c r="AB4929">
        <v>19</v>
      </c>
      <c r="AC4929">
        <v>0.62610000000000798</v>
      </c>
      <c r="AD4929">
        <v>-0.1668888</v>
      </c>
      <c r="AE4929">
        <v>-0.17103000000000099</v>
      </c>
      <c r="AF4929">
        <v>0.14097933323990799</v>
      </c>
      <c r="AG4929">
        <v>-0.1668888</v>
      </c>
      <c r="AH4929">
        <v>0.59224003676996695</v>
      </c>
      <c r="AI4929">
        <v>105.330039168474</v>
      </c>
      <c r="AJ4929">
        <v>76.6102671483482</v>
      </c>
      <c r="AK4929">
        <v>0.63124900405426498</v>
      </c>
      <c r="AL4929">
        <v>82.385606087219003</v>
      </c>
      <c r="AM4929">
        <v>68.607046780819502</v>
      </c>
      <c r="AN4929">
        <v>0.99999999691310903</v>
      </c>
    </row>
    <row r="4930" spans="1:40" x14ac:dyDescent="0.25">
      <c r="A4930" t="str">
        <f>"20190312172804488"</f>
        <v>20190312172804488</v>
      </c>
      <c r="B4930" t="str">
        <f>"1552382884484435"</f>
        <v>1552382884484435</v>
      </c>
      <c r="C4930" t="s">
        <v>40</v>
      </c>
      <c r="D4930">
        <v>3.3679190000000001</v>
      </c>
      <c r="E4930">
        <v>0.43592829999999999</v>
      </c>
      <c r="F4930" t="s">
        <v>44</v>
      </c>
      <c r="G4930">
        <v>-323.9128</v>
      </c>
      <c r="H4930">
        <v>0.94195700000000004</v>
      </c>
      <c r="I4930">
        <v>16.453749999999999</v>
      </c>
      <c r="J4930">
        <v>-324.58780000000002</v>
      </c>
      <c r="K4930">
        <v>1.108711</v>
      </c>
      <c r="L4930">
        <v>16.62921</v>
      </c>
      <c r="M4930">
        <v>0.99930830000000004</v>
      </c>
      <c r="N4930">
        <v>0</v>
      </c>
      <c r="O4930">
        <v>-3.4659879999999997E-2</v>
      </c>
      <c r="P4930">
        <v>0.91116850000000005</v>
      </c>
      <c r="Q4930">
        <v>0.1214388</v>
      </c>
      <c r="R4930">
        <v>-0.39373259999999899</v>
      </c>
      <c r="S4930">
        <v>3.0737299999999999</v>
      </c>
      <c r="T4930">
        <v>-0.6445031</v>
      </c>
      <c r="U4930">
        <v>-0.70083619999999902</v>
      </c>
      <c r="V4930">
        <v>0.36238110000000001</v>
      </c>
      <c r="W4930">
        <v>0.13261700000000001</v>
      </c>
      <c r="X4930">
        <v>0.92254689999999995</v>
      </c>
      <c r="Y4930">
        <v>0.18526490000000001</v>
      </c>
      <c r="Z4930">
        <v>-1.188463E-2</v>
      </c>
      <c r="AA4930">
        <v>0.98261670000000001</v>
      </c>
      <c r="AB4930">
        <v>19</v>
      </c>
      <c r="AC4930">
        <v>0.67500000000001104</v>
      </c>
      <c r="AD4930">
        <v>-0.16675400000000001</v>
      </c>
      <c r="AE4930">
        <v>-0.175460000000001</v>
      </c>
      <c r="AF4930">
        <v>0.143739775937966</v>
      </c>
      <c r="AG4930">
        <v>-0.16675400000000001</v>
      </c>
      <c r="AH4930">
        <v>0.64386803402387005</v>
      </c>
      <c r="AI4930">
        <v>104.18529152386</v>
      </c>
      <c r="AJ4930">
        <v>77.415407290817299</v>
      </c>
      <c r="AK4930">
        <v>0.68046606450319003</v>
      </c>
      <c r="AL4930">
        <v>82.379155402629706</v>
      </c>
      <c r="AM4930">
        <v>68.554848347641695</v>
      </c>
      <c r="AN4930">
        <v>1.0000000565128999</v>
      </c>
    </row>
    <row r="4931" spans="1:40" x14ac:dyDescent="0.25">
      <c r="A4931" t="str">
        <f>"20190312172804506"</f>
        <v>20190312172804506</v>
      </c>
      <c r="B4931" t="str">
        <f>"1552382884503954"</f>
        <v>1552382884503954</v>
      </c>
      <c r="C4931" t="s">
        <v>40</v>
      </c>
      <c r="D4931">
        <v>3.2934589999999901</v>
      </c>
      <c r="E4931">
        <v>0.43559969999999998</v>
      </c>
      <c r="F4931" t="s">
        <v>44</v>
      </c>
      <c r="G4931">
        <v>-323.75549999999998</v>
      </c>
      <c r="H4931">
        <v>0.91643430000000003</v>
      </c>
      <c r="I4931">
        <v>16.432929999999999</v>
      </c>
      <c r="J4931">
        <v>-324.42399999999998</v>
      </c>
      <c r="K4931">
        <v>1.1086879999999999</v>
      </c>
      <c r="L4931">
        <v>16.620760000000001</v>
      </c>
      <c r="M4931">
        <v>0.99922359999999999</v>
      </c>
      <c r="N4931">
        <v>0</v>
      </c>
      <c r="O4931">
        <v>-3.7016920000000002E-2</v>
      </c>
      <c r="P4931">
        <v>0.90938059999999998</v>
      </c>
      <c r="Q4931">
        <v>0.12086180000000001</v>
      </c>
      <c r="R4931">
        <v>-0.39801890000000001</v>
      </c>
      <c r="S4931">
        <v>3.0740970000000001</v>
      </c>
      <c r="T4931">
        <v>-0.70999569999999901</v>
      </c>
      <c r="U4931">
        <v>-0.72436519999999904</v>
      </c>
      <c r="V4931">
        <v>0.36455539999999997</v>
      </c>
      <c r="W4931">
        <v>0.13200209999999901</v>
      </c>
      <c r="X4931">
        <v>0.92177810000000004</v>
      </c>
      <c r="Y4931">
        <v>0.18936910000000001</v>
      </c>
      <c r="Z4931">
        <v>-1.298446E-2</v>
      </c>
      <c r="AA4931">
        <v>0.98182009999999997</v>
      </c>
      <c r="AB4931">
        <v>19</v>
      </c>
      <c r="AC4931">
        <v>0.66850000000005105</v>
      </c>
      <c r="AD4931">
        <v>-0.192253699999999</v>
      </c>
      <c r="AE4931">
        <v>-0.187830000000001</v>
      </c>
      <c r="AF4931">
        <v>0.151351181174467</v>
      </c>
      <c r="AG4931">
        <v>-0.192253699999999</v>
      </c>
      <c r="AH4931">
        <v>0.62693670805230794</v>
      </c>
      <c r="AI4931">
        <v>106.598907253571</v>
      </c>
      <c r="AJ4931">
        <v>76.427697613439193</v>
      </c>
      <c r="AK4931">
        <v>0.67299205129783002</v>
      </c>
      <c r="AL4931">
        <v>82.414698856626302</v>
      </c>
      <c r="AM4931">
        <v>68.421624263783997</v>
      </c>
      <c r="AN4931">
        <v>1.0000000298565801</v>
      </c>
    </row>
    <row r="4932" spans="1:40" x14ac:dyDescent="0.25">
      <c r="A4932" t="str">
        <f>"20190312172804519"</f>
        <v>20190312172804519</v>
      </c>
      <c r="B4932" t="str">
        <f>"1552382884514689"</f>
        <v>1552382884514689</v>
      </c>
      <c r="C4932" t="s">
        <v>40</v>
      </c>
      <c r="D4932">
        <v>3.4313839999999902</v>
      </c>
      <c r="E4932">
        <v>0.43523230000000002</v>
      </c>
      <c r="F4932" t="s">
        <v>44</v>
      </c>
      <c r="G4932">
        <v>-323.73919999999998</v>
      </c>
      <c r="H4932">
        <v>0.95190980000000003</v>
      </c>
      <c r="I4932">
        <v>16.456189999999999</v>
      </c>
      <c r="J4932">
        <v>-324.3218</v>
      </c>
      <c r="K4932">
        <v>1.1086739999999999</v>
      </c>
      <c r="L4932">
        <v>16.61523</v>
      </c>
      <c r="M4932">
        <v>0.99916700000000003</v>
      </c>
      <c r="N4932">
        <v>0</v>
      </c>
      <c r="O4932">
        <v>-3.8516670000000003E-2</v>
      </c>
      <c r="P4932">
        <v>0.90829769999999999</v>
      </c>
      <c r="Q4932">
        <v>0.1206193</v>
      </c>
      <c r="R4932">
        <v>-0.40055770000000002</v>
      </c>
      <c r="S4932">
        <v>3.069763</v>
      </c>
      <c r="T4932">
        <v>-0.70252609999999904</v>
      </c>
      <c r="U4932">
        <v>-0.73693850000000005</v>
      </c>
      <c r="V4932">
        <v>0.36575059999999998</v>
      </c>
      <c r="W4932">
        <v>0.13173689999999999</v>
      </c>
      <c r="X4932">
        <v>0.92134240000000001</v>
      </c>
      <c r="Y4932">
        <v>0.192055</v>
      </c>
      <c r="Z4932">
        <v>-1.282872E-2</v>
      </c>
      <c r="AA4932">
        <v>0.98130030000000001</v>
      </c>
      <c r="AB4932">
        <v>19</v>
      </c>
      <c r="AC4932">
        <v>0.582600000000013</v>
      </c>
      <c r="AD4932">
        <v>-0.15676419999999899</v>
      </c>
      <c r="AE4932">
        <v>-0.15903999999999999</v>
      </c>
      <c r="AF4932">
        <v>0.127864458721345</v>
      </c>
      <c r="AG4932">
        <v>-0.15676419999999899</v>
      </c>
      <c r="AH4932">
        <v>0.55115631180089597</v>
      </c>
      <c r="AI4932">
        <v>105.486429827658</v>
      </c>
      <c r="AJ4932">
        <v>76.938824326328202</v>
      </c>
      <c r="AK4932">
        <v>0.58710954194571696</v>
      </c>
      <c r="AL4932">
        <v>82.430027068353795</v>
      </c>
      <c r="AM4932">
        <v>68.348122107613506</v>
      </c>
      <c r="AN4932">
        <v>0.999999965129864</v>
      </c>
    </row>
    <row r="4933" spans="1:40" x14ac:dyDescent="0.25">
      <c r="A4933" t="str">
        <f>"20190312172804531"</f>
        <v>20190312172804531</v>
      </c>
      <c r="B4933" t="str">
        <f>"1552382884524450"</f>
        <v>1552382884524450</v>
      </c>
      <c r="C4933" t="s">
        <v>40</v>
      </c>
      <c r="D4933">
        <v>3.277495</v>
      </c>
      <c r="E4933">
        <v>0.43535560000000001</v>
      </c>
      <c r="F4933" t="s">
        <v>44</v>
      </c>
      <c r="G4933">
        <v>-323.57709999999997</v>
      </c>
      <c r="H4933">
        <v>0.93765129999999997</v>
      </c>
      <c r="I4933">
        <v>16.434929999999898</v>
      </c>
      <c r="J4933">
        <v>-324.22059999999999</v>
      </c>
      <c r="K4933">
        <v>1.1086609999999999</v>
      </c>
      <c r="L4933">
        <v>16.609649999999998</v>
      </c>
      <c r="M4933">
        <v>0.99910829999999995</v>
      </c>
      <c r="N4933">
        <v>0</v>
      </c>
      <c r="O4933">
        <v>-4.0011909999999998E-2</v>
      </c>
      <c r="P4933">
        <v>0.90715840000000003</v>
      </c>
      <c r="Q4933">
        <v>0.120308399999999</v>
      </c>
      <c r="R4933">
        <v>-0.40322419999999998</v>
      </c>
      <c r="S4933">
        <v>3.068756</v>
      </c>
      <c r="T4933">
        <v>-0.70478499999999999</v>
      </c>
      <c r="U4933">
        <v>-0.74316409999999999</v>
      </c>
      <c r="V4933">
        <v>0.36708229999999997</v>
      </c>
      <c r="W4933">
        <v>0.13140260000000001</v>
      </c>
      <c r="X4933">
        <v>0.92086040000000002</v>
      </c>
      <c r="Y4933">
        <v>0.19254299999999999</v>
      </c>
      <c r="Z4933">
        <v>-1.259129E-2</v>
      </c>
      <c r="AA4933">
        <v>0.98120779999999996</v>
      </c>
      <c r="AB4933">
        <v>19</v>
      </c>
      <c r="AC4933">
        <v>0.64350000000001695</v>
      </c>
      <c r="AD4933">
        <v>-0.17100969999999999</v>
      </c>
      <c r="AE4933">
        <v>-0.17471999999999999</v>
      </c>
      <c r="AF4933">
        <v>0.139645065132698</v>
      </c>
      <c r="AG4933">
        <v>-0.17100969999999999</v>
      </c>
      <c r="AH4933">
        <v>0.60986307711269205</v>
      </c>
      <c r="AI4933">
        <v>105.28740192764801</v>
      </c>
      <c r="AJ4933">
        <v>77.102876688008095</v>
      </c>
      <c r="AK4933">
        <v>0.648596973886994</v>
      </c>
      <c r="AL4933">
        <v>82.449349031822905</v>
      </c>
      <c r="AM4933">
        <v>68.266305855984697</v>
      </c>
      <c r="AN4933">
        <v>0.99999996727410401</v>
      </c>
    </row>
    <row r="4934" spans="1:40" x14ac:dyDescent="0.25">
      <c r="A4934" t="str">
        <f>"20190312172804542"</f>
        <v>20190312172804542</v>
      </c>
      <c r="B4934" t="str">
        <f>"1552382884534210"</f>
        <v>1552382884534210</v>
      </c>
      <c r="C4934" t="s">
        <v>40</v>
      </c>
      <c r="D4934">
        <v>3.2955559999999999</v>
      </c>
      <c r="E4934">
        <v>0.43543779999999999</v>
      </c>
      <c r="F4934" t="s">
        <v>44</v>
      </c>
      <c r="G4934">
        <v>-323.4151</v>
      </c>
      <c r="H4934">
        <v>0.92338240000000005</v>
      </c>
      <c r="I4934">
        <v>16.411439999999999</v>
      </c>
      <c r="J4934">
        <v>-324.11959999999999</v>
      </c>
      <c r="K4934">
        <v>1.1086400000000001</v>
      </c>
      <c r="L4934">
        <v>16.603850000000001</v>
      </c>
      <c r="M4934">
        <v>0.99904630000000005</v>
      </c>
      <c r="N4934">
        <v>0</v>
      </c>
      <c r="O4934">
        <v>-4.1530669999999999E-2</v>
      </c>
      <c r="P4934">
        <v>0.90600780000000003</v>
      </c>
      <c r="Q4934">
        <v>0.1202902</v>
      </c>
      <c r="R4934">
        <v>-0.40580820000000001</v>
      </c>
      <c r="S4934">
        <v>3.065674</v>
      </c>
      <c r="T4934">
        <v>-0.70470909999999998</v>
      </c>
      <c r="U4934">
        <v>-0.75326539999999997</v>
      </c>
      <c r="V4934">
        <v>0.36831390000000003</v>
      </c>
      <c r="W4934">
        <v>0.1313597</v>
      </c>
      <c r="X4934">
        <v>0.92037469999999999</v>
      </c>
      <c r="Y4934">
        <v>0.1943203</v>
      </c>
      <c r="Z4934">
        <v>-1.245749E-2</v>
      </c>
      <c r="AA4934">
        <v>0.98085900000000004</v>
      </c>
      <c r="AB4934">
        <v>19</v>
      </c>
      <c r="AC4934">
        <v>0.70449999999999502</v>
      </c>
      <c r="AD4934">
        <v>-0.18525759999999999</v>
      </c>
      <c r="AE4934">
        <v>-0.192410000000002</v>
      </c>
      <c r="AF4934">
        <v>0.15312913760942201</v>
      </c>
      <c r="AG4934">
        <v>-0.18525759999999999</v>
      </c>
      <c r="AH4934">
        <v>0.668843823388516</v>
      </c>
      <c r="AI4934">
        <v>105.109368245559</v>
      </c>
      <c r="AJ4934">
        <v>77.104602717401804</v>
      </c>
      <c r="AK4934">
        <v>0.710718630139758</v>
      </c>
      <c r="AL4934">
        <v>82.451829096126104</v>
      </c>
      <c r="AM4934">
        <v>68.189788742182998</v>
      </c>
      <c r="AN4934">
        <v>1.00000004405869</v>
      </c>
    </row>
    <row r="4935" spans="1:40" x14ac:dyDescent="0.25">
      <c r="A4935" t="str">
        <f>"20190312172804553"</f>
        <v>20190312172804553</v>
      </c>
      <c r="B4935" t="str">
        <f>"1552382884543970"</f>
        <v>1552382884543970</v>
      </c>
      <c r="C4935" t="s">
        <v>40</v>
      </c>
      <c r="D4935">
        <v>3.2806799999999998</v>
      </c>
      <c r="E4935">
        <v>0.43540499999999999</v>
      </c>
      <c r="F4935" t="s">
        <v>44</v>
      </c>
      <c r="G4935">
        <v>-323.40539999999999</v>
      </c>
      <c r="H4935">
        <v>0.94454099999999996</v>
      </c>
      <c r="I4935">
        <v>16.425650000000001</v>
      </c>
      <c r="J4935">
        <v>-324.03399999999999</v>
      </c>
      <c r="K4935">
        <v>1.1086279999999999</v>
      </c>
      <c r="L4935">
        <v>16.59882</v>
      </c>
      <c r="M4935">
        <v>0.99899130000000003</v>
      </c>
      <c r="N4935">
        <v>0</v>
      </c>
      <c r="O4935">
        <v>-4.2832080000000002E-2</v>
      </c>
      <c r="P4935">
        <v>0.90486900000000003</v>
      </c>
      <c r="Q4935">
        <v>0.1198902</v>
      </c>
      <c r="R4935">
        <v>-0.40845890000000001</v>
      </c>
      <c r="S4935">
        <v>3.0628359999999999</v>
      </c>
      <c r="T4935">
        <v>-0.70327890000000004</v>
      </c>
      <c r="U4935">
        <v>-0.76303100000000001</v>
      </c>
      <c r="V4935">
        <v>0.36981229999999998</v>
      </c>
      <c r="W4935">
        <v>0.1309342</v>
      </c>
      <c r="X4935">
        <v>0.91983429999999999</v>
      </c>
      <c r="Y4935">
        <v>0.1961987</v>
      </c>
      <c r="Z4935">
        <v>-1.235938E-2</v>
      </c>
      <c r="AA4935">
        <v>0.98048630000000003</v>
      </c>
      <c r="AB4935">
        <v>19</v>
      </c>
      <c r="AC4935">
        <v>0.62860000000000504</v>
      </c>
      <c r="AD4935">
        <v>-0.16408700000000001</v>
      </c>
      <c r="AE4935">
        <v>-0.17316999999999799</v>
      </c>
      <c r="AF4935">
        <v>0.13738343574721701</v>
      </c>
      <c r="AG4935">
        <v>-0.16408700000000001</v>
      </c>
      <c r="AH4935">
        <v>0.59759346690517401</v>
      </c>
      <c r="AI4935">
        <v>104.98128756862</v>
      </c>
      <c r="AJ4935">
        <v>77.052978038713107</v>
      </c>
      <c r="AK4935">
        <v>0.63475720056920604</v>
      </c>
      <c r="AL4935">
        <v>82.476420673189594</v>
      </c>
      <c r="AM4935">
        <v>68.097786331951198</v>
      </c>
      <c r="AN4935">
        <v>1.0000000207087001</v>
      </c>
    </row>
    <row r="4936" spans="1:40" x14ac:dyDescent="0.25">
      <c r="A4936" t="str">
        <f>"20190312172804565"</f>
        <v>20190312172804565</v>
      </c>
      <c r="B4936" t="str">
        <f>"1552382884554706"</f>
        <v>1552382884554706</v>
      </c>
      <c r="C4936" t="s">
        <v>40</v>
      </c>
      <c r="D4936">
        <v>3.298943</v>
      </c>
      <c r="E4936">
        <v>0.43534539999999999</v>
      </c>
      <c r="F4936" t="s">
        <v>44</v>
      </c>
      <c r="G4936">
        <v>-323.24509999999998</v>
      </c>
      <c r="H4936">
        <v>0.92732360000000003</v>
      </c>
      <c r="I4936">
        <v>16.399709999999999</v>
      </c>
      <c r="J4936">
        <v>-323.93189999999998</v>
      </c>
      <c r="K4936">
        <v>1.108611</v>
      </c>
      <c r="L4936">
        <v>16.592649999999999</v>
      </c>
      <c r="M4936">
        <v>0.99892270000000005</v>
      </c>
      <c r="N4936">
        <v>0</v>
      </c>
      <c r="O4936">
        <v>-4.4402030000000002E-2</v>
      </c>
      <c r="P4936">
        <v>0.90360989999999997</v>
      </c>
      <c r="Q4936">
        <v>0.11979679999999999</v>
      </c>
      <c r="R4936">
        <v>-0.41126439999999997</v>
      </c>
      <c r="S4936">
        <v>3.060181</v>
      </c>
      <c r="T4936">
        <v>-0.70307529999999996</v>
      </c>
      <c r="U4936">
        <v>-0.77178959999999996</v>
      </c>
      <c r="V4936">
        <v>0.37122739999999999</v>
      </c>
      <c r="W4936">
        <v>0.13081219999999999</v>
      </c>
      <c r="X4936">
        <v>0.91928140000000003</v>
      </c>
      <c r="Y4936">
        <v>0.1975044</v>
      </c>
      <c r="Z4936">
        <v>-1.215835E-2</v>
      </c>
      <c r="AA4936">
        <v>0.98022659999999995</v>
      </c>
      <c r="AB4936">
        <v>19</v>
      </c>
      <c r="AC4936">
        <v>0.68680000000000496</v>
      </c>
      <c r="AD4936">
        <v>-0.18128739999999999</v>
      </c>
      <c r="AE4936">
        <v>-0.19294</v>
      </c>
      <c r="AF4936">
        <v>0.15240927850167299</v>
      </c>
      <c r="AG4936">
        <v>-0.18128739999999999</v>
      </c>
      <c r="AH4936">
        <v>0.65254976131265696</v>
      </c>
      <c r="AI4936">
        <v>105.138039220338</v>
      </c>
      <c r="AJ4936">
        <v>76.853682126976196</v>
      </c>
      <c r="AK4936">
        <v>0.69420090792317901</v>
      </c>
      <c r="AL4936">
        <v>82.483470890905906</v>
      </c>
      <c r="AM4936">
        <v>68.009987794722605</v>
      </c>
      <c r="AN4936">
        <v>0.99999995328277802</v>
      </c>
    </row>
    <row r="4937" spans="1:40" x14ac:dyDescent="0.25">
      <c r="A4937" t="str">
        <f>"20190312172804577"</f>
        <v>20190312172804577</v>
      </c>
      <c r="B4937" t="str">
        <f>"1552382884574226"</f>
        <v>1552382884574226</v>
      </c>
      <c r="C4937" t="s">
        <v>40</v>
      </c>
      <c r="D4937">
        <v>3.2732779999999999</v>
      </c>
      <c r="E4937">
        <v>0.43525819999999998</v>
      </c>
      <c r="F4937" t="s">
        <v>44</v>
      </c>
      <c r="G4937">
        <v>-323.2353</v>
      </c>
      <c r="H4937">
        <v>0.9485654</v>
      </c>
      <c r="I4937">
        <v>16.414529999999999</v>
      </c>
      <c r="J4937">
        <v>-323.8347</v>
      </c>
      <c r="K4937">
        <v>1.1085940000000001</v>
      </c>
      <c r="L4937">
        <v>16.586579999999898</v>
      </c>
      <c r="M4937">
        <v>0.99885400000000002</v>
      </c>
      <c r="N4937">
        <v>0</v>
      </c>
      <c r="O4937">
        <v>-4.5922280000000003E-2</v>
      </c>
      <c r="P4937">
        <v>0.90244020000000003</v>
      </c>
      <c r="Q4937">
        <v>0.1195256</v>
      </c>
      <c r="R4937">
        <v>-0.41390270000000001</v>
      </c>
      <c r="S4937">
        <v>3.0575869999999998</v>
      </c>
      <c r="T4937">
        <v>-0.702237</v>
      </c>
      <c r="U4937">
        <v>-0.78115840000000003</v>
      </c>
      <c r="V4937">
        <v>0.37251960000000001</v>
      </c>
      <c r="W4937">
        <v>0.1305135</v>
      </c>
      <c r="X4937">
        <v>0.91880099999999998</v>
      </c>
      <c r="Y4937">
        <v>0.1990384</v>
      </c>
      <c r="Z4937">
        <v>-1.198279E-2</v>
      </c>
      <c r="AA4937">
        <v>0.97991839999999997</v>
      </c>
      <c r="AB4937">
        <v>19</v>
      </c>
      <c r="AC4937">
        <v>0.59940000000000204</v>
      </c>
      <c r="AD4937">
        <v>-0.16002859999999999</v>
      </c>
      <c r="AE4937">
        <v>-0.17204999999999801</v>
      </c>
      <c r="AF4937">
        <v>0.135422138232932</v>
      </c>
      <c r="AG4937">
        <v>-0.16002859999999999</v>
      </c>
      <c r="AH4937">
        <v>0.56918634743352303</v>
      </c>
      <c r="AI4937">
        <v>105.29729485226299</v>
      </c>
      <c r="AJ4937">
        <v>76.616878386787604</v>
      </c>
      <c r="AK4937">
        <v>0.60656525324671795</v>
      </c>
      <c r="AL4937">
        <v>82.500733121806604</v>
      </c>
      <c r="AM4937">
        <v>67.930348710905307</v>
      </c>
      <c r="AN4937">
        <v>0.99999995183370305</v>
      </c>
    </row>
    <row r="4938" spans="1:40" x14ac:dyDescent="0.25">
      <c r="A4938" t="str">
        <f>"20190312172804588"</f>
        <v>20190312172804588</v>
      </c>
      <c r="B4938" t="str">
        <f>"1552382884583986"</f>
        <v>1552382884583986</v>
      </c>
      <c r="C4938" t="s">
        <v>40</v>
      </c>
      <c r="D4938">
        <v>3.3363450000000001</v>
      </c>
      <c r="E4938">
        <v>0.43500939999999999</v>
      </c>
      <c r="F4938" t="s">
        <v>44</v>
      </c>
      <c r="G4938">
        <v>-323.07440000000003</v>
      </c>
      <c r="H4938">
        <v>0.93331810000000004</v>
      </c>
      <c r="I4938">
        <v>16.39001</v>
      </c>
      <c r="J4938">
        <v>-323.73480000000001</v>
      </c>
      <c r="K4938">
        <v>1.1085750000000001</v>
      </c>
      <c r="L4938">
        <v>16.58023</v>
      </c>
      <c r="M4938">
        <v>0.99878049999999996</v>
      </c>
      <c r="N4938">
        <v>0</v>
      </c>
      <c r="O4938">
        <v>-4.7494300000000003E-2</v>
      </c>
      <c r="P4938">
        <v>0.90127270000000004</v>
      </c>
      <c r="Q4938">
        <v>0.1190948</v>
      </c>
      <c r="R4938">
        <v>-0.41656270000000001</v>
      </c>
      <c r="S4938">
        <v>3.0555110000000001</v>
      </c>
      <c r="T4938">
        <v>-0.70412209999999997</v>
      </c>
      <c r="U4938">
        <v>-0.78942869999999998</v>
      </c>
      <c r="V4938">
        <v>0.37378739999999999</v>
      </c>
      <c r="W4938">
        <v>0.1300549</v>
      </c>
      <c r="X4938">
        <v>0.91835109999999998</v>
      </c>
      <c r="Y4938">
        <v>0.20013520000000001</v>
      </c>
      <c r="Z4938">
        <v>-1.179028E-2</v>
      </c>
      <c r="AA4938">
        <v>0.97969729999999999</v>
      </c>
      <c r="AB4938">
        <v>19</v>
      </c>
      <c r="AC4938">
        <v>0.660399999999981</v>
      </c>
      <c r="AD4938">
        <v>-0.17525689999999999</v>
      </c>
      <c r="AE4938">
        <v>-0.19022</v>
      </c>
      <c r="AF4938">
        <v>0.14895077182678401</v>
      </c>
      <c r="AG4938">
        <v>-0.17525689999999999</v>
      </c>
      <c r="AH4938">
        <v>0.62785937744348996</v>
      </c>
      <c r="AI4938">
        <v>105.19476041200799</v>
      </c>
      <c r="AJ4938">
        <v>76.654107358858099</v>
      </c>
      <c r="AK4938">
        <v>0.66866188112463198</v>
      </c>
      <c r="AL4938">
        <v>82.527235363632698</v>
      </c>
      <c r="AM4938">
        <v>67.852686542324605</v>
      </c>
      <c r="AN4938">
        <v>1.0000000201419801</v>
      </c>
    </row>
    <row r="4939" spans="1:40" x14ac:dyDescent="0.25">
      <c r="A4939" t="str">
        <f>"20190312172804599"</f>
        <v>20190312172804599</v>
      </c>
      <c r="B4939" t="str">
        <f>"1552382884594722"</f>
        <v>1552382884594722</v>
      </c>
      <c r="C4939" t="s">
        <v>40</v>
      </c>
      <c r="D4939">
        <v>3.3345630000000002</v>
      </c>
      <c r="E4939">
        <v>0.43481340000000002</v>
      </c>
      <c r="F4939" t="s">
        <v>44</v>
      </c>
      <c r="G4939">
        <v>-322.91320000000002</v>
      </c>
      <c r="H4939">
        <v>0.91897799999999996</v>
      </c>
      <c r="I4939">
        <v>16.365870000000001</v>
      </c>
      <c r="J4939">
        <v>-323.64100000000002</v>
      </c>
      <c r="K4939">
        <v>1.1085560000000001</v>
      </c>
      <c r="L4939">
        <v>16.574010000000001</v>
      </c>
      <c r="M4939">
        <v>0.99870780000000003</v>
      </c>
      <c r="N4939">
        <v>0</v>
      </c>
      <c r="O4939">
        <v>-4.899966E-2</v>
      </c>
      <c r="P4939">
        <v>0.90015159999999905</v>
      </c>
      <c r="Q4939">
        <v>0.1186714</v>
      </c>
      <c r="R4939">
        <v>-0.41909950000000001</v>
      </c>
      <c r="S4939">
        <v>3.053528</v>
      </c>
      <c r="T4939">
        <v>-0.70469510000000002</v>
      </c>
      <c r="U4939">
        <v>-0.79663090000000003</v>
      </c>
      <c r="V4939">
        <v>0.37499339999999998</v>
      </c>
      <c r="W4939">
        <v>0.12960379999999999</v>
      </c>
      <c r="X4939">
        <v>0.91792309999999999</v>
      </c>
      <c r="Y4939">
        <v>0.200987</v>
      </c>
      <c r="Z4939">
        <v>-1.156301E-2</v>
      </c>
      <c r="AA4939">
        <v>0.97952570000000005</v>
      </c>
      <c r="AB4939">
        <v>19</v>
      </c>
      <c r="AC4939">
        <v>0.72779999999994505</v>
      </c>
      <c r="AD4939">
        <v>-0.189577999999999</v>
      </c>
      <c r="AE4939">
        <v>-0.20813999999999999</v>
      </c>
      <c r="AF4939">
        <v>0.162060235788382</v>
      </c>
      <c r="AG4939">
        <v>-0.189577999999999</v>
      </c>
      <c r="AH4939">
        <v>0.69362103269656905</v>
      </c>
      <c r="AI4939">
        <v>104.903694469736</v>
      </c>
      <c r="AJ4939">
        <v>76.849110312502702</v>
      </c>
      <c r="AK4939">
        <v>0.737098009159461</v>
      </c>
      <c r="AL4939">
        <v>82.553302005283996</v>
      </c>
      <c r="AM4939">
        <v>67.778818309507002</v>
      </c>
      <c r="AN4939">
        <v>1.0000000062658001</v>
      </c>
    </row>
    <row r="4940" spans="1:40" x14ac:dyDescent="0.25">
      <c r="A4940" t="str">
        <f>"20190312172804612"</f>
        <v>20190312172804612</v>
      </c>
      <c r="B4940" t="str">
        <f>"1552382884604481"</f>
        <v>1552382884604481</v>
      </c>
      <c r="C4940" t="s">
        <v>40</v>
      </c>
      <c r="D4940">
        <v>3.3634819999999999</v>
      </c>
      <c r="E4940">
        <v>0.43468879999999999</v>
      </c>
      <c r="F4940" t="s">
        <v>44</v>
      </c>
      <c r="G4940">
        <v>-322.90440000000001</v>
      </c>
      <c r="H4940">
        <v>0.93818639999999998</v>
      </c>
      <c r="I4940">
        <v>16.38</v>
      </c>
      <c r="J4940">
        <v>-323.54450000000003</v>
      </c>
      <c r="K4940">
        <v>1.108527</v>
      </c>
      <c r="L4940">
        <v>16.567499999999999</v>
      </c>
      <c r="M4940">
        <v>0.99863020000000002</v>
      </c>
      <c r="N4940">
        <v>0</v>
      </c>
      <c r="O4940">
        <v>-5.055664E-2</v>
      </c>
      <c r="P4940">
        <v>0.89918149999999997</v>
      </c>
      <c r="Q4940">
        <v>0.1184452</v>
      </c>
      <c r="R4940">
        <v>-0.42124070000000002</v>
      </c>
      <c r="S4940">
        <v>3.0516359999999998</v>
      </c>
      <c r="T4940">
        <v>-0.70583509999999905</v>
      </c>
      <c r="U4940">
        <v>-0.80368039999999996</v>
      </c>
      <c r="V4940">
        <v>0.37575170000000002</v>
      </c>
      <c r="W4940">
        <v>0.1293542</v>
      </c>
      <c r="X4940">
        <v>0.91764809999999997</v>
      </c>
      <c r="Y4940">
        <v>0.2017332</v>
      </c>
      <c r="Z4940">
        <v>-1.1320490000000001E-2</v>
      </c>
      <c r="AA4940">
        <v>0.97937510000000005</v>
      </c>
      <c r="AB4940">
        <v>19</v>
      </c>
      <c r="AC4940">
        <v>0.64010000000001799</v>
      </c>
      <c r="AD4940">
        <v>-0.17034060000000001</v>
      </c>
      <c r="AE4940">
        <v>-0.1875</v>
      </c>
      <c r="AF4940">
        <v>0.14541197892329399</v>
      </c>
      <c r="AG4940">
        <v>-0.17034060000000001</v>
      </c>
      <c r="AH4940">
        <v>0.60903920455187499</v>
      </c>
      <c r="AI4940">
        <v>105.21851809048501</v>
      </c>
      <c r="AJ4940">
        <v>76.571660671101398</v>
      </c>
      <c r="AK4940">
        <v>0.64891395138641395</v>
      </c>
      <c r="AL4940">
        <v>82.567723959158599</v>
      </c>
      <c r="AM4940">
        <v>67.732247667462502</v>
      </c>
      <c r="AN4940">
        <v>0.99999994227206801</v>
      </c>
    </row>
    <row r="4941" spans="1:40" x14ac:dyDescent="0.25">
      <c r="A4941" t="str">
        <f>"20190312172804623"</f>
        <v>20190312172804623</v>
      </c>
      <c r="B4941" t="str">
        <f>"1552382884614241"</f>
        <v>1552382884614241</v>
      </c>
      <c r="C4941" t="s">
        <v>40</v>
      </c>
      <c r="D4941">
        <v>3.3770380000000002</v>
      </c>
      <c r="E4941">
        <v>0.43451010000000001</v>
      </c>
      <c r="F4941" t="s">
        <v>44</v>
      </c>
      <c r="G4941">
        <v>-322.74400000000003</v>
      </c>
      <c r="H4941">
        <v>0.92294350000000003</v>
      </c>
      <c r="I4941">
        <v>16.354990000000001</v>
      </c>
      <c r="J4941">
        <v>-323.4504</v>
      </c>
      <c r="K4941">
        <v>1.1085039999999999</v>
      </c>
      <c r="L4941">
        <v>16.561</v>
      </c>
      <c r="M4941">
        <v>0.99855110000000002</v>
      </c>
      <c r="N4941">
        <v>0</v>
      </c>
      <c r="O4941">
        <v>-5.209391E-2</v>
      </c>
      <c r="P4941">
        <v>0.89827500000000005</v>
      </c>
      <c r="Q4941">
        <v>0.1180522</v>
      </c>
      <c r="R4941">
        <v>-0.42327979999999998</v>
      </c>
      <c r="S4941">
        <v>3.0502319999999998</v>
      </c>
      <c r="T4941">
        <v>-0.70706859999999905</v>
      </c>
      <c r="U4941">
        <v>-0.80969239999999998</v>
      </c>
      <c r="V4941">
        <v>0.37642340000000002</v>
      </c>
      <c r="W4941">
        <v>0.12894050000000001</v>
      </c>
      <c r="X4941">
        <v>0.91743110000000005</v>
      </c>
      <c r="Y4941">
        <v>0.2021558</v>
      </c>
      <c r="Z4941">
        <v>-1.104523E-2</v>
      </c>
      <c r="AA4941">
        <v>0.97929109999999997</v>
      </c>
      <c r="AB4941">
        <v>19</v>
      </c>
      <c r="AC4941">
        <v>0.70639999999997305</v>
      </c>
      <c r="AD4941">
        <v>-0.18556049999999999</v>
      </c>
      <c r="AE4941">
        <v>-0.206009999999999</v>
      </c>
      <c r="AF4941">
        <v>0.15882719752671501</v>
      </c>
      <c r="AG4941">
        <v>-0.18556049999999999</v>
      </c>
      <c r="AH4941">
        <v>0.67335199747940599</v>
      </c>
      <c r="AI4941">
        <v>105.014306601821</v>
      </c>
      <c r="AJ4941">
        <v>76.727924222589806</v>
      </c>
      <c r="AK4941">
        <v>0.71628324728695603</v>
      </c>
      <c r="AL4941">
        <v>82.591628029412306</v>
      </c>
      <c r="AM4941">
        <v>67.691581381534505</v>
      </c>
      <c r="AN4941">
        <v>1.0000000259274999</v>
      </c>
    </row>
    <row r="4942" spans="1:40" x14ac:dyDescent="0.25">
      <c r="A4942" t="str">
        <f>"20190312172804741"</f>
        <v>20190312172804741</v>
      </c>
      <c r="B4942" t="str">
        <f>"1552382884734290"</f>
        <v>1552382884734290</v>
      </c>
      <c r="C4942" t="s">
        <v>40</v>
      </c>
      <c r="D4942">
        <v>3.4648949999999998</v>
      </c>
      <c r="E4942">
        <v>0.53876550000000001</v>
      </c>
      <c r="F4942" t="s">
        <v>43</v>
      </c>
      <c r="G4942">
        <v>-317.85860000000002</v>
      </c>
      <c r="H4942">
        <v>-0.05</v>
      </c>
      <c r="I4942">
        <v>13.59174</v>
      </c>
      <c r="J4942">
        <v>-322.46039999999999</v>
      </c>
      <c r="K4942">
        <v>1.1084069999999999</v>
      </c>
      <c r="L4942">
        <v>16.482240000000001</v>
      </c>
      <c r="M4942">
        <v>0.99751380000000001</v>
      </c>
      <c r="N4942">
        <v>0</v>
      </c>
      <c r="O4942">
        <v>-6.9166539999999999E-2</v>
      </c>
      <c r="P4942">
        <v>0.88630679999999995</v>
      </c>
      <c r="Q4942">
        <v>0.11968910000000001</v>
      </c>
      <c r="R4942">
        <v>-0.4473646</v>
      </c>
      <c r="S4942">
        <v>2.6488339999999999</v>
      </c>
      <c r="T4942">
        <v>-0.65247939999999904</v>
      </c>
      <c r="U4942">
        <v>-1.6331180000000001</v>
      </c>
      <c r="V4942">
        <v>0.38554369999999999</v>
      </c>
      <c r="W4942">
        <v>0.13038630000000001</v>
      </c>
      <c r="X4942">
        <v>0.91343059999999998</v>
      </c>
      <c r="Y4942">
        <v>0.45634069999999999</v>
      </c>
      <c r="Z4942">
        <v>-3.568321E-2</v>
      </c>
      <c r="AA4942">
        <v>0.88908929999999997</v>
      </c>
      <c r="AB4942">
        <v>19</v>
      </c>
      <c r="AC4942">
        <v>4.6017999999999599</v>
      </c>
      <c r="AD4942">
        <v>-1.158407</v>
      </c>
      <c r="AE4942">
        <v>-2.8904999999999998</v>
      </c>
      <c r="AF4942">
        <v>2.4537585651389202</v>
      </c>
      <c r="AG4942">
        <v>-1.158407</v>
      </c>
      <c r="AH4942">
        <v>4.5824939279312096</v>
      </c>
      <c r="AI4942">
        <v>102.563202810555</v>
      </c>
      <c r="AJ4942">
        <v>61.832572654572601</v>
      </c>
      <c r="AK4942">
        <v>5.3256068643083303</v>
      </c>
      <c r="AL4942">
        <v>82.508084294948901</v>
      </c>
      <c r="AM4942">
        <v>67.116209475855797</v>
      </c>
      <c r="AN4942">
        <v>0.99999999642686999</v>
      </c>
    </row>
    <row r="4943" spans="1:40" x14ac:dyDescent="0.25">
      <c r="A4943" t="str">
        <f>"20190312172804753"</f>
        <v>20190312172804753</v>
      </c>
      <c r="B4943" t="str">
        <f>"1552382884744051"</f>
        <v>1552382884744051</v>
      </c>
      <c r="C4943" t="s">
        <v>40</v>
      </c>
      <c r="D4943">
        <v>3.4418839999999902</v>
      </c>
      <c r="E4943">
        <v>0.53991129999999998</v>
      </c>
      <c r="F4943" t="s">
        <v>43</v>
      </c>
      <c r="G4943">
        <v>-316.80189999999999</v>
      </c>
      <c r="H4943">
        <v>-0.05</v>
      </c>
      <c r="I4943">
        <v>12.957409999999999</v>
      </c>
      <c r="J4943">
        <v>-322.36189999999999</v>
      </c>
      <c r="K4943">
        <v>1.1084000000000001</v>
      </c>
      <c r="L4943">
        <v>16.47336</v>
      </c>
      <c r="M4943">
        <v>0.99738899999999997</v>
      </c>
      <c r="N4943">
        <v>0</v>
      </c>
      <c r="O4943">
        <v>-7.0944110000000005E-2</v>
      </c>
      <c r="P4943">
        <v>0.88496629999999998</v>
      </c>
      <c r="Q4943">
        <v>0.1200799</v>
      </c>
      <c r="R4943">
        <v>-0.44990609999999998</v>
      </c>
      <c r="S4943">
        <v>2.630493</v>
      </c>
      <c r="T4943">
        <v>-0.53851499999999997</v>
      </c>
      <c r="U4943">
        <v>-1.638611</v>
      </c>
      <c r="V4943">
        <v>0.3865478</v>
      </c>
      <c r="W4943">
        <v>0.13075690000000001</v>
      </c>
      <c r="X4943">
        <v>0.91295309999999996</v>
      </c>
      <c r="Y4943">
        <v>0.4613913</v>
      </c>
      <c r="Z4943">
        <v>-2.9861149999999999E-2</v>
      </c>
      <c r="AA4943">
        <v>0.88669409999999904</v>
      </c>
      <c r="AB4943">
        <v>19</v>
      </c>
      <c r="AC4943">
        <v>5.56</v>
      </c>
      <c r="AD4943">
        <v>-1.1584000000000001</v>
      </c>
      <c r="AE4943">
        <v>-3.5159499999999899</v>
      </c>
      <c r="AF4943">
        <v>3.0189909135276398</v>
      </c>
      <c r="AG4943">
        <v>-1.1584000000000001</v>
      </c>
      <c r="AH4943">
        <v>5.6211455643738404</v>
      </c>
      <c r="AI4943">
        <v>100.290048247716</v>
      </c>
      <c r="AJ4943">
        <v>61.760754252722997</v>
      </c>
      <c r="AK4943">
        <v>6.4848650064470998</v>
      </c>
      <c r="AL4943">
        <v>82.486666891670097</v>
      </c>
      <c r="AM4943">
        <v>67.052016757449906</v>
      </c>
      <c r="AN4943">
        <v>0.999999965691029</v>
      </c>
    </row>
    <row r="4944" spans="1:40" x14ac:dyDescent="0.25">
      <c r="A4944" t="str">
        <f>"20190312172804764"</f>
        <v>20190312172804764</v>
      </c>
      <c r="B4944" t="str">
        <f>"1552382884754786"</f>
        <v>1552382884754786</v>
      </c>
      <c r="C4944" t="s">
        <v>40</v>
      </c>
      <c r="D4944">
        <v>3.4734980000000002</v>
      </c>
      <c r="E4944">
        <v>0.53895249999999995</v>
      </c>
      <c r="F4944" t="s">
        <v>43</v>
      </c>
      <c r="G4944">
        <v>-316.1748</v>
      </c>
      <c r="H4944">
        <v>-0.05</v>
      </c>
      <c r="I4944">
        <v>12.56099</v>
      </c>
      <c r="J4944">
        <v>-322.2627</v>
      </c>
      <c r="K4944">
        <v>1.10839</v>
      </c>
      <c r="L4944">
        <v>16.464289999999998</v>
      </c>
      <c r="M4944">
        <v>0.99725929999999996</v>
      </c>
      <c r="N4944">
        <v>0</v>
      </c>
      <c r="O4944">
        <v>-7.2746019999999995E-2</v>
      </c>
      <c r="P4944">
        <v>0.8836619</v>
      </c>
      <c r="Q4944">
        <v>0.1208221</v>
      </c>
      <c r="R4944">
        <v>-0.4522659</v>
      </c>
      <c r="S4944">
        <v>2.6155400000000002</v>
      </c>
      <c r="T4944">
        <v>-0.4897068</v>
      </c>
      <c r="U4944">
        <v>-1.653931</v>
      </c>
      <c r="V4944">
        <v>0.38734970000000002</v>
      </c>
      <c r="W4944">
        <v>0.1314797</v>
      </c>
      <c r="X4944">
        <v>0.91250929999999997</v>
      </c>
      <c r="Y4944">
        <v>0.46670279999999997</v>
      </c>
      <c r="Z4944">
        <v>-2.7434150000000001E-2</v>
      </c>
      <c r="AA4944">
        <v>0.88398860000000001</v>
      </c>
      <c r="AB4944">
        <v>19</v>
      </c>
      <c r="AC4944">
        <v>6.0878999999999897</v>
      </c>
      <c r="AD4944">
        <v>-1.15839</v>
      </c>
      <c r="AE4944">
        <v>-3.9033000000000002</v>
      </c>
      <c r="AF4944">
        <v>3.3637388403559698</v>
      </c>
      <c r="AG4944">
        <v>-1.15839</v>
      </c>
      <c r="AH4944">
        <v>6.1967466190771603</v>
      </c>
      <c r="AI4944">
        <v>99.329832255816299</v>
      </c>
      <c r="AJ4944">
        <v>61.505856300436299</v>
      </c>
      <c r="AK4944">
        <v>7.1453673830855999</v>
      </c>
      <c r="AL4944">
        <v>82.444892825901107</v>
      </c>
      <c r="AM4944">
        <v>66.999335889769995</v>
      </c>
      <c r="AN4944">
        <v>0.99999996209433395</v>
      </c>
    </row>
    <row r="4945" spans="1:40" x14ac:dyDescent="0.25">
      <c r="A4945" t="str">
        <f>"20190312172804776"</f>
        <v>20190312172804776</v>
      </c>
      <c r="B4945" t="str">
        <f>"1552382884764547"</f>
        <v>1552382884764547</v>
      </c>
      <c r="C4945" t="s">
        <v>40</v>
      </c>
      <c r="D4945">
        <v>3.4895770000000002</v>
      </c>
      <c r="E4945">
        <v>0.53875490000000004</v>
      </c>
      <c r="F4945" t="s">
        <v>43</v>
      </c>
      <c r="G4945">
        <v>-315.65750000000003</v>
      </c>
      <c r="H4945">
        <v>-0.05</v>
      </c>
      <c r="I4945">
        <v>12.27998</v>
      </c>
      <c r="J4945">
        <v>-322.17579999999998</v>
      </c>
      <c r="K4945">
        <v>1.108379</v>
      </c>
      <c r="L4945">
        <v>16.45609</v>
      </c>
      <c r="M4945">
        <v>0.99714119999999995</v>
      </c>
      <c r="N4945">
        <v>0</v>
      </c>
      <c r="O4945">
        <v>-7.4345289999999994E-2</v>
      </c>
      <c r="P4945">
        <v>0.8824708</v>
      </c>
      <c r="Q4945">
        <v>0.1213654</v>
      </c>
      <c r="R4945">
        <v>-0.45444020000000002</v>
      </c>
      <c r="S4945">
        <v>2.6110229999999999</v>
      </c>
      <c r="T4945">
        <v>-0.45791110000000002</v>
      </c>
      <c r="U4945">
        <v>-1.65405299999999</v>
      </c>
      <c r="V4945">
        <v>0.38814599999999999</v>
      </c>
      <c r="W4945">
        <v>0.13200300000000001</v>
      </c>
      <c r="X4945">
        <v>0.9120954</v>
      </c>
      <c r="Y4945">
        <v>0.46662120000000001</v>
      </c>
      <c r="Z4945">
        <v>-2.545265E-2</v>
      </c>
      <c r="AA4945">
        <v>0.88409099999999996</v>
      </c>
      <c r="AB4945">
        <v>19</v>
      </c>
      <c r="AC4945">
        <v>6.5182999999999502</v>
      </c>
      <c r="AD4945">
        <v>-1.158379</v>
      </c>
      <c r="AE4945">
        <v>-4.1761100000000004</v>
      </c>
      <c r="AF4945">
        <v>3.5993100758475101</v>
      </c>
      <c r="AG4945">
        <v>-1.158379</v>
      </c>
      <c r="AH4945">
        <v>6.6616011700765601</v>
      </c>
      <c r="AI4945">
        <v>98.6980237876746</v>
      </c>
      <c r="AJ4945">
        <v>61.6173346255936</v>
      </c>
      <c r="AK4945">
        <v>7.65988283715253</v>
      </c>
      <c r="AL4945">
        <v>82.414647095819902</v>
      </c>
      <c r="AM4945">
        <v>66.947619512953196</v>
      </c>
      <c r="AN4945">
        <v>1.00000006401307</v>
      </c>
    </row>
    <row r="4946" spans="1:40" x14ac:dyDescent="0.25">
      <c r="A4946" t="str">
        <f>"20190312172804787"</f>
        <v>20190312172804787</v>
      </c>
      <c r="B4946" t="str">
        <f>"1552382884784066"</f>
        <v>1552382884784066</v>
      </c>
      <c r="C4946" t="s">
        <v>40</v>
      </c>
      <c r="D4946">
        <v>3.4919280000000001</v>
      </c>
      <c r="E4946">
        <v>0.53829369999999999</v>
      </c>
      <c r="F4946" t="s">
        <v>43</v>
      </c>
      <c r="G4946">
        <v>-315.2783</v>
      </c>
      <c r="H4946">
        <v>-0.05</v>
      </c>
      <c r="I4946">
        <v>12.06415</v>
      </c>
      <c r="J4946">
        <v>-322.07380000000001</v>
      </c>
      <c r="K4946">
        <v>1.108365</v>
      </c>
      <c r="L4946">
        <v>16.446349999999999</v>
      </c>
      <c r="M4946">
        <v>0.99699899999999997</v>
      </c>
      <c r="N4946">
        <v>0</v>
      </c>
      <c r="O4946">
        <v>-7.6229889999999995E-2</v>
      </c>
      <c r="P4946">
        <v>0.88125119999999901</v>
      </c>
      <c r="Q4946">
        <v>0.12203899999999999</v>
      </c>
      <c r="R4946">
        <v>-0.45662140000000001</v>
      </c>
      <c r="S4946">
        <v>2.6054080000000002</v>
      </c>
      <c r="T4946">
        <v>-0.43755509999999997</v>
      </c>
      <c r="U4946">
        <v>-1.6589659999999999</v>
      </c>
      <c r="V4946">
        <v>0.38869379999999998</v>
      </c>
      <c r="W4946">
        <v>0.13265669999999999</v>
      </c>
      <c r="X4946">
        <v>0.9117672</v>
      </c>
      <c r="Y4946">
        <v>0.46737099999999998</v>
      </c>
      <c r="Z4946">
        <v>-2.413949E-2</v>
      </c>
      <c r="AA4946">
        <v>0.88373169999999901</v>
      </c>
      <c r="AB4946">
        <v>19</v>
      </c>
      <c r="AC4946">
        <v>6.7954999999999997</v>
      </c>
      <c r="AD4946">
        <v>-1.1583649999999901</v>
      </c>
      <c r="AE4946">
        <v>-4.3821999999999903</v>
      </c>
      <c r="AF4946">
        <v>3.7739289928724999</v>
      </c>
      <c r="AG4946">
        <v>-1.1583649999999901</v>
      </c>
      <c r="AH4946">
        <v>6.9668318373393499</v>
      </c>
      <c r="AI4946">
        <v>98.317523531209105</v>
      </c>
      <c r="AJ4946">
        <v>61.555619027045402</v>
      </c>
      <c r="AK4946">
        <v>8.0075648836730604</v>
      </c>
      <c r="AL4946">
        <v>82.376860423378901</v>
      </c>
      <c r="AM4946">
        <v>66.911052701507103</v>
      </c>
      <c r="AN4946">
        <v>1.0000000486045799</v>
      </c>
    </row>
    <row r="4947" spans="1:40" x14ac:dyDescent="0.25">
      <c r="A4947" t="str">
        <f>"20190312172804798"</f>
        <v>20190312172804798</v>
      </c>
      <c r="B4947" t="str">
        <f>"1552382884794802"</f>
        <v>1552382884794802</v>
      </c>
      <c r="C4947" t="s">
        <v>40</v>
      </c>
      <c r="D4947">
        <v>3.513252</v>
      </c>
      <c r="E4947">
        <v>0.53812559999999998</v>
      </c>
      <c r="F4947" t="s">
        <v>43</v>
      </c>
      <c r="G4947">
        <v>-314.73289999999997</v>
      </c>
      <c r="H4947">
        <v>-0.05</v>
      </c>
      <c r="I4947">
        <v>11.75259</v>
      </c>
      <c r="J4947">
        <v>-321.98110000000003</v>
      </c>
      <c r="K4947">
        <v>1.1083529999999999</v>
      </c>
      <c r="L4947">
        <v>16.43723</v>
      </c>
      <c r="M4947">
        <v>0.99686399999999997</v>
      </c>
      <c r="N4947">
        <v>0</v>
      </c>
      <c r="O4947">
        <v>-7.7976260000000006E-2</v>
      </c>
      <c r="P4947">
        <v>0.87995440000000003</v>
      </c>
      <c r="Q4947">
        <v>0.1225286</v>
      </c>
      <c r="R4947">
        <v>-0.4589858</v>
      </c>
      <c r="S4947">
        <v>2.5997620000000001</v>
      </c>
      <c r="T4947">
        <v>-0.41023419999999999</v>
      </c>
      <c r="U4947">
        <v>-1.6622920000000001</v>
      </c>
      <c r="V4947">
        <v>0.38955859999999998</v>
      </c>
      <c r="W4947">
        <v>0.13312079999999901</v>
      </c>
      <c r="X4947">
        <v>0.91133030000000004</v>
      </c>
      <c r="Y4947">
        <v>0.46796409999999999</v>
      </c>
      <c r="Z4947">
        <v>-2.2476300000000001E-2</v>
      </c>
      <c r="AA4947">
        <v>0.88346159999999996</v>
      </c>
      <c r="AB4947">
        <v>18</v>
      </c>
      <c r="AC4947">
        <v>7.2482000000000504</v>
      </c>
      <c r="AD4947">
        <v>-1.158353</v>
      </c>
      <c r="AE4947">
        <v>-4.6846399999999999</v>
      </c>
      <c r="AF4947">
        <v>4.0324903168457702</v>
      </c>
      <c r="AG4947">
        <v>-1.158353</v>
      </c>
      <c r="AH4947">
        <v>7.4571124419711197</v>
      </c>
      <c r="AI4947">
        <v>97.7805471605067</v>
      </c>
      <c r="AJ4947">
        <v>61.597356445555</v>
      </c>
      <c r="AK4947">
        <v>8.5563593776947204</v>
      </c>
      <c r="AL4947">
        <v>82.350031001265904</v>
      </c>
      <c r="AM4947">
        <v>66.855158129350102</v>
      </c>
      <c r="AN4947">
        <v>0.99999998296234405</v>
      </c>
    </row>
    <row r="4948" spans="1:40" x14ac:dyDescent="0.25">
      <c r="A4948" t="str">
        <f>"20190312172804810"</f>
        <v>20190312172804810</v>
      </c>
      <c r="B4948" t="str">
        <f>"1552382884804562"</f>
        <v>1552382884804562</v>
      </c>
      <c r="C4948" t="s">
        <v>40</v>
      </c>
      <c r="D4948">
        <v>3.5069659999999998</v>
      </c>
      <c r="E4948">
        <v>0.5381823</v>
      </c>
      <c r="F4948" t="s">
        <v>43</v>
      </c>
      <c r="G4948">
        <v>-314.49959999999999</v>
      </c>
      <c r="H4948">
        <v>-0.05</v>
      </c>
      <c r="I4948">
        <v>11.628299999999999</v>
      </c>
      <c r="J4948">
        <v>-321.88659999999999</v>
      </c>
      <c r="K4948">
        <v>1.1083379999999901</v>
      </c>
      <c r="L4948">
        <v>16.427800000000001</v>
      </c>
      <c r="M4948">
        <v>0.9967222</v>
      </c>
      <c r="N4948">
        <v>0</v>
      </c>
      <c r="O4948">
        <v>-7.9766889999999993E-2</v>
      </c>
      <c r="P4948">
        <v>0.87873049999999997</v>
      </c>
      <c r="Q4948">
        <v>0.123014899999999</v>
      </c>
      <c r="R4948">
        <v>-0.46119510000000002</v>
      </c>
      <c r="S4948">
        <v>2.5951230000000001</v>
      </c>
      <c r="T4948">
        <v>-0.40180189999999999</v>
      </c>
      <c r="U4948">
        <v>-1.668091</v>
      </c>
      <c r="V4948">
        <v>0.39022600000000002</v>
      </c>
      <c r="W4948">
        <v>0.13358200000000001</v>
      </c>
      <c r="X4948">
        <v>0.91097720000000004</v>
      </c>
      <c r="Y4948">
        <v>0.46863680000000002</v>
      </c>
      <c r="Z4948">
        <v>-2.183831E-2</v>
      </c>
      <c r="AA4948">
        <v>0.88312099999999905</v>
      </c>
      <c r="AB4948">
        <v>18</v>
      </c>
      <c r="AC4948">
        <v>7.3869999999999996</v>
      </c>
      <c r="AD4948">
        <v>-1.1583380000000001</v>
      </c>
      <c r="AE4948">
        <v>-4.7995000000000001</v>
      </c>
      <c r="AF4948">
        <v>4.1236152840617804</v>
      </c>
      <c r="AG4948">
        <v>-1.1583380000000001</v>
      </c>
      <c r="AH4948">
        <v>7.6146764823974404</v>
      </c>
      <c r="AI4948">
        <v>97.618914396126002</v>
      </c>
      <c r="AJ4948">
        <v>61.562895864314001</v>
      </c>
      <c r="AK4948">
        <v>8.7366611394038092</v>
      </c>
      <c r="AL4948">
        <v>82.323367958124095</v>
      </c>
      <c r="AM4948">
        <v>66.811654758917996</v>
      </c>
      <c r="AN4948">
        <v>0.99999997035991905</v>
      </c>
    </row>
    <row r="4949" spans="1:40" x14ac:dyDescent="0.25">
      <c r="A4949" t="str">
        <f>"20190312172804822"</f>
        <v>20190312172804822</v>
      </c>
      <c r="B4949" t="str">
        <f>"1552382884814322"</f>
        <v>1552382884814322</v>
      </c>
      <c r="C4949" t="s">
        <v>40</v>
      </c>
      <c r="D4949">
        <v>3.5158849999999999</v>
      </c>
      <c r="E4949">
        <v>0.53823969999999999</v>
      </c>
      <c r="F4949" t="s">
        <v>43</v>
      </c>
      <c r="G4949">
        <v>-314.28500000000003</v>
      </c>
      <c r="H4949">
        <v>-0.05</v>
      </c>
      <c r="I4949">
        <v>11.51074</v>
      </c>
      <c r="J4949">
        <v>-321.78699999999998</v>
      </c>
      <c r="K4949">
        <v>1.1083160000000001</v>
      </c>
      <c r="L4949">
        <v>16.4176</v>
      </c>
      <c r="M4949">
        <v>0.99656710000000004</v>
      </c>
      <c r="N4949">
        <v>0</v>
      </c>
      <c r="O4949">
        <v>-8.168193E-2</v>
      </c>
      <c r="P4949">
        <v>0.8774689</v>
      </c>
      <c r="Q4949">
        <v>0.1237439</v>
      </c>
      <c r="R4949">
        <v>-0.46339570000000002</v>
      </c>
      <c r="S4949">
        <v>2.5899960000000002</v>
      </c>
      <c r="T4949">
        <v>-0.39466630000000003</v>
      </c>
      <c r="U4949">
        <v>-1.6753229999999999</v>
      </c>
      <c r="V4949">
        <v>0.39077859999999998</v>
      </c>
      <c r="W4949">
        <v>0.13428509999999999</v>
      </c>
      <c r="X4949">
        <v>0.91063689999999997</v>
      </c>
      <c r="Y4949">
        <v>0.4695955</v>
      </c>
      <c r="Z4949">
        <v>-2.1279909999999999E-2</v>
      </c>
      <c r="AA4949">
        <v>0.8826252</v>
      </c>
      <c r="AB4949">
        <v>18</v>
      </c>
      <c r="AC4949">
        <v>7.5019999999999998</v>
      </c>
      <c r="AD4949">
        <v>-1.1583159999999999</v>
      </c>
      <c r="AE4949">
        <v>-4.90686</v>
      </c>
      <c r="AF4949">
        <v>4.2073778080140096</v>
      </c>
      <c r="AG4949">
        <v>-1.1583159999999999</v>
      </c>
      <c r="AH4949">
        <v>7.7483933182634601</v>
      </c>
      <c r="AI4949">
        <v>97.484253316674398</v>
      </c>
      <c r="AJ4949">
        <v>61.498038367817898</v>
      </c>
      <c r="AK4949">
        <v>8.8927680161879099</v>
      </c>
      <c r="AL4949">
        <v>82.282717139396993</v>
      </c>
      <c r="AM4949">
        <v>66.774537361045404</v>
      </c>
      <c r="AN4949">
        <v>0.99999998297078896</v>
      </c>
    </row>
    <row r="4950" spans="1:40" x14ac:dyDescent="0.25">
      <c r="A4950" t="str">
        <f>"20190312172804833"</f>
        <v>20190312172804833</v>
      </c>
      <c r="B4950" t="str">
        <f>"1552382884824082"</f>
        <v>1552382884824082</v>
      </c>
      <c r="C4950" t="s">
        <v>40</v>
      </c>
      <c r="D4950">
        <v>3.5188480000000002</v>
      </c>
      <c r="E4950">
        <v>0.53832419999999903</v>
      </c>
      <c r="F4950" t="s">
        <v>43</v>
      </c>
      <c r="G4950">
        <v>-314.06240000000003</v>
      </c>
      <c r="H4950">
        <v>-0.05</v>
      </c>
      <c r="I4950">
        <v>11.389709999999999</v>
      </c>
      <c r="J4950">
        <v>-321.69830000000002</v>
      </c>
      <c r="K4950">
        <v>1.1082890000000001</v>
      </c>
      <c r="L4950">
        <v>16.408359999999998</v>
      </c>
      <c r="M4950">
        <v>0.99642410000000003</v>
      </c>
      <c r="N4950">
        <v>0</v>
      </c>
      <c r="O4950">
        <v>-8.3406809999999998E-2</v>
      </c>
      <c r="P4950">
        <v>0.87639159999999905</v>
      </c>
      <c r="Q4950">
        <v>0.123987</v>
      </c>
      <c r="R4950">
        <v>-0.4653658</v>
      </c>
      <c r="S4950">
        <v>2.5850219999999999</v>
      </c>
      <c r="T4950">
        <v>-0.38762410000000003</v>
      </c>
      <c r="U4950">
        <v>-1.6825559999999999</v>
      </c>
      <c r="V4950">
        <v>0.39125919999999997</v>
      </c>
      <c r="W4950">
        <v>0.1345044</v>
      </c>
      <c r="X4950">
        <v>0.91039820000000005</v>
      </c>
      <c r="Y4950">
        <v>0.47069230000000001</v>
      </c>
      <c r="Z4950">
        <v>-2.0766139999999999E-2</v>
      </c>
      <c r="AA4950">
        <v>0.88205299999999998</v>
      </c>
      <c r="AB4950">
        <v>18</v>
      </c>
      <c r="AC4950">
        <v>7.6358999999999897</v>
      </c>
      <c r="AD4950">
        <v>-1.1582889999999999</v>
      </c>
      <c r="AE4950">
        <v>-5.0186500000000001</v>
      </c>
      <c r="AF4950">
        <v>4.2951975510538398</v>
      </c>
      <c r="AG4950">
        <v>-1.1582889999999999</v>
      </c>
      <c r="AH4950">
        <v>7.9009584360684197</v>
      </c>
      <c r="AI4950">
        <v>97.339238790319499</v>
      </c>
      <c r="AJ4950">
        <v>61.470172915477796</v>
      </c>
      <c r="AK4950">
        <v>9.0672763065090596</v>
      </c>
      <c r="AL4950">
        <v>82.270037574997701</v>
      </c>
      <c r="AM4950">
        <v>66.7435577044658</v>
      </c>
      <c r="AN4950">
        <v>1.0000000388836101</v>
      </c>
    </row>
    <row r="4951" spans="1:40" x14ac:dyDescent="0.25">
      <c r="A4951" t="str">
        <f>"20190312172804844"</f>
        <v>20190312172804844</v>
      </c>
      <c r="B4951" t="str">
        <f>"1552382884834818"</f>
        <v>1552382884834818</v>
      </c>
      <c r="C4951" t="s">
        <v>40</v>
      </c>
      <c r="D4951">
        <v>3.526176</v>
      </c>
      <c r="E4951">
        <v>0.53834579999999999</v>
      </c>
      <c r="F4951" t="s">
        <v>43</v>
      </c>
      <c r="G4951">
        <v>-313.90769999999998</v>
      </c>
      <c r="H4951">
        <v>-0.05</v>
      </c>
      <c r="I4951">
        <v>11.30904</v>
      </c>
      <c r="J4951">
        <v>-321.59989999999999</v>
      </c>
      <c r="K4951">
        <v>1.108266</v>
      </c>
      <c r="L4951">
        <v>16.397919999999999</v>
      </c>
      <c r="M4951">
        <v>0.99626000000000003</v>
      </c>
      <c r="N4951">
        <v>0</v>
      </c>
      <c r="O4951">
        <v>-8.5344669999999997E-2</v>
      </c>
      <c r="P4951">
        <v>0.87524489999999999</v>
      </c>
      <c r="Q4951">
        <v>0.12422</v>
      </c>
      <c r="R4951">
        <v>-0.46745720000000002</v>
      </c>
      <c r="S4951">
        <v>2.580505</v>
      </c>
      <c r="T4951">
        <v>-0.38366169999999999</v>
      </c>
      <c r="U4951">
        <v>-1.6890559999999999</v>
      </c>
      <c r="V4951">
        <v>0.3916751</v>
      </c>
      <c r="W4951">
        <v>0.13471040000000001</v>
      </c>
      <c r="X4951">
        <v>0.91018889999999997</v>
      </c>
      <c r="Y4951">
        <v>0.47131000000000001</v>
      </c>
      <c r="Z4951">
        <v>-2.035725E-2</v>
      </c>
      <c r="AA4951">
        <v>0.88173259999999898</v>
      </c>
      <c r="AB4951">
        <v>18</v>
      </c>
      <c r="AC4951">
        <v>7.6922000000000104</v>
      </c>
      <c r="AD4951">
        <v>-1.158266</v>
      </c>
      <c r="AE4951">
        <v>-5.0888799999999996</v>
      </c>
      <c r="AF4951">
        <v>4.3452332756463399</v>
      </c>
      <c r="AG4951">
        <v>-1.158266</v>
      </c>
      <c r="AH4951">
        <v>7.9727406219118597</v>
      </c>
      <c r="AI4951">
        <v>97.269555728472497</v>
      </c>
      <c r="AJ4951">
        <v>61.4091192891646</v>
      </c>
      <c r="AK4951">
        <v>9.1535362221834191</v>
      </c>
      <c r="AL4951">
        <v>82.258126363553501</v>
      </c>
      <c r="AM4951">
        <v>66.716684640445095</v>
      </c>
      <c r="AN4951">
        <v>1.00000005475568</v>
      </c>
    </row>
    <row r="4952" spans="1:40" x14ac:dyDescent="0.25">
      <c r="A4952" t="str">
        <f>"20190312172804856"</f>
        <v>20190312172804856</v>
      </c>
      <c r="B4952" t="str">
        <f>"1552382884844578"</f>
        <v>1552382884844578</v>
      </c>
      <c r="C4952" t="s">
        <v>40</v>
      </c>
      <c r="D4952">
        <v>3.4935239999999999</v>
      </c>
      <c r="E4952">
        <v>0.53836600000000001</v>
      </c>
      <c r="F4952" t="s">
        <v>43</v>
      </c>
      <c r="G4952">
        <v>-313.72890000000001</v>
      </c>
      <c r="H4952">
        <v>-0.05</v>
      </c>
      <c r="I4952">
        <v>11.217449999999999</v>
      </c>
      <c r="J4952">
        <v>-321.50749999999999</v>
      </c>
      <c r="K4952">
        <v>1.1082430000000001</v>
      </c>
      <c r="L4952">
        <v>16.38785</v>
      </c>
      <c r="M4952">
        <v>0.99609979999999998</v>
      </c>
      <c r="N4952">
        <v>0</v>
      </c>
      <c r="O4952">
        <v>-8.7196599999999999E-2</v>
      </c>
      <c r="P4952">
        <v>0.87412259999999997</v>
      </c>
      <c r="Q4952">
        <v>0.12434249999999999</v>
      </c>
      <c r="R4952">
        <v>-0.4695202</v>
      </c>
      <c r="S4952">
        <v>2.5759280000000002</v>
      </c>
      <c r="T4952">
        <v>-0.37906469999999998</v>
      </c>
      <c r="U4952">
        <v>-1.6954039999999999</v>
      </c>
      <c r="V4952">
        <v>0.39214090000000001</v>
      </c>
      <c r="W4952">
        <v>0.1348058</v>
      </c>
      <c r="X4952">
        <v>0.90997410000000001</v>
      </c>
      <c r="Y4952">
        <v>0.47198400000000001</v>
      </c>
      <c r="Z4952">
        <v>-1.9934770000000001E-2</v>
      </c>
      <c r="AA4952">
        <v>0.88138169999999905</v>
      </c>
      <c r="AB4952">
        <v>18</v>
      </c>
      <c r="AC4952">
        <v>7.7785999999999804</v>
      </c>
      <c r="AD4952">
        <v>-1.1582429999999999</v>
      </c>
      <c r="AE4952">
        <v>-5.1703999999999999</v>
      </c>
      <c r="AF4952">
        <v>4.4046414794334101</v>
      </c>
      <c r="AG4952">
        <v>-1.1582429999999999</v>
      </c>
      <c r="AH4952">
        <v>8.0756657216664198</v>
      </c>
      <c r="AI4952">
        <v>97.176511511996196</v>
      </c>
      <c r="AJ4952">
        <v>61.391000840464002</v>
      </c>
      <c r="AK4952">
        <v>9.2713952702650104</v>
      </c>
      <c r="AL4952">
        <v>82.252609414863898</v>
      </c>
      <c r="AM4952">
        <v>66.687034338463903</v>
      </c>
      <c r="AN4952">
        <v>0.99999997591862899</v>
      </c>
    </row>
    <row r="4953" spans="1:40" x14ac:dyDescent="0.25">
      <c r="A4953" t="str">
        <f>"20190312172804868"</f>
        <v>20190312172804868</v>
      </c>
      <c r="B4953" t="str">
        <f>"1552382884864098"</f>
        <v>1552382884864098</v>
      </c>
      <c r="C4953" t="s">
        <v>40</v>
      </c>
      <c r="D4953">
        <v>3.5048810000000001</v>
      </c>
      <c r="E4953">
        <v>0.53838339999999996</v>
      </c>
      <c r="F4953" t="s">
        <v>43</v>
      </c>
      <c r="G4953">
        <v>-313.59530000000001</v>
      </c>
      <c r="H4953">
        <v>-0.05</v>
      </c>
      <c r="I4953">
        <v>11.151260000000001</v>
      </c>
      <c r="J4953">
        <v>-321.41500000000002</v>
      </c>
      <c r="K4953">
        <v>1.1082259999999999</v>
      </c>
      <c r="L4953">
        <v>16.377690000000001</v>
      </c>
      <c r="M4953">
        <v>0.9959346</v>
      </c>
      <c r="N4953">
        <v>0</v>
      </c>
      <c r="O4953">
        <v>-8.9061070000000006E-2</v>
      </c>
      <c r="P4953">
        <v>0.87312500000000004</v>
      </c>
      <c r="Q4953">
        <v>0.1244661</v>
      </c>
      <c r="R4953">
        <v>-0.47133969999999997</v>
      </c>
      <c r="S4953">
        <v>2.571472</v>
      </c>
      <c r="T4953">
        <v>-0.37643110000000002</v>
      </c>
      <c r="U4953">
        <v>-1.7019040000000001</v>
      </c>
      <c r="V4953">
        <v>0.39234360000000001</v>
      </c>
      <c r="W4953">
        <v>0.13490360000000001</v>
      </c>
      <c r="X4953">
        <v>0.90987220000000002</v>
      </c>
      <c r="Y4953">
        <v>0.4726342</v>
      </c>
      <c r="Z4953">
        <v>-1.9613539999999999E-2</v>
      </c>
      <c r="AA4953">
        <v>0.88104039999999995</v>
      </c>
      <c r="AB4953">
        <v>18</v>
      </c>
      <c r="AC4953">
        <v>7.8197000000000099</v>
      </c>
      <c r="AD4953">
        <v>-1.158226</v>
      </c>
      <c r="AE4953">
        <v>-5.2264299999999997</v>
      </c>
      <c r="AF4953">
        <v>4.44180580789802</v>
      </c>
      <c r="AG4953">
        <v>-1.158226</v>
      </c>
      <c r="AH4953">
        <v>8.1308352722678308</v>
      </c>
      <c r="AI4953">
        <v>97.125635603750496</v>
      </c>
      <c r="AJ4953">
        <v>61.3525973005151</v>
      </c>
      <c r="AK4953">
        <v>9.3371092168244001</v>
      </c>
      <c r="AL4953">
        <v>82.246954035498604</v>
      </c>
      <c r="AM4953">
        <v>66.673938379102196</v>
      </c>
      <c r="AN4953">
        <v>0.99999995104337802</v>
      </c>
    </row>
    <row r="4954" spans="1:40" x14ac:dyDescent="0.25">
      <c r="A4954" t="str">
        <f>"20190312172804881"</f>
        <v>20190312172804881</v>
      </c>
      <c r="B4954" t="str">
        <f>"1552382884874835"</f>
        <v>1552382884874835</v>
      </c>
      <c r="C4954" t="s">
        <v>40</v>
      </c>
      <c r="D4954">
        <v>3.5046879999999998</v>
      </c>
      <c r="E4954">
        <v>0.53833959999999903</v>
      </c>
      <c r="F4954" t="s">
        <v>43</v>
      </c>
      <c r="G4954">
        <v>-313.42869999999999</v>
      </c>
      <c r="H4954">
        <v>-0.05</v>
      </c>
      <c r="I4954">
        <v>11.06499</v>
      </c>
      <c r="J4954">
        <v>-321.30529999999999</v>
      </c>
      <c r="K4954">
        <v>1.1081939999999999</v>
      </c>
      <c r="L4954">
        <v>16.365200000000002</v>
      </c>
      <c r="M4954">
        <v>0.99572870000000002</v>
      </c>
      <c r="N4954">
        <v>0</v>
      </c>
      <c r="O4954">
        <v>-9.1334009999999993E-2</v>
      </c>
      <c r="P4954">
        <v>0.87196019999999896</v>
      </c>
      <c r="Q4954">
        <v>0.1246188</v>
      </c>
      <c r="R4954">
        <v>-0.47345100000000001</v>
      </c>
      <c r="S4954">
        <v>2.5671689999999998</v>
      </c>
      <c r="T4954">
        <v>-0.37230410000000003</v>
      </c>
      <c r="U4954">
        <v>-1.7077329999999999</v>
      </c>
      <c r="V4954">
        <v>0.39248240000000001</v>
      </c>
      <c r="W4954">
        <v>0.13502459999999999</v>
      </c>
      <c r="X4954">
        <v>0.9097944</v>
      </c>
      <c r="Y4954">
        <v>0.47276750000000001</v>
      </c>
      <c r="Z4954">
        <v>-1.9131749999999999E-2</v>
      </c>
      <c r="AA4954">
        <v>0.88097950000000003</v>
      </c>
      <c r="AB4954">
        <v>18</v>
      </c>
      <c r="AC4954">
        <v>7.8765999999999901</v>
      </c>
      <c r="AD4954">
        <v>-1.1581939999999999</v>
      </c>
      <c r="AE4954">
        <v>-5.3002099999999999</v>
      </c>
      <c r="AF4954">
        <v>4.49173695388978</v>
      </c>
      <c r="AG4954">
        <v>-1.1581939999999999</v>
      </c>
      <c r="AH4954">
        <v>8.2056840329801801</v>
      </c>
      <c r="AI4954">
        <v>97.057863023986599</v>
      </c>
      <c r="AJ4954">
        <v>61.303996153228503</v>
      </c>
      <c r="AK4954">
        <v>9.4260471383120592</v>
      </c>
      <c r="AL4954">
        <v>82.239957326451403</v>
      </c>
      <c r="AM4954">
        <v>66.664786866249997</v>
      </c>
      <c r="AN4954">
        <v>0.99999996359313903</v>
      </c>
    </row>
    <row r="4955" spans="1:40" x14ac:dyDescent="0.25">
      <c r="A4955" t="str">
        <f>"20190312172804899"</f>
        <v>20190312172804899</v>
      </c>
      <c r="B4955" t="str">
        <f>"1552382884894354"</f>
        <v>1552382884894354</v>
      </c>
      <c r="C4955" t="s">
        <v>40</v>
      </c>
      <c r="D4955">
        <v>3.4962460000000002</v>
      </c>
      <c r="E4955">
        <v>0.53819099999999997</v>
      </c>
      <c r="F4955" t="s">
        <v>43</v>
      </c>
      <c r="G4955">
        <v>-313.27890000000002</v>
      </c>
      <c r="H4955">
        <v>-0.05</v>
      </c>
      <c r="I4955">
        <v>10.997389999999999</v>
      </c>
      <c r="J4955">
        <v>-321.1628</v>
      </c>
      <c r="K4955">
        <v>1.108125</v>
      </c>
      <c r="L4955">
        <v>16.348689999999898</v>
      </c>
      <c r="M4955">
        <v>0.9954153</v>
      </c>
      <c r="N4955">
        <v>0</v>
      </c>
      <c r="O4955">
        <v>-9.4710600000000006E-2</v>
      </c>
      <c r="P4955">
        <v>0.8702223</v>
      </c>
      <c r="Q4955">
        <v>0.1252027</v>
      </c>
      <c r="R4955">
        <v>-0.47648449999999998</v>
      </c>
      <c r="S4955">
        <v>2.5627749999999998</v>
      </c>
      <c r="T4955">
        <v>-0.36980239999999998</v>
      </c>
      <c r="U4955">
        <v>-1.7138979999999999</v>
      </c>
      <c r="V4955">
        <v>0.3925844</v>
      </c>
      <c r="W4955">
        <v>0.1354399</v>
      </c>
      <c r="X4955">
        <v>0.90968870000000002</v>
      </c>
      <c r="Y4955">
        <v>0.47200950000000003</v>
      </c>
      <c r="Z4955">
        <v>-1.8537499999999998E-2</v>
      </c>
      <c r="AA4955">
        <v>0.88139859999999903</v>
      </c>
      <c r="AB4955">
        <v>18</v>
      </c>
      <c r="AC4955">
        <v>7.8838999999999801</v>
      </c>
      <c r="AD4955">
        <v>-1.1581250000000001</v>
      </c>
      <c r="AE4955">
        <v>-5.3512999999999904</v>
      </c>
      <c r="AF4955">
        <v>4.5138039428394103</v>
      </c>
      <c r="AG4955">
        <v>-1.1581250000000001</v>
      </c>
      <c r="AH4955">
        <v>8.2336899583284406</v>
      </c>
      <c r="AI4955">
        <v>97.031282386519905</v>
      </c>
      <c r="AJ4955">
        <v>61.267937893808103</v>
      </c>
      <c r="AK4955">
        <v>9.4609370508367903</v>
      </c>
      <c r="AL4955">
        <v>82.215942098199804</v>
      </c>
      <c r="AM4955">
        <v>66.656949609305002</v>
      </c>
      <c r="AN4955">
        <v>1.00000000427153</v>
      </c>
    </row>
    <row r="4956" spans="1:40" x14ac:dyDescent="0.25">
      <c r="A4956" t="str">
        <f>"20190312172804920"</f>
        <v>20190312172804920</v>
      </c>
      <c r="B4956" t="str">
        <f>"1552382884913876"</f>
        <v>1552382884913876</v>
      </c>
      <c r="C4956" t="s">
        <v>40</v>
      </c>
      <c r="D4956">
        <v>3.4767809999999999</v>
      </c>
      <c r="E4956">
        <v>0.53821750000000002</v>
      </c>
      <c r="F4956" t="s">
        <v>43</v>
      </c>
      <c r="G4956">
        <v>-313.05709999999999</v>
      </c>
      <c r="H4956">
        <v>-0.05</v>
      </c>
      <c r="I4956">
        <v>10.888640000000001</v>
      </c>
      <c r="J4956">
        <v>-320.98430000000002</v>
      </c>
      <c r="K4956">
        <v>1.107869</v>
      </c>
      <c r="L4956">
        <v>16.327390000000001</v>
      </c>
      <c r="M4956">
        <v>0.99497990000000003</v>
      </c>
      <c r="N4956">
        <v>0</v>
      </c>
      <c r="O4956">
        <v>-9.9234429999999998E-2</v>
      </c>
      <c r="P4956">
        <v>0.86800480000000002</v>
      </c>
      <c r="Q4956">
        <v>0.12609819999999999</v>
      </c>
      <c r="R4956">
        <v>-0.48027809999999999</v>
      </c>
      <c r="S4956">
        <v>2.556915</v>
      </c>
      <c r="T4956">
        <v>-0.36532520000000002</v>
      </c>
      <c r="U4956">
        <v>-1.72235099999999</v>
      </c>
      <c r="V4956">
        <v>0.39247270000000001</v>
      </c>
      <c r="W4956">
        <v>0.1358471</v>
      </c>
      <c r="X4956">
        <v>0.90967620000000005</v>
      </c>
      <c r="Y4956">
        <v>0.47104819999999997</v>
      </c>
      <c r="Z4956">
        <v>-1.7699400000000001E-2</v>
      </c>
      <c r="AA4956">
        <v>0.88192990000000004</v>
      </c>
      <c r="AB4956">
        <v>18</v>
      </c>
      <c r="AC4956">
        <v>7.9272000000000196</v>
      </c>
      <c r="AD4956">
        <v>-1.157869</v>
      </c>
      <c r="AE4956">
        <v>-5.4387499999999998</v>
      </c>
      <c r="AF4956">
        <v>4.5590491911906099</v>
      </c>
      <c r="AG4956">
        <v>-1.157869</v>
      </c>
      <c r="AH4956">
        <v>8.3073151832115908</v>
      </c>
      <c r="AI4956">
        <v>96.966346578952795</v>
      </c>
      <c r="AJ4956">
        <v>61.242048426645702</v>
      </c>
      <c r="AK4956">
        <v>9.5465740295707509</v>
      </c>
      <c r="AL4956">
        <v>82.192393752793706</v>
      </c>
      <c r="AM4956">
        <v>66.662594249985304</v>
      </c>
      <c r="AN4956">
        <v>1.00000002183506</v>
      </c>
    </row>
    <row r="4957" spans="1:40" x14ac:dyDescent="0.25">
      <c r="A4957" t="str">
        <f>"20190312172804932"</f>
        <v>20190312172804932</v>
      </c>
      <c r="B4957" t="str">
        <f>"1552382884924610"</f>
        <v>1552382884924610</v>
      </c>
      <c r="C4957" t="s">
        <v>40</v>
      </c>
      <c r="D4957">
        <v>3.485598</v>
      </c>
      <c r="E4957">
        <v>0.53825590000000001</v>
      </c>
      <c r="F4957" t="s">
        <v>43</v>
      </c>
      <c r="G4957">
        <v>-312.79840000000002</v>
      </c>
      <c r="H4957">
        <v>-0.05</v>
      </c>
      <c r="I4957">
        <v>10.756500000000001</v>
      </c>
      <c r="J4957">
        <v>-320.88189999999997</v>
      </c>
      <c r="K4957">
        <v>1.107621</v>
      </c>
      <c r="L4957">
        <v>16.314820000000001</v>
      </c>
      <c r="M4957">
        <v>0.99473370000000005</v>
      </c>
      <c r="N4957">
        <v>0</v>
      </c>
      <c r="O4957">
        <v>-0.1016991</v>
      </c>
      <c r="P4957">
        <v>0.8666296</v>
      </c>
      <c r="Q4957">
        <v>0.12651569999999901</v>
      </c>
      <c r="R4957">
        <v>-0.48264570000000001</v>
      </c>
      <c r="S4957">
        <v>2.5487980000000001</v>
      </c>
      <c r="T4957">
        <v>-0.36051509999999998</v>
      </c>
      <c r="U4957">
        <v>-1.734558</v>
      </c>
      <c r="V4957">
        <v>0.3927544</v>
      </c>
      <c r="W4957">
        <v>0.1359515</v>
      </c>
      <c r="X4957">
        <v>0.90953899999999999</v>
      </c>
      <c r="Y4957">
        <v>0.47312389999999999</v>
      </c>
      <c r="Z4957">
        <v>-1.7317570000000001E-2</v>
      </c>
      <c r="AA4957">
        <v>0.88082569999999905</v>
      </c>
      <c r="AB4957">
        <v>18</v>
      </c>
      <c r="AC4957">
        <v>8.0834999999999493</v>
      </c>
      <c r="AD4957">
        <v>-1.157621</v>
      </c>
      <c r="AE4957">
        <v>-5.5583200000000001</v>
      </c>
      <c r="AF4957">
        <v>4.64269694274806</v>
      </c>
      <c r="AG4957">
        <v>-1.157621</v>
      </c>
      <c r="AH4957">
        <v>8.4887010345804494</v>
      </c>
      <c r="AI4957">
        <v>96.822791380487203</v>
      </c>
      <c r="AJ4957">
        <v>61.324574889678097</v>
      </c>
      <c r="AK4957">
        <v>9.7443710179944603</v>
      </c>
      <c r="AL4957">
        <v>82.186355972993397</v>
      </c>
      <c r="AM4957">
        <v>66.644492337485602</v>
      </c>
      <c r="AN4957">
        <v>1.0000000107963001</v>
      </c>
    </row>
    <row r="4958" spans="1:40" x14ac:dyDescent="0.25">
      <c r="A4958" t="str">
        <f>"20190312172804943"</f>
        <v>20190312172804943</v>
      </c>
      <c r="B4958" t="str">
        <f>"1552382884934370"</f>
        <v>1552382884934370</v>
      </c>
      <c r="C4958" t="s">
        <v>40</v>
      </c>
      <c r="D4958">
        <v>3.4857330000000002</v>
      </c>
      <c r="E4958">
        <v>0.53825990000000001</v>
      </c>
      <c r="F4958" t="s">
        <v>43</v>
      </c>
      <c r="G4958">
        <v>-312.66390000000001</v>
      </c>
      <c r="H4958">
        <v>-0.05</v>
      </c>
      <c r="I4958">
        <v>10.687010000000001</v>
      </c>
      <c r="J4958">
        <v>-320.78320000000002</v>
      </c>
      <c r="K4958">
        <v>1.107326</v>
      </c>
      <c r="L4958">
        <v>16.302429999999902</v>
      </c>
      <c r="M4958">
        <v>0.99450930000000004</v>
      </c>
      <c r="N4958">
        <v>0</v>
      </c>
      <c r="O4958">
        <v>-0.10387540000000001</v>
      </c>
      <c r="P4958">
        <v>0.86543910000000002</v>
      </c>
      <c r="Q4958">
        <v>0.12695109999999901</v>
      </c>
      <c r="R4958">
        <v>-0.48466389999999998</v>
      </c>
      <c r="S4958">
        <v>2.5438230000000002</v>
      </c>
      <c r="T4958">
        <v>-0.3583308</v>
      </c>
      <c r="U4958">
        <v>-1.74203499999999</v>
      </c>
      <c r="V4958">
        <v>0.39295020000000003</v>
      </c>
      <c r="W4958">
        <v>0.13618350000000001</v>
      </c>
      <c r="X4958">
        <v>0.90941970000000005</v>
      </c>
      <c r="Y4958">
        <v>0.47380230000000001</v>
      </c>
      <c r="Z4958">
        <v>-1.7000999999999999E-2</v>
      </c>
      <c r="AA4958">
        <v>0.88046719999999901</v>
      </c>
      <c r="AB4958">
        <v>19</v>
      </c>
      <c r="AC4958">
        <v>8.1193000000000097</v>
      </c>
      <c r="AD4958">
        <v>-1.1573260000000001</v>
      </c>
      <c r="AE4958">
        <v>-5.6154199999999896</v>
      </c>
      <c r="AF4958">
        <v>4.6772907786394198</v>
      </c>
      <c r="AG4958">
        <v>-1.1573260000000001</v>
      </c>
      <c r="AH4958">
        <v>8.5413317694813902</v>
      </c>
      <c r="AI4958">
        <v>96.777507523373302</v>
      </c>
      <c r="AJ4958">
        <v>61.294590294010703</v>
      </c>
      <c r="AK4958">
        <v>9.8066712443404302</v>
      </c>
      <c r="AL4958">
        <v>82.172938464185506</v>
      </c>
      <c r="AM4958">
        <v>66.631360913546402</v>
      </c>
      <c r="AN4958">
        <v>0.99999999805019002</v>
      </c>
    </row>
    <row r="4959" spans="1:40" x14ac:dyDescent="0.25">
      <c r="A4959" t="str">
        <f>"20190312172804954"</f>
        <v>20190312172804954</v>
      </c>
      <c r="B4959" t="str">
        <f>"1552382884944130"</f>
        <v>1552382884944130</v>
      </c>
      <c r="C4959" t="s">
        <v>40</v>
      </c>
      <c r="D4959">
        <v>3.4625300000000001</v>
      </c>
      <c r="E4959">
        <v>0.53823069999999995</v>
      </c>
      <c r="F4959" t="s">
        <v>43</v>
      </c>
      <c r="G4959">
        <v>-312.53140000000002</v>
      </c>
      <c r="H4959">
        <v>-0.05</v>
      </c>
      <c r="I4959">
        <v>10.6226</v>
      </c>
      <c r="J4959">
        <v>-320.6909</v>
      </c>
      <c r="K4959">
        <v>1.1070359999999999</v>
      </c>
      <c r="L4959">
        <v>16.29053</v>
      </c>
      <c r="M4959">
        <v>0.99430419999999997</v>
      </c>
      <c r="N4959">
        <v>0</v>
      </c>
      <c r="O4959">
        <v>-0.1058017</v>
      </c>
      <c r="P4959">
        <v>0.86439049999999995</v>
      </c>
      <c r="Q4959">
        <v>0.1268678</v>
      </c>
      <c r="R4959">
        <v>-0.4865525</v>
      </c>
      <c r="S4959">
        <v>2.5397340000000002</v>
      </c>
      <c r="T4959">
        <v>-0.35620309999999999</v>
      </c>
      <c r="U4959">
        <v>-1.748138</v>
      </c>
      <c r="V4959">
        <v>0.39322400000000002</v>
      </c>
      <c r="W4959">
        <v>0.1360876</v>
      </c>
      <c r="X4959">
        <v>0.90931569999999995</v>
      </c>
      <c r="Y4959">
        <v>0.47423340000000003</v>
      </c>
      <c r="Z4959">
        <v>-1.6702080000000001E-2</v>
      </c>
      <c r="AA4959">
        <v>0.88024069999999899</v>
      </c>
      <c r="AB4959">
        <v>19</v>
      </c>
      <c r="AC4959">
        <v>8.15949999999998</v>
      </c>
      <c r="AD4959">
        <v>-1.157036</v>
      </c>
      <c r="AE4959">
        <v>-5.6679300000000001</v>
      </c>
      <c r="AF4959">
        <v>4.7088839798639901</v>
      </c>
      <c r="AG4959">
        <v>-1.157036</v>
      </c>
      <c r="AH4959">
        <v>8.5968204486513908</v>
      </c>
      <c r="AI4959">
        <v>96.732098167120398</v>
      </c>
      <c r="AJ4959">
        <v>61.2884009155648</v>
      </c>
      <c r="AK4959">
        <v>9.8700376122619904</v>
      </c>
      <c r="AL4959">
        <v>82.178484745461006</v>
      </c>
      <c r="AM4959">
        <v>66.614439210449603</v>
      </c>
      <c r="AN4959">
        <v>0.99999999565812403</v>
      </c>
    </row>
    <row r="4960" spans="1:40" x14ac:dyDescent="0.25">
      <c r="A4960" t="str">
        <f>"20190312172804966"</f>
        <v>20190312172804966</v>
      </c>
      <c r="B4960" t="str">
        <f>"1552382884953890"</f>
        <v>1552382884953890</v>
      </c>
      <c r="C4960" t="s">
        <v>40</v>
      </c>
      <c r="D4960">
        <v>3.4553790000000002</v>
      </c>
      <c r="E4960">
        <v>0.53822590000000003</v>
      </c>
      <c r="F4960" t="s">
        <v>43</v>
      </c>
      <c r="G4960">
        <v>-312.44</v>
      </c>
      <c r="H4960">
        <v>-0.05</v>
      </c>
      <c r="I4960">
        <v>10.58521</v>
      </c>
      <c r="J4960">
        <v>-320.59100000000001</v>
      </c>
      <c r="K4960">
        <v>1.1067149999999999</v>
      </c>
      <c r="L4960">
        <v>16.277470000000001</v>
      </c>
      <c r="M4960">
        <v>0.99408399999999997</v>
      </c>
      <c r="N4960">
        <v>0</v>
      </c>
      <c r="O4960">
        <v>-0.1078197</v>
      </c>
      <c r="P4960">
        <v>0.86313220000000002</v>
      </c>
      <c r="Q4960">
        <v>0.12667800000000001</v>
      </c>
      <c r="R4960">
        <v>-0.48883120000000002</v>
      </c>
      <c r="S4960">
        <v>2.535828</v>
      </c>
      <c r="T4960">
        <v>-0.35560459999999999</v>
      </c>
      <c r="U4960">
        <v>-1.753479</v>
      </c>
      <c r="V4960">
        <v>0.39382679999999998</v>
      </c>
      <c r="W4960">
        <v>0.13598789999999999</v>
      </c>
      <c r="X4960">
        <v>0.90906969999999998</v>
      </c>
      <c r="Y4960">
        <v>0.47435569999999999</v>
      </c>
      <c r="Z4960">
        <v>-1.6445089999999999E-2</v>
      </c>
      <c r="AA4960">
        <v>0.88017959999999995</v>
      </c>
      <c r="AB4960">
        <v>19</v>
      </c>
      <c r="AC4960">
        <v>8.1509999999999998</v>
      </c>
      <c r="AD4960">
        <v>-1.1567149999999999</v>
      </c>
      <c r="AE4960">
        <v>-5.6922600000000001</v>
      </c>
      <c r="AF4960">
        <v>4.7163131488315697</v>
      </c>
      <c r="AG4960">
        <v>-1.1567149999999999</v>
      </c>
      <c r="AH4960">
        <v>8.6008376370842896</v>
      </c>
      <c r="AI4960">
        <v>96.725425291986696</v>
      </c>
      <c r="AJ4960">
        <v>61.261614325861103</v>
      </c>
      <c r="AK4960">
        <v>9.87704446525135</v>
      </c>
      <c r="AL4960">
        <v>82.184250680289097</v>
      </c>
      <c r="AM4960">
        <v>66.576794290486205</v>
      </c>
      <c r="AN4960">
        <v>0.99999998840136906</v>
      </c>
    </row>
    <row r="4961" spans="1:40" x14ac:dyDescent="0.25">
      <c r="A4961" t="str">
        <f>"20190312172804978"</f>
        <v>20190312172804978</v>
      </c>
      <c r="B4961" t="str">
        <f>"1552382884974386"</f>
        <v>1552382884974386</v>
      </c>
      <c r="C4961" t="s">
        <v>40</v>
      </c>
      <c r="D4961">
        <v>3.4418950000000001</v>
      </c>
      <c r="E4961">
        <v>0.5382479</v>
      </c>
      <c r="F4961" t="s">
        <v>43</v>
      </c>
      <c r="G4961">
        <v>-312.35289999999998</v>
      </c>
      <c r="H4961">
        <v>-0.05</v>
      </c>
      <c r="I4961">
        <v>10.54669</v>
      </c>
      <c r="J4961">
        <v>-320.49689999999998</v>
      </c>
      <c r="K4961">
        <v>1.106341</v>
      </c>
      <c r="L4961">
        <v>16.264800000000001</v>
      </c>
      <c r="M4961">
        <v>0.99386459999999999</v>
      </c>
      <c r="N4961">
        <v>0</v>
      </c>
      <c r="O4961">
        <v>-0.1097741</v>
      </c>
      <c r="P4961">
        <v>0.86203369999999901</v>
      </c>
      <c r="Q4961">
        <v>0.12651769999999901</v>
      </c>
      <c r="R4961">
        <v>-0.4908073</v>
      </c>
      <c r="S4961">
        <v>2.5307919999999999</v>
      </c>
      <c r="T4961">
        <v>-0.35534929999999998</v>
      </c>
      <c r="U4961">
        <v>-1.760529</v>
      </c>
      <c r="V4961">
        <v>0.39415889999999998</v>
      </c>
      <c r="W4961">
        <v>0.13608799999999999</v>
      </c>
      <c r="X4961">
        <v>0.90891080000000002</v>
      </c>
      <c r="Y4961">
        <v>0.47510839999999999</v>
      </c>
      <c r="Z4961">
        <v>-1.6254999999999999E-2</v>
      </c>
      <c r="AA4961">
        <v>0.87977709999999998</v>
      </c>
      <c r="AB4961">
        <v>19</v>
      </c>
      <c r="AC4961">
        <v>8.1440000000000001</v>
      </c>
      <c r="AD4961">
        <v>-1.1563410000000001</v>
      </c>
      <c r="AE4961">
        <v>-5.7181100000000002</v>
      </c>
      <c r="AF4961">
        <v>4.7256523762943301</v>
      </c>
      <c r="AG4961">
        <v>-1.1563410000000001</v>
      </c>
      <c r="AH4961">
        <v>8.6063166683247907</v>
      </c>
      <c r="AI4961">
        <v>96.716963214332196</v>
      </c>
      <c r="AJ4961">
        <v>61.229200771918201</v>
      </c>
      <c r="AK4961">
        <v>9.8862329269212701</v>
      </c>
      <c r="AL4961">
        <v>82.1784617427152</v>
      </c>
      <c r="AM4961">
        <v>66.5555173008797</v>
      </c>
      <c r="AN4961">
        <v>1.00000001227492</v>
      </c>
    </row>
    <row r="4962" spans="1:40" x14ac:dyDescent="0.25">
      <c r="A4962" t="str">
        <f>"20190312172804992"</f>
        <v>20190312172804992</v>
      </c>
      <c r="B4962" t="str">
        <f>"1552382884984146"</f>
        <v>1552382884984146</v>
      </c>
      <c r="C4962" t="s">
        <v>40</v>
      </c>
      <c r="D4962">
        <v>3.4299210000000002</v>
      </c>
      <c r="E4962">
        <v>0.53821649999999999</v>
      </c>
      <c r="F4962" t="s">
        <v>43</v>
      </c>
      <c r="G4962">
        <v>-312.24790000000002</v>
      </c>
      <c r="H4962">
        <v>-0.05</v>
      </c>
      <c r="I4962">
        <v>10.49483</v>
      </c>
      <c r="J4962">
        <v>-320.37920000000003</v>
      </c>
      <c r="K4962">
        <v>1.1058159999999999</v>
      </c>
      <c r="L4962">
        <v>16.248750000000001</v>
      </c>
      <c r="M4962">
        <v>0.99357830000000003</v>
      </c>
      <c r="N4962">
        <v>0</v>
      </c>
      <c r="O4962">
        <v>-0.1122652</v>
      </c>
      <c r="P4962">
        <v>0.86060630000000005</v>
      </c>
      <c r="Q4962">
        <v>0.12597359999999999</v>
      </c>
      <c r="R4962">
        <v>-0.49344519999999997</v>
      </c>
      <c r="S4962">
        <v>2.526062</v>
      </c>
      <c r="T4962">
        <v>-0.35410000000000003</v>
      </c>
      <c r="U4962">
        <v>-1.766907</v>
      </c>
      <c r="V4962">
        <v>0.39469880000000002</v>
      </c>
      <c r="W4962">
        <v>0.1359369</v>
      </c>
      <c r="X4962">
        <v>0.90869909999999998</v>
      </c>
      <c r="Y4962">
        <v>0.47520000000000001</v>
      </c>
      <c r="Z4962">
        <v>-1.5912039999999999E-2</v>
      </c>
      <c r="AA4962">
        <v>0.87973389999999996</v>
      </c>
      <c r="AB4962">
        <v>18</v>
      </c>
      <c r="AC4962">
        <v>8.1313000000000102</v>
      </c>
      <c r="AD4962">
        <v>-1.155816</v>
      </c>
      <c r="AE4962">
        <v>-5.7539199999999999</v>
      </c>
      <c r="AF4962">
        <v>4.7407588072542399</v>
      </c>
      <c r="AG4962">
        <v>-1.155816</v>
      </c>
      <c r="AH4962">
        <v>8.6099956284544792</v>
      </c>
      <c r="AI4962">
        <v>96.706832861593</v>
      </c>
      <c r="AJ4962">
        <v>61.162333287413801</v>
      </c>
      <c r="AK4962">
        <v>9.8966019125970703</v>
      </c>
      <c r="AL4962">
        <v>82.187200393837003</v>
      </c>
      <c r="AM4962">
        <v>66.522000055651105</v>
      </c>
      <c r="AN4962">
        <v>1.00000001892192</v>
      </c>
    </row>
    <row r="4963" spans="1:40" x14ac:dyDescent="0.25">
      <c r="A4963" t="str">
        <f>"20190312172805009"</f>
        <v>20190312172805009</v>
      </c>
      <c r="B4963" t="str">
        <f>"1552382885004642"</f>
        <v>1552382885004642</v>
      </c>
      <c r="C4963" t="s">
        <v>40</v>
      </c>
      <c r="D4963">
        <v>3.4481769999999998</v>
      </c>
      <c r="E4963">
        <v>0.53820970000000001</v>
      </c>
      <c r="F4963" t="s">
        <v>43</v>
      </c>
      <c r="G4963">
        <v>-312.1712</v>
      </c>
      <c r="H4963">
        <v>-0.05</v>
      </c>
      <c r="I4963">
        <v>10.47034</v>
      </c>
      <c r="J4963">
        <v>-320.24779999999998</v>
      </c>
      <c r="K4963">
        <v>1.105119</v>
      </c>
      <c r="L4963">
        <v>16.23047</v>
      </c>
      <c r="M4963">
        <v>0.9932396</v>
      </c>
      <c r="N4963">
        <v>0</v>
      </c>
      <c r="O4963">
        <v>-0.11512650000000001</v>
      </c>
      <c r="P4963">
        <v>0.85874680000000003</v>
      </c>
      <c r="Q4963">
        <v>0.12511620000000001</v>
      </c>
      <c r="R4963">
        <v>-0.49688979999999999</v>
      </c>
      <c r="S4963">
        <v>2.5204770000000001</v>
      </c>
      <c r="T4963">
        <v>-0.35492459999999998</v>
      </c>
      <c r="U4963">
        <v>-1.7744139999999999</v>
      </c>
      <c r="V4963">
        <v>0.39574920000000002</v>
      </c>
      <c r="W4963">
        <v>0.13563359999999999</v>
      </c>
      <c r="X4963">
        <v>0.90828750000000003</v>
      </c>
      <c r="Y4963">
        <v>0.47534169999999998</v>
      </c>
      <c r="Z4963">
        <v>-1.5621670000000001E-2</v>
      </c>
      <c r="AA4963">
        <v>0.87966259999999996</v>
      </c>
      <c r="AB4963">
        <v>18</v>
      </c>
      <c r="AC4963">
        <v>8.0765999999999796</v>
      </c>
      <c r="AD4963">
        <v>-1.155119</v>
      </c>
      <c r="AE4963">
        <v>-5.7601300000000002</v>
      </c>
      <c r="AF4963">
        <v>4.7277863233870301</v>
      </c>
      <c r="AG4963">
        <v>-1.155119</v>
      </c>
      <c r="AH4963">
        <v>8.56990725644925</v>
      </c>
      <c r="AI4963">
        <v>96.730897938279497</v>
      </c>
      <c r="AJ4963">
        <v>61.115665144388601</v>
      </c>
      <c r="AK4963">
        <v>9.8554337199287207</v>
      </c>
      <c r="AL4963">
        <v>82.204740842796795</v>
      </c>
      <c r="AM4963">
        <v>66.456801090096903</v>
      </c>
      <c r="AN4963">
        <v>1.0000000427029201</v>
      </c>
    </row>
    <row r="4964" spans="1:40" x14ac:dyDescent="0.25">
      <c r="A4964" t="str">
        <f>"20190312172805020"</f>
        <v>20190312172805020</v>
      </c>
      <c r="B4964" t="str">
        <f>"1552382885014402"</f>
        <v>1552382885014402</v>
      </c>
      <c r="C4964" t="s">
        <v>40</v>
      </c>
      <c r="D4964">
        <v>3.4383339999999998</v>
      </c>
      <c r="E4964">
        <v>0.53820869999999998</v>
      </c>
      <c r="F4964" t="s">
        <v>43</v>
      </c>
      <c r="G4964">
        <v>-312.09390000000002</v>
      </c>
      <c r="H4964">
        <v>-0.05</v>
      </c>
      <c r="I4964">
        <v>10.437419999999999</v>
      </c>
      <c r="J4964">
        <v>-320.15699999999998</v>
      </c>
      <c r="K4964">
        <v>1.1045430000000001</v>
      </c>
      <c r="L4964">
        <v>16.217469999999999</v>
      </c>
      <c r="M4964">
        <v>0.99299709999999997</v>
      </c>
      <c r="N4964">
        <v>0</v>
      </c>
      <c r="O4964">
        <v>-0.1171209</v>
      </c>
      <c r="P4964">
        <v>0.85740759999999905</v>
      </c>
      <c r="Q4964">
        <v>0.1246606</v>
      </c>
      <c r="R4964">
        <v>-0.49931170000000002</v>
      </c>
      <c r="S4964">
        <v>2.5124819999999999</v>
      </c>
      <c r="T4964">
        <v>-0.35593130000000001</v>
      </c>
      <c r="U4964">
        <v>-1.785034</v>
      </c>
      <c r="V4964">
        <v>0.39650469999999999</v>
      </c>
      <c r="W4964">
        <v>0.13567089999999901</v>
      </c>
      <c r="X4964">
        <v>0.90795230000000005</v>
      </c>
      <c r="Y4964">
        <v>0.47734969999999999</v>
      </c>
      <c r="Z4964">
        <v>-1.557014E-2</v>
      </c>
      <c r="AA4964">
        <v>0.87857540000000001</v>
      </c>
      <c r="AB4964">
        <v>18</v>
      </c>
      <c r="AC4964">
        <v>8.0630999999999595</v>
      </c>
      <c r="AD4964">
        <v>-1.1545430000000001</v>
      </c>
      <c r="AE4964">
        <v>-5.7800500000000001</v>
      </c>
      <c r="AF4964">
        <v>4.7317065006735204</v>
      </c>
      <c r="AG4964">
        <v>-1.1545430000000001</v>
      </c>
      <c r="AH4964">
        <v>8.5685921239927403</v>
      </c>
      <c r="AI4964">
        <v>96.727066401884201</v>
      </c>
      <c r="AJ4964">
        <v>61.091854403350702</v>
      </c>
      <c r="AK4964">
        <v>9.8561040444343693</v>
      </c>
      <c r="AL4964">
        <v>82.202583237530902</v>
      </c>
      <c r="AM4964">
        <v>66.409003959843204</v>
      </c>
      <c r="AN4964">
        <v>0.999999974652094</v>
      </c>
    </row>
    <row r="4965" spans="1:40" x14ac:dyDescent="0.25">
      <c r="A4965" t="str">
        <f>"20190312172805031"</f>
        <v>20190312172805031</v>
      </c>
      <c r="B4965" t="str">
        <f>"1552382885024162"</f>
        <v>1552382885024162</v>
      </c>
      <c r="C4965" t="s">
        <v>40</v>
      </c>
      <c r="D4965">
        <v>3.4346739999999998</v>
      </c>
      <c r="E4965">
        <v>0.53820269999999903</v>
      </c>
      <c r="F4965" t="s">
        <v>43</v>
      </c>
      <c r="G4965">
        <v>-312.04360000000003</v>
      </c>
      <c r="H4965">
        <v>-0.05</v>
      </c>
      <c r="I4965">
        <v>10.41628</v>
      </c>
      <c r="J4965">
        <v>-320.06369999999998</v>
      </c>
      <c r="K4965">
        <v>1.103939</v>
      </c>
      <c r="L4965">
        <v>16.203949999999999</v>
      </c>
      <c r="M4965">
        <v>0.99273940000000005</v>
      </c>
      <c r="N4965">
        <v>0</v>
      </c>
      <c r="O4965">
        <v>-0.119192699999999</v>
      </c>
      <c r="P4965">
        <v>0.85610819999999999</v>
      </c>
      <c r="Q4965">
        <v>0.1245778</v>
      </c>
      <c r="R4965">
        <v>-0.50155660000000002</v>
      </c>
      <c r="S4965">
        <v>2.5069270000000001</v>
      </c>
      <c r="T4965">
        <v>-0.35674119999999998</v>
      </c>
      <c r="U4965">
        <v>-1.792511</v>
      </c>
      <c r="V4965">
        <v>0.3970109</v>
      </c>
      <c r="W4965">
        <v>0.13614899999999999</v>
      </c>
      <c r="X4965">
        <v>0.90765949999999995</v>
      </c>
      <c r="Y4965">
        <v>0.4781668</v>
      </c>
      <c r="Z4965">
        <v>-1.541645E-2</v>
      </c>
      <c r="AA4965">
        <v>0.87813369999999902</v>
      </c>
      <c r="AB4965">
        <v>18</v>
      </c>
      <c r="AC4965">
        <v>8.0200999999999496</v>
      </c>
      <c r="AD4965">
        <v>-1.153939</v>
      </c>
      <c r="AE4965">
        <v>-5.7876699999999897</v>
      </c>
      <c r="AF4965">
        <v>4.7260039242046901</v>
      </c>
      <c r="AG4965">
        <v>-1.153939</v>
      </c>
      <c r="AH4965">
        <v>8.53664294462674</v>
      </c>
      <c r="AI4965">
        <v>96.744552238846396</v>
      </c>
      <c r="AJ4965">
        <v>61.030478127941898</v>
      </c>
      <c r="AK4965">
        <v>9.8255259946409303</v>
      </c>
      <c r="AL4965">
        <v>82.1749336612001</v>
      </c>
      <c r="AM4965">
        <v>66.375397903289894</v>
      </c>
      <c r="AN4965">
        <v>0.99999998643002896</v>
      </c>
    </row>
    <row r="4966" spans="1:40" x14ac:dyDescent="0.25">
      <c r="A4966" t="str">
        <f>"20190312172805041"</f>
        <v>20190312172805041</v>
      </c>
      <c r="B4966" t="str">
        <f>"1552382885033922"</f>
        <v>1552382885033922</v>
      </c>
      <c r="C4966" t="s">
        <v>40</v>
      </c>
      <c r="D4966">
        <v>3.4534310000000001</v>
      </c>
      <c r="E4966">
        <v>0.53822119999999996</v>
      </c>
      <c r="F4966" t="s">
        <v>43</v>
      </c>
      <c r="G4966">
        <v>-311.96230000000003</v>
      </c>
      <c r="H4966">
        <v>-0.05</v>
      </c>
      <c r="I4966">
        <v>10.377269999999999</v>
      </c>
      <c r="J4966">
        <v>-319.97379999999998</v>
      </c>
      <c r="K4966">
        <v>1.103321</v>
      </c>
      <c r="L4966">
        <v>16.1907</v>
      </c>
      <c r="M4966">
        <v>0.99247779999999997</v>
      </c>
      <c r="N4966">
        <v>0</v>
      </c>
      <c r="O4966">
        <v>-0.1212476</v>
      </c>
      <c r="P4966">
        <v>0.85479939999999999</v>
      </c>
      <c r="Q4966">
        <v>0.1242253</v>
      </c>
      <c r="R4966">
        <v>-0.50387099999999996</v>
      </c>
      <c r="S4966">
        <v>2.5018919999999998</v>
      </c>
      <c r="T4966">
        <v>-0.35636190000000001</v>
      </c>
      <c r="U4966">
        <v>-1.7994079999999999</v>
      </c>
      <c r="V4966">
        <v>0.3975921</v>
      </c>
      <c r="W4966">
        <v>0.13645979999999999</v>
      </c>
      <c r="X4966">
        <v>0.90735840000000001</v>
      </c>
      <c r="Y4966">
        <v>0.47879500000000003</v>
      </c>
      <c r="Z4966">
        <v>-1.5199610000000001E-2</v>
      </c>
      <c r="AA4966">
        <v>0.877795199999999</v>
      </c>
      <c r="AB4966">
        <v>18</v>
      </c>
      <c r="AC4966">
        <v>8.0114999999999501</v>
      </c>
      <c r="AD4966">
        <v>-1.15332099999999</v>
      </c>
      <c r="AE4966">
        <v>-5.8134300000000003</v>
      </c>
      <c r="AF4966">
        <v>4.7347359860097997</v>
      </c>
      <c r="AG4966">
        <v>-1.15332099999999</v>
      </c>
      <c r="AH4966">
        <v>8.5413866583812297</v>
      </c>
      <c r="AI4966">
        <v>96.735241565907998</v>
      </c>
      <c r="AJ4966">
        <v>60.999137685118399</v>
      </c>
      <c r="AK4966">
        <v>9.8337764990989101</v>
      </c>
      <c r="AL4966">
        <v>82.156958559418797</v>
      </c>
      <c r="AM4966">
        <v>66.337621580923994</v>
      </c>
      <c r="AN4966">
        <v>1.0000000105244999</v>
      </c>
    </row>
    <row r="4967" spans="1:40" x14ac:dyDescent="0.25">
      <c r="A4967" t="str">
        <f>"20190312172805066"</f>
        <v>20190312172805066</v>
      </c>
      <c r="B4967" t="str">
        <f>"1552382885054421"</f>
        <v>1552382885054421</v>
      </c>
      <c r="C4967" t="s">
        <v>40</v>
      </c>
      <c r="D4967">
        <v>3.449176</v>
      </c>
      <c r="E4967">
        <v>0.53823009999999905</v>
      </c>
      <c r="F4967" t="s">
        <v>43</v>
      </c>
      <c r="G4967">
        <v>-311.90010000000001</v>
      </c>
      <c r="H4967">
        <v>-0.05</v>
      </c>
      <c r="I4967">
        <v>10.34764</v>
      </c>
      <c r="J4967">
        <v>-319.78179999999998</v>
      </c>
      <c r="K4967">
        <v>1.1019350000000001</v>
      </c>
      <c r="L4967">
        <v>16.16159</v>
      </c>
      <c r="M4967">
        <v>0.99186240000000003</v>
      </c>
      <c r="N4967">
        <v>0</v>
      </c>
      <c r="O4967">
        <v>-0.12593070000000001</v>
      </c>
      <c r="P4967">
        <v>0.85186200000000001</v>
      </c>
      <c r="Q4967">
        <v>0.1230556</v>
      </c>
      <c r="R4967">
        <v>-0.5091059</v>
      </c>
      <c r="S4967">
        <v>2.496429</v>
      </c>
      <c r="T4967">
        <v>-0.35661169999999998</v>
      </c>
      <c r="U4967">
        <v>-1.806702</v>
      </c>
      <c r="V4967">
        <v>0.39885749999999998</v>
      </c>
      <c r="W4967">
        <v>0.1368906</v>
      </c>
      <c r="X4967">
        <v>0.90673789999999999</v>
      </c>
      <c r="Y4967">
        <v>0.47728340000000002</v>
      </c>
      <c r="Z4967">
        <v>-1.454776E-2</v>
      </c>
      <c r="AA4967">
        <v>0.87862899999999999</v>
      </c>
      <c r="AB4967">
        <v>18</v>
      </c>
      <c r="AC4967">
        <v>7.8816999999999604</v>
      </c>
      <c r="AD4967">
        <v>-1.1519349999999999</v>
      </c>
      <c r="AE4967">
        <v>-5.8139500000000002</v>
      </c>
      <c r="AF4967">
        <v>4.7097744436115798</v>
      </c>
      <c r="AG4967">
        <v>-1.1519349999999999</v>
      </c>
      <c r="AH4967">
        <v>8.4345359399782698</v>
      </c>
      <c r="AI4967">
        <v>96.800010362254696</v>
      </c>
      <c r="AJ4967">
        <v>60.821373745140697</v>
      </c>
      <c r="AK4967">
        <v>9.7288399142295994</v>
      </c>
      <c r="AL4967">
        <v>82.132041478026395</v>
      </c>
      <c r="AM4967">
        <v>66.256179627181197</v>
      </c>
      <c r="AN4967">
        <v>0.99999998048550898</v>
      </c>
    </row>
    <row r="4968" spans="1:40" x14ac:dyDescent="0.25">
      <c r="A4968" t="str">
        <f>"20190312172805077"</f>
        <v>20190312172805077</v>
      </c>
      <c r="B4968" t="str">
        <f>"1552382885073938"</f>
        <v>1552382885073938</v>
      </c>
      <c r="C4968" t="s">
        <v>40</v>
      </c>
      <c r="D4968">
        <v>3.4181370000000002</v>
      </c>
      <c r="E4968">
        <v>0.5382633</v>
      </c>
      <c r="F4968" t="s">
        <v>43</v>
      </c>
      <c r="G4968">
        <v>-311.80130000000003</v>
      </c>
      <c r="H4968">
        <v>-0.05</v>
      </c>
      <c r="I4968">
        <v>10.30692</v>
      </c>
      <c r="J4968">
        <v>-319.6884</v>
      </c>
      <c r="K4968">
        <v>1.1011899999999999</v>
      </c>
      <c r="L4968">
        <v>16.146999999999998</v>
      </c>
      <c r="M4968">
        <v>0.99152470000000004</v>
      </c>
      <c r="N4968">
        <v>0</v>
      </c>
      <c r="O4968">
        <v>-0.1284315</v>
      </c>
      <c r="P4968">
        <v>0.85024100000000002</v>
      </c>
      <c r="Q4968">
        <v>0.12261469999999999</v>
      </c>
      <c r="R4968">
        <v>-0.51191399999999998</v>
      </c>
      <c r="S4968">
        <v>2.484283</v>
      </c>
      <c r="T4968">
        <v>-0.35859360000000001</v>
      </c>
      <c r="U4968">
        <v>-1.82254</v>
      </c>
      <c r="V4968">
        <v>0.39955600000000002</v>
      </c>
      <c r="W4968">
        <v>0.13723959999999999</v>
      </c>
      <c r="X4968">
        <v>0.90637760000000001</v>
      </c>
      <c r="Y4968">
        <v>0.48071649999999999</v>
      </c>
      <c r="Z4968">
        <v>-1.457026E-2</v>
      </c>
      <c r="AA4968">
        <v>0.87675509999999901</v>
      </c>
      <c r="AB4968">
        <v>18</v>
      </c>
      <c r="AC4968">
        <v>7.88709999999997</v>
      </c>
      <c r="AD4968">
        <v>-1.1511899999999999</v>
      </c>
      <c r="AE4968">
        <v>-5.8400800000000004</v>
      </c>
      <c r="AF4968">
        <v>4.7136902751222296</v>
      </c>
      <c r="AG4968">
        <v>-1.1511899999999999</v>
      </c>
      <c r="AH4968">
        <v>8.4556044172667697</v>
      </c>
      <c r="AI4968">
        <v>96.781531840934704</v>
      </c>
      <c r="AJ4968">
        <v>60.861931636589603</v>
      </c>
      <c r="AK4968">
        <v>9.74891586214504</v>
      </c>
      <c r="AL4968">
        <v>82.111855116777605</v>
      </c>
      <c r="AM4968">
        <v>66.210804636449396</v>
      </c>
      <c r="AN4968">
        <v>1.0000000293629501</v>
      </c>
    </row>
    <row r="4969" spans="1:40" x14ac:dyDescent="0.25">
      <c r="A4969" t="str">
        <f>"20190312172805091"</f>
        <v>20190312172805091</v>
      </c>
      <c r="B4969" t="str">
        <f>"1552382885084674"</f>
        <v>1552382885084674</v>
      </c>
      <c r="C4969" t="s">
        <v>40</v>
      </c>
      <c r="D4969">
        <v>3.3800129999999999</v>
      </c>
      <c r="E4969">
        <v>0.5382633</v>
      </c>
      <c r="F4969" t="s">
        <v>43</v>
      </c>
      <c r="G4969">
        <v>-311.7285</v>
      </c>
      <c r="H4969">
        <v>-0.05</v>
      </c>
      <c r="I4969">
        <v>10.262890000000001</v>
      </c>
      <c r="J4969">
        <v>-319.57569999999998</v>
      </c>
      <c r="K4969">
        <v>1.100249</v>
      </c>
      <c r="L4969">
        <v>16.12912</v>
      </c>
      <c r="M4969">
        <v>0.99109570000000002</v>
      </c>
      <c r="N4969">
        <v>0</v>
      </c>
      <c r="O4969">
        <v>-0.13154150000000001</v>
      </c>
      <c r="P4969">
        <v>0.84836520000000004</v>
      </c>
      <c r="Q4969">
        <v>0.1221293</v>
      </c>
      <c r="R4969">
        <v>-0.51513209999999998</v>
      </c>
      <c r="S4969">
        <v>2.4774479999999999</v>
      </c>
      <c r="T4969">
        <v>-0.35829499999999997</v>
      </c>
      <c r="U4969">
        <v>-1.8313600000000001</v>
      </c>
      <c r="V4969">
        <v>0.40014240000000001</v>
      </c>
      <c r="W4969">
        <v>0.13768179999999999</v>
      </c>
      <c r="X4969">
        <v>0.90605179999999996</v>
      </c>
      <c r="Y4969">
        <v>0.48115960000000002</v>
      </c>
      <c r="Z4969">
        <v>-1.4217189999999999E-2</v>
      </c>
      <c r="AA4969">
        <v>0.87651769999999996</v>
      </c>
      <c r="AB4969">
        <v>18</v>
      </c>
      <c r="AC4969">
        <v>7.8471999999999804</v>
      </c>
      <c r="AD4969">
        <v>-1.1502490000000001</v>
      </c>
      <c r="AE4969">
        <v>-5.8662299999999998</v>
      </c>
      <c r="AF4969">
        <v>4.7177559534440503</v>
      </c>
      <c r="AG4969">
        <v>-1.1502490000000001</v>
      </c>
      <c r="AH4969">
        <v>8.4345453892274893</v>
      </c>
      <c r="AI4969">
        <v>96.787434717373202</v>
      </c>
      <c r="AJ4969">
        <v>60.780086499257401</v>
      </c>
      <c r="AK4969">
        <v>9.7325150871291495</v>
      </c>
      <c r="AL4969">
        <v>82.086276202867595</v>
      </c>
      <c r="AM4969">
        <v>66.172163294410595</v>
      </c>
      <c r="AN4969">
        <v>1.0000000413061101</v>
      </c>
    </row>
    <row r="4970" spans="1:40" x14ac:dyDescent="0.25">
      <c r="A4970" t="str">
        <f>"20190312172805105"</f>
        <v>20190312172805105</v>
      </c>
      <c r="B4970" t="str">
        <f>"1552382885094434"</f>
        <v>1552382885094434</v>
      </c>
      <c r="C4970" t="s">
        <v>40</v>
      </c>
      <c r="D4970">
        <v>3.4435250000000002</v>
      </c>
      <c r="E4970">
        <v>0.53932709999999995</v>
      </c>
      <c r="F4970" t="s">
        <v>43</v>
      </c>
      <c r="G4970">
        <v>-311.67110000000002</v>
      </c>
      <c r="H4970">
        <v>-0.05</v>
      </c>
      <c r="I4970">
        <v>10.236660000000001</v>
      </c>
      <c r="J4970">
        <v>-319.46409999999997</v>
      </c>
      <c r="K4970">
        <v>1.0992470000000001</v>
      </c>
      <c r="L4970">
        <v>16.110869999999998</v>
      </c>
      <c r="M4970">
        <v>0.9906452</v>
      </c>
      <c r="N4970">
        <v>0</v>
      </c>
      <c r="O4970">
        <v>-0.13474320000000001</v>
      </c>
      <c r="P4970">
        <v>0.84635439999999995</v>
      </c>
      <c r="Q4970">
        <v>0.1217897</v>
      </c>
      <c r="R4970">
        <v>-0.51850959999999902</v>
      </c>
      <c r="S4970">
        <v>2.4699399999999998</v>
      </c>
      <c r="T4970">
        <v>-0.35941780000000001</v>
      </c>
      <c r="U4970">
        <v>-1.8412170000000001</v>
      </c>
      <c r="V4970">
        <v>0.40083609999999997</v>
      </c>
      <c r="W4970">
        <v>0.13816629999999999</v>
      </c>
      <c r="X4970">
        <v>0.90567129999999996</v>
      </c>
      <c r="Y4970">
        <v>0.48185230000000001</v>
      </c>
      <c r="Z4970">
        <v>-1.392498E-2</v>
      </c>
      <c r="AA4970">
        <v>0.87614179999999997</v>
      </c>
      <c r="AB4970">
        <v>18</v>
      </c>
      <c r="AC4970">
        <v>7.7929999999999398</v>
      </c>
      <c r="AD4970">
        <v>-1.1492469999999999</v>
      </c>
      <c r="AE4970">
        <v>-5.8742099999999997</v>
      </c>
      <c r="AF4970">
        <v>4.7050658435792103</v>
      </c>
      <c r="AG4970">
        <v>-1.1492469999999999</v>
      </c>
      <c r="AH4970">
        <v>8.3971400790443997</v>
      </c>
      <c r="AI4970">
        <v>96.808683743011201</v>
      </c>
      <c r="AJ4970">
        <v>60.737320233493698</v>
      </c>
      <c r="AK4970">
        <v>9.6938317896752508</v>
      </c>
      <c r="AL4970">
        <v>82.058248239210499</v>
      </c>
      <c r="AM4970">
        <v>66.126560248801894</v>
      </c>
      <c r="AN4970">
        <v>1.00000000458129</v>
      </c>
    </row>
    <row r="4971" spans="1:40" x14ac:dyDescent="0.25">
      <c r="A4971" t="str">
        <f>"20190312172805121"</f>
        <v>20190312172805121</v>
      </c>
      <c r="B4971" t="str">
        <f>"1552382885113954"</f>
        <v>1552382885113954</v>
      </c>
      <c r="C4971" t="s">
        <v>40</v>
      </c>
      <c r="D4971">
        <v>3.4189159999999998</v>
      </c>
      <c r="E4971">
        <v>0.53961759999999903</v>
      </c>
      <c r="F4971" t="s">
        <v>43</v>
      </c>
      <c r="G4971">
        <v>-308.28680000000003</v>
      </c>
      <c r="H4971">
        <v>-0.05</v>
      </c>
      <c r="I4971">
        <v>7.6378940000000002</v>
      </c>
      <c r="J4971">
        <v>-319.33089999999999</v>
      </c>
      <c r="K4971">
        <v>1.0980110000000001</v>
      </c>
      <c r="L4971">
        <v>16.08841</v>
      </c>
      <c r="M4971">
        <v>0.99009119999999995</v>
      </c>
      <c r="N4971">
        <v>0</v>
      </c>
      <c r="O4971">
        <v>-0.13858299999999901</v>
      </c>
      <c r="P4971">
        <v>0.84359599999999901</v>
      </c>
      <c r="Q4971">
        <v>0.12254279999999999</v>
      </c>
      <c r="R4971">
        <v>-0.52280930000000003</v>
      </c>
      <c r="S4971">
        <v>2.4451900000000002</v>
      </c>
      <c r="T4971">
        <v>-0.25141269999999999</v>
      </c>
      <c r="U4971">
        <v>-1.853577</v>
      </c>
      <c r="V4971">
        <v>0.40198790000000001</v>
      </c>
      <c r="W4971">
        <v>0.1397997</v>
      </c>
      <c r="X4971">
        <v>0.90490979999999999</v>
      </c>
      <c r="Y4971">
        <v>0.48665940000000002</v>
      </c>
      <c r="Z4971">
        <v>-9.7057570000000006E-3</v>
      </c>
      <c r="AA4971">
        <v>0.87353789999999998</v>
      </c>
      <c r="AB4971">
        <v>18</v>
      </c>
      <c r="AC4971">
        <v>11.044099999999901</v>
      </c>
      <c r="AD4971">
        <v>-1.1480109999999999</v>
      </c>
      <c r="AE4971">
        <v>-8.4505160000000004</v>
      </c>
      <c r="AF4971">
        <v>6.7917287953168799</v>
      </c>
      <c r="AG4971">
        <v>-1.1480109999999999</v>
      </c>
      <c r="AH4971">
        <v>12.026912723580599</v>
      </c>
      <c r="AI4971">
        <v>94.751292307468901</v>
      </c>
      <c r="AJ4971">
        <v>60.546108981130303</v>
      </c>
      <c r="AK4971">
        <v>13.85973083959</v>
      </c>
      <c r="AL4971">
        <v>81.963743975432607</v>
      </c>
      <c r="AM4971">
        <v>66.047781463822801</v>
      </c>
      <c r="AN4971">
        <v>0.99999998700126902</v>
      </c>
    </row>
    <row r="4972" spans="1:40" x14ac:dyDescent="0.25">
      <c r="A4972" t="str">
        <f>"20190312172805143"</f>
        <v>20190312172805143</v>
      </c>
      <c r="B4972" t="str">
        <f>"1552382885134450"</f>
        <v>1552382885134450</v>
      </c>
      <c r="C4972" t="s">
        <v>40</v>
      </c>
      <c r="D4972">
        <v>3.3841049999999999</v>
      </c>
      <c r="E4972">
        <v>0.53921169999999996</v>
      </c>
      <c r="F4972" t="s">
        <v>43</v>
      </c>
      <c r="G4972">
        <v>-307.80020000000002</v>
      </c>
      <c r="H4972">
        <v>-0.05</v>
      </c>
      <c r="I4972">
        <v>7.2332149999999897</v>
      </c>
      <c r="J4972">
        <v>-319.15929999999997</v>
      </c>
      <c r="K4972">
        <v>1.0964259999999999</v>
      </c>
      <c r="L4972">
        <v>16.058440000000001</v>
      </c>
      <c r="M4972">
        <v>0.98935899999999999</v>
      </c>
      <c r="N4972">
        <v>0</v>
      </c>
      <c r="O4972">
        <v>-0.14350170000000001</v>
      </c>
      <c r="P4972">
        <v>0.84027030000000003</v>
      </c>
      <c r="Q4972">
        <v>0.1228021</v>
      </c>
      <c r="R4972">
        <v>-0.52807709999999997</v>
      </c>
      <c r="S4972">
        <v>2.4332889999999998</v>
      </c>
      <c r="T4972">
        <v>-0.2422607</v>
      </c>
      <c r="U4972">
        <v>-1.8686830000000001</v>
      </c>
      <c r="V4972">
        <v>0.40320509999999998</v>
      </c>
      <c r="W4972">
        <v>0.14112920000000001</v>
      </c>
      <c r="X4972">
        <v>0.90416160000000001</v>
      </c>
      <c r="Y4972">
        <v>0.48788120000000001</v>
      </c>
      <c r="Z4972">
        <v>-9.0098490000000003E-3</v>
      </c>
      <c r="AA4972">
        <v>0.87286350000000001</v>
      </c>
      <c r="AB4972">
        <v>18</v>
      </c>
      <c r="AC4972">
        <v>11.3590999999999</v>
      </c>
      <c r="AD4972">
        <v>-1.1464259999999999</v>
      </c>
      <c r="AE4972">
        <v>-8.8252249999999997</v>
      </c>
      <c r="AF4972">
        <v>7.0584771366352399</v>
      </c>
      <c r="AG4972">
        <v>-1.1464259999999999</v>
      </c>
      <c r="AH4972">
        <v>12.429316101409199</v>
      </c>
      <c r="AI4972">
        <v>94.585589631747695</v>
      </c>
      <c r="AJ4972">
        <v>60.408215404650598</v>
      </c>
      <c r="AK4972">
        <v>14.339605671378401</v>
      </c>
      <c r="AL4972">
        <v>81.886806566613203</v>
      </c>
      <c r="AM4972">
        <v>65.965822841061893</v>
      </c>
      <c r="AN4972">
        <v>1.0000000013365999</v>
      </c>
    </row>
    <row r="4973" spans="1:40" x14ac:dyDescent="0.25">
      <c r="A4973" t="str">
        <f>"20190312172805153"</f>
        <v>20190312172805153</v>
      </c>
      <c r="B4973" t="str">
        <f>"1552382885144210"</f>
        <v>1552382885144210</v>
      </c>
      <c r="C4973" t="s">
        <v>40</v>
      </c>
      <c r="D4973">
        <v>3.4198210000000002</v>
      </c>
      <c r="E4973">
        <v>0.53919830000000002</v>
      </c>
      <c r="F4973" t="s">
        <v>43</v>
      </c>
      <c r="G4973">
        <v>-307.6902</v>
      </c>
      <c r="H4973">
        <v>-0.05</v>
      </c>
      <c r="I4973">
        <v>7.1485440000000002</v>
      </c>
      <c r="J4973">
        <v>-319.06659999999999</v>
      </c>
      <c r="K4973">
        <v>1.095607</v>
      </c>
      <c r="L4973">
        <v>16.04175</v>
      </c>
      <c r="M4973">
        <v>0.98895219999999995</v>
      </c>
      <c r="N4973">
        <v>0</v>
      </c>
      <c r="O4973">
        <v>-0.1461655</v>
      </c>
      <c r="P4973">
        <v>0.83865480000000003</v>
      </c>
      <c r="Q4973">
        <v>0.12281549999999999</v>
      </c>
      <c r="R4973">
        <v>-0.53063640000000001</v>
      </c>
      <c r="S4973">
        <v>2.4228209999999999</v>
      </c>
      <c r="T4973">
        <v>-0.24218020000000001</v>
      </c>
      <c r="U4973">
        <v>-1.8822019999999999</v>
      </c>
      <c r="V4973">
        <v>0.40354449999999997</v>
      </c>
      <c r="W4973">
        <v>0.14171159999999999</v>
      </c>
      <c r="X4973">
        <v>0.90391900000000003</v>
      </c>
      <c r="Y4973">
        <v>0.49039129999999997</v>
      </c>
      <c r="Z4973">
        <v>-8.9085380000000006E-3</v>
      </c>
      <c r="AA4973">
        <v>0.87145689999999998</v>
      </c>
      <c r="AB4973">
        <v>18</v>
      </c>
      <c r="AC4973">
        <v>11.376399999999901</v>
      </c>
      <c r="AD4973">
        <v>-1.145607</v>
      </c>
      <c r="AE4973">
        <v>-8.8932059999999993</v>
      </c>
      <c r="AF4973">
        <v>7.0896680071128504</v>
      </c>
      <c r="AG4973">
        <v>-1.145607</v>
      </c>
      <c r="AH4973">
        <v>12.475894443540801</v>
      </c>
      <c r="AI4973">
        <v>94.564550501257202</v>
      </c>
      <c r="AJ4973">
        <v>60.391759584160098</v>
      </c>
      <c r="AK4973">
        <v>14.3952683203857</v>
      </c>
      <c r="AL4973">
        <v>81.8530983052663</v>
      </c>
      <c r="AM4973">
        <v>65.942162609672593</v>
      </c>
      <c r="AN4973">
        <v>0.99999994980790297</v>
      </c>
    </row>
    <row r="4974" spans="1:40" x14ac:dyDescent="0.25">
      <c r="A4974" t="str">
        <f>"20190312172805164"</f>
        <v>20190312172805164</v>
      </c>
      <c r="B4974" t="str">
        <f>"1552382885153970"</f>
        <v>1552382885153970</v>
      </c>
      <c r="C4974" t="s">
        <v>40</v>
      </c>
      <c r="D4974">
        <v>3.4212220000000002</v>
      </c>
      <c r="E4974">
        <v>0.53908509999999998</v>
      </c>
      <c r="F4974" t="s">
        <v>43</v>
      </c>
      <c r="G4974">
        <v>-307.64159999999998</v>
      </c>
      <c r="H4974">
        <v>-0.05</v>
      </c>
      <c r="I4974">
        <v>7.1048580000000001</v>
      </c>
      <c r="J4974">
        <v>-318.9769</v>
      </c>
      <c r="K4974">
        <v>1.094851</v>
      </c>
      <c r="L4974">
        <v>16.02533</v>
      </c>
      <c r="M4974">
        <v>0.9885507</v>
      </c>
      <c r="N4974">
        <v>0</v>
      </c>
      <c r="O4974">
        <v>-0.14874979999999999</v>
      </c>
      <c r="P4974">
        <v>0.83698079999999997</v>
      </c>
      <c r="Q4974">
        <v>0.1229734</v>
      </c>
      <c r="R4974">
        <v>-0.53323549999999997</v>
      </c>
      <c r="S4974">
        <v>2.416595</v>
      </c>
      <c r="T4974">
        <v>-0.2423178</v>
      </c>
      <c r="U4974">
        <v>-1.89032</v>
      </c>
      <c r="V4974">
        <v>0.40400409999999998</v>
      </c>
      <c r="W4974">
        <v>0.1424126</v>
      </c>
      <c r="X4974">
        <v>0.90360359999999995</v>
      </c>
      <c r="Y4974">
        <v>0.49102180000000001</v>
      </c>
      <c r="Z4974">
        <v>-8.7314300000000001E-3</v>
      </c>
      <c r="AA4974">
        <v>0.87110350000000003</v>
      </c>
      <c r="AB4974">
        <v>18</v>
      </c>
      <c r="AC4974">
        <v>11.3353</v>
      </c>
      <c r="AD4974">
        <v>-1.1448510000000001</v>
      </c>
      <c r="AE4974">
        <v>-8.9204720000000002</v>
      </c>
      <c r="AF4974">
        <v>7.0898402855669698</v>
      </c>
      <c r="AG4974">
        <v>-1.1448510000000001</v>
      </c>
      <c r="AH4974">
        <v>12.4579776512465</v>
      </c>
      <c r="AI4974">
        <v>94.566459356859497</v>
      </c>
      <c r="AJ4974">
        <v>60.355777636751696</v>
      </c>
      <c r="AK4974">
        <v>14.379767948267</v>
      </c>
      <c r="AL4974">
        <v>81.812523368937605</v>
      </c>
      <c r="AM4974">
        <v>65.910426605500405</v>
      </c>
      <c r="AN4974">
        <v>1.0000000636942601</v>
      </c>
    </row>
    <row r="4975" spans="1:40" x14ac:dyDescent="0.25">
      <c r="A4975" t="str">
        <f>"20190312172805178"</f>
        <v>20190312172805178</v>
      </c>
      <c r="B4975" t="str">
        <f>"1552382885174466"</f>
        <v>1552382885174466</v>
      </c>
      <c r="C4975" t="s">
        <v>40</v>
      </c>
      <c r="D4975">
        <v>3.3682699999999999</v>
      </c>
      <c r="E4975">
        <v>0.53892850000000003</v>
      </c>
      <c r="F4975" t="s">
        <v>43</v>
      </c>
      <c r="G4975">
        <v>-307.53629999999998</v>
      </c>
      <c r="H4975">
        <v>-0.05</v>
      </c>
      <c r="I4975">
        <v>7.0204009999999997</v>
      </c>
      <c r="J4975">
        <v>-318.875</v>
      </c>
      <c r="K4975">
        <v>1.094058</v>
      </c>
      <c r="L4975">
        <v>16.006129999999999</v>
      </c>
      <c r="M4975">
        <v>0.98807500000000004</v>
      </c>
      <c r="N4975">
        <v>0</v>
      </c>
      <c r="O4975">
        <v>-0.1517647</v>
      </c>
      <c r="P4975">
        <v>0.83507289999999901</v>
      </c>
      <c r="Q4975">
        <v>0.1227877</v>
      </c>
      <c r="R4975">
        <v>-0.53626219999999902</v>
      </c>
      <c r="S4975">
        <v>2.4108580000000002</v>
      </c>
      <c r="T4975">
        <v>-0.2412511</v>
      </c>
      <c r="U4975">
        <v>-1.897583</v>
      </c>
      <c r="V4975">
        <v>0.40451559999999998</v>
      </c>
      <c r="W4975">
        <v>0.1428307</v>
      </c>
      <c r="X4975">
        <v>0.90330869999999996</v>
      </c>
      <c r="Y4975">
        <v>0.49100880000000002</v>
      </c>
      <c r="Z4975">
        <v>-8.4460379999999995E-3</v>
      </c>
      <c r="AA4975">
        <v>0.87111369999999899</v>
      </c>
      <c r="AB4975">
        <v>18</v>
      </c>
      <c r="AC4975">
        <v>11.338699999999999</v>
      </c>
      <c r="AD4975">
        <v>-1.144058</v>
      </c>
      <c r="AE4975">
        <v>-8.9857289999999992</v>
      </c>
      <c r="AF4975">
        <v>7.1156814278782603</v>
      </c>
      <c r="AG4975">
        <v>-1.144058</v>
      </c>
      <c r="AH4975">
        <v>12.49332360703</v>
      </c>
      <c r="AI4975">
        <v>94.549560693245795</v>
      </c>
      <c r="AJ4975">
        <v>60.335946667893602</v>
      </c>
      <c r="AK4975">
        <v>14.4230692170699</v>
      </c>
      <c r="AL4975">
        <v>81.788320419669105</v>
      </c>
      <c r="AM4975">
        <v>65.876427035007197</v>
      </c>
      <c r="AN4975">
        <v>1.0000000435007601</v>
      </c>
    </row>
    <row r="4976" spans="1:40" x14ac:dyDescent="0.25">
      <c r="A4976" t="str">
        <f>"20190312172805192"</f>
        <v>20190312172805192</v>
      </c>
      <c r="B4976" t="str">
        <f>"1552382885184227"</f>
        <v>1552382885184227</v>
      </c>
      <c r="C4976" t="s">
        <v>40</v>
      </c>
      <c r="D4976">
        <v>3.434186</v>
      </c>
      <c r="E4976">
        <v>0.53885509999999903</v>
      </c>
      <c r="F4976" t="s">
        <v>43</v>
      </c>
      <c r="G4976">
        <v>-307.59660000000002</v>
      </c>
      <c r="H4976">
        <v>-0.05</v>
      </c>
      <c r="I4976">
        <v>7.0663759999999902</v>
      </c>
      <c r="J4976">
        <v>-318.76729999999998</v>
      </c>
      <c r="K4976">
        <v>1.0932580000000001</v>
      </c>
      <c r="L4976">
        <v>15.9856</v>
      </c>
      <c r="M4976">
        <v>0.98754439999999999</v>
      </c>
      <c r="N4976">
        <v>0</v>
      </c>
      <c r="O4976">
        <v>-0.15506929999999999</v>
      </c>
      <c r="P4976">
        <v>0.83306930000000001</v>
      </c>
      <c r="Q4976">
        <v>0.12269289999999899</v>
      </c>
      <c r="R4976">
        <v>-0.53939090000000001</v>
      </c>
      <c r="S4976">
        <v>2.40448</v>
      </c>
      <c r="T4976">
        <v>-0.2439035</v>
      </c>
      <c r="U4976">
        <v>-1.9058839999999999</v>
      </c>
      <c r="V4976">
        <v>0.40487339999999999</v>
      </c>
      <c r="W4976">
        <v>0.1433461</v>
      </c>
      <c r="X4976">
        <v>0.9030667</v>
      </c>
      <c r="Y4976">
        <v>0.4910525</v>
      </c>
      <c r="Z4976">
        <v>-8.2669860000000005E-3</v>
      </c>
      <c r="AA4976">
        <v>0.87109080000000005</v>
      </c>
      <c r="AB4976">
        <v>18</v>
      </c>
      <c r="AC4976">
        <v>11.170699999999901</v>
      </c>
      <c r="AD4976">
        <v>-1.1432579999999899</v>
      </c>
      <c r="AE4976">
        <v>-8.9192239999999998</v>
      </c>
      <c r="AF4976">
        <v>7.0334196908886204</v>
      </c>
      <c r="AG4976">
        <v>-1.1432579999999899</v>
      </c>
      <c r="AH4976">
        <v>12.3401334733268</v>
      </c>
      <c r="AI4976">
        <v>94.601793614325601</v>
      </c>
      <c r="AJ4976">
        <v>60.3184592377225</v>
      </c>
      <c r="AK4976">
        <v>14.2497342270747</v>
      </c>
      <c r="AL4976">
        <v>81.758482948786394</v>
      </c>
      <c r="AM4976">
        <v>65.851795664733999</v>
      </c>
      <c r="AN4976">
        <v>1.0000000195308201</v>
      </c>
    </row>
    <row r="4977" spans="1:40" x14ac:dyDescent="0.25">
      <c r="A4977" t="str">
        <f>"20190312172805204"</f>
        <v>20190312172805204</v>
      </c>
      <c r="B4977" t="str">
        <f>"1552382885193987"</f>
        <v>1552382885193987</v>
      </c>
      <c r="C4977" t="s">
        <v>40</v>
      </c>
      <c r="D4977">
        <v>3.4338419999999998</v>
      </c>
      <c r="E4977">
        <v>0.53876789999999997</v>
      </c>
      <c r="F4977" t="s">
        <v>43</v>
      </c>
      <c r="G4977">
        <v>-307.60489999999999</v>
      </c>
      <c r="H4977">
        <v>-0.05</v>
      </c>
      <c r="I4977">
        <v>7.0679629999999998</v>
      </c>
      <c r="J4977">
        <v>-318.66030000000001</v>
      </c>
      <c r="K4977">
        <v>1.0925309999999999</v>
      </c>
      <c r="L4977">
        <v>15.964779999999999</v>
      </c>
      <c r="M4977">
        <v>0.98696349999999999</v>
      </c>
      <c r="N4977">
        <v>0</v>
      </c>
      <c r="O4977">
        <v>-0.15863720000000001</v>
      </c>
      <c r="P4977">
        <v>0.8308468</v>
      </c>
      <c r="Q4977">
        <v>0.12266000000000001</v>
      </c>
      <c r="R4977">
        <v>-0.54281509999999999</v>
      </c>
      <c r="S4977">
        <v>2.3973080000000002</v>
      </c>
      <c r="T4977">
        <v>-0.24553530000000001</v>
      </c>
      <c r="U4977">
        <v>-1.915222</v>
      </c>
      <c r="V4977">
        <v>0.40530389999999999</v>
      </c>
      <c r="W4977">
        <v>0.14383779999999999</v>
      </c>
      <c r="X4977">
        <v>0.90279529999999997</v>
      </c>
      <c r="Y4977">
        <v>0.49124210000000001</v>
      </c>
      <c r="Z4977">
        <v>-8.0334540000000006E-3</v>
      </c>
      <c r="AA4977">
        <v>0.87098600000000004</v>
      </c>
      <c r="AB4977">
        <v>18</v>
      </c>
      <c r="AC4977">
        <v>11.055400000000001</v>
      </c>
      <c r="AD4977">
        <v>-1.142531</v>
      </c>
      <c r="AE4977">
        <v>-8.8968169999999898</v>
      </c>
      <c r="AF4977">
        <v>6.9843530955620601</v>
      </c>
      <c r="AG4977">
        <v>-1.142531</v>
      </c>
      <c r="AH4977">
        <v>12.2477935766593</v>
      </c>
      <c r="AI4977">
        <v>94.632824341929805</v>
      </c>
      <c r="AJ4977">
        <v>60.3058773443286</v>
      </c>
      <c r="AK4977">
        <v>14.145494432712701</v>
      </c>
      <c r="AL4977">
        <v>81.730015101544694</v>
      </c>
      <c r="AM4977">
        <v>65.822623465685695</v>
      </c>
      <c r="AN4977">
        <v>0.99999995888306903</v>
      </c>
    </row>
    <row r="4978" spans="1:40" x14ac:dyDescent="0.25">
      <c r="A4978" t="str">
        <f>"20190312172805222"</f>
        <v>20190312172805222</v>
      </c>
      <c r="B4978" t="str">
        <f>"1552382885214482"</f>
        <v>1552382885214482</v>
      </c>
      <c r="C4978" t="s">
        <v>40</v>
      </c>
      <c r="D4978">
        <v>3.3926289999999999</v>
      </c>
      <c r="E4978">
        <v>0.5387033</v>
      </c>
      <c r="F4978" t="s">
        <v>43</v>
      </c>
      <c r="G4978">
        <v>-307.60210000000001</v>
      </c>
      <c r="H4978">
        <v>-0.05</v>
      </c>
      <c r="I4978">
        <v>7.0542759999999998</v>
      </c>
      <c r="J4978">
        <v>-318.52080000000001</v>
      </c>
      <c r="K4978">
        <v>1.0915709999999901</v>
      </c>
      <c r="L4978">
        <v>15.937099999999999</v>
      </c>
      <c r="M4978">
        <v>0.98615220000000003</v>
      </c>
      <c r="N4978">
        <v>0</v>
      </c>
      <c r="O4978">
        <v>-0.16351379999999999</v>
      </c>
      <c r="P4978">
        <v>0.82741489999999995</v>
      </c>
      <c r="Q4978">
        <v>0.1233383</v>
      </c>
      <c r="R4978">
        <v>-0.54787989999999998</v>
      </c>
      <c r="S4978">
        <v>2.3893740000000001</v>
      </c>
      <c r="T4978">
        <v>-0.24687020000000001</v>
      </c>
      <c r="U4978">
        <v>-1.9253229999999999</v>
      </c>
      <c r="V4978">
        <v>0.4063658</v>
      </c>
      <c r="W4978">
        <v>0.14503199999999999</v>
      </c>
      <c r="X4978">
        <v>0.90212669999999995</v>
      </c>
      <c r="Y4978">
        <v>0.49058780000000002</v>
      </c>
      <c r="Z4978">
        <v>-7.6358559999999999E-3</v>
      </c>
      <c r="AA4978">
        <v>0.87135830000000003</v>
      </c>
      <c r="AB4978">
        <v>18</v>
      </c>
      <c r="AC4978">
        <v>10.918699999999999</v>
      </c>
      <c r="AD4978">
        <v>-1.1415709999999999</v>
      </c>
      <c r="AE4978">
        <v>-8.8828239999999994</v>
      </c>
      <c r="AF4978">
        <v>6.93154143727301</v>
      </c>
      <c r="AG4978">
        <v>-1.1415709999999999</v>
      </c>
      <c r="AH4978">
        <v>12.144769596754299</v>
      </c>
      <c r="AI4978">
        <v>94.667065157468997</v>
      </c>
      <c r="AJ4978">
        <v>60.284741623288603</v>
      </c>
      <c r="AK4978">
        <v>14.0301418240487</v>
      </c>
      <c r="AL4978">
        <v>81.660867872684506</v>
      </c>
      <c r="AM4978">
        <v>65.750667731160405</v>
      </c>
      <c r="AN4978">
        <v>1.0000000136432601</v>
      </c>
    </row>
    <row r="4979" spans="1:40" x14ac:dyDescent="0.25">
      <c r="A4979" t="str">
        <f>"20190312172805235"</f>
        <v>20190312172805235</v>
      </c>
      <c r="B4979" t="str">
        <f>"1552382885224242"</f>
        <v>1552382885224242</v>
      </c>
      <c r="C4979" t="s">
        <v>40</v>
      </c>
      <c r="D4979">
        <v>3.4141379999999999</v>
      </c>
      <c r="E4979">
        <v>0.53868349999999998</v>
      </c>
      <c r="F4979" t="s">
        <v>43</v>
      </c>
      <c r="G4979">
        <v>-307.53859999999997</v>
      </c>
      <c r="H4979">
        <v>-0.05</v>
      </c>
      <c r="I4979">
        <v>6.9699099999999996</v>
      </c>
      <c r="J4979">
        <v>-318.41250000000002</v>
      </c>
      <c r="K4979">
        <v>1.0907309999999999</v>
      </c>
      <c r="L4979">
        <v>15.91522</v>
      </c>
      <c r="M4979">
        <v>0.98552569999999995</v>
      </c>
      <c r="N4979">
        <v>0</v>
      </c>
      <c r="O4979">
        <v>-0.16719389999999901</v>
      </c>
      <c r="P4979">
        <v>0.82500599999999902</v>
      </c>
      <c r="Q4979">
        <v>0.12378699999999999</v>
      </c>
      <c r="R4979">
        <v>-0.55140019999999901</v>
      </c>
      <c r="S4979">
        <v>2.3772579999999999</v>
      </c>
      <c r="T4979">
        <v>-0.24710879999999999</v>
      </c>
      <c r="U4979">
        <v>-1.941071</v>
      </c>
      <c r="V4979">
        <v>0.4068792</v>
      </c>
      <c r="W4979">
        <v>0.1457128</v>
      </c>
      <c r="X4979">
        <v>0.90178559999999996</v>
      </c>
      <c r="Y4979">
        <v>0.4929733</v>
      </c>
      <c r="Z4979">
        <v>-7.4488879999999999E-3</v>
      </c>
      <c r="AA4979">
        <v>0.87001260000000002</v>
      </c>
      <c r="AB4979">
        <v>18</v>
      </c>
      <c r="AC4979">
        <v>10.873900000000001</v>
      </c>
      <c r="AD4979">
        <v>-1.1407309999999999</v>
      </c>
      <c r="AE4979">
        <v>-8.9453099999999992</v>
      </c>
      <c r="AF4979">
        <v>6.9548845390442704</v>
      </c>
      <c r="AG4979">
        <v>-1.1407309999999999</v>
      </c>
      <c r="AH4979">
        <v>12.1372451054145</v>
      </c>
      <c r="AI4979">
        <v>94.6619678072787</v>
      </c>
      <c r="AJ4979">
        <v>60.186427280466397</v>
      </c>
      <c r="AK4979">
        <v>14.0351132847122</v>
      </c>
      <c r="AL4979">
        <v>81.621442695870797</v>
      </c>
      <c r="AM4979">
        <v>65.715444865784505</v>
      </c>
      <c r="AN4979">
        <v>1.00000008592191</v>
      </c>
    </row>
    <row r="4980" spans="1:40" x14ac:dyDescent="0.25">
      <c r="A4980" t="str">
        <f>"20190312172805247"</f>
        <v>20190312172805247</v>
      </c>
      <c r="B4980" t="str">
        <f>"1552382885244739"</f>
        <v>1552382885244739</v>
      </c>
      <c r="C4980" t="s">
        <v>40</v>
      </c>
      <c r="D4980">
        <v>3.4057019999999998</v>
      </c>
      <c r="E4980">
        <v>0.5385548</v>
      </c>
      <c r="F4980" t="s">
        <v>43</v>
      </c>
      <c r="G4980">
        <v>-307.49880000000002</v>
      </c>
      <c r="H4980">
        <v>-0.05</v>
      </c>
      <c r="I4980">
        <v>6.9206089999999998</v>
      </c>
      <c r="J4980">
        <v>-318.31279999999998</v>
      </c>
      <c r="K4980">
        <v>1.089893</v>
      </c>
      <c r="L4980">
        <v>15.89484</v>
      </c>
      <c r="M4980">
        <v>0.9849561</v>
      </c>
      <c r="N4980">
        <v>0</v>
      </c>
      <c r="O4980">
        <v>-0.17047509999999999</v>
      </c>
      <c r="P4980">
        <v>0.82267479999999904</v>
      </c>
      <c r="Q4980">
        <v>0.1240797</v>
      </c>
      <c r="R4980">
        <v>-0.55480719999999994</v>
      </c>
      <c r="S4980">
        <v>2.368744</v>
      </c>
      <c r="T4980">
        <v>-0.24758640000000001</v>
      </c>
      <c r="U4980">
        <v>-1.9522090000000001</v>
      </c>
      <c r="V4980">
        <v>0.40765980000000002</v>
      </c>
      <c r="W4980">
        <v>0.1461015</v>
      </c>
      <c r="X4980">
        <v>0.90137</v>
      </c>
      <c r="Y4980">
        <v>0.49404949999999997</v>
      </c>
      <c r="Z4980">
        <v>-7.2381429999999998E-3</v>
      </c>
      <c r="AA4980">
        <v>0.8694037</v>
      </c>
      <c r="AB4980">
        <v>18</v>
      </c>
      <c r="AC4980">
        <v>10.813999999999901</v>
      </c>
      <c r="AD4980">
        <v>-1.139893</v>
      </c>
      <c r="AE4980">
        <v>-8.9742309999999996</v>
      </c>
      <c r="AF4980">
        <v>6.9527577358603097</v>
      </c>
      <c r="AG4980">
        <v>-1.139893</v>
      </c>
      <c r="AH4980">
        <v>12.1064152731047</v>
      </c>
      <c r="AI4980">
        <v>94.667793771999001</v>
      </c>
      <c r="AJ4980">
        <v>60.131094174204101</v>
      </c>
      <c r="AK4980">
        <v>14.0073368971363</v>
      </c>
      <c r="AL4980">
        <v>81.598930346189604</v>
      </c>
      <c r="AM4980">
        <v>65.6643357081132</v>
      </c>
      <c r="AN4980">
        <v>1.00000001886914</v>
      </c>
    </row>
    <row r="4981" spans="1:40" x14ac:dyDescent="0.25">
      <c r="A4981" t="str">
        <f>"20190312172805265"</f>
        <v>20190312172805265</v>
      </c>
      <c r="B4981" t="str">
        <f>"1552382885254498"</f>
        <v>1552382885254498</v>
      </c>
      <c r="C4981" t="s">
        <v>40</v>
      </c>
      <c r="D4981">
        <v>3.389313</v>
      </c>
      <c r="E4981">
        <v>0.53852250000000002</v>
      </c>
      <c r="F4981" t="s">
        <v>43</v>
      </c>
      <c r="G4981">
        <v>-307.54000000000002</v>
      </c>
      <c r="H4981">
        <v>-0.05</v>
      </c>
      <c r="I4981">
        <v>6.942825</v>
      </c>
      <c r="J4981">
        <v>-318.1705</v>
      </c>
      <c r="K4981">
        <v>1.0885129999999901</v>
      </c>
      <c r="L4981">
        <v>15.864839999999999</v>
      </c>
      <c r="M4981">
        <v>0.98420180000000002</v>
      </c>
      <c r="N4981">
        <v>0</v>
      </c>
      <c r="O4981">
        <v>-0.17474110000000001</v>
      </c>
      <c r="P4981">
        <v>0.81937590000000005</v>
      </c>
      <c r="Q4981">
        <v>0.1249369</v>
      </c>
      <c r="R4981">
        <v>-0.5594768</v>
      </c>
      <c r="S4981">
        <v>2.361145</v>
      </c>
      <c r="T4981">
        <v>-0.24983749999999999</v>
      </c>
      <c r="U4981">
        <v>-1.962067</v>
      </c>
      <c r="V4981">
        <v>0.40902319999999998</v>
      </c>
      <c r="W4981">
        <v>0.1468312</v>
      </c>
      <c r="X4981">
        <v>0.90063349999999898</v>
      </c>
      <c r="Y4981">
        <v>0.4938014</v>
      </c>
      <c r="Z4981">
        <v>-6.9275209999999999E-3</v>
      </c>
      <c r="AA4981">
        <v>0.86954709999999902</v>
      </c>
      <c r="AB4981">
        <v>18</v>
      </c>
      <c r="AC4981">
        <v>10.6304999999999</v>
      </c>
      <c r="AD4981">
        <v>-1.1385130000000001</v>
      </c>
      <c r="AE4981">
        <v>-8.9220149999999894</v>
      </c>
      <c r="AF4981">
        <v>6.8799914073159796</v>
      </c>
      <c r="AG4981">
        <v>-1.1385130000000001</v>
      </c>
      <c r="AH4981">
        <v>11.946091956751999</v>
      </c>
      <c r="AI4981">
        <v>94.721171298249899</v>
      </c>
      <c r="AJ4981">
        <v>60.061506099266701</v>
      </c>
      <c r="AK4981">
        <v>13.832556042000499</v>
      </c>
      <c r="AL4981">
        <v>81.556666003290104</v>
      </c>
      <c r="AM4981">
        <v>65.574799962338403</v>
      </c>
      <c r="AN4981">
        <v>1.00000004037696</v>
      </c>
    </row>
    <row r="4982" spans="1:40" x14ac:dyDescent="0.25">
      <c r="A4982" t="str">
        <f>"20190312172805277"</f>
        <v>20190312172805277</v>
      </c>
      <c r="B4982" t="str">
        <f>"1552382885274018"</f>
        <v>1552382885274018</v>
      </c>
      <c r="C4982" t="s">
        <v>40</v>
      </c>
      <c r="D4982">
        <v>3.4182419999999998</v>
      </c>
      <c r="E4982">
        <v>0.53844519999999996</v>
      </c>
      <c r="F4982" t="s">
        <v>43</v>
      </c>
      <c r="G4982">
        <v>-307.3784</v>
      </c>
      <c r="H4982">
        <v>-0.05</v>
      </c>
      <c r="I4982">
        <v>6.7816470000000004</v>
      </c>
      <c r="J4982">
        <v>-318.0779</v>
      </c>
      <c r="K4982">
        <v>1.087561</v>
      </c>
      <c r="L4982">
        <v>15.84482</v>
      </c>
      <c r="M4982">
        <v>0.98371109999999995</v>
      </c>
      <c r="N4982">
        <v>0</v>
      </c>
      <c r="O4982">
        <v>-0.1774712</v>
      </c>
      <c r="P4982">
        <v>0.81736140000000002</v>
      </c>
      <c r="Q4982">
        <v>0.1253918</v>
      </c>
      <c r="R4982">
        <v>-0.56231409999999904</v>
      </c>
      <c r="S4982">
        <v>2.3491209999999998</v>
      </c>
      <c r="T4982">
        <v>-0.2478207</v>
      </c>
      <c r="U4982">
        <v>-1.977142</v>
      </c>
      <c r="V4982">
        <v>0.4097365</v>
      </c>
      <c r="W4982">
        <v>0.147137299999999</v>
      </c>
      <c r="X4982">
        <v>0.90025919999999904</v>
      </c>
      <c r="Y4982">
        <v>0.49685990000000002</v>
      </c>
      <c r="Z4982">
        <v>-6.7896359999999999E-3</v>
      </c>
      <c r="AA4982">
        <v>0.86780419999999903</v>
      </c>
      <c r="AB4982">
        <v>18</v>
      </c>
      <c r="AC4982">
        <v>10.6995</v>
      </c>
      <c r="AD4982">
        <v>-1.137561</v>
      </c>
      <c r="AE4982">
        <v>-9.0631730000000008</v>
      </c>
      <c r="AF4982">
        <v>6.9736601897969397</v>
      </c>
      <c r="AG4982">
        <v>-1.137561</v>
      </c>
      <c r="AH4982">
        <v>12.0592581128227</v>
      </c>
      <c r="AI4982">
        <v>94.668414250131306</v>
      </c>
      <c r="AJ4982">
        <v>59.959948455209201</v>
      </c>
      <c r="AK4982">
        <v>13.976826810945299</v>
      </c>
      <c r="AL4982">
        <v>81.538934894070707</v>
      </c>
      <c r="AM4982">
        <v>65.528213593103501</v>
      </c>
      <c r="AN4982">
        <v>1.0000000058340801</v>
      </c>
    </row>
    <row r="4983" spans="1:40" x14ac:dyDescent="0.25">
      <c r="A4983" t="str">
        <f>"20190312172805300"</f>
        <v>20190312172805300</v>
      </c>
      <c r="B4983" t="str">
        <f>"1552382885294514"</f>
        <v>1552382885294514</v>
      </c>
      <c r="C4983" t="s">
        <v>40</v>
      </c>
      <c r="D4983">
        <v>3.477789</v>
      </c>
      <c r="E4983">
        <v>0.56218239999999997</v>
      </c>
      <c r="F4983" t="s">
        <v>43</v>
      </c>
      <c r="G4983">
        <v>-307.31060000000002</v>
      </c>
      <c r="H4983">
        <v>-0.05</v>
      </c>
      <c r="I4983">
        <v>6.7156070000000003</v>
      </c>
      <c r="J4983">
        <v>-317.89769999999999</v>
      </c>
      <c r="K4983">
        <v>1.0856600000000001</v>
      </c>
      <c r="L4983">
        <v>15.80499</v>
      </c>
      <c r="M4983">
        <v>0.98270449999999998</v>
      </c>
      <c r="N4983">
        <v>0</v>
      </c>
      <c r="O4983">
        <v>-0.18296599999999999</v>
      </c>
      <c r="P4983">
        <v>0.81263490000000005</v>
      </c>
      <c r="Q4983">
        <v>0.1262605</v>
      </c>
      <c r="R4983">
        <v>-0.56893159999999998</v>
      </c>
      <c r="S4983">
        <v>2.3421020000000001</v>
      </c>
      <c r="T4983">
        <v>-0.2474412</v>
      </c>
      <c r="U4983">
        <v>-1.985779</v>
      </c>
      <c r="V4983">
        <v>0.41217510000000002</v>
      </c>
      <c r="W4983">
        <v>0.14760139999999999</v>
      </c>
      <c r="X4983">
        <v>0.89906919999999901</v>
      </c>
      <c r="Y4983">
        <v>0.4951815</v>
      </c>
      <c r="Z4983">
        <v>-6.2329789999999996E-3</v>
      </c>
      <c r="AA4983">
        <v>0.86876719999999896</v>
      </c>
      <c r="AB4983">
        <v>18</v>
      </c>
      <c r="AC4983">
        <v>10.5870999999999</v>
      </c>
      <c r="AD4983">
        <v>-1.1356599999999999</v>
      </c>
      <c r="AE4983">
        <v>-9.0893829999999998</v>
      </c>
      <c r="AF4983">
        <v>6.9519019092513297</v>
      </c>
      <c r="AG4983">
        <v>-1.1356599999999999</v>
      </c>
      <c r="AH4983">
        <v>11.992522142269101</v>
      </c>
      <c r="AI4983">
        <v>94.683628525930004</v>
      </c>
      <c r="AJ4983">
        <v>59.899714002744297</v>
      </c>
      <c r="AK4983">
        <v>13.908243998588301</v>
      </c>
      <c r="AL4983">
        <v>81.512049962027007</v>
      </c>
      <c r="AM4983">
        <v>65.371078570554701</v>
      </c>
      <c r="AN4983">
        <v>0.99999995636530303</v>
      </c>
    </row>
    <row r="4984" spans="1:40" x14ac:dyDescent="0.25">
      <c r="A4984" t="str">
        <f>"20190312172805321"</f>
        <v>20190312172805321</v>
      </c>
      <c r="B4984" t="str">
        <f>"1552382885314033"</f>
        <v>1552382885314033</v>
      </c>
      <c r="C4984" t="s">
        <v>40</v>
      </c>
      <c r="D4984">
        <v>3.5081009999999999</v>
      </c>
      <c r="E4984">
        <v>0.57691910000000002</v>
      </c>
      <c r="F4984" t="s">
        <v>43</v>
      </c>
      <c r="G4984">
        <v>-308.26260000000002</v>
      </c>
      <c r="H4984">
        <v>-0.05</v>
      </c>
      <c r="I4984">
        <v>6.4106449999999997</v>
      </c>
      <c r="J4984">
        <v>-317.72250000000003</v>
      </c>
      <c r="K4984">
        <v>1.0837410000000001</v>
      </c>
      <c r="L4984">
        <v>15.76511</v>
      </c>
      <c r="M4984">
        <v>0.98160959999999997</v>
      </c>
      <c r="N4984">
        <v>0</v>
      </c>
      <c r="O4984">
        <v>-0.18878809999999999</v>
      </c>
      <c r="P4984">
        <v>0.80729050000000002</v>
      </c>
      <c r="Q4984">
        <v>0.1263735</v>
      </c>
      <c r="R4984">
        <v>-0.5764648</v>
      </c>
      <c r="S4984">
        <v>2.2181700000000002</v>
      </c>
      <c r="T4984">
        <v>-0.2614493</v>
      </c>
      <c r="U4984">
        <v>-2.16275</v>
      </c>
      <c r="V4984">
        <v>0.41530099999999998</v>
      </c>
      <c r="W4984">
        <v>0.14719670000000001</v>
      </c>
      <c r="X4984">
        <v>0.89769599999999905</v>
      </c>
      <c r="Y4984">
        <v>0.54908349999999995</v>
      </c>
      <c r="Z4984">
        <v>-8.8362579999999996E-3</v>
      </c>
      <c r="AA4984">
        <v>0.83572080000000004</v>
      </c>
      <c r="AB4984">
        <v>18</v>
      </c>
      <c r="AC4984">
        <v>9.4598999999999993</v>
      </c>
      <c r="AD4984">
        <v>-1.1337409999999899</v>
      </c>
      <c r="AE4984">
        <v>-9.3544649999999994</v>
      </c>
      <c r="AF4984">
        <v>7.3461338874823001</v>
      </c>
      <c r="AG4984">
        <v>-1.1337409999999899</v>
      </c>
      <c r="AH4984">
        <v>10.9766587780686</v>
      </c>
      <c r="AI4984">
        <v>94.906077148046606</v>
      </c>
      <c r="AJ4984">
        <v>56.207565290380202</v>
      </c>
      <c r="AK4984">
        <v>13.256624369651799</v>
      </c>
      <c r="AL4984">
        <v>81.535493573109704</v>
      </c>
      <c r="AM4984">
        <v>65.173328314770004</v>
      </c>
      <c r="AN4984">
        <v>0.99999994875394305</v>
      </c>
    </row>
    <row r="4985" spans="1:40" x14ac:dyDescent="0.25">
      <c r="A4985" t="str">
        <f>"20190312172805334"</f>
        <v>20190312172805334</v>
      </c>
      <c r="B4985" t="str">
        <f>"1552382885324771"</f>
        <v>1552382885324771</v>
      </c>
      <c r="C4985" t="s">
        <v>40</v>
      </c>
      <c r="D4985">
        <v>3.5002010000000001</v>
      </c>
      <c r="E4985">
        <v>0.58026800000000001</v>
      </c>
      <c r="F4985" t="s">
        <v>43</v>
      </c>
      <c r="G4985">
        <v>-307.9667</v>
      </c>
      <c r="H4985">
        <v>-0.05</v>
      </c>
      <c r="I4985">
        <v>5.3159789999999996</v>
      </c>
      <c r="J4985">
        <v>-317.6232</v>
      </c>
      <c r="K4985">
        <v>1.0825929999999999</v>
      </c>
      <c r="L4985">
        <v>15.74197</v>
      </c>
      <c r="M4985">
        <v>0.98094389999999998</v>
      </c>
      <c r="N4985">
        <v>0</v>
      </c>
      <c r="O4985">
        <v>-0.1922507</v>
      </c>
      <c r="P4985">
        <v>0.8042395</v>
      </c>
      <c r="Q4985">
        <v>0.12620719999999999</v>
      </c>
      <c r="R4985">
        <v>-0.58074989999999904</v>
      </c>
      <c r="S4985">
        <v>2.1275940000000002</v>
      </c>
      <c r="T4985">
        <v>-0.2472529</v>
      </c>
      <c r="U4985">
        <v>-2.2788089999999999</v>
      </c>
      <c r="V4985">
        <v>0.41694350000000002</v>
      </c>
      <c r="W4985">
        <v>0.14668210000000001</v>
      </c>
      <c r="X4985">
        <v>0.89701869999999995</v>
      </c>
      <c r="Y4985">
        <v>0.58486329999999997</v>
      </c>
      <c r="Z4985">
        <v>-9.8675740000000005E-3</v>
      </c>
      <c r="AA4985">
        <v>0.81107180000000001</v>
      </c>
      <c r="AB4985">
        <v>18</v>
      </c>
      <c r="AC4985">
        <v>9.6564999999999905</v>
      </c>
      <c r="AD4985">
        <v>-1.132593</v>
      </c>
      <c r="AE4985">
        <v>-10.425991</v>
      </c>
      <c r="AF4985">
        <v>8.32129030338813</v>
      </c>
      <c r="AG4985">
        <v>-1.132593</v>
      </c>
      <c r="AH4985">
        <v>11.4089488206188</v>
      </c>
      <c r="AI4985">
        <v>94.585604173930804</v>
      </c>
      <c r="AJ4985">
        <v>53.894289975404497</v>
      </c>
      <c r="AK4985">
        <v>14.1665363589132</v>
      </c>
      <c r="AL4985">
        <v>81.565302261439797</v>
      </c>
      <c r="AM4985">
        <v>65.070511300229299</v>
      </c>
      <c r="AN4985">
        <v>1.0000000344011699</v>
      </c>
    </row>
    <row r="4986" spans="1:40" x14ac:dyDescent="0.25">
      <c r="A4986" t="str">
        <f>"20190312172805356"</f>
        <v>20190312172805356</v>
      </c>
      <c r="B4986" t="str">
        <f>"1552382885344290"</f>
        <v>1552382885344290</v>
      </c>
      <c r="C4986" t="s">
        <v>40</v>
      </c>
      <c r="D4986">
        <v>3.4817260000000001</v>
      </c>
      <c r="E4986">
        <v>0.58474700000000002</v>
      </c>
      <c r="F4986" t="s">
        <v>43</v>
      </c>
      <c r="G4986">
        <v>-307.77359999999999</v>
      </c>
      <c r="H4986">
        <v>-0.05</v>
      </c>
      <c r="I4986">
        <v>4.8903809999999996</v>
      </c>
      <c r="J4986">
        <v>-317.4588</v>
      </c>
      <c r="K4986">
        <v>1.0806009999999999</v>
      </c>
      <c r="L4986">
        <v>15.702730000000001</v>
      </c>
      <c r="M4986">
        <v>0.97979609999999995</v>
      </c>
      <c r="N4986">
        <v>0</v>
      </c>
      <c r="O4986">
        <v>-0.1980867</v>
      </c>
      <c r="P4986">
        <v>0.79845429999999995</v>
      </c>
      <c r="Q4986">
        <v>0.1263543</v>
      </c>
      <c r="R4986">
        <v>-0.58864749999999999</v>
      </c>
      <c r="S4986">
        <v>2.098541</v>
      </c>
      <c r="T4986">
        <v>-0.24130740000000001</v>
      </c>
      <c r="U4986">
        <v>-2.3120120000000002</v>
      </c>
      <c r="V4986">
        <v>0.42052050000000002</v>
      </c>
      <c r="W4986">
        <v>0.14612410000000001</v>
      </c>
      <c r="X4986">
        <v>0.89543859999999997</v>
      </c>
      <c r="Y4986">
        <v>0.59147359999999904</v>
      </c>
      <c r="Z4986">
        <v>-9.4787650000000001E-3</v>
      </c>
      <c r="AA4986">
        <v>0.8062686</v>
      </c>
      <c r="AB4986">
        <v>18</v>
      </c>
      <c r="AC4986">
        <v>9.6852</v>
      </c>
      <c r="AD4986">
        <v>-1.130601</v>
      </c>
      <c r="AE4986">
        <v>-10.812348999999999</v>
      </c>
      <c r="AF4986">
        <v>8.6263608182209701</v>
      </c>
      <c r="AG4986">
        <v>-1.130601</v>
      </c>
      <c r="AH4986">
        <v>11.5655716849299</v>
      </c>
      <c r="AI4986">
        <v>94.480531728956294</v>
      </c>
      <c r="AJ4986">
        <v>53.282012974736297</v>
      </c>
      <c r="AK4986">
        <v>14.472553609732801</v>
      </c>
      <c r="AL4986">
        <v>81.597621380848196</v>
      </c>
      <c r="AM4986">
        <v>64.844068709733406</v>
      </c>
      <c r="AN4986">
        <v>1.0000000149455099</v>
      </c>
    </row>
    <row r="4987" spans="1:40" x14ac:dyDescent="0.25">
      <c r="A4987" t="str">
        <f>"20190312172805368"</f>
        <v>20190312172805368</v>
      </c>
      <c r="B4987" t="str">
        <f>"1552382885364786"</f>
        <v>1552382885364786</v>
      </c>
      <c r="C4987" t="s">
        <v>40</v>
      </c>
      <c r="D4987">
        <v>3.493017</v>
      </c>
      <c r="E4987">
        <v>0.58710490000000004</v>
      </c>
      <c r="F4987" t="s">
        <v>43</v>
      </c>
      <c r="G4987">
        <v>-307.5378</v>
      </c>
      <c r="H4987">
        <v>-0.05</v>
      </c>
      <c r="I4987">
        <v>4.2878569999999998</v>
      </c>
      <c r="J4987">
        <v>-317.35770000000002</v>
      </c>
      <c r="K4987">
        <v>1.079331</v>
      </c>
      <c r="L4987">
        <v>15.678100000000001</v>
      </c>
      <c r="M4987">
        <v>0.97907279999999997</v>
      </c>
      <c r="N4987">
        <v>0</v>
      </c>
      <c r="O4987">
        <v>-0.20168</v>
      </c>
      <c r="P4987">
        <v>0.79517850000000001</v>
      </c>
      <c r="Q4987">
        <v>0.12665779999999999</v>
      </c>
      <c r="R4987">
        <v>-0.59299999999999997</v>
      </c>
      <c r="S4987">
        <v>2.0529169999999999</v>
      </c>
      <c r="T4987">
        <v>-0.2339503</v>
      </c>
      <c r="U4987">
        <v>-2.3620299999999999</v>
      </c>
      <c r="V4987">
        <v>0.42218169999999999</v>
      </c>
      <c r="W4987">
        <v>0.14595520000000001</v>
      </c>
      <c r="X4987">
        <v>0.89468409999999998</v>
      </c>
      <c r="Y4987">
        <v>0.60582040000000004</v>
      </c>
      <c r="Z4987">
        <v>-9.6110320000000003E-3</v>
      </c>
      <c r="AA4987">
        <v>0.79554340000000001</v>
      </c>
      <c r="AB4987">
        <v>18</v>
      </c>
      <c r="AC4987">
        <v>9.8199000000000094</v>
      </c>
      <c r="AD4987">
        <v>-1.1293309999999901</v>
      </c>
      <c r="AE4987">
        <v>-11.390243</v>
      </c>
      <c r="AF4987">
        <v>9.1233547828701003</v>
      </c>
      <c r="AG4987">
        <v>-1.1293309999999901</v>
      </c>
      <c r="AH4987">
        <v>11.849181710478501</v>
      </c>
      <c r="AI4987">
        <v>94.318638452375097</v>
      </c>
      <c r="AJ4987">
        <v>52.405292631403398</v>
      </c>
      <c r="AK4987">
        <v>14.997136333634501</v>
      </c>
      <c r="AL4987">
        <v>81.607403164414293</v>
      </c>
      <c r="AM4987">
        <v>64.738408592848799</v>
      </c>
      <c r="AN4987">
        <v>0.99999997350736902</v>
      </c>
    </row>
    <row r="4988" spans="1:40" x14ac:dyDescent="0.25">
      <c r="A4988" t="str">
        <f>"20190312172805380"</f>
        <v>20190312172805380</v>
      </c>
      <c r="B4988" t="str">
        <f>"1552382885374546"</f>
        <v>1552382885374546</v>
      </c>
      <c r="C4988" t="s">
        <v>40</v>
      </c>
      <c r="D4988">
        <v>3.4877690000000001</v>
      </c>
      <c r="E4988">
        <v>0.58800569999999996</v>
      </c>
      <c r="F4988" t="s">
        <v>43</v>
      </c>
      <c r="G4988">
        <v>-307.44420000000002</v>
      </c>
      <c r="H4988">
        <v>-0.05</v>
      </c>
      <c r="I4988">
        <v>4.001144</v>
      </c>
      <c r="J4988">
        <v>-317.26139999999998</v>
      </c>
      <c r="K4988">
        <v>1.078106</v>
      </c>
      <c r="L4988">
        <v>15.653930000000001</v>
      </c>
      <c r="M4988">
        <v>0.9783712</v>
      </c>
      <c r="N4988">
        <v>0</v>
      </c>
      <c r="O4988">
        <v>-0.20511280000000001</v>
      </c>
      <c r="P4988">
        <v>0.7917978</v>
      </c>
      <c r="Q4988">
        <v>0.12731029999999999</v>
      </c>
      <c r="R4988">
        <v>-0.5973678</v>
      </c>
      <c r="S4988">
        <v>2.028076</v>
      </c>
      <c r="T4988">
        <v>-0.23103689999999999</v>
      </c>
      <c r="U4988">
        <v>-2.388855</v>
      </c>
      <c r="V4988">
        <v>0.42402479999999998</v>
      </c>
      <c r="W4988">
        <v>0.14610999999999999</v>
      </c>
      <c r="X4988">
        <v>0.89378679999999999</v>
      </c>
      <c r="Y4988">
        <v>0.61225680000000005</v>
      </c>
      <c r="Z4988">
        <v>-9.5348619999999999E-3</v>
      </c>
      <c r="AA4988">
        <v>0.79060160000000002</v>
      </c>
      <c r="AB4988">
        <v>18</v>
      </c>
      <c r="AC4988">
        <v>9.81719999999995</v>
      </c>
      <c r="AD4988">
        <v>-1.1281060000000001</v>
      </c>
      <c r="AE4988">
        <v>-11.652786000000001</v>
      </c>
      <c r="AF4988">
        <v>9.3392973186534505</v>
      </c>
      <c r="AG4988">
        <v>-1.1281060000000001</v>
      </c>
      <c r="AH4988">
        <v>11.9338967914194</v>
      </c>
      <c r="AI4988">
        <v>94.257435590008697</v>
      </c>
      <c r="AJ4988">
        <v>51.953773551405</v>
      </c>
      <c r="AK4988">
        <v>15.1958214711049</v>
      </c>
      <c r="AL4988">
        <v>81.598437919035007</v>
      </c>
      <c r="AM4988">
        <v>64.619691509743902</v>
      </c>
      <c r="AN4988">
        <v>1.0000000034846399</v>
      </c>
    </row>
    <row r="4989" spans="1:40" x14ac:dyDescent="0.25">
      <c r="A4989" t="str">
        <f>"20190312172805399"</f>
        <v>20190312172805399</v>
      </c>
      <c r="B4989" t="str">
        <f>"1552382885394069"</f>
        <v>1552382885394069</v>
      </c>
      <c r="C4989" t="s">
        <v>40</v>
      </c>
      <c r="D4989">
        <v>3.505423</v>
      </c>
      <c r="E4989">
        <v>0.58919160000000004</v>
      </c>
      <c r="F4989" t="s">
        <v>43</v>
      </c>
      <c r="G4989">
        <v>-307.32650000000001</v>
      </c>
      <c r="H4989">
        <v>-0.05</v>
      </c>
      <c r="I4989">
        <v>3.7602690000000001</v>
      </c>
      <c r="J4989">
        <v>-317.11320000000001</v>
      </c>
      <c r="K4989">
        <v>1.0762590000000001</v>
      </c>
      <c r="L4989">
        <v>15.61594</v>
      </c>
      <c r="M4989">
        <v>0.97723599999999999</v>
      </c>
      <c r="N4989">
        <v>0</v>
      </c>
      <c r="O4989">
        <v>-0.2105456</v>
      </c>
      <c r="P4989">
        <v>0.78565119999999999</v>
      </c>
      <c r="Q4989">
        <v>0.12731199999999901</v>
      </c>
      <c r="R4989">
        <v>-0.60542910000000005</v>
      </c>
      <c r="S4989">
        <v>2.0100709999999999</v>
      </c>
      <c r="T4989">
        <v>-0.22824249999999999</v>
      </c>
      <c r="U4989">
        <v>-2.4063720000000002</v>
      </c>
      <c r="V4989">
        <v>0.42821189999999998</v>
      </c>
      <c r="W4989">
        <v>0.14533489999999999</v>
      </c>
      <c r="X4989">
        <v>0.89191500000000001</v>
      </c>
      <c r="Y4989">
        <v>0.61422010000000005</v>
      </c>
      <c r="Z4989">
        <v>-9.0894099999999992E-3</v>
      </c>
      <c r="AA4989">
        <v>0.78908250000000002</v>
      </c>
      <c r="AB4989">
        <v>18</v>
      </c>
      <c r="AC4989">
        <v>9.7866999999999909</v>
      </c>
      <c r="AD4989">
        <v>-1.1262589999999999</v>
      </c>
      <c r="AE4989">
        <v>-11.855670999999999</v>
      </c>
      <c r="AF4989">
        <v>9.4776157520471607</v>
      </c>
      <c r="AG4989">
        <v>-1.1262589999999999</v>
      </c>
      <c r="AH4989">
        <v>11.9997746514798</v>
      </c>
      <c r="AI4989">
        <v>94.212469514243296</v>
      </c>
      <c r="AJ4989">
        <v>51.697751149514801</v>
      </c>
      <c r="AK4989">
        <v>15.3325878887039</v>
      </c>
      <c r="AL4989">
        <v>81.643327151281099</v>
      </c>
      <c r="AM4989">
        <v>64.354154514421296</v>
      </c>
      <c r="AN4989">
        <v>1.0000000158423099</v>
      </c>
    </row>
    <row r="4990" spans="1:40" x14ac:dyDescent="0.25">
      <c r="A4990" t="str">
        <f>"20190312172805411"</f>
        <v>20190312172805411</v>
      </c>
      <c r="B4990" t="str">
        <f>"1552382885404802"</f>
        <v>1552382885404802</v>
      </c>
      <c r="C4990" t="s">
        <v>40</v>
      </c>
      <c r="D4990">
        <v>3.4842219999999999</v>
      </c>
      <c r="E4990">
        <v>0.58954359999999995</v>
      </c>
      <c r="F4990" t="s">
        <v>43</v>
      </c>
      <c r="G4990">
        <v>-307.30990000000003</v>
      </c>
      <c r="H4990">
        <v>-0.05</v>
      </c>
      <c r="I4990">
        <v>3.5548860000000002</v>
      </c>
      <c r="J4990">
        <v>-317.02280000000002</v>
      </c>
      <c r="K4990">
        <v>1.075172</v>
      </c>
      <c r="L4990">
        <v>15.59235</v>
      </c>
      <c r="M4990">
        <v>0.97650300000000001</v>
      </c>
      <c r="N4990">
        <v>0</v>
      </c>
      <c r="O4990">
        <v>-0.2139749</v>
      </c>
      <c r="P4990">
        <v>0.78195800000000004</v>
      </c>
      <c r="Q4990">
        <v>0.12756780000000001</v>
      </c>
      <c r="R4990">
        <v>-0.61013790000000001</v>
      </c>
      <c r="S4990">
        <v>1.979034</v>
      </c>
      <c r="T4990">
        <v>-0.2273626</v>
      </c>
      <c r="U4990">
        <v>-2.4348139999999998</v>
      </c>
      <c r="V4990">
        <v>0.4304463</v>
      </c>
      <c r="W4990">
        <v>0.14514569999999999</v>
      </c>
      <c r="X4990">
        <v>0.89086960000000004</v>
      </c>
      <c r="Y4990">
        <v>0.62199099999999996</v>
      </c>
      <c r="Z4990">
        <v>-9.1728910000000007E-3</v>
      </c>
      <c r="AA4990">
        <v>0.78297069999999902</v>
      </c>
      <c r="AB4990">
        <v>18</v>
      </c>
      <c r="AC4990">
        <v>9.7128999999999905</v>
      </c>
      <c r="AD4990">
        <v>-1.1251719999999901</v>
      </c>
      <c r="AE4990">
        <v>-12.037464</v>
      </c>
      <c r="AF4990">
        <v>9.6285292406020595</v>
      </c>
      <c r="AG4990">
        <v>-1.1251719999999901</v>
      </c>
      <c r="AH4990">
        <v>12.000846806926701</v>
      </c>
      <c r="AI4990">
        <v>94.182572750540302</v>
      </c>
      <c r="AJ4990">
        <v>51.2592023043564</v>
      </c>
      <c r="AK4990">
        <v>15.4270836988083</v>
      </c>
      <c r="AL4990">
        <v>81.654283287531001</v>
      </c>
      <c r="AM4990">
        <v>64.211307977694702</v>
      </c>
      <c r="AN4990">
        <v>0.99999996780816902</v>
      </c>
    </row>
    <row r="4991" spans="1:40" x14ac:dyDescent="0.25">
      <c r="A4991" t="str">
        <f>"20190312172805422"</f>
        <v>20190312172805422</v>
      </c>
      <c r="B4991" t="str">
        <f>"1552382885414562"</f>
        <v>1552382885414562</v>
      </c>
      <c r="C4991" t="s">
        <v>40</v>
      </c>
      <c r="D4991">
        <v>3.5015399999999999</v>
      </c>
      <c r="E4991">
        <v>0.58989669999999905</v>
      </c>
      <c r="F4991" t="s">
        <v>43</v>
      </c>
      <c r="G4991">
        <v>-307.25940000000003</v>
      </c>
      <c r="H4991">
        <v>-0.05</v>
      </c>
      <c r="I4991">
        <v>3.4082340000000002</v>
      </c>
      <c r="J4991">
        <v>-316.9348</v>
      </c>
      <c r="K4991">
        <v>1.0741560000000001</v>
      </c>
      <c r="L4991">
        <v>15.568849999999999</v>
      </c>
      <c r="M4991">
        <v>0.97574229999999995</v>
      </c>
      <c r="N4991">
        <v>0</v>
      </c>
      <c r="O4991">
        <v>-0.21747240000000001</v>
      </c>
      <c r="P4991">
        <v>0.77818659999999995</v>
      </c>
      <c r="Q4991">
        <v>0.1277615</v>
      </c>
      <c r="R4991">
        <v>-0.61490049999999996</v>
      </c>
      <c r="S4991">
        <v>1.962494</v>
      </c>
      <c r="T4991">
        <v>-0.22616520000000001</v>
      </c>
      <c r="U4991">
        <v>-2.4490660000000002</v>
      </c>
      <c r="V4991">
        <v>0.43268289999999998</v>
      </c>
      <c r="W4991">
        <v>0.1449348</v>
      </c>
      <c r="X4991">
        <v>0.8898199</v>
      </c>
      <c r="Y4991">
        <v>0.6246408</v>
      </c>
      <c r="Z4991">
        <v>-8.9851619999999997E-3</v>
      </c>
      <c r="AA4991">
        <v>0.78086049999999996</v>
      </c>
      <c r="AB4991">
        <v>18</v>
      </c>
      <c r="AC4991">
        <v>9.6753999999999607</v>
      </c>
      <c r="AD4991">
        <v>-1.1241559999999999</v>
      </c>
      <c r="AE4991">
        <v>-12.160615999999999</v>
      </c>
      <c r="AF4991">
        <v>9.7137529530020803</v>
      </c>
      <c r="AG4991">
        <v>-1.1241559999999999</v>
      </c>
      <c r="AH4991">
        <v>12.026188022447601</v>
      </c>
      <c r="AI4991">
        <v>94.159097098977995</v>
      </c>
      <c r="AJ4991">
        <v>51.071610470673001</v>
      </c>
      <c r="AK4991">
        <v>15.4999974675983</v>
      </c>
      <c r="AL4991">
        <v>81.666496558323303</v>
      </c>
      <c r="AM4991">
        <v>64.068246877646502</v>
      </c>
      <c r="AN4991">
        <v>1.00000002131972</v>
      </c>
    </row>
    <row r="4992" spans="1:40" x14ac:dyDescent="0.25">
      <c r="A4992" t="str">
        <f>"20190312172805434"</f>
        <v>20190312172805434</v>
      </c>
      <c r="B4992" t="str">
        <f>"1552382885424322"</f>
        <v>1552382885424322</v>
      </c>
      <c r="C4992" t="s">
        <v>40</v>
      </c>
      <c r="D4992">
        <v>3.4993560000000001</v>
      </c>
      <c r="E4992">
        <v>0.59017569999999997</v>
      </c>
      <c r="F4992" t="s">
        <v>43</v>
      </c>
      <c r="G4992">
        <v>-307.22730000000001</v>
      </c>
      <c r="H4992">
        <v>-0.05</v>
      </c>
      <c r="I4992">
        <v>3.2772220000000001</v>
      </c>
      <c r="J4992">
        <v>-316.84829999999999</v>
      </c>
      <c r="K4992">
        <v>1.0731820000000001</v>
      </c>
      <c r="L4992">
        <v>15.5453799999999</v>
      </c>
      <c r="M4992">
        <v>0.9749603</v>
      </c>
      <c r="N4992">
        <v>0</v>
      </c>
      <c r="O4992">
        <v>-0.2210049</v>
      </c>
      <c r="P4992">
        <v>0.77432699999999999</v>
      </c>
      <c r="Q4992">
        <v>0.12784110000000001</v>
      </c>
      <c r="R4992">
        <v>-0.61973730000000005</v>
      </c>
      <c r="S4992">
        <v>1.945557</v>
      </c>
      <c r="T4992">
        <v>-0.22529850000000001</v>
      </c>
      <c r="U4992">
        <v>-2.4634399999999999</v>
      </c>
      <c r="V4992">
        <v>0.43498579999999998</v>
      </c>
      <c r="W4992">
        <v>0.14462340000000001</v>
      </c>
      <c r="X4992">
        <v>0.88874709999999901</v>
      </c>
      <c r="Y4992">
        <v>0.62734369999999995</v>
      </c>
      <c r="Z4992">
        <v>-8.8118309999999991E-3</v>
      </c>
      <c r="AA4992">
        <v>0.77869270000000002</v>
      </c>
      <c r="AB4992">
        <v>18</v>
      </c>
      <c r="AC4992">
        <v>9.6209999999999791</v>
      </c>
      <c r="AD4992">
        <v>-1.1231819999999999</v>
      </c>
      <c r="AE4992">
        <v>-12.2681579999999</v>
      </c>
      <c r="AF4992">
        <v>9.7868822879995392</v>
      </c>
      <c r="AG4992">
        <v>-1.1231819999999999</v>
      </c>
      <c r="AH4992">
        <v>12.0326517543782</v>
      </c>
      <c r="AI4992">
        <v>94.141871450882206</v>
      </c>
      <c r="AJ4992">
        <v>50.876459695395702</v>
      </c>
      <c r="AK4992">
        <v>15.550862065056799</v>
      </c>
      <c r="AL4992">
        <v>81.684528192897801</v>
      </c>
      <c r="AM4992">
        <v>63.921159358492297</v>
      </c>
      <c r="AN4992">
        <v>0.99999999089380398</v>
      </c>
    </row>
    <row r="4993" spans="1:40" x14ac:dyDescent="0.25">
      <c r="A4993" t="str">
        <f>"20190312172805445"</f>
        <v>20190312172805445</v>
      </c>
      <c r="B4993" t="str">
        <f>"1552382885434083"</f>
        <v>1552382885434083</v>
      </c>
      <c r="C4993" t="s">
        <v>40</v>
      </c>
      <c r="D4993">
        <v>3.5181429999999998</v>
      </c>
      <c r="E4993">
        <v>0.59024519999999903</v>
      </c>
      <c r="F4993" t="s">
        <v>43</v>
      </c>
      <c r="G4993">
        <v>-307.18200000000002</v>
      </c>
      <c r="H4993">
        <v>-0.05</v>
      </c>
      <c r="I4993">
        <v>3.1316830000000002</v>
      </c>
      <c r="J4993">
        <v>-316.75490000000002</v>
      </c>
      <c r="K4993">
        <v>1.072152</v>
      </c>
      <c r="L4993">
        <v>15.51971</v>
      </c>
      <c r="M4993">
        <v>0.97408070000000002</v>
      </c>
      <c r="N4993">
        <v>0</v>
      </c>
      <c r="O4993">
        <v>-0.2249051</v>
      </c>
      <c r="P4993">
        <v>0.77028759999999996</v>
      </c>
      <c r="Q4993">
        <v>0.12797210000000001</v>
      </c>
      <c r="R4993">
        <v>-0.62472459999999996</v>
      </c>
      <c r="S4993">
        <v>1.928833</v>
      </c>
      <c r="T4993">
        <v>-0.2241215</v>
      </c>
      <c r="U4993">
        <v>-2.4770509999999999</v>
      </c>
      <c r="V4993">
        <v>0.43714570000000003</v>
      </c>
      <c r="W4993">
        <v>0.144348799999999</v>
      </c>
      <c r="X4993">
        <v>0.88773139999999995</v>
      </c>
      <c r="Y4993">
        <v>0.62958809999999998</v>
      </c>
      <c r="Z4993">
        <v>-8.5770800000000008E-3</v>
      </c>
      <c r="AA4993">
        <v>0.77688179999999996</v>
      </c>
      <c r="AB4993">
        <v>18</v>
      </c>
      <c r="AC4993">
        <v>9.5729000000000006</v>
      </c>
      <c r="AD4993">
        <v>-1.122152</v>
      </c>
      <c r="AE4993">
        <v>-12.388026999999999</v>
      </c>
      <c r="AF4993">
        <v>9.8661549494196805</v>
      </c>
      <c r="AG4993">
        <v>-1.122152</v>
      </c>
      <c r="AH4993">
        <v>12.052528342471099</v>
      </c>
      <c r="AI4993">
        <v>94.120740129702895</v>
      </c>
      <c r="AJ4993">
        <v>50.696371152456301</v>
      </c>
      <c r="AK4993">
        <v>15.616135182660599</v>
      </c>
      <c r="AL4993">
        <v>81.700428440987906</v>
      </c>
      <c r="AM4993">
        <v>63.782975058016</v>
      </c>
      <c r="AN4993">
        <v>0.99999998881794405</v>
      </c>
    </row>
    <row r="4994" spans="1:40" x14ac:dyDescent="0.25">
      <c r="A4994" t="str">
        <f>"20190312172805458"</f>
        <v>20190312172805458</v>
      </c>
      <c r="B4994" t="str">
        <f>"1552382885454579"</f>
        <v>1552382885454579</v>
      </c>
      <c r="C4994" t="s">
        <v>40</v>
      </c>
      <c r="D4994">
        <v>3.5416310000000002</v>
      </c>
      <c r="E4994">
        <v>0.5905629</v>
      </c>
      <c r="F4994" t="s">
        <v>43</v>
      </c>
      <c r="G4994">
        <v>-307.1694</v>
      </c>
      <c r="H4994">
        <v>-0.05</v>
      </c>
      <c r="I4994">
        <v>3.0409999999999999</v>
      </c>
      <c r="J4994">
        <v>-316.66000000000003</v>
      </c>
      <c r="K4994">
        <v>1.0711310000000001</v>
      </c>
      <c r="L4994">
        <v>15.49301</v>
      </c>
      <c r="M4994">
        <v>0.9731573</v>
      </c>
      <c r="N4994">
        <v>0</v>
      </c>
      <c r="O4994">
        <v>-0.22892129999999999</v>
      </c>
      <c r="P4994">
        <v>0.76605979999999996</v>
      </c>
      <c r="Q4994">
        <v>0.12810360000000001</v>
      </c>
      <c r="R4994">
        <v>-0.62987439999999995</v>
      </c>
      <c r="S4994">
        <v>1.9125369999999999</v>
      </c>
      <c r="T4994">
        <v>-0.2238967</v>
      </c>
      <c r="U4994">
        <v>-2.4898069999999999</v>
      </c>
      <c r="V4994">
        <v>0.4394189</v>
      </c>
      <c r="W4994">
        <v>0.14404919999999999</v>
      </c>
      <c r="X4994">
        <v>0.88665720000000003</v>
      </c>
      <c r="Y4994">
        <v>0.63151119999999905</v>
      </c>
      <c r="Z4994">
        <v>-8.3552560000000001E-3</v>
      </c>
      <c r="AA4994">
        <v>0.77532179999999995</v>
      </c>
      <c r="AB4994">
        <v>18</v>
      </c>
      <c r="AC4994">
        <v>9.4906000000000201</v>
      </c>
      <c r="AD4994">
        <v>-1.1211309999999901</v>
      </c>
      <c r="AE4994">
        <v>-12.45201</v>
      </c>
      <c r="AF4994">
        <v>9.8971989403804006</v>
      </c>
      <c r="AG4994">
        <v>-1.1211309999999901</v>
      </c>
      <c r="AH4994">
        <v>12.0280850296196</v>
      </c>
      <c r="AI4994">
        <v>94.116793003470605</v>
      </c>
      <c r="AJ4994">
        <v>50.551058603775502</v>
      </c>
      <c r="AK4994">
        <v>15.616859833666499</v>
      </c>
      <c r="AL4994">
        <v>81.7177762003098</v>
      </c>
      <c r="AM4994">
        <v>63.637420920849102</v>
      </c>
      <c r="AN4994">
        <v>1.00000006600484</v>
      </c>
    </row>
    <row r="4995" spans="1:40" x14ac:dyDescent="0.25">
      <c r="A4995" t="str">
        <f>"20190312172805477"</f>
        <v>20190312172805477</v>
      </c>
      <c r="B4995" t="str">
        <f>"1552382885474098"</f>
        <v>1552382885474098</v>
      </c>
      <c r="C4995" t="s">
        <v>40</v>
      </c>
      <c r="D4995">
        <v>3.5293519999999998</v>
      </c>
      <c r="E4995">
        <v>0.59056030000000004</v>
      </c>
      <c r="F4995" t="s">
        <v>43</v>
      </c>
      <c r="G4995">
        <v>-307.15300000000002</v>
      </c>
      <c r="H4995">
        <v>-0.05</v>
      </c>
      <c r="I4995">
        <v>2.9203640000000002</v>
      </c>
      <c r="J4995">
        <v>-316.51609999999999</v>
      </c>
      <c r="K4995">
        <v>1.0696159999999999</v>
      </c>
      <c r="L4995">
        <v>15.45172</v>
      </c>
      <c r="M4995">
        <v>0.97172449999999999</v>
      </c>
      <c r="N4995">
        <v>0</v>
      </c>
      <c r="O4995">
        <v>-0.23500699999999999</v>
      </c>
      <c r="P4995">
        <v>0.75924939999999996</v>
      </c>
      <c r="Q4995">
        <v>0.1283861</v>
      </c>
      <c r="R4995">
        <v>-0.63801090000000005</v>
      </c>
      <c r="S4995">
        <v>1.8940429999999999</v>
      </c>
      <c r="T4995">
        <v>-0.2233579</v>
      </c>
      <c r="U4995">
        <v>-2.504791</v>
      </c>
      <c r="V4995">
        <v>0.44331660000000001</v>
      </c>
      <c r="W4995">
        <v>0.14364569999999999</v>
      </c>
      <c r="X4995">
        <v>0.88478029999999996</v>
      </c>
      <c r="Y4995">
        <v>0.63255419999999996</v>
      </c>
      <c r="Z4995">
        <v>-7.9166959999999904E-3</v>
      </c>
      <c r="AA4995">
        <v>0.77447559999999904</v>
      </c>
      <c r="AB4995">
        <v>18</v>
      </c>
      <c r="AC4995">
        <v>9.3630999999999691</v>
      </c>
      <c r="AD4995">
        <v>-1.1196159999999999</v>
      </c>
      <c r="AE4995">
        <v>-12.531356000000001</v>
      </c>
      <c r="AF4995">
        <v>9.9283823232948105</v>
      </c>
      <c r="AG4995">
        <v>-1.1196159999999999</v>
      </c>
      <c r="AH4995">
        <v>11.985065836097</v>
      </c>
      <c r="AI4995">
        <v>94.114755726166607</v>
      </c>
      <c r="AJ4995">
        <v>50.361780425670503</v>
      </c>
      <c r="AK4995">
        <v>15.603464956238</v>
      </c>
      <c r="AL4995">
        <v>81.741136939822894</v>
      </c>
      <c r="AM4995">
        <v>63.386973578272602</v>
      </c>
      <c r="AN4995">
        <v>0.99999993711606805</v>
      </c>
    </row>
    <row r="4996" spans="1:40" x14ac:dyDescent="0.25">
      <c r="A4996" t="str">
        <f>"20190312172805491"</f>
        <v>20190312172805491</v>
      </c>
      <c r="B4996" t="str">
        <f>"1552382885484835"</f>
        <v>1552382885484835</v>
      </c>
      <c r="C4996" t="s">
        <v>40</v>
      </c>
      <c r="D4996">
        <v>3.4703650000000001</v>
      </c>
      <c r="E4996">
        <v>0.59049419999999897</v>
      </c>
      <c r="F4996" t="s">
        <v>43</v>
      </c>
      <c r="G4996">
        <v>-307.06650000000002</v>
      </c>
      <c r="H4996">
        <v>-0.05</v>
      </c>
      <c r="I4996">
        <v>2.669708</v>
      </c>
      <c r="J4996">
        <v>-316.41129999999998</v>
      </c>
      <c r="K4996">
        <v>1.068543</v>
      </c>
      <c r="L4996">
        <v>15.42102</v>
      </c>
      <c r="M4996">
        <v>0.97066249999999998</v>
      </c>
      <c r="N4996">
        <v>0</v>
      </c>
      <c r="O4996">
        <v>-0.23940839999999999</v>
      </c>
      <c r="P4996">
        <v>0.75485800000000003</v>
      </c>
      <c r="Q4996">
        <v>0.1287094</v>
      </c>
      <c r="R4996">
        <v>-0.64313569999999998</v>
      </c>
      <c r="S4996">
        <v>1.8667910000000001</v>
      </c>
      <c r="T4996">
        <v>-0.22118280000000001</v>
      </c>
      <c r="U4996">
        <v>-2.5251160000000001</v>
      </c>
      <c r="V4996">
        <v>0.44529839999999998</v>
      </c>
      <c r="W4996">
        <v>0.1434763</v>
      </c>
      <c r="X4996">
        <v>0.88381209999999899</v>
      </c>
      <c r="Y4996">
        <v>0.63743309999999997</v>
      </c>
      <c r="Z4996">
        <v>-7.7467619999999999E-3</v>
      </c>
      <c r="AA4996">
        <v>0.77046680000000001</v>
      </c>
      <c r="AB4996">
        <v>18</v>
      </c>
      <c r="AC4996">
        <v>9.3447999999999602</v>
      </c>
      <c r="AD4996">
        <v>-1.1185430000000001</v>
      </c>
      <c r="AE4996">
        <v>-12.751311999999899</v>
      </c>
      <c r="AF4996">
        <v>10.0920003369899</v>
      </c>
      <c r="AG4996">
        <v>-1.1185430000000001</v>
      </c>
      <c r="AH4996">
        <v>12.066033421188999</v>
      </c>
      <c r="AI4996">
        <v>94.067354754575902</v>
      </c>
      <c r="AJ4996">
        <v>50.090973075688801</v>
      </c>
      <c r="AK4996">
        <v>15.7698691106142</v>
      </c>
      <c r="AL4996">
        <v>81.750944717430201</v>
      </c>
      <c r="AM4996">
        <v>63.2592836382331</v>
      </c>
      <c r="AN4996">
        <v>0.99999997090532899</v>
      </c>
    </row>
    <row r="4997" spans="1:40" x14ac:dyDescent="0.25">
      <c r="A4997" t="str">
        <f>"20190312172805512"</f>
        <v>20190312172805512</v>
      </c>
      <c r="B4997" t="str">
        <f>"1552382885504354"</f>
        <v>1552382885504354</v>
      </c>
      <c r="C4997" t="s">
        <v>40</v>
      </c>
      <c r="D4997">
        <v>3.4760930000000001</v>
      </c>
      <c r="E4997">
        <v>0.59024949999999998</v>
      </c>
      <c r="F4997" t="s">
        <v>43</v>
      </c>
      <c r="G4997">
        <v>-307.0197</v>
      </c>
      <c r="H4997">
        <v>-0.05</v>
      </c>
      <c r="I4997">
        <v>2.5396420000000002</v>
      </c>
      <c r="J4997">
        <v>-316.25080000000003</v>
      </c>
      <c r="K4997">
        <v>1.067015</v>
      </c>
      <c r="L4997">
        <v>15.372680000000001</v>
      </c>
      <c r="M4997">
        <v>0.96901190000000004</v>
      </c>
      <c r="N4997">
        <v>0</v>
      </c>
      <c r="O4997">
        <v>-0.24607889999999999</v>
      </c>
      <c r="P4997">
        <v>0.74727209999999999</v>
      </c>
      <c r="Q4997">
        <v>0.12907099999999999</v>
      </c>
      <c r="R4997">
        <v>-0.65186290000000002</v>
      </c>
      <c r="S4997">
        <v>1.8499760000000001</v>
      </c>
      <c r="T4997">
        <v>-0.2203338</v>
      </c>
      <c r="U4997">
        <v>-2.5374150000000002</v>
      </c>
      <c r="V4997">
        <v>0.44948860000000002</v>
      </c>
      <c r="W4997">
        <v>0.14307609999999901</v>
      </c>
      <c r="X4997">
        <v>0.88175349999999997</v>
      </c>
      <c r="Y4997">
        <v>0.63727309999999904</v>
      </c>
      <c r="Z4997">
        <v>-7.1995999999999996E-3</v>
      </c>
      <c r="AA4997">
        <v>0.77060439999999997</v>
      </c>
      <c r="AB4997">
        <v>18</v>
      </c>
      <c r="AC4997">
        <v>9.2311000000000192</v>
      </c>
      <c r="AD4997">
        <v>-1.1170149999999901</v>
      </c>
      <c r="AE4997">
        <v>-12.833037999999901</v>
      </c>
      <c r="AF4997">
        <v>10.1156255745544</v>
      </c>
      <c r="AG4997">
        <v>-1.1170149999999901</v>
      </c>
      <c r="AH4997">
        <v>12.045634532756599</v>
      </c>
      <c r="AI4997">
        <v>94.061935241283507</v>
      </c>
      <c r="AJ4997">
        <v>49.977292025062297</v>
      </c>
      <c r="AK4997">
        <v>15.7693029196456</v>
      </c>
      <c r="AL4997">
        <v>81.774113796491093</v>
      </c>
      <c r="AM4997">
        <v>62.9890259334475</v>
      </c>
      <c r="AN4997">
        <v>1.0000000033417</v>
      </c>
    </row>
    <row r="4998" spans="1:40" x14ac:dyDescent="0.25">
      <c r="A4998" t="str">
        <f>"20190312172805533"</f>
        <v>20190312172805533</v>
      </c>
      <c r="B4998" t="str">
        <f>"1552382885524850"</f>
        <v>1552382885524850</v>
      </c>
      <c r="C4998" t="s">
        <v>40</v>
      </c>
      <c r="D4998">
        <v>3.4925410000000001</v>
      </c>
      <c r="E4998">
        <v>0.5898793</v>
      </c>
      <c r="F4998" t="s">
        <v>43</v>
      </c>
      <c r="G4998">
        <v>-306.97570000000002</v>
      </c>
      <c r="H4998">
        <v>-0.05</v>
      </c>
      <c r="I4998">
        <v>2.3485260000000001</v>
      </c>
      <c r="J4998">
        <v>-316.0847</v>
      </c>
      <c r="K4998">
        <v>1.065609</v>
      </c>
      <c r="L4998">
        <v>15.32114</v>
      </c>
      <c r="M4998">
        <v>0.96724589999999999</v>
      </c>
      <c r="N4998">
        <v>0</v>
      </c>
      <c r="O4998">
        <v>-0.2529998</v>
      </c>
      <c r="P4998">
        <v>0.73938760000000003</v>
      </c>
      <c r="Q4998">
        <v>0.12946630000000001</v>
      </c>
      <c r="R4998">
        <v>-0.66071530000000001</v>
      </c>
      <c r="S4998">
        <v>1.8214109999999999</v>
      </c>
      <c r="T4998">
        <v>-0.21935379999999999</v>
      </c>
      <c r="U4998">
        <v>-2.557617</v>
      </c>
      <c r="V4998">
        <v>0.45367730000000001</v>
      </c>
      <c r="W4998">
        <v>0.14276510000000001</v>
      </c>
      <c r="X4998">
        <v>0.8796562</v>
      </c>
      <c r="Y4998">
        <v>0.6403643</v>
      </c>
      <c r="Z4998">
        <v>-6.7939940000000002E-3</v>
      </c>
      <c r="AA4998">
        <v>0.76804130000000004</v>
      </c>
      <c r="AB4998">
        <v>18</v>
      </c>
      <c r="AC4998">
        <v>9.1089999999999804</v>
      </c>
      <c r="AD4998">
        <v>-1.1156090000000001</v>
      </c>
      <c r="AE4998">
        <v>-12.972614</v>
      </c>
      <c r="AF4998">
        <v>10.1948192416398</v>
      </c>
      <c r="AG4998">
        <v>-1.1156090000000001</v>
      </c>
      <c r="AH4998">
        <v>12.0356745469223</v>
      </c>
      <c r="AI4998">
        <v>94.045702902744296</v>
      </c>
      <c r="AJ4998">
        <v>49.733729588060399</v>
      </c>
      <c r="AK4998">
        <v>15.812538841376</v>
      </c>
      <c r="AL4998">
        <v>81.792117566204595</v>
      </c>
      <c r="AM4998">
        <v>62.717856214999401</v>
      </c>
      <c r="AN4998">
        <v>0.99999999825587005</v>
      </c>
    </row>
    <row r="4999" spans="1:40" x14ac:dyDescent="0.25">
      <c r="A4999" t="str">
        <f>"20190312172805546"</f>
        <v>20190312172805546</v>
      </c>
      <c r="B4999" t="str">
        <f>"1552382885534611"</f>
        <v>1552382885534611</v>
      </c>
      <c r="C4999" t="s">
        <v>40</v>
      </c>
      <c r="D4999">
        <v>3.505614</v>
      </c>
      <c r="E4999">
        <v>0.58963319999999997</v>
      </c>
      <c r="F4999" t="s">
        <v>43</v>
      </c>
      <c r="G4999">
        <v>-306.94729999999998</v>
      </c>
      <c r="H4999">
        <v>-0.05</v>
      </c>
      <c r="I4999">
        <v>2.1882779999999999</v>
      </c>
      <c r="J4999">
        <v>-315.9905</v>
      </c>
      <c r="K4999">
        <v>1.0648919999999999</v>
      </c>
      <c r="L4999">
        <v>15.291410000000001</v>
      </c>
      <c r="M4999">
        <v>0.96621140000000005</v>
      </c>
      <c r="N4999">
        <v>0</v>
      </c>
      <c r="O4999">
        <v>-0.25695699999999999</v>
      </c>
      <c r="P4999">
        <v>0.73500529999999997</v>
      </c>
      <c r="Q4999">
        <v>0.13005630000000001</v>
      </c>
      <c r="R4999">
        <v>-0.66547190000000001</v>
      </c>
      <c r="S4999">
        <v>1.79296899999999</v>
      </c>
      <c r="T4999">
        <v>-0.21890760000000001</v>
      </c>
      <c r="U4999">
        <v>-2.576965</v>
      </c>
      <c r="V4999">
        <v>0.45576319999999998</v>
      </c>
      <c r="W4999">
        <v>0.14300109999999999</v>
      </c>
      <c r="X4999">
        <v>0.87853899999999996</v>
      </c>
      <c r="Y4999">
        <v>0.64561820000000003</v>
      </c>
      <c r="Z4999">
        <v>-6.7410639999999997E-3</v>
      </c>
      <c r="AA4999">
        <v>0.76363059999999905</v>
      </c>
      <c r="AB4999">
        <v>17</v>
      </c>
      <c r="AC4999">
        <v>9.0432000000000095</v>
      </c>
      <c r="AD4999">
        <v>-1.114892</v>
      </c>
      <c r="AE4999">
        <v>-13.103132</v>
      </c>
      <c r="AF4999">
        <v>10.288342164853701</v>
      </c>
      <c r="AG4999">
        <v>-1.114892</v>
      </c>
      <c r="AH4999">
        <v>12.047976965507599</v>
      </c>
      <c r="AI4999">
        <v>94.0253161091604</v>
      </c>
      <c r="AJ4999">
        <v>49.504406168773698</v>
      </c>
      <c r="AK4999">
        <v>15.882276840370601</v>
      </c>
      <c r="AL4999">
        <v>81.778456358781</v>
      </c>
      <c r="AM4999">
        <v>62.580888978835198</v>
      </c>
      <c r="AN4999">
        <v>1.0000000917982199</v>
      </c>
    </row>
    <row r="5000" spans="1:40" x14ac:dyDescent="0.25">
      <c r="A5000" t="str">
        <f>"20190312172805566"</f>
        <v>20190312172805566</v>
      </c>
      <c r="B5000" t="str">
        <f>"1552382885564866"</f>
        <v>1552382885564866</v>
      </c>
      <c r="C5000" t="s">
        <v>40</v>
      </c>
      <c r="D5000">
        <v>3.490885</v>
      </c>
      <c r="E5000">
        <v>0.5887812</v>
      </c>
      <c r="F5000" t="s">
        <v>43</v>
      </c>
      <c r="G5000">
        <v>-306.88639999999998</v>
      </c>
      <c r="H5000">
        <v>-0.05</v>
      </c>
      <c r="I5000">
        <v>2.0429379999999999</v>
      </c>
      <c r="J5000">
        <v>-315.8356</v>
      </c>
      <c r="K5000">
        <v>1.0638529999999999</v>
      </c>
      <c r="L5000">
        <v>15.24142</v>
      </c>
      <c r="M5000">
        <v>0.96443889999999999</v>
      </c>
      <c r="N5000">
        <v>0</v>
      </c>
      <c r="O5000">
        <v>-0.26358199999999998</v>
      </c>
      <c r="P5000">
        <v>0.72711840000000005</v>
      </c>
      <c r="Q5000">
        <v>0.13091900000000001</v>
      </c>
      <c r="R5000">
        <v>-0.67391319999999999</v>
      </c>
      <c r="S5000">
        <v>1.7778020000000001</v>
      </c>
      <c r="T5000">
        <v>-0.21770800000000001</v>
      </c>
      <c r="U5000">
        <v>-2.5870669999999998</v>
      </c>
      <c r="V5000">
        <v>0.45988430000000002</v>
      </c>
      <c r="W5000">
        <v>0.14333940000000001</v>
      </c>
      <c r="X5000">
        <v>0.87633340000000004</v>
      </c>
      <c r="Y5000">
        <v>0.64484010000000003</v>
      </c>
      <c r="Z5000">
        <v>-6.1619930000000002E-3</v>
      </c>
      <c r="AA5000">
        <v>0.76429269999999905</v>
      </c>
      <c r="AB5000">
        <v>17</v>
      </c>
      <c r="AC5000">
        <v>8.94920000000001</v>
      </c>
      <c r="AD5000">
        <v>-1.113853</v>
      </c>
      <c r="AE5000">
        <v>-13.198482</v>
      </c>
      <c r="AF5000">
        <v>10.3219029958713</v>
      </c>
      <c r="AG5000">
        <v>-1.113853</v>
      </c>
      <c r="AH5000">
        <v>12.053345240124001</v>
      </c>
      <c r="AI5000">
        <v>94.0150370262715</v>
      </c>
      <c r="AJ5000">
        <v>49.4248461174301</v>
      </c>
      <c r="AK5000">
        <v>15.908031978827699</v>
      </c>
      <c r="AL5000">
        <v>81.758870594990896</v>
      </c>
      <c r="AM5000">
        <v>62.310304055179202</v>
      </c>
      <c r="AN5000">
        <v>0.999999990467205</v>
      </c>
    </row>
    <row r="5001" spans="1:40" x14ac:dyDescent="0.25">
      <c r="A5001" t="str">
        <f>"20190312172805579"</f>
        <v>20190312172805579</v>
      </c>
      <c r="B5001" t="str">
        <f>"1552382885574627"</f>
        <v>1552382885574627</v>
      </c>
      <c r="C5001" t="s">
        <v>40</v>
      </c>
      <c r="D5001">
        <v>3.4751180000000002</v>
      </c>
      <c r="E5001">
        <v>0.58847190000000005</v>
      </c>
      <c r="F5001" t="s">
        <v>43</v>
      </c>
      <c r="G5001">
        <v>-306.80959999999999</v>
      </c>
      <c r="H5001">
        <v>-0.05</v>
      </c>
      <c r="I5001">
        <v>1.8411709999999999</v>
      </c>
      <c r="J5001">
        <v>-315.7398</v>
      </c>
      <c r="K5001">
        <v>1.0632809999999999</v>
      </c>
      <c r="L5001">
        <v>15.20984</v>
      </c>
      <c r="M5001">
        <v>0.96329640000000005</v>
      </c>
      <c r="N5001">
        <v>0</v>
      </c>
      <c r="O5001">
        <v>-0.26775450000000001</v>
      </c>
      <c r="P5001">
        <v>0.7228677</v>
      </c>
      <c r="Q5001">
        <v>0.1313492</v>
      </c>
      <c r="R5001">
        <v>-0.67838809999999905</v>
      </c>
      <c r="S5001">
        <v>1.75286899999999</v>
      </c>
      <c r="T5001">
        <v>-0.21631239999999999</v>
      </c>
      <c r="U5001">
        <v>-2.6023559999999999</v>
      </c>
      <c r="V5001">
        <v>0.46149980000000002</v>
      </c>
      <c r="W5001">
        <v>0.143492799999999</v>
      </c>
      <c r="X5001">
        <v>0.87545859999999998</v>
      </c>
      <c r="Y5001">
        <v>0.64864869999999997</v>
      </c>
      <c r="Z5001">
        <v>-5.9969979999999999E-3</v>
      </c>
      <c r="AA5001">
        <v>0.76106430000000003</v>
      </c>
      <c r="AB5001">
        <v>17</v>
      </c>
      <c r="AC5001">
        <v>8.9302000000000099</v>
      </c>
      <c r="AD5001">
        <v>-1.113281</v>
      </c>
      <c r="AE5001">
        <v>-13.368669000000001</v>
      </c>
      <c r="AF5001">
        <v>10.4387622110875</v>
      </c>
      <c r="AG5001">
        <v>-1.113281</v>
      </c>
      <c r="AH5001">
        <v>12.1260444103506</v>
      </c>
      <c r="AI5001">
        <v>93.9801614299286</v>
      </c>
      <c r="AJ5001">
        <v>49.2763306027854</v>
      </c>
      <c r="AK5001">
        <v>16.0389558303022</v>
      </c>
      <c r="AL5001">
        <v>81.749989733098303</v>
      </c>
      <c r="AM5001">
        <v>62.203951447359799</v>
      </c>
      <c r="AN5001">
        <v>1.0000000046829201</v>
      </c>
    </row>
    <row r="5002" spans="1:40" x14ac:dyDescent="0.25">
      <c r="A5002" t="str">
        <f>"20190312172805592"</f>
        <v>20190312172805592</v>
      </c>
      <c r="B5002" t="str">
        <f>"1552382885584387"</f>
        <v>1552382885584387</v>
      </c>
      <c r="C5002" t="s">
        <v>40</v>
      </c>
      <c r="D5002">
        <v>3.4851549999999998</v>
      </c>
      <c r="E5002">
        <v>0.58817730000000001</v>
      </c>
      <c r="F5002" t="s">
        <v>43</v>
      </c>
      <c r="G5002">
        <v>-306.7457</v>
      </c>
      <c r="H5002">
        <v>-0.05</v>
      </c>
      <c r="I5002">
        <v>1.696304</v>
      </c>
      <c r="J5002">
        <v>-315.6463</v>
      </c>
      <c r="K5002">
        <v>1.0627450000000001</v>
      </c>
      <c r="L5002">
        <v>15.1786799999999</v>
      </c>
      <c r="M5002">
        <v>0.96215669999999998</v>
      </c>
      <c r="N5002">
        <v>0</v>
      </c>
      <c r="O5002">
        <v>-0.2718468</v>
      </c>
      <c r="P5002">
        <v>0.71865990000000002</v>
      </c>
      <c r="Q5002">
        <v>0.1317576</v>
      </c>
      <c r="R5002">
        <v>-0.68276590000000004</v>
      </c>
      <c r="S5002">
        <v>1.7382200000000001</v>
      </c>
      <c r="T5002">
        <v>-0.21515570000000001</v>
      </c>
      <c r="U5002">
        <v>-2.6116640000000002</v>
      </c>
      <c r="V5002">
        <v>0.46309860000000003</v>
      </c>
      <c r="W5002">
        <v>0.14363629999999999</v>
      </c>
      <c r="X5002">
        <v>0.87459030000000004</v>
      </c>
      <c r="Y5002">
        <v>0.64963899999999997</v>
      </c>
      <c r="Z5002">
        <v>-5.7052409999999998E-3</v>
      </c>
      <c r="AA5002">
        <v>0.76022149999999999</v>
      </c>
      <c r="AB5002">
        <v>17</v>
      </c>
      <c r="AC5002">
        <v>8.9005999999999901</v>
      </c>
      <c r="AD5002">
        <v>-1.1127450000000001</v>
      </c>
      <c r="AE5002">
        <v>-13.482376</v>
      </c>
      <c r="AF5002">
        <v>10.5045906187844</v>
      </c>
      <c r="AG5002">
        <v>-1.1127450000000001</v>
      </c>
      <c r="AH5002">
        <v>12.1733244379034</v>
      </c>
      <c r="AI5002">
        <v>93.958819270812</v>
      </c>
      <c r="AJ5002">
        <v>49.208473166978202</v>
      </c>
      <c r="AK5002">
        <v>16.117520075177001</v>
      </c>
      <c r="AL5002">
        <v>81.741681241292</v>
      </c>
      <c r="AM5002">
        <v>62.098625002184797</v>
      </c>
      <c r="AN5002">
        <v>0.99999994642686796</v>
      </c>
    </row>
    <row r="5003" spans="1:40" x14ac:dyDescent="0.25">
      <c r="A5003" t="str">
        <f>"20190312172805603"</f>
        <v>20190312172805603</v>
      </c>
      <c r="B5003" t="str">
        <f>"1552382885594146"</f>
        <v>1552382885594146</v>
      </c>
      <c r="C5003" t="s">
        <v>40</v>
      </c>
      <c r="D5003">
        <v>3.5057119999999999</v>
      </c>
      <c r="E5003">
        <v>0.58817730000000001</v>
      </c>
      <c r="F5003" t="s">
        <v>43</v>
      </c>
      <c r="G5003">
        <v>-306.70190000000002</v>
      </c>
      <c r="H5003">
        <v>-0.05</v>
      </c>
      <c r="I5003">
        <v>1.5836030000000001</v>
      </c>
      <c r="J5003">
        <v>-315.55110000000002</v>
      </c>
      <c r="K5003">
        <v>1.0622339999999999</v>
      </c>
      <c r="L5003">
        <v>15.14648</v>
      </c>
      <c r="M5003">
        <v>0.96096459999999995</v>
      </c>
      <c r="N5003">
        <v>0</v>
      </c>
      <c r="O5003">
        <v>-0.27605359999999901</v>
      </c>
      <c r="P5003">
        <v>0.7144684</v>
      </c>
      <c r="Q5003">
        <v>0.1320346</v>
      </c>
      <c r="R5003">
        <v>-0.68709699999999996</v>
      </c>
      <c r="S5003">
        <v>1.724091</v>
      </c>
      <c r="T5003">
        <v>-0.21448919999999999</v>
      </c>
      <c r="U5003">
        <v>-2.6205440000000002</v>
      </c>
      <c r="V5003">
        <v>0.4645591</v>
      </c>
      <c r="W5003">
        <v>0.1436519</v>
      </c>
      <c r="X5003">
        <v>0.8738129</v>
      </c>
      <c r="Y5003">
        <v>0.6503698</v>
      </c>
      <c r="Z5003">
        <v>-5.4066269999999998E-3</v>
      </c>
      <c r="AA5003">
        <v>0.75959840000000001</v>
      </c>
      <c r="AB5003">
        <v>17</v>
      </c>
      <c r="AC5003">
        <v>8.8491999999999909</v>
      </c>
      <c r="AD5003">
        <v>-1.1122339999999999</v>
      </c>
      <c r="AE5003">
        <v>-13.562877</v>
      </c>
      <c r="AF5003">
        <v>10.5426705415976</v>
      </c>
      <c r="AG5003">
        <v>-1.1122339999999999</v>
      </c>
      <c r="AH5003">
        <v>12.192429540149</v>
      </c>
      <c r="AI5003">
        <v>93.947377231791805</v>
      </c>
      <c r="AJ5003">
        <v>49.1503596199179</v>
      </c>
      <c r="AK5003">
        <v>16.1567417727376</v>
      </c>
      <c r="AL5003">
        <v>81.740778547601593</v>
      </c>
      <c r="AM5003">
        <v>62.0028351024093</v>
      </c>
      <c r="AN5003">
        <v>1.00000000498641</v>
      </c>
    </row>
    <row r="5004" spans="1:40" x14ac:dyDescent="0.25">
      <c r="A5004" t="str">
        <f>"20190312172805616"</f>
        <v>20190312172805616</v>
      </c>
      <c r="B5004" t="str">
        <f>"1552382885604883"</f>
        <v>1552382885604883</v>
      </c>
      <c r="C5004" t="s">
        <v>40</v>
      </c>
      <c r="D5004">
        <v>3.4946169999999999</v>
      </c>
      <c r="E5004">
        <v>0.57576579999999999</v>
      </c>
      <c r="F5004" t="s">
        <v>43</v>
      </c>
      <c r="G5004">
        <v>-306.649</v>
      </c>
      <c r="H5004">
        <v>-0.05</v>
      </c>
      <c r="I5004">
        <v>1.432175</v>
      </c>
      <c r="J5004">
        <v>-315.4615</v>
      </c>
      <c r="K5004">
        <v>1.0617799999999999</v>
      </c>
      <c r="L5004">
        <v>15.115690000000001</v>
      </c>
      <c r="M5004">
        <v>0.95981819999999896</v>
      </c>
      <c r="N5004">
        <v>0</v>
      </c>
      <c r="O5004">
        <v>-0.2800318</v>
      </c>
      <c r="P5004">
        <v>0.71049790000000002</v>
      </c>
      <c r="Q5004">
        <v>0.1320916</v>
      </c>
      <c r="R5004">
        <v>-0.69119059999999999</v>
      </c>
      <c r="S5004">
        <v>1.7079470000000001</v>
      </c>
      <c r="T5004">
        <v>-0.21339320000000001</v>
      </c>
      <c r="U5004">
        <v>-2.6312259999999998</v>
      </c>
      <c r="V5004">
        <v>0.46595419999999999</v>
      </c>
      <c r="W5004">
        <v>0.1434636</v>
      </c>
      <c r="X5004">
        <v>0.87310069999999995</v>
      </c>
      <c r="Y5004">
        <v>0.651923699999999</v>
      </c>
      <c r="Z5004">
        <v>-5.1555259999999997E-3</v>
      </c>
      <c r="AA5004">
        <v>0.75826709999999997</v>
      </c>
      <c r="AB5004">
        <v>17</v>
      </c>
      <c r="AC5004">
        <v>8.8125</v>
      </c>
      <c r="AD5004">
        <v>-1.11178</v>
      </c>
      <c r="AE5004">
        <v>-13.683515</v>
      </c>
      <c r="AF5004">
        <v>10.618127610181901</v>
      </c>
      <c r="AG5004">
        <v>-1.11178</v>
      </c>
      <c r="AH5004">
        <v>12.2351620877287</v>
      </c>
      <c r="AI5004">
        <v>93.925933019865596</v>
      </c>
      <c r="AJ5004">
        <v>49.047342693941197</v>
      </c>
      <c r="AK5004">
        <v>16.238222810009201</v>
      </c>
      <c r="AL5004">
        <v>81.751680028362699</v>
      </c>
      <c r="AM5004">
        <v>61.912162803898198</v>
      </c>
      <c r="AN5004">
        <v>0.99999997668154395</v>
      </c>
    </row>
    <row r="5005" spans="1:40" x14ac:dyDescent="0.25">
      <c r="A5005" t="str">
        <f>"20190312172805630"</f>
        <v>20190312172805630</v>
      </c>
      <c r="B5005" t="str">
        <f>"1552382885624402"</f>
        <v>1552382885624402</v>
      </c>
      <c r="C5005" t="s">
        <v>40</v>
      </c>
      <c r="D5005">
        <v>3.482764</v>
      </c>
      <c r="E5005">
        <v>0.57461839999999997</v>
      </c>
      <c r="F5005" t="s">
        <v>43</v>
      </c>
      <c r="G5005">
        <v>-306.99169999999998</v>
      </c>
      <c r="H5005">
        <v>-0.05</v>
      </c>
      <c r="I5005">
        <v>2.7586520000000001</v>
      </c>
      <c r="J5005">
        <v>-315.35860000000002</v>
      </c>
      <c r="K5005">
        <v>1.06128</v>
      </c>
      <c r="L5005">
        <v>15.0799</v>
      </c>
      <c r="M5005">
        <v>0.95847420000000005</v>
      </c>
      <c r="N5005">
        <v>0</v>
      </c>
      <c r="O5005">
        <v>-0.284618599999999</v>
      </c>
      <c r="P5005">
        <v>0.70601919999999996</v>
      </c>
      <c r="Q5005">
        <v>0.1319206</v>
      </c>
      <c r="R5005">
        <v>-0.69579709999999995</v>
      </c>
      <c r="S5005">
        <v>1.7630619999999999</v>
      </c>
      <c r="T5005">
        <v>-0.23142769999999999</v>
      </c>
      <c r="U5005">
        <v>-2.572235</v>
      </c>
      <c r="V5005">
        <v>0.46743960000000001</v>
      </c>
      <c r="W5005">
        <v>0.14301529999999901</v>
      </c>
      <c r="X5005">
        <v>0.87237999999999905</v>
      </c>
      <c r="Y5005">
        <v>0.62889269999999997</v>
      </c>
      <c r="Z5005">
        <v>-4.0405839999999998E-3</v>
      </c>
      <c r="AA5005">
        <v>0.77748159999999999</v>
      </c>
      <c r="AB5005">
        <v>17</v>
      </c>
      <c r="AC5005">
        <v>8.3669000000000402</v>
      </c>
      <c r="AD5005">
        <v>-1.1112799999999901</v>
      </c>
      <c r="AE5005">
        <v>-12.321247999999899</v>
      </c>
      <c r="AF5005">
        <v>9.3775211828411695</v>
      </c>
      <c r="AG5005">
        <v>-1.1112799999999901</v>
      </c>
      <c r="AH5005">
        <v>11.4643295474096</v>
      </c>
      <c r="AI5005">
        <v>94.290874062129603</v>
      </c>
      <c r="AJ5005">
        <v>50.717733267553598</v>
      </c>
      <c r="AK5005">
        <v>14.852733712843699</v>
      </c>
      <c r="AL5005">
        <v>81.777633632466305</v>
      </c>
      <c r="AM5005">
        <v>61.816655385406399</v>
      </c>
      <c r="AN5005">
        <v>1.0000000100411199</v>
      </c>
    </row>
    <row r="5006" spans="1:40" x14ac:dyDescent="0.25">
      <c r="A5006" t="str">
        <f>"20190312172805644"</f>
        <v>20190312172805644</v>
      </c>
      <c r="B5006" t="str">
        <f>"1552382885635139"</f>
        <v>1552382885635139</v>
      </c>
      <c r="C5006" t="s">
        <v>40</v>
      </c>
      <c r="D5006">
        <v>3.4876849999999999</v>
      </c>
      <c r="E5006">
        <v>0.57405729999999999</v>
      </c>
      <c r="F5006" t="s">
        <v>43</v>
      </c>
      <c r="G5006">
        <v>-306.95650000000001</v>
      </c>
      <c r="H5006">
        <v>-0.05</v>
      </c>
      <c r="I5006">
        <v>2.724701</v>
      </c>
      <c r="J5006">
        <v>-315.24829999999997</v>
      </c>
      <c r="K5006">
        <v>1.0607850000000001</v>
      </c>
      <c r="L5006">
        <v>15.04083</v>
      </c>
      <c r="M5006">
        <v>0.95699719999999999</v>
      </c>
      <c r="N5006">
        <v>0</v>
      </c>
      <c r="O5006">
        <v>-0.28956569999999998</v>
      </c>
      <c r="P5006">
        <v>0.70106689999999905</v>
      </c>
      <c r="Q5006">
        <v>0.13170219999999999</v>
      </c>
      <c r="R5006">
        <v>-0.70082809999999995</v>
      </c>
      <c r="S5006">
        <v>1.7526250000000001</v>
      </c>
      <c r="T5006">
        <v>-0.23180529999999999</v>
      </c>
      <c r="U5006">
        <v>-2.5772089999999999</v>
      </c>
      <c r="V5006">
        <v>0.46915699999999999</v>
      </c>
      <c r="W5006">
        <v>0.14249890000000001</v>
      </c>
      <c r="X5006">
        <v>0.87154219999999905</v>
      </c>
      <c r="Y5006">
        <v>0.62773979999999996</v>
      </c>
      <c r="Z5006">
        <v>-3.5837009999999999E-3</v>
      </c>
      <c r="AA5006">
        <v>0.77841499999999997</v>
      </c>
      <c r="AB5006">
        <v>17</v>
      </c>
      <c r="AC5006">
        <v>8.2917999999999594</v>
      </c>
      <c r="AD5006">
        <v>-1.1107849999999999</v>
      </c>
      <c r="AE5006">
        <v>-12.316129</v>
      </c>
      <c r="AF5006">
        <v>9.3346784142638608</v>
      </c>
      <c r="AG5006">
        <v>-1.1107849999999999</v>
      </c>
      <c r="AH5006">
        <v>11.439302319895701</v>
      </c>
      <c r="AI5006">
        <v>94.302423375690196</v>
      </c>
      <c r="AJ5006">
        <v>50.784930321247899</v>
      </c>
      <c r="AK5006">
        <v>14.806339925177999</v>
      </c>
      <c r="AL5006">
        <v>81.807527407374593</v>
      </c>
      <c r="AM5006">
        <v>61.706122480870903</v>
      </c>
      <c r="AN5006">
        <v>1.0000000167655201</v>
      </c>
    </row>
    <row r="5007" spans="1:40" x14ac:dyDescent="0.25">
      <c r="A5007" t="str">
        <f>"20190312172805667"</f>
        <v>20190312172805667</v>
      </c>
      <c r="B5007" t="str">
        <f>"1552382885664419"</f>
        <v>1552382885664419</v>
      </c>
      <c r="C5007" t="s">
        <v>40</v>
      </c>
      <c r="D5007">
        <v>3.4870320000000001</v>
      </c>
      <c r="E5007">
        <v>0.59888949999999996</v>
      </c>
      <c r="F5007" t="s">
        <v>43</v>
      </c>
      <c r="G5007">
        <v>-306.95370000000003</v>
      </c>
      <c r="H5007">
        <v>-0.05</v>
      </c>
      <c r="I5007">
        <v>2.6838989999999998</v>
      </c>
      <c r="J5007">
        <v>-315.08760000000001</v>
      </c>
      <c r="K5007">
        <v>1.0601069999999999</v>
      </c>
      <c r="L5007">
        <v>14.982729999999901</v>
      </c>
      <c r="M5007">
        <v>0.95477449999999997</v>
      </c>
      <c r="N5007">
        <v>0</v>
      </c>
      <c r="O5007">
        <v>-0.29683670000000001</v>
      </c>
      <c r="P5007">
        <v>0.6943433</v>
      </c>
      <c r="Q5007">
        <v>0.13166</v>
      </c>
      <c r="R5007">
        <v>-0.70749799999999996</v>
      </c>
      <c r="S5007">
        <v>1.7366029999999999</v>
      </c>
      <c r="T5007">
        <v>-0.2325615</v>
      </c>
      <c r="U5007">
        <v>-2.5871279999999999</v>
      </c>
      <c r="V5007">
        <v>0.47085969999999999</v>
      </c>
      <c r="W5007">
        <v>0.14205390000000001</v>
      </c>
      <c r="X5007">
        <v>0.87069619999999903</v>
      </c>
      <c r="Y5007">
        <v>0.62654009999999905</v>
      </c>
      <c r="Z5007">
        <v>-2.9338910000000001E-3</v>
      </c>
      <c r="AA5007">
        <v>0.77938359999999995</v>
      </c>
      <c r="AB5007">
        <v>17</v>
      </c>
      <c r="AC5007">
        <v>8.1338999999999793</v>
      </c>
      <c r="AD5007">
        <v>-1.110107</v>
      </c>
      <c r="AE5007">
        <v>-12.2988309999999</v>
      </c>
      <c r="AF5007">
        <v>9.2769585278668991</v>
      </c>
      <c r="AG5007">
        <v>-1.110107</v>
      </c>
      <c r="AH5007">
        <v>11.354106562556099</v>
      </c>
      <c r="AI5007">
        <v>94.329751555118705</v>
      </c>
      <c r="AJ5007">
        <v>50.7492000060317</v>
      </c>
      <c r="AK5007">
        <v>14.7040821853351</v>
      </c>
      <c r="AL5007">
        <v>81.833286100546601</v>
      </c>
      <c r="AM5007">
        <v>61.596129282958401</v>
      </c>
      <c r="AN5007">
        <v>1.00000002014186</v>
      </c>
    </row>
    <row r="5008" spans="1:40" x14ac:dyDescent="0.25">
      <c r="A5008" t="str">
        <f>"20190312172805680"</f>
        <v>20190312172805680</v>
      </c>
      <c r="B5008" t="str">
        <f>"1552382885674178"</f>
        <v>1552382885674178</v>
      </c>
      <c r="C5008" t="s">
        <v>40</v>
      </c>
      <c r="D5008">
        <v>3.4760909999999998</v>
      </c>
      <c r="E5008">
        <v>0.60257059999999996</v>
      </c>
      <c r="F5008" t="s">
        <v>43</v>
      </c>
      <c r="G5008">
        <v>-307.32089999999999</v>
      </c>
      <c r="H5008">
        <v>-0.05</v>
      </c>
      <c r="I5008">
        <v>1.4208369999999999</v>
      </c>
      <c r="J5008">
        <v>-314.9966</v>
      </c>
      <c r="K5008">
        <v>1.059769</v>
      </c>
      <c r="L5008">
        <v>14.949009999999999</v>
      </c>
      <c r="M5008">
        <v>0.95347079999999995</v>
      </c>
      <c r="N5008">
        <v>0</v>
      </c>
      <c r="O5008">
        <v>-0.30101020000000001</v>
      </c>
      <c r="P5008">
        <v>0.69061989999999995</v>
      </c>
      <c r="Q5008">
        <v>0.1313204</v>
      </c>
      <c r="R5008">
        <v>-0.71119580000000004</v>
      </c>
      <c r="S5008">
        <v>1.5699160000000001</v>
      </c>
      <c r="T5008">
        <v>-0.2243916</v>
      </c>
      <c r="U5008">
        <v>-2.741333</v>
      </c>
      <c r="V5008">
        <v>0.4716824</v>
      </c>
      <c r="W5008">
        <v>0.1415035</v>
      </c>
      <c r="X5008">
        <v>0.87034049999999996</v>
      </c>
      <c r="Y5008">
        <v>0.67703190000000002</v>
      </c>
      <c r="Z5008">
        <v>-5.0284600000000002E-3</v>
      </c>
      <c r="AA5008">
        <v>0.73593649999999999</v>
      </c>
      <c r="AB5008">
        <v>17</v>
      </c>
      <c r="AC5008">
        <v>7.6757</v>
      </c>
      <c r="AD5008">
        <v>-1.109769</v>
      </c>
      <c r="AE5008">
        <v>-13.528173000000001</v>
      </c>
      <c r="AF5008">
        <v>10.5361334169869</v>
      </c>
      <c r="AG5008">
        <v>-1.109769</v>
      </c>
      <c r="AH5008">
        <v>11.334603455897501</v>
      </c>
      <c r="AI5008">
        <v>94.101802446500997</v>
      </c>
      <c r="AJ5008">
        <v>47.090860215317399</v>
      </c>
      <c r="AK5008">
        <v>15.5149904968181</v>
      </c>
      <c r="AL5008">
        <v>81.865143806299997</v>
      </c>
      <c r="AM5008">
        <v>61.544452117205999</v>
      </c>
      <c r="AN5008">
        <v>1.00000005646112</v>
      </c>
    </row>
    <row r="5009" spans="1:40" x14ac:dyDescent="0.25">
      <c r="A5009" t="str">
        <f>"20190312172805693"</f>
        <v>20190312172805693</v>
      </c>
      <c r="B5009" t="str">
        <f>"1552382885684915"</f>
        <v>1552382885684915</v>
      </c>
      <c r="C5009" t="s">
        <v>40</v>
      </c>
      <c r="D5009">
        <v>3.4413710000000002</v>
      </c>
      <c r="E5009">
        <v>0.60399040000000004</v>
      </c>
      <c r="F5009" t="s">
        <v>43</v>
      </c>
      <c r="G5009">
        <v>-307.50729999999999</v>
      </c>
      <c r="H5009">
        <v>-0.05</v>
      </c>
      <c r="I5009">
        <v>1.4230039999999999</v>
      </c>
      <c r="J5009">
        <v>-314.89699999999999</v>
      </c>
      <c r="K5009">
        <v>1.0594159999999999</v>
      </c>
      <c r="L5009">
        <v>14.91168</v>
      </c>
      <c r="M5009">
        <v>0.95200929999999995</v>
      </c>
      <c r="N5009">
        <v>0</v>
      </c>
      <c r="O5009">
        <v>-0.30561319999999997</v>
      </c>
      <c r="P5009">
        <v>0.68648849999999995</v>
      </c>
      <c r="Q5009">
        <v>0.13112960000000001</v>
      </c>
      <c r="R5009">
        <v>-0.7152193</v>
      </c>
      <c r="S5009">
        <v>1.5340579999999999</v>
      </c>
      <c r="T5009">
        <v>-0.22731699999999999</v>
      </c>
      <c r="U5009">
        <v>-2.7705690000000001</v>
      </c>
      <c r="V5009">
        <v>0.47255589999999997</v>
      </c>
      <c r="W5009">
        <v>0.14108950000000001</v>
      </c>
      <c r="X5009">
        <v>0.86993369999999903</v>
      </c>
      <c r="Y5009">
        <v>0.68402459999999998</v>
      </c>
      <c r="Z5009">
        <v>-5.0863339999999996E-3</v>
      </c>
      <c r="AA5009">
        <v>0.72944119999999901</v>
      </c>
      <c r="AB5009">
        <v>17</v>
      </c>
      <c r="AC5009">
        <v>7.3897000000000004</v>
      </c>
      <c r="AD5009">
        <v>-1.109416</v>
      </c>
      <c r="AE5009">
        <v>-13.4886759999999</v>
      </c>
      <c r="AF5009">
        <v>10.529644259650301</v>
      </c>
      <c r="AG5009">
        <v>-1.109416</v>
      </c>
      <c r="AH5009">
        <v>11.1011760606854</v>
      </c>
      <c r="AI5009">
        <v>94.147134930645805</v>
      </c>
      <c r="AJ5009">
        <v>46.5135229447109</v>
      </c>
      <c r="AK5009">
        <v>15.340805781515501</v>
      </c>
      <c r="AL5009">
        <v>81.889104057694894</v>
      </c>
      <c r="AM5009">
        <v>61.488788174865803</v>
      </c>
      <c r="AN5009">
        <v>0.99999998401537404</v>
      </c>
    </row>
    <row r="5010" spans="1:40" x14ac:dyDescent="0.25">
      <c r="A5010" t="str">
        <f>"20190312172805713"</f>
        <v>20190312172805713</v>
      </c>
      <c r="B5010" t="str">
        <f>"1552382885704434"</f>
        <v>1552382885704434</v>
      </c>
      <c r="C5010" t="s">
        <v>40</v>
      </c>
      <c r="D5010">
        <v>3.4397859999999998</v>
      </c>
      <c r="E5010">
        <v>0.60528019999999905</v>
      </c>
      <c r="F5010" t="s">
        <v>43</v>
      </c>
      <c r="G5010">
        <v>-307.40519999999998</v>
      </c>
      <c r="H5010">
        <v>-0.05</v>
      </c>
      <c r="I5010">
        <v>1.0787960000000001</v>
      </c>
      <c r="J5010">
        <v>-314.75259999999997</v>
      </c>
      <c r="K5010">
        <v>1.058954</v>
      </c>
      <c r="L5010">
        <v>14.856540000000001</v>
      </c>
      <c r="M5010">
        <v>0.94981789999999999</v>
      </c>
      <c r="N5010">
        <v>0</v>
      </c>
      <c r="O5010">
        <v>-0.31237239999999999</v>
      </c>
      <c r="P5010">
        <v>0.68087410000000004</v>
      </c>
      <c r="Q5010">
        <v>0.1306176</v>
      </c>
      <c r="R5010">
        <v>-0.72065900000000005</v>
      </c>
      <c r="S5010">
        <v>1.5093379999999901</v>
      </c>
      <c r="T5010">
        <v>-0.22350800000000001</v>
      </c>
      <c r="U5010">
        <v>-2.786835</v>
      </c>
      <c r="V5010">
        <v>0.47326669999999998</v>
      </c>
      <c r="W5010">
        <v>0.14028640000000001</v>
      </c>
      <c r="X5010">
        <v>0.86967719999999904</v>
      </c>
      <c r="Y5010">
        <v>0.68567219999999995</v>
      </c>
      <c r="Z5010">
        <v>-4.5475979999999999E-3</v>
      </c>
      <c r="AA5010">
        <v>0.72789619999999999</v>
      </c>
      <c r="AB5010">
        <v>17</v>
      </c>
      <c r="AC5010">
        <v>7.3473999999999897</v>
      </c>
      <c r="AD5010">
        <v>-1.108954</v>
      </c>
      <c r="AE5010">
        <v>-13.777743999999901</v>
      </c>
      <c r="AF5010">
        <v>10.738511992956999</v>
      </c>
      <c r="AG5010">
        <v>-1.108954</v>
      </c>
      <c r="AH5010">
        <v>11.2273684961072</v>
      </c>
      <c r="AI5010">
        <v>94.082809019254697</v>
      </c>
      <c r="AJ5010">
        <v>46.274922326964202</v>
      </c>
      <c r="AK5010">
        <v>15.5755970076392</v>
      </c>
      <c r="AL5010">
        <v>81.935580992524905</v>
      </c>
      <c r="AM5010">
        <v>61.445558887060997</v>
      </c>
      <c r="AN5010">
        <v>1.0000000377768401</v>
      </c>
    </row>
    <row r="5011" spans="1:40" x14ac:dyDescent="0.25">
      <c r="A5011" t="str">
        <f>"20190312172805735"</f>
        <v>20190312172805735</v>
      </c>
      <c r="B5011" t="str">
        <f>"1552382885724932"</f>
        <v>1552382885724932</v>
      </c>
      <c r="C5011" t="s">
        <v>40</v>
      </c>
      <c r="D5011">
        <v>3.467749</v>
      </c>
      <c r="E5011">
        <v>0.60561719999999997</v>
      </c>
      <c r="F5011" t="s">
        <v>43</v>
      </c>
      <c r="G5011">
        <v>-307.31810000000002</v>
      </c>
      <c r="H5011">
        <v>-0.05</v>
      </c>
      <c r="I5011">
        <v>0.76110840000000002</v>
      </c>
      <c r="J5011">
        <v>-314.5872</v>
      </c>
      <c r="K5011">
        <v>1.058503</v>
      </c>
      <c r="L5011">
        <v>14.791689999999999</v>
      </c>
      <c r="M5011">
        <v>0.94720139999999997</v>
      </c>
      <c r="N5011">
        <v>0</v>
      </c>
      <c r="O5011">
        <v>-0.32023370000000001</v>
      </c>
      <c r="P5011">
        <v>0.67476219999999998</v>
      </c>
      <c r="Q5011">
        <v>0.1303696</v>
      </c>
      <c r="R5011">
        <v>-0.72642949999999995</v>
      </c>
      <c r="S5011">
        <v>1.479492</v>
      </c>
      <c r="T5011">
        <v>-0.2206843</v>
      </c>
      <c r="U5011">
        <v>-2.8050229999999998</v>
      </c>
      <c r="V5011">
        <v>0.47345300000000001</v>
      </c>
      <c r="W5011">
        <v>0.13974919999999999</v>
      </c>
      <c r="X5011">
        <v>0.8696623</v>
      </c>
      <c r="Y5011">
        <v>0.68768499999999999</v>
      </c>
      <c r="Z5011">
        <v>-3.9741689999999996E-3</v>
      </c>
      <c r="AA5011">
        <v>0.72599829999999999</v>
      </c>
      <c r="AB5011">
        <v>17</v>
      </c>
      <c r="AC5011">
        <v>7.2690999999999804</v>
      </c>
      <c r="AD5011">
        <v>-1.108503</v>
      </c>
      <c r="AE5011">
        <v>-14.0305816</v>
      </c>
      <c r="AF5011">
        <v>10.9097128892176</v>
      </c>
      <c r="AG5011">
        <v>-1.108503</v>
      </c>
      <c r="AH5011">
        <v>11.3241186928886</v>
      </c>
      <c r="AI5011">
        <v>94.032430448071693</v>
      </c>
      <c r="AJ5011">
        <v>46.067785125717101</v>
      </c>
      <c r="AK5011">
        <v>15.763447541600801</v>
      </c>
      <c r="AL5011">
        <v>81.966666599690996</v>
      </c>
      <c r="AM5011">
        <v>61.435678030333399</v>
      </c>
      <c r="AN5011">
        <v>1.0000000490754599</v>
      </c>
    </row>
    <row r="5012" spans="1:40" x14ac:dyDescent="0.25">
      <c r="A5012" t="str">
        <f>"20190312172805757"</f>
        <v>20190312172805757</v>
      </c>
      <c r="B5012" t="str">
        <f>"1552382885744454"</f>
        <v>1552382885744454</v>
      </c>
      <c r="C5012" t="s">
        <v>40</v>
      </c>
      <c r="D5012">
        <v>3.4745970000000002</v>
      </c>
      <c r="E5012">
        <v>0.60549410000000004</v>
      </c>
      <c r="F5012" t="s">
        <v>43</v>
      </c>
      <c r="G5012">
        <v>-307.1825</v>
      </c>
      <c r="H5012">
        <v>-0.05</v>
      </c>
      <c r="I5012">
        <v>0.4244385</v>
      </c>
      <c r="J5012">
        <v>-314.43200000000002</v>
      </c>
      <c r="K5012">
        <v>1.0581339999999999</v>
      </c>
      <c r="L5012">
        <v>14.72931</v>
      </c>
      <c r="M5012">
        <v>0.94464780000000004</v>
      </c>
      <c r="N5012">
        <v>0</v>
      </c>
      <c r="O5012">
        <v>-0.32770270000000001</v>
      </c>
      <c r="P5012">
        <v>0.66912590000000005</v>
      </c>
      <c r="Q5012">
        <v>0.13079689999999999</v>
      </c>
      <c r="R5012">
        <v>-0.73154839999999999</v>
      </c>
      <c r="S5012">
        <v>1.4529719999999999</v>
      </c>
      <c r="T5012">
        <v>-0.2175137</v>
      </c>
      <c r="U5012">
        <v>-2.8191830000000002</v>
      </c>
      <c r="V5012">
        <v>0.47324820000000001</v>
      </c>
      <c r="W5012">
        <v>0.13993989999999901</v>
      </c>
      <c r="X5012">
        <v>0.86974300000000004</v>
      </c>
      <c r="Y5012">
        <v>0.68887129999999996</v>
      </c>
      <c r="Z5012">
        <v>-3.3965459999999999E-3</v>
      </c>
      <c r="AA5012">
        <v>0.72487570000000001</v>
      </c>
      <c r="AB5012">
        <v>17</v>
      </c>
      <c r="AC5012">
        <v>7.24950000000001</v>
      </c>
      <c r="AD5012">
        <v>-1.108134</v>
      </c>
      <c r="AE5012">
        <v>-14.304871500000001</v>
      </c>
      <c r="AF5012">
        <v>11.0858544769365</v>
      </c>
      <c r="AG5012">
        <v>-1.108134</v>
      </c>
      <c r="AH5012">
        <v>11.482594886848</v>
      </c>
      <c r="AI5012">
        <v>93.971592964795406</v>
      </c>
      <c r="AJ5012">
        <v>46.007123240655702</v>
      </c>
      <c r="AK5012">
        <v>15.9991910977161</v>
      </c>
      <c r="AL5012">
        <v>81.955631142469201</v>
      </c>
      <c r="AM5012">
        <v>61.4483191542284</v>
      </c>
      <c r="AN5012">
        <v>0.99999996023212401</v>
      </c>
    </row>
    <row r="5013" spans="1:40" x14ac:dyDescent="0.25">
      <c r="A5013" t="str">
        <f>"20190312172805768"</f>
        <v>20190312172805768</v>
      </c>
      <c r="B5013" t="str">
        <f>"1552382885764947"</f>
        <v>1552382885764947</v>
      </c>
      <c r="C5013" t="s">
        <v>40</v>
      </c>
      <c r="D5013">
        <v>3.4708700000000001</v>
      </c>
      <c r="E5013">
        <v>0.60533459999999994</v>
      </c>
      <c r="F5013" t="s">
        <v>43</v>
      </c>
      <c r="G5013">
        <v>-307.03699999999998</v>
      </c>
      <c r="H5013">
        <v>-0.05</v>
      </c>
      <c r="I5013">
        <v>0.115448</v>
      </c>
      <c r="J5013">
        <v>-314.34280000000001</v>
      </c>
      <c r="K5013">
        <v>1.057947</v>
      </c>
      <c r="L5013">
        <v>14.69293</v>
      </c>
      <c r="M5013">
        <v>0.94314109999999995</v>
      </c>
      <c r="N5013">
        <v>0</v>
      </c>
      <c r="O5013">
        <v>-0.33202039999999999</v>
      </c>
      <c r="P5013">
        <v>0.66612759999999904</v>
      </c>
      <c r="Q5013">
        <v>0.1307016</v>
      </c>
      <c r="R5013">
        <v>-0.73429669999999903</v>
      </c>
      <c r="S5013">
        <v>1.431854</v>
      </c>
      <c r="T5013">
        <v>-0.2145609</v>
      </c>
      <c r="U5013">
        <v>-2.82959</v>
      </c>
      <c r="V5013">
        <v>0.47284510000000002</v>
      </c>
      <c r="W5013">
        <v>0.13972509999999999</v>
      </c>
      <c r="X5013">
        <v>0.86999680000000001</v>
      </c>
      <c r="Y5013">
        <v>0.69095799999999996</v>
      </c>
      <c r="Z5013">
        <v>-3.1248869999999998E-3</v>
      </c>
      <c r="AA5013">
        <v>0.72288809999999903</v>
      </c>
      <c r="AB5013">
        <v>17</v>
      </c>
      <c r="AC5013">
        <v>7.3057999999999703</v>
      </c>
      <c r="AD5013">
        <v>-1.107947</v>
      </c>
      <c r="AE5013">
        <v>-14.5774819999999</v>
      </c>
      <c r="AF5013">
        <v>11.2723044496023</v>
      </c>
      <c r="AG5013">
        <v>-1.107947</v>
      </c>
      <c r="AH5013">
        <v>11.6779558535763</v>
      </c>
      <c r="AI5013">
        <v>93.905062328662396</v>
      </c>
      <c r="AJ5013">
        <v>46.012611323761597</v>
      </c>
      <c r="AK5013">
        <v>16.268590814124298</v>
      </c>
      <c r="AL5013">
        <v>81.9680608109107</v>
      </c>
      <c r="AM5013">
        <v>61.475826348995497</v>
      </c>
      <c r="AN5013">
        <v>1.00000001208713</v>
      </c>
    </row>
    <row r="5014" spans="1:40" x14ac:dyDescent="0.25">
      <c r="A5014" t="str">
        <f>"20190312172805782"</f>
        <v>20190312172805782</v>
      </c>
      <c r="B5014" t="str">
        <f>"1552382885774707"</f>
        <v>1552382885774707</v>
      </c>
      <c r="C5014" t="s">
        <v>40</v>
      </c>
      <c r="D5014">
        <v>3.4985390000000001</v>
      </c>
      <c r="E5014">
        <v>0.60515299999999905</v>
      </c>
      <c r="F5014" t="s">
        <v>43</v>
      </c>
      <c r="G5014">
        <v>-306.94060000000002</v>
      </c>
      <c r="H5014">
        <v>-0.05</v>
      </c>
      <c r="I5014">
        <v>-7.3593140000000001E-2</v>
      </c>
      <c r="J5014">
        <v>-314.24650000000003</v>
      </c>
      <c r="K5014">
        <v>1.0577639999999999</v>
      </c>
      <c r="L5014">
        <v>14.652799999999999</v>
      </c>
      <c r="M5014">
        <v>0.94147029999999998</v>
      </c>
      <c r="N5014">
        <v>0</v>
      </c>
      <c r="O5014">
        <v>-0.33673449999999999</v>
      </c>
      <c r="P5014">
        <v>0.66289039999999999</v>
      </c>
      <c r="Q5014">
        <v>0.13108629999999999</v>
      </c>
      <c r="R5014">
        <v>-0.73715189999999997</v>
      </c>
      <c r="S5014">
        <v>1.420868</v>
      </c>
      <c r="T5014">
        <v>-0.2126709</v>
      </c>
      <c r="U5014">
        <v>-2.8344420000000001</v>
      </c>
      <c r="V5014">
        <v>0.47226230000000002</v>
      </c>
      <c r="W5014">
        <v>0.13999329999999999</v>
      </c>
      <c r="X5014">
        <v>0.87027019999999899</v>
      </c>
      <c r="Y5014">
        <v>0.69010139999999998</v>
      </c>
      <c r="Z5014">
        <v>-2.6937290000000002E-3</v>
      </c>
      <c r="AA5014">
        <v>0.72370769999999995</v>
      </c>
      <c r="AB5014">
        <v>17</v>
      </c>
      <c r="AC5014">
        <v>7.3059000000000003</v>
      </c>
      <c r="AD5014">
        <v>-1.107764</v>
      </c>
      <c r="AE5014">
        <v>-14.726393140000001</v>
      </c>
      <c r="AF5014">
        <v>11.354144360542</v>
      </c>
      <c r="AG5014">
        <v>-1.107764</v>
      </c>
      <c r="AH5014">
        <v>11.785099476686201</v>
      </c>
      <c r="AI5014">
        <v>93.872561969382701</v>
      </c>
      <c r="AJ5014">
        <v>46.066977604278897</v>
      </c>
      <c r="AK5014">
        <v>16.4022042700093</v>
      </c>
      <c r="AL5014">
        <v>81.952541553967194</v>
      </c>
      <c r="AM5014">
        <v>61.513011593497602</v>
      </c>
      <c r="AN5014">
        <v>1.0000000125271</v>
      </c>
    </row>
    <row r="5015" spans="1:40" x14ac:dyDescent="0.25">
      <c r="A5015" t="str">
        <f>"20190312172805801"</f>
        <v>20190312172805801</v>
      </c>
      <c r="B5015" t="str">
        <f>"1552382885794226"</f>
        <v>1552382885794226</v>
      </c>
      <c r="C5015" t="s">
        <v>40</v>
      </c>
      <c r="D5015">
        <v>3.4853869999999998</v>
      </c>
      <c r="E5015">
        <v>0.60442929999999995</v>
      </c>
      <c r="F5015" t="s">
        <v>43</v>
      </c>
      <c r="G5015">
        <v>-306.86810000000003</v>
      </c>
      <c r="H5015">
        <v>-0.05</v>
      </c>
      <c r="I5015">
        <v>-0.20640559999999999</v>
      </c>
      <c r="J5015">
        <v>-314.10939999999999</v>
      </c>
      <c r="K5015">
        <v>1.057528</v>
      </c>
      <c r="L5015">
        <v>14.59479</v>
      </c>
      <c r="M5015">
        <v>0.93902739999999996</v>
      </c>
      <c r="N5015">
        <v>0</v>
      </c>
      <c r="O5015">
        <v>-0.34349590000000002</v>
      </c>
      <c r="P5015">
        <v>0.65854559999999995</v>
      </c>
      <c r="Q5015">
        <v>0.13184989999999999</v>
      </c>
      <c r="R5015">
        <v>-0.74090029999999996</v>
      </c>
      <c r="S5015">
        <v>1.4099429999999999</v>
      </c>
      <c r="T5015">
        <v>-0.2116827</v>
      </c>
      <c r="U5015">
        <v>-2.8394469999999998</v>
      </c>
      <c r="V5015">
        <v>0.47100320000000001</v>
      </c>
      <c r="W5015">
        <v>0.1406094</v>
      </c>
      <c r="X5015">
        <v>0.87085299999999999</v>
      </c>
      <c r="Y5015">
        <v>0.68766300000000002</v>
      </c>
      <c r="Z5015">
        <v>-2.0429509999999999E-3</v>
      </c>
      <c r="AA5015">
        <v>0.72602709999999904</v>
      </c>
      <c r="AB5015">
        <v>17</v>
      </c>
      <c r="AC5015">
        <v>7.2412999999999599</v>
      </c>
      <c r="AD5015">
        <v>-1.1075280000000001</v>
      </c>
      <c r="AE5015">
        <v>-14.8011956</v>
      </c>
      <c r="AF5015">
        <v>11.361402378562399</v>
      </c>
      <c r="AG5015">
        <v>-1.1075280000000001</v>
      </c>
      <c r="AH5015">
        <v>11.831890861507301</v>
      </c>
      <c r="AI5015">
        <v>93.862619742433793</v>
      </c>
      <c r="AJ5015">
        <v>46.162116452600301</v>
      </c>
      <c r="AK5015">
        <v>16.440855319508401</v>
      </c>
      <c r="AL5015">
        <v>81.916888736265307</v>
      </c>
      <c r="AM5015">
        <v>61.5931409684325</v>
      </c>
      <c r="AN5015">
        <v>0.99999998269379997</v>
      </c>
    </row>
    <row r="5016" spans="1:40" x14ac:dyDescent="0.25">
      <c r="A5016" t="str">
        <f>"20190312172805817"</f>
        <v>20190312172805817</v>
      </c>
      <c r="B5016" t="str">
        <f>"1552382885814723"</f>
        <v>1552382885814723</v>
      </c>
      <c r="C5016" t="s">
        <v>40</v>
      </c>
      <c r="D5016">
        <v>3.5053139999999998</v>
      </c>
      <c r="E5016">
        <v>0.60382559999999996</v>
      </c>
      <c r="F5016" t="s">
        <v>43</v>
      </c>
      <c r="G5016">
        <v>-306.70260000000002</v>
      </c>
      <c r="H5016">
        <v>-0.05</v>
      </c>
      <c r="I5016">
        <v>-0.47294619999999998</v>
      </c>
      <c r="J5016">
        <v>-313.99549999999999</v>
      </c>
      <c r="K5016">
        <v>1.0573549999999901</v>
      </c>
      <c r="L5016">
        <v>14.545529999999999</v>
      </c>
      <c r="M5016">
        <v>0.93693150000000003</v>
      </c>
      <c r="N5016">
        <v>0</v>
      </c>
      <c r="O5016">
        <v>-0.34917769999999998</v>
      </c>
      <c r="P5016">
        <v>0.65458950000000005</v>
      </c>
      <c r="Q5016">
        <v>0.13248370000000001</v>
      </c>
      <c r="R5016">
        <v>-0.74428499999999997</v>
      </c>
      <c r="S5016">
        <v>1.3979189999999999</v>
      </c>
      <c r="T5016">
        <v>-0.2090293</v>
      </c>
      <c r="U5016">
        <v>-2.8438110000000001</v>
      </c>
      <c r="V5016">
        <v>0.47027160000000001</v>
      </c>
      <c r="W5016">
        <v>0.14112439999999901</v>
      </c>
      <c r="X5016">
        <v>0.87116499999999997</v>
      </c>
      <c r="Y5016">
        <v>0.68620839999999905</v>
      </c>
      <c r="Z5016">
        <v>-1.5171150000000001E-3</v>
      </c>
      <c r="AA5016">
        <v>0.72740340000000003</v>
      </c>
      <c r="AB5016">
        <v>17</v>
      </c>
      <c r="AC5016">
        <v>7.2928999999999702</v>
      </c>
      <c r="AD5016">
        <v>-1.1073550000000001</v>
      </c>
      <c r="AE5016">
        <v>-15.018476199999901</v>
      </c>
      <c r="AF5016">
        <v>11.475632235276301</v>
      </c>
      <c r="AG5016">
        <v>-1.1073550000000001</v>
      </c>
      <c r="AH5016">
        <v>12.0255769637831</v>
      </c>
      <c r="AI5016">
        <v>93.811309220043398</v>
      </c>
      <c r="AJ5016">
        <v>46.340516654745699</v>
      </c>
      <c r="AK5016">
        <v>16.659257834825901</v>
      </c>
      <c r="AL5016">
        <v>81.887084075100802</v>
      </c>
      <c r="AM5016">
        <v>61.638974319699699</v>
      </c>
      <c r="AN5016">
        <v>0.99999996563345905</v>
      </c>
    </row>
    <row r="5017" spans="1:40" x14ac:dyDescent="0.25">
      <c r="A5017" t="str">
        <f>"20190312172805835"</f>
        <v>20190312172805835</v>
      </c>
      <c r="B5017" t="str">
        <f>"1552382885824483"</f>
        <v>1552382885824483</v>
      </c>
      <c r="C5017" t="s">
        <v>40</v>
      </c>
      <c r="D5017">
        <v>3.4853390000000002</v>
      </c>
      <c r="E5017">
        <v>0.60362879999999997</v>
      </c>
      <c r="F5017" t="s">
        <v>43</v>
      </c>
      <c r="G5017">
        <v>-306.5616</v>
      </c>
      <c r="H5017">
        <v>-0.05</v>
      </c>
      <c r="I5017">
        <v>-0.72427369999999902</v>
      </c>
      <c r="J5017">
        <v>-313.86399999999998</v>
      </c>
      <c r="K5017">
        <v>1.05718</v>
      </c>
      <c r="L5017">
        <v>14.48767</v>
      </c>
      <c r="M5017">
        <v>0.93443980000000004</v>
      </c>
      <c r="N5017">
        <v>0</v>
      </c>
      <c r="O5017">
        <v>-0.35579719999999998</v>
      </c>
      <c r="P5017">
        <v>0.65029139999999996</v>
      </c>
      <c r="Q5017">
        <v>0.13337270000000001</v>
      </c>
      <c r="R5017">
        <v>-0.74788549999999998</v>
      </c>
      <c r="S5017">
        <v>1.386536</v>
      </c>
      <c r="T5017">
        <v>-0.20653859999999999</v>
      </c>
      <c r="U5017">
        <v>-2.8480530000000002</v>
      </c>
      <c r="V5017">
        <v>0.46899289999999999</v>
      </c>
      <c r="W5017">
        <v>0.14189289999999999</v>
      </c>
      <c r="X5017">
        <v>0.87172939999999999</v>
      </c>
      <c r="Y5017">
        <v>0.68386930000000001</v>
      </c>
      <c r="Z5017">
        <v>-8.9074670000000001E-4</v>
      </c>
      <c r="AA5017">
        <v>0.72960400000000003</v>
      </c>
      <c r="AB5017">
        <v>17</v>
      </c>
      <c r="AC5017">
        <v>7.3024000000000298</v>
      </c>
      <c r="AD5017">
        <v>-1.1071799999999901</v>
      </c>
      <c r="AE5017">
        <v>-15.211943700000001</v>
      </c>
      <c r="AF5017">
        <v>11.568007815318399</v>
      </c>
      <c r="AG5017">
        <v>-1.1071799999999901</v>
      </c>
      <c r="AH5017">
        <v>12.1849710538729</v>
      </c>
      <c r="AI5017">
        <v>93.770195508643894</v>
      </c>
      <c r="AJ5017">
        <v>46.487874154024901</v>
      </c>
      <c r="AK5017">
        <v>16.8379978605352</v>
      </c>
      <c r="AL5017">
        <v>81.842605290010795</v>
      </c>
      <c r="AM5017">
        <v>61.719621953156498</v>
      </c>
      <c r="AN5017">
        <v>1.00000004107258</v>
      </c>
    </row>
    <row r="5018" spans="1:40" x14ac:dyDescent="0.25">
      <c r="A5018" t="str">
        <f>"20190312172805849"</f>
        <v>20190312172805849</v>
      </c>
      <c r="B5018" t="str">
        <f>"1552382885844003"</f>
        <v>1552382885844003</v>
      </c>
      <c r="C5018" t="s">
        <v>40</v>
      </c>
      <c r="D5018">
        <v>3.4822489999999999</v>
      </c>
      <c r="E5018">
        <v>0.60316049999999999</v>
      </c>
      <c r="F5018" t="s">
        <v>43</v>
      </c>
      <c r="G5018">
        <v>-306.42309999999998</v>
      </c>
      <c r="H5018">
        <v>-0.05</v>
      </c>
      <c r="I5018">
        <v>-0.99877930000000004</v>
      </c>
      <c r="J5018">
        <v>-313.76170000000002</v>
      </c>
      <c r="K5018">
        <v>1.057053</v>
      </c>
      <c r="L5018">
        <v>14.44196</v>
      </c>
      <c r="M5018">
        <v>0.93245109999999998</v>
      </c>
      <c r="N5018">
        <v>0</v>
      </c>
      <c r="O5018">
        <v>-0.3609813</v>
      </c>
      <c r="P5018">
        <v>0.64646110000000001</v>
      </c>
      <c r="Q5018">
        <v>0.13384769999999999</v>
      </c>
      <c r="R5018">
        <v>-0.75111499999999998</v>
      </c>
      <c r="S5018">
        <v>1.3717349999999999</v>
      </c>
      <c r="T5018">
        <v>-0.20411009999999999</v>
      </c>
      <c r="U5018">
        <v>-2.8549500000000001</v>
      </c>
      <c r="V5018">
        <v>0.46853850000000002</v>
      </c>
      <c r="W5018">
        <v>0.14226949999999999</v>
      </c>
      <c r="X5018">
        <v>0.87191229999999997</v>
      </c>
      <c r="Y5018">
        <v>0.68360379999999998</v>
      </c>
      <c r="Z5018">
        <v>-4.8326329999999999E-4</v>
      </c>
      <c r="AA5018">
        <v>0.72985319999999998</v>
      </c>
      <c r="AB5018">
        <v>17</v>
      </c>
      <c r="AC5018">
        <v>7.3386000000000404</v>
      </c>
      <c r="AD5018">
        <v>-1.1070530000000001</v>
      </c>
      <c r="AE5018">
        <v>-15.440739300000001</v>
      </c>
      <c r="AF5018">
        <v>11.7009085089257</v>
      </c>
      <c r="AG5018">
        <v>-1.1070530000000001</v>
      </c>
      <c r="AH5018">
        <v>12.366261319546799</v>
      </c>
      <c r="AI5018">
        <v>93.7205239536394</v>
      </c>
      <c r="AJ5018">
        <v>46.583576327787398</v>
      </c>
      <c r="AK5018">
        <v>17.060517146393298</v>
      </c>
      <c r="AL5018">
        <v>81.820806195389395</v>
      </c>
      <c r="AM5018">
        <v>61.747801225582002</v>
      </c>
      <c r="AN5018">
        <v>0.99999999775189397</v>
      </c>
    </row>
    <row r="5019" spans="1:40" x14ac:dyDescent="0.25">
      <c r="A5019" t="str">
        <f>"20190312172805867"</f>
        <v>20190312172805867</v>
      </c>
      <c r="B5019" t="str">
        <f>"1552382885864499"</f>
        <v>1552382885864499</v>
      </c>
      <c r="C5019" t="s">
        <v>40</v>
      </c>
      <c r="D5019">
        <v>3.4804379999999999</v>
      </c>
      <c r="E5019">
        <v>0.6027768</v>
      </c>
      <c r="F5019" t="s">
        <v>41</v>
      </c>
      <c r="G5019">
        <v>-306.66989999999998</v>
      </c>
      <c r="H5019" s="1">
        <v>-5.4387339999999998E-6</v>
      </c>
      <c r="I5019">
        <v>-0.46791270000000001</v>
      </c>
      <c r="J5019">
        <v>-313.63350000000003</v>
      </c>
      <c r="K5019">
        <v>1.056916</v>
      </c>
      <c r="L5019">
        <v>14.38348</v>
      </c>
      <c r="M5019">
        <v>0.92988360000000003</v>
      </c>
      <c r="N5019">
        <v>0</v>
      </c>
      <c r="O5019">
        <v>-0.36754900000000001</v>
      </c>
      <c r="P5019">
        <v>0.64159960000000005</v>
      </c>
      <c r="Q5019">
        <v>0.1349901</v>
      </c>
      <c r="R5019">
        <v>-0.75506799999999996</v>
      </c>
      <c r="S5019">
        <v>1.3601379999999901</v>
      </c>
      <c r="T5019">
        <v>-0.20273070000000001</v>
      </c>
      <c r="U5019">
        <v>-2.8595280000000001</v>
      </c>
      <c r="V5019">
        <v>0.46784619999999999</v>
      </c>
      <c r="W5019">
        <v>0.14329979999999901</v>
      </c>
      <c r="X5019">
        <v>0.87211530000000004</v>
      </c>
      <c r="Y5019">
        <v>0.68134490000000003</v>
      </c>
      <c r="Z5019">
        <v>1.111683E-4</v>
      </c>
      <c r="AA5019">
        <v>0.73196240000000001</v>
      </c>
      <c r="AB5019">
        <v>17</v>
      </c>
      <c r="AC5019">
        <v>6.9636000000000404</v>
      </c>
      <c r="AD5019">
        <v>-1.056921438734</v>
      </c>
      <c r="AE5019">
        <v>-14.8513926999999</v>
      </c>
      <c r="AF5019">
        <v>11.2053407464355</v>
      </c>
      <c r="AG5019">
        <v>-1.056921438734</v>
      </c>
      <c r="AH5019">
        <v>11.885941287978101</v>
      </c>
      <c r="AI5019">
        <v>93.702020171944298</v>
      </c>
      <c r="AJ5019">
        <v>46.688267117238802</v>
      </c>
      <c r="AK5019">
        <v>16.369249966710299</v>
      </c>
      <c r="AL5019">
        <v>81.761163238042798</v>
      </c>
      <c r="AM5019">
        <v>61.7886691840529</v>
      </c>
      <c r="AN5019">
        <v>0.99999999801428496</v>
      </c>
    </row>
    <row r="5020" spans="1:40" x14ac:dyDescent="0.25">
      <c r="A5020" t="str">
        <f>"20190312172805891"</f>
        <v>20190312172805891</v>
      </c>
      <c r="B5020" t="str">
        <f>"1552382885884994"</f>
        <v>1552382885884994</v>
      </c>
      <c r="C5020" t="s">
        <v>40</v>
      </c>
      <c r="D5020">
        <v>3.5281220000000002</v>
      </c>
      <c r="E5020">
        <v>0.60229239999999995</v>
      </c>
      <c r="F5020" t="s">
        <v>41</v>
      </c>
      <c r="G5020">
        <v>-306.5172</v>
      </c>
      <c r="H5020" s="1">
        <v>-5.2882810000000004E-6</v>
      </c>
      <c r="I5020">
        <v>-0.78921509999999995</v>
      </c>
      <c r="J5020">
        <v>-313.47089999999997</v>
      </c>
      <c r="K5020">
        <v>1.0567610000000001</v>
      </c>
      <c r="L5020">
        <v>14.307429999999901</v>
      </c>
      <c r="M5020">
        <v>0.92650569999999999</v>
      </c>
      <c r="N5020">
        <v>0</v>
      </c>
      <c r="O5020">
        <v>-0.37598710000000002</v>
      </c>
      <c r="P5020">
        <v>0.63516640000000002</v>
      </c>
      <c r="Q5020">
        <v>0.13644539999999999</v>
      </c>
      <c r="R5020">
        <v>-0.76022789999999996</v>
      </c>
      <c r="S5020">
        <v>1.3444210000000001</v>
      </c>
      <c r="T5020">
        <v>-0.1996754</v>
      </c>
      <c r="U5020">
        <v>-2.8664550000000002</v>
      </c>
      <c r="V5020">
        <v>0.46710590000000002</v>
      </c>
      <c r="W5020">
        <v>0.144625799999999</v>
      </c>
      <c r="X5020">
        <v>0.87229319999999899</v>
      </c>
      <c r="Y5020">
        <v>0.67869449999999998</v>
      </c>
      <c r="Z5020">
        <v>8.4680129999999999E-4</v>
      </c>
      <c r="AA5020">
        <v>0.73442019999999997</v>
      </c>
      <c r="AB5020">
        <v>17</v>
      </c>
      <c r="AC5020">
        <v>6.9536999999999596</v>
      </c>
      <c r="AD5020">
        <v>-1.0567662882810001</v>
      </c>
      <c r="AE5020">
        <v>-15.0966450999999</v>
      </c>
      <c r="AF5020">
        <v>11.3280901892439</v>
      </c>
      <c r="AG5020">
        <v>-1.0567662882810001</v>
      </c>
      <c r="AH5020">
        <v>12.071328428432601</v>
      </c>
      <c r="AI5020">
        <v>93.652612922284604</v>
      </c>
      <c r="AJ5020">
        <v>46.819280323562097</v>
      </c>
      <c r="AK5020">
        <v>16.587927910103001</v>
      </c>
      <c r="AL5020">
        <v>81.684389175150997</v>
      </c>
      <c r="AM5020">
        <v>61.831313440909803</v>
      </c>
      <c r="AN5020">
        <v>0.999999985303344</v>
      </c>
    </row>
    <row r="5021" spans="1:40" x14ac:dyDescent="0.25">
      <c r="A5021" t="str">
        <f>"20190312172805914"</f>
        <v>20190312172805914</v>
      </c>
      <c r="B5021" t="str">
        <f>"1552382885904514"</f>
        <v>1552382885904514</v>
      </c>
      <c r="C5021" t="s">
        <v>40</v>
      </c>
      <c r="D5021">
        <v>3.5280520000000002</v>
      </c>
      <c r="E5021">
        <v>0.60194930000000002</v>
      </c>
      <c r="F5021" t="s">
        <v>41</v>
      </c>
      <c r="G5021">
        <v>-306.29680000000002</v>
      </c>
      <c r="H5021" s="1">
        <v>-5.0611219999999999E-6</v>
      </c>
      <c r="I5021">
        <v>-1.2789090000000001</v>
      </c>
      <c r="J5021">
        <v>-313.3125</v>
      </c>
      <c r="K5021">
        <v>1.0566249999999999</v>
      </c>
      <c r="L5021">
        <v>14.231540000000001</v>
      </c>
      <c r="M5021">
        <v>0.92308840000000003</v>
      </c>
      <c r="N5021">
        <v>0</v>
      </c>
      <c r="O5021">
        <v>-0.38430439999999999</v>
      </c>
      <c r="P5021">
        <v>0.62906719999999905</v>
      </c>
      <c r="Q5021">
        <v>0.137323</v>
      </c>
      <c r="R5021">
        <v>-0.76512590000000003</v>
      </c>
      <c r="S5021">
        <v>1.3234859999999999</v>
      </c>
      <c r="T5021">
        <v>-0.19495419999999999</v>
      </c>
      <c r="U5021">
        <v>-2.875397</v>
      </c>
      <c r="V5021">
        <v>0.46610849999999998</v>
      </c>
      <c r="W5021">
        <v>0.14539669999999999</v>
      </c>
      <c r="X5021">
        <v>0.87269850000000004</v>
      </c>
      <c r="Y5021">
        <v>0.67740959999999995</v>
      </c>
      <c r="Z5021">
        <v>1.4784129999999901E-3</v>
      </c>
      <c r="AA5021">
        <v>0.73560449999999999</v>
      </c>
      <c r="AB5021">
        <v>17</v>
      </c>
      <c r="AC5021">
        <v>7.0156999999999803</v>
      </c>
      <c r="AD5021">
        <v>-1.0566300611220001</v>
      </c>
      <c r="AE5021">
        <v>-15.510448999999999</v>
      </c>
      <c r="AF5021">
        <v>11.578012015830801</v>
      </c>
      <c r="AG5021">
        <v>-1.0566300611220001</v>
      </c>
      <c r="AH5021">
        <v>12.390464731825301</v>
      </c>
      <c r="AI5021">
        <v>93.565411944911205</v>
      </c>
      <c r="AJ5021">
        <v>46.941395606887397</v>
      </c>
      <c r="AK5021">
        <v>16.9908930193617</v>
      </c>
      <c r="AL5021">
        <v>81.63974814913</v>
      </c>
      <c r="AM5021">
        <v>61.8933131061221</v>
      </c>
      <c r="AN5021">
        <v>1.0000000030226901</v>
      </c>
    </row>
    <row r="5022" spans="1:40" x14ac:dyDescent="0.25">
      <c r="A5022" t="str">
        <f>"20190312172805935"</f>
        <v>20190312172805935</v>
      </c>
      <c r="B5022" t="str">
        <f>"1552382885924035"</f>
        <v>1552382885924035</v>
      </c>
      <c r="C5022" t="s">
        <v>40</v>
      </c>
      <c r="D5022">
        <v>3.4985550000000001</v>
      </c>
      <c r="E5022">
        <v>0.60158129999999999</v>
      </c>
      <c r="F5022" t="s">
        <v>41</v>
      </c>
      <c r="G5022">
        <v>-306.16789999999997</v>
      </c>
      <c r="H5022" s="1">
        <v>-4.9207140000000001E-6</v>
      </c>
      <c r="I5022">
        <v>-1.5850249999999999</v>
      </c>
      <c r="J5022">
        <v>-313.16000000000003</v>
      </c>
      <c r="K5022">
        <v>1.056514</v>
      </c>
      <c r="L5022">
        <v>14.15668</v>
      </c>
      <c r="M5022">
        <v>0.91967600000000005</v>
      </c>
      <c r="N5022">
        <v>0</v>
      </c>
      <c r="O5022">
        <v>-0.39240370000000002</v>
      </c>
      <c r="P5022">
        <v>0.62305350000000004</v>
      </c>
      <c r="Q5022">
        <v>0.13804920000000001</v>
      </c>
      <c r="R5022">
        <v>-0.76990059999999905</v>
      </c>
      <c r="S5022">
        <v>1.3028869999999999</v>
      </c>
      <c r="T5022">
        <v>-0.19268689999999999</v>
      </c>
      <c r="U5022">
        <v>-2.8843079999999999</v>
      </c>
      <c r="V5022">
        <v>0.46516859999999999</v>
      </c>
      <c r="W5022">
        <v>0.14603829999999901</v>
      </c>
      <c r="X5022">
        <v>0.8730928</v>
      </c>
      <c r="Y5022">
        <v>0.67618540000000005</v>
      </c>
      <c r="Z5022">
        <v>2.0887929999999998E-3</v>
      </c>
      <c r="AA5022">
        <v>0.73672850000000001</v>
      </c>
      <c r="AB5022">
        <v>17</v>
      </c>
      <c r="AC5022">
        <v>6.9921000000000504</v>
      </c>
      <c r="AD5022">
        <v>-1.056518920714</v>
      </c>
      <c r="AE5022">
        <v>-15.741705</v>
      </c>
      <c r="AF5022">
        <v>11.6908221411071</v>
      </c>
      <c r="AG5022">
        <v>-1.056518920714</v>
      </c>
      <c r="AH5022">
        <v>12.561667394784999</v>
      </c>
      <c r="AI5022">
        <v>93.523148379688493</v>
      </c>
      <c r="AJ5022">
        <v>47.0564622800499</v>
      </c>
      <c r="AK5022">
        <v>17.192645005991199</v>
      </c>
      <c r="AL5022">
        <v>81.602590746562697</v>
      </c>
      <c r="AM5022">
        <v>61.952088145634498</v>
      </c>
      <c r="AN5022">
        <v>1.0000000244523399</v>
      </c>
    </row>
    <row r="5023" spans="1:40" x14ac:dyDescent="0.25">
      <c r="A5023" t="str">
        <f>"20190312172805957"</f>
        <v>20190312172805957</v>
      </c>
      <c r="B5023" t="str">
        <f>"1552382885954291"</f>
        <v>1552382885954291</v>
      </c>
      <c r="C5023" t="s">
        <v>40</v>
      </c>
      <c r="D5023">
        <v>3.5427529999999998</v>
      </c>
      <c r="E5023">
        <v>0.5949084</v>
      </c>
      <c r="F5023" t="s">
        <v>41</v>
      </c>
      <c r="G5023">
        <v>-306.06119999999999</v>
      </c>
      <c r="H5023" s="1">
        <v>-4.7994619999999998E-6</v>
      </c>
      <c r="I5023">
        <v>-1.851477</v>
      </c>
      <c r="J5023">
        <v>-313.01229999999998</v>
      </c>
      <c r="K5023">
        <v>1.056422</v>
      </c>
      <c r="L5023">
        <v>14.08249</v>
      </c>
      <c r="M5023">
        <v>0.91625509999999999</v>
      </c>
      <c r="N5023">
        <v>0</v>
      </c>
      <c r="O5023">
        <v>-0.4003294</v>
      </c>
      <c r="P5023">
        <v>0.61697999999999997</v>
      </c>
      <c r="Q5023">
        <v>0.13861219999999999</v>
      </c>
      <c r="R5023">
        <v>-0.77467569999999997</v>
      </c>
      <c r="S5023">
        <v>1.2827759999999999</v>
      </c>
      <c r="T5023">
        <v>-0.19091669999999999</v>
      </c>
      <c r="U5023">
        <v>-2.8927309999999999</v>
      </c>
      <c r="V5023">
        <v>0.4644144</v>
      </c>
      <c r="W5023">
        <v>0.14653070000000001</v>
      </c>
      <c r="X5023">
        <v>0.87341170000000001</v>
      </c>
      <c r="Y5023">
        <v>0.67492180000000002</v>
      </c>
      <c r="Z5023">
        <v>2.6825719999999998E-3</v>
      </c>
      <c r="AA5023">
        <v>0.7378844</v>
      </c>
      <c r="AB5023">
        <v>17</v>
      </c>
      <c r="AC5023">
        <v>6.9510999999999896</v>
      </c>
      <c r="AD5023">
        <v>-1.056426799462</v>
      </c>
      <c r="AE5023">
        <v>-15.933967000000001</v>
      </c>
      <c r="AF5023">
        <v>11.774624427626801</v>
      </c>
      <c r="AG5023">
        <v>-1.056426799462</v>
      </c>
      <c r="AH5023">
        <v>12.702265299587401</v>
      </c>
      <c r="AI5023">
        <v>93.490369831872698</v>
      </c>
      <c r="AJ5023">
        <v>47.170393495160297</v>
      </c>
      <c r="AK5023">
        <v>17.352387781956399</v>
      </c>
      <c r="AL5023">
        <v>81.574071213136705</v>
      </c>
      <c r="AM5023">
        <v>61.999326911126502</v>
      </c>
      <c r="AN5023">
        <v>0.99999998933336898</v>
      </c>
    </row>
    <row r="5024" spans="1:40" x14ac:dyDescent="0.25">
      <c r="A5024" t="str">
        <f>"20190312172805979"</f>
        <v>20190312172805979</v>
      </c>
      <c r="B5024" t="str">
        <f>"1552382885974786"</f>
        <v>1552382885974786</v>
      </c>
      <c r="C5024" t="s">
        <v>40</v>
      </c>
      <c r="D5024">
        <v>3.5389080000000002</v>
      </c>
      <c r="E5024">
        <v>0.59451609999999999</v>
      </c>
      <c r="F5024" t="s">
        <v>43</v>
      </c>
      <c r="G5024">
        <v>-306.46230000000003</v>
      </c>
      <c r="H5024">
        <v>-0.05</v>
      </c>
      <c r="I5024">
        <v>-0.33970640000000002</v>
      </c>
      <c r="J5024">
        <v>-312.8528</v>
      </c>
      <c r="K5024">
        <v>1.0563389999999999</v>
      </c>
      <c r="L5024">
        <v>14.00043</v>
      </c>
      <c r="M5024">
        <v>0.91242780000000001</v>
      </c>
      <c r="N5024">
        <v>0</v>
      </c>
      <c r="O5024">
        <v>-0.40897929999999999</v>
      </c>
      <c r="P5024">
        <v>0.60978959999999904</v>
      </c>
      <c r="Q5024">
        <v>0.139008399999999</v>
      </c>
      <c r="R5024">
        <v>-0.78027769999999996</v>
      </c>
      <c r="S5024">
        <v>1.3047489999999999</v>
      </c>
      <c r="T5024">
        <v>-0.22039600000000001</v>
      </c>
      <c r="U5024">
        <v>-2.8728639999999999</v>
      </c>
      <c r="V5024">
        <v>0.46417380000000003</v>
      </c>
      <c r="W5024">
        <v>0.14685290000000001</v>
      </c>
      <c r="X5024">
        <v>0.87348549999999903</v>
      </c>
      <c r="Y5024">
        <v>0.66114289999999998</v>
      </c>
      <c r="Z5024">
        <v>4.4879949999999998E-3</v>
      </c>
      <c r="AA5024">
        <v>0.75024659999999999</v>
      </c>
      <c r="AB5024">
        <v>17</v>
      </c>
      <c r="AC5024">
        <v>6.3904999999999701</v>
      </c>
      <c r="AD5024">
        <v>-1.106339</v>
      </c>
      <c r="AE5024">
        <v>-14.3401364</v>
      </c>
      <c r="AF5024">
        <v>10.420118740248</v>
      </c>
      <c r="AG5024">
        <v>-1.106339</v>
      </c>
      <c r="AH5024">
        <v>11.6391266980353</v>
      </c>
      <c r="AI5024">
        <v>94.050872989170102</v>
      </c>
      <c r="AJ5024">
        <v>48.162984257337499</v>
      </c>
      <c r="AK5024">
        <v>15.6611663306635</v>
      </c>
      <c r="AL5024">
        <v>81.555408756778803</v>
      </c>
      <c r="AM5024">
        <v>62.0136389264039</v>
      </c>
      <c r="AN5024">
        <v>1.0000000047775499</v>
      </c>
    </row>
    <row r="5025" spans="1:40" x14ac:dyDescent="0.25">
      <c r="A5025" t="str">
        <f>"20190312172806003"</f>
        <v>20190312172806003</v>
      </c>
      <c r="B5025" t="str">
        <f>"1552382885994306"</f>
        <v>1552382885994306</v>
      </c>
      <c r="C5025" t="s">
        <v>40</v>
      </c>
      <c r="D5025">
        <v>3.546767</v>
      </c>
      <c r="E5025">
        <v>0.59419919999999904</v>
      </c>
      <c r="F5025" t="s">
        <v>43</v>
      </c>
      <c r="G5025">
        <v>-306.45960000000002</v>
      </c>
      <c r="H5025">
        <v>-0.05</v>
      </c>
      <c r="I5025">
        <v>-0.38980100000000001</v>
      </c>
      <c r="J5025">
        <v>-312.70049999999998</v>
      </c>
      <c r="K5025">
        <v>1.0562750000000001</v>
      </c>
      <c r="L5025">
        <v>13.920229999999901</v>
      </c>
      <c r="M5025">
        <v>0.90864560000000005</v>
      </c>
      <c r="N5025">
        <v>0</v>
      </c>
      <c r="O5025">
        <v>-0.4173171</v>
      </c>
      <c r="P5025">
        <v>0.60276509999999905</v>
      </c>
      <c r="Q5025">
        <v>0.13961670000000001</v>
      </c>
      <c r="R5025">
        <v>-0.78560889999999906</v>
      </c>
      <c r="S5025">
        <v>1.280945</v>
      </c>
      <c r="T5025">
        <v>-0.2216669</v>
      </c>
      <c r="U5025">
        <v>-2.8832399999999998</v>
      </c>
      <c r="V5025">
        <v>0.46392549999999999</v>
      </c>
      <c r="W5025">
        <v>0.14739720000000001</v>
      </c>
      <c r="X5025">
        <v>0.87352569999999996</v>
      </c>
      <c r="Y5025">
        <v>0.66045919999999902</v>
      </c>
      <c r="Z5025">
        <v>5.2327700000000003E-3</v>
      </c>
      <c r="AA5025">
        <v>0.7508437</v>
      </c>
      <c r="AB5025">
        <v>17</v>
      </c>
      <c r="AC5025">
        <v>6.2408999999999502</v>
      </c>
      <c r="AD5025">
        <v>-1.1062749999999999</v>
      </c>
      <c r="AE5025">
        <v>-14.310031</v>
      </c>
      <c r="AF5025">
        <v>10.3474437550161</v>
      </c>
      <c r="AG5025">
        <v>-1.1062749999999999</v>
      </c>
      <c r="AH5025">
        <v>11.585631298378599</v>
      </c>
      <c r="AI5025">
        <v>94.073593014188106</v>
      </c>
      <c r="AJ5025">
        <v>48.2310882304876</v>
      </c>
      <c r="AK5025">
        <v>15.5730629363917</v>
      </c>
      <c r="AL5025">
        <v>81.523879317021397</v>
      </c>
      <c r="AM5025">
        <v>62.027433323579302</v>
      </c>
      <c r="AN5025">
        <v>0.99999997633928905</v>
      </c>
    </row>
    <row r="5026" spans="1:40" x14ac:dyDescent="0.25">
      <c r="A5026" t="str">
        <f>"20190312172806014"</f>
        <v>20190312172806014</v>
      </c>
      <c r="B5026" t="str">
        <f>"1552382886005043"</f>
        <v>1552382886005043</v>
      </c>
      <c r="C5026" t="s">
        <v>40</v>
      </c>
      <c r="D5026">
        <v>3.5157759999999998</v>
      </c>
      <c r="E5026">
        <v>0.59377690000000005</v>
      </c>
      <c r="F5026" t="s">
        <v>43</v>
      </c>
      <c r="G5026">
        <v>-306.42430000000002</v>
      </c>
      <c r="H5026">
        <v>-0.05</v>
      </c>
      <c r="I5026">
        <v>-0.51943969999999995</v>
      </c>
      <c r="J5026">
        <v>-312.61619999999999</v>
      </c>
      <c r="K5026">
        <v>1.056243</v>
      </c>
      <c r="L5026">
        <v>13.875</v>
      </c>
      <c r="M5026">
        <v>0.90649440000000003</v>
      </c>
      <c r="N5026">
        <v>0</v>
      </c>
      <c r="O5026">
        <v>-0.42197050000000003</v>
      </c>
      <c r="P5026">
        <v>0.59883399999999998</v>
      </c>
      <c r="Q5026">
        <v>0.13989789999999999</v>
      </c>
      <c r="R5026">
        <v>-0.78855980000000003</v>
      </c>
      <c r="S5026">
        <v>1.2575379999999901</v>
      </c>
      <c r="T5026">
        <v>-0.22165989999999999</v>
      </c>
      <c r="U5026">
        <v>-2.8932190000000002</v>
      </c>
      <c r="V5026">
        <v>0.46377040000000003</v>
      </c>
      <c r="W5026">
        <v>0.1476452</v>
      </c>
      <c r="X5026">
        <v>0.87356619999999996</v>
      </c>
      <c r="Y5026">
        <v>0.66266590000000003</v>
      </c>
      <c r="Z5026">
        <v>5.5096069999999997E-3</v>
      </c>
      <c r="AA5026">
        <v>0.74889490000000003</v>
      </c>
      <c r="AB5026">
        <v>17</v>
      </c>
      <c r="AC5026">
        <v>6.1918999999999702</v>
      </c>
      <c r="AD5026">
        <v>-1.1062430000000001</v>
      </c>
      <c r="AE5026">
        <v>-14.3944397</v>
      </c>
      <c r="AF5026">
        <v>10.3850104085585</v>
      </c>
      <c r="AG5026">
        <v>-1.1062430000000001</v>
      </c>
      <c r="AH5026">
        <v>11.6302067324314</v>
      </c>
      <c r="AI5026">
        <v>94.0583031640207</v>
      </c>
      <c r="AJ5026">
        <v>48.237240838635898</v>
      </c>
      <c r="AK5026">
        <v>15.631184324932301</v>
      </c>
      <c r="AL5026">
        <v>81.509512957542697</v>
      </c>
      <c r="AM5026">
        <v>62.036469147570202</v>
      </c>
      <c r="AN5026">
        <v>0.99999999739082002</v>
      </c>
    </row>
    <row r="5027" spans="1:40" x14ac:dyDescent="0.25">
      <c r="A5027" t="str">
        <f>"20190312172806036"</f>
        <v>20190312172806036</v>
      </c>
      <c r="B5027" t="str">
        <f>"1552382886024563"</f>
        <v>1552382886024563</v>
      </c>
      <c r="C5027" t="s">
        <v>40</v>
      </c>
      <c r="D5027">
        <v>3.5396390000000002</v>
      </c>
      <c r="E5027">
        <v>0.59331859999999903</v>
      </c>
      <c r="F5027" t="s">
        <v>43</v>
      </c>
      <c r="G5027">
        <v>-306.39420000000001</v>
      </c>
      <c r="H5027">
        <v>-0.05</v>
      </c>
      <c r="I5027">
        <v>-0.59848020000000002</v>
      </c>
      <c r="J5027">
        <v>-312.4735</v>
      </c>
      <c r="K5027">
        <v>1.0561910000000001</v>
      </c>
      <c r="L5027">
        <v>13.797029999999999</v>
      </c>
      <c r="M5027">
        <v>0.9027579</v>
      </c>
      <c r="N5027">
        <v>0</v>
      </c>
      <c r="O5027">
        <v>-0.4299074</v>
      </c>
      <c r="P5027">
        <v>0.59210699999999905</v>
      </c>
      <c r="Q5027">
        <v>0.14043849999999999</v>
      </c>
      <c r="R5027">
        <v>-0.79352800000000001</v>
      </c>
      <c r="S5027">
        <v>1.2456969999999901</v>
      </c>
      <c r="T5027">
        <v>-0.2214787</v>
      </c>
      <c r="U5027">
        <v>-2.8977050000000002</v>
      </c>
      <c r="V5027">
        <v>0.46345950000000002</v>
      </c>
      <c r="W5027">
        <v>0.14813380000000001</v>
      </c>
      <c r="X5027">
        <v>0.87364850000000005</v>
      </c>
      <c r="Y5027">
        <v>0.65911640000000005</v>
      </c>
      <c r="Z5027">
        <v>6.3330849999999996E-3</v>
      </c>
      <c r="AA5027">
        <v>0.75201419999999997</v>
      </c>
      <c r="AB5027">
        <v>17</v>
      </c>
      <c r="AC5027">
        <v>6.0792999999999804</v>
      </c>
      <c r="AD5027">
        <v>-1.1061909999999999</v>
      </c>
      <c r="AE5027">
        <v>-14.395510199999899</v>
      </c>
      <c r="AF5027">
        <v>10.3314313309179</v>
      </c>
      <c r="AG5027">
        <v>-1.1061909999999999</v>
      </c>
      <c r="AH5027">
        <v>11.619857381296301</v>
      </c>
      <c r="AI5027">
        <v>94.069394607353303</v>
      </c>
      <c r="AJ5027">
        <v>48.359109217914302</v>
      </c>
      <c r="AK5027">
        <v>15.587918957821699</v>
      </c>
      <c r="AL5027">
        <v>81.481207145112705</v>
      </c>
      <c r="AM5027">
        <v>62.054613941761197</v>
      </c>
      <c r="AN5027">
        <v>1.00000001619746</v>
      </c>
    </row>
    <row r="5028" spans="1:40" x14ac:dyDescent="0.25">
      <c r="A5028" t="str">
        <f>"20190312172806058"</f>
        <v>20190312172806058</v>
      </c>
      <c r="B5028" t="str">
        <f>"1552382886054819"</f>
        <v>1552382886054819</v>
      </c>
      <c r="C5028" t="s">
        <v>40</v>
      </c>
      <c r="D5028">
        <v>3.5272350000000001</v>
      </c>
      <c r="E5028">
        <v>0.592769199999999</v>
      </c>
      <c r="F5028" t="s">
        <v>43</v>
      </c>
      <c r="G5028">
        <v>-306.37650000000002</v>
      </c>
      <c r="H5028">
        <v>-0.05</v>
      </c>
      <c r="I5028">
        <v>-0.67161559999999998</v>
      </c>
      <c r="J5028">
        <v>-312.32429999999999</v>
      </c>
      <c r="K5028">
        <v>1.0561419999999999</v>
      </c>
      <c r="L5028">
        <v>13.713679999999901</v>
      </c>
      <c r="M5028">
        <v>0.8987269</v>
      </c>
      <c r="N5028">
        <v>0</v>
      </c>
      <c r="O5028">
        <v>-0.43827319999999997</v>
      </c>
      <c r="P5028">
        <v>0.58518429999999999</v>
      </c>
      <c r="Q5028">
        <v>0.1415969</v>
      </c>
      <c r="R5028">
        <v>-0.79844209999999904</v>
      </c>
      <c r="S5028">
        <v>1.22464</v>
      </c>
      <c r="T5028">
        <v>-0.2221863</v>
      </c>
      <c r="U5028">
        <v>-2.9061279999999998</v>
      </c>
      <c r="V5028">
        <v>0.46277620000000003</v>
      </c>
      <c r="W5028">
        <v>0.14924949999999901</v>
      </c>
      <c r="X5028">
        <v>0.87382079999999995</v>
      </c>
      <c r="Y5028">
        <v>0.65755399999999997</v>
      </c>
      <c r="Z5028">
        <v>7.1245040000000003E-3</v>
      </c>
      <c r="AA5028">
        <v>0.75337369999999904</v>
      </c>
      <c r="AB5028">
        <v>17</v>
      </c>
      <c r="AC5028">
        <v>5.9477999999999698</v>
      </c>
      <c r="AD5028">
        <v>-1.106142</v>
      </c>
      <c r="AE5028">
        <v>-14.385295599999999</v>
      </c>
      <c r="AF5028">
        <v>10.270894504692899</v>
      </c>
      <c r="AG5028">
        <v>-1.106142</v>
      </c>
      <c r="AH5028">
        <v>11.592803412579499</v>
      </c>
      <c r="AI5028">
        <v>94.085035036596395</v>
      </c>
      <c r="AJ5028">
        <v>48.459968786615804</v>
      </c>
      <c r="AK5028">
        <v>15.5276500158076</v>
      </c>
      <c r="AL5028">
        <v>81.416563563888104</v>
      </c>
      <c r="AM5028">
        <v>62.094269530592697</v>
      </c>
      <c r="AN5028">
        <v>1.00000000752466</v>
      </c>
    </row>
    <row r="5029" spans="1:40" x14ac:dyDescent="0.25">
      <c r="A5029" t="str">
        <f>"20190312172806080"</f>
        <v>20190312172806080</v>
      </c>
      <c r="B5029" t="str">
        <f>"1552382886074338"</f>
        <v>1552382886074338</v>
      </c>
      <c r="C5029" t="s">
        <v>40</v>
      </c>
      <c r="D5029">
        <v>3.5417540000000001</v>
      </c>
      <c r="E5029">
        <v>0.59239889999999995</v>
      </c>
      <c r="F5029" t="s">
        <v>43</v>
      </c>
      <c r="G5029">
        <v>-306.29399999999998</v>
      </c>
      <c r="H5029">
        <v>-0.05</v>
      </c>
      <c r="I5029">
        <v>-0.88639829999999997</v>
      </c>
      <c r="J5029">
        <v>-312.17649999999998</v>
      </c>
      <c r="K5029">
        <v>1.0561039999999999</v>
      </c>
      <c r="L5029">
        <v>13.629239999999999</v>
      </c>
      <c r="M5029">
        <v>0.89460680000000004</v>
      </c>
      <c r="N5029">
        <v>0</v>
      </c>
      <c r="O5029">
        <v>-0.44662400000000002</v>
      </c>
      <c r="P5029">
        <v>0.57831869999999996</v>
      </c>
      <c r="Q5029">
        <v>0.14222479999999901</v>
      </c>
      <c r="R5029">
        <v>-0.80331830000000004</v>
      </c>
      <c r="S5029">
        <v>1.2036739999999999</v>
      </c>
      <c r="T5029">
        <v>-0.22079119999999999</v>
      </c>
      <c r="U5029">
        <v>-2.9142459999999999</v>
      </c>
      <c r="V5029">
        <v>0.46203919999999998</v>
      </c>
      <c r="W5029">
        <v>0.149845899999999</v>
      </c>
      <c r="X5029">
        <v>0.87410869999999996</v>
      </c>
      <c r="Y5029">
        <v>0.65593199999999996</v>
      </c>
      <c r="Z5029">
        <v>7.8499339999999994E-3</v>
      </c>
      <c r="AA5029">
        <v>0.75477919999999998</v>
      </c>
      <c r="AB5029">
        <v>17</v>
      </c>
      <c r="AC5029">
        <v>5.8824999999999301</v>
      </c>
      <c r="AD5029">
        <v>-1.106104</v>
      </c>
      <c r="AE5029">
        <v>-14.515638300000001</v>
      </c>
      <c r="AF5029">
        <v>10.3081766597578</v>
      </c>
      <c r="AG5029">
        <v>-1.106104</v>
      </c>
      <c r="AH5029">
        <v>11.688469035332201</v>
      </c>
      <c r="AI5029">
        <v>94.059720490302695</v>
      </c>
      <c r="AJ5029">
        <v>48.590609778034803</v>
      </c>
      <c r="AK5029">
        <v>15.6237729277378</v>
      </c>
      <c r="AL5029">
        <v>81.382003807164196</v>
      </c>
      <c r="AM5029">
        <v>62.139820796001104</v>
      </c>
      <c r="AN5029">
        <v>1.00000001774956</v>
      </c>
    </row>
    <row r="5030" spans="1:40" x14ac:dyDescent="0.25">
      <c r="A5030" t="str">
        <f>"20190312172806103"</f>
        <v>20190312172806103</v>
      </c>
      <c r="B5030" t="str">
        <f>"1552382886094835"</f>
        <v>1552382886094835</v>
      </c>
      <c r="C5030" t="s">
        <v>40</v>
      </c>
      <c r="D5030">
        <v>3.5163340000000001</v>
      </c>
      <c r="E5030">
        <v>0.59213130000000003</v>
      </c>
      <c r="F5030" t="s">
        <v>41</v>
      </c>
      <c r="G5030">
        <v>-306.5043</v>
      </c>
      <c r="H5030" s="1">
        <v>-5.4345199999999999E-6</v>
      </c>
      <c r="I5030">
        <v>-0.40239520000000001</v>
      </c>
      <c r="J5030">
        <v>-312.02589999999998</v>
      </c>
      <c r="K5030">
        <v>1.0560769999999999</v>
      </c>
      <c r="L5030">
        <v>13.541259999999999</v>
      </c>
      <c r="M5030">
        <v>0.89027559999999994</v>
      </c>
      <c r="N5030">
        <v>0</v>
      </c>
      <c r="O5030">
        <v>-0.45519730000000003</v>
      </c>
      <c r="P5030">
        <v>0.57203760000000003</v>
      </c>
      <c r="Q5030">
        <v>0.14355490000000001</v>
      </c>
      <c r="R5030">
        <v>-0.80756749999999999</v>
      </c>
      <c r="S5030">
        <v>1.181549</v>
      </c>
      <c r="T5030">
        <v>-0.2199922</v>
      </c>
      <c r="U5030">
        <v>-2.9228519999999998</v>
      </c>
      <c r="V5030">
        <v>0.46026099999999998</v>
      </c>
      <c r="W5030">
        <v>0.15116959999999999</v>
      </c>
      <c r="X5030">
        <v>0.8748186</v>
      </c>
      <c r="Y5030">
        <v>0.65438529999999995</v>
      </c>
      <c r="Z5030">
        <v>8.6051859999999904E-3</v>
      </c>
      <c r="AA5030">
        <v>0.75611229999999996</v>
      </c>
      <c r="AB5030">
        <v>17</v>
      </c>
      <c r="AC5030">
        <v>5.5215999999999701</v>
      </c>
      <c r="AD5030">
        <v>-1.0560824345199999</v>
      </c>
      <c r="AE5030">
        <v>-13.9436552</v>
      </c>
      <c r="AF5030">
        <v>9.8524357679854706</v>
      </c>
      <c r="AG5030">
        <v>-1.0560824345199999</v>
      </c>
      <c r="AH5030">
        <v>11.208432496043701</v>
      </c>
      <c r="AI5030">
        <v>94.047971496548001</v>
      </c>
      <c r="AJ5030">
        <v>48.683884215735397</v>
      </c>
      <c r="AK5030">
        <v>14.960439822717399</v>
      </c>
      <c r="AL5030">
        <v>81.305287418152602</v>
      </c>
      <c r="AM5030">
        <v>62.250170860286097</v>
      </c>
      <c r="AN5030">
        <v>1.0000000094955599</v>
      </c>
    </row>
    <row r="5031" spans="1:40" x14ac:dyDescent="0.25">
      <c r="A5031" t="str">
        <f>"20190312172806126"</f>
        <v>20190312172806126</v>
      </c>
      <c r="B5031" t="str">
        <f>"1552382886114355"</f>
        <v>1552382886114355</v>
      </c>
      <c r="C5031" t="s">
        <v>40</v>
      </c>
      <c r="D5031">
        <v>3.5404599999999999</v>
      </c>
      <c r="E5031">
        <v>0.59192900000000004</v>
      </c>
      <c r="F5031" t="s">
        <v>41</v>
      </c>
      <c r="G5031">
        <v>-306.3682</v>
      </c>
      <c r="H5031" s="1">
        <v>-5.283442E-6</v>
      </c>
      <c r="I5031">
        <v>-0.73298169999999996</v>
      </c>
      <c r="J5031">
        <v>-311.8759</v>
      </c>
      <c r="K5031">
        <v>1.05604599999999</v>
      </c>
      <c r="L5031">
        <v>13.451599999999999</v>
      </c>
      <c r="M5031">
        <v>0.88582430000000001</v>
      </c>
      <c r="N5031">
        <v>0</v>
      </c>
      <c r="O5031">
        <v>-0.46380080000000001</v>
      </c>
      <c r="P5031">
        <v>0.56510000000000005</v>
      </c>
      <c r="Q5031">
        <v>0.14402760000000001</v>
      </c>
      <c r="R5031">
        <v>-0.812353199999999</v>
      </c>
      <c r="S5031">
        <v>1.1615599999999999</v>
      </c>
      <c r="T5031">
        <v>-0.21682119999999999</v>
      </c>
      <c r="U5031">
        <v>-2.9306030000000001</v>
      </c>
      <c r="V5031">
        <v>0.45920850000000002</v>
      </c>
      <c r="W5031">
        <v>0.1516325</v>
      </c>
      <c r="X5031">
        <v>0.8752915</v>
      </c>
      <c r="Y5031">
        <v>0.65223260000000005</v>
      </c>
      <c r="Z5031">
        <v>9.285415E-3</v>
      </c>
      <c r="AA5031">
        <v>0.75796200000000002</v>
      </c>
      <c r="AB5031">
        <v>17</v>
      </c>
      <c r="AC5031">
        <v>5.5076999999999998</v>
      </c>
      <c r="AD5031">
        <v>-1.05605128344199</v>
      </c>
      <c r="AE5031">
        <v>-14.184581700000001</v>
      </c>
      <c r="AF5031">
        <v>9.9636017037258107</v>
      </c>
      <c r="AG5031">
        <v>-1.05605128344199</v>
      </c>
      <c r="AH5031">
        <v>11.403915216434401</v>
      </c>
      <c r="AI5031">
        <v>93.989161610640096</v>
      </c>
      <c r="AJ5031">
        <v>48.856285151661098</v>
      </c>
      <c r="AK5031">
        <v>15.180180680326901</v>
      </c>
      <c r="AL5031">
        <v>81.278456130060505</v>
      </c>
      <c r="AM5031">
        <v>62.3169268191863</v>
      </c>
      <c r="AN5031">
        <v>1.00000003575037</v>
      </c>
    </row>
    <row r="5032" spans="1:40" x14ac:dyDescent="0.25">
      <c r="A5032" t="str">
        <f>"20190312172806147"</f>
        <v>20190312172806147</v>
      </c>
      <c r="B5032" t="str">
        <f>"1552382886144611"</f>
        <v>1552382886144611</v>
      </c>
      <c r="C5032" t="s">
        <v>40</v>
      </c>
      <c r="D5032">
        <v>3.4917180000000001</v>
      </c>
      <c r="E5032">
        <v>0.5917038</v>
      </c>
      <c r="F5032" t="s">
        <v>41</v>
      </c>
      <c r="G5032">
        <v>-306.29930000000002</v>
      </c>
      <c r="H5032" s="1">
        <v>-5.1885039999999996E-6</v>
      </c>
      <c r="I5032">
        <v>-0.94835659999999999</v>
      </c>
      <c r="J5032">
        <v>-311.73689999999999</v>
      </c>
      <c r="K5032">
        <v>1.0560320000000001</v>
      </c>
      <c r="L5032">
        <v>13.36664</v>
      </c>
      <c r="M5032">
        <v>0.88157079999999999</v>
      </c>
      <c r="N5032">
        <v>0</v>
      </c>
      <c r="O5032">
        <v>-0.47183619999999998</v>
      </c>
      <c r="P5032">
        <v>0.55901380000000001</v>
      </c>
      <c r="Q5032">
        <v>0.1438033</v>
      </c>
      <c r="R5032">
        <v>-0.81659309999999996</v>
      </c>
      <c r="S5032">
        <v>1.138306</v>
      </c>
      <c r="T5032">
        <v>-0.21556210000000001</v>
      </c>
      <c r="U5032">
        <v>-2.9393310000000001</v>
      </c>
      <c r="V5032">
        <v>0.45782070000000002</v>
      </c>
      <c r="W5032">
        <v>0.15141089999999999</v>
      </c>
      <c r="X5032">
        <v>0.87605650000000002</v>
      </c>
      <c r="Y5032">
        <v>0.65133260000000004</v>
      </c>
      <c r="Z5032">
        <v>9.9298430000000007E-3</v>
      </c>
      <c r="AA5032">
        <v>0.75872740000000005</v>
      </c>
      <c r="AB5032">
        <v>17</v>
      </c>
      <c r="AC5032">
        <v>5.4375999999999696</v>
      </c>
      <c r="AD5032">
        <v>-1.0560371885040001</v>
      </c>
      <c r="AE5032">
        <v>-14.314996599999899</v>
      </c>
      <c r="AF5032">
        <v>10.007454472292499</v>
      </c>
      <c r="AG5032">
        <v>-1.0560371885040001</v>
      </c>
      <c r="AH5032">
        <v>11.494470794129301</v>
      </c>
      <c r="AI5032">
        <v>93.9637822583542</v>
      </c>
      <c r="AJ5032">
        <v>48.956125662085</v>
      </c>
      <c r="AK5032">
        <v>15.2770160173904</v>
      </c>
      <c r="AL5032">
        <v>81.291301068739202</v>
      </c>
      <c r="AM5032">
        <v>62.408761846258699</v>
      </c>
      <c r="AN5032">
        <v>1.0000000225897701</v>
      </c>
    </row>
    <row r="5033" spans="1:40" x14ac:dyDescent="0.25">
      <c r="A5033" t="str">
        <f>"20190312172806170"</f>
        <v>20190312172806170</v>
      </c>
      <c r="B5033" t="str">
        <f>"1552382886164131"</f>
        <v>1552382886164131</v>
      </c>
      <c r="C5033" t="s">
        <v>40</v>
      </c>
      <c r="D5033">
        <v>3.4877250000000002</v>
      </c>
      <c r="E5033">
        <v>0.5916401</v>
      </c>
      <c r="F5033" t="s">
        <v>41</v>
      </c>
      <c r="G5033">
        <v>-306.3</v>
      </c>
      <c r="H5033" s="1">
        <v>-5.1834999999999996E-6</v>
      </c>
      <c r="I5033">
        <v>-0.96172049999999998</v>
      </c>
      <c r="J5033">
        <v>-311.58620000000002</v>
      </c>
      <c r="K5033">
        <v>1.05602</v>
      </c>
      <c r="L5033">
        <v>13.27237</v>
      </c>
      <c r="M5033">
        <v>0.87681549999999997</v>
      </c>
      <c r="N5033">
        <v>0</v>
      </c>
      <c r="O5033">
        <v>-0.48061579999999898</v>
      </c>
      <c r="P5033">
        <v>0.551728</v>
      </c>
      <c r="Q5033">
        <v>0.14399879999999901</v>
      </c>
      <c r="R5033">
        <v>-0.82149879999999997</v>
      </c>
      <c r="S5033">
        <v>1.1181030000000001</v>
      </c>
      <c r="T5033">
        <v>-0.2171739</v>
      </c>
      <c r="U5033">
        <v>-2.946625</v>
      </c>
      <c r="V5033">
        <v>0.45683760000000001</v>
      </c>
      <c r="W5033">
        <v>0.1515995</v>
      </c>
      <c r="X5033">
        <v>0.87653700000000001</v>
      </c>
      <c r="Y5033">
        <v>0.64893610000000002</v>
      </c>
      <c r="Z5033">
        <v>1.083866E-2</v>
      </c>
      <c r="AA5033">
        <v>0.76076569999999899</v>
      </c>
      <c r="AB5033">
        <v>17</v>
      </c>
      <c r="AC5033">
        <v>5.2862</v>
      </c>
      <c r="AD5033">
        <v>-1.0560251834999901</v>
      </c>
      <c r="AE5033">
        <v>-14.234090500000001</v>
      </c>
      <c r="AF5033">
        <v>9.8931956397799006</v>
      </c>
      <c r="AG5033">
        <v>-1.0560251834999901</v>
      </c>
      <c r="AH5033">
        <v>11.422067381840799</v>
      </c>
      <c r="AI5033">
        <v>93.997618867029999</v>
      </c>
      <c r="AJ5033">
        <v>49.102606582683599</v>
      </c>
      <c r="AK5033">
        <v>15.1477434765201</v>
      </c>
      <c r="AL5033">
        <v>81.280369189280606</v>
      </c>
      <c r="AM5033">
        <v>62.472167398838202</v>
      </c>
      <c r="AN5033">
        <v>1.0000000567714999</v>
      </c>
    </row>
    <row r="5034" spans="1:40" x14ac:dyDescent="0.25">
      <c r="A5034" t="str">
        <f>"20190312172806193"</f>
        <v>20190312172806193</v>
      </c>
      <c r="B5034" t="str">
        <f>"1552382886184627"</f>
        <v>1552382886184627</v>
      </c>
      <c r="C5034" t="s">
        <v>40</v>
      </c>
      <c r="D5034">
        <v>3.5274809999999999</v>
      </c>
      <c r="E5034">
        <v>0.59140209999999904</v>
      </c>
      <c r="F5034" t="s">
        <v>41</v>
      </c>
      <c r="G5034">
        <v>-306.27260000000001</v>
      </c>
      <c r="H5034" s="1">
        <v>-5.1246970000000004E-6</v>
      </c>
      <c r="I5034">
        <v>-1.102209</v>
      </c>
      <c r="J5034">
        <v>-311.44450000000001</v>
      </c>
      <c r="K5034">
        <v>1.0559989999999999</v>
      </c>
      <c r="L5034">
        <v>13.18164</v>
      </c>
      <c r="M5034">
        <v>0.87220140000000002</v>
      </c>
      <c r="N5034">
        <v>0</v>
      </c>
      <c r="O5034">
        <v>-0.48893979999999998</v>
      </c>
      <c r="P5034">
        <v>0.5443789</v>
      </c>
      <c r="Q5034">
        <v>0.14427319999999999</v>
      </c>
      <c r="R5034">
        <v>-0.82633969999999901</v>
      </c>
      <c r="S5034">
        <v>1.0927119999999999</v>
      </c>
      <c r="T5034">
        <v>-0.2171659</v>
      </c>
      <c r="U5034">
        <v>-2.9560550000000001</v>
      </c>
      <c r="V5034">
        <v>0.45627620000000002</v>
      </c>
      <c r="W5034">
        <v>0.15186060000000001</v>
      </c>
      <c r="X5034">
        <v>0.87678409999999996</v>
      </c>
      <c r="Y5034">
        <v>0.64824780000000004</v>
      </c>
      <c r="Z5034">
        <v>1.1559069999999999E-2</v>
      </c>
      <c r="AA5034">
        <v>0.76134169999999901</v>
      </c>
      <c r="AB5034">
        <v>17</v>
      </c>
      <c r="AC5034">
        <v>5.1718999999999902</v>
      </c>
      <c r="AD5034">
        <v>-1.056004124697</v>
      </c>
      <c r="AE5034">
        <v>-14.283848999999901</v>
      </c>
      <c r="AF5034">
        <v>9.8828958484794391</v>
      </c>
      <c r="AG5034">
        <v>-1.056004124697</v>
      </c>
      <c r="AH5034">
        <v>11.4407619565775</v>
      </c>
      <c r="AI5034">
        <v>93.995588835735404</v>
      </c>
      <c r="AJ5034">
        <v>49.178497609126701</v>
      </c>
      <c r="AK5034">
        <v>15.155124849711401</v>
      </c>
      <c r="AL5034">
        <v>81.265233397245296</v>
      </c>
      <c r="AM5034">
        <v>62.507646569643804</v>
      </c>
      <c r="AN5034">
        <v>0.99999998526580403</v>
      </c>
    </row>
    <row r="5035" spans="1:40" x14ac:dyDescent="0.25">
      <c r="A5035" t="str">
        <f>"20190312172806215"</f>
        <v>20190312172806215</v>
      </c>
      <c r="B5035" t="str">
        <f>"1552382886204148"</f>
        <v>1552382886204148</v>
      </c>
      <c r="C5035" t="s">
        <v>40</v>
      </c>
      <c r="D5035">
        <v>3.4998399999999998</v>
      </c>
      <c r="E5035">
        <v>0.59130079999999996</v>
      </c>
      <c r="F5035" t="s">
        <v>41</v>
      </c>
      <c r="G5035">
        <v>-306.23349999999999</v>
      </c>
      <c r="H5035" s="1">
        <v>-5.0474960000000003E-6</v>
      </c>
      <c r="I5035">
        <v>-1.2851729999999999</v>
      </c>
      <c r="J5035">
        <v>-311.3</v>
      </c>
      <c r="K5035">
        <v>1.0559879999999999</v>
      </c>
      <c r="L5035">
        <v>13.087160000000001</v>
      </c>
      <c r="M5035">
        <v>0.86736519999999995</v>
      </c>
      <c r="N5035">
        <v>0</v>
      </c>
      <c r="O5035">
        <v>-0.4974692</v>
      </c>
      <c r="P5035">
        <v>0.53677509999999995</v>
      </c>
      <c r="Q5035">
        <v>0.1451202</v>
      </c>
      <c r="R5035">
        <v>-0.83115149999999904</v>
      </c>
      <c r="S5035">
        <v>1.0679019999999999</v>
      </c>
      <c r="T5035">
        <v>-0.21641189999999999</v>
      </c>
      <c r="U5035">
        <v>-2.9647519999999998</v>
      </c>
      <c r="V5035">
        <v>0.45560459999999903</v>
      </c>
      <c r="W5035">
        <v>0.15269940000000001</v>
      </c>
      <c r="X5035">
        <v>0.87698770000000004</v>
      </c>
      <c r="Y5035">
        <v>0.64715080000000003</v>
      </c>
      <c r="Z5035">
        <v>1.227579E-2</v>
      </c>
      <c r="AA5035">
        <v>0.76226319999999903</v>
      </c>
      <c r="AB5035">
        <v>17</v>
      </c>
      <c r="AC5035">
        <v>5.0665000000000102</v>
      </c>
      <c r="AD5035">
        <v>-1.055993047496</v>
      </c>
      <c r="AE5035">
        <v>-14.372332999999999</v>
      </c>
      <c r="AF5035">
        <v>9.8991056662900299</v>
      </c>
      <c r="AG5035">
        <v>-1.055993047496</v>
      </c>
      <c r="AH5035">
        <v>11.4902917187895</v>
      </c>
      <c r="AI5035">
        <v>93.982918333092201</v>
      </c>
      <c r="AJ5035">
        <v>49.254473494269902</v>
      </c>
      <c r="AK5035">
        <v>15.2030989634225</v>
      </c>
      <c r="AL5035">
        <v>81.216607083015006</v>
      </c>
      <c r="AM5035">
        <v>62.547635050458098</v>
      </c>
      <c r="AN5035">
        <v>1.0000000421263999</v>
      </c>
    </row>
    <row r="5036" spans="1:40" x14ac:dyDescent="0.25">
      <c r="A5036" t="str">
        <f>"20190312172806259"</f>
        <v>20190312172806259</v>
      </c>
      <c r="B5036" t="str">
        <f>"1552382886254899"</f>
        <v>1552382886254899</v>
      </c>
      <c r="C5036" t="s">
        <v>40</v>
      </c>
      <c r="D5036">
        <v>3.5620210000000001</v>
      </c>
      <c r="E5036">
        <v>0.59082389999999996</v>
      </c>
      <c r="F5036" t="s">
        <v>41</v>
      </c>
      <c r="G5036">
        <v>-306.1506</v>
      </c>
      <c r="H5036" s="1">
        <v>-4.9042679999999997E-6</v>
      </c>
      <c r="I5036">
        <v>-1.619858</v>
      </c>
      <c r="J5036">
        <v>-311.02659999999997</v>
      </c>
      <c r="K5036">
        <v>1.055965</v>
      </c>
      <c r="L5036">
        <v>12.90253</v>
      </c>
      <c r="M5036">
        <v>0.85781450000000004</v>
      </c>
      <c r="N5036">
        <v>0</v>
      </c>
      <c r="O5036">
        <v>-0.51376319999999998</v>
      </c>
      <c r="P5036">
        <v>0.52201520000000001</v>
      </c>
      <c r="Q5036">
        <v>0.1457627</v>
      </c>
      <c r="R5036">
        <v>-0.8403891</v>
      </c>
      <c r="S5036">
        <v>1.0413509999999999</v>
      </c>
      <c r="T5036">
        <v>-0.21355440000000001</v>
      </c>
      <c r="U5036">
        <v>-2.9742130000000002</v>
      </c>
      <c r="V5036">
        <v>0.45443699999999998</v>
      </c>
      <c r="W5036">
        <v>0.15333649999999999</v>
      </c>
      <c r="X5036">
        <v>0.87748219999999999</v>
      </c>
      <c r="Y5036">
        <v>0.63958780000000004</v>
      </c>
      <c r="Z5036">
        <v>1.377865E-2</v>
      </c>
      <c r="AA5036">
        <v>0.76859469999999996</v>
      </c>
      <c r="AB5036">
        <v>17</v>
      </c>
      <c r="AC5036">
        <v>4.8759999999999701</v>
      </c>
      <c r="AD5036">
        <v>-1.055969904268</v>
      </c>
      <c r="AE5036">
        <v>-14.522387999999999</v>
      </c>
      <c r="AF5036">
        <v>9.9063387392889801</v>
      </c>
      <c r="AG5036">
        <v>-1.055969904268</v>
      </c>
      <c r="AH5036">
        <v>11.5898762726088</v>
      </c>
      <c r="AI5036">
        <v>93.961925975464894</v>
      </c>
      <c r="AJ5036">
        <v>49.478141860790501</v>
      </c>
      <c r="AK5036">
        <v>15.2831885308871</v>
      </c>
      <c r="AL5036">
        <v>81.179668920764996</v>
      </c>
      <c r="AM5036">
        <v>62.620928955904297</v>
      </c>
      <c r="AN5036">
        <v>1.0000000402590401</v>
      </c>
    </row>
    <row r="5037" spans="1:40" x14ac:dyDescent="0.25">
      <c r="A5037" t="str">
        <f>"20190312172806281"</f>
        <v>20190312172806281</v>
      </c>
      <c r="B5037" t="str">
        <f>"1552382886274419"</f>
        <v>1552382886274419</v>
      </c>
      <c r="C5037" t="s">
        <v>40</v>
      </c>
      <c r="D5037">
        <v>3.499657</v>
      </c>
      <c r="E5037">
        <v>0.58404519999999904</v>
      </c>
      <c r="F5037" t="s">
        <v>41</v>
      </c>
      <c r="G5037">
        <v>-306.10860000000002</v>
      </c>
      <c r="H5037" s="1">
        <v>-4.7813189999999997E-6</v>
      </c>
      <c r="I5037">
        <v>-1.920607</v>
      </c>
      <c r="J5037">
        <v>-310.88720000000001</v>
      </c>
      <c r="K5037">
        <v>1.055957</v>
      </c>
      <c r="L5037">
        <v>12.80545</v>
      </c>
      <c r="M5037">
        <v>0.85273969999999899</v>
      </c>
      <c r="N5037">
        <v>0</v>
      </c>
      <c r="O5037">
        <v>-0.52214340000000004</v>
      </c>
      <c r="P5037">
        <v>0.5143858</v>
      </c>
      <c r="Q5037">
        <v>0.14564820000000001</v>
      </c>
      <c r="R5037">
        <v>-0.84510019999999997</v>
      </c>
      <c r="S5037">
        <v>0.99215699999999996</v>
      </c>
      <c r="T5037">
        <v>-0.21303340000000001</v>
      </c>
      <c r="U5037">
        <v>-2.9904480000000002</v>
      </c>
      <c r="V5037">
        <v>0.45379819999999998</v>
      </c>
      <c r="W5037">
        <v>0.1532249</v>
      </c>
      <c r="X5037">
        <v>0.87783219999999995</v>
      </c>
      <c r="Y5037">
        <v>0.64468179999999997</v>
      </c>
      <c r="Z5037">
        <v>1.4220389999999999E-2</v>
      </c>
      <c r="AA5037">
        <v>0.76431879999999996</v>
      </c>
      <c r="AB5037">
        <v>17</v>
      </c>
      <c r="AC5037">
        <v>4.7785999999999804</v>
      </c>
      <c r="AD5037">
        <v>-1.0559617813189901</v>
      </c>
      <c r="AE5037">
        <v>-14.726057000000001</v>
      </c>
      <c r="AF5037">
        <v>10.0167932720737</v>
      </c>
      <c r="AG5037">
        <v>-1.0559617813189901</v>
      </c>
      <c r="AH5037">
        <v>11.7107207539244</v>
      </c>
      <c r="AI5037">
        <v>93.919959549173001</v>
      </c>
      <c r="AJ5037">
        <v>49.457894823157197</v>
      </c>
      <c r="AK5037">
        <v>15.446429468180099</v>
      </c>
      <c r="AL5037">
        <v>81.186139449517498</v>
      </c>
      <c r="AM5037">
        <v>62.663150335831801</v>
      </c>
      <c r="AN5037">
        <v>1.0000000238300399</v>
      </c>
    </row>
    <row r="5038" spans="1:40" x14ac:dyDescent="0.25">
      <c r="A5038" t="str">
        <f>"20190312172806304"</f>
        <v>20190312172806304</v>
      </c>
      <c r="B5038" t="str">
        <f>"1552382886294914"</f>
        <v>1552382886294914</v>
      </c>
      <c r="C5038" t="s">
        <v>40</v>
      </c>
      <c r="D5038">
        <v>3.5068009999999998</v>
      </c>
      <c r="E5038">
        <v>0.58421859999999903</v>
      </c>
      <c r="F5038" t="s">
        <v>41</v>
      </c>
      <c r="G5038">
        <v>-306.15230000000003</v>
      </c>
      <c r="H5038" s="1">
        <v>-5.0998300000000003E-6</v>
      </c>
      <c r="I5038">
        <v>-1.1113729999999999</v>
      </c>
      <c r="J5038">
        <v>-310.74430000000001</v>
      </c>
      <c r="K5038">
        <v>1.0559499999999999</v>
      </c>
      <c r="L5038">
        <v>12.703670000000001</v>
      </c>
      <c r="M5038">
        <v>0.84738060000000004</v>
      </c>
      <c r="N5038">
        <v>0</v>
      </c>
      <c r="O5038">
        <v>-0.5307963</v>
      </c>
      <c r="P5038">
        <v>0.50642509999999996</v>
      </c>
      <c r="Q5038">
        <v>0.14653150000000001</v>
      </c>
      <c r="R5038">
        <v>-0.84974259999999902</v>
      </c>
      <c r="S5038">
        <v>1.011536</v>
      </c>
      <c r="T5038">
        <v>-0.2255876</v>
      </c>
      <c r="U5038">
        <v>-2.9730829999999999</v>
      </c>
      <c r="V5038">
        <v>0.45298880000000002</v>
      </c>
      <c r="W5038">
        <v>0.1541111</v>
      </c>
      <c r="X5038">
        <v>0.87809509999999902</v>
      </c>
      <c r="Y5038">
        <v>0.63099479999999997</v>
      </c>
      <c r="Z5038">
        <v>1.6476040000000001E-2</v>
      </c>
      <c r="AA5038">
        <v>0.77561210000000003</v>
      </c>
      <c r="AB5038">
        <v>17</v>
      </c>
      <c r="AC5038">
        <v>4.5919999999999801</v>
      </c>
      <c r="AD5038">
        <v>-1.05595509983</v>
      </c>
      <c r="AE5038">
        <v>-13.815042999999999</v>
      </c>
      <c r="AF5038">
        <v>9.2216009021724794</v>
      </c>
      <c r="AG5038">
        <v>-1.05595509983</v>
      </c>
      <c r="AH5038">
        <v>11.1665280115429</v>
      </c>
      <c r="AI5038">
        <v>94.170332429340405</v>
      </c>
      <c r="AJ5038">
        <v>50.449245392021901</v>
      </c>
      <c r="AK5038">
        <v>14.5204790624958</v>
      </c>
      <c r="AL5038">
        <v>81.1347537789228</v>
      </c>
      <c r="AM5038">
        <v>62.711845464948297</v>
      </c>
      <c r="AN5038">
        <v>1.00000004435632</v>
      </c>
    </row>
    <row r="5039" spans="1:40" x14ac:dyDescent="0.25">
      <c r="A5039" t="str">
        <f>"20190312172806327"</f>
        <v>20190312172806327</v>
      </c>
      <c r="B5039" t="str">
        <f>"1552382886314435"</f>
        <v>1552382886314435</v>
      </c>
      <c r="C5039" t="s">
        <v>40</v>
      </c>
      <c r="D5039">
        <v>3.533379</v>
      </c>
      <c r="E5039">
        <v>0.5840687</v>
      </c>
      <c r="F5039" t="s">
        <v>41</v>
      </c>
      <c r="G5039">
        <v>-306.08280000000002</v>
      </c>
      <c r="H5039" s="1">
        <v>-4.9573790000000002E-6</v>
      </c>
      <c r="I5039">
        <v>-1.4502109999999999</v>
      </c>
      <c r="J5039">
        <v>-310.608</v>
      </c>
      <c r="K5039">
        <v>1.0559430000000001</v>
      </c>
      <c r="L5039">
        <v>12.604520000000001</v>
      </c>
      <c r="M5039">
        <v>0.84212009999999904</v>
      </c>
      <c r="N5039">
        <v>0</v>
      </c>
      <c r="O5039">
        <v>-0.53910319999999901</v>
      </c>
      <c r="P5039">
        <v>0.49871539999999998</v>
      </c>
      <c r="Q5039">
        <v>0.1472726</v>
      </c>
      <c r="R5039">
        <v>-0.85416259999999999</v>
      </c>
      <c r="S5039">
        <v>0.98254390000000003</v>
      </c>
      <c r="T5039">
        <v>-0.2225704</v>
      </c>
      <c r="U5039">
        <v>-2.9833069999999999</v>
      </c>
      <c r="V5039">
        <v>0.45220159999999998</v>
      </c>
      <c r="W5039">
        <v>0.1548522</v>
      </c>
      <c r="X5039">
        <v>0.8783704</v>
      </c>
      <c r="Y5039">
        <v>0.63097899999999996</v>
      </c>
      <c r="Z5039">
        <v>1.6974240000000002E-2</v>
      </c>
      <c r="AA5039">
        <v>0.77561409999999997</v>
      </c>
      <c r="AB5039">
        <v>16</v>
      </c>
      <c r="AC5039">
        <v>4.5251999999999803</v>
      </c>
      <c r="AD5039">
        <v>-1.055947957379</v>
      </c>
      <c r="AE5039">
        <v>-14.054731</v>
      </c>
      <c r="AF5039">
        <v>9.3493511598038399</v>
      </c>
      <c r="AG5039">
        <v>-1.055947957379</v>
      </c>
      <c r="AH5039">
        <v>11.330907805578899</v>
      </c>
      <c r="AI5039">
        <v>94.111433463223406</v>
      </c>
      <c r="AJ5039">
        <v>50.473300465230899</v>
      </c>
      <c r="AK5039">
        <v>14.728029905474401</v>
      </c>
      <c r="AL5039">
        <v>81.091775785444</v>
      </c>
      <c r="AM5039">
        <v>62.759738586727202</v>
      </c>
      <c r="AN5039">
        <v>1.00000002524177</v>
      </c>
    </row>
    <row r="5040" spans="1:40" x14ac:dyDescent="0.25">
      <c r="A5040" t="str">
        <f>"20190312172806348"</f>
        <v>20190312172806348</v>
      </c>
      <c r="B5040" t="str">
        <f>"1552382886344691"</f>
        <v>1552382886344691</v>
      </c>
      <c r="C5040" t="s">
        <v>40</v>
      </c>
      <c r="D5040">
        <v>3.5177450000000001</v>
      </c>
      <c r="E5040">
        <v>0.58375080000000001</v>
      </c>
      <c r="F5040" t="s">
        <v>41</v>
      </c>
      <c r="G5040">
        <v>-306.05349999999999</v>
      </c>
      <c r="H5040" s="1">
        <v>-4.8779600000000003E-6</v>
      </c>
      <c r="I5040">
        <v>-1.643513</v>
      </c>
      <c r="J5040">
        <v>-310.47800000000001</v>
      </c>
      <c r="K5040">
        <v>1.0559320000000001</v>
      </c>
      <c r="L5040">
        <v>12.50787</v>
      </c>
      <c r="M5040">
        <v>0.83696299999999901</v>
      </c>
      <c r="N5040">
        <v>0</v>
      </c>
      <c r="O5040">
        <v>-0.5470756</v>
      </c>
      <c r="P5040">
        <v>0.49162630000000002</v>
      </c>
      <c r="Q5040">
        <v>0.14791650000000001</v>
      </c>
      <c r="R5040">
        <v>-0.85815160000000001</v>
      </c>
      <c r="S5040">
        <v>0.95642090000000002</v>
      </c>
      <c r="T5040">
        <v>-0.221745</v>
      </c>
      <c r="U5040">
        <v>-2.992035</v>
      </c>
      <c r="V5040">
        <v>0.4510477</v>
      </c>
      <c r="W5040">
        <v>0.15550420000000001</v>
      </c>
      <c r="X5040">
        <v>0.87884839999999997</v>
      </c>
      <c r="Y5040">
        <v>0.63042860000000001</v>
      </c>
      <c r="Z5040">
        <v>1.7624629999999999E-2</v>
      </c>
      <c r="AA5040">
        <v>0.77604709999999999</v>
      </c>
      <c r="AB5040">
        <v>16</v>
      </c>
      <c r="AC5040">
        <v>4.4245000000000196</v>
      </c>
      <c r="AD5040">
        <v>-1.05593687795999</v>
      </c>
      <c r="AE5040">
        <v>-14.151382999999999</v>
      </c>
      <c r="AF5040">
        <v>9.3770365587923408</v>
      </c>
      <c r="AG5040">
        <v>-1.05593687795999</v>
      </c>
      <c r="AH5040">
        <v>11.388409577455</v>
      </c>
      <c r="AI5040">
        <v>94.094175425522394</v>
      </c>
      <c r="AJ5040">
        <v>50.532498059655701</v>
      </c>
      <c r="AK5040">
        <v>14.7898509126709</v>
      </c>
      <c r="AL5040">
        <v>81.053961062799402</v>
      </c>
      <c r="AM5040">
        <v>62.8319339395592</v>
      </c>
      <c r="AN5040">
        <v>1.0000000470377399</v>
      </c>
    </row>
    <row r="5041" spans="1:40" x14ac:dyDescent="0.25">
      <c r="A5041" t="str">
        <f>"20190312172806371"</f>
        <v>20190312172806371</v>
      </c>
      <c r="B5041" t="str">
        <f>"1552382886364211"</f>
        <v>1552382886364211</v>
      </c>
      <c r="C5041" t="s">
        <v>40</v>
      </c>
      <c r="D5041">
        <v>3.4776929999999999</v>
      </c>
      <c r="E5041">
        <v>0.57985339999999996</v>
      </c>
      <c r="F5041" t="s">
        <v>41</v>
      </c>
      <c r="G5041">
        <v>-306.02179999999998</v>
      </c>
      <c r="H5041" s="1">
        <v>-4.811031E-6</v>
      </c>
      <c r="I5041">
        <v>-1.803145</v>
      </c>
      <c r="J5041">
        <v>-310.34179999999998</v>
      </c>
      <c r="K5041">
        <v>1.05593</v>
      </c>
      <c r="L5041">
        <v>12.40436</v>
      </c>
      <c r="M5041">
        <v>0.83140550000000002</v>
      </c>
      <c r="N5041">
        <v>0</v>
      </c>
      <c r="O5041">
        <v>-0.55548569999999997</v>
      </c>
      <c r="P5041">
        <v>0.48450789999999999</v>
      </c>
      <c r="Q5041">
        <v>0.1479222</v>
      </c>
      <c r="R5041">
        <v>-0.86219029999999997</v>
      </c>
      <c r="S5041">
        <v>0.9338379</v>
      </c>
      <c r="T5041">
        <v>-0.22128020000000001</v>
      </c>
      <c r="U5041">
        <v>-2.998993</v>
      </c>
      <c r="V5041">
        <v>0.44945780000000002</v>
      </c>
      <c r="W5041">
        <v>0.15553049999999999</v>
      </c>
      <c r="X5041">
        <v>0.87965789999999999</v>
      </c>
      <c r="Y5041">
        <v>0.62845699999999904</v>
      </c>
      <c r="Z5041">
        <v>1.8402209999999999E-2</v>
      </c>
      <c r="AA5041">
        <v>0.77762659999999995</v>
      </c>
      <c r="AB5041">
        <v>16</v>
      </c>
      <c r="AC5041">
        <v>4.3199999999999896</v>
      </c>
      <c r="AD5041">
        <v>-1.0559348110310001</v>
      </c>
      <c r="AE5041">
        <v>-14.207504999999999</v>
      </c>
      <c r="AF5041">
        <v>9.3660855048724301</v>
      </c>
      <c r="AG5041">
        <v>-1.0559348110310001</v>
      </c>
      <c r="AH5041">
        <v>11.4271100484345</v>
      </c>
      <c r="AI5041">
        <v>94.087828955476795</v>
      </c>
      <c r="AJ5041">
        <v>50.660675911938498</v>
      </c>
      <c r="AK5041">
        <v>14.812744515070801</v>
      </c>
      <c r="AL5041">
        <v>81.052435522021995</v>
      </c>
      <c r="AM5041">
        <v>62.935415065360701</v>
      </c>
      <c r="AN5041">
        <v>1.00000003572174</v>
      </c>
    </row>
    <row r="5042" spans="1:40" x14ac:dyDescent="0.25">
      <c r="A5042" t="str">
        <f>"20190312172806393"</f>
        <v>20190312172806393</v>
      </c>
      <c r="B5042" t="str">
        <f>"1552382886384707"</f>
        <v>1552382886384707</v>
      </c>
      <c r="C5042" t="s">
        <v>40</v>
      </c>
      <c r="D5042">
        <v>3.5259429999999998</v>
      </c>
      <c r="E5042">
        <v>0.5794975</v>
      </c>
      <c r="F5042" t="s">
        <v>41</v>
      </c>
      <c r="G5042">
        <v>-306.03460000000001</v>
      </c>
      <c r="H5042" s="1">
        <v>-4.984481E-6</v>
      </c>
      <c r="I5042">
        <v>-1.3574010000000001</v>
      </c>
      <c r="J5042">
        <v>-310.21230000000003</v>
      </c>
      <c r="K5042">
        <v>1.0559259999999999</v>
      </c>
      <c r="L5042">
        <v>12.30383</v>
      </c>
      <c r="M5042">
        <v>0.82598139999999998</v>
      </c>
      <c r="N5042">
        <v>0</v>
      </c>
      <c r="O5042">
        <v>-0.56351890000000004</v>
      </c>
      <c r="P5042">
        <v>0.4773405</v>
      </c>
      <c r="Q5042">
        <v>0.14794060000000001</v>
      </c>
      <c r="R5042">
        <v>-0.86617549999999899</v>
      </c>
      <c r="S5042">
        <v>0.93661499999999998</v>
      </c>
      <c r="T5042">
        <v>-0.22961760000000001</v>
      </c>
      <c r="U5042">
        <v>-2.9925540000000002</v>
      </c>
      <c r="V5042">
        <v>0.44821939999999999</v>
      </c>
      <c r="W5042">
        <v>0.15557099999999999</v>
      </c>
      <c r="X5042">
        <v>0.88028229999999996</v>
      </c>
      <c r="Y5042">
        <v>0.61975459999999905</v>
      </c>
      <c r="Z5042">
        <v>2.0230189999999999E-2</v>
      </c>
      <c r="AA5042">
        <v>0.78453490000000004</v>
      </c>
      <c r="AB5042">
        <v>16</v>
      </c>
      <c r="AC5042">
        <v>4.1777000000000104</v>
      </c>
      <c r="AD5042">
        <v>-1.0559309844810001</v>
      </c>
      <c r="AE5042">
        <v>-13.661231000000001</v>
      </c>
      <c r="AF5042">
        <v>8.8820815136757503</v>
      </c>
      <c r="AG5042">
        <v>-1.0559309844810001</v>
      </c>
      <c r="AH5042">
        <v>11.0895987311263</v>
      </c>
      <c r="AI5042">
        <v>94.250343090878104</v>
      </c>
      <c r="AJ5042">
        <v>51.307434819051799</v>
      </c>
      <c r="AK5042">
        <v>14.2473001750144</v>
      </c>
      <c r="AL5042">
        <v>81.0500856505477</v>
      </c>
      <c r="AM5042">
        <v>63.015857253702897</v>
      </c>
      <c r="AN5042">
        <v>0.99999994713532303</v>
      </c>
    </row>
    <row r="5043" spans="1:40" x14ac:dyDescent="0.25">
      <c r="A5043" t="str">
        <f>"20190312172806415"</f>
        <v>20190312172806415</v>
      </c>
      <c r="B5043" t="str">
        <f>"1552382886404227"</f>
        <v>1552382886404227</v>
      </c>
      <c r="C5043" t="s">
        <v>40</v>
      </c>
      <c r="D5043">
        <v>3.558719</v>
      </c>
      <c r="E5043">
        <v>0.57923199999999997</v>
      </c>
      <c r="F5043" t="s">
        <v>41</v>
      </c>
      <c r="G5043">
        <v>-306.05829999999997</v>
      </c>
      <c r="H5043" s="1">
        <v>-4.9997840000000004E-6</v>
      </c>
      <c r="I5043">
        <v>-1.3284560000000001</v>
      </c>
      <c r="J5043">
        <v>-310.07889999999998</v>
      </c>
      <c r="K5043">
        <v>1.0559369999999999</v>
      </c>
      <c r="L5043">
        <v>12.198090000000001</v>
      </c>
      <c r="M5043">
        <v>0.82025289999999995</v>
      </c>
      <c r="N5043">
        <v>0</v>
      </c>
      <c r="O5043">
        <v>-0.57182540000000004</v>
      </c>
      <c r="P5043">
        <v>0.46966079999999999</v>
      </c>
      <c r="Q5043">
        <v>0.14785970000000001</v>
      </c>
      <c r="R5043">
        <v>-0.87037719999999896</v>
      </c>
      <c r="S5043">
        <v>0.91400150000000002</v>
      </c>
      <c r="T5043">
        <v>-0.23233400000000001</v>
      </c>
      <c r="U5043">
        <v>-2.9994809999999998</v>
      </c>
      <c r="V5043">
        <v>0.44712580000000002</v>
      </c>
      <c r="W5043">
        <v>0.15551779999999901</v>
      </c>
      <c r="X5043">
        <v>0.88084779999999996</v>
      </c>
      <c r="Y5043">
        <v>0.61776169999999997</v>
      </c>
      <c r="Z5043">
        <v>2.1316410000000001E-2</v>
      </c>
      <c r="AA5043">
        <v>0.78607640000000001</v>
      </c>
      <c r="AB5043">
        <v>16</v>
      </c>
      <c r="AC5043">
        <v>4.0206</v>
      </c>
      <c r="AD5043">
        <v>-1.0559419997840001</v>
      </c>
      <c r="AE5043">
        <v>-13.5265459999999</v>
      </c>
      <c r="AF5043">
        <v>8.7480078896674502</v>
      </c>
      <c r="AG5043">
        <v>-1.0559419997840001</v>
      </c>
      <c r="AH5043">
        <v>10.972401432156101</v>
      </c>
      <c r="AI5043">
        <v>94.303271361805798</v>
      </c>
      <c r="AJ5043">
        <v>51.435563181913203</v>
      </c>
      <c r="AK5043">
        <v>14.0725352631632</v>
      </c>
      <c r="AL5043">
        <v>81.053172333031895</v>
      </c>
      <c r="AM5043">
        <v>63.087264875794197</v>
      </c>
      <c r="AN5043">
        <v>1.00000005695365</v>
      </c>
    </row>
    <row r="5044" spans="1:40" x14ac:dyDescent="0.25">
      <c r="A5044" t="str">
        <f>"20190312172806437"</f>
        <v>20190312172806437</v>
      </c>
      <c r="B5044" t="str">
        <f>"1552382886434483"</f>
        <v>1552382886434483</v>
      </c>
      <c r="C5044" t="s">
        <v>40</v>
      </c>
      <c r="D5044">
        <v>3.5438399999999999</v>
      </c>
      <c r="E5044">
        <v>0.57679720000000001</v>
      </c>
      <c r="F5044" t="s">
        <v>41</v>
      </c>
      <c r="G5044">
        <v>-306.05500000000001</v>
      </c>
      <c r="H5044" s="1">
        <v>-4.9696209999999998E-6</v>
      </c>
      <c r="I5044">
        <v>-1.405475</v>
      </c>
      <c r="J5044">
        <v>-309.95269999999999</v>
      </c>
      <c r="K5044">
        <v>1.0559480000000001</v>
      </c>
      <c r="L5044">
        <v>12.096069999999999</v>
      </c>
      <c r="M5044">
        <v>0.81470259999999906</v>
      </c>
      <c r="N5044">
        <v>0</v>
      </c>
      <c r="O5044">
        <v>-0.5797061</v>
      </c>
      <c r="P5044">
        <v>0.46180749999999998</v>
      </c>
      <c r="Q5044">
        <v>0.14851779999999901</v>
      </c>
      <c r="R5044">
        <v>-0.87445799999999996</v>
      </c>
      <c r="S5044">
        <v>0.88934329999999995</v>
      </c>
      <c r="T5044">
        <v>-0.23337659999999999</v>
      </c>
      <c r="U5044">
        <v>-3.006561</v>
      </c>
      <c r="V5044">
        <v>0.44647140000000002</v>
      </c>
      <c r="W5044">
        <v>0.15620120000000001</v>
      </c>
      <c r="X5044">
        <v>0.88105869999999997</v>
      </c>
      <c r="Y5044">
        <v>0.61662450000000002</v>
      </c>
      <c r="Z5044">
        <v>2.219059E-2</v>
      </c>
      <c r="AA5044">
        <v>0.78694459999999999</v>
      </c>
      <c r="AB5044">
        <v>16</v>
      </c>
      <c r="AC5044">
        <v>3.89769999999998</v>
      </c>
      <c r="AD5044">
        <v>-1.0559529696209999</v>
      </c>
      <c r="AE5044">
        <v>-13.501545</v>
      </c>
      <c r="AF5044">
        <v>8.6920226745247504</v>
      </c>
      <c r="AG5044">
        <v>-1.0559529696209999</v>
      </c>
      <c r="AH5044">
        <v>10.9417182008256</v>
      </c>
      <c r="AI5044">
        <v>94.3213766694046</v>
      </c>
      <c r="AJ5044">
        <v>51.536622274048803</v>
      </c>
      <c r="AK5044">
        <v>14.0138321680682</v>
      </c>
      <c r="AL5044">
        <v>81.013531260142798</v>
      </c>
      <c r="AM5044">
        <v>63.126651415167998</v>
      </c>
      <c r="AN5044">
        <v>0.99999997937254403</v>
      </c>
    </row>
    <row r="5045" spans="1:40" x14ac:dyDescent="0.25">
      <c r="A5045" t="str">
        <f>"20190312172806459"</f>
        <v>20190312172806459</v>
      </c>
      <c r="B5045" t="str">
        <f>"1552382886454982"</f>
        <v>1552382886454982</v>
      </c>
      <c r="C5045" t="s">
        <v>40</v>
      </c>
      <c r="D5045">
        <v>3.506354</v>
      </c>
      <c r="E5045">
        <v>0.57640809999999998</v>
      </c>
      <c r="F5045" t="s">
        <v>41</v>
      </c>
      <c r="G5045">
        <v>-306.03250000000003</v>
      </c>
      <c r="H5045" s="1">
        <v>-5.0102090000000004E-6</v>
      </c>
      <c r="I5045">
        <v>-1.289412</v>
      </c>
      <c r="J5045">
        <v>-309.82170000000002</v>
      </c>
      <c r="K5045">
        <v>1.0559730000000001</v>
      </c>
      <c r="L5045">
        <v>11.98807</v>
      </c>
      <c r="M5045">
        <v>0.80881239999999999</v>
      </c>
      <c r="N5045">
        <v>0</v>
      </c>
      <c r="O5045">
        <v>-0.58789619999999998</v>
      </c>
      <c r="P5045">
        <v>0.45411299999999999</v>
      </c>
      <c r="Q5045">
        <v>0.14909040000000001</v>
      </c>
      <c r="R5045">
        <v>-0.87838150000000004</v>
      </c>
      <c r="S5045">
        <v>0.88037109999999996</v>
      </c>
      <c r="T5045">
        <v>-0.2371404</v>
      </c>
      <c r="U5045">
        <v>-3.0060419999999999</v>
      </c>
      <c r="V5045">
        <v>0.44523269999999998</v>
      </c>
      <c r="W5045">
        <v>0.15681539999999999</v>
      </c>
      <c r="X5045">
        <v>0.88157629999999998</v>
      </c>
      <c r="Y5045">
        <v>0.61080630000000002</v>
      </c>
      <c r="Z5045">
        <v>2.359257E-2</v>
      </c>
      <c r="AA5045">
        <v>0.79142849999999998</v>
      </c>
      <c r="AB5045">
        <v>16</v>
      </c>
      <c r="AC5045">
        <v>3.7891999999999899</v>
      </c>
      <c r="AD5045">
        <v>-1.055978010209</v>
      </c>
      <c r="AE5045">
        <v>-13.277481999999999</v>
      </c>
      <c r="AF5045">
        <v>8.4626920357606092</v>
      </c>
      <c r="AG5045">
        <v>-1.055978010209</v>
      </c>
      <c r="AH5045">
        <v>10.808406170331899</v>
      </c>
      <c r="AI5045">
        <v>94.398837128121599</v>
      </c>
      <c r="AJ5045">
        <v>51.940008989496903</v>
      </c>
      <c r="AK5045">
        <v>13.7678571314871</v>
      </c>
      <c r="AL5045">
        <v>80.977901293543894</v>
      </c>
      <c r="AM5045">
        <v>63.204325496860399</v>
      </c>
      <c r="AN5045">
        <v>0.99999999977406995</v>
      </c>
    </row>
    <row r="5046" spans="1:40" x14ac:dyDescent="0.25">
      <c r="A5046" t="str">
        <f>"20190312172806483"</f>
        <v>20190312172806483</v>
      </c>
      <c r="B5046" t="str">
        <f>"1552382886474503"</f>
        <v>1552382886474503</v>
      </c>
      <c r="C5046" t="s">
        <v>40</v>
      </c>
      <c r="D5046">
        <v>3.5353750000000002</v>
      </c>
      <c r="E5046">
        <v>0.57589999999999997</v>
      </c>
      <c r="F5046" t="s">
        <v>41</v>
      </c>
      <c r="G5046">
        <v>-306.0127</v>
      </c>
      <c r="H5046" s="1">
        <v>-4.9620449999999999E-6</v>
      </c>
      <c r="I5046">
        <v>-1.405702</v>
      </c>
      <c r="J5046">
        <v>-309.6934</v>
      </c>
      <c r="K5046">
        <v>1.0559970000000001</v>
      </c>
      <c r="L5046">
        <v>11.88</v>
      </c>
      <c r="M5046">
        <v>0.80290790000000001</v>
      </c>
      <c r="N5046">
        <v>0</v>
      </c>
      <c r="O5046">
        <v>-0.59593469999999904</v>
      </c>
      <c r="P5046">
        <v>0.44657760000000002</v>
      </c>
      <c r="Q5046">
        <v>0.14985509999999999</v>
      </c>
      <c r="R5046">
        <v>-0.88210639999999996</v>
      </c>
      <c r="S5046">
        <v>0.85678099999999902</v>
      </c>
      <c r="T5046">
        <v>-0.2375263</v>
      </c>
      <c r="U5046">
        <v>-3.0127259999999998</v>
      </c>
      <c r="V5046">
        <v>0.44387579999999999</v>
      </c>
      <c r="W5046">
        <v>0.1576253</v>
      </c>
      <c r="X5046">
        <v>0.88211600000000001</v>
      </c>
      <c r="Y5046">
        <v>0.60911749999999998</v>
      </c>
      <c r="Z5046">
        <v>2.4464329999999999E-2</v>
      </c>
      <c r="AA5046">
        <v>0.79270260000000003</v>
      </c>
      <c r="AB5046">
        <v>16</v>
      </c>
      <c r="AC5046">
        <v>3.6806999999999999</v>
      </c>
      <c r="AD5046">
        <v>-1.0560019620450001</v>
      </c>
      <c r="AE5046">
        <v>-13.285701999999899</v>
      </c>
      <c r="AF5046">
        <v>8.4251552381789203</v>
      </c>
      <c r="AG5046">
        <v>-1.0560019620450001</v>
      </c>
      <c r="AH5046">
        <v>10.8103369732889</v>
      </c>
      <c r="AI5046">
        <v>94.405837477371705</v>
      </c>
      <c r="AJ5046">
        <v>52.068538502224499</v>
      </c>
      <c r="AK5046">
        <v>13.7463364722137</v>
      </c>
      <c r="AL5046">
        <v>80.930913525972102</v>
      </c>
      <c r="AM5046">
        <v>63.288717106370598</v>
      </c>
      <c r="AN5046">
        <v>1.0000000492408601</v>
      </c>
    </row>
    <row r="5047" spans="1:40" x14ac:dyDescent="0.25">
      <c r="A5047" t="str">
        <f>"20190312172806505"</f>
        <v>20190312172806505</v>
      </c>
      <c r="B5047" t="str">
        <f>"1552382886494019"</f>
        <v>1552382886494019</v>
      </c>
      <c r="C5047" t="s">
        <v>40</v>
      </c>
      <c r="D5047">
        <v>3.561874</v>
      </c>
      <c r="E5047">
        <v>0.57104940000000004</v>
      </c>
      <c r="F5047" t="s">
        <v>41</v>
      </c>
      <c r="G5047">
        <v>-305.96960000000001</v>
      </c>
      <c r="H5047" s="1">
        <v>-4.8788619999999901E-6</v>
      </c>
      <c r="I5047">
        <v>-1.602382</v>
      </c>
      <c r="J5047">
        <v>-309.56330000000003</v>
      </c>
      <c r="K5047">
        <v>1.056027</v>
      </c>
      <c r="L5047">
        <v>11.76831</v>
      </c>
      <c r="M5047">
        <v>0.79679690000000003</v>
      </c>
      <c r="N5047">
        <v>0</v>
      </c>
      <c r="O5047">
        <v>-0.60408149999999905</v>
      </c>
      <c r="P5047">
        <v>0.43872159999999899</v>
      </c>
      <c r="Q5047">
        <v>0.150479799999999</v>
      </c>
      <c r="R5047">
        <v>-0.88593440000000001</v>
      </c>
      <c r="S5047">
        <v>0.83383180000000001</v>
      </c>
      <c r="T5047">
        <v>-0.23646039999999999</v>
      </c>
      <c r="U5047">
        <v>-3.0189819999999998</v>
      </c>
      <c r="V5047">
        <v>0.442639</v>
      </c>
      <c r="W5047">
        <v>0.1582944</v>
      </c>
      <c r="X5047">
        <v>0.88261749999999894</v>
      </c>
      <c r="Y5047">
        <v>0.60707679999999997</v>
      </c>
      <c r="Z5047">
        <v>2.5212169999999999E-2</v>
      </c>
      <c r="AA5047">
        <v>0.79424319999999904</v>
      </c>
      <c r="AB5047">
        <v>16</v>
      </c>
      <c r="AC5047">
        <v>3.5937000000000099</v>
      </c>
      <c r="AD5047">
        <v>-1.056031878862</v>
      </c>
      <c r="AE5047">
        <v>-13.370692</v>
      </c>
      <c r="AF5047">
        <v>8.4346172640252899</v>
      </c>
      <c r="AG5047">
        <v>-1.056031878862</v>
      </c>
      <c r="AH5047">
        <v>10.8782454101125</v>
      </c>
      <c r="AI5047">
        <v>94.387016437285993</v>
      </c>
      <c r="AJ5047">
        <v>52.211231087417197</v>
      </c>
      <c r="AK5047">
        <v>13.8055856421377</v>
      </c>
      <c r="AL5047">
        <v>80.892089296004897</v>
      </c>
      <c r="AM5047">
        <v>63.365907135029502</v>
      </c>
      <c r="AN5047">
        <v>1.0000000263493001</v>
      </c>
    </row>
    <row r="5048" spans="1:40" x14ac:dyDescent="0.25">
      <c r="A5048" t="str">
        <f>"20190312172806528"</f>
        <v>20190312172806528</v>
      </c>
      <c r="B5048" t="str">
        <f>"1552382886524276"</f>
        <v>1552382886524276</v>
      </c>
      <c r="C5048" t="s">
        <v>40</v>
      </c>
      <c r="D5048">
        <v>3.5613169999999998</v>
      </c>
      <c r="E5048">
        <v>0.57016309999999903</v>
      </c>
      <c r="F5048" t="s">
        <v>41</v>
      </c>
      <c r="G5048">
        <v>-305.90809999999999</v>
      </c>
      <c r="H5048" s="1">
        <v>-4.9869209999999996E-6</v>
      </c>
      <c r="I5048">
        <v>-1.29257</v>
      </c>
      <c r="J5048">
        <v>-309.44150000000002</v>
      </c>
      <c r="K5048">
        <v>1.0560499999999999</v>
      </c>
      <c r="L5048">
        <v>11.66159</v>
      </c>
      <c r="M5048">
        <v>0.79095360000000003</v>
      </c>
      <c r="N5048">
        <v>0</v>
      </c>
      <c r="O5048">
        <v>-0.61171239999999905</v>
      </c>
      <c r="P5048">
        <v>0.43097760000000002</v>
      </c>
      <c r="Q5048">
        <v>0.15055539999999901</v>
      </c>
      <c r="R5048">
        <v>-0.88971420000000001</v>
      </c>
      <c r="S5048">
        <v>0.84249879999999999</v>
      </c>
      <c r="T5048">
        <v>-0.24340510000000001</v>
      </c>
      <c r="U5048">
        <v>-3.0104060000000001</v>
      </c>
      <c r="V5048">
        <v>0.44183220000000001</v>
      </c>
      <c r="W5048">
        <v>0.1584055</v>
      </c>
      <c r="X5048">
        <v>0.8830017</v>
      </c>
      <c r="Y5048">
        <v>0.59670540000000005</v>
      </c>
      <c r="Z5048">
        <v>2.7188549999999999E-2</v>
      </c>
      <c r="AA5048">
        <v>0.80199969999999998</v>
      </c>
      <c r="AB5048">
        <v>16</v>
      </c>
      <c r="AC5048">
        <v>3.5334000000000199</v>
      </c>
      <c r="AD5048">
        <v>-1.0560549869210001</v>
      </c>
      <c r="AE5048">
        <v>-12.9541599999999</v>
      </c>
      <c r="AF5048">
        <v>8.0358177007118101</v>
      </c>
      <c r="AG5048">
        <v>-1.0560549869210001</v>
      </c>
      <c r="AH5048">
        <v>10.6541462794958</v>
      </c>
      <c r="AI5048">
        <v>94.524713834138097</v>
      </c>
      <c r="AJ5048">
        <v>52.974822738761503</v>
      </c>
      <c r="AK5048">
        <v>13.3865772772344</v>
      </c>
      <c r="AL5048">
        <v>80.885642141579396</v>
      </c>
      <c r="AM5048">
        <v>63.417751024343602</v>
      </c>
      <c r="AN5048">
        <v>0.99999999879499002</v>
      </c>
    </row>
    <row r="5049" spans="1:40" x14ac:dyDescent="0.25">
      <c r="A5049" t="str">
        <f>"20190312172806550"</f>
        <v>20190312172806550</v>
      </c>
      <c r="B5049" t="str">
        <f>"1552382886544771"</f>
        <v>1552382886544771</v>
      </c>
      <c r="C5049" t="s">
        <v>40</v>
      </c>
      <c r="D5049">
        <v>3.541595</v>
      </c>
      <c r="E5049">
        <v>0.57011000000000001</v>
      </c>
      <c r="F5049" t="s">
        <v>41</v>
      </c>
      <c r="G5049">
        <v>-305.87130000000002</v>
      </c>
      <c r="H5049" s="1">
        <v>-4.9342430000000003E-6</v>
      </c>
      <c r="I5049">
        <v>-1.4127639999999999</v>
      </c>
      <c r="J5049">
        <v>-309.31740000000002</v>
      </c>
      <c r="K5049">
        <v>1.056074</v>
      </c>
      <c r="L5049">
        <v>11.55057</v>
      </c>
      <c r="M5049">
        <v>0.78487580000000001</v>
      </c>
      <c r="N5049">
        <v>0</v>
      </c>
      <c r="O5049">
        <v>-0.61949160000000003</v>
      </c>
      <c r="P5049">
        <v>0.4226955</v>
      </c>
      <c r="Q5049">
        <v>0.14991119999999999</v>
      </c>
      <c r="R5049">
        <v>-0.89378709999999995</v>
      </c>
      <c r="S5049">
        <v>0.82312009999999902</v>
      </c>
      <c r="T5049">
        <v>-0.24347759999999999</v>
      </c>
      <c r="U5049">
        <v>-3.0143430000000002</v>
      </c>
      <c r="V5049">
        <v>0.44138290000000002</v>
      </c>
      <c r="W5049">
        <v>0.1577906</v>
      </c>
      <c r="X5049">
        <v>0.88333639999999902</v>
      </c>
      <c r="Y5049">
        <v>0.59385880000000002</v>
      </c>
      <c r="Z5049">
        <v>2.8089179999999998E-2</v>
      </c>
      <c r="AA5049">
        <v>0.80407879999999998</v>
      </c>
      <c r="AB5049">
        <v>16</v>
      </c>
      <c r="AC5049">
        <v>3.4460999999999999</v>
      </c>
      <c r="AD5049">
        <v>-1.0560789342429999</v>
      </c>
      <c r="AE5049">
        <v>-12.963334</v>
      </c>
      <c r="AF5049">
        <v>7.9910472342519601</v>
      </c>
      <c r="AG5049">
        <v>-1.0560789342429999</v>
      </c>
      <c r="AH5049">
        <v>10.6703684398204</v>
      </c>
      <c r="AI5049">
        <v>94.529524588529</v>
      </c>
      <c r="AJ5049">
        <v>53.170431298251501</v>
      </c>
      <c r="AK5049">
        <v>13.372692371280801</v>
      </c>
      <c r="AL5049">
        <v>80.921321754602801</v>
      </c>
      <c r="AM5049">
        <v>63.4497550486265</v>
      </c>
      <c r="AN5049">
        <v>0.99999996671286395</v>
      </c>
    </row>
    <row r="5050" spans="1:40" x14ac:dyDescent="0.25">
      <c r="A5050" t="str">
        <f>"20190312172806572"</f>
        <v>20190312172806572</v>
      </c>
      <c r="B5050" t="str">
        <f>"1552382886564291"</f>
        <v>1552382886564291</v>
      </c>
      <c r="C5050" t="s">
        <v>40</v>
      </c>
      <c r="D5050">
        <v>3.533849</v>
      </c>
      <c r="E5050">
        <v>0.56964369999999998</v>
      </c>
      <c r="F5050" t="s">
        <v>41</v>
      </c>
      <c r="G5050">
        <v>-305.91399999999999</v>
      </c>
      <c r="H5050" s="1">
        <v>-4.9565790000000002E-6</v>
      </c>
      <c r="I5050">
        <v>-1.374336</v>
      </c>
      <c r="J5050">
        <v>-309.19779999999997</v>
      </c>
      <c r="K5050">
        <v>1.0560989999999999</v>
      </c>
      <c r="L5050">
        <v>11.4415</v>
      </c>
      <c r="M5050">
        <v>0.77889929999999996</v>
      </c>
      <c r="N5050">
        <v>0</v>
      </c>
      <c r="O5050">
        <v>-0.62698969999999998</v>
      </c>
      <c r="P5050">
        <v>0.41478120000000002</v>
      </c>
      <c r="Q5050">
        <v>0.1495196</v>
      </c>
      <c r="R5050">
        <v>-0.89755260000000003</v>
      </c>
      <c r="S5050">
        <v>0.79565430000000004</v>
      </c>
      <c r="T5050">
        <v>-0.24689440000000001</v>
      </c>
      <c r="U5050">
        <v>-3.0216370000000001</v>
      </c>
      <c r="V5050">
        <v>0.44075409999999998</v>
      </c>
      <c r="W5050">
        <v>0.1574294</v>
      </c>
      <c r="X5050">
        <v>0.88371469999999896</v>
      </c>
      <c r="Y5050">
        <v>0.59346429999999994</v>
      </c>
      <c r="Z5050">
        <v>2.924471E-2</v>
      </c>
      <c r="AA5050">
        <v>0.80432890000000001</v>
      </c>
      <c r="AB5050">
        <v>16</v>
      </c>
      <c r="AC5050">
        <v>3.2837999999999798</v>
      </c>
      <c r="AD5050">
        <v>-1.05610395657899</v>
      </c>
      <c r="AE5050">
        <v>-12.815835999999999</v>
      </c>
      <c r="AF5050">
        <v>7.8739525475596697</v>
      </c>
      <c r="AG5050">
        <v>-1.05610395657899</v>
      </c>
      <c r="AH5050">
        <v>10.5271220055138</v>
      </c>
      <c r="AI5050">
        <v>94.593051662610193</v>
      </c>
      <c r="AJ5050">
        <v>53.204679551978501</v>
      </c>
      <c r="AK5050">
        <v>13.1884336449518</v>
      </c>
      <c r="AL5050">
        <v>80.942278606840205</v>
      </c>
      <c r="AM5050">
        <v>63.492200901573398</v>
      </c>
      <c r="AN5050">
        <v>0.99999993182362701</v>
      </c>
    </row>
    <row r="5051" spans="1:40" x14ac:dyDescent="0.25">
      <c r="A5051" t="str">
        <f>"20190312172806594"</f>
        <v>20190312172806594</v>
      </c>
      <c r="B5051" t="str">
        <f>"1552382886584787"</f>
        <v>1552382886584787</v>
      </c>
      <c r="C5051" t="s">
        <v>40</v>
      </c>
      <c r="D5051">
        <v>3.5531130000000002</v>
      </c>
      <c r="E5051">
        <v>0.56899369999999905</v>
      </c>
      <c r="F5051" t="s">
        <v>41</v>
      </c>
      <c r="G5051">
        <v>-305.9128</v>
      </c>
      <c r="H5051" s="1">
        <v>-4.9330339999999997E-6</v>
      </c>
      <c r="I5051">
        <v>-1.435082</v>
      </c>
      <c r="J5051">
        <v>-309.0745</v>
      </c>
      <c r="K5051">
        <v>1.056122</v>
      </c>
      <c r="L5051">
        <v>11.326750000000001</v>
      </c>
      <c r="M5051">
        <v>0.77260329999999999</v>
      </c>
      <c r="N5051">
        <v>0</v>
      </c>
      <c r="O5051">
        <v>-0.63473190000000002</v>
      </c>
      <c r="P5051">
        <v>0.40671889999999999</v>
      </c>
      <c r="Q5051">
        <v>0.14981149999999999</v>
      </c>
      <c r="R5051">
        <v>-0.9011863</v>
      </c>
      <c r="S5051">
        <v>0.77221680000000004</v>
      </c>
      <c r="T5051">
        <v>-0.2482598</v>
      </c>
      <c r="U5051">
        <v>-3.0269170000000001</v>
      </c>
      <c r="V5051">
        <v>0.43981110000000001</v>
      </c>
      <c r="W5051">
        <v>0.1577539</v>
      </c>
      <c r="X5051">
        <v>0.88412669999999904</v>
      </c>
      <c r="Y5051">
        <v>0.59162619999999999</v>
      </c>
      <c r="Z5051">
        <v>3.026788E-2</v>
      </c>
      <c r="AA5051">
        <v>0.80564399999999903</v>
      </c>
      <c r="AB5051">
        <v>16</v>
      </c>
      <c r="AC5051">
        <v>3.16169999999999</v>
      </c>
      <c r="AD5051">
        <v>-1.056126933034</v>
      </c>
      <c r="AE5051">
        <v>-12.761832</v>
      </c>
      <c r="AF5051">
        <v>7.8034327714442204</v>
      </c>
      <c r="AG5051">
        <v>-1.056126933034</v>
      </c>
      <c r="AH5051">
        <v>10.476532786286</v>
      </c>
      <c r="AI5051">
        <v>94.622111420565204</v>
      </c>
      <c r="AJ5051">
        <v>53.319461122748301</v>
      </c>
      <c r="AK5051">
        <v>13.1059797931805</v>
      </c>
      <c r="AL5051">
        <v>80.923452025815095</v>
      </c>
      <c r="AM5051">
        <v>63.551833307405602</v>
      </c>
      <c r="AN5051">
        <v>1.0000000591506499</v>
      </c>
    </row>
    <row r="5052" spans="1:40" x14ac:dyDescent="0.25">
      <c r="A5052" t="str">
        <f>"20190312172806616"</f>
        <v>20190312172806616</v>
      </c>
      <c r="B5052" t="str">
        <f>"1552382886604879"</f>
        <v>1552382886604879</v>
      </c>
      <c r="C5052" t="s">
        <v>40</v>
      </c>
      <c r="D5052">
        <v>3.5516649999999998</v>
      </c>
      <c r="E5052">
        <v>0.56445469999999998</v>
      </c>
      <c r="F5052" t="s">
        <v>41</v>
      </c>
      <c r="G5052">
        <v>-305.8784</v>
      </c>
      <c r="H5052" s="1">
        <v>-4.8701500000000003E-6</v>
      </c>
      <c r="I5052">
        <v>-1.5829489999999999</v>
      </c>
      <c r="J5052">
        <v>-308.95909999999998</v>
      </c>
      <c r="K5052">
        <v>1.0561400000000001</v>
      </c>
      <c r="L5052">
        <v>11.21735</v>
      </c>
      <c r="M5052">
        <v>0.76659350000000004</v>
      </c>
      <c r="N5052">
        <v>0</v>
      </c>
      <c r="O5052">
        <v>-0.64197749999999998</v>
      </c>
      <c r="P5052">
        <v>0.3993949</v>
      </c>
      <c r="Q5052">
        <v>0.15031459999999999</v>
      </c>
      <c r="R5052">
        <v>-0.90437259999999997</v>
      </c>
      <c r="S5052">
        <v>0.75051880000000004</v>
      </c>
      <c r="T5052">
        <v>-0.2480029</v>
      </c>
      <c r="U5052">
        <v>-3.0314939999999999</v>
      </c>
      <c r="V5052">
        <v>0.4385908</v>
      </c>
      <c r="W5052">
        <v>0.15829019999999999</v>
      </c>
      <c r="X5052">
        <v>0.8846368</v>
      </c>
      <c r="Y5052">
        <v>0.58976519999999899</v>
      </c>
      <c r="Z5052">
        <v>3.10519E-2</v>
      </c>
      <c r="AA5052">
        <v>0.80697759999999996</v>
      </c>
      <c r="AB5052">
        <v>16</v>
      </c>
      <c r="AC5052">
        <v>3.08069999999997</v>
      </c>
      <c r="AD5052">
        <v>-1.05614487014999</v>
      </c>
      <c r="AE5052">
        <v>-12.800299000000001</v>
      </c>
      <c r="AF5052">
        <v>7.7855662220900204</v>
      </c>
      <c r="AG5052">
        <v>-1.05614487014999</v>
      </c>
      <c r="AH5052">
        <v>10.5125540242807</v>
      </c>
      <c r="AI5052">
        <v>94.615763922309696</v>
      </c>
      <c r="AJ5052">
        <v>53.476461971097002</v>
      </c>
      <c r="AK5052">
        <v>13.124186660464501</v>
      </c>
      <c r="AL5052">
        <v>80.892332517146897</v>
      </c>
      <c r="AM5052">
        <v>63.6284162623189</v>
      </c>
      <c r="AN5052">
        <v>0.99999997258745899</v>
      </c>
    </row>
    <row r="5053" spans="1:40" x14ac:dyDescent="0.25">
      <c r="A5053" t="str">
        <f>"20190312172806639"</f>
        <v>20190312172806639</v>
      </c>
      <c r="B5053" t="str">
        <f>"1552382886634158"</f>
        <v>1552382886634158</v>
      </c>
      <c r="C5053" t="s">
        <v>40</v>
      </c>
      <c r="D5053">
        <v>3.5948920000000002</v>
      </c>
      <c r="E5053">
        <v>0.56303499999999995</v>
      </c>
      <c r="F5053" t="s">
        <v>41</v>
      </c>
      <c r="G5053">
        <v>-305.80770000000001</v>
      </c>
      <c r="H5053" s="1">
        <v>-4.9563509999999998E-6</v>
      </c>
      <c r="I5053">
        <v>-1.3258299999999901</v>
      </c>
      <c r="J5053">
        <v>-308.83859999999999</v>
      </c>
      <c r="K5053">
        <v>1.0561640000000001</v>
      </c>
      <c r="L5053">
        <v>11.10083</v>
      </c>
      <c r="M5053">
        <v>0.76018409999999903</v>
      </c>
      <c r="N5053">
        <v>0</v>
      </c>
      <c r="O5053">
        <v>-0.64955459999999998</v>
      </c>
      <c r="P5053">
        <v>0.39213409999999999</v>
      </c>
      <c r="Q5053">
        <v>0.150714299999999</v>
      </c>
      <c r="R5053">
        <v>-0.90747820000000001</v>
      </c>
      <c r="S5053">
        <v>0.75976560000000004</v>
      </c>
      <c r="T5053">
        <v>-0.25462459999999998</v>
      </c>
      <c r="U5053">
        <v>-3.0240170000000002</v>
      </c>
      <c r="V5053">
        <v>0.43684240000000002</v>
      </c>
      <c r="W5053">
        <v>0.1587327</v>
      </c>
      <c r="X5053">
        <v>0.8854223</v>
      </c>
      <c r="Y5053">
        <v>0.57893459999999997</v>
      </c>
      <c r="Z5053">
        <v>3.3171369999999999E-2</v>
      </c>
      <c r="AA5053">
        <v>0.8146989</v>
      </c>
      <c r="AB5053">
        <v>16</v>
      </c>
      <c r="AC5053">
        <v>3.0308999999999702</v>
      </c>
      <c r="AD5053">
        <v>-1.0561689563509999</v>
      </c>
      <c r="AE5053">
        <v>-12.42666</v>
      </c>
      <c r="AF5053">
        <v>7.4279142381608496</v>
      </c>
      <c r="AG5053">
        <v>-1.0561689563509999</v>
      </c>
      <c r="AH5053">
        <v>10.3065973422902</v>
      </c>
      <c r="AI5053">
        <v>94.752333578472204</v>
      </c>
      <c r="AJ5053">
        <v>54.219892138093101</v>
      </c>
      <c r="AK5053">
        <v>12.7481509078742</v>
      </c>
      <c r="AL5053">
        <v>80.866654750960294</v>
      </c>
      <c r="AM5053">
        <v>63.739567582550301</v>
      </c>
      <c r="AN5053">
        <v>1.0000000009121699</v>
      </c>
    </row>
    <row r="5054" spans="1:40" x14ac:dyDescent="0.25">
      <c r="A5054" t="str">
        <f>"20190312172806661"</f>
        <v>20190312172806661</v>
      </c>
      <c r="B5054" t="str">
        <f>"1552382886654654"</f>
        <v>1552382886654654</v>
      </c>
      <c r="C5054" t="s">
        <v>40</v>
      </c>
      <c r="D5054">
        <v>3.6075309999999998</v>
      </c>
      <c r="E5054">
        <v>0.55940469999999998</v>
      </c>
      <c r="F5054" t="s">
        <v>41</v>
      </c>
      <c r="G5054">
        <v>-305.75310000000002</v>
      </c>
      <c r="H5054" s="1">
        <v>-4.9099439999999997E-6</v>
      </c>
      <c r="I5054">
        <v>-1.4214690000000001</v>
      </c>
      <c r="J5054">
        <v>-308.72250000000003</v>
      </c>
      <c r="K5054">
        <v>1.056179</v>
      </c>
      <c r="L5054">
        <v>10.98654</v>
      </c>
      <c r="M5054">
        <v>0.75388619999999995</v>
      </c>
      <c r="N5054">
        <v>0</v>
      </c>
      <c r="O5054">
        <v>-0.65685360000000004</v>
      </c>
      <c r="P5054">
        <v>0.38497910000000002</v>
      </c>
      <c r="Q5054">
        <v>0.15137010000000001</v>
      </c>
      <c r="R5054">
        <v>-0.91042719999999999</v>
      </c>
      <c r="S5054">
        <v>0.74560550000000003</v>
      </c>
      <c r="T5054">
        <v>-0.25522729999999999</v>
      </c>
      <c r="U5054">
        <v>-3.026062</v>
      </c>
      <c r="V5054">
        <v>0.43518879999999999</v>
      </c>
      <c r="W5054">
        <v>0.1594266</v>
      </c>
      <c r="X5054">
        <v>0.88611169999999995</v>
      </c>
      <c r="Y5054">
        <v>0.57480500000000001</v>
      </c>
      <c r="Z5054">
        <v>3.4195830000000003E-2</v>
      </c>
      <c r="AA5054">
        <v>0.81757559999999996</v>
      </c>
      <c r="AB5054">
        <v>16</v>
      </c>
      <c r="AC5054">
        <v>2.9693999999999998</v>
      </c>
      <c r="AD5054">
        <v>-1.056183909944</v>
      </c>
      <c r="AE5054">
        <v>-12.408009</v>
      </c>
      <c r="AF5054">
        <v>7.3541036656818699</v>
      </c>
      <c r="AG5054">
        <v>-1.056183909944</v>
      </c>
      <c r="AH5054">
        <v>10.3191501964913</v>
      </c>
      <c r="AI5054">
        <v>94.764642971750305</v>
      </c>
      <c r="AJ5054">
        <v>54.523833890775201</v>
      </c>
      <c r="AK5054">
        <v>12.7154719123973</v>
      </c>
      <c r="AL5054">
        <v>80.826384745249101</v>
      </c>
      <c r="AM5054">
        <v>63.843337549627897</v>
      </c>
      <c r="AN5054">
        <v>1.0000000386549399</v>
      </c>
    </row>
    <row r="5055" spans="1:40" x14ac:dyDescent="0.25">
      <c r="A5055" t="str">
        <f>"20190312172806683"</f>
        <v>20190312172806683</v>
      </c>
      <c r="B5055" t="str">
        <f>"1552382886674175"</f>
        <v>1552382886674175</v>
      </c>
      <c r="C5055" t="s">
        <v>40</v>
      </c>
      <c r="D5055">
        <v>3.5921989999999999</v>
      </c>
      <c r="E5055">
        <v>0.55892350000000002</v>
      </c>
      <c r="F5055" t="s">
        <v>41</v>
      </c>
      <c r="G5055">
        <v>-305.63170000000002</v>
      </c>
      <c r="H5055" s="1">
        <v>-4.8611489999999998E-6</v>
      </c>
      <c r="I5055">
        <v>-1.4924189999999999</v>
      </c>
      <c r="J5055">
        <v>-308.608</v>
      </c>
      <c r="K5055">
        <v>1.056192</v>
      </c>
      <c r="L5055">
        <v>10.871549999999999</v>
      </c>
      <c r="M5055">
        <v>0.74753959999999997</v>
      </c>
      <c r="N5055">
        <v>0</v>
      </c>
      <c r="O5055">
        <v>-0.66406769999999904</v>
      </c>
      <c r="P5055">
        <v>0.37794050000000001</v>
      </c>
      <c r="Q5055">
        <v>0.15101110000000001</v>
      </c>
      <c r="R5055">
        <v>-0.91343180000000002</v>
      </c>
      <c r="S5055">
        <v>0.74832149999999997</v>
      </c>
      <c r="T5055">
        <v>-0.25570920000000003</v>
      </c>
      <c r="U5055">
        <v>-3.0212400000000001</v>
      </c>
      <c r="V5055">
        <v>0.43354320000000002</v>
      </c>
      <c r="W5055">
        <v>0.1591079</v>
      </c>
      <c r="X5055">
        <v>0.88697519999999996</v>
      </c>
      <c r="Y5055">
        <v>0.56593970000000005</v>
      </c>
      <c r="Z5055">
        <v>3.5422099999999998E-2</v>
      </c>
      <c r="AA5055">
        <v>0.82368529999999995</v>
      </c>
      <c r="AB5055">
        <v>16</v>
      </c>
      <c r="AC5055">
        <v>2.9762999999999802</v>
      </c>
      <c r="AD5055">
        <v>-1.056196861149</v>
      </c>
      <c r="AE5055">
        <v>-12.363969000000001</v>
      </c>
      <c r="AF5055">
        <v>7.2170319722301697</v>
      </c>
      <c r="AG5055">
        <v>-1.056196861149</v>
      </c>
      <c r="AH5055">
        <v>10.3649559107455</v>
      </c>
      <c r="AI5055">
        <v>94.780282033751803</v>
      </c>
      <c r="AJ5055">
        <v>55.150828615769399</v>
      </c>
      <c r="AK5055">
        <v>12.674123769688901</v>
      </c>
      <c r="AL5055">
        <v>80.844880812025096</v>
      </c>
      <c r="AM5055">
        <v>63.951151210642998</v>
      </c>
      <c r="AN5055">
        <v>1.00000001776184</v>
      </c>
    </row>
    <row r="5056" spans="1:40" x14ac:dyDescent="0.25">
      <c r="A5056" t="str">
        <f>"20190312172806707"</f>
        <v>20190312172806707</v>
      </c>
      <c r="B5056" t="str">
        <f>"1552382886694671"</f>
        <v>1552382886694671</v>
      </c>
      <c r="C5056" t="s">
        <v>40</v>
      </c>
      <c r="D5056">
        <v>3.5798619999999999</v>
      </c>
      <c r="E5056">
        <v>0.55871269999999995</v>
      </c>
      <c r="F5056" t="s">
        <v>41</v>
      </c>
      <c r="G5056">
        <v>-305.63299999999998</v>
      </c>
      <c r="H5056" s="1">
        <v>-4.860541E-6</v>
      </c>
      <c r="I5056">
        <v>-1.4945980000000001</v>
      </c>
      <c r="J5056">
        <v>-308.48899999999998</v>
      </c>
      <c r="K5056">
        <v>1.056216</v>
      </c>
      <c r="L5056">
        <v>10.74973</v>
      </c>
      <c r="M5056">
        <v>0.74080459999999904</v>
      </c>
      <c r="N5056">
        <v>0</v>
      </c>
      <c r="O5056">
        <v>-0.67157270000000002</v>
      </c>
      <c r="P5056">
        <v>0.37010409999999999</v>
      </c>
      <c r="Q5056">
        <v>0.15124379999999901</v>
      </c>
      <c r="R5056">
        <v>-0.91659610000000002</v>
      </c>
      <c r="S5056">
        <v>0.72796629999999996</v>
      </c>
      <c r="T5056">
        <v>-0.25843860000000002</v>
      </c>
      <c r="U5056">
        <v>-3.0258479999999999</v>
      </c>
      <c r="V5056">
        <v>0.43215779999999898</v>
      </c>
      <c r="W5056">
        <v>0.15937579999999901</v>
      </c>
      <c r="X5056">
        <v>0.88760289999999997</v>
      </c>
      <c r="Y5056">
        <v>0.56316009999999905</v>
      </c>
      <c r="Z5056">
        <v>3.6709449999999998E-2</v>
      </c>
      <c r="AA5056">
        <v>0.82553209999999999</v>
      </c>
      <c r="AB5056">
        <v>16</v>
      </c>
      <c r="AC5056">
        <v>2.8560000000000501</v>
      </c>
      <c r="AD5056">
        <v>-1.056220860541</v>
      </c>
      <c r="AE5056">
        <v>-12.244327999999999</v>
      </c>
      <c r="AF5056">
        <v>7.10322463352664</v>
      </c>
      <c r="AG5056">
        <v>-1.056220860541</v>
      </c>
      <c r="AH5056">
        <v>10.267263399510499</v>
      </c>
      <c r="AI5056">
        <v>94.835704137068205</v>
      </c>
      <c r="AJ5056">
        <v>55.323262751625101</v>
      </c>
      <c r="AK5056">
        <v>12.5294892320281</v>
      </c>
      <c r="AL5056">
        <v>80.829332330679406</v>
      </c>
      <c r="AM5056">
        <v>64.039386854288793</v>
      </c>
      <c r="AN5056">
        <v>0.99999995890744398</v>
      </c>
    </row>
    <row r="5057" spans="1:40" x14ac:dyDescent="0.25">
      <c r="A5057" t="str">
        <f>"20190312172806729"</f>
        <v>20190312172806729</v>
      </c>
      <c r="B5057" t="str">
        <f>"1552382886724580"</f>
        <v>1552382886724580</v>
      </c>
      <c r="C5057" t="s">
        <v>40</v>
      </c>
      <c r="D5057">
        <v>3.5545789999999999</v>
      </c>
      <c r="E5057">
        <v>0.55823849999999997</v>
      </c>
      <c r="F5057" t="s">
        <v>41</v>
      </c>
      <c r="G5057">
        <v>-305.62520000000001</v>
      </c>
      <c r="H5057" s="1">
        <v>-4.8257820000000004E-6</v>
      </c>
      <c r="I5057">
        <v>-1.5815349999999999</v>
      </c>
      <c r="J5057">
        <v>-308.37759999999997</v>
      </c>
      <c r="K5057">
        <v>1.056243</v>
      </c>
      <c r="L5057">
        <v>10.633330000000001</v>
      </c>
      <c r="M5057">
        <v>0.73436880000000004</v>
      </c>
      <c r="N5057">
        <v>0</v>
      </c>
      <c r="O5057">
        <v>-0.67860450000000005</v>
      </c>
      <c r="P5057">
        <v>0.36280489999999999</v>
      </c>
      <c r="Q5057">
        <v>0.1516631</v>
      </c>
      <c r="R5057">
        <v>-0.91944110000000001</v>
      </c>
      <c r="S5057">
        <v>0.70404049999999996</v>
      </c>
      <c r="T5057">
        <v>-0.2596619</v>
      </c>
      <c r="U5057">
        <v>-3.0315249999999998</v>
      </c>
      <c r="V5057">
        <v>0.43069550000000001</v>
      </c>
      <c r="W5057">
        <v>0.1598338</v>
      </c>
      <c r="X5057">
        <v>0.8882312</v>
      </c>
      <c r="Y5057">
        <v>0.56181689999999995</v>
      </c>
      <c r="Z5057">
        <v>3.7685990000000003E-2</v>
      </c>
      <c r="AA5057">
        <v>0.82640279999999999</v>
      </c>
      <c r="AB5057">
        <v>16</v>
      </c>
      <c r="AC5057">
        <v>2.7523999999999602</v>
      </c>
      <c r="AD5057">
        <v>-1.056247825782</v>
      </c>
      <c r="AE5057">
        <v>-12.214865</v>
      </c>
      <c r="AF5057">
        <v>7.05293964472546</v>
      </c>
      <c r="AG5057">
        <v>-1.056247825782</v>
      </c>
      <c r="AH5057">
        <v>10.2385032962754</v>
      </c>
      <c r="AI5057">
        <v>94.856047817770801</v>
      </c>
      <c r="AJ5057">
        <v>55.438429882339101</v>
      </c>
      <c r="AK5057">
        <v>12.477442320021</v>
      </c>
      <c r="AL5057">
        <v>80.802751051591102</v>
      </c>
      <c r="AM5057">
        <v>64.131661271118901</v>
      </c>
      <c r="AN5057">
        <v>1.0000000609980599</v>
      </c>
    </row>
    <row r="5058" spans="1:40" x14ac:dyDescent="0.25">
      <c r="A5058" t="str">
        <f>"20190312172806751"</f>
        <v>20190312172806751</v>
      </c>
      <c r="B5058" t="str">
        <f>"1552382886744100"</f>
        <v>1552382886744100</v>
      </c>
      <c r="C5058" t="s">
        <v>40</v>
      </c>
      <c r="D5058">
        <v>3.5840489999999998</v>
      </c>
      <c r="E5058">
        <v>0.558083199999999</v>
      </c>
      <c r="F5058" t="s">
        <v>41</v>
      </c>
      <c r="G5058">
        <v>-305.60739999999998</v>
      </c>
      <c r="H5058" s="1">
        <v>-4.7891009999999998E-6</v>
      </c>
      <c r="I5058">
        <v>-1.6688130000000001</v>
      </c>
      <c r="J5058">
        <v>-308.26280000000003</v>
      </c>
      <c r="K5058">
        <v>1.0562780000000001</v>
      </c>
      <c r="L5058">
        <v>10.51093</v>
      </c>
      <c r="M5058">
        <v>0.72760899999999995</v>
      </c>
      <c r="N5058">
        <v>0</v>
      </c>
      <c r="O5058">
        <v>-0.68584750000000005</v>
      </c>
      <c r="P5058">
        <v>0.35531049999999997</v>
      </c>
      <c r="Q5058">
        <v>0.15220210000000001</v>
      </c>
      <c r="R5058">
        <v>-0.92227400000000004</v>
      </c>
      <c r="S5058">
        <v>0.68368530000000005</v>
      </c>
      <c r="T5058">
        <v>-0.26067610000000002</v>
      </c>
      <c r="U5058">
        <v>-3.0361020000000001</v>
      </c>
      <c r="V5058">
        <v>0.42904900000000001</v>
      </c>
      <c r="W5058">
        <v>0.160419799999999</v>
      </c>
      <c r="X5058">
        <v>0.88892209999999905</v>
      </c>
      <c r="Y5058">
        <v>0.55917289999999997</v>
      </c>
      <c r="Z5058">
        <v>3.8717399999999999E-2</v>
      </c>
      <c r="AA5058">
        <v>0.82814659999999995</v>
      </c>
      <c r="AB5058">
        <v>16</v>
      </c>
      <c r="AC5058">
        <v>2.6554000000000402</v>
      </c>
      <c r="AD5058">
        <v>-1.056282789101</v>
      </c>
      <c r="AE5058">
        <v>-12.179742999999901</v>
      </c>
      <c r="AF5058">
        <v>6.9913922245312303</v>
      </c>
      <c r="AG5058">
        <v>-1.056282789101</v>
      </c>
      <c r="AH5058">
        <v>10.213229717880999</v>
      </c>
      <c r="AI5058">
        <v>94.877947228432205</v>
      </c>
      <c r="AJ5058">
        <v>55.60669243201</v>
      </c>
      <c r="AK5058">
        <v>12.4219708515998</v>
      </c>
      <c r="AL5058">
        <v>80.768736517222706</v>
      </c>
      <c r="AM5058">
        <v>64.235157916091396</v>
      </c>
      <c r="AN5058">
        <v>1.00000002825072</v>
      </c>
    </row>
    <row r="5059" spans="1:40" x14ac:dyDescent="0.25">
      <c r="A5059" t="str">
        <f>"20190312172806773"</f>
        <v>20190312172806773</v>
      </c>
      <c r="B5059" t="str">
        <f>"1552382886764596"</f>
        <v>1552382886764596</v>
      </c>
      <c r="C5059" t="s">
        <v>40</v>
      </c>
      <c r="D5059">
        <v>3.5648710000000001</v>
      </c>
      <c r="E5059">
        <v>0.55454609999999904</v>
      </c>
      <c r="F5059" t="s">
        <v>41</v>
      </c>
      <c r="G5059">
        <v>-305.58350000000002</v>
      </c>
      <c r="H5059" s="1">
        <v>-4.7264299999999997E-6</v>
      </c>
      <c r="I5059">
        <v>-1.8209900000000001</v>
      </c>
      <c r="J5059">
        <v>-308.15679999999998</v>
      </c>
      <c r="K5059">
        <v>1.056314</v>
      </c>
      <c r="L5059">
        <v>10.39584</v>
      </c>
      <c r="M5059">
        <v>0.72125689999999998</v>
      </c>
      <c r="N5059">
        <v>0</v>
      </c>
      <c r="O5059">
        <v>-0.69252460000000005</v>
      </c>
      <c r="P5059">
        <v>0.34885749999999999</v>
      </c>
      <c r="Q5059">
        <v>0.1528176</v>
      </c>
      <c r="R5059">
        <v>-0.92463240000000002</v>
      </c>
      <c r="S5059">
        <v>0.66076659999999998</v>
      </c>
      <c r="T5059">
        <v>-0.26049729999999999</v>
      </c>
      <c r="U5059">
        <v>-3.0412599999999999</v>
      </c>
      <c r="V5059">
        <v>0.42698259999999999</v>
      </c>
      <c r="W5059">
        <v>0.1610924</v>
      </c>
      <c r="X5059">
        <v>0.889795</v>
      </c>
      <c r="Y5059">
        <v>0.55779440000000002</v>
      </c>
      <c r="Z5059">
        <v>3.9463369999999998E-2</v>
      </c>
      <c r="AA5059">
        <v>0.82904049999999996</v>
      </c>
      <c r="AB5059">
        <v>16</v>
      </c>
      <c r="AC5059">
        <v>2.5732999999999602</v>
      </c>
      <c r="AD5059">
        <v>-1.05631872643</v>
      </c>
      <c r="AE5059">
        <v>-12.21683</v>
      </c>
      <c r="AF5059">
        <v>6.9801289922728902</v>
      </c>
      <c r="AG5059">
        <v>-1.05631872643</v>
      </c>
      <c r="AH5059">
        <v>10.2441556328953</v>
      </c>
      <c r="AI5059">
        <v>94.870598681650407</v>
      </c>
      <c r="AJ5059">
        <v>55.7303941492397</v>
      </c>
      <c r="AK5059">
        <v>12.441090572436</v>
      </c>
      <c r="AL5059">
        <v>80.729691505756193</v>
      </c>
      <c r="AM5059">
        <v>64.365222281300305</v>
      </c>
      <c r="AN5059">
        <v>1.0000000220327501</v>
      </c>
    </row>
    <row r="5060" spans="1:40" x14ac:dyDescent="0.25">
      <c r="A5060" t="str">
        <f>"20190312172806795"</f>
        <v>20190312172806795</v>
      </c>
      <c r="B5060" t="str">
        <f>"1552382886784116"</f>
        <v>1552382886784116</v>
      </c>
      <c r="C5060" t="s">
        <v>40</v>
      </c>
      <c r="D5060">
        <v>3.6011669999999998</v>
      </c>
      <c r="E5060">
        <v>0.55467519999999904</v>
      </c>
      <c r="F5060" t="s">
        <v>41</v>
      </c>
      <c r="G5060">
        <v>-305.52510000000001</v>
      </c>
      <c r="H5060" s="1">
        <v>-4.8024970000000003E-6</v>
      </c>
      <c r="I5060">
        <v>-1.595912</v>
      </c>
      <c r="J5060">
        <v>-308.04599999999999</v>
      </c>
      <c r="K5060">
        <v>1.05636</v>
      </c>
      <c r="L5060">
        <v>10.27319</v>
      </c>
      <c r="M5060">
        <v>0.71450590000000003</v>
      </c>
      <c r="N5060">
        <v>0</v>
      </c>
      <c r="O5060">
        <v>-0.6994882</v>
      </c>
      <c r="P5060">
        <v>0.34218920000000003</v>
      </c>
      <c r="Q5060">
        <v>0.15357709999999999</v>
      </c>
      <c r="R5060">
        <v>-0.92699560000000003</v>
      </c>
      <c r="S5060">
        <v>0.66656490000000002</v>
      </c>
      <c r="T5060">
        <v>-0.2675437</v>
      </c>
      <c r="U5060">
        <v>-3.0372620000000001</v>
      </c>
      <c r="V5060">
        <v>0.42465589999999998</v>
      </c>
      <c r="W5060">
        <v>0.16192049999999999</v>
      </c>
      <c r="X5060">
        <v>0.89075759999999904</v>
      </c>
      <c r="Y5060">
        <v>0.54799449999999905</v>
      </c>
      <c r="Z5060">
        <v>4.1725930000000001E-2</v>
      </c>
      <c r="AA5060">
        <v>0.83544059999999898</v>
      </c>
      <c r="AB5060">
        <v>16</v>
      </c>
      <c r="AC5060">
        <v>2.5208999999999802</v>
      </c>
      <c r="AD5060">
        <v>-1.056364802497</v>
      </c>
      <c r="AE5060">
        <v>-11.869102</v>
      </c>
      <c r="AF5060">
        <v>6.6673334582314503</v>
      </c>
      <c r="AG5060">
        <v>-1.056364802497</v>
      </c>
      <c r="AH5060">
        <v>10.028483927118399</v>
      </c>
      <c r="AI5060">
        <v>95.013103366948897</v>
      </c>
      <c r="AJ5060">
        <v>56.382465737407699</v>
      </c>
      <c r="AK5060">
        <v>12.0888267385912</v>
      </c>
      <c r="AL5060">
        <v>80.681613404370793</v>
      </c>
      <c r="AM5060">
        <v>64.511198129902994</v>
      </c>
      <c r="AN5060">
        <v>0.99999999184140997</v>
      </c>
    </row>
    <row r="5061" spans="1:40" x14ac:dyDescent="0.25">
      <c r="A5061" t="str">
        <f>"20190312172806817"</f>
        <v>20190312172806817</v>
      </c>
      <c r="B5061" t="str">
        <f>"1552382886814718"</f>
        <v>1552382886814718</v>
      </c>
      <c r="C5061" t="s">
        <v>40</v>
      </c>
      <c r="D5061">
        <v>3.5827779999999998</v>
      </c>
      <c r="E5061">
        <v>0.55372699999999997</v>
      </c>
      <c r="F5061" t="s">
        <v>41</v>
      </c>
      <c r="G5061">
        <v>-305.50119999999998</v>
      </c>
      <c r="H5061" s="1">
        <v>-4.7312060000000003E-6</v>
      </c>
      <c r="I5061">
        <v>-1.7705139999999999</v>
      </c>
      <c r="J5061">
        <v>-307.94220000000001</v>
      </c>
      <c r="K5061">
        <v>1.0564089999999999</v>
      </c>
      <c r="L5061">
        <v>10.156280000000001</v>
      </c>
      <c r="M5061">
        <v>0.7081018</v>
      </c>
      <c r="N5061">
        <v>0</v>
      </c>
      <c r="O5061">
        <v>-0.7059706</v>
      </c>
      <c r="P5061">
        <v>0.33607890000000001</v>
      </c>
      <c r="Q5061">
        <v>0.15445249999999999</v>
      </c>
      <c r="R5061">
        <v>-0.92908349999999995</v>
      </c>
      <c r="S5061">
        <v>0.64300539999999995</v>
      </c>
      <c r="T5061">
        <v>-0.26691500000000001</v>
      </c>
      <c r="U5061">
        <v>-3.0431210000000002</v>
      </c>
      <c r="V5061">
        <v>0.42228179999999998</v>
      </c>
      <c r="W5061">
        <v>0.1628733</v>
      </c>
      <c r="X5061">
        <v>0.89171199999999995</v>
      </c>
      <c r="Y5061">
        <v>0.54690130000000003</v>
      </c>
      <c r="Z5061">
        <v>4.2378689999999997E-2</v>
      </c>
      <c r="AA5061">
        <v>0.83612379999999997</v>
      </c>
      <c r="AB5061">
        <v>16</v>
      </c>
      <c r="AC5061">
        <v>2.44100000000003</v>
      </c>
      <c r="AD5061">
        <v>-1.056413731206</v>
      </c>
      <c r="AE5061">
        <v>-11.926793999999999</v>
      </c>
      <c r="AF5061">
        <v>6.6725287927166601</v>
      </c>
      <c r="AG5061">
        <v>-1.056413731206</v>
      </c>
      <c r="AH5061">
        <v>10.0735890259533</v>
      </c>
      <c r="AI5061">
        <v>94.996634289806195</v>
      </c>
      <c r="AJ5061">
        <v>56.480365012000597</v>
      </c>
      <c r="AK5061">
        <v>12.129132134036601</v>
      </c>
      <c r="AL5061">
        <v>80.626287266454696</v>
      </c>
      <c r="AM5061">
        <v>64.659496993857005</v>
      </c>
      <c r="AN5061">
        <v>0.99999996070406405</v>
      </c>
    </row>
    <row r="5062" spans="1:40" x14ac:dyDescent="0.25">
      <c r="A5062" t="str">
        <f>"20190312172806840"</f>
        <v>20190312172806840</v>
      </c>
      <c r="B5062" t="str">
        <f>"1552382886834238"</f>
        <v>1552382886834238</v>
      </c>
      <c r="C5062" t="s">
        <v>40</v>
      </c>
      <c r="D5062">
        <v>3.6175480000000002</v>
      </c>
      <c r="E5062">
        <v>0.55059069999999899</v>
      </c>
      <c r="F5062" t="s">
        <v>41</v>
      </c>
      <c r="G5062">
        <v>-305.43669999999997</v>
      </c>
      <c r="H5062" s="1">
        <v>-4.6474870000000002E-6</v>
      </c>
      <c r="I5062">
        <v>-1.9587650000000001</v>
      </c>
      <c r="J5062">
        <v>-307.83409999999998</v>
      </c>
      <c r="K5062">
        <v>1.056476</v>
      </c>
      <c r="L5062">
        <v>10.032500000000001</v>
      </c>
      <c r="M5062">
        <v>0.70137479999999996</v>
      </c>
      <c r="N5062">
        <v>0</v>
      </c>
      <c r="O5062">
        <v>-0.71265440000000002</v>
      </c>
      <c r="P5062">
        <v>0.32975510000000002</v>
      </c>
      <c r="Q5062">
        <v>0.15510160000000001</v>
      </c>
      <c r="R5062">
        <v>-0.93123849999999997</v>
      </c>
      <c r="S5062">
        <v>0.62979130000000005</v>
      </c>
      <c r="T5062">
        <v>-0.2655498</v>
      </c>
      <c r="U5062">
        <v>-3.0453489999999999</v>
      </c>
      <c r="V5062">
        <v>0.4197825</v>
      </c>
      <c r="W5062">
        <v>0.16361899999999999</v>
      </c>
      <c r="X5062">
        <v>0.89275499999999997</v>
      </c>
      <c r="Y5062">
        <v>0.54257140000000004</v>
      </c>
      <c r="Z5062">
        <v>4.3076679999999999E-2</v>
      </c>
      <c r="AA5062">
        <v>0.83890450000000005</v>
      </c>
      <c r="AB5062">
        <v>16</v>
      </c>
      <c r="AC5062">
        <v>2.3974000000000002</v>
      </c>
      <c r="AD5062">
        <v>-1.0564806474870001</v>
      </c>
      <c r="AE5062">
        <v>-11.991265</v>
      </c>
      <c r="AF5062">
        <v>6.6528570595548304</v>
      </c>
      <c r="AG5062">
        <v>-1.0564806474870001</v>
      </c>
      <c r="AH5062">
        <v>10.1523346930977</v>
      </c>
      <c r="AI5062">
        <v>94.974447518597501</v>
      </c>
      <c r="AJ5062">
        <v>56.763047682604501</v>
      </c>
      <c r="AK5062">
        <v>12.183864663318399</v>
      </c>
      <c r="AL5062">
        <v>80.582981303772797</v>
      </c>
      <c r="AM5062">
        <v>64.816612143009195</v>
      </c>
      <c r="AN5062">
        <v>1.0000000072461199</v>
      </c>
    </row>
    <row r="5063" spans="1:40" x14ac:dyDescent="0.25">
      <c r="A5063" t="str">
        <f>"20190312172806862"</f>
        <v>20190312172806862</v>
      </c>
      <c r="B5063" t="str">
        <f>"1552382886854735"</f>
        <v>1552382886854735</v>
      </c>
      <c r="C5063" t="s">
        <v>40</v>
      </c>
      <c r="D5063">
        <v>3.6154160000000002</v>
      </c>
      <c r="E5063">
        <v>0.55030109999999999</v>
      </c>
      <c r="F5063" t="s">
        <v>41</v>
      </c>
      <c r="G5063">
        <v>-305.32249999999999</v>
      </c>
      <c r="H5063" s="1">
        <v>-4.5925849999999997E-6</v>
      </c>
      <c r="I5063">
        <v>-2.048959</v>
      </c>
      <c r="J5063">
        <v>-307.73020000000002</v>
      </c>
      <c r="K5063">
        <v>1.0565610000000001</v>
      </c>
      <c r="L5063">
        <v>9.9112849999999995</v>
      </c>
      <c r="M5063">
        <v>0.69485959999999902</v>
      </c>
      <c r="N5063">
        <v>0</v>
      </c>
      <c r="O5063">
        <v>-0.71900889999999995</v>
      </c>
      <c r="P5063">
        <v>0.32344349999999999</v>
      </c>
      <c r="Q5063">
        <v>0.1552065</v>
      </c>
      <c r="R5063">
        <v>-0.9334325</v>
      </c>
      <c r="S5063">
        <v>0.63238530000000004</v>
      </c>
      <c r="T5063">
        <v>-0.2660033</v>
      </c>
      <c r="U5063">
        <v>-3.0419010000000002</v>
      </c>
      <c r="V5063">
        <v>0.41764849999999998</v>
      </c>
      <c r="W5063">
        <v>0.163828799999999</v>
      </c>
      <c r="X5063">
        <v>0.89371690000000004</v>
      </c>
      <c r="Y5063">
        <v>0.53404669999999999</v>
      </c>
      <c r="Z5063">
        <v>4.4220450000000001E-2</v>
      </c>
      <c r="AA5063">
        <v>0.84429769999999904</v>
      </c>
      <c r="AB5063">
        <v>16</v>
      </c>
      <c r="AC5063">
        <v>2.4077000000000299</v>
      </c>
      <c r="AD5063">
        <v>-1.0565655925849999</v>
      </c>
      <c r="AE5063">
        <v>-11.960243999999999</v>
      </c>
      <c r="AF5063">
        <v>6.5311947862612199</v>
      </c>
      <c r="AG5063">
        <v>-1.0565655925849999</v>
      </c>
      <c r="AH5063">
        <v>10.1970661142028</v>
      </c>
      <c r="AI5063">
        <v>94.986540494106407</v>
      </c>
      <c r="AJ5063">
        <v>57.360541955572799</v>
      </c>
      <c r="AK5063">
        <v>12.155368917681701</v>
      </c>
      <c r="AL5063">
        <v>80.570796360070602</v>
      </c>
      <c r="AM5063">
        <v>64.952547920518995</v>
      </c>
      <c r="AN5063">
        <v>1.00000002130364</v>
      </c>
    </row>
    <row r="5064" spans="1:40" x14ac:dyDescent="0.25">
      <c r="A5064" t="str">
        <f>"20190312172806884"</f>
        <v>20190312172806884</v>
      </c>
      <c r="B5064" t="str">
        <f>"1552382886874254"</f>
        <v>1552382886874254</v>
      </c>
      <c r="C5064" t="s">
        <v>40</v>
      </c>
      <c r="D5064">
        <v>3.6073499999999998</v>
      </c>
      <c r="E5064">
        <v>0.54973439999999996</v>
      </c>
      <c r="F5064" t="s">
        <v>41</v>
      </c>
      <c r="G5064">
        <v>-305.2998</v>
      </c>
      <c r="H5064" s="1">
        <v>-4.5534110000000004E-6</v>
      </c>
      <c r="I5064">
        <v>-2.1404809999999999</v>
      </c>
      <c r="J5064">
        <v>-307.62380000000002</v>
      </c>
      <c r="K5064">
        <v>1.0566690000000001</v>
      </c>
      <c r="L5064">
        <v>9.7851560000000006</v>
      </c>
      <c r="M5064">
        <v>0.68817419999999996</v>
      </c>
      <c r="N5064">
        <v>0</v>
      </c>
      <c r="O5064">
        <v>-0.72541029999999995</v>
      </c>
      <c r="P5064">
        <v>0.31692700000000001</v>
      </c>
      <c r="Q5064">
        <v>0.1552549</v>
      </c>
      <c r="R5064">
        <v>-0.93565659999999895</v>
      </c>
      <c r="S5064">
        <v>0.61416630000000005</v>
      </c>
      <c r="T5064">
        <v>-0.26699590000000001</v>
      </c>
      <c r="U5064">
        <v>-3.0455019999999999</v>
      </c>
      <c r="V5064">
        <v>0.41555180000000003</v>
      </c>
      <c r="W5064">
        <v>0.16399949999999999</v>
      </c>
      <c r="X5064">
        <v>0.89466239999999997</v>
      </c>
      <c r="Y5064">
        <v>0.53127809999999998</v>
      </c>
      <c r="Z5064">
        <v>4.520424E-2</v>
      </c>
      <c r="AA5064">
        <v>0.84599069999999899</v>
      </c>
      <c r="AB5064">
        <v>16</v>
      </c>
      <c r="AC5064">
        <v>2.3240000000000101</v>
      </c>
      <c r="AD5064">
        <v>-1.0566735534110001</v>
      </c>
      <c r="AE5064">
        <v>-11.925637</v>
      </c>
      <c r="AF5064">
        <v>6.4727443208012598</v>
      </c>
      <c r="AG5064">
        <v>-1.0566735534110001</v>
      </c>
      <c r="AH5064">
        <v>10.174347127642701</v>
      </c>
      <c r="AI5064">
        <v>95.007867453235406</v>
      </c>
      <c r="AJ5064">
        <v>57.536184316515801</v>
      </c>
      <c r="AK5064">
        <v>12.104970777111101</v>
      </c>
      <c r="AL5064">
        <v>80.560881405923993</v>
      </c>
      <c r="AM5064">
        <v>65.086126398361799</v>
      </c>
      <c r="AN5064">
        <v>0.99999997222862402</v>
      </c>
    </row>
    <row r="5065" spans="1:40" x14ac:dyDescent="0.25">
      <c r="A5065" t="str">
        <f>"20190312172806907"</f>
        <v>20190312172806907</v>
      </c>
      <c r="B5065" t="str">
        <f>"1552382886904511"</f>
        <v>1552382886904511</v>
      </c>
      <c r="C5065" t="s">
        <v>40</v>
      </c>
      <c r="D5065">
        <v>3.5797050000000001</v>
      </c>
      <c r="E5065">
        <v>0.5482167</v>
      </c>
      <c r="F5065" t="s">
        <v>41</v>
      </c>
      <c r="G5065">
        <v>-305.27749999999997</v>
      </c>
      <c r="H5065" s="1">
        <v>-4.5318579999999999E-6</v>
      </c>
      <c r="I5065">
        <v>-2.1862979999999999</v>
      </c>
      <c r="J5065">
        <v>-307.5206</v>
      </c>
      <c r="K5065">
        <v>1.0568</v>
      </c>
      <c r="L5065">
        <v>9.6608579999999993</v>
      </c>
      <c r="M5065">
        <v>0.68170489999999995</v>
      </c>
      <c r="N5065">
        <v>0</v>
      </c>
      <c r="O5065">
        <v>-0.73149390000000003</v>
      </c>
      <c r="P5065">
        <v>0.31080419999999997</v>
      </c>
      <c r="Q5065">
        <v>0.1550002</v>
      </c>
      <c r="R5065">
        <v>-0.93775059999999999</v>
      </c>
      <c r="S5065">
        <v>0.59750369999999997</v>
      </c>
      <c r="T5065">
        <v>-0.26908389999999999</v>
      </c>
      <c r="U5065">
        <v>-3.0485530000000001</v>
      </c>
      <c r="V5065">
        <v>0.41342370000000001</v>
      </c>
      <c r="W5065">
        <v>0.1638801</v>
      </c>
      <c r="X5065">
        <v>0.89566959999999995</v>
      </c>
      <c r="Y5065">
        <v>0.52837679999999998</v>
      </c>
      <c r="Z5065">
        <v>4.635355E-2</v>
      </c>
      <c r="AA5065">
        <v>0.84774369999999999</v>
      </c>
      <c r="AB5065">
        <v>16</v>
      </c>
      <c r="AC5065">
        <v>2.2431000000000201</v>
      </c>
      <c r="AD5065">
        <v>-1.0568045318579999</v>
      </c>
      <c r="AE5065">
        <v>-11.847156</v>
      </c>
      <c r="AF5065">
        <v>6.3870142246749104</v>
      </c>
      <c r="AG5065">
        <v>-1.0568045318579999</v>
      </c>
      <c r="AH5065">
        <v>10.118520518654099</v>
      </c>
      <c r="AI5065">
        <v>95.047230314586599</v>
      </c>
      <c r="AJ5065">
        <v>57.739052929465601</v>
      </c>
      <c r="AK5065">
        <v>12.0122955346253</v>
      </c>
      <c r="AL5065">
        <v>80.567816020279395</v>
      </c>
      <c r="AM5065">
        <v>65.2228696911246</v>
      </c>
      <c r="AN5065">
        <v>0.99999993763092798</v>
      </c>
    </row>
    <row r="5066" spans="1:40" x14ac:dyDescent="0.25">
      <c r="A5066" t="str">
        <f>"20190312172806932"</f>
        <v>20190312172806932</v>
      </c>
      <c r="B5066" t="str">
        <f>"1552382886925007"</f>
        <v>1552382886925007</v>
      </c>
      <c r="C5066" t="s">
        <v>40</v>
      </c>
      <c r="D5066">
        <v>3.590049</v>
      </c>
      <c r="E5066">
        <v>0.54829119999999998</v>
      </c>
      <c r="F5066" t="s">
        <v>41</v>
      </c>
      <c r="G5066">
        <v>-305.35500000000002</v>
      </c>
      <c r="H5066" s="1">
        <v>-4.793118E-6</v>
      </c>
      <c r="I5066">
        <v>-1.54179</v>
      </c>
      <c r="J5066">
        <v>-307.4117</v>
      </c>
      <c r="K5066">
        <v>1.056942</v>
      </c>
      <c r="L5066">
        <v>9.5274049999999999</v>
      </c>
      <c r="M5066">
        <v>0.67493570000000003</v>
      </c>
      <c r="N5066">
        <v>0</v>
      </c>
      <c r="O5066">
        <v>-0.73774490000000004</v>
      </c>
      <c r="P5066">
        <v>0.30411769999999999</v>
      </c>
      <c r="Q5066">
        <v>0.15524830000000001</v>
      </c>
      <c r="R5066">
        <v>-0.93989909999999999</v>
      </c>
      <c r="S5066">
        <v>0.58984380000000003</v>
      </c>
      <c r="T5066">
        <v>-0.28783940000000002</v>
      </c>
      <c r="U5066">
        <v>-3.0512389999999998</v>
      </c>
      <c r="V5066">
        <v>0.41145799999999999</v>
      </c>
      <c r="W5066">
        <v>0.16427749999999999</v>
      </c>
      <c r="X5066">
        <v>0.89650169999999996</v>
      </c>
      <c r="Y5066">
        <v>0.52275839999999996</v>
      </c>
      <c r="Z5066">
        <v>5.0521440000000001E-2</v>
      </c>
      <c r="AA5066">
        <v>0.85098249999999998</v>
      </c>
      <c r="AB5066">
        <v>16</v>
      </c>
      <c r="AC5066">
        <v>2.05669999999997</v>
      </c>
      <c r="AD5066">
        <v>-1.0569467931180001</v>
      </c>
      <c r="AE5066">
        <v>-11.069195000000001</v>
      </c>
      <c r="AF5066">
        <v>5.9022356886594096</v>
      </c>
      <c r="AG5066">
        <v>-1.0569467931180001</v>
      </c>
      <c r="AH5066">
        <v>9.4718333512300301</v>
      </c>
      <c r="AI5066">
        <v>95.410120907607705</v>
      </c>
      <c r="AJ5066">
        <v>58.0715009570402</v>
      </c>
      <c r="AK5066">
        <v>11.210225228845299</v>
      </c>
      <c r="AL5066">
        <v>80.544734829602007</v>
      </c>
      <c r="AM5066">
        <v>65.346792297724903</v>
      </c>
      <c r="AN5066">
        <v>1.0000000404365601</v>
      </c>
    </row>
    <row r="5067" spans="1:40" x14ac:dyDescent="0.25">
      <c r="A5067" t="str">
        <f>"20190312172806954"</f>
        <v>20190312172806954</v>
      </c>
      <c r="B5067" t="str">
        <f>"1552382886944527"</f>
        <v>1552382886944527</v>
      </c>
      <c r="C5067" t="s">
        <v>40</v>
      </c>
      <c r="D5067">
        <v>3.5756399999999999</v>
      </c>
      <c r="E5067">
        <v>0.54790260000000002</v>
      </c>
      <c r="F5067" t="s">
        <v>41</v>
      </c>
      <c r="G5067">
        <v>-305.32560000000001</v>
      </c>
      <c r="H5067" s="1">
        <v>-4.7236010000000002E-6</v>
      </c>
      <c r="I5067">
        <v>-1.7092309999999999</v>
      </c>
      <c r="J5067">
        <v>-307.30930000000001</v>
      </c>
      <c r="K5067">
        <v>1.057083</v>
      </c>
      <c r="L5067">
        <v>9.4002379999999999</v>
      </c>
      <c r="M5067">
        <v>0.66863719999999904</v>
      </c>
      <c r="N5067">
        <v>0</v>
      </c>
      <c r="O5067">
        <v>-0.74345890000000003</v>
      </c>
      <c r="P5067">
        <v>0.29791970000000001</v>
      </c>
      <c r="Q5067">
        <v>0.155175799999999</v>
      </c>
      <c r="R5067">
        <v>-0.94189409999999896</v>
      </c>
      <c r="S5067">
        <v>0.56729130000000005</v>
      </c>
      <c r="T5067">
        <v>-0.28743229999999997</v>
      </c>
      <c r="U5067">
        <v>-3.0557560000000001</v>
      </c>
      <c r="V5067">
        <v>0.4096841</v>
      </c>
      <c r="W5067">
        <v>0.16434199999999999</v>
      </c>
      <c r="X5067">
        <v>0.89730189999999999</v>
      </c>
      <c r="Y5067">
        <v>0.52181549999999999</v>
      </c>
      <c r="Z5067">
        <v>5.1172759999999998E-2</v>
      </c>
      <c r="AA5067">
        <v>0.85152209999999995</v>
      </c>
      <c r="AB5067">
        <v>16</v>
      </c>
      <c r="AC5067">
        <v>1.98369999999999</v>
      </c>
      <c r="AD5067">
        <v>-1.0570877236009999</v>
      </c>
      <c r="AE5067">
        <v>-11.109469000000001</v>
      </c>
      <c r="AF5067">
        <v>5.9021931865343298</v>
      </c>
      <c r="AG5067">
        <v>-1.0570877236009999</v>
      </c>
      <c r="AH5067">
        <v>9.50335135912235</v>
      </c>
      <c r="AI5067">
        <v>95.397981318075793</v>
      </c>
      <c r="AJ5067">
        <v>58.157056246777998</v>
      </c>
      <c r="AK5067">
        <v>11.2368592552141</v>
      </c>
      <c r="AL5067">
        <v>80.5409882066823</v>
      </c>
      <c r="AM5067">
        <v>65.459826307882295</v>
      </c>
      <c r="AN5067">
        <v>1.0000000272502001</v>
      </c>
    </row>
    <row r="5068" spans="1:40" x14ac:dyDescent="0.25">
      <c r="A5068" t="str">
        <f>"20190312172806974"</f>
        <v>20190312172806974</v>
      </c>
      <c r="B5068" t="str">
        <f>"1552382886964047"</f>
        <v>1552382886964047</v>
      </c>
      <c r="C5068" t="s">
        <v>40</v>
      </c>
      <c r="D5068">
        <v>3.5586959999999999</v>
      </c>
      <c r="E5068">
        <v>0.54752290000000003</v>
      </c>
      <c r="F5068" t="s">
        <v>41</v>
      </c>
      <c r="G5068">
        <v>-305.2996</v>
      </c>
      <c r="H5068" s="1">
        <v>-4.6948000000000003E-6</v>
      </c>
      <c r="I5068">
        <v>-1.7722020000000001</v>
      </c>
      <c r="J5068">
        <v>-307.21949999999998</v>
      </c>
      <c r="K5068">
        <v>1.05719599999999</v>
      </c>
      <c r="L5068">
        <v>9.2871699999999997</v>
      </c>
      <c r="M5068">
        <v>0.66314419999999996</v>
      </c>
      <c r="N5068">
        <v>0</v>
      </c>
      <c r="O5068">
        <v>-0.74836320000000001</v>
      </c>
      <c r="P5068">
        <v>0.29312929999999998</v>
      </c>
      <c r="Q5068">
        <v>0.15492149999999999</v>
      </c>
      <c r="R5068">
        <v>-0.94343770000000005</v>
      </c>
      <c r="S5068">
        <v>0.55020139999999995</v>
      </c>
      <c r="T5068">
        <v>-0.2894022</v>
      </c>
      <c r="U5068">
        <v>-3.058716</v>
      </c>
      <c r="V5068">
        <v>0.4076108</v>
      </c>
      <c r="W5068">
        <v>0.16420090000000001</v>
      </c>
      <c r="X5068">
        <v>0.89827139999999905</v>
      </c>
      <c r="Y5068">
        <v>0.52029539999999996</v>
      </c>
      <c r="Z5068">
        <v>5.2180499999999998E-2</v>
      </c>
      <c r="AA5068">
        <v>0.8523908</v>
      </c>
      <c r="AB5068">
        <v>16</v>
      </c>
      <c r="AC5068">
        <v>1.91989999999998</v>
      </c>
      <c r="AD5068">
        <v>-1.0572006947999999</v>
      </c>
      <c r="AE5068">
        <v>-11.059372</v>
      </c>
      <c r="AF5068">
        <v>5.8458857190757403</v>
      </c>
      <c r="AG5068">
        <v>-1.0572006947999999</v>
      </c>
      <c r="AH5068">
        <v>9.46654078121</v>
      </c>
      <c r="AI5068">
        <v>95.427948515639201</v>
      </c>
      <c r="AJ5068">
        <v>58.303369435824301</v>
      </c>
      <c r="AK5068">
        <v>11.176200047954101</v>
      </c>
      <c r="AL5068">
        <v>80.549183756867905</v>
      </c>
      <c r="AM5068">
        <v>65.592762655316406</v>
      </c>
      <c r="AN5068">
        <v>1.0000000039476999</v>
      </c>
    </row>
    <row r="5069" spans="1:40" x14ac:dyDescent="0.25">
      <c r="A5069" t="str">
        <f>"20190312172806998"</f>
        <v>20190312172806998</v>
      </c>
      <c r="B5069" t="str">
        <f>"1552382886994303"</f>
        <v>1552382886994303</v>
      </c>
      <c r="C5069" t="s">
        <v>40</v>
      </c>
      <c r="D5069">
        <v>3.610439</v>
      </c>
      <c r="E5069">
        <v>0.54719289999999998</v>
      </c>
      <c r="F5069" t="s">
        <v>41</v>
      </c>
      <c r="G5069">
        <v>-305.26569999999998</v>
      </c>
      <c r="H5069" s="1">
        <v>-4.6696350000000001E-6</v>
      </c>
      <c r="I5069">
        <v>-1.822109</v>
      </c>
      <c r="J5069">
        <v>-307.11470000000003</v>
      </c>
      <c r="K5069">
        <v>1.0572549999999901</v>
      </c>
      <c r="L5069">
        <v>9.1534420000000001</v>
      </c>
      <c r="M5069">
        <v>0.65675289999999997</v>
      </c>
      <c r="N5069">
        <v>0</v>
      </c>
      <c r="O5069">
        <v>-0.75398120000000002</v>
      </c>
      <c r="P5069">
        <v>0.28714590000000001</v>
      </c>
      <c r="Q5069">
        <v>0.15474370000000001</v>
      </c>
      <c r="R5069">
        <v>-0.94530499999999995</v>
      </c>
      <c r="S5069">
        <v>0.53823849999999995</v>
      </c>
      <c r="T5069">
        <v>-0.29124450000000002</v>
      </c>
      <c r="U5069">
        <v>-3.0604550000000001</v>
      </c>
      <c r="V5069">
        <v>0.40562969999999998</v>
      </c>
      <c r="W5069">
        <v>0.1640047</v>
      </c>
      <c r="X5069">
        <v>0.89920349999999905</v>
      </c>
      <c r="Y5069">
        <v>0.51635209999999998</v>
      </c>
      <c r="Z5069">
        <v>5.3360190000000002E-2</v>
      </c>
      <c r="AA5069">
        <v>0.85471239999999904</v>
      </c>
      <c r="AB5069">
        <v>16</v>
      </c>
      <c r="AC5069">
        <v>1.8490000000000399</v>
      </c>
      <c r="AD5069">
        <v>-1.0572596696349901</v>
      </c>
      <c r="AE5069">
        <v>-10.975550999999999</v>
      </c>
      <c r="AF5069">
        <v>5.7626630418752196</v>
      </c>
      <c r="AG5069">
        <v>-1.0572596696349901</v>
      </c>
      <c r="AH5069">
        <v>9.4057183412553798</v>
      </c>
      <c r="AI5069">
        <v>95.474916593846103</v>
      </c>
      <c r="AJ5069">
        <v>58.505175368221202</v>
      </c>
      <c r="AK5069">
        <v>11.081228309996099</v>
      </c>
      <c r="AL5069">
        <v>80.560579307435503</v>
      </c>
      <c r="AM5069">
        <v>65.7199172068091</v>
      </c>
      <c r="AN5069">
        <v>0.99999996477821396</v>
      </c>
    </row>
    <row r="5070" spans="1:40" x14ac:dyDescent="0.25">
      <c r="A5070" t="str">
        <f>"20190312172807018"</f>
        <v>20190312172807018</v>
      </c>
      <c r="B5070" t="str">
        <f>"1552382887014799"</f>
        <v>1552382887014799</v>
      </c>
      <c r="C5070" t="s">
        <v>40</v>
      </c>
      <c r="D5070">
        <v>3.7405020000000002</v>
      </c>
      <c r="E5070">
        <v>0.5452669</v>
      </c>
      <c r="F5070" t="s">
        <v>41</v>
      </c>
      <c r="G5070">
        <v>-305.2251</v>
      </c>
      <c r="H5070" s="1">
        <v>-4.6148570000000004E-6</v>
      </c>
      <c r="I5070">
        <v>-1.9459919999999999</v>
      </c>
      <c r="J5070">
        <v>-307.02409999999998</v>
      </c>
      <c r="K5070">
        <v>1.0572280000000001</v>
      </c>
      <c r="L5070">
        <v>9.0360410000000009</v>
      </c>
      <c r="M5070">
        <v>0.65123640000000005</v>
      </c>
      <c r="N5070">
        <v>0</v>
      </c>
      <c r="O5070">
        <v>-0.7587564</v>
      </c>
      <c r="P5070">
        <v>0.28233950000000002</v>
      </c>
      <c r="Q5070">
        <v>0.1555001</v>
      </c>
      <c r="R5070">
        <v>-0.94662780000000002</v>
      </c>
      <c r="S5070">
        <v>0.52145390000000003</v>
      </c>
      <c r="T5070">
        <v>-0.2917573</v>
      </c>
      <c r="U5070">
        <v>-3.0629580000000001</v>
      </c>
      <c r="V5070">
        <v>0.40353620000000001</v>
      </c>
      <c r="W5070">
        <v>0.16455829999999999</v>
      </c>
      <c r="X5070">
        <v>0.90004399999999996</v>
      </c>
      <c r="Y5070">
        <v>0.51477919999999999</v>
      </c>
      <c r="Z5070">
        <v>5.4109669999999999E-2</v>
      </c>
      <c r="AA5070">
        <v>0.85561350000000003</v>
      </c>
      <c r="AB5070">
        <v>16</v>
      </c>
      <c r="AC5070">
        <v>1.79899999999997</v>
      </c>
      <c r="AD5070">
        <v>-1.0572326148569999</v>
      </c>
      <c r="AE5070">
        <v>-10.982032999999999</v>
      </c>
      <c r="AF5070">
        <v>5.7356498449953301</v>
      </c>
      <c r="AG5070">
        <v>-1.0572326148569999</v>
      </c>
      <c r="AH5070">
        <v>9.4200952062291705</v>
      </c>
      <c r="AI5070">
        <v>95.475670873527903</v>
      </c>
      <c r="AJ5070">
        <v>58.663857025416</v>
      </c>
      <c r="AK5070">
        <v>11.079422983203299</v>
      </c>
      <c r="AL5070">
        <v>80.528424295220304</v>
      </c>
      <c r="AM5070">
        <v>65.850843062032894</v>
      </c>
      <c r="AN5070">
        <v>1.00000005037266</v>
      </c>
    </row>
    <row r="5071" spans="1:40" x14ac:dyDescent="0.25">
      <c r="A5071" t="str">
        <f>"20190312172807041"</f>
        <v>20190312172807041</v>
      </c>
      <c r="B5071" t="str">
        <f>"1552382887034319"</f>
        <v>1552382887034319</v>
      </c>
      <c r="C5071" t="s">
        <v>40</v>
      </c>
      <c r="D5071">
        <v>3.559704</v>
      </c>
      <c r="E5071">
        <v>0.54506189999999999</v>
      </c>
      <c r="F5071" t="s">
        <v>41</v>
      </c>
      <c r="G5071">
        <v>-305.13279999999997</v>
      </c>
      <c r="H5071" s="1">
        <v>-4.549071E-6</v>
      </c>
      <c r="I5071">
        <v>-2.0746609999999999</v>
      </c>
      <c r="J5071">
        <v>-306.92680000000001</v>
      </c>
      <c r="K5071">
        <v>1.0572509999999999</v>
      </c>
      <c r="L5071">
        <v>8.908417</v>
      </c>
      <c r="M5071">
        <v>0.64540500000000001</v>
      </c>
      <c r="N5071">
        <v>0</v>
      </c>
      <c r="O5071">
        <v>-0.76372769999999901</v>
      </c>
      <c r="P5071">
        <v>0.27715669999999998</v>
      </c>
      <c r="Q5071">
        <v>0.155966299999999</v>
      </c>
      <c r="R5071">
        <v>-0.94808190000000003</v>
      </c>
      <c r="S5071">
        <v>0.52114870000000002</v>
      </c>
      <c r="T5071">
        <v>-0.29132029999999998</v>
      </c>
      <c r="U5071">
        <v>-3.0615540000000001</v>
      </c>
      <c r="V5071">
        <v>0.4014838</v>
      </c>
      <c r="W5071">
        <v>0.16487669999999999</v>
      </c>
      <c r="X5071">
        <v>0.90090309999999996</v>
      </c>
      <c r="Y5071">
        <v>0.50822970000000001</v>
      </c>
      <c r="Z5071">
        <v>5.4915819999999997E-2</v>
      </c>
      <c r="AA5071">
        <v>0.85946889999999998</v>
      </c>
      <c r="AB5071">
        <v>16</v>
      </c>
      <c r="AC5071">
        <v>1.79400000000003</v>
      </c>
      <c r="AD5071">
        <v>-1.0572555490709901</v>
      </c>
      <c r="AE5071">
        <v>-10.983078000000001</v>
      </c>
      <c r="AF5071">
        <v>5.6677440823849903</v>
      </c>
      <c r="AG5071">
        <v>-1.0572555490709901</v>
      </c>
      <c r="AH5071">
        <v>9.4613657997836196</v>
      </c>
      <c r="AI5071">
        <v>95.475679471331802</v>
      </c>
      <c r="AJ5071">
        <v>59.076671192370704</v>
      </c>
      <c r="AK5071">
        <v>11.079645981563001</v>
      </c>
      <c r="AL5071">
        <v>80.509928026895395</v>
      </c>
      <c r="AM5071">
        <v>65.980051666552498</v>
      </c>
      <c r="AN5071">
        <v>0.99999998172746896</v>
      </c>
    </row>
    <row r="5072" spans="1:40" x14ac:dyDescent="0.25">
      <c r="A5072" t="str">
        <f>"20190312172807063"</f>
        <v>20190312172807063</v>
      </c>
      <c r="B5072" t="str">
        <f>"1552382887054815"</f>
        <v>1552382887054815</v>
      </c>
      <c r="C5072" t="s">
        <v>40</v>
      </c>
      <c r="D5072">
        <v>3.5811280000000001</v>
      </c>
      <c r="E5072">
        <v>0.54486290000000004</v>
      </c>
      <c r="F5072" t="s">
        <v>41</v>
      </c>
      <c r="G5072">
        <v>-305.06450000000001</v>
      </c>
      <c r="H5072" s="1">
        <v>-4.4289610000000003E-6</v>
      </c>
      <c r="I5072">
        <v>-2.3558620000000001</v>
      </c>
      <c r="J5072">
        <v>-306.83100000000002</v>
      </c>
      <c r="K5072">
        <v>1.0573729999999999</v>
      </c>
      <c r="L5072">
        <v>8.7810059999999996</v>
      </c>
      <c r="M5072">
        <v>0.63974140000000002</v>
      </c>
      <c r="N5072">
        <v>0</v>
      </c>
      <c r="O5072">
        <v>-0.76847949999999998</v>
      </c>
      <c r="P5072">
        <v>0.27274929999999997</v>
      </c>
      <c r="Q5072">
        <v>0.15577269999999999</v>
      </c>
      <c r="R5072">
        <v>-0.94939059999999997</v>
      </c>
      <c r="S5072">
        <v>0.50650019999999996</v>
      </c>
      <c r="T5072">
        <v>-0.28753810000000002</v>
      </c>
      <c r="U5072">
        <v>-3.063507</v>
      </c>
      <c r="V5072">
        <v>0.3989741</v>
      </c>
      <c r="W5072">
        <v>0.16474129999999901</v>
      </c>
      <c r="X5072">
        <v>0.90204220000000002</v>
      </c>
      <c r="Y5072">
        <v>0.50595619999999997</v>
      </c>
      <c r="Z5072">
        <v>5.4880310000000002E-2</v>
      </c>
      <c r="AA5072">
        <v>0.86081149999999995</v>
      </c>
      <c r="AB5072">
        <v>16</v>
      </c>
      <c r="AC5072">
        <v>1.76649999999995</v>
      </c>
      <c r="AD5072">
        <v>-1.0573774289609901</v>
      </c>
      <c r="AE5072">
        <v>-11.136868</v>
      </c>
      <c r="AF5072">
        <v>5.7174134920642299</v>
      </c>
      <c r="AG5072">
        <v>-1.0573774289609901</v>
      </c>
      <c r="AH5072">
        <v>9.6049253674362003</v>
      </c>
      <c r="AI5072">
        <v>95.403878449386696</v>
      </c>
      <c r="AJ5072">
        <v>59.236417112349997</v>
      </c>
      <c r="AK5072">
        <v>11.2277092668332</v>
      </c>
      <c r="AL5072">
        <v>80.517794366605401</v>
      </c>
      <c r="AM5072">
        <v>66.140149074665899</v>
      </c>
      <c r="AN5072">
        <v>1.0000000794886601</v>
      </c>
    </row>
    <row r="5073" spans="1:40" x14ac:dyDescent="0.25">
      <c r="A5073" t="str">
        <f>"20190312172807086"</f>
        <v>20190312172807086</v>
      </c>
      <c r="B5073" t="str">
        <f>"1552382887074335"</f>
        <v>1552382887074335</v>
      </c>
      <c r="C5073" t="s">
        <v>40</v>
      </c>
      <c r="D5073">
        <v>3.5830000000000002</v>
      </c>
      <c r="E5073">
        <v>0.54456660000000001</v>
      </c>
      <c r="F5073" t="s">
        <v>41</v>
      </c>
      <c r="G5073">
        <v>-305.01659999999998</v>
      </c>
      <c r="H5073" s="1">
        <v>-4.37664E-6</v>
      </c>
      <c r="I5073">
        <v>-2.4700139999999999</v>
      </c>
      <c r="J5073">
        <v>-306.73520000000002</v>
      </c>
      <c r="K5073">
        <v>1.057528</v>
      </c>
      <c r="L5073">
        <v>8.6521299999999997</v>
      </c>
      <c r="M5073">
        <v>0.63410500000000003</v>
      </c>
      <c r="N5073">
        <v>0</v>
      </c>
      <c r="O5073">
        <v>-0.77313750000000003</v>
      </c>
      <c r="P5073">
        <v>0.2685574</v>
      </c>
      <c r="Q5073">
        <v>0.15689549999999999</v>
      </c>
      <c r="R5073">
        <v>-0.95040080000000005</v>
      </c>
      <c r="S5073">
        <v>0.49429319999999999</v>
      </c>
      <c r="T5073">
        <v>-0.28806779999999998</v>
      </c>
      <c r="U5073">
        <v>-3.0651860000000002</v>
      </c>
      <c r="V5073">
        <v>0.39618609999999999</v>
      </c>
      <c r="W5073">
        <v>0.16599169999999999</v>
      </c>
      <c r="X5073">
        <v>0.90304119999999999</v>
      </c>
      <c r="Y5073">
        <v>0.50307190000000002</v>
      </c>
      <c r="Z5073">
        <v>5.5662509999999998E-2</v>
      </c>
      <c r="AA5073">
        <v>0.86245019999999994</v>
      </c>
      <c r="AB5073">
        <v>16</v>
      </c>
      <c r="AC5073">
        <v>1.7186000000000301</v>
      </c>
      <c r="AD5073">
        <v>-1.05753237664</v>
      </c>
      <c r="AE5073">
        <v>-11.122144</v>
      </c>
      <c r="AF5073">
        <v>5.67427340985446</v>
      </c>
      <c r="AG5073">
        <v>-1.05753237664</v>
      </c>
      <c r="AH5073">
        <v>9.6047293468740005</v>
      </c>
      <c r="AI5073">
        <v>95.415344279619106</v>
      </c>
      <c r="AJ5073">
        <v>59.426293583207702</v>
      </c>
      <c r="AK5073">
        <v>11.205649436071299</v>
      </c>
      <c r="AL5073">
        <v>80.445151207494007</v>
      </c>
      <c r="AM5073">
        <v>66.3117720551556</v>
      </c>
      <c r="AN5073">
        <v>1.0000000395997599</v>
      </c>
    </row>
    <row r="5074" spans="1:40" x14ac:dyDescent="0.25">
      <c r="A5074" t="str">
        <f>"20190312172807109"</f>
        <v>20190312172807109</v>
      </c>
      <c r="B5074" t="str">
        <f>"1552382887104591"</f>
        <v>1552382887104591</v>
      </c>
      <c r="C5074" t="s">
        <v>40</v>
      </c>
      <c r="D5074">
        <v>3.6002000000000001</v>
      </c>
      <c r="E5074">
        <v>0.54419619999999902</v>
      </c>
      <c r="F5074" t="s">
        <v>41</v>
      </c>
      <c r="G5074">
        <v>-304.93779999999998</v>
      </c>
      <c r="H5074" s="1">
        <v>-4.2508110000000001E-6</v>
      </c>
      <c r="I5074">
        <v>-2.761266</v>
      </c>
      <c r="J5074">
        <v>-306.637</v>
      </c>
      <c r="K5074">
        <v>1.0576430000000001</v>
      </c>
      <c r="L5074">
        <v>8.5184329999999999</v>
      </c>
      <c r="M5074">
        <v>0.62834590000000001</v>
      </c>
      <c r="N5074">
        <v>0</v>
      </c>
      <c r="O5074">
        <v>-0.77782700000000005</v>
      </c>
      <c r="P5074">
        <v>0.26475589999999999</v>
      </c>
      <c r="Q5074">
        <v>0.15852550000000001</v>
      </c>
      <c r="R5074">
        <v>-0.95119629999999999</v>
      </c>
      <c r="S5074">
        <v>0.48300169999999998</v>
      </c>
      <c r="T5074">
        <v>-0.28418090000000001</v>
      </c>
      <c r="U5074">
        <v>-3.0670169999999999</v>
      </c>
      <c r="V5074">
        <v>0.39287159999999999</v>
      </c>
      <c r="W5074">
        <v>0.16768050000000001</v>
      </c>
      <c r="X5074">
        <v>0.90417650000000005</v>
      </c>
      <c r="Y5074">
        <v>0.49983509999999998</v>
      </c>
      <c r="Z5074">
        <v>5.5599610000000001E-2</v>
      </c>
      <c r="AA5074">
        <v>0.86433419999999905</v>
      </c>
      <c r="AB5074">
        <v>16</v>
      </c>
      <c r="AC5074">
        <v>1.69920000000001</v>
      </c>
      <c r="AD5074">
        <v>-1.057647250811</v>
      </c>
      <c r="AE5074">
        <v>-11.279699000000001</v>
      </c>
      <c r="AF5074">
        <v>5.7171991748951596</v>
      </c>
      <c r="AG5074">
        <v>-1.057647250811</v>
      </c>
      <c r="AH5074">
        <v>9.7582688564032303</v>
      </c>
      <c r="AI5074">
        <v>95.342563360121105</v>
      </c>
      <c r="AJ5074">
        <v>59.634707978800797</v>
      </c>
      <c r="AK5074">
        <v>11.3590842582674</v>
      </c>
      <c r="AL5074">
        <v>80.347014219777904</v>
      </c>
      <c r="AM5074">
        <v>66.514685353185399</v>
      </c>
      <c r="AN5074">
        <v>0.99999999365952996</v>
      </c>
    </row>
    <row r="5075" spans="1:40" x14ac:dyDescent="0.25">
      <c r="A5075" t="str">
        <f>"20190312172807133"</f>
        <v>20190312172807133</v>
      </c>
      <c r="B5075" t="str">
        <f>"1552382887124111"</f>
        <v>1552382887124111</v>
      </c>
      <c r="C5075" t="s">
        <v>40</v>
      </c>
      <c r="D5075">
        <v>3.5918619999999999</v>
      </c>
      <c r="E5075">
        <v>0.54331099999999999</v>
      </c>
      <c r="F5075" t="s">
        <v>41</v>
      </c>
      <c r="G5075">
        <v>-304.85059999999999</v>
      </c>
      <c r="H5075" s="1">
        <v>-4.1288880000000001E-6</v>
      </c>
      <c r="I5075">
        <v>-3.0385019999999998</v>
      </c>
      <c r="J5075">
        <v>-306.53500000000003</v>
      </c>
      <c r="K5075">
        <v>1.0577080000000001</v>
      </c>
      <c r="L5075">
        <v>8.3776860000000006</v>
      </c>
      <c r="M5075">
        <v>0.62245760000000006</v>
      </c>
      <c r="N5075">
        <v>0</v>
      </c>
      <c r="O5075">
        <v>-0.78254919999999994</v>
      </c>
      <c r="P5075">
        <v>0.26038919999999999</v>
      </c>
      <c r="Q5075">
        <v>0.16006099999999901</v>
      </c>
      <c r="R5075">
        <v>-0.95214410000000005</v>
      </c>
      <c r="S5075">
        <v>0.4743347</v>
      </c>
      <c r="T5075">
        <v>-0.28083809999999998</v>
      </c>
      <c r="U5075">
        <v>-3.0687259999999998</v>
      </c>
      <c r="V5075">
        <v>0.39000400000000002</v>
      </c>
      <c r="W5075">
        <v>0.16919960000000001</v>
      </c>
      <c r="X5075">
        <v>0.90513440000000001</v>
      </c>
      <c r="Y5075">
        <v>0.49575789999999997</v>
      </c>
      <c r="Z5075">
        <v>5.5651930000000002E-2</v>
      </c>
      <c r="AA5075">
        <v>0.8666758</v>
      </c>
      <c r="AB5075">
        <v>16</v>
      </c>
      <c r="AC5075">
        <v>1.6844000000000301</v>
      </c>
      <c r="AD5075">
        <v>-1.057712128888</v>
      </c>
      <c r="AE5075">
        <v>-11.416188</v>
      </c>
      <c r="AF5075">
        <v>5.7402151871352904</v>
      </c>
      <c r="AG5075">
        <v>-1.057712128888</v>
      </c>
      <c r="AH5075">
        <v>9.8998411863045597</v>
      </c>
      <c r="AI5075">
        <v>95.280727053651901</v>
      </c>
      <c r="AJ5075">
        <v>59.893597970138799</v>
      </c>
      <c r="AK5075">
        <v>11.4924184076402</v>
      </c>
      <c r="AL5075">
        <v>80.258714160359204</v>
      </c>
      <c r="AM5075">
        <v>66.689772992201398</v>
      </c>
      <c r="AN5075">
        <v>0.999999953359758</v>
      </c>
    </row>
    <row r="5076" spans="1:40" x14ac:dyDescent="0.25">
      <c r="A5076" t="str">
        <f>"20190312172807175"</f>
        <v>20190312172807175</v>
      </c>
      <c r="B5076" t="str">
        <f>"1552382887164126"</f>
        <v>1552382887164126</v>
      </c>
      <c r="C5076" t="s">
        <v>40</v>
      </c>
      <c r="D5076">
        <v>3.6101480000000001</v>
      </c>
      <c r="E5076">
        <v>0.54199189999999997</v>
      </c>
      <c r="F5076" t="s">
        <v>41</v>
      </c>
      <c r="G5076">
        <v>-304.69600000000003</v>
      </c>
      <c r="H5076" s="1">
        <v>-3.8522659999999999E-6</v>
      </c>
      <c r="I5076">
        <v>-3.6874310000000001</v>
      </c>
      <c r="J5076">
        <v>-306.35930000000002</v>
      </c>
      <c r="K5076">
        <v>1.0577780000000001</v>
      </c>
      <c r="L5076">
        <v>8.1307369999999999</v>
      </c>
      <c r="M5076">
        <v>0.61247130000000005</v>
      </c>
      <c r="N5076">
        <v>0</v>
      </c>
      <c r="O5076">
        <v>-0.79039159999999997</v>
      </c>
      <c r="P5076">
        <v>0.25507750000000001</v>
      </c>
      <c r="Q5076">
        <v>0.16277459999999999</v>
      </c>
      <c r="R5076">
        <v>-0.95312129999999995</v>
      </c>
      <c r="S5076">
        <v>0.46765139999999999</v>
      </c>
      <c r="T5076">
        <v>-0.26897219999999999</v>
      </c>
      <c r="U5076">
        <v>-3.0681150000000001</v>
      </c>
      <c r="V5076">
        <v>0.38324140000000001</v>
      </c>
      <c r="W5076">
        <v>0.17192479999999999</v>
      </c>
      <c r="X5076">
        <v>0.90750640000000005</v>
      </c>
      <c r="Y5076">
        <v>0.48653200000000002</v>
      </c>
      <c r="Z5076">
        <v>5.45478E-2</v>
      </c>
      <c r="AA5076">
        <v>0.87195820000000002</v>
      </c>
      <c r="AB5076">
        <v>16</v>
      </c>
      <c r="AC5076">
        <v>1.66330000000004</v>
      </c>
      <c r="AD5076">
        <v>-1.0577818522660001</v>
      </c>
      <c r="AE5076">
        <v>-11.818168</v>
      </c>
      <c r="AF5076">
        <v>5.8779303476782401</v>
      </c>
      <c r="AG5076">
        <v>-1.0577818522660001</v>
      </c>
      <c r="AH5076">
        <v>10.279780483830599</v>
      </c>
      <c r="AI5076">
        <v>95.104538475657804</v>
      </c>
      <c r="AJ5076">
        <v>60.239280626028602</v>
      </c>
      <c r="AK5076">
        <v>11.888770096813399</v>
      </c>
      <c r="AL5076">
        <v>80.100249979961703</v>
      </c>
      <c r="AM5076">
        <v>67.105588806071097</v>
      </c>
      <c r="AN5076">
        <v>0.99999998678497903</v>
      </c>
    </row>
    <row r="5077" spans="1:40" x14ac:dyDescent="0.25">
      <c r="A5077" t="str">
        <f>"20190312172807200"</f>
        <v>20190312172807200</v>
      </c>
      <c r="B5077" t="str">
        <f>"1552382887194383"</f>
        <v>1552382887194383</v>
      </c>
      <c r="C5077" t="s">
        <v>40</v>
      </c>
      <c r="D5077">
        <v>3.5791170000000001</v>
      </c>
      <c r="E5077">
        <v>0.54116889999999995</v>
      </c>
      <c r="F5077" t="s">
        <v>41</v>
      </c>
      <c r="G5077">
        <v>-304.37909999999999</v>
      </c>
      <c r="H5077" s="1">
        <v>-3.258676E-6</v>
      </c>
      <c r="I5077">
        <v>-5.0338839999999996</v>
      </c>
      <c r="J5077">
        <v>-306.25909999999999</v>
      </c>
      <c r="K5077">
        <v>1.0578179999999999</v>
      </c>
      <c r="L5077">
        <v>7.9872439999999996</v>
      </c>
      <c r="M5077">
        <v>0.60678869999999996</v>
      </c>
      <c r="N5077">
        <v>0</v>
      </c>
      <c r="O5077">
        <v>-0.79476329999999995</v>
      </c>
      <c r="P5077">
        <v>0.25189919999999999</v>
      </c>
      <c r="Q5077">
        <v>0.16459869999999999</v>
      </c>
      <c r="R5077">
        <v>-0.95365299999999997</v>
      </c>
      <c r="S5077">
        <v>0.46121220000000002</v>
      </c>
      <c r="T5077">
        <v>-0.24636959999999999</v>
      </c>
      <c r="U5077">
        <v>-3.0661930000000002</v>
      </c>
      <c r="V5077">
        <v>0.37956050000000002</v>
      </c>
      <c r="W5077">
        <v>0.17376730000000001</v>
      </c>
      <c r="X5077">
        <v>0.90870169999999995</v>
      </c>
      <c r="Y5077">
        <v>0.48196080000000002</v>
      </c>
      <c r="Z5077">
        <v>5.0632150000000001E-2</v>
      </c>
      <c r="AA5077">
        <v>0.87472859999999997</v>
      </c>
      <c r="AB5077">
        <v>16</v>
      </c>
      <c r="AC5077">
        <v>1.8799999999999899</v>
      </c>
      <c r="AD5077">
        <v>-1.0578212586760001</v>
      </c>
      <c r="AE5077">
        <v>-13.021127999999999</v>
      </c>
      <c r="AF5077">
        <v>6.36626919679557</v>
      </c>
      <c r="AG5077">
        <v>-1.0578212586760001</v>
      </c>
      <c r="AH5077">
        <v>11.4165816409269</v>
      </c>
      <c r="AI5077">
        <v>94.626574380225904</v>
      </c>
      <c r="AJ5077">
        <v>60.854495169226901</v>
      </c>
      <c r="AK5077">
        <v>13.114370197051899</v>
      </c>
      <c r="AL5077">
        <v>79.993069567286298</v>
      </c>
      <c r="AM5077">
        <v>67.329931642190303</v>
      </c>
      <c r="AN5077">
        <v>1.0000000136462099</v>
      </c>
    </row>
    <row r="5078" spans="1:40" x14ac:dyDescent="0.25">
      <c r="A5078" t="str">
        <f>"20190312172807243"</f>
        <v>20190312172807243</v>
      </c>
      <c r="B5078" t="str">
        <f>"1552382887234399"</f>
        <v>1552382887234399</v>
      </c>
      <c r="C5078" t="s">
        <v>40</v>
      </c>
      <c r="D5078">
        <v>3.5695570000000001</v>
      </c>
      <c r="E5078">
        <v>0.54035730000000004</v>
      </c>
      <c r="F5078" t="s">
        <v>41</v>
      </c>
      <c r="G5078">
        <v>-304.18900000000002</v>
      </c>
      <c r="H5078" s="1">
        <v>-2.810705E-6</v>
      </c>
      <c r="I5078">
        <v>-5.8745599999999998</v>
      </c>
      <c r="J5078">
        <v>-306.08969999999999</v>
      </c>
      <c r="K5078">
        <v>1.0578829999999999</v>
      </c>
      <c r="L5078">
        <v>7.74014299999999</v>
      </c>
      <c r="M5078">
        <v>0.59714809999999996</v>
      </c>
      <c r="N5078">
        <v>0</v>
      </c>
      <c r="O5078">
        <v>-0.80203310000000005</v>
      </c>
      <c r="P5078">
        <v>0.2475059</v>
      </c>
      <c r="Q5078">
        <v>0.1676281</v>
      </c>
      <c r="R5078">
        <v>-0.95427519999999999</v>
      </c>
      <c r="S5078">
        <v>0.4577637</v>
      </c>
      <c r="T5078">
        <v>-0.23391719999999999</v>
      </c>
      <c r="U5078">
        <v>-3.065277</v>
      </c>
      <c r="V5078">
        <v>0.3724268</v>
      </c>
      <c r="W5078">
        <v>0.17683979999999999</v>
      </c>
      <c r="X5078">
        <v>0.91105769999999997</v>
      </c>
      <c r="Y5078">
        <v>0.47227989999999997</v>
      </c>
      <c r="Z5078">
        <v>4.9104170000000003E-2</v>
      </c>
      <c r="AA5078">
        <v>0.88007979999999997</v>
      </c>
      <c r="AB5078">
        <v>16</v>
      </c>
      <c r="AC5078">
        <v>1.9006999999999701</v>
      </c>
      <c r="AD5078">
        <v>-1.057885810705</v>
      </c>
      <c r="AE5078">
        <v>-13.614703</v>
      </c>
      <c r="AF5078">
        <v>6.5671966652504397</v>
      </c>
      <c r="AG5078">
        <v>-1.057885810705</v>
      </c>
      <c r="AH5078">
        <v>11.9844152292938</v>
      </c>
      <c r="AI5078">
        <v>94.426504248202093</v>
      </c>
      <c r="AJ5078">
        <v>61.278225262305398</v>
      </c>
      <c r="AK5078">
        <v>13.706691899094301</v>
      </c>
      <c r="AL5078">
        <v>79.814259958342205</v>
      </c>
      <c r="AM5078">
        <v>67.765988280010305</v>
      </c>
      <c r="AN5078">
        <v>1.0000000844757799</v>
      </c>
    </row>
    <row r="5079" spans="1:40" x14ac:dyDescent="0.25">
      <c r="A5079" t="str">
        <f>"20190312172807265"</f>
        <v>20190312172807265</v>
      </c>
      <c r="B5079" t="str">
        <f>"1552382887254895"</f>
        <v>1552382887254895</v>
      </c>
      <c r="C5079" t="s">
        <v>40</v>
      </c>
      <c r="D5079">
        <v>3.5388630000000001</v>
      </c>
      <c r="E5079">
        <v>0.53999049999999904</v>
      </c>
      <c r="F5079" t="s">
        <v>41</v>
      </c>
      <c r="G5079">
        <v>-303.92070000000001</v>
      </c>
      <c r="H5079" s="1">
        <v>-2.2117590000000001E-6</v>
      </c>
      <c r="I5079">
        <v>-6.9905979999999897</v>
      </c>
      <c r="J5079">
        <v>-305.99799999999999</v>
      </c>
      <c r="K5079">
        <v>1.057925</v>
      </c>
      <c r="L5079">
        <v>7.6039119999999896</v>
      </c>
      <c r="M5079">
        <v>0.59192849999999997</v>
      </c>
      <c r="N5079">
        <v>0</v>
      </c>
      <c r="O5079">
        <v>-0.80589359999999999</v>
      </c>
      <c r="P5079">
        <v>0.2450242</v>
      </c>
      <c r="Q5079">
        <v>0.1688269</v>
      </c>
      <c r="R5079">
        <v>-0.95470480000000002</v>
      </c>
      <c r="S5079">
        <v>0.45135500000000001</v>
      </c>
      <c r="T5079">
        <v>-0.22013659999999999</v>
      </c>
      <c r="U5079">
        <v>-3.0653380000000001</v>
      </c>
      <c r="V5079">
        <v>0.36873499999999998</v>
      </c>
      <c r="W5079">
        <v>0.17807590000000001</v>
      </c>
      <c r="X5079">
        <v>0.91231759999999995</v>
      </c>
      <c r="Y5079">
        <v>0.46834920000000002</v>
      </c>
      <c r="Z5079">
        <v>4.6702750000000001E-2</v>
      </c>
      <c r="AA5079">
        <v>0.88230819999999999</v>
      </c>
      <c r="AB5079">
        <v>16</v>
      </c>
      <c r="AC5079">
        <v>2.0772999999999802</v>
      </c>
      <c r="AD5079">
        <v>-1.057927211759</v>
      </c>
      <c r="AE5079">
        <v>-14.59451</v>
      </c>
      <c r="AF5079">
        <v>6.9296784376354399</v>
      </c>
      <c r="AG5079">
        <v>-1.057927211759</v>
      </c>
      <c r="AH5079">
        <v>12.9256801991393</v>
      </c>
      <c r="AI5079">
        <v>94.125846377313295</v>
      </c>
      <c r="AJ5079">
        <v>61.8034790462589</v>
      </c>
      <c r="AK5079">
        <v>14.704178380475099</v>
      </c>
      <c r="AL5079">
        <v>79.742293197951398</v>
      </c>
      <c r="AM5079">
        <v>67.992724586479596</v>
      </c>
      <c r="AN5079">
        <v>0.99999996482778397</v>
      </c>
    </row>
    <row r="5080" spans="1:40" x14ac:dyDescent="0.25">
      <c r="A5080" t="str">
        <f>"20190312172807288"</f>
        <v>20190312172807288</v>
      </c>
      <c r="B5080" t="str">
        <f>"1552382887284175"</f>
        <v>1552382887284175</v>
      </c>
      <c r="C5080" t="s">
        <v>40</v>
      </c>
      <c r="D5080">
        <v>3.5383830000000001</v>
      </c>
      <c r="E5080">
        <v>0.53955690000000001</v>
      </c>
      <c r="F5080" t="s">
        <v>41</v>
      </c>
      <c r="G5080">
        <v>-303.79849999999999</v>
      </c>
      <c r="H5080" s="1">
        <v>-1.947132E-6</v>
      </c>
      <c r="I5080">
        <v>-7.4816630000000002</v>
      </c>
      <c r="J5080">
        <v>-305.91019999999997</v>
      </c>
      <c r="K5080">
        <v>1.0579620000000001</v>
      </c>
      <c r="L5080">
        <v>7.4720459999999997</v>
      </c>
      <c r="M5080">
        <v>0.58693989999999996</v>
      </c>
      <c r="N5080">
        <v>0</v>
      </c>
      <c r="O5080">
        <v>-0.80953469999999905</v>
      </c>
      <c r="P5080">
        <v>0.24255599999999999</v>
      </c>
      <c r="Q5080">
        <v>0.16960999999999901</v>
      </c>
      <c r="R5080">
        <v>-0.95519580000000004</v>
      </c>
      <c r="S5080">
        <v>0.44696039999999998</v>
      </c>
      <c r="T5080">
        <v>-0.2149887</v>
      </c>
      <c r="U5080">
        <v>-3.0656430000000001</v>
      </c>
      <c r="V5080">
        <v>0.36535840000000003</v>
      </c>
      <c r="W5080">
        <v>0.1788969</v>
      </c>
      <c r="X5080">
        <v>0.91351470000000001</v>
      </c>
      <c r="Y5080">
        <v>0.46413860000000001</v>
      </c>
      <c r="Z5080">
        <v>4.6060450000000003E-2</v>
      </c>
      <c r="AA5080">
        <v>0.88456420000000002</v>
      </c>
      <c r="AB5080">
        <v>16</v>
      </c>
      <c r="AC5080">
        <v>2.1116999999999799</v>
      </c>
      <c r="AD5080">
        <v>-1.0579639471319999</v>
      </c>
      <c r="AE5080">
        <v>-14.953709</v>
      </c>
      <c r="AF5080">
        <v>7.0334648884721096</v>
      </c>
      <c r="AG5080">
        <v>-1.0579639471319999</v>
      </c>
      <c r="AH5080">
        <v>13.2808455240119</v>
      </c>
      <c r="AI5080">
        <v>94.026865135776106</v>
      </c>
      <c r="AJ5080">
        <v>62.094544476213798</v>
      </c>
      <c r="AK5080">
        <v>15.0655160510175</v>
      </c>
      <c r="AL5080">
        <v>79.694485886634297</v>
      </c>
      <c r="AM5080">
        <v>68.201157760302706</v>
      </c>
      <c r="AN5080">
        <v>0.99999998419812897</v>
      </c>
    </row>
    <row r="5081" spans="1:40" x14ac:dyDescent="0.25">
      <c r="A5081" t="str">
        <f>"20190312172807310"</f>
        <v>20190312172807310</v>
      </c>
      <c r="B5081" t="str">
        <f>"1552382887304671"</f>
        <v>1552382887304671</v>
      </c>
      <c r="C5081" t="s">
        <v>40</v>
      </c>
      <c r="D5081">
        <v>3.5399189999999998</v>
      </c>
      <c r="E5081">
        <v>0.53943229999999998</v>
      </c>
      <c r="F5081" t="s">
        <v>41</v>
      </c>
      <c r="G5081">
        <v>-303.68720000000002</v>
      </c>
      <c r="H5081" s="1">
        <v>-1.7025499999999999E-6</v>
      </c>
      <c r="I5081">
        <v>-7.9364089999999896</v>
      </c>
      <c r="J5081">
        <v>-305.8245</v>
      </c>
      <c r="K5081">
        <v>1.0585439999999999</v>
      </c>
      <c r="L5081">
        <v>7.3418580000000002</v>
      </c>
      <c r="M5081">
        <v>0.58245150000000001</v>
      </c>
      <c r="N5081">
        <v>0</v>
      </c>
      <c r="O5081">
        <v>-0.812752699999999</v>
      </c>
      <c r="P5081">
        <v>0.24044389999999999</v>
      </c>
      <c r="Q5081">
        <v>0.16892370000000001</v>
      </c>
      <c r="R5081">
        <v>-0.95585140000000002</v>
      </c>
      <c r="S5081">
        <v>0.4422913</v>
      </c>
      <c r="T5081">
        <v>-0.2104993</v>
      </c>
      <c r="U5081">
        <v>-3.0657649999999999</v>
      </c>
      <c r="V5081">
        <v>0.36226999999999998</v>
      </c>
      <c r="W5081">
        <v>0.17949370000000001</v>
      </c>
      <c r="X5081">
        <v>0.91462699999999997</v>
      </c>
      <c r="Y5081">
        <v>0.46056750000000002</v>
      </c>
      <c r="Z5081">
        <v>4.548833E-2</v>
      </c>
      <c r="AA5081">
        <v>0.88645830000000003</v>
      </c>
      <c r="AB5081">
        <v>16</v>
      </c>
      <c r="AC5081">
        <v>2.1372999999999802</v>
      </c>
      <c r="AD5081">
        <v>-1.05854570255</v>
      </c>
      <c r="AE5081">
        <v>-15.278267</v>
      </c>
      <c r="AF5081">
        <v>7.12884567403911</v>
      </c>
      <c r="AG5081">
        <v>-1.05854570255</v>
      </c>
      <c r="AH5081">
        <v>13.5995493764388</v>
      </c>
      <c r="AI5081">
        <v>93.943692511901006</v>
      </c>
      <c r="AJ5081">
        <v>62.336597648582597</v>
      </c>
      <c r="AK5081">
        <v>15.391189131800299</v>
      </c>
      <c r="AL5081">
        <v>79.659729813068594</v>
      </c>
      <c r="AM5081">
        <v>68.392226350291594</v>
      </c>
      <c r="AN5081">
        <v>1.00000004518434</v>
      </c>
    </row>
    <row r="5082" spans="1:40" x14ac:dyDescent="0.25">
      <c r="A5082" t="str">
        <f>"20190312172807337"</f>
        <v>20190312172807337</v>
      </c>
      <c r="B5082" t="str">
        <f>"1552382887334927"</f>
        <v>1552382887334927</v>
      </c>
      <c r="C5082" t="s">
        <v>40</v>
      </c>
      <c r="D5082">
        <v>3.5649760000000001</v>
      </c>
      <c r="E5082">
        <v>0.53922309999999996</v>
      </c>
      <c r="F5082" t="s">
        <v>41</v>
      </c>
      <c r="G5082">
        <v>-303.63810000000001</v>
      </c>
      <c r="H5082" s="1">
        <v>-1.6489940000000001E-6</v>
      </c>
      <c r="I5082">
        <v>-8.0220399999999898</v>
      </c>
      <c r="J5082">
        <v>-305.72320000000002</v>
      </c>
      <c r="K5082">
        <v>1.0595049999999999</v>
      </c>
      <c r="L5082">
        <v>7.1872559999999996</v>
      </c>
      <c r="M5082">
        <v>0.57755409999999996</v>
      </c>
      <c r="N5082">
        <v>0</v>
      </c>
      <c r="O5082">
        <v>-0.81620380000000003</v>
      </c>
      <c r="P5082">
        <v>0.2372718</v>
      </c>
      <c r="Q5082">
        <v>0.16640139999999901</v>
      </c>
      <c r="R5082">
        <v>-0.95708579999999999</v>
      </c>
      <c r="S5082">
        <v>0.43634030000000001</v>
      </c>
      <c r="T5082">
        <v>-0.2112511</v>
      </c>
      <c r="U5082">
        <v>-3.0661320000000001</v>
      </c>
      <c r="V5082">
        <v>0.35985549999999999</v>
      </c>
      <c r="W5082">
        <v>0.17927969999999999</v>
      </c>
      <c r="X5082">
        <v>0.91562149999999998</v>
      </c>
      <c r="Y5082">
        <v>0.4569512</v>
      </c>
      <c r="Z5082">
        <v>4.6059309999999999E-2</v>
      </c>
      <c r="AA5082">
        <v>0.88829849999999999</v>
      </c>
      <c r="AB5082">
        <v>15</v>
      </c>
      <c r="AC5082">
        <v>2.0851000000000099</v>
      </c>
      <c r="AD5082">
        <v>-1.0595066489939999</v>
      </c>
      <c r="AE5082">
        <v>-15.209295999999901</v>
      </c>
      <c r="AF5082">
        <v>7.04960506599779</v>
      </c>
      <c r="AG5082">
        <v>-1.0595066489939999</v>
      </c>
      <c r="AH5082">
        <v>13.5552287429957</v>
      </c>
      <c r="AI5082">
        <v>93.966823858742103</v>
      </c>
      <c r="AJ5082">
        <v>62.522620179857803</v>
      </c>
      <c r="AK5082">
        <v>15.315472966929301</v>
      </c>
      <c r="AL5082">
        <v>79.6721924098958</v>
      </c>
      <c r="AM5082">
        <v>68.544292431333901</v>
      </c>
      <c r="AN5082">
        <v>0.99999996148729398</v>
      </c>
    </row>
    <row r="5083" spans="1:40" x14ac:dyDescent="0.25">
      <c r="A5083" t="str">
        <f>"20190312172807376"</f>
        <v>20190312172807376</v>
      </c>
      <c r="B5083" t="str">
        <f>"1552382887364207"</f>
        <v>1552382887364207</v>
      </c>
      <c r="C5083" t="s">
        <v>40</v>
      </c>
      <c r="D5083">
        <v>3.5716130000000001</v>
      </c>
      <c r="E5083">
        <v>0.5389079</v>
      </c>
      <c r="F5083" t="s">
        <v>41</v>
      </c>
      <c r="G5083">
        <v>-303.67520000000002</v>
      </c>
      <c r="H5083" s="1">
        <v>-1.904801E-6</v>
      </c>
      <c r="I5083">
        <v>-7.5017800000000001</v>
      </c>
      <c r="J5083">
        <v>-305.58749999999998</v>
      </c>
      <c r="K5083">
        <v>1.060565</v>
      </c>
      <c r="L5083">
        <v>6.9785769999999996</v>
      </c>
      <c r="M5083">
        <v>0.57175769999999904</v>
      </c>
      <c r="N5083">
        <v>0</v>
      </c>
      <c r="O5083">
        <v>-0.82020990000000005</v>
      </c>
      <c r="P5083">
        <v>0.23514589999999999</v>
      </c>
      <c r="Q5083">
        <v>0.1635624</v>
      </c>
      <c r="R5083">
        <v>-0.95809909999999998</v>
      </c>
      <c r="S5083">
        <v>0.4276123</v>
      </c>
      <c r="T5083">
        <v>-0.22121679999999999</v>
      </c>
      <c r="U5083">
        <v>-3.0669559999999998</v>
      </c>
      <c r="V5083">
        <v>0.35548649999999998</v>
      </c>
      <c r="W5083">
        <v>0.17975769999999999</v>
      </c>
      <c r="X5083">
        <v>0.91723299999999997</v>
      </c>
      <c r="Y5083">
        <v>0.45320539999999998</v>
      </c>
      <c r="Z5083">
        <v>4.870737E-2</v>
      </c>
      <c r="AA5083">
        <v>0.89007440000000004</v>
      </c>
      <c r="AB5083">
        <v>15</v>
      </c>
      <c r="AC5083">
        <v>1.9122999999999599</v>
      </c>
      <c r="AD5083">
        <v>-1.060566904801</v>
      </c>
      <c r="AE5083">
        <v>-14.480357</v>
      </c>
      <c r="AF5083">
        <v>6.6767366096449603</v>
      </c>
      <c r="AG5083">
        <v>-1.060566904801</v>
      </c>
      <c r="AH5083">
        <v>12.904529477928699</v>
      </c>
      <c r="AI5083">
        <v>94.174852897148497</v>
      </c>
      <c r="AJ5083">
        <v>62.6431891068544</v>
      </c>
      <c r="AK5083">
        <v>14.5681328577434</v>
      </c>
      <c r="AL5083">
        <v>79.644352421969103</v>
      </c>
      <c r="AM5083">
        <v>68.815461846264697</v>
      </c>
      <c r="AN5083">
        <v>0.99999992934026705</v>
      </c>
    </row>
    <row r="5084" spans="1:40" x14ac:dyDescent="0.25">
      <c r="A5084" t="str">
        <f>"20190312172807403"</f>
        <v>20190312172807403</v>
      </c>
      <c r="B5084" t="str">
        <f>"1552382887394463"</f>
        <v>1552382887394463</v>
      </c>
      <c r="C5084" t="s">
        <v>40</v>
      </c>
      <c r="D5084">
        <v>3.5803690000000001</v>
      </c>
      <c r="E5084">
        <v>0.53859219999999997</v>
      </c>
      <c r="F5084" t="s">
        <v>41</v>
      </c>
      <c r="G5084">
        <v>-303.63670000000002</v>
      </c>
      <c r="H5084" s="1">
        <v>-2.0596440000000001E-6</v>
      </c>
      <c r="I5084">
        <v>-7.1525399999999903</v>
      </c>
      <c r="J5084">
        <v>-305.49930000000001</v>
      </c>
      <c r="K5084">
        <v>1.061026</v>
      </c>
      <c r="L5084">
        <v>6.8420719999999999</v>
      </c>
      <c r="M5084">
        <v>0.56814919999999902</v>
      </c>
      <c r="N5084">
        <v>0</v>
      </c>
      <c r="O5084">
        <v>-0.82266430000000001</v>
      </c>
      <c r="P5084">
        <v>0.2328393</v>
      </c>
      <c r="Q5084">
        <v>0.1617306</v>
      </c>
      <c r="R5084">
        <v>-0.95897310000000002</v>
      </c>
      <c r="S5084">
        <v>0.42333979999999999</v>
      </c>
      <c r="T5084">
        <v>-0.23015330000000001</v>
      </c>
      <c r="U5084">
        <v>-3.066589</v>
      </c>
      <c r="V5084">
        <v>0.35378860000000001</v>
      </c>
      <c r="W5084">
        <v>0.17997679999999999</v>
      </c>
      <c r="X5084">
        <v>0.91784639999999995</v>
      </c>
      <c r="Y5084">
        <v>0.45052740000000002</v>
      </c>
      <c r="Z5084">
        <v>5.0996090000000001E-2</v>
      </c>
      <c r="AA5084">
        <v>0.89130489999999996</v>
      </c>
      <c r="AB5084">
        <v>14</v>
      </c>
      <c r="AC5084">
        <v>1.86259999999998</v>
      </c>
      <c r="AD5084">
        <v>-1.061028059644</v>
      </c>
      <c r="AE5084">
        <v>-13.994612</v>
      </c>
      <c r="AF5084">
        <v>6.3840552503085899</v>
      </c>
      <c r="AG5084">
        <v>-1.061028059644</v>
      </c>
      <c r="AH5084">
        <v>12.5031857679891</v>
      </c>
      <c r="AI5084">
        <v>94.322121195409494</v>
      </c>
      <c r="AJ5084">
        <v>62.951403033769999</v>
      </c>
      <c r="AK5084">
        <v>14.0787640200122</v>
      </c>
      <c r="AL5084">
        <v>79.631591714362003</v>
      </c>
      <c r="AM5084">
        <v>68.920587332104901</v>
      </c>
      <c r="AN5084">
        <v>1.0000000180105799</v>
      </c>
    </row>
    <row r="5085" spans="1:40" x14ac:dyDescent="0.25">
      <c r="A5085" t="str">
        <f>"20190312172807424"</f>
        <v>20190312172807424</v>
      </c>
      <c r="B5085" t="str">
        <f>"1552382887414960"</f>
        <v>1552382887414960</v>
      </c>
      <c r="C5085" t="s">
        <v>40</v>
      </c>
      <c r="D5085">
        <v>3.5264639999999998</v>
      </c>
      <c r="E5085">
        <v>0.5383869</v>
      </c>
      <c r="F5085" t="s">
        <v>41</v>
      </c>
      <c r="G5085">
        <v>-303.62389999999999</v>
      </c>
      <c r="H5085" s="1">
        <v>-2.1737E-6</v>
      </c>
      <c r="I5085">
        <v>-6.9040689999999998</v>
      </c>
      <c r="J5085">
        <v>-305.42970000000003</v>
      </c>
      <c r="K5085">
        <v>1.061045</v>
      </c>
      <c r="L5085">
        <v>6.7333679999999996</v>
      </c>
      <c r="M5085">
        <v>0.56478390000000001</v>
      </c>
      <c r="N5085">
        <v>0</v>
      </c>
      <c r="O5085">
        <v>-0.82494509999999899</v>
      </c>
      <c r="P5085">
        <v>0.2310818</v>
      </c>
      <c r="Q5085">
        <v>0.160581</v>
      </c>
      <c r="R5085">
        <v>-0.95959119999999998</v>
      </c>
      <c r="S5085">
        <v>0.41839599999999999</v>
      </c>
      <c r="T5085">
        <v>-0.236709</v>
      </c>
      <c r="U5085">
        <v>-3.066681</v>
      </c>
      <c r="V5085">
        <v>0.35187689999999999</v>
      </c>
      <c r="W5085">
        <v>0.17995949999999999</v>
      </c>
      <c r="X5085">
        <v>0.91858439999999997</v>
      </c>
      <c r="Y5085">
        <v>0.44832</v>
      </c>
      <c r="Z5085">
        <v>5.2743709999999999E-2</v>
      </c>
      <c r="AA5085">
        <v>0.89231569999999905</v>
      </c>
      <c r="AB5085">
        <v>14</v>
      </c>
      <c r="AC5085">
        <v>1.80580000000003</v>
      </c>
      <c r="AD5085">
        <v>-1.0610471737</v>
      </c>
      <c r="AE5085">
        <v>-13.637436999999901</v>
      </c>
      <c r="AF5085">
        <v>6.17727568071831</v>
      </c>
      <c r="AG5085">
        <v>-1.0610471737</v>
      </c>
      <c r="AH5085">
        <v>12.2004163601553</v>
      </c>
      <c r="AI5085">
        <v>94.436668229731794</v>
      </c>
      <c r="AJ5085">
        <v>63.146140563855703</v>
      </c>
      <c r="AK5085">
        <v>13.7162208826468</v>
      </c>
      <c r="AL5085">
        <v>79.632599584830302</v>
      </c>
      <c r="AM5085">
        <v>69.039946852677105</v>
      </c>
      <c r="AN5085">
        <v>1.0000000371586</v>
      </c>
    </row>
    <row r="5086" spans="1:40" x14ac:dyDescent="0.25">
      <c r="A5086" t="str">
        <f>"20190312172807445"</f>
        <v>20190312172807445</v>
      </c>
      <c r="B5086" t="str">
        <f>"1552382887434479"</f>
        <v>1552382887434479</v>
      </c>
      <c r="C5086" t="s">
        <v>40</v>
      </c>
      <c r="D5086">
        <v>3.5197349999999998</v>
      </c>
      <c r="E5086">
        <v>0.53824090000000002</v>
      </c>
      <c r="F5086" t="s">
        <v>41</v>
      </c>
      <c r="G5086">
        <v>-303.60320000000002</v>
      </c>
      <c r="H5086" s="1">
        <v>-2.2206430000000001E-6</v>
      </c>
      <c r="I5086">
        <v>-6.7931350000000004</v>
      </c>
      <c r="J5086">
        <v>-305.36149999999998</v>
      </c>
      <c r="K5086">
        <v>1.0604480000000001</v>
      </c>
      <c r="L5086">
        <v>6.6251530000000001</v>
      </c>
      <c r="M5086">
        <v>0.56070549999999997</v>
      </c>
      <c r="N5086">
        <v>0</v>
      </c>
      <c r="O5086">
        <v>-0.827717499999999</v>
      </c>
      <c r="P5086">
        <v>0.22856699999999999</v>
      </c>
      <c r="Q5086">
        <v>0.16053909999999999</v>
      </c>
      <c r="R5086">
        <v>-0.96020030000000001</v>
      </c>
      <c r="S5086">
        <v>0.41412349999999998</v>
      </c>
      <c r="T5086">
        <v>-0.24057129999999999</v>
      </c>
      <c r="U5086">
        <v>-3.0668639999999998</v>
      </c>
      <c r="V5086">
        <v>0.34992440000000002</v>
      </c>
      <c r="W5086">
        <v>0.17975959999999999</v>
      </c>
      <c r="X5086">
        <v>0.91936899999999999</v>
      </c>
      <c r="Y5086">
        <v>0.4451445</v>
      </c>
      <c r="Z5086">
        <v>5.3977780000000003E-2</v>
      </c>
      <c r="AA5086">
        <v>0.89383040000000002</v>
      </c>
      <c r="AB5086">
        <v>13</v>
      </c>
      <c r="AC5086">
        <v>1.75829999999996</v>
      </c>
      <c r="AD5086">
        <v>-1.060450220643</v>
      </c>
      <c r="AE5086">
        <v>-13.418288</v>
      </c>
      <c r="AF5086">
        <v>6.0327854927676796</v>
      </c>
      <c r="AG5086">
        <v>-1.060450220643</v>
      </c>
      <c r="AH5086">
        <v>12.021605913364001</v>
      </c>
      <c r="AI5086">
        <v>94.507959227233499</v>
      </c>
      <c r="AJ5086">
        <v>63.3511939515409</v>
      </c>
      <c r="AK5086">
        <v>13.4921482429018</v>
      </c>
      <c r="AL5086">
        <v>79.644242275538502</v>
      </c>
      <c r="AM5086">
        <v>69.1624916132142</v>
      </c>
      <c r="AN5086">
        <v>0.99999997883425895</v>
      </c>
    </row>
    <row r="5087" spans="1:40" x14ac:dyDescent="0.25">
      <c r="A5087" t="str">
        <f>"20190312172807469"</f>
        <v>20190312172807469</v>
      </c>
      <c r="B5087" t="str">
        <f>"1552382887464735"</f>
        <v>1552382887464735</v>
      </c>
      <c r="C5087" t="s">
        <v>40</v>
      </c>
      <c r="D5087">
        <v>3.4998119999999999</v>
      </c>
      <c r="E5087">
        <v>0.53808199999999995</v>
      </c>
      <c r="F5087" t="s">
        <v>41</v>
      </c>
      <c r="G5087">
        <v>-303.56869999999998</v>
      </c>
      <c r="H5087" s="1">
        <v>-2.1579480000000002E-6</v>
      </c>
      <c r="I5087">
        <v>-6.9063020000000002</v>
      </c>
      <c r="J5087">
        <v>-305.28640000000001</v>
      </c>
      <c r="K5087">
        <v>1.059334</v>
      </c>
      <c r="L5087">
        <v>6.5031739999999996</v>
      </c>
      <c r="M5087">
        <v>0.55597790000000002</v>
      </c>
      <c r="N5087">
        <v>0</v>
      </c>
      <c r="O5087">
        <v>-0.83092549999999898</v>
      </c>
      <c r="P5087">
        <v>0.22508300000000001</v>
      </c>
      <c r="Q5087">
        <v>0.16165860000000001</v>
      </c>
      <c r="R5087">
        <v>-0.96083529999999995</v>
      </c>
      <c r="S5087">
        <v>0.40646359999999998</v>
      </c>
      <c r="T5087">
        <v>-0.24041960000000001</v>
      </c>
      <c r="U5087">
        <v>-3.06778</v>
      </c>
      <c r="V5087">
        <v>0.34818539999999998</v>
      </c>
      <c r="W5087">
        <v>0.17945899999999901</v>
      </c>
      <c r="X5087">
        <v>0.92008769999999995</v>
      </c>
      <c r="Y5087">
        <v>0.44225740000000002</v>
      </c>
      <c r="Z5087">
        <v>5.4352129999999998E-2</v>
      </c>
      <c r="AA5087">
        <v>0.89523980000000003</v>
      </c>
      <c r="AB5087">
        <v>13</v>
      </c>
      <c r="AC5087">
        <v>1.71770000000003</v>
      </c>
      <c r="AD5087">
        <v>-1.0593361579480001</v>
      </c>
      <c r="AE5087">
        <v>-13.409476</v>
      </c>
      <c r="AF5087">
        <v>5.9926570094296601</v>
      </c>
      <c r="AG5087">
        <v>-1.0593361579480001</v>
      </c>
      <c r="AH5087">
        <v>12.026168087263001</v>
      </c>
      <c r="AI5087">
        <v>94.5078713568669</v>
      </c>
      <c r="AJ5087">
        <v>63.512857452772003</v>
      </c>
      <c r="AK5087">
        <v>13.478236160243901</v>
      </c>
      <c r="AL5087">
        <v>79.661750221811602</v>
      </c>
      <c r="AM5087">
        <v>69.272038464843405</v>
      </c>
      <c r="AN5087">
        <v>0.99999999057272404</v>
      </c>
    </row>
    <row r="5088" spans="1:40" x14ac:dyDescent="0.25">
      <c r="A5088" t="str">
        <f>"20190312172807491"</f>
        <v>20190312172807491</v>
      </c>
      <c r="B5088" t="str">
        <f>"1552382887484255"</f>
        <v>1552382887484255</v>
      </c>
      <c r="C5088" t="s">
        <v>40</v>
      </c>
      <c r="D5088">
        <v>3.4749979999999998</v>
      </c>
      <c r="E5088">
        <v>0.53792589999999996</v>
      </c>
      <c r="F5088" t="s">
        <v>41</v>
      </c>
      <c r="G5088">
        <v>-303.5154</v>
      </c>
      <c r="H5088" s="1">
        <v>-2.0051289999999998E-6</v>
      </c>
      <c r="I5088">
        <v>-7.199592</v>
      </c>
      <c r="J5088">
        <v>-305.21710000000002</v>
      </c>
      <c r="K5088">
        <v>1.0585880000000001</v>
      </c>
      <c r="L5088">
        <v>6.3875120000000001</v>
      </c>
      <c r="M5088">
        <v>0.55169760000000001</v>
      </c>
      <c r="N5088">
        <v>0</v>
      </c>
      <c r="O5088">
        <v>-0.83379919999999996</v>
      </c>
      <c r="P5088">
        <v>0.2224815</v>
      </c>
      <c r="Q5088">
        <v>0.16254649999999901</v>
      </c>
      <c r="R5088">
        <v>-0.96129140000000002</v>
      </c>
      <c r="S5088">
        <v>0.396698</v>
      </c>
      <c r="T5088">
        <v>-0.23727999999999999</v>
      </c>
      <c r="U5088">
        <v>-3.0692750000000002</v>
      </c>
      <c r="V5088">
        <v>0.3460067</v>
      </c>
      <c r="W5088">
        <v>0.179096799999999</v>
      </c>
      <c r="X5088">
        <v>0.92097969999999896</v>
      </c>
      <c r="Y5088">
        <v>0.44048880000000001</v>
      </c>
      <c r="Z5088">
        <v>5.3980779999999999E-2</v>
      </c>
      <c r="AA5088">
        <v>0.89613369999999903</v>
      </c>
      <c r="AB5088">
        <v>14</v>
      </c>
      <c r="AC5088">
        <v>1.70170000000001</v>
      </c>
      <c r="AD5088">
        <v>-1.05859000512899</v>
      </c>
      <c r="AE5088">
        <v>-13.587104</v>
      </c>
      <c r="AF5088">
        <v>6.0422276690734398</v>
      </c>
      <c r="AG5088">
        <v>-1.05859000512899</v>
      </c>
      <c r="AH5088">
        <v>12.197350945681601</v>
      </c>
      <c r="AI5088">
        <v>94.446909931125802</v>
      </c>
      <c r="AJ5088">
        <v>63.647467374132397</v>
      </c>
      <c r="AK5088">
        <v>13.653003262872099</v>
      </c>
      <c r="AL5088">
        <v>79.682844131907501</v>
      </c>
      <c r="AM5088">
        <v>69.4090934683867</v>
      </c>
      <c r="AN5088">
        <v>0.99999995401360797</v>
      </c>
    </row>
    <row r="5089" spans="1:40" x14ac:dyDescent="0.25">
      <c r="A5089" t="str">
        <f>"20190312172807513"</f>
        <v>20190312172807513</v>
      </c>
      <c r="B5089" t="str">
        <f>"1552382887504751"</f>
        <v>1552382887504751</v>
      </c>
      <c r="C5089" t="s">
        <v>40</v>
      </c>
      <c r="D5089">
        <v>3.5353020000000002</v>
      </c>
      <c r="E5089">
        <v>0.53591669999999902</v>
      </c>
      <c r="F5089" t="s">
        <v>41</v>
      </c>
      <c r="G5089">
        <v>-303.45190000000002</v>
      </c>
      <c r="H5089" s="1">
        <v>-1.837568E-6</v>
      </c>
      <c r="I5089">
        <v>-7.5183580000000001</v>
      </c>
      <c r="J5089">
        <v>-305.14800000000002</v>
      </c>
      <c r="K5089">
        <v>1.0583739999999999</v>
      </c>
      <c r="L5089">
        <v>6.2703249999999997</v>
      </c>
      <c r="M5089">
        <v>0.54749040000000004</v>
      </c>
      <c r="N5089">
        <v>0</v>
      </c>
      <c r="O5089">
        <v>-0.83658489999999996</v>
      </c>
      <c r="P5089">
        <v>0.21961030000000001</v>
      </c>
      <c r="Q5089">
        <v>0.16318559999999999</v>
      </c>
      <c r="R5089">
        <v>-0.96184329999999996</v>
      </c>
      <c r="S5089">
        <v>0.38970949999999999</v>
      </c>
      <c r="T5089">
        <v>-0.2337147</v>
      </c>
      <c r="U5089">
        <v>-3.0701290000000001</v>
      </c>
      <c r="V5089">
        <v>0.34405180000000002</v>
      </c>
      <c r="W5089">
        <v>0.1790851</v>
      </c>
      <c r="X5089">
        <v>0.92171409999999998</v>
      </c>
      <c r="Y5089">
        <v>0.43799500000000002</v>
      </c>
      <c r="Z5089">
        <v>5.3517120000000001E-2</v>
      </c>
      <c r="AA5089">
        <v>0.89738300000000004</v>
      </c>
      <c r="AB5089">
        <v>14</v>
      </c>
      <c r="AC5089">
        <v>1.69609999999994</v>
      </c>
      <c r="AD5089">
        <v>-1.0583758375679999</v>
      </c>
      <c r="AE5089">
        <v>-13.788683000000001</v>
      </c>
      <c r="AF5089">
        <v>6.0960247994765497</v>
      </c>
      <c r="AG5089">
        <v>-1.0583758375679999</v>
      </c>
      <c r="AH5089">
        <v>12.394436276053099</v>
      </c>
      <c r="AI5089">
        <v>94.381716273508999</v>
      </c>
      <c r="AJ5089">
        <v>63.8103988793086</v>
      </c>
      <c r="AK5089">
        <v>13.8529321217756</v>
      </c>
      <c r="AL5089">
        <v>79.683525968833706</v>
      </c>
      <c r="AM5089">
        <v>69.5307101728866</v>
      </c>
      <c r="AN5089">
        <v>0.99999999813203</v>
      </c>
    </row>
    <row r="5090" spans="1:40" x14ac:dyDescent="0.25">
      <c r="A5090" t="str">
        <f>"20190312172807540"</f>
        <v>20190312172807540</v>
      </c>
      <c r="B5090" t="str">
        <f>"1552382887535008"</f>
        <v>1552382887535008</v>
      </c>
      <c r="C5090" t="s">
        <v>40</v>
      </c>
      <c r="D5090">
        <v>3.5176080000000001</v>
      </c>
      <c r="E5090">
        <v>0.53506290000000001</v>
      </c>
      <c r="F5090" t="s">
        <v>41</v>
      </c>
      <c r="G5090">
        <v>-302.13499999999999</v>
      </c>
      <c r="H5090" s="1">
        <v>-2.0012430000000001E-6</v>
      </c>
      <c r="I5090">
        <v>-17.070150000000002</v>
      </c>
      <c r="J5090">
        <v>-305.06380000000001</v>
      </c>
      <c r="K5090">
        <v>1.0585979999999999</v>
      </c>
      <c r="L5090">
        <v>6.1258540000000004</v>
      </c>
      <c r="M5090">
        <v>0.54210689999999995</v>
      </c>
      <c r="N5090">
        <v>0</v>
      </c>
      <c r="O5090">
        <v>-0.84009800000000001</v>
      </c>
      <c r="P5090">
        <v>0.21534700000000001</v>
      </c>
      <c r="Q5090">
        <v>0.16324229999999901</v>
      </c>
      <c r="R5090">
        <v>-0.96279689999999996</v>
      </c>
      <c r="S5090">
        <v>0.39404299999999998</v>
      </c>
      <c r="T5090">
        <v>-0.13841689999999901</v>
      </c>
      <c r="U5090">
        <v>-3.052521</v>
      </c>
      <c r="V5090">
        <v>0.3420376</v>
      </c>
      <c r="W5090">
        <v>0.178861299999999</v>
      </c>
      <c r="X5090">
        <v>0.92250690000000002</v>
      </c>
      <c r="Y5090">
        <v>0.43021749999999997</v>
      </c>
      <c r="Z5090">
        <v>3.2245250000000003E-2</v>
      </c>
      <c r="AA5090">
        <v>0.90214919999999998</v>
      </c>
      <c r="AB5090">
        <v>13</v>
      </c>
      <c r="AC5090">
        <v>2.9288000000000198</v>
      </c>
      <c r="AD5090">
        <v>-1.0586000012429999</v>
      </c>
      <c r="AE5090">
        <v>-23.196003999999999</v>
      </c>
      <c r="AF5090">
        <v>10.095336746568099</v>
      </c>
      <c r="AG5090">
        <v>-1.0586000012429999</v>
      </c>
      <c r="AH5090">
        <v>21.035262118501301</v>
      </c>
      <c r="AI5090">
        <v>92.597756864938503</v>
      </c>
      <c r="AJ5090">
        <v>64.362512082211595</v>
      </c>
      <c r="AK5090">
        <v>23.356341973504701</v>
      </c>
      <c r="AL5090">
        <v>79.696559557517503</v>
      </c>
      <c r="AM5090">
        <v>69.656746183416402</v>
      </c>
      <c r="AN5090">
        <v>1.00000003249952</v>
      </c>
    </row>
    <row r="5091" spans="1:40" x14ac:dyDescent="0.25">
      <c r="A5091" t="str">
        <f>"20190312172807563"</f>
        <v>20190312172807563</v>
      </c>
      <c r="B5091" t="str">
        <f>"1552382887554527"</f>
        <v>1552382887554527</v>
      </c>
      <c r="C5091" t="s">
        <v>40</v>
      </c>
      <c r="D5091">
        <v>3.514507</v>
      </c>
      <c r="E5091">
        <v>0.53434380000000004</v>
      </c>
      <c r="F5091" t="s">
        <v>41</v>
      </c>
      <c r="G5091">
        <v>-301.9923</v>
      </c>
      <c r="H5091" s="1">
        <v>-1.5537719999999999E-6</v>
      </c>
      <c r="I5091">
        <v>-18.02469</v>
      </c>
      <c r="J5091">
        <v>-304.99430000000001</v>
      </c>
      <c r="K5091">
        <v>1.0589</v>
      </c>
      <c r="L5091">
        <v>6.0062559999999996</v>
      </c>
      <c r="M5091">
        <v>0.53741649999999996</v>
      </c>
      <c r="N5091">
        <v>0</v>
      </c>
      <c r="O5091">
        <v>-0.84311930000000002</v>
      </c>
      <c r="P5091">
        <v>0.21056910000000001</v>
      </c>
      <c r="Q5091">
        <v>0.163851</v>
      </c>
      <c r="R5091">
        <v>-0.96374979999999999</v>
      </c>
      <c r="S5091">
        <v>0.38812259999999998</v>
      </c>
      <c r="T5091">
        <v>-0.1337701</v>
      </c>
      <c r="U5091">
        <v>-3.0517880000000002</v>
      </c>
      <c r="V5091">
        <v>0.34124009999999999</v>
      </c>
      <c r="W5091">
        <v>0.17925260000000001</v>
      </c>
      <c r="X5091">
        <v>0.9227263</v>
      </c>
      <c r="Y5091">
        <v>0.42686990000000002</v>
      </c>
      <c r="Z5091">
        <v>3.1401970000000001E-2</v>
      </c>
      <c r="AA5091">
        <v>0.90376769999999995</v>
      </c>
      <c r="AB5091">
        <v>13</v>
      </c>
      <c r="AC5091">
        <v>3.0019999999999998</v>
      </c>
      <c r="AD5091">
        <v>-1.0589015537719999</v>
      </c>
      <c r="AE5091">
        <v>-24.030946</v>
      </c>
      <c r="AF5091">
        <v>10.365497032508101</v>
      </c>
      <c r="AG5091">
        <v>-1.0589015537719999</v>
      </c>
      <c r="AH5091">
        <v>21.836178936420001</v>
      </c>
      <c r="AI5091">
        <v>92.508399568833994</v>
      </c>
      <c r="AJ5091">
        <v>64.606601585058002</v>
      </c>
      <c r="AK5091">
        <v>24.194700076150301</v>
      </c>
      <c r="AL5091">
        <v>79.6737717481884</v>
      </c>
      <c r="AM5091">
        <v>69.704736949152803</v>
      </c>
      <c r="AN5091">
        <v>1.0000000625832199</v>
      </c>
    </row>
    <row r="5092" spans="1:40" x14ac:dyDescent="0.25">
      <c r="A5092" t="str">
        <f>"20190312172807583"</f>
        <v>20190312172807583</v>
      </c>
      <c r="B5092" t="str">
        <f>"1552382887574047"</f>
        <v>1552382887574047</v>
      </c>
      <c r="C5092" t="s">
        <v>40</v>
      </c>
      <c r="D5092">
        <v>3.5282010000000001</v>
      </c>
      <c r="E5092">
        <v>0.53399200000000002</v>
      </c>
      <c r="F5092" t="s">
        <v>41</v>
      </c>
      <c r="G5092">
        <v>-301.88959999999997</v>
      </c>
      <c r="H5092" s="1">
        <v>-1.111244E-6</v>
      </c>
      <c r="I5092">
        <v>-18.992560000000001</v>
      </c>
      <c r="J5092">
        <v>-304.9323</v>
      </c>
      <c r="K5092">
        <v>1.05907</v>
      </c>
      <c r="L5092">
        <v>5.8992310000000003</v>
      </c>
      <c r="M5092">
        <v>0.53323989999999999</v>
      </c>
      <c r="N5092">
        <v>0</v>
      </c>
      <c r="O5092">
        <v>-0.8457789</v>
      </c>
      <c r="P5092">
        <v>0.2069134</v>
      </c>
      <c r="Q5092">
        <v>0.16314909999999999</v>
      </c>
      <c r="R5092">
        <v>-0.96466059999999998</v>
      </c>
      <c r="S5092">
        <v>0.37902829999999998</v>
      </c>
      <c r="T5092">
        <v>-0.1292769</v>
      </c>
      <c r="U5092">
        <v>-3.0520019999999999</v>
      </c>
      <c r="V5092">
        <v>0.34011859999999999</v>
      </c>
      <c r="W5092">
        <v>0.1782523</v>
      </c>
      <c r="X5092">
        <v>0.92333390000000004</v>
      </c>
      <c r="Y5092">
        <v>0.42504750000000002</v>
      </c>
      <c r="Z5092">
        <v>3.0532340000000002E-2</v>
      </c>
      <c r="AA5092">
        <v>0.90465589999999996</v>
      </c>
      <c r="AB5092">
        <v>13</v>
      </c>
      <c r="AC5092">
        <v>3.0427000000000199</v>
      </c>
      <c r="AD5092">
        <v>-1.0590711112440001</v>
      </c>
      <c r="AE5092">
        <v>-24.891791000000001</v>
      </c>
      <c r="AF5092">
        <v>10.6824677834457</v>
      </c>
      <c r="AG5092">
        <v>-1.0590711112440001</v>
      </c>
      <c r="AH5092">
        <v>22.638614990143701</v>
      </c>
      <c r="AI5092">
        <v>92.422623967260293</v>
      </c>
      <c r="AJ5092">
        <v>64.738813219633499</v>
      </c>
      <c r="AK5092">
        <v>25.054812676110402</v>
      </c>
      <c r="AL5092">
        <v>79.732022438064106</v>
      </c>
      <c r="AM5092">
        <v>69.778257530890997</v>
      </c>
      <c r="AN5092">
        <v>1.00000001770522</v>
      </c>
    </row>
    <row r="5093" spans="1:40" x14ac:dyDescent="0.25">
      <c r="A5093" t="str">
        <f>"20190312172807622"</f>
        <v>20190312172807622</v>
      </c>
      <c r="B5093" t="str">
        <f>"1552382887614066"</f>
        <v>1552382887614066</v>
      </c>
      <c r="C5093" t="s">
        <v>40</v>
      </c>
      <c r="D5093">
        <v>3.5201899999999999</v>
      </c>
      <c r="E5093">
        <v>0.53364599999999995</v>
      </c>
      <c r="F5093" t="s">
        <v>41</v>
      </c>
      <c r="G5093">
        <v>-301.93099999999998</v>
      </c>
      <c r="H5093" s="1">
        <v>-1.203684E-6</v>
      </c>
      <c r="I5093">
        <v>-18.802710000000001</v>
      </c>
      <c r="J5093">
        <v>-304.81740000000002</v>
      </c>
      <c r="K5093">
        <v>1.059077</v>
      </c>
      <c r="L5093">
        <v>5.6984560000000002</v>
      </c>
      <c r="M5093">
        <v>0.52596399999999999</v>
      </c>
      <c r="N5093">
        <v>0</v>
      </c>
      <c r="O5093">
        <v>-0.85033979999999998</v>
      </c>
      <c r="P5093">
        <v>0.2021366</v>
      </c>
      <c r="Q5093">
        <v>0.16244040000000001</v>
      </c>
      <c r="R5093">
        <v>-0.96579190000000004</v>
      </c>
      <c r="S5093">
        <v>0.37088009999999999</v>
      </c>
      <c r="T5093">
        <v>-0.1308725</v>
      </c>
      <c r="U5093">
        <v>-3.0524900000000001</v>
      </c>
      <c r="V5093">
        <v>0.33677610000000002</v>
      </c>
      <c r="W5093">
        <v>0.17683840000000001</v>
      </c>
      <c r="X5093">
        <v>0.92482969999999998</v>
      </c>
      <c r="Y5093">
        <v>0.41966579999999898</v>
      </c>
      <c r="Z5093">
        <v>3.124584E-2</v>
      </c>
      <c r="AA5093">
        <v>0.90714070000000002</v>
      </c>
      <c r="AB5093">
        <v>13</v>
      </c>
      <c r="AC5093">
        <v>2.8864000000000298</v>
      </c>
      <c r="AD5093">
        <v>-1.0590782036839901</v>
      </c>
      <c r="AE5093">
        <v>-24.501166000000001</v>
      </c>
      <c r="AF5093">
        <v>10.414599834809399</v>
      </c>
      <c r="AG5093">
        <v>-1.0590782036839901</v>
      </c>
      <c r="AH5093">
        <v>22.314511943802799</v>
      </c>
      <c r="AI5093">
        <v>92.462651940744706</v>
      </c>
      <c r="AJ5093">
        <v>64.980658790772296</v>
      </c>
      <c r="AK5093">
        <v>24.647981248995801</v>
      </c>
      <c r="AL5093">
        <v>79.814340253949695</v>
      </c>
      <c r="AM5093">
        <v>69.990940305530003</v>
      </c>
      <c r="AN5093">
        <v>0.99999996762392895</v>
      </c>
    </row>
    <row r="5094" spans="1:40" x14ac:dyDescent="0.25">
      <c r="A5094" t="str">
        <f>"20190312172807645"</f>
        <v>20190312172807645</v>
      </c>
      <c r="B5094" t="str">
        <f>"1552382887634559"</f>
        <v>1552382887634559</v>
      </c>
      <c r="C5094" t="s">
        <v>40</v>
      </c>
      <c r="D5094">
        <v>3.536991</v>
      </c>
      <c r="E5094">
        <v>0.5333639</v>
      </c>
      <c r="F5094" t="s">
        <v>41</v>
      </c>
      <c r="G5094">
        <v>-301.95190000000002</v>
      </c>
      <c r="H5094" s="1">
        <v>-1.2257650000000001E-6</v>
      </c>
      <c r="I5094">
        <v>-18.764230000000001</v>
      </c>
      <c r="J5094">
        <v>-304.74939999999998</v>
      </c>
      <c r="K5094">
        <v>1.0589729999999999</v>
      </c>
      <c r="L5094">
        <v>5.577515</v>
      </c>
      <c r="M5094">
        <v>0.52185349999999997</v>
      </c>
      <c r="N5094">
        <v>0</v>
      </c>
      <c r="O5094">
        <v>-0.85287619999999897</v>
      </c>
      <c r="P5094">
        <v>0.1988453</v>
      </c>
      <c r="Q5094">
        <v>0.1630104</v>
      </c>
      <c r="R5094">
        <v>-0.96637870000000003</v>
      </c>
      <c r="S5094">
        <v>0.35769649999999997</v>
      </c>
      <c r="T5094">
        <v>-0.13220229999999999</v>
      </c>
      <c r="U5094">
        <v>-3.0536189999999999</v>
      </c>
      <c r="V5094">
        <v>0.33545049999999998</v>
      </c>
      <c r="W5094">
        <v>0.17697639999999901</v>
      </c>
      <c r="X5094">
        <v>0.92528500000000002</v>
      </c>
      <c r="Y5094">
        <v>0.419184</v>
      </c>
      <c r="Z5094">
        <v>3.1721140000000002E-2</v>
      </c>
      <c r="AA5094">
        <v>0.90734700000000001</v>
      </c>
      <c r="AB5094">
        <v>13</v>
      </c>
      <c r="AC5094">
        <v>2.7974999999999501</v>
      </c>
      <c r="AD5094">
        <v>-1.0589742257650001</v>
      </c>
      <c r="AE5094">
        <v>-24.341745</v>
      </c>
      <c r="AF5094">
        <v>10.2990641651748</v>
      </c>
      <c r="AG5094">
        <v>-1.0589742257650001</v>
      </c>
      <c r="AH5094">
        <v>22.181957739019801</v>
      </c>
      <c r="AI5094">
        <v>92.479398272526694</v>
      </c>
      <c r="AJ5094">
        <v>65.094597811010701</v>
      </c>
      <c r="AK5094">
        <v>24.479203382154498</v>
      </c>
      <c r="AL5094">
        <v>79.806307139846496</v>
      </c>
      <c r="AM5094">
        <v>70.072520904240804</v>
      </c>
      <c r="AN5094">
        <v>1.0000000076661</v>
      </c>
    </row>
    <row r="5095" spans="1:40" x14ac:dyDescent="0.25">
      <c r="A5095" t="str">
        <f>"20190312172807667"</f>
        <v>20190312172807667</v>
      </c>
      <c r="B5095" t="str">
        <f>"1552382887664815"</f>
        <v>1552382887664815</v>
      </c>
      <c r="C5095" t="s">
        <v>40</v>
      </c>
      <c r="D5095">
        <v>3.507701</v>
      </c>
      <c r="E5095">
        <v>0.53301639999999995</v>
      </c>
      <c r="F5095" t="s">
        <v>41</v>
      </c>
      <c r="G5095">
        <v>-301.91129999999998</v>
      </c>
      <c r="H5095" s="1">
        <v>-1.0193440000000001E-6</v>
      </c>
      <c r="I5095">
        <v>-19.220189999999999</v>
      </c>
      <c r="J5095">
        <v>-304.6848</v>
      </c>
      <c r="K5095">
        <v>1.0588649999999999</v>
      </c>
      <c r="L5095">
        <v>5.4611510000000001</v>
      </c>
      <c r="M5095">
        <v>0.51792179999999999</v>
      </c>
      <c r="N5095">
        <v>0</v>
      </c>
      <c r="O5095">
        <v>-0.85527619999999904</v>
      </c>
      <c r="P5095">
        <v>0.1957651</v>
      </c>
      <c r="Q5095">
        <v>0.162662</v>
      </c>
      <c r="R5095">
        <v>-0.96706669999999995</v>
      </c>
      <c r="S5095">
        <v>0.34957890000000003</v>
      </c>
      <c r="T5095">
        <v>-0.13043840000000001</v>
      </c>
      <c r="U5095">
        <v>-3.054443</v>
      </c>
      <c r="V5095">
        <v>0.33420630000000001</v>
      </c>
      <c r="W5095">
        <v>0.17624189999999901</v>
      </c>
      <c r="X5095">
        <v>0.92587520000000001</v>
      </c>
      <c r="Y5095">
        <v>0.41740820000000001</v>
      </c>
      <c r="Z5095">
        <v>3.1460429999999998E-2</v>
      </c>
      <c r="AA5095">
        <v>0.90817429999999999</v>
      </c>
      <c r="AB5095">
        <v>13</v>
      </c>
      <c r="AC5095">
        <v>2.7735000000000101</v>
      </c>
      <c r="AD5095">
        <v>-1.058866019344</v>
      </c>
      <c r="AE5095">
        <v>-24.681341</v>
      </c>
      <c r="AF5095">
        <v>10.3933569622807</v>
      </c>
      <c r="AG5095">
        <v>-1.058866019344</v>
      </c>
      <c r="AH5095">
        <v>22.5078371062447</v>
      </c>
      <c r="AI5095">
        <v>92.445652806593401</v>
      </c>
      <c r="AJ5095">
        <v>65.214106385457399</v>
      </c>
      <c r="AK5095">
        <v>24.814225706105699</v>
      </c>
      <c r="AL5095">
        <v>79.8490626022529</v>
      </c>
      <c r="AM5095">
        <v>70.152314522277507</v>
      </c>
      <c r="AN5095">
        <v>0.999999972125169</v>
      </c>
    </row>
    <row r="5096" spans="1:40" x14ac:dyDescent="0.25">
      <c r="A5096" t="str">
        <f>"20190312172807690"</f>
        <v>20190312172807690</v>
      </c>
      <c r="B5096" t="str">
        <f>"1552382887684335"</f>
        <v>1552382887684335</v>
      </c>
      <c r="C5096" t="s">
        <v>40</v>
      </c>
      <c r="D5096">
        <v>3.5190220000000001</v>
      </c>
      <c r="E5096">
        <v>0.53282149999999995</v>
      </c>
      <c r="F5096" t="s">
        <v>41</v>
      </c>
      <c r="G5096">
        <v>-301.91849999999999</v>
      </c>
      <c r="H5096" s="1">
        <v>-1.0323999999999899E-6</v>
      </c>
      <c r="I5096">
        <v>-19.194240000000001</v>
      </c>
      <c r="J5096">
        <v>-304.6207</v>
      </c>
      <c r="K5096">
        <v>1.0588010000000001</v>
      </c>
      <c r="L5096">
        <v>5.3442990000000004</v>
      </c>
      <c r="M5096">
        <v>0.5138933</v>
      </c>
      <c r="N5096">
        <v>0</v>
      </c>
      <c r="O5096">
        <v>-0.85770849999999899</v>
      </c>
      <c r="P5096">
        <v>0.1927199</v>
      </c>
      <c r="Q5096">
        <v>0.1622169</v>
      </c>
      <c r="R5096">
        <v>-0.96775259999999996</v>
      </c>
      <c r="S5096">
        <v>0.34274290000000002</v>
      </c>
      <c r="T5096">
        <v>-0.13119510000000001</v>
      </c>
      <c r="U5096">
        <v>-3.05484</v>
      </c>
      <c r="V5096">
        <v>0.3328216</v>
      </c>
      <c r="W5096">
        <v>0.17546220000000001</v>
      </c>
      <c r="X5096">
        <v>0.92652190000000001</v>
      </c>
      <c r="Y5096">
        <v>0.4151512</v>
      </c>
      <c r="Z5096">
        <v>3.1816070000000002E-2</v>
      </c>
      <c r="AA5096">
        <v>0.90919589999999995</v>
      </c>
      <c r="AB5096">
        <v>13</v>
      </c>
      <c r="AC5096">
        <v>2.7021999999999999</v>
      </c>
      <c r="AD5096">
        <v>-1.0588020324</v>
      </c>
      <c r="AE5096">
        <v>-24.538539</v>
      </c>
      <c r="AF5096">
        <v>10.274876148620899</v>
      </c>
      <c r="AG5096">
        <v>-1.0588020324</v>
      </c>
      <c r="AH5096">
        <v>22.397159398964099</v>
      </c>
      <c r="AI5096">
        <v>92.460381043728006</v>
      </c>
      <c r="AJ5096">
        <v>65.356330630613002</v>
      </c>
      <c r="AK5096">
        <v>24.664283706524301</v>
      </c>
      <c r="AL5096">
        <v>79.8944437587257</v>
      </c>
      <c r="AM5096">
        <v>70.240893790619694</v>
      </c>
      <c r="AN5096">
        <v>1.0000000161175</v>
      </c>
    </row>
    <row r="5097" spans="1:40" x14ac:dyDescent="0.25">
      <c r="A5097" t="str">
        <f>"20190312172807712"</f>
        <v>20190312172807712</v>
      </c>
      <c r="B5097" t="str">
        <f>"1552382887704832"</f>
        <v>1552382887704832</v>
      </c>
      <c r="C5097" t="s">
        <v>40</v>
      </c>
      <c r="D5097">
        <v>3.7937750000000001</v>
      </c>
      <c r="E5097">
        <v>0.53255010000000003</v>
      </c>
      <c r="F5097" t="s">
        <v>41</v>
      </c>
      <c r="G5097">
        <v>-301.94029999999998</v>
      </c>
      <c r="H5097" s="1">
        <v>-1.0634090000000001E-6</v>
      </c>
      <c r="I5097">
        <v>-19.135459999999998</v>
      </c>
      <c r="J5097">
        <v>-304.5557</v>
      </c>
      <c r="K5097">
        <v>1.058781</v>
      </c>
      <c r="L5097">
        <v>5.2240909999999996</v>
      </c>
      <c r="M5097">
        <v>0.50966829999999996</v>
      </c>
      <c r="N5097">
        <v>0</v>
      </c>
      <c r="O5097">
        <v>-0.86023119999999997</v>
      </c>
      <c r="P5097">
        <v>0.18976019999999999</v>
      </c>
      <c r="Q5097">
        <v>0.16214389999999901</v>
      </c>
      <c r="R5097">
        <v>-0.96834949999999997</v>
      </c>
      <c r="S5097">
        <v>0.33456419999999998</v>
      </c>
      <c r="T5097">
        <v>-0.132156</v>
      </c>
      <c r="U5097">
        <v>-3.0554809999999999</v>
      </c>
      <c r="V5097">
        <v>0.3310998</v>
      </c>
      <c r="W5097">
        <v>0.17512139999999901</v>
      </c>
      <c r="X5097">
        <v>0.927203</v>
      </c>
      <c r="Y5097">
        <v>0.41309970000000001</v>
      </c>
      <c r="Z5097">
        <v>3.2224929999999999E-2</v>
      </c>
      <c r="AA5097">
        <v>0.91011549999999997</v>
      </c>
      <c r="AB5097">
        <v>13</v>
      </c>
      <c r="AC5097">
        <v>2.6154000000000202</v>
      </c>
      <c r="AD5097">
        <v>-1.0587820634089999</v>
      </c>
      <c r="AE5097">
        <v>-24.359551</v>
      </c>
      <c r="AF5097">
        <v>10.1477124792649</v>
      </c>
      <c r="AG5097">
        <v>-1.0587820634089999</v>
      </c>
      <c r="AH5097">
        <v>22.2489595270299</v>
      </c>
      <c r="AI5097">
        <v>92.479192570342903</v>
      </c>
      <c r="AJ5097">
        <v>65.482352016421302</v>
      </c>
      <c r="AK5097">
        <v>24.476790803841901</v>
      </c>
      <c r="AL5097">
        <v>79.914277013481097</v>
      </c>
      <c r="AM5097">
        <v>70.348594396980104</v>
      </c>
      <c r="AN5097">
        <v>0.99999999275349905</v>
      </c>
    </row>
    <row r="5098" spans="1:40" x14ac:dyDescent="0.25">
      <c r="A5098" t="str">
        <f>"20190312172807757"</f>
        <v>20190312172807757</v>
      </c>
      <c r="B5098" t="str">
        <f>"1552382887754607"</f>
        <v>1552382887754607</v>
      </c>
      <c r="C5098" t="s">
        <v>40</v>
      </c>
      <c r="D5098">
        <v>3.5140709999999999</v>
      </c>
      <c r="E5098">
        <v>0.53205579999999997</v>
      </c>
      <c r="F5098" t="s">
        <v>41</v>
      </c>
      <c r="G5098">
        <v>-301.93509999999998</v>
      </c>
      <c r="H5098" s="1">
        <v>-1.0050149999999999E-6</v>
      </c>
      <c r="I5098">
        <v>-19.268360000000001</v>
      </c>
      <c r="J5098">
        <v>-304.43239999999997</v>
      </c>
      <c r="K5098">
        <v>1.058848</v>
      </c>
      <c r="L5098">
        <v>4.9921259999999998</v>
      </c>
      <c r="M5098">
        <v>0.50142880000000001</v>
      </c>
      <c r="N5098">
        <v>0</v>
      </c>
      <c r="O5098">
        <v>-0.86506749999999899</v>
      </c>
      <c r="P5098">
        <v>0.1839625</v>
      </c>
      <c r="Q5098">
        <v>0.16252259999999999</v>
      </c>
      <c r="R5098">
        <v>-0.96940409999999999</v>
      </c>
      <c r="S5098">
        <v>0.3269958</v>
      </c>
      <c r="T5098">
        <v>-0.13211149999999999</v>
      </c>
      <c r="U5098">
        <v>-3.0560909999999999</v>
      </c>
      <c r="V5098">
        <v>0.32772449999999997</v>
      </c>
      <c r="W5098">
        <v>0.17516129999999999</v>
      </c>
      <c r="X5098">
        <v>0.92839380000000005</v>
      </c>
      <c r="Y5098">
        <v>0.40663719999999998</v>
      </c>
      <c r="Z5098">
        <v>3.258001E-2</v>
      </c>
      <c r="AA5098">
        <v>0.91300859999999995</v>
      </c>
      <c r="AB5098">
        <v>13</v>
      </c>
      <c r="AC5098">
        <v>2.4972999999999899</v>
      </c>
      <c r="AD5098">
        <v>-1.0588490050149999</v>
      </c>
      <c r="AE5098">
        <v>-24.260486</v>
      </c>
      <c r="AF5098">
        <v>9.9868865033474297</v>
      </c>
      <c r="AG5098">
        <v>-1.0588490050149999</v>
      </c>
      <c r="AH5098">
        <v>22.1998600843628</v>
      </c>
      <c r="AI5098">
        <v>92.490649075424002</v>
      </c>
      <c r="AJ5098">
        <v>65.778802334191198</v>
      </c>
      <c r="AK5098">
        <v>24.3658131613014</v>
      </c>
      <c r="AL5098">
        <v>79.911954467449505</v>
      </c>
      <c r="AM5098">
        <v>70.556886527573496</v>
      </c>
      <c r="AN5098">
        <v>0.99999993839818802</v>
      </c>
    </row>
    <row r="5099" spans="1:40" x14ac:dyDescent="0.25">
      <c r="A5099" t="str">
        <f>"20190312172807780"</f>
        <v>20190312172807780</v>
      </c>
      <c r="B5099" t="str">
        <f>"1552382887775105"</f>
        <v>1552382887775105</v>
      </c>
      <c r="C5099" t="s">
        <v>40</v>
      </c>
      <c r="D5099">
        <v>3.5435590000000001</v>
      </c>
      <c r="E5099">
        <v>0.53183729999999996</v>
      </c>
      <c r="F5099" t="s">
        <v>41</v>
      </c>
      <c r="G5099">
        <v>-301.91210000000001</v>
      </c>
      <c r="H5099" s="1">
        <v>-8.224264E-7</v>
      </c>
      <c r="I5099">
        <v>-19.679749999999999</v>
      </c>
      <c r="J5099">
        <v>-304.36590000000001</v>
      </c>
      <c r="K5099">
        <v>1.0588900000000001</v>
      </c>
      <c r="L5099">
        <v>4.8650209999999996</v>
      </c>
      <c r="M5099">
        <v>0.4968998</v>
      </c>
      <c r="N5099">
        <v>0</v>
      </c>
      <c r="O5099">
        <v>-0.86768040000000002</v>
      </c>
      <c r="P5099">
        <v>0.1803457</v>
      </c>
      <c r="Q5099">
        <v>0.1624321</v>
      </c>
      <c r="R5099">
        <v>-0.97009889999999999</v>
      </c>
      <c r="S5099">
        <v>0.31231690000000001</v>
      </c>
      <c r="T5099">
        <v>-0.13121529999999901</v>
      </c>
      <c r="U5099">
        <v>-3.057404</v>
      </c>
      <c r="V5099">
        <v>0.3263219</v>
      </c>
      <c r="W5099">
        <v>0.1749317</v>
      </c>
      <c r="X5099">
        <v>0.92893110000000001</v>
      </c>
      <c r="Y5099">
        <v>0.40623720000000002</v>
      </c>
      <c r="Z5099">
        <v>3.251892E-2</v>
      </c>
      <c r="AA5099">
        <v>0.91318880000000002</v>
      </c>
      <c r="AB5099">
        <v>13</v>
      </c>
      <c r="AC5099">
        <v>2.4538000000000002</v>
      </c>
      <c r="AD5099">
        <v>-1.0588908224264</v>
      </c>
      <c r="AE5099">
        <v>-24.544771000000001</v>
      </c>
      <c r="AF5099">
        <v>10.0497726401164</v>
      </c>
      <c r="AG5099">
        <v>-1.0588908224264</v>
      </c>
      <c r="AH5099">
        <v>22.477381332274501</v>
      </c>
      <c r="AI5099">
        <v>92.462563026449999</v>
      </c>
      <c r="AJ5099">
        <v>65.910293723841406</v>
      </c>
      <c r="AK5099">
        <v>24.644509559906702</v>
      </c>
      <c r="AL5099">
        <v>79.925316863831199</v>
      </c>
      <c r="AM5099">
        <v>70.644261415093396</v>
      </c>
      <c r="AN5099">
        <v>1.00000003531585</v>
      </c>
    </row>
    <row r="5100" spans="1:40" x14ac:dyDescent="0.25">
      <c r="A5100" t="str">
        <f>"20190312172807806"</f>
        <v>20190312172807806</v>
      </c>
      <c r="B5100" t="str">
        <f>"1552382887794623"</f>
        <v>1552382887794623</v>
      </c>
      <c r="C5100" t="s">
        <v>40</v>
      </c>
      <c r="D5100">
        <v>3.5148190000000001</v>
      </c>
      <c r="E5100">
        <v>0.53174030000000005</v>
      </c>
      <c r="F5100" t="s">
        <v>41</v>
      </c>
      <c r="G5100">
        <v>-301.93040000000002</v>
      </c>
      <c r="H5100" s="1">
        <v>-8.2347320000000002E-7</v>
      </c>
      <c r="I5100">
        <v>-19.688639999999999</v>
      </c>
      <c r="J5100">
        <v>-304.29860000000002</v>
      </c>
      <c r="K5100">
        <v>1.058913</v>
      </c>
      <c r="L5100">
        <v>4.7344059999999999</v>
      </c>
      <c r="M5100">
        <v>0.49223410000000001</v>
      </c>
      <c r="N5100">
        <v>0</v>
      </c>
      <c r="O5100">
        <v>-0.87033869999999902</v>
      </c>
      <c r="P5100">
        <v>0.17686740000000001</v>
      </c>
      <c r="Q5100">
        <v>0.162357</v>
      </c>
      <c r="R5100">
        <v>-0.97075149999999999</v>
      </c>
      <c r="S5100">
        <v>0.30334470000000002</v>
      </c>
      <c r="T5100">
        <v>-0.13188520000000001</v>
      </c>
      <c r="U5100">
        <v>-3.0581670000000001</v>
      </c>
      <c r="V5100">
        <v>0.32465519999999998</v>
      </c>
      <c r="W5100">
        <v>0.17472699999999999</v>
      </c>
      <c r="X5100">
        <v>0.92955339999999997</v>
      </c>
      <c r="Y5100">
        <v>0.40400520000000001</v>
      </c>
      <c r="Z5100">
        <v>3.2869370000000002E-2</v>
      </c>
      <c r="AA5100">
        <v>0.91416600000000003</v>
      </c>
      <c r="AB5100">
        <v>13</v>
      </c>
      <c r="AC5100">
        <v>2.3681999999999999</v>
      </c>
      <c r="AD5100">
        <v>-1.0589138234731901</v>
      </c>
      <c r="AE5100">
        <v>-24.423045999999999</v>
      </c>
      <c r="AF5100">
        <v>9.9432788845455597</v>
      </c>
      <c r="AG5100">
        <v>-1.0589138234731901</v>
      </c>
      <c r="AH5100">
        <v>22.3827702571377</v>
      </c>
      <c r="AI5100">
        <v>92.4756481791472</v>
      </c>
      <c r="AJ5100">
        <v>66.0473852729058</v>
      </c>
      <c r="AK5100">
        <v>24.5148627947456</v>
      </c>
      <c r="AL5100">
        <v>79.937228646892507</v>
      </c>
      <c r="AM5100">
        <v>70.747768407868506</v>
      </c>
      <c r="AN5100">
        <v>1.00000002343379</v>
      </c>
    </row>
    <row r="5101" spans="1:40" x14ac:dyDescent="0.25">
      <c r="A5101" t="str">
        <f>"20190312172807826"</f>
        <v>20190312172807826</v>
      </c>
      <c r="B5101" t="str">
        <f>"1552382887815119"</f>
        <v>1552382887815119</v>
      </c>
      <c r="C5101" t="s">
        <v>40</v>
      </c>
      <c r="D5101">
        <v>3.5200369999999999</v>
      </c>
      <c r="E5101">
        <v>0.52858479999999997</v>
      </c>
      <c r="F5101" t="s">
        <v>41</v>
      </c>
      <c r="G5101">
        <v>-301.94779999999997</v>
      </c>
      <c r="H5101" s="1">
        <v>-7.7971500000000002E-7</v>
      </c>
      <c r="I5101">
        <v>-19.801410000000001</v>
      </c>
      <c r="J5101">
        <v>-304.24220000000003</v>
      </c>
      <c r="K5101">
        <v>1.0589230000000001</v>
      </c>
      <c r="L5101">
        <v>4.6239929999999996</v>
      </c>
      <c r="M5101">
        <v>0.4882763</v>
      </c>
      <c r="N5101">
        <v>0</v>
      </c>
      <c r="O5101">
        <v>-0.87256739999999999</v>
      </c>
      <c r="P5101">
        <v>0.17425260000000001</v>
      </c>
      <c r="Q5101">
        <v>0.16238420000000001</v>
      </c>
      <c r="R5101">
        <v>-0.97121990000000002</v>
      </c>
      <c r="S5101">
        <v>0.29309079999999998</v>
      </c>
      <c r="T5101">
        <v>-0.13202349999999999</v>
      </c>
      <c r="U5101">
        <v>-3.0590820000000001</v>
      </c>
      <c r="V5101">
        <v>0.32292650000000001</v>
      </c>
      <c r="W5101">
        <v>0.17465520000000001</v>
      </c>
      <c r="X5101">
        <v>0.93016889999999997</v>
      </c>
      <c r="Y5101">
        <v>0.40291250000000001</v>
      </c>
      <c r="Z5101">
        <v>3.3049149999999999E-2</v>
      </c>
      <c r="AA5101">
        <v>0.91464160000000005</v>
      </c>
      <c r="AB5101">
        <v>13</v>
      </c>
      <c r="AC5101">
        <v>2.2944000000000502</v>
      </c>
      <c r="AD5101">
        <v>-1.058923779715</v>
      </c>
      <c r="AE5101">
        <v>-24.425402999999999</v>
      </c>
      <c r="AF5101">
        <v>9.9069234755617703</v>
      </c>
      <c r="AG5101">
        <v>-1.058923779715</v>
      </c>
      <c r="AH5101">
        <v>22.3937728611814</v>
      </c>
      <c r="AI5101">
        <v>92.476143534699403</v>
      </c>
      <c r="AJ5101">
        <v>66.135576192874296</v>
      </c>
      <c r="AK5101">
        <v>24.5101920694242</v>
      </c>
      <c r="AL5101">
        <v>79.941407231746197</v>
      </c>
      <c r="AM5101">
        <v>70.854545800764498</v>
      </c>
      <c r="AN5101">
        <v>1.0000000729082399</v>
      </c>
    </row>
    <row r="5102" spans="1:40" x14ac:dyDescent="0.25">
      <c r="A5102" t="str">
        <f>"20190312172807847"</f>
        <v>20190312172807847</v>
      </c>
      <c r="B5102" t="str">
        <f>"1552382887844399"</f>
        <v>1552382887844399</v>
      </c>
      <c r="C5102" t="s">
        <v>40</v>
      </c>
      <c r="D5102">
        <v>3.5242300000000002</v>
      </c>
      <c r="E5102">
        <v>0.528061</v>
      </c>
      <c r="F5102" t="s">
        <v>41</v>
      </c>
      <c r="G5102">
        <v>-301.59010000000001</v>
      </c>
      <c r="H5102" s="1">
        <v>-4.1633070000000004E-6</v>
      </c>
      <c r="I5102">
        <v>-21.607980000000001</v>
      </c>
      <c r="J5102">
        <v>-304.18729999999999</v>
      </c>
      <c r="K5102">
        <v>1.058913</v>
      </c>
      <c r="L5102">
        <v>4.5150449999999998</v>
      </c>
      <c r="M5102">
        <v>0.48436380000000001</v>
      </c>
      <c r="N5102">
        <v>0</v>
      </c>
      <c r="O5102">
        <v>-0.8747471</v>
      </c>
      <c r="P5102">
        <v>0.17158280000000001</v>
      </c>
      <c r="Q5102">
        <v>0.1624139</v>
      </c>
      <c r="R5102">
        <v>-0.97169019999999995</v>
      </c>
      <c r="S5102">
        <v>0.30877690000000002</v>
      </c>
      <c r="T5102">
        <v>-0.1232877</v>
      </c>
      <c r="U5102">
        <v>-3.0541079999999998</v>
      </c>
      <c r="V5102">
        <v>0.3213107</v>
      </c>
      <c r="W5102">
        <v>0.17459549999999999</v>
      </c>
      <c r="X5102">
        <v>0.93073939999999999</v>
      </c>
      <c r="Y5102">
        <v>0.39399650000000003</v>
      </c>
      <c r="Z5102">
        <v>3.1118969999999999E-2</v>
      </c>
      <c r="AA5102">
        <v>0.91858490000000004</v>
      </c>
      <c r="AB5102">
        <v>13</v>
      </c>
      <c r="AC5102">
        <v>2.59719999999998</v>
      </c>
      <c r="AD5102">
        <v>-1.058917163307</v>
      </c>
      <c r="AE5102">
        <v>-26.123024999999998</v>
      </c>
      <c r="AF5102">
        <v>10.365375479883699</v>
      </c>
      <c r="AG5102">
        <v>-1.058917163307</v>
      </c>
      <c r="AH5102">
        <v>24.072385102015701</v>
      </c>
      <c r="AI5102">
        <v>92.313636704163002</v>
      </c>
      <c r="AJ5102">
        <v>66.703677150443198</v>
      </c>
      <c r="AK5102">
        <v>26.230555443937298</v>
      </c>
      <c r="AL5102">
        <v>79.944880351145102</v>
      </c>
      <c r="AM5102">
        <v>70.954255633369897</v>
      </c>
      <c r="AN5102">
        <v>0.99999999263354999</v>
      </c>
    </row>
    <row r="5103" spans="1:40" x14ac:dyDescent="0.25">
      <c r="A5103" t="str">
        <f>"20190312172807890"</f>
        <v>20190312172807890</v>
      </c>
      <c r="B5103" t="str">
        <f>"1552382887884419"</f>
        <v>1552382887884419</v>
      </c>
      <c r="C5103" t="s">
        <v>40</v>
      </c>
      <c r="D5103">
        <v>3.4958</v>
      </c>
      <c r="E5103">
        <v>0.52706739999999996</v>
      </c>
      <c r="F5103" t="s">
        <v>41</v>
      </c>
      <c r="G5103">
        <v>-301.58519999999999</v>
      </c>
      <c r="H5103" s="1">
        <v>-4.1603790000000001E-6</v>
      </c>
      <c r="I5103">
        <v>-21.614039999999999</v>
      </c>
      <c r="J5103">
        <v>-304.0772</v>
      </c>
      <c r="K5103">
        <v>1.058897</v>
      </c>
      <c r="L5103">
        <v>4.2928160000000002</v>
      </c>
      <c r="M5103">
        <v>0.47635729999999998</v>
      </c>
      <c r="N5103">
        <v>0</v>
      </c>
      <c r="O5103">
        <v>-0.87913560000000002</v>
      </c>
      <c r="P5103">
        <v>0.1649977</v>
      </c>
      <c r="Q5103">
        <v>0.16194600000000001</v>
      </c>
      <c r="R5103">
        <v>-0.97290779999999999</v>
      </c>
      <c r="S5103">
        <v>0.30416870000000001</v>
      </c>
      <c r="T5103">
        <v>-0.123783</v>
      </c>
      <c r="U5103">
        <v>-3.0543819999999999</v>
      </c>
      <c r="V5103">
        <v>0.3191524</v>
      </c>
      <c r="W5103">
        <v>0.17396679999999901</v>
      </c>
      <c r="X5103">
        <v>0.93159930000000002</v>
      </c>
      <c r="Y5103">
        <v>0.3869747</v>
      </c>
      <c r="Z5103">
        <v>3.1564889999999998E-2</v>
      </c>
      <c r="AA5103">
        <v>0.92154990000000003</v>
      </c>
      <c r="AB5103">
        <v>13</v>
      </c>
      <c r="AC5103">
        <v>2.4920000000000102</v>
      </c>
      <c r="AD5103">
        <v>-1.058901160379</v>
      </c>
      <c r="AE5103">
        <v>-25.906856000000001</v>
      </c>
      <c r="AF5103">
        <v>10.134375535201</v>
      </c>
      <c r="AG5103">
        <v>-1.058901160379</v>
      </c>
      <c r="AH5103">
        <v>23.925565759284598</v>
      </c>
      <c r="AI5103">
        <v>92.333680741033405</v>
      </c>
      <c r="AJ5103">
        <v>67.043487553844798</v>
      </c>
      <c r="AK5103">
        <v>26.004990599071299</v>
      </c>
      <c r="AL5103">
        <v>79.9814619179743</v>
      </c>
      <c r="AM5103">
        <v>71.089284275694894</v>
      </c>
      <c r="AN5103">
        <v>0.99999997884424396</v>
      </c>
    </row>
    <row r="5104" spans="1:40" x14ac:dyDescent="0.25">
      <c r="A5104" t="str">
        <f>"20190312172807913"</f>
        <v>20190312172807913</v>
      </c>
      <c r="B5104" t="str">
        <f>"1552382887904912"</f>
        <v>1552382887904912</v>
      </c>
      <c r="C5104" t="s">
        <v>40</v>
      </c>
      <c r="D5104">
        <v>3.3843359999999998</v>
      </c>
      <c r="E5104">
        <v>0.52714780000000006</v>
      </c>
      <c r="F5104" t="s">
        <v>41</v>
      </c>
      <c r="G5104">
        <v>-301.67680000000001</v>
      </c>
      <c r="H5104" s="1">
        <v>-4.423181E-6</v>
      </c>
      <c r="I5104">
        <v>-20.889520000000001</v>
      </c>
      <c r="J5104">
        <v>-304.0163</v>
      </c>
      <c r="K5104">
        <v>1.058891</v>
      </c>
      <c r="L5104">
        <v>4.1672669999999998</v>
      </c>
      <c r="M5104">
        <v>0.47181139999999999</v>
      </c>
      <c r="N5104">
        <v>0</v>
      </c>
      <c r="O5104">
        <v>-0.88158499999999995</v>
      </c>
      <c r="P5104">
        <v>0.1609486</v>
      </c>
      <c r="Q5104">
        <v>0.161219</v>
      </c>
      <c r="R5104">
        <v>-0.97370650000000003</v>
      </c>
      <c r="S5104">
        <v>0.29125980000000001</v>
      </c>
      <c r="T5104">
        <v>-0.12848370000000001</v>
      </c>
      <c r="U5104">
        <v>-3.055542</v>
      </c>
      <c r="V5104">
        <v>0.318272</v>
      </c>
      <c r="W5104">
        <v>0.17316709999999999</v>
      </c>
      <c r="X5104">
        <v>0.93204940000000003</v>
      </c>
      <c r="Y5104">
        <v>0.38610709999999998</v>
      </c>
      <c r="Z5104">
        <v>3.2913020000000001E-2</v>
      </c>
      <c r="AA5104">
        <v>0.92186659999999998</v>
      </c>
      <c r="AB5104">
        <v>13</v>
      </c>
      <c r="AC5104">
        <v>2.3394999999999802</v>
      </c>
      <c r="AD5104">
        <v>-1.0588954231809999</v>
      </c>
      <c r="AE5104">
        <v>-25.056787</v>
      </c>
      <c r="AF5104">
        <v>9.7433447930597303</v>
      </c>
      <c r="AG5104">
        <v>-1.0588954231809999</v>
      </c>
      <c r="AH5104">
        <v>23.154837283513299</v>
      </c>
      <c r="AI5104">
        <v>92.413663594654807</v>
      </c>
      <c r="AJ5104">
        <v>67.179084947103306</v>
      </c>
      <c r="AK5104">
        <v>25.143597930679199</v>
      </c>
      <c r="AL5104">
        <v>80.027987703070295</v>
      </c>
      <c r="AM5104">
        <v>71.146223024193901</v>
      </c>
      <c r="AN5104">
        <v>0.99999999727338496</v>
      </c>
    </row>
    <row r="5105" spans="1:40" x14ac:dyDescent="0.25">
      <c r="A5105" t="str">
        <f>"20190312172808006"</f>
        <v>20190312172808006</v>
      </c>
      <c r="B5105" t="str">
        <f>"1552382887994703"</f>
        <v>1552382887994703</v>
      </c>
      <c r="C5105" t="s">
        <v>40</v>
      </c>
      <c r="D5105">
        <v>2.864776</v>
      </c>
      <c r="E5105">
        <v>0.53274169999999998</v>
      </c>
      <c r="F5105" t="s">
        <v>41</v>
      </c>
      <c r="G5105">
        <v>-301.91269999999997</v>
      </c>
      <c r="H5105" s="1">
        <v>-1.0970540000000001E-6</v>
      </c>
      <c r="I5105">
        <v>-19.039909999999999</v>
      </c>
      <c r="J5105">
        <v>-303.7876</v>
      </c>
      <c r="K5105">
        <v>1.0588409999999999</v>
      </c>
      <c r="L5105">
        <v>3.6802980000000001</v>
      </c>
      <c r="M5105">
        <v>0.45390510000000001</v>
      </c>
      <c r="N5105">
        <v>0</v>
      </c>
      <c r="O5105">
        <v>-0.89094019999999996</v>
      </c>
      <c r="P5105">
        <v>0.1441953</v>
      </c>
      <c r="Q5105">
        <v>0.15960299999999999</v>
      </c>
      <c r="R5105">
        <v>-0.97659370000000001</v>
      </c>
      <c r="S5105">
        <v>0.27722170000000002</v>
      </c>
      <c r="T5105">
        <v>-0.1395429</v>
      </c>
      <c r="U5105">
        <v>-3.0582889999999998</v>
      </c>
      <c r="V5105">
        <v>0.31557020000000002</v>
      </c>
      <c r="W5105">
        <v>0.171347</v>
      </c>
      <c r="X5105">
        <v>0.93330369999999996</v>
      </c>
      <c r="Y5105">
        <v>0.37170710000000001</v>
      </c>
      <c r="Z5105">
        <v>3.6478400000000001E-2</v>
      </c>
      <c r="AA5105">
        <v>0.92763309999999999</v>
      </c>
      <c r="AB5105">
        <v>13</v>
      </c>
      <c r="AC5105">
        <v>1.87490000000002</v>
      </c>
      <c r="AD5105">
        <v>-1.058842097054</v>
      </c>
      <c r="AE5105">
        <v>-22.720208</v>
      </c>
      <c r="AF5105">
        <v>8.6246353112865499</v>
      </c>
      <c r="AG5105">
        <v>-1.058842097054</v>
      </c>
      <c r="AH5105">
        <v>21.050028716044999</v>
      </c>
      <c r="AI5105">
        <v>92.664957765523496</v>
      </c>
      <c r="AJ5105">
        <v>67.720065410879798</v>
      </c>
      <c r="AK5105">
        <v>22.7729925522647</v>
      </c>
      <c r="AL5105">
        <v>80.133854992086896</v>
      </c>
      <c r="AM5105">
        <v>71.318490864010599</v>
      </c>
      <c r="AN5105">
        <v>1.00000007098536</v>
      </c>
    </row>
    <row r="5106" spans="1:40" x14ac:dyDescent="0.25">
      <c r="A5106" t="str">
        <f>"20190312172808046"</f>
        <v>20190312172808046</v>
      </c>
      <c r="B5106" t="str">
        <f>"1552382888034719"</f>
        <v>1552382888034719</v>
      </c>
      <c r="C5106" t="s">
        <v>40</v>
      </c>
      <c r="D5106">
        <v>3.4885290000000002</v>
      </c>
      <c r="E5106">
        <v>0.52883549999999901</v>
      </c>
      <c r="F5106" t="s">
        <v>41</v>
      </c>
      <c r="G5106">
        <v>-303.50580000000002</v>
      </c>
      <c r="H5106" s="1">
        <v>-4.6463800000000004E-6</v>
      </c>
      <c r="I5106">
        <v>-1.069701</v>
      </c>
      <c r="J5106">
        <v>-303.69369999999998</v>
      </c>
      <c r="K5106">
        <v>1.0588010000000001</v>
      </c>
      <c r="L5106">
        <v>3.4720759999999999</v>
      </c>
      <c r="M5106">
        <v>0.44607150000000001</v>
      </c>
      <c r="N5106">
        <v>0</v>
      </c>
      <c r="O5106">
        <v>-0.89488909999999999</v>
      </c>
      <c r="P5106">
        <v>0.13745650000000001</v>
      </c>
      <c r="Q5106">
        <v>0.16033699999999901</v>
      </c>
      <c r="R5106">
        <v>-0.97744470000000006</v>
      </c>
      <c r="S5106">
        <v>0.18743899999999999</v>
      </c>
      <c r="T5106">
        <v>-0.7042621</v>
      </c>
      <c r="U5106">
        <v>-3.159332</v>
      </c>
      <c r="V5106">
        <v>0.31377310000000003</v>
      </c>
      <c r="W5106">
        <v>0.17201350000000001</v>
      </c>
      <c r="X5106">
        <v>0.93378680000000003</v>
      </c>
      <c r="Y5106">
        <v>0.39288590000000001</v>
      </c>
      <c r="Z5106">
        <v>0.17484520000000001</v>
      </c>
      <c r="AA5106">
        <v>0.90281219999999995</v>
      </c>
      <c r="AB5106">
        <v>13</v>
      </c>
      <c r="AC5106">
        <v>0.18789999999995599</v>
      </c>
      <c r="AD5106">
        <v>-1.05880564638</v>
      </c>
      <c r="AE5106">
        <v>-4.5417769999999997</v>
      </c>
      <c r="AF5106">
        <v>1.7623705229940101</v>
      </c>
      <c r="AG5106">
        <v>-1.05880564638</v>
      </c>
      <c r="AH5106">
        <v>3.9351069625964801</v>
      </c>
      <c r="AI5106">
        <v>103.796781043306</v>
      </c>
      <c r="AJ5106">
        <v>65.874379945173203</v>
      </c>
      <c r="AK5106">
        <v>4.4398295084608401</v>
      </c>
      <c r="AL5106">
        <v>80.095091071096903</v>
      </c>
      <c r="AM5106">
        <v>71.426508280585495</v>
      </c>
      <c r="AN5106">
        <v>0.99999999516005</v>
      </c>
    </row>
    <row r="5107" spans="1:40" x14ac:dyDescent="0.25">
      <c r="A5107" t="str">
        <f>"20190312172808070"</f>
        <v>20190312172808070</v>
      </c>
      <c r="B5107" t="str">
        <f>"1552382888064976"</f>
        <v>1552382888064976</v>
      </c>
      <c r="C5107" t="s">
        <v>40</v>
      </c>
      <c r="D5107">
        <v>3.8459880000000002</v>
      </c>
      <c r="E5107">
        <v>0.52612890000000001</v>
      </c>
      <c r="F5107" t="s">
        <v>41</v>
      </c>
      <c r="G5107">
        <v>-303.3125</v>
      </c>
      <c r="H5107" s="1">
        <v>-4.0146730000000002E-6</v>
      </c>
      <c r="I5107">
        <v>-2.6254569999999999</v>
      </c>
      <c r="J5107">
        <v>-303.63760000000002</v>
      </c>
      <c r="K5107">
        <v>1.0587719999999901</v>
      </c>
      <c r="L5107">
        <v>3.3451230000000001</v>
      </c>
      <c r="M5107">
        <v>0.44123760000000001</v>
      </c>
      <c r="N5107">
        <v>0</v>
      </c>
      <c r="O5107">
        <v>-0.8972831</v>
      </c>
      <c r="P5107">
        <v>0.1333645</v>
      </c>
      <c r="Q5107">
        <v>0.1604797</v>
      </c>
      <c r="R5107">
        <v>-0.97798799999999997</v>
      </c>
      <c r="S5107">
        <v>0.1957092</v>
      </c>
      <c r="T5107">
        <v>-0.54366250000000005</v>
      </c>
      <c r="U5107">
        <v>-3.13089</v>
      </c>
      <c r="V5107">
        <v>0.31263590000000002</v>
      </c>
      <c r="W5107">
        <v>0.17211779999999999</v>
      </c>
      <c r="X5107">
        <v>0.93414900000000001</v>
      </c>
      <c r="Y5107">
        <v>0.38483630000000002</v>
      </c>
      <c r="Z5107">
        <v>0.13828850000000001</v>
      </c>
      <c r="AA5107">
        <v>0.91256630000000005</v>
      </c>
      <c r="AB5107">
        <v>13</v>
      </c>
      <c r="AC5107">
        <v>0.32510000000001998</v>
      </c>
      <c r="AD5107">
        <v>-1.0587760146730001</v>
      </c>
      <c r="AE5107">
        <v>-5.97058</v>
      </c>
      <c r="AF5107">
        <v>2.27173565688362</v>
      </c>
      <c r="AG5107">
        <v>-1.0587760146730001</v>
      </c>
      <c r="AH5107">
        <v>5.3340342201816302</v>
      </c>
      <c r="AI5107">
        <v>100.34940485256899</v>
      </c>
      <c r="AJ5107">
        <v>66.931113491187602</v>
      </c>
      <c r="AK5107">
        <v>5.8935312509625302</v>
      </c>
      <c r="AL5107">
        <v>80.089025178654495</v>
      </c>
      <c r="AM5107">
        <v>71.495917369453807</v>
      </c>
      <c r="AN5107">
        <v>1.00000004862332</v>
      </c>
    </row>
    <row r="5108" spans="1:40" x14ac:dyDescent="0.25">
      <c r="A5108" t="str">
        <f>"20190312172808093"</f>
        <v>20190312172808093</v>
      </c>
      <c r="B5108" t="str">
        <f>"1552382888084496"</f>
        <v>1552382888084496</v>
      </c>
      <c r="C5108" t="s">
        <v>40</v>
      </c>
      <c r="D5108">
        <v>3.5147370000000002</v>
      </c>
      <c r="E5108">
        <v>0.52663859999999996</v>
      </c>
      <c r="F5108" t="s">
        <v>43</v>
      </c>
      <c r="G5108">
        <v>-297.5034</v>
      </c>
      <c r="H5108">
        <v>-0.05</v>
      </c>
      <c r="I5108">
        <v>-90.337540000000004</v>
      </c>
      <c r="J5108">
        <v>-303.58530000000002</v>
      </c>
      <c r="K5108">
        <v>1.0587569999999999</v>
      </c>
      <c r="L5108">
        <v>3.22464</v>
      </c>
      <c r="M5108">
        <v>0.43660969999999999</v>
      </c>
      <c r="N5108">
        <v>0</v>
      </c>
      <c r="O5108">
        <v>-0.89954439999999902</v>
      </c>
      <c r="P5108">
        <v>0.1294727</v>
      </c>
      <c r="Q5108">
        <v>0.1604894</v>
      </c>
      <c r="R5108">
        <v>-0.97850930000000003</v>
      </c>
      <c r="S5108">
        <v>0.1994629</v>
      </c>
      <c r="T5108">
        <v>-3.6053420000000003E-2</v>
      </c>
      <c r="U5108">
        <v>-3.0462340000000001</v>
      </c>
      <c r="V5108">
        <v>0.31154019999999999</v>
      </c>
      <c r="W5108">
        <v>0.17209389999999999</v>
      </c>
      <c r="X5108">
        <v>0.9345194</v>
      </c>
      <c r="Y5108">
        <v>0.3769401</v>
      </c>
      <c r="Z5108">
        <v>9.6149770000000002E-3</v>
      </c>
      <c r="AA5108">
        <v>0.92618780000000001</v>
      </c>
      <c r="AB5108">
        <v>13</v>
      </c>
      <c r="AC5108">
        <v>6.0819000000000099</v>
      </c>
      <c r="AD5108">
        <v>-1.108757</v>
      </c>
      <c r="AE5108">
        <v>-93.562179999999998</v>
      </c>
      <c r="AF5108">
        <v>35.3776630383881</v>
      </c>
      <c r="AG5108">
        <v>-1.108757</v>
      </c>
      <c r="AH5108">
        <v>86.814940093184404</v>
      </c>
      <c r="AI5108">
        <v>90.677615813789203</v>
      </c>
      <c r="AJ5108">
        <v>67.8287789508054</v>
      </c>
      <c r="AK5108">
        <v>93.753091722491902</v>
      </c>
      <c r="AL5108">
        <v>80.0904153822231</v>
      </c>
      <c r="AM5108">
        <v>71.563189812799806</v>
      </c>
      <c r="AN5108">
        <v>1.0000000578048001</v>
      </c>
    </row>
    <row r="5109" spans="1:40" x14ac:dyDescent="0.25">
      <c r="A5109" t="str">
        <f>"20190312172808115"</f>
        <v>20190312172808115</v>
      </c>
      <c r="B5109" t="str">
        <f>"1552382888104992"</f>
        <v>1552382888104992</v>
      </c>
      <c r="C5109" t="s">
        <v>40</v>
      </c>
      <c r="D5109">
        <v>3.4889809999999999</v>
      </c>
      <c r="E5109">
        <v>0.52707369999999898</v>
      </c>
      <c r="F5109" t="s">
        <v>52</v>
      </c>
      <c r="G5109">
        <v>-300.62860000000001</v>
      </c>
      <c r="H5109" s="1">
        <v>-3.4826310000000001E-6</v>
      </c>
      <c r="I5109">
        <v>-45.907940000000004</v>
      </c>
      <c r="J5109">
        <v>-303.53500000000003</v>
      </c>
      <c r="K5109">
        <v>1.0587530000000001</v>
      </c>
      <c r="L5109">
        <v>3.1073909999999998</v>
      </c>
      <c r="M5109">
        <v>0.43207269999999998</v>
      </c>
      <c r="N5109">
        <v>0</v>
      </c>
      <c r="O5109">
        <v>-0.90173320000000001</v>
      </c>
      <c r="P5109">
        <v>0.12600639999999999</v>
      </c>
      <c r="Q5109">
        <v>0.16078029999999999</v>
      </c>
      <c r="R5109">
        <v>-0.97891410000000001</v>
      </c>
      <c r="S5109">
        <v>0.1836853</v>
      </c>
      <c r="T5109">
        <v>-6.5775630000000002E-2</v>
      </c>
      <c r="U5109">
        <v>-3.052368</v>
      </c>
      <c r="V5109">
        <v>0.31012079999999997</v>
      </c>
      <c r="W5109">
        <v>0.17236070000000001</v>
      </c>
      <c r="X5109">
        <v>0.93494219999999895</v>
      </c>
      <c r="Y5109">
        <v>0.37716830000000001</v>
      </c>
      <c r="Z5109">
        <v>1.7574369999999999E-2</v>
      </c>
      <c r="AA5109">
        <v>0.92597790000000002</v>
      </c>
      <c r="AB5109">
        <v>13</v>
      </c>
      <c r="AC5109">
        <v>2.9064000000000099</v>
      </c>
      <c r="AD5109">
        <v>-1.0587564826310001</v>
      </c>
      <c r="AE5109">
        <v>-49.015331000000003</v>
      </c>
      <c r="AF5109">
        <v>18.550531091747899</v>
      </c>
      <c r="AG5109">
        <v>-1.0587564826310001</v>
      </c>
      <c r="AH5109">
        <v>45.437729501331603</v>
      </c>
      <c r="AI5109">
        <v>91.235831179600396</v>
      </c>
      <c r="AJ5109">
        <v>67.791637001472694</v>
      </c>
      <c r="AK5109">
        <v>49.090023745274301</v>
      </c>
      <c r="AL5109">
        <v>80.074896596457293</v>
      </c>
      <c r="AM5109">
        <v>71.649291129873603</v>
      </c>
      <c r="AN5109">
        <v>1.00000001941898</v>
      </c>
    </row>
    <row r="5110" spans="1:40" x14ac:dyDescent="0.25">
      <c r="A5110" t="str">
        <f>"20190312172808142"</f>
        <v>20190312172808142</v>
      </c>
      <c r="B5110" t="str">
        <f>"1552382888134271"</f>
        <v>1552382888134271</v>
      </c>
      <c r="C5110" t="s">
        <v>40</v>
      </c>
      <c r="D5110">
        <v>3.4813459999999998</v>
      </c>
      <c r="E5110">
        <v>0.5264626</v>
      </c>
      <c r="F5110" t="s">
        <v>41</v>
      </c>
      <c r="G5110">
        <v>-301.34440000000001</v>
      </c>
      <c r="H5110" s="1">
        <v>-2.0447140000000001E-6</v>
      </c>
      <c r="I5110">
        <v>-36.478450000000002</v>
      </c>
      <c r="J5110">
        <v>-303.47629999999998</v>
      </c>
      <c r="K5110">
        <v>1.0587500000000001</v>
      </c>
      <c r="L5110">
        <v>2.9681700000000002</v>
      </c>
      <c r="M5110">
        <v>0.42664600000000003</v>
      </c>
      <c r="N5110">
        <v>0</v>
      </c>
      <c r="O5110">
        <v>-0.90431410000000001</v>
      </c>
      <c r="P5110">
        <v>0.1213814</v>
      </c>
      <c r="Q5110">
        <v>0.16077930000000001</v>
      </c>
      <c r="R5110">
        <v>-0.97949839999999999</v>
      </c>
      <c r="S5110">
        <v>0.16912839999999901</v>
      </c>
      <c r="T5110">
        <v>-8.1742529999999994E-2</v>
      </c>
      <c r="U5110">
        <v>-3.0562740000000002</v>
      </c>
      <c r="V5110">
        <v>0.30891540000000001</v>
      </c>
      <c r="W5110">
        <v>0.17233579999999901</v>
      </c>
      <c r="X5110">
        <v>0.9353458</v>
      </c>
      <c r="Y5110">
        <v>0.37607200000000002</v>
      </c>
      <c r="Z5110">
        <v>2.192036E-2</v>
      </c>
      <c r="AA5110">
        <v>0.92633120000000002</v>
      </c>
      <c r="AB5110">
        <v>13</v>
      </c>
      <c r="AC5110">
        <v>2.1318999999999702</v>
      </c>
      <c r="AD5110">
        <v>-1.058752044714</v>
      </c>
      <c r="AE5110">
        <v>-39.446620000000003</v>
      </c>
      <c r="AF5110">
        <v>14.892548086265201</v>
      </c>
      <c r="AG5110">
        <v>-1.058752044714</v>
      </c>
      <c r="AH5110">
        <v>36.5589023353374</v>
      </c>
      <c r="AI5110">
        <v>91.536319346122596</v>
      </c>
      <c r="AJ5110">
        <v>67.836099889825306</v>
      </c>
      <c r="AK5110">
        <v>39.490027657101599</v>
      </c>
      <c r="AL5110">
        <v>80.076345330391305</v>
      </c>
      <c r="AM5110">
        <v>71.723229989197193</v>
      </c>
      <c r="AN5110">
        <v>1.0000000589482101</v>
      </c>
    </row>
    <row r="5111" spans="1:40" x14ac:dyDescent="0.25">
      <c r="A5111" t="str">
        <f>"20190312172808182"</f>
        <v>20190312172808182</v>
      </c>
      <c r="B5111" t="str">
        <f>"1552382888174288"</f>
        <v>1552382888174288</v>
      </c>
      <c r="C5111" t="s">
        <v>40</v>
      </c>
      <c r="D5111">
        <v>3.521223</v>
      </c>
      <c r="E5111">
        <v>0.52622230000000003</v>
      </c>
      <c r="F5111" t="s">
        <v>41</v>
      </c>
      <c r="G5111">
        <v>-301.8313</v>
      </c>
      <c r="H5111" s="1">
        <v>-1.3002799999999999E-6</v>
      </c>
      <c r="I5111">
        <v>-28.515709999999999</v>
      </c>
      <c r="J5111">
        <v>-303.39089999999999</v>
      </c>
      <c r="K5111">
        <v>1.0587470000000001</v>
      </c>
      <c r="L5111">
        <v>2.7609560000000002</v>
      </c>
      <c r="M5111">
        <v>0.41849209999999898</v>
      </c>
      <c r="N5111">
        <v>0</v>
      </c>
      <c r="O5111">
        <v>-0.90811660000000005</v>
      </c>
      <c r="P5111">
        <v>0.11422400000000001</v>
      </c>
      <c r="Q5111">
        <v>0.16125900000000001</v>
      </c>
      <c r="R5111">
        <v>-0.98027989999999998</v>
      </c>
      <c r="S5111">
        <v>0.15988160000000001</v>
      </c>
      <c r="T5111">
        <v>-0.10289860000000001</v>
      </c>
      <c r="U5111">
        <v>-3.0598749999999999</v>
      </c>
      <c r="V5111">
        <v>0.30729649999999997</v>
      </c>
      <c r="W5111">
        <v>0.172783399999999</v>
      </c>
      <c r="X5111">
        <v>0.93579630000000003</v>
      </c>
      <c r="Y5111">
        <v>0.37058479999999999</v>
      </c>
      <c r="Z5111">
        <v>2.7784489999999998E-2</v>
      </c>
      <c r="AA5111">
        <v>0.92838290000000001</v>
      </c>
      <c r="AB5111">
        <v>13</v>
      </c>
      <c r="AC5111">
        <v>1.5595999999999799</v>
      </c>
      <c r="AD5111">
        <v>-1.05874830027999</v>
      </c>
      <c r="AE5111">
        <v>-31.276665999999999</v>
      </c>
      <c r="AF5111">
        <v>11.660511326911699</v>
      </c>
      <c r="AG5111">
        <v>-1.05874830027999</v>
      </c>
      <c r="AH5111">
        <v>29.0251030309892</v>
      </c>
      <c r="AI5111">
        <v>91.938590191713203</v>
      </c>
      <c r="AJ5111">
        <v>68.112755493599295</v>
      </c>
      <c r="AK5111">
        <v>31.297684871694901</v>
      </c>
      <c r="AL5111">
        <v>80.050308367501202</v>
      </c>
      <c r="AM5111">
        <v>71.820870160187496</v>
      </c>
      <c r="AN5111">
        <v>0.99999997866074897</v>
      </c>
    </row>
    <row r="5112" spans="1:40" x14ac:dyDescent="0.25">
      <c r="A5112" t="str">
        <f>"20190312172808226"</f>
        <v>20190312172808226</v>
      </c>
      <c r="B5112" t="str">
        <f>"1552382888214329"</f>
        <v>1552382888214329</v>
      </c>
      <c r="C5112" t="s">
        <v>40</v>
      </c>
      <c r="D5112">
        <v>3.520448</v>
      </c>
      <c r="E5112">
        <v>0.52613120000000002</v>
      </c>
      <c r="F5112" t="s">
        <v>41</v>
      </c>
      <c r="G5112">
        <v>-302.11439999999999</v>
      </c>
      <c r="H5112" s="1">
        <v>-2.77673E-6</v>
      </c>
      <c r="I5112">
        <v>-25.249700000000001</v>
      </c>
      <c r="J5112">
        <v>-303.29759999999999</v>
      </c>
      <c r="K5112">
        <v>1.0587279999999999</v>
      </c>
      <c r="L5112">
        <v>2.528076</v>
      </c>
      <c r="M5112">
        <v>0.40921639999999998</v>
      </c>
      <c r="N5112">
        <v>0</v>
      </c>
      <c r="O5112">
        <v>-0.91233529999999996</v>
      </c>
      <c r="P5112">
        <v>0.1066651</v>
      </c>
      <c r="Q5112">
        <v>0.162539299999999</v>
      </c>
      <c r="R5112">
        <v>-0.98091989999999996</v>
      </c>
      <c r="S5112">
        <v>0.1395874</v>
      </c>
      <c r="T5112">
        <v>-0.11578090000000001</v>
      </c>
      <c r="U5112">
        <v>-3.0631409999999999</v>
      </c>
      <c r="V5112">
        <v>0.30488900000000002</v>
      </c>
      <c r="W5112">
        <v>0.17401329999999901</v>
      </c>
      <c r="X5112">
        <v>0.93635579999999996</v>
      </c>
      <c r="Y5112">
        <v>0.36730829999999998</v>
      </c>
      <c r="Z5112">
        <v>3.1489990000000002E-2</v>
      </c>
      <c r="AA5112">
        <v>0.929566</v>
      </c>
      <c r="AB5112">
        <v>13</v>
      </c>
      <c r="AC5112">
        <v>1.18319999999999</v>
      </c>
      <c r="AD5112">
        <v>-1.0587307767299901</v>
      </c>
      <c r="AE5112">
        <v>-27.777775999999999</v>
      </c>
      <c r="AF5112">
        <v>10.273706887427499</v>
      </c>
      <c r="AG5112">
        <v>-1.0587307767299901</v>
      </c>
      <c r="AH5112">
        <v>25.791835793680601</v>
      </c>
      <c r="AI5112">
        <v>92.1839162504847</v>
      </c>
      <c r="AJ5112">
        <v>68.281037996331804</v>
      </c>
      <c r="AK5112">
        <v>27.782886057329499</v>
      </c>
      <c r="AL5112">
        <v>79.978757194811706</v>
      </c>
      <c r="AM5112">
        <v>71.964111552016107</v>
      </c>
      <c r="AN5112">
        <v>1.0000000575457599</v>
      </c>
    </row>
    <row r="5113" spans="1:40" x14ac:dyDescent="0.25">
      <c r="A5113" t="str">
        <f>"20190312172808254"</f>
        <v>20190312172808254</v>
      </c>
      <c r="B5113" t="str">
        <f>"1552382888244585"</f>
        <v>1552382888244585</v>
      </c>
      <c r="C5113" t="s">
        <v>40</v>
      </c>
      <c r="D5113">
        <v>3.5195430000000001</v>
      </c>
      <c r="E5113">
        <v>0.52590999999999999</v>
      </c>
      <c r="F5113" t="s">
        <v>41</v>
      </c>
      <c r="G5113">
        <v>-302.26060000000001</v>
      </c>
      <c r="H5113" s="1">
        <v>-3.0975150000000002E-6</v>
      </c>
      <c r="I5113">
        <v>-24.592549999999999</v>
      </c>
      <c r="J5113">
        <v>-303.24099999999999</v>
      </c>
      <c r="K5113">
        <v>1.0587009999999999</v>
      </c>
      <c r="L5113">
        <v>2.3830870000000002</v>
      </c>
      <c r="M5113">
        <v>0.40337529999999999</v>
      </c>
      <c r="N5113">
        <v>0</v>
      </c>
      <c r="O5113">
        <v>-0.91493360000000001</v>
      </c>
      <c r="P5113">
        <v>0.1022383</v>
      </c>
      <c r="Q5113">
        <v>0.163156299999999</v>
      </c>
      <c r="R5113">
        <v>-0.98128890000000002</v>
      </c>
      <c r="S5113">
        <v>0.117218</v>
      </c>
      <c r="T5113">
        <v>-0.1196678</v>
      </c>
      <c r="U5113">
        <v>-3.0654300000000001</v>
      </c>
      <c r="V5113">
        <v>0.30308839999999998</v>
      </c>
      <c r="W5113">
        <v>0.1745796</v>
      </c>
      <c r="X5113">
        <v>0.93683479999999997</v>
      </c>
      <c r="Y5113">
        <v>0.36816549999999998</v>
      </c>
      <c r="Z5113">
        <v>3.266836E-2</v>
      </c>
      <c r="AA5113">
        <v>0.92918619999999996</v>
      </c>
      <c r="AB5113">
        <v>12</v>
      </c>
      <c r="AC5113">
        <v>0.98039999999997396</v>
      </c>
      <c r="AD5113">
        <v>-1.0587040975149999</v>
      </c>
      <c r="AE5113">
        <v>-26.975636999999999</v>
      </c>
      <c r="AF5113">
        <v>9.9698914356467991</v>
      </c>
      <c r="AG5113">
        <v>-1.0587040975149999</v>
      </c>
      <c r="AH5113">
        <v>25.0401855760982</v>
      </c>
      <c r="AI5113">
        <v>92.249485543089406</v>
      </c>
      <c r="AJ5113">
        <v>68.289746088864206</v>
      </c>
      <c r="AK5113">
        <v>26.9727729996401</v>
      </c>
      <c r="AL5113">
        <v>79.945805930381397</v>
      </c>
      <c r="AM5113">
        <v>72.0723687820024</v>
      </c>
      <c r="AN5113">
        <v>1.0000000287208699</v>
      </c>
    </row>
    <row r="5114" spans="1:40" x14ac:dyDescent="0.25">
      <c r="A5114" t="str">
        <f>"20190312172808281"</f>
        <v>20190312172808281</v>
      </c>
      <c r="B5114" t="str">
        <f>"1552382888274841"</f>
        <v>1552382888274841</v>
      </c>
      <c r="C5114" t="s">
        <v>40</v>
      </c>
      <c r="D5114">
        <v>3.5051860000000001</v>
      </c>
      <c r="E5114">
        <v>0.52559100000000003</v>
      </c>
      <c r="F5114" t="s">
        <v>41</v>
      </c>
      <c r="G5114">
        <v>-302.32459999999998</v>
      </c>
      <c r="H5114" s="1">
        <v>-3.269499E-6</v>
      </c>
      <c r="I5114">
        <v>-24.231369999999998</v>
      </c>
      <c r="J5114">
        <v>-303.18509999999998</v>
      </c>
      <c r="K5114">
        <v>1.0586679999999999</v>
      </c>
      <c r="L5114">
        <v>2.2366030000000001</v>
      </c>
      <c r="M5114">
        <v>0.39741490000000002</v>
      </c>
      <c r="N5114">
        <v>0</v>
      </c>
      <c r="O5114">
        <v>-0.91753949999999995</v>
      </c>
      <c r="P5114">
        <v>9.8203109999999996E-2</v>
      </c>
      <c r="Q5114">
        <v>0.16363349999999999</v>
      </c>
      <c r="R5114">
        <v>-0.98162159999999998</v>
      </c>
      <c r="S5114">
        <v>0.1055908</v>
      </c>
      <c r="T5114">
        <v>-0.1219831</v>
      </c>
      <c r="U5114">
        <v>-3.0664980000000002</v>
      </c>
      <c r="V5114">
        <v>0.30081639999999998</v>
      </c>
      <c r="W5114">
        <v>0.17498520000000001</v>
      </c>
      <c r="X5114">
        <v>0.93749119999999997</v>
      </c>
      <c r="Y5114">
        <v>0.365647</v>
      </c>
      <c r="Z5114">
        <v>3.346325E-2</v>
      </c>
      <c r="AA5114">
        <v>0.93015190000000003</v>
      </c>
      <c r="AB5114">
        <v>12</v>
      </c>
      <c r="AC5114">
        <v>0.86050000000000104</v>
      </c>
      <c r="AD5114">
        <v>-1.0586712694989999</v>
      </c>
      <c r="AE5114">
        <v>-26.467972999999901</v>
      </c>
      <c r="AF5114">
        <v>9.7145872799876791</v>
      </c>
      <c r="AG5114">
        <v>-1.0586712694989999</v>
      </c>
      <c r="AH5114">
        <v>24.590336342151499</v>
      </c>
      <c r="AI5114">
        <v>92.292953590315605</v>
      </c>
      <c r="AJ5114">
        <v>68.443149463480793</v>
      </c>
      <c r="AK5114">
        <v>26.460888728413799</v>
      </c>
      <c r="AL5114">
        <v>79.922203550372899</v>
      </c>
      <c r="AM5114">
        <v>72.209923297958994</v>
      </c>
      <c r="AN5114">
        <v>1.0000000384027099</v>
      </c>
    </row>
    <row r="5115" spans="1:40" x14ac:dyDescent="0.25">
      <c r="A5115" t="str">
        <f>"20190312172808306"</f>
        <v>20190312172808306</v>
      </c>
      <c r="B5115" t="str">
        <f>"1552382888294361"</f>
        <v>1552382888294361</v>
      </c>
      <c r="C5115" t="s">
        <v>40</v>
      </c>
      <c r="D5115">
        <v>3.5274549999999998</v>
      </c>
      <c r="E5115">
        <v>0.52540520000000002</v>
      </c>
      <c r="F5115" t="s">
        <v>41</v>
      </c>
      <c r="G5115">
        <v>-302.36799999999999</v>
      </c>
      <c r="H5115" s="1">
        <v>-3.365216E-6</v>
      </c>
      <c r="I5115">
        <v>-24.035139999999998</v>
      </c>
      <c r="J5115">
        <v>-303.1361</v>
      </c>
      <c r="K5115">
        <v>1.0586279999999999</v>
      </c>
      <c r="L5115">
        <v>2.1060490000000001</v>
      </c>
      <c r="M5115">
        <v>0.39205380000000001</v>
      </c>
      <c r="N5115">
        <v>0</v>
      </c>
      <c r="O5115">
        <v>-0.91984429999999995</v>
      </c>
      <c r="P5115">
        <v>9.4264979999999998E-2</v>
      </c>
      <c r="Q5115">
        <v>0.16375700000000001</v>
      </c>
      <c r="R5115">
        <v>-0.9819869</v>
      </c>
      <c r="S5115">
        <v>9.5397949999999995E-2</v>
      </c>
      <c r="T5115">
        <v>-0.1236</v>
      </c>
      <c r="U5115">
        <v>-3.0672299999999999</v>
      </c>
      <c r="V5115">
        <v>0.29909980000000003</v>
      </c>
      <c r="W5115">
        <v>0.1750256</v>
      </c>
      <c r="X5115">
        <v>0.93803270000000005</v>
      </c>
      <c r="Y5115">
        <v>0.36330990000000002</v>
      </c>
      <c r="Z5115">
        <v>3.4055799999999997E-2</v>
      </c>
      <c r="AA5115">
        <v>0.93104569999999998</v>
      </c>
      <c r="AB5115">
        <v>12</v>
      </c>
      <c r="AC5115">
        <v>0.768100000000004</v>
      </c>
      <c r="AD5115">
        <v>-1.058631365216</v>
      </c>
      <c r="AE5115">
        <v>-26.141189000000001</v>
      </c>
      <c r="AF5115">
        <v>9.5274689462389901</v>
      </c>
      <c r="AG5115">
        <v>-1.058631365216</v>
      </c>
      <c r="AH5115">
        <v>24.309322732279</v>
      </c>
      <c r="AI5115">
        <v>92.321816444319296</v>
      </c>
      <c r="AJ5115">
        <v>68.598468587190396</v>
      </c>
      <c r="AK5115">
        <v>26.131141126844501</v>
      </c>
      <c r="AL5115">
        <v>79.919852113634903</v>
      </c>
      <c r="AM5115">
        <v>72.314670406239202</v>
      </c>
      <c r="AN5115">
        <v>0.99999999864234401</v>
      </c>
    </row>
    <row r="5116" spans="1:40" x14ac:dyDescent="0.25">
      <c r="A5116" t="str">
        <f>"20190312172808330"</f>
        <v>20190312172808330</v>
      </c>
      <c r="B5116" t="str">
        <f>"1552382888324205"</f>
        <v>1552382888324205</v>
      </c>
      <c r="C5116" t="s">
        <v>40</v>
      </c>
      <c r="D5116">
        <v>3.5195769999999902</v>
      </c>
      <c r="E5116">
        <v>0.52517029999999998</v>
      </c>
      <c r="F5116" t="s">
        <v>41</v>
      </c>
      <c r="G5116">
        <v>-302.42200000000003</v>
      </c>
      <c r="H5116" s="1">
        <v>-3.4764989999999998E-6</v>
      </c>
      <c r="I5116">
        <v>-23.809270000000001</v>
      </c>
      <c r="J5116">
        <v>-303.08929999999998</v>
      </c>
      <c r="K5116">
        <v>1.0585960000000001</v>
      </c>
      <c r="L5116">
        <v>1.9787600000000001</v>
      </c>
      <c r="M5116">
        <v>0.3867775</v>
      </c>
      <c r="N5116">
        <v>0</v>
      </c>
      <c r="O5116">
        <v>-0.92207689999999998</v>
      </c>
      <c r="P5116">
        <v>9.0533779999999994E-2</v>
      </c>
      <c r="Q5116">
        <v>0.16399430000000001</v>
      </c>
      <c r="R5116">
        <v>-0.98229820000000001</v>
      </c>
      <c r="S5116">
        <v>8.4533689999999995E-2</v>
      </c>
      <c r="T5116">
        <v>-0.12531889999999901</v>
      </c>
      <c r="U5116">
        <v>-3.0678100000000001</v>
      </c>
      <c r="V5116">
        <v>0.29727540000000002</v>
      </c>
      <c r="W5116">
        <v>0.17516970000000001</v>
      </c>
      <c r="X5116">
        <v>0.93858560000000002</v>
      </c>
      <c r="Y5116">
        <v>0.36127110000000001</v>
      </c>
      <c r="Z5116">
        <v>3.46751E-2</v>
      </c>
      <c r="AA5116">
        <v>0.93181590000000003</v>
      </c>
      <c r="AB5116">
        <v>12</v>
      </c>
      <c r="AC5116">
        <v>0.66729999999995404</v>
      </c>
      <c r="AD5116">
        <v>-1.0585994764990001</v>
      </c>
      <c r="AE5116">
        <v>-25.788029999999999</v>
      </c>
      <c r="AF5116">
        <v>9.34402277401297</v>
      </c>
      <c r="AG5116">
        <v>-1.0585994764990001</v>
      </c>
      <c r="AH5116">
        <v>23.998362484626</v>
      </c>
      <c r="AI5116">
        <v>92.353840842055803</v>
      </c>
      <c r="AJ5116">
        <v>68.726009297762204</v>
      </c>
      <c r="AK5116">
        <v>25.7750421221076</v>
      </c>
      <c r="AL5116">
        <v>79.911466333236106</v>
      </c>
      <c r="AM5116">
        <v>72.425599556776504</v>
      </c>
      <c r="AN5116">
        <v>1.0000000078853</v>
      </c>
    </row>
    <row r="5117" spans="1:40" x14ac:dyDescent="0.25">
      <c r="A5117" t="str">
        <f>"20190312172808356"</f>
        <v>20190312172808356</v>
      </c>
      <c r="B5117" t="str">
        <f>"1552382888344702"</f>
        <v>1552382888344702</v>
      </c>
      <c r="C5117" t="s">
        <v>40</v>
      </c>
      <c r="D5117">
        <v>3.5227849999999998</v>
      </c>
      <c r="E5117">
        <v>0.52506730000000001</v>
      </c>
      <c r="F5117" t="s">
        <v>41</v>
      </c>
      <c r="G5117">
        <v>-302.46820000000002</v>
      </c>
      <c r="H5117" s="1">
        <v>-3.5724220000000001E-6</v>
      </c>
      <c r="I5117">
        <v>-23.6143</v>
      </c>
      <c r="J5117">
        <v>-303.04059999999998</v>
      </c>
      <c r="K5117">
        <v>1.058565</v>
      </c>
      <c r="L5117">
        <v>1.8436889999999999</v>
      </c>
      <c r="M5117">
        <v>0.38112849999999998</v>
      </c>
      <c r="N5117">
        <v>0</v>
      </c>
      <c r="O5117">
        <v>-0.92442789999999997</v>
      </c>
      <c r="P5117">
        <v>8.6032380000000006E-2</v>
      </c>
      <c r="Q5117">
        <v>0.16446859999999999</v>
      </c>
      <c r="R5117">
        <v>-0.98262360000000004</v>
      </c>
      <c r="S5117">
        <v>7.4462890000000004E-2</v>
      </c>
      <c r="T5117">
        <v>-0.126917</v>
      </c>
      <c r="U5117">
        <v>-3.06839</v>
      </c>
      <c r="V5117">
        <v>0.29580630000000002</v>
      </c>
      <c r="W5117">
        <v>0.1755256</v>
      </c>
      <c r="X5117">
        <v>0.93898309999999996</v>
      </c>
      <c r="Y5117">
        <v>0.35862549999999999</v>
      </c>
      <c r="Z5117">
        <v>3.5276710000000003E-2</v>
      </c>
      <c r="AA5117">
        <v>0.9328147</v>
      </c>
      <c r="AB5117">
        <v>12</v>
      </c>
      <c r="AC5117">
        <v>0.57239999999995905</v>
      </c>
      <c r="AD5117">
        <v>-1.058568572422</v>
      </c>
      <c r="AE5117">
        <v>-25.457989000000001</v>
      </c>
      <c r="AF5117">
        <v>9.1585943903857405</v>
      </c>
      <c r="AG5117">
        <v>-1.058568572422</v>
      </c>
      <c r="AH5117">
        <v>23.7133223242047</v>
      </c>
      <c r="AI5117">
        <v>92.384552010837993</v>
      </c>
      <c r="AJ5117">
        <v>68.882368334918098</v>
      </c>
      <c r="AK5117">
        <v>25.442524919546599</v>
      </c>
      <c r="AL5117">
        <v>79.890753090486996</v>
      </c>
      <c r="AM5117">
        <v>72.514094794372596</v>
      </c>
      <c r="AN5117">
        <v>0.99999993273032695</v>
      </c>
    </row>
    <row r="5118" spans="1:40" x14ac:dyDescent="0.25">
      <c r="A5118" t="str">
        <f>"20190312172808393"</f>
        <v>20190312172808393</v>
      </c>
      <c r="B5118" t="str">
        <f>"1552382888384717"</f>
        <v>1552382888384717</v>
      </c>
      <c r="C5118" t="s">
        <v>40</v>
      </c>
      <c r="D5118">
        <v>3.5404140000000002</v>
      </c>
      <c r="E5118">
        <v>0.52462259999999905</v>
      </c>
      <c r="F5118" t="s">
        <v>41</v>
      </c>
      <c r="G5118">
        <v>-302.5265</v>
      </c>
      <c r="H5118" s="1">
        <v>-3.5297240000000001E-6</v>
      </c>
      <c r="I5118">
        <v>-23.750019999999999</v>
      </c>
      <c r="J5118">
        <v>-302.97050000000002</v>
      </c>
      <c r="K5118">
        <v>1.0585340000000001</v>
      </c>
      <c r="L5118">
        <v>1.6442869999999901</v>
      </c>
      <c r="M5118">
        <v>0.37271959999999998</v>
      </c>
      <c r="N5118">
        <v>0</v>
      </c>
      <c r="O5118">
        <v>-0.92785309999999999</v>
      </c>
      <c r="P5118">
        <v>8.1244949999999996E-2</v>
      </c>
      <c r="Q5118">
        <v>0.166408</v>
      </c>
      <c r="R5118">
        <v>-0.98270469999999999</v>
      </c>
      <c r="S5118">
        <v>6.1645510000000001E-2</v>
      </c>
      <c r="T5118">
        <v>-0.1269315</v>
      </c>
      <c r="U5118">
        <v>-3.0689090000000001</v>
      </c>
      <c r="V5118">
        <v>0.29173349999999998</v>
      </c>
      <c r="W5118">
        <v>0.177305399999999</v>
      </c>
      <c r="X5118">
        <v>0.93992249999999999</v>
      </c>
      <c r="Y5118">
        <v>0.354043099999999</v>
      </c>
      <c r="Z5118">
        <v>3.5522919999999999E-2</v>
      </c>
      <c r="AA5118">
        <v>0.9345542</v>
      </c>
      <c r="AB5118">
        <v>12</v>
      </c>
      <c r="AC5118">
        <v>0.44400000000001599</v>
      </c>
      <c r="AD5118">
        <v>-1.0585375297239901</v>
      </c>
      <c r="AE5118">
        <v>-25.394307000000001</v>
      </c>
      <c r="AF5118">
        <v>9.0380536380956205</v>
      </c>
      <c r="AG5118">
        <v>-1.0585375297239901</v>
      </c>
      <c r="AH5118">
        <v>23.688528290691899</v>
      </c>
      <c r="AI5118">
        <v>92.390714626598694</v>
      </c>
      <c r="AJ5118">
        <v>69.116288867866302</v>
      </c>
      <c r="AK5118">
        <v>25.376234705839199</v>
      </c>
      <c r="AL5118">
        <v>79.787153571667901</v>
      </c>
      <c r="AM5118">
        <v>72.756682723583197</v>
      </c>
      <c r="AN5118">
        <v>0.99999997294882903</v>
      </c>
    </row>
    <row r="5119" spans="1:40" x14ac:dyDescent="0.25">
      <c r="A5119" t="str">
        <f>"20190312172808420"</f>
        <v>20190312172808420</v>
      </c>
      <c r="B5119" t="str">
        <f>"1552382888414977"</f>
        <v>1552382888414977</v>
      </c>
      <c r="C5119" t="s">
        <v>40</v>
      </c>
      <c r="D5119">
        <v>3.5404930000000001</v>
      </c>
      <c r="E5119">
        <v>0.52428129999999995</v>
      </c>
      <c r="F5119" t="s">
        <v>41</v>
      </c>
      <c r="G5119">
        <v>-302.5419</v>
      </c>
      <c r="H5119" s="1">
        <v>-3.1111909999999999E-6</v>
      </c>
      <c r="I5119">
        <v>-24.73518</v>
      </c>
      <c r="J5119">
        <v>-302.9194</v>
      </c>
      <c r="K5119">
        <v>1.0585169999999999</v>
      </c>
      <c r="L5119">
        <v>1.4951479999999999</v>
      </c>
      <c r="M5119">
        <v>0.36639080000000002</v>
      </c>
      <c r="N5119">
        <v>0</v>
      </c>
      <c r="O5119">
        <v>-0.93037239999999999</v>
      </c>
      <c r="P5119">
        <v>7.7014299999999994E-2</v>
      </c>
      <c r="Q5119">
        <v>0.16766719999999999</v>
      </c>
      <c r="R5119">
        <v>-0.98283109999999996</v>
      </c>
      <c r="S5119">
        <v>4.9865720000000002E-2</v>
      </c>
      <c r="T5119">
        <v>-0.1231728</v>
      </c>
      <c r="U5119">
        <v>-3.06955</v>
      </c>
      <c r="V5119">
        <v>0.28929650000000001</v>
      </c>
      <c r="W5119">
        <v>0.17845359999999999</v>
      </c>
      <c r="X5119">
        <v>0.94045829999999997</v>
      </c>
      <c r="Y5119">
        <v>0.35125990000000001</v>
      </c>
      <c r="Z5119">
        <v>3.4637729999999999E-2</v>
      </c>
      <c r="AA5119">
        <v>0.9356371</v>
      </c>
      <c r="AB5119">
        <v>12</v>
      </c>
      <c r="AC5119">
        <v>0.377499999999997</v>
      </c>
      <c r="AD5119">
        <v>-1.0585201111910001</v>
      </c>
      <c r="AE5119">
        <v>-26.230328</v>
      </c>
      <c r="AF5119">
        <v>9.2450466261333002</v>
      </c>
      <c r="AG5119">
        <v>-1.0585201111910001</v>
      </c>
      <c r="AH5119">
        <v>24.504413021841302</v>
      </c>
      <c r="AI5119">
        <v>92.314425908080693</v>
      </c>
      <c r="AJ5119">
        <v>69.329467570749102</v>
      </c>
      <c r="AK5119">
        <v>26.211783790695399</v>
      </c>
      <c r="AL5119">
        <v>79.720300501777203</v>
      </c>
      <c r="AM5119">
        <v>72.901461031423494</v>
      </c>
      <c r="AN5119">
        <v>0.99999998315204897</v>
      </c>
    </row>
    <row r="5120" spans="1:40" x14ac:dyDescent="0.25">
      <c r="A5120" t="str">
        <f>"20190312172808460"</f>
        <v>20190312172808460</v>
      </c>
      <c r="B5120" t="str">
        <f>"1552382888454993"</f>
        <v>1552382888454993</v>
      </c>
      <c r="C5120" t="s">
        <v>40</v>
      </c>
      <c r="D5120">
        <v>3.4982989999999998</v>
      </c>
      <c r="E5120">
        <v>0.52382790000000001</v>
      </c>
      <c r="F5120" t="s">
        <v>41</v>
      </c>
      <c r="G5120">
        <v>-302.57659999999998</v>
      </c>
      <c r="H5120" s="1">
        <v>-2.7963190000000001E-6</v>
      </c>
      <c r="I5120">
        <v>-25.490639999999999</v>
      </c>
      <c r="J5120">
        <v>-302.84969999999998</v>
      </c>
      <c r="K5120">
        <v>1.058648</v>
      </c>
      <c r="L5120">
        <v>1.286224</v>
      </c>
      <c r="M5120">
        <v>0.35704639999999999</v>
      </c>
      <c r="N5120">
        <v>0</v>
      </c>
      <c r="O5120">
        <v>-0.93399739999999998</v>
      </c>
      <c r="P5120">
        <v>7.2942960000000001E-2</v>
      </c>
      <c r="Q5120">
        <v>0.16919210000000001</v>
      </c>
      <c r="R5120">
        <v>-0.98288039999999999</v>
      </c>
      <c r="S5120">
        <v>3.9001460000000002E-2</v>
      </c>
      <c r="T5120">
        <v>-0.1204165</v>
      </c>
      <c r="U5120">
        <v>-3.0698850000000002</v>
      </c>
      <c r="V5120">
        <v>0.28362189999999998</v>
      </c>
      <c r="W5120">
        <v>0.18012829999999999</v>
      </c>
      <c r="X5120">
        <v>0.94186650000000005</v>
      </c>
      <c r="Y5120">
        <v>0.345180599999999</v>
      </c>
      <c r="Z5120">
        <v>3.4117179999999997E-2</v>
      </c>
      <c r="AA5120">
        <v>0.93791599999999997</v>
      </c>
      <c r="AB5120">
        <v>12</v>
      </c>
      <c r="AC5120">
        <v>0.27309999999999901</v>
      </c>
      <c r="AD5120">
        <v>-1.0586507963189999</v>
      </c>
      <c r="AE5120">
        <v>-26.776864</v>
      </c>
      <c r="AF5120">
        <v>9.2917616147133</v>
      </c>
      <c r="AG5120">
        <v>-1.0586507963189999</v>
      </c>
      <c r="AH5120">
        <v>25.069941291732899</v>
      </c>
      <c r="AI5120">
        <v>92.267485369822595</v>
      </c>
      <c r="AJ5120">
        <v>69.663603619900002</v>
      </c>
      <c r="AK5120">
        <v>26.757420125717299</v>
      </c>
      <c r="AL5120">
        <v>79.622767470064105</v>
      </c>
      <c r="AM5120">
        <v>73.241507458421793</v>
      </c>
      <c r="AN5120">
        <v>1.00000004522137</v>
      </c>
    </row>
    <row r="5121" spans="1:40" x14ac:dyDescent="0.25">
      <c r="A5121" t="str">
        <f>"20190312172808487"</f>
        <v>20190312172808487</v>
      </c>
      <c r="B5121" t="str">
        <f>"1552382888484273"</f>
        <v>1552382888484273</v>
      </c>
      <c r="C5121" t="s">
        <v>40</v>
      </c>
      <c r="D5121">
        <v>3.4946350000000002</v>
      </c>
      <c r="E5121">
        <v>0.52349760000000001</v>
      </c>
      <c r="F5121" t="s">
        <v>41</v>
      </c>
      <c r="G5121">
        <v>-302.57100000000003</v>
      </c>
      <c r="H5121" s="1">
        <v>-2.4569679999999999E-6</v>
      </c>
      <c r="I5121">
        <v>-26.27825</v>
      </c>
      <c r="J5121">
        <v>-302.80149999999998</v>
      </c>
      <c r="K5121">
        <v>1.0589249999999999</v>
      </c>
      <c r="L5121">
        <v>1.14035</v>
      </c>
      <c r="M5121">
        <v>0.34912520000000002</v>
      </c>
      <c r="N5121">
        <v>0</v>
      </c>
      <c r="O5121">
        <v>-0.93698170000000003</v>
      </c>
      <c r="P5121">
        <v>6.7541530000000002E-2</v>
      </c>
      <c r="Q5121">
        <v>0.169377799999999</v>
      </c>
      <c r="R5121">
        <v>-0.98323450000000001</v>
      </c>
      <c r="S5121">
        <v>3.1036379999999999E-2</v>
      </c>
      <c r="T5121">
        <v>-0.1179171</v>
      </c>
      <c r="U5121">
        <v>-3.0702509999999998</v>
      </c>
      <c r="V5121">
        <v>0.28080450000000001</v>
      </c>
      <c r="W5121">
        <v>0.1807183</v>
      </c>
      <c r="X5121">
        <v>0.94259729999999997</v>
      </c>
      <c r="Y5121">
        <v>0.33966439999999998</v>
      </c>
      <c r="Z5121">
        <v>3.3616390000000003E-2</v>
      </c>
      <c r="AA5121">
        <v>0.93994580000000005</v>
      </c>
      <c r="AB5121">
        <v>12</v>
      </c>
      <c r="AC5121">
        <v>0.23050000000000601</v>
      </c>
      <c r="AD5121">
        <v>-1.0589274569679901</v>
      </c>
      <c r="AE5121">
        <v>-27.418600000000001</v>
      </c>
      <c r="AF5121">
        <v>9.3434422137720006</v>
      </c>
      <c r="AG5121">
        <v>-1.0589274569679901</v>
      </c>
      <c r="AH5121">
        <v>25.7350965875508</v>
      </c>
      <c r="AI5121">
        <v>92.214925150886799</v>
      </c>
      <c r="AJ5121">
        <v>70.045951172374899</v>
      </c>
      <c r="AK5121">
        <v>27.399205027368701</v>
      </c>
      <c r="AL5121">
        <v>79.588398155304205</v>
      </c>
      <c r="AM5121">
        <v>73.410939837644904</v>
      </c>
      <c r="AN5121">
        <v>0.99999997057121404</v>
      </c>
    </row>
    <row r="5122" spans="1:40" x14ac:dyDescent="0.25">
      <c r="A5122" t="str">
        <f>"20190312172808514"</f>
        <v>20190312172808514</v>
      </c>
      <c r="B5122" t="str">
        <f>"1552382888504770"</f>
        <v>1552382888504770</v>
      </c>
      <c r="C5122" t="s">
        <v>40</v>
      </c>
      <c r="D5122">
        <v>3.5073699999999999</v>
      </c>
      <c r="E5122">
        <v>0.52331549999999905</v>
      </c>
      <c r="F5122" t="s">
        <v>41</v>
      </c>
      <c r="G5122">
        <v>-302.65269999999998</v>
      </c>
      <c r="H5122" s="1">
        <v>-2.5173809999999999E-6</v>
      </c>
      <c r="I5122">
        <v>-26.188079999999999</v>
      </c>
      <c r="J5122">
        <v>-302.75639999999999</v>
      </c>
      <c r="K5122">
        <v>1.0583579999999999</v>
      </c>
      <c r="L5122">
        <v>1.0012509999999999</v>
      </c>
      <c r="M5122">
        <v>0.34209580000000001</v>
      </c>
      <c r="N5122">
        <v>0</v>
      </c>
      <c r="O5122">
        <v>-0.93957690000000005</v>
      </c>
      <c r="P5122">
        <v>6.4823259999999994E-2</v>
      </c>
      <c r="Q5122">
        <v>0.17143800000000001</v>
      </c>
      <c r="R5122">
        <v>-0.98306039999999995</v>
      </c>
      <c r="S5122">
        <v>1.672363E-2</v>
      </c>
      <c r="T5122">
        <v>-0.1189762</v>
      </c>
      <c r="U5122">
        <v>-3.0704959999999999</v>
      </c>
      <c r="V5122">
        <v>0.27664270000000002</v>
      </c>
      <c r="W5122">
        <v>0.1817551</v>
      </c>
      <c r="X5122">
        <v>0.94362809999999997</v>
      </c>
      <c r="Y5122">
        <v>0.33699689999999999</v>
      </c>
      <c r="Z5122">
        <v>3.408369E-2</v>
      </c>
      <c r="AA5122">
        <v>0.94088859999999996</v>
      </c>
      <c r="AB5122">
        <v>12</v>
      </c>
      <c r="AC5122">
        <v>0.103700000000003</v>
      </c>
      <c r="AD5122">
        <v>-1.058360517381</v>
      </c>
      <c r="AE5122">
        <v>-27.189330999999999</v>
      </c>
      <c r="AF5122">
        <v>9.1907588696870199</v>
      </c>
      <c r="AG5122">
        <v>-1.058360517381</v>
      </c>
      <c r="AH5122">
        <v>25.545356772977598</v>
      </c>
      <c r="AI5122">
        <v>92.232504035350402</v>
      </c>
      <c r="AJ5122">
        <v>70.212183201801693</v>
      </c>
      <c r="AK5122">
        <v>27.1690159601741</v>
      </c>
      <c r="AL5122">
        <v>79.527994349400004</v>
      </c>
      <c r="AM5122">
        <v>73.660487648087894</v>
      </c>
      <c r="AN5122">
        <v>1.00000004547445</v>
      </c>
    </row>
    <row r="5123" spans="1:40" x14ac:dyDescent="0.25">
      <c r="A5123" t="str">
        <f>"20190312172808535"</f>
        <v>20190312172808535</v>
      </c>
      <c r="B5123" t="str">
        <f>"1552382888524797"</f>
        <v>1552382888524797</v>
      </c>
      <c r="C5123" t="s">
        <v>40</v>
      </c>
      <c r="D5123">
        <v>3.4907270000000001</v>
      </c>
      <c r="E5123">
        <v>0.52318169999999997</v>
      </c>
      <c r="F5123" t="s">
        <v>41</v>
      </c>
      <c r="G5123">
        <v>-302.67360000000002</v>
      </c>
      <c r="H5123" s="1">
        <v>-1.867664E-6</v>
      </c>
      <c r="I5123">
        <v>-27.71556</v>
      </c>
      <c r="J5123">
        <v>-302.72039999999998</v>
      </c>
      <c r="K5123">
        <v>1.0575639999999999</v>
      </c>
      <c r="L5123">
        <v>0.88690190000000002</v>
      </c>
      <c r="M5123">
        <v>0.33765060000000002</v>
      </c>
      <c r="N5123">
        <v>0</v>
      </c>
      <c r="O5123">
        <v>-0.94119629999999999</v>
      </c>
      <c r="P5123">
        <v>6.2929840000000001E-2</v>
      </c>
      <c r="Q5123">
        <v>0.17327529999999999</v>
      </c>
      <c r="R5123">
        <v>-0.98286110000000004</v>
      </c>
      <c r="S5123">
        <v>8.8500980000000007E-3</v>
      </c>
      <c r="T5123">
        <v>-0.11317679999999999</v>
      </c>
      <c r="U5123">
        <v>-3.070862</v>
      </c>
      <c r="V5123">
        <v>0.27440209999999998</v>
      </c>
      <c r="W5123">
        <v>0.1819141</v>
      </c>
      <c r="X5123">
        <v>0.94425139999999996</v>
      </c>
      <c r="Y5123">
        <v>0.33495520000000001</v>
      </c>
      <c r="Z5123">
        <v>3.2522559999999999E-2</v>
      </c>
      <c r="AA5123">
        <v>0.94167259999999997</v>
      </c>
      <c r="AB5123">
        <v>12</v>
      </c>
      <c r="AC5123">
        <v>4.67999999999619E-2</v>
      </c>
      <c r="AD5123">
        <v>-1.0575658676639901</v>
      </c>
      <c r="AE5123">
        <v>-28.602461900000002</v>
      </c>
      <c r="AF5123">
        <v>9.6011452118318008</v>
      </c>
      <c r="AG5123">
        <v>-1.0575658676639901</v>
      </c>
      <c r="AH5123">
        <v>26.901463069437</v>
      </c>
      <c r="AI5123">
        <v>92.120415908270601</v>
      </c>
      <c r="AJ5123">
        <v>70.358492880972904</v>
      </c>
      <c r="AK5123">
        <v>28.583022062395901</v>
      </c>
      <c r="AL5123">
        <v>79.518729172922903</v>
      </c>
      <c r="AM5123">
        <v>73.795987576928695</v>
      </c>
      <c r="AN5123">
        <v>0.999999979332589</v>
      </c>
    </row>
    <row r="5124" spans="1:40" x14ac:dyDescent="0.25">
      <c r="A5124" t="str">
        <f>"20190312172808573"</f>
        <v>20190312172808573</v>
      </c>
      <c r="B5124" t="str">
        <f>"1552382888564813"</f>
        <v>1552382888564813</v>
      </c>
      <c r="C5124" t="s">
        <v>40</v>
      </c>
      <c r="D5124">
        <v>3.480067</v>
      </c>
      <c r="E5124">
        <v>0.52292539999999998</v>
      </c>
      <c r="F5124" t="s">
        <v>41</v>
      </c>
      <c r="G5124">
        <v>-302.69799999999998</v>
      </c>
      <c r="H5124" s="1">
        <v>-1.249553E-6</v>
      </c>
      <c r="I5124">
        <v>-29.171510000000001</v>
      </c>
      <c r="J5124">
        <v>-302.6601</v>
      </c>
      <c r="K5124">
        <v>1.0570079999999999</v>
      </c>
      <c r="L5124">
        <v>0.68792719999999996</v>
      </c>
      <c r="M5124">
        <v>0.33148139999999998</v>
      </c>
      <c r="N5124">
        <v>0</v>
      </c>
      <c r="O5124">
        <v>-0.94340820000000003</v>
      </c>
      <c r="P5124">
        <v>6.1967250000000001E-2</v>
      </c>
      <c r="Q5124">
        <v>0.1755756</v>
      </c>
      <c r="R5124">
        <v>-0.98251390000000005</v>
      </c>
      <c r="S5124">
        <v>2.2888180000000002E-3</v>
      </c>
      <c r="T5124">
        <v>-0.108057</v>
      </c>
      <c r="U5124">
        <v>-3.0712280000000001</v>
      </c>
      <c r="V5124">
        <v>0.26967089999999999</v>
      </c>
      <c r="W5124">
        <v>0.1815399</v>
      </c>
      <c r="X5124">
        <v>0.94568540000000001</v>
      </c>
      <c r="Y5124">
        <v>0.33078940000000001</v>
      </c>
      <c r="Z5124">
        <v>3.1190590000000001E-2</v>
      </c>
      <c r="AA5124">
        <v>0.94318900000000006</v>
      </c>
      <c r="AB5124">
        <v>12</v>
      </c>
      <c r="AC5124">
        <v>-3.7899999999979103E-2</v>
      </c>
      <c r="AD5124">
        <v>-1.0570092495529999</v>
      </c>
      <c r="AE5124">
        <v>-29.859437199999999</v>
      </c>
      <c r="AF5124">
        <v>9.9216720748065708</v>
      </c>
      <c r="AG5124">
        <v>-1.0570092495529999</v>
      </c>
      <c r="AH5124">
        <v>28.123255602094702</v>
      </c>
      <c r="AI5124">
        <v>92.029932383959604</v>
      </c>
      <c r="AJ5124">
        <v>70.567543325617507</v>
      </c>
      <c r="AK5124">
        <v>29.8408168617146</v>
      </c>
      <c r="AL5124">
        <v>79.540532544598605</v>
      </c>
      <c r="AM5124">
        <v>74.084011728358902</v>
      </c>
      <c r="AN5124">
        <v>1.0000000026859801</v>
      </c>
    </row>
    <row r="5125" spans="1:40" x14ac:dyDescent="0.25">
      <c r="A5125" t="str">
        <f>"20190312172808616"</f>
        <v>20190312172808616</v>
      </c>
      <c r="B5125" t="str">
        <f>"1552382888604828"</f>
        <v>1552382888604828</v>
      </c>
      <c r="C5125" t="s">
        <v>40</v>
      </c>
      <c r="D5125">
        <v>3.4870589999999901</v>
      </c>
      <c r="E5125">
        <v>0.52259979999999995</v>
      </c>
      <c r="F5125" t="s">
        <v>41</v>
      </c>
      <c r="G5125">
        <v>-302.67610000000002</v>
      </c>
      <c r="H5125" s="1">
        <v>-4.4303270000000003E-6</v>
      </c>
      <c r="I5125">
        <v>-31.389379999999999</v>
      </c>
      <c r="J5125">
        <v>-302.5933</v>
      </c>
      <c r="K5125">
        <v>1.0589630000000001</v>
      </c>
      <c r="L5125">
        <v>0.45913700000000002</v>
      </c>
      <c r="M5125">
        <v>0.32563890000000001</v>
      </c>
      <c r="N5125">
        <v>0</v>
      </c>
      <c r="O5125">
        <v>-0.94545270000000003</v>
      </c>
      <c r="P5125">
        <v>6.0791320000000003E-2</v>
      </c>
      <c r="Q5125">
        <v>0.1780484</v>
      </c>
      <c r="R5125">
        <v>-0.98214259999999998</v>
      </c>
      <c r="S5125">
        <v>-1.525879E-3</v>
      </c>
      <c r="T5125">
        <v>-0.10121429999999999</v>
      </c>
      <c r="U5125">
        <v>-3.071564</v>
      </c>
      <c r="V5125">
        <v>0.26483040000000002</v>
      </c>
      <c r="W5125">
        <v>0.18293380000000001</v>
      </c>
      <c r="X5125">
        <v>0.94678410000000002</v>
      </c>
      <c r="Y5125">
        <v>0.32611610000000002</v>
      </c>
      <c r="Z5125">
        <v>2.9341430000000002E-2</v>
      </c>
      <c r="AA5125">
        <v>0.9448742</v>
      </c>
      <c r="AB5125">
        <v>12</v>
      </c>
      <c r="AC5125">
        <v>-8.2800000000020094E-2</v>
      </c>
      <c r="AD5125">
        <v>-1.05896743032699</v>
      </c>
      <c r="AE5125">
        <v>-31.848517000000001</v>
      </c>
      <c r="AF5125">
        <v>10.4382695094958</v>
      </c>
      <c r="AG5125">
        <v>-1.05896743032699</v>
      </c>
      <c r="AH5125">
        <v>30.0522596563417</v>
      </c>
      <c r="AI5125">
        <v>91.906488124743106</v>
      </c>
      <c r="AJ5125">
        <v>70.845980756362906</v>
      </c>
      <c r="AK5125">
        <v>31.831072756405</v>
      </c>
      <c r="AL5125">
        <v>79.459308041850306</v>
      </c>
      <c r="AM5125">
        <v>74.372858343545602</v>
      </c>
      <c r="AN5125">
        <v>1.0000000239797</v>
      </c>
    </row>
    <row r="5126" spans="1:40" x14ac:dyDescent="0.25">
      <c r="A5126" t="str">
        <f>"20190312172808642"</f>
        <v>20190312172808642</v>
      </c>
      <c r="B5126" t="str">
        <f>"1552382888635084"</f>
        <v>1552382888635084</v>
      </c>
      <c r="C5126" t="s">
        <v>40</v>
      </c>
      <c r="D5126">
        <v>3.478418</v>
      </c>
      <c r="E5126">
        <v>0.52238679999999904</v>
      </c>
      <c r="F5126" t="s">
        <v>41</v>
      </c>
      <c r="G5126">
        <v>-302.62459999999999</v>
      </c>
      <c r="H5126" s="1">
        <v>-3.5541680000000002E-6</v>
      </c>
      <c r="I5126">
        <v>-33.75385</v>
      </c>
      <c r="J5126">
        <v>-302.55250000000001</v>
      </c>
      <c r="K5126">
        <v>1.061248</v>
      </c>
      <c r="L5126">
        <v>0.3175964</v>
      </c>
      <c r="M5126">
        <v>0.32007099999999999</v>
      </c>
      <c r="N5126">
        <v>0</v>
      </c>
      <c r="O5126">
        <v>-0.94736489999999995</v>
      </c>
      <c r="P5126">
        <v>5.7324890000000003E-2</v>
      </c>
      <c r="Q5126">
        <v>0.17987510000000001</v>
      </c>
      <c r="R5126">
        <v>-0.9820179</v>
      </c>
      <c r="S5126">
        <v>-2.8076170000000001E-3</v>
      </c>
      <c r="T5126">
        <v>-9.5083829999999994E-2</v>
      </c>
      <c r="U5126">
        <v>-3.0719599999999998</v>
      </c>
      <c r="V5126">
        <v>0.26211089999999998</v>
      </c>
      <c r="W5126">
        <v>0.1839229</v>
      </c>
      <c r="X5126">
        <v>0.94734910000000006</v>
      </c>
      <c r="Y5126">
        <v>0.32094089999999997</v>
      </c>
      <c r="Z5126">
        <v>2.7677899999999998E-2</v>
      </c>
      <c r="AA5126">
        <v>0.9466947</v>
      </c>
      <c r="AB5126">
        <v>12</v>
      </c>
      <c r="AC5126">
        <v>-7.2099999999977599E-2</v>
      </c>
      <c r="AD5126">
        <v>-1.0612515541680001</v>
      </c>
      <c r="AE5126">
        <v>-34.071446399999999</v>
      </c>
      <c r="AF5126">
        <v>10.9632485259457</v>
      </c>
      <c r="AG5126">
        <v>-1.0612515541680001</v>
      </c>
      <c r="AH5126">
        <v>32.224627290601603</v>
      </c>
      <c r="AI5126">
        <v>91.785788030405897</v>
      </c>
      <c r="AJ5126">
        <v>71.211009912971093</v>
      </c>
      <c r="AK5126">
        <v>34.055038938768803</v>
      </c>
      <c r="AL5126">
        <v>79.401658793916397</v>
      </c>
      <c r="AM5126">
        <v>74.534390601308004</v>
      </c>
      <c r="AN5126">
        <v>1.0000000371570099</v>
      </c>
    </row>
    <row r="5127" spans="1:40" x14ac:dyDescent="0.25">
      <c r="A5127" t="str">
        <f>"20190312172808665"</f>
        <v>20190312172808665</v>
      </c>
      <c r="B5127" t="str">
        <f>"1552382888654605"</f>
        <v>1552382888654605</v>
      </c>
      <c r="C5127" t="s">
        <v>40</v>
      </c>
      <c r="D5127">
        <v>3.4871660000000002</v>
      </c>
      <c r="E5127">
        <v>0.52232299999999998</v>
      </c>
      <c r="F5127" t="s">
        <v>41</v>
      </c>
      <c r="G5127">
        <v>-302.66930000000002</v>
      </c>
      <c r="H5127" s="1">
        <v>-2.8600499999999998E-6</v>
      </c>
      <c r="I5127">
        <v>-35.399569999999997</v>
      </c>
      <c r="J5127">
        <v>-302.5172</v>
      </c>
      <c r="K5127">
        <v>1.063253</v>
      </c>
      <c r="L5127">
        <v>0.19381709999999999</v>
      </c>
      <c r="M5127">
        <v>0.31384400000000001</v>
      </c>
      <c r="N5127">
        <v>0</v>
      </c>
      <c r="O5127">
        <v>-0.94945789999999997</v>
      </c>
      <c r="P5127">
        <v>5.3824280000000002E-2</v>
      </c>
      <c r="Q5127">
        <v>0.18211459999999999</v>
      </c>
      <c r="R5127">
        <v>-0.98180319999999999</v>
      </c>
      <c r="S5127">
        <v>-1.004028E-2</v>
      </c>
      <c r="T5127">
        <v>-9.1284160000000003E-2</v>
      </c>
      <c r="U5127">
        <v>-3.072235</v>
      </c>
      <c r="V5127">
        <v>0.25881279999999901</v>
      </c>
      <c r="W5127">
        <v>0.18499099999999999</v>
      </c>
      <c r="X5127">
        <v>0.94804759999999999</v>
      </c>
      <c r="Y5127">
        <v>0.31694529999999999</v>
      </c>
      <c r="Z5127">
        <v>2.6682830000000001E-2</v>
      </c>
      <c r="AA5127">
        <v>0.94806840000000003</v>
      </c>
      <c r="AB5127">
        <v>12</v>
      </c>
      <c r="AC5127">
        <v>-0.152100000000018</v>
      </c>
      <c r="AD5127">
        <v>-1.0632558600499999</v>
      </c>
      <c r="AE5127">
        <v>-35.593387100000001</v>
      </c>
      <c r="AF5127">
        <v>11.305274419827599</v>
      </c>
      <c r="AG5127">
        <v>-1.0632558600499999</v>
      </c>
      <c r="AH5127">
        <v>33.717133726115399</v>
      </c>
      <c r="AI5127">
        <v>91.712557409156702</v>
      </c>
      <c r="AJ5127">
        <v>71.463820549467101</v>
      </c>
      <c r="AK5127">
        <v>35.577870220634097</v>
      </c>
      <c r="AL5127">
        <v>79.339392253297603</v>
      </c>
      <c r="AM5127">
        <v>74.730573922428505</v>
      </c>
      <c r="AN5127">
        <v>0.99999999369530002</v>
      </c>
    </row>
    <row r="5128" spans="1:40" x14ac:dyDescent="0.25">
      <c r="A5128" t="str">
        <f>"20190312172808688"</f>
        <v>20190312172808688</v>
      </c>
      <c r="B5128" t="str">
        <f>"1552382888684861"</f>
        <v>1552382888684861</v>
      </c>
      <c r="C5128" t="s">
        <v>40</v>
      </c>
      <c r="D5128">
        <v>3.6884540000000001</v>
      </c>
      <c r="E5128">
        <v>0.52216770000000001</v>
      </c>
      <c r="F5128" t="s">
        <v>41</v>
      </c>
      <c r="G5128">
        <v>-302.74970000000002</v>
      </c>
      <c r="H5128" s="1">
        <v>-1.739193E-6</v>
      </c>
      <c r="I5128">
        <v>-38.06223</v>
      </c>
      <c r="J5128">
        <v>-302.48169999999999</v>
      </c>
      <c r="K5128">
        <v>1.065069</v>
      </c>
      <c r="L5128">
        <v>6.6619869999999998E-2</v>
      </c>
      <c r="M5128">
        <v>0.30716310000000002</v>
      </c>
      <c r="N5128">
        <v>0</v>
      </c>
      <c r="O5128">
        <v>-0.95164939999999998</v>
      </c>
      <c r="P5128">
        <v>5.0544470000000001E-2</v>
      </c>
      <c r="Q5128">
        <v>0.18426300000000001</v>
      </c>
      <c r="R5128">
        <v>-0.98157689999999997</v>
      </c>
      <c r="S5128">
        <v>-1.8676760000000001E-2</v>
      </c>
      <c r="T5128">
        <v>-8.5393789999999997E-2</v>
      </c>
      <c r="U5128">
        <v>-3.072479</v>
      </c>
      <c r="V5128">
        <v>0.25501309999999999</v>
      </c>
      <c r="W5128">
        <v>0.18575140000000001</v>
      </c>
      <c r="X5128">
        <v>0.9489282</v>
      </c>
      <c r="Y5128">
        <v>0.31293929999999998</v>
      </c>
      <c r="Z5128">
        <v>2.5069399999999999E-2</v>
      </c>
      <c r="AA5128">
        <v>0.94944220000000001</v>
      </c>
      <c r="AB5128">
        <v>12</v>
      </c>
      <c r="AC5128">
        <v>-0.26800000000002899</v>
      </c>
      <c r="AD5128">
        <v>-1.0650707391930001</v>
      </c>
      <c r="AE5128">
        <v>-38.128849870000003</v>
      </c>
      <c r="AF5128">
        <v>11.957573252771599</v>
      </c>
      <c r="AG5128">
        <v>-1.0650707391930001</v>
      </c>
      <c r="AH5128">
        <v>36.1750101513435</v>
      </c>
      <c r="AI5128">
        <v>91.601261586449297</v>
      </c>
      <c r="AJ5128">
        <v>71.708805767630807</v>
      </c>
      <c r="AK5128">
        <v>38.114948422170102</v>
      </c>
      <c r="AL5128">
        <v>79.295056160518499</v>
      </c>
      <c r="AM5128">
        <v>74.957838610832198</v>
      </c>
      <c r="AN5128">
        <v>0.99999999626440506</v>
      </c>
    </row>
    <row r="5129" spans="1:40" x14ac:dyDescent="0.25">
      <c r="A5129" t="str">
        <f>"20190312172808728"</f>
        <v>20190312172808728</v>
      </c>
      <c r="B5129" t="str">
        <f>"1552382888724877"</f>
        <v>1552382888724877</v>
      </c>
      <c r="C5129" t="s">
        <v>40</v>
      </c>
      <c r="D5129">
        <v>3.455892</v>
      </c>
      <c r="E5129">
        <v>0.52198140000000004</v>
      </c>
      <c r="F5129" t="s">
        <v>52</v>
      </c>
      <c r="G5129">
        <v>-302.83199999999999</v>
      </c>
      <c r="H5129" s="1">
        <v>-8.5045019999999897E-7</v>
      </c>
      <c r="I5129">
        <v>-40.612160000000003</v>
      </c>
      <c r="J5129">
        <v>-302.42399999999998</v>
      </c>
      <c r="K5129">
        <v>1.067758</v>
      </c>
      <c r="L5129">
        <v>-0.15164179999999999</v>
      </c>
      <c r="M5129">
        <v>0.29652770000000001</v>
      </c>
      <c r="N5129">
        <v>0</v>
      </c>
      <c r="O5129">
        <v>-0.95502350000000003</v>
      </c>
      <c r="P5129">
        <v>4.6629839999999999E-2</v>
      </c>
      <c r="Q5129">
        <v>0.18804480000000001</v>
      </c>
      <c r="R5129">
        <v>-0.98105319999999996</v>
      </c>
      <c r="S5129">
        <v>-2.6458740000000001E-2</v>
      </c>
      <c r="T5129">
        <v>-8.0453040000000003E-2</v>
      </c>
      <c r="U5129">
        <v>-3.072784</v>
      </c>
      <c r="V5129">
        <v>0.247945</v>
      </c>
      <c r="W5129">
        <v>0.1872829</v>
      </c>
      <c r="X5129">
        <v>0.95049910000000004</v>
      </c>
      <c r="Y5129">
        <v>0.30473499999999998</v>
      </c>
      <c r="Z5129">
        <v>2.3784260000000002E-2</v>
      </c>
      <c r="AA5129">
        <v>0.95214019999999999</v>
      </c>
      <c r="AB5129">
        <v>13</v>
      </c>
      <c r="AC5129">
        <v>-0.40799999999995801</v>
      </c>
      <c r="AD5129">
        <v>-1.0677588504502</v>
      </c>
      <c r="AE5129">
        <v>-40.460518200000003</v>
      </c>
      <c r="AF5129">
        <v>12.3787027518753</v>
      </c>
      <c r="AG5129">
        <v>-1.0677588504502</v>
      </c>
      <c r="AH5129">
        <v>38.492984774725599</v>
      </c>
      <c r="AI5129">
        <v>91.512668266959906</v>
      </c>
      <c r="AJ5129">
        <v>72.173074046244906</v>
      </c>
      <c r="AK5129">
        <v>40.448513787891599</v>
      </c>
      <c r="AL5129">
        <v>79.205741165741003</v>
      </c>
      <c r="AM5129">
        <v>75.379763036048303</v>
      </c>
      <c r="AN5129">
        <v>1.0000000733790999</v>
      </c>
    </row>
    <row r="5130" spans="1:40" x14ac:dyDescent="0.25">
      <c r="A5130" t="str">
        <f>"20190312172808756"</f>
        <v>20190312172808756</v>
      </c>
      <c r="B5130" t="str">
        <f>"1552382888744397"</f>
        <v>1552382888744397</v>
      </c>
      <c r="C5130" t="s">
        <v>40</v>
      </c>
      <c r="D5130">
        <v>3.4474770000000001</v>
      </c>
      <c r="E5130">
        <v>0.52189679999999905</v>
      </c>
      <c r="F5130" t="s">
        <v>52</v>
      </c>
      <c r="G5130">
        <v>-302.97899999999998</v>
      </c>
      <c r="H5130" s="1">
        <v>-3.7723639999999999E-6</v>
      </c>
      <c r="I5130">
        <v>-45.888170000000002</v>
      </c>
      <c r="J5130">
        <v>-302.38659999999999</v>
      </c>
      <c r="K5130">
        <v>1.069485</v>
      </c>
      <c r="L5130">
        <v>-0.30227659999999901</v>
      </c>
      <c r="M5130">
        <v>0.28978340000000002</v>
      </c>
      <c r="N5130">
        <v>0</v>
      </c>
      <c r="O5130">
        <v>-0.95709219999999895</v>
      </c>
      <c r="P5130">
        <v>4.2738110000000003E-2</v>
      </c>
      <c r="Q5130">
        <v>0.1893553</v>
      </c>
      <c r="R5130">
        <v>-0.98097820000000002</v>
      </c>
      <c r="S5130">
        <v>-3.7292480000000003E-2</v>
      </c>
      <c r="T5130">
        <v>-7.1752670000000005E-2</v>
      </c>
      <c r="U5130">
        <v>-3.0734560000000002</v>
      </c>
      <c r="V5130">
        <v>0.2448958</v>
      </c>
      <c r="W5130">
        <v>0.18718209999999999</v>
      </c>
      <c r="X5130">
        <v>0.95130899999999996</v>
      </c>
      <c r="Y5130">
        <v>0.30136970000000002</v>
      </c>
      <c r="Z5130">
        <v>2.1293280000000001E-2</v>
      </c>
      <c r="AA5130">
        <v>0.95326960000000005</v>
      </c>
      <c r="AB5130">
        <v>13</v>
      </c>
      <c r="AC5130">
        <v>-0.59240000000005399</v>
      </c>
      <c r="AD5130">
        <v>-1.0694887723639901</v>
      </c>
      <c r="AE5130">
        <v>-45.585893400000003</v>
      </c>
      <c r="AF5130">
        <v>13.769439653526</v>
      </c>
      <c r="AG5130">
        <v>-1.0694887723639901</v>
      </c>
      <c r="AH5130">
        <v>43.4343345868432</v>
      </c>
      <c r="AI5130">
        <v>91.344593241891801</v>
      </c>
      <c r="AJ5130">
        <v>72.410479206679696</v>
      </c>
      <c r="AK5130">
        <v>45.577216847983998</v>
      </c>
      <c r="AL5130">
        <v>79.211619232885596</v>
      </c>
      <c r="AM5130">
        <v>75.563777940507705</v>
      </c>
      <c r="AN5130">
        <v>0.999999952449523</v>
      </c>
    </row>
    <row r="5131" spans="1:40" x14ac:dyDescent="0.25">
      <c r="A5131" t="str">
        <f>"20190312172808795"</f>
        <v>20190312172808795</v>
      </c>
      <c r="B5131" t="str">
        <f>"1552382888784413"</f>
        <v>1552382888784413</v>
      </c>
      <c r="C5131" t="s">
        <v>40</v>
      </c>
      <c r="D5131">
        <v>3.4195259999999998</v>
      </c>
      <c r="E5131">
        <v>0.51789200000000002</v>
      </c>
      <c r="F5131" t="s">
        <v>52</v>
      </c>
      <c r="G5131">
        <v>-303.1463</v>
      </c>
      <c r="H5131" s="1">
        <v>-4.5901320000000004E-6</v>
      </c>
      <c r="I5131">
        <v>-47.794699999999999</v>
      </c>
      <c r="J5131">
        <v>-302.33370000000002</v>
      </c>
      <c r="K5131">
        <v>1.0720459999999901</v>
      </c>
      <c r="L5131">
        <v>-0.52435299999999996</v>
      </c>
      <c r="M5131">
        <v>0.28007500000000002</v>
      </c>
      <c r="N5131">
        <v>0</v>
      </c>
      <c r="O5131">
        <v>-0.95997549999999998</v>
      </c>
      <c r="P5131">
        <v>3.9330450000000003E-2</v>
      </c>
      <c r="Q5131">
        <v>0.19072700000000001</v>
      </c>
      <c r="R5131">
        <v>-0.98085509999999998</v>
      </c>
      <c r="S5131">
        <v>-4.9163819999999997E-2</v>
      </c>
      <c r="T5131">
        <v>-6.9216490000000006E-2</v>
      </c>
      <c r="U5131">
        <v>-3.0736690000000002</v>
      </c>
      <c r="V5131">
        <v>0.23830019999999999</v>
      </c>
      <c r="W5131">
        <v>0.18686359999999999</v>
      </c>
      <c r="X5131">
        <v>0.95304509999999998</v>
      </c>
      <c r="Y5131">
        <v>0.29538779999999998</v>
      </c>
      <c r="Z5131">
        <v>2.065736E-2</v>
      </c>
      <c r="AA5131">
        <v>0.95515410000000001</v>
      </c>
      <c r="AB5131">
        <v>13</v>
      </c>
      <c r="AC5131">
        <v>-0.81259999999997401</v>
      </c>
      <c r="AD5131">
        <v>-1.0720505901320001</v>
      </c>
      <c r="AE5131">
        <v>-47.270346999999902</v>
      </c>
      <c r="AF5131">
        <v>14.012148888530101</v>
      </c>
      <c r="AG5131">
        <v>-1.0720505901320001</v>
      </c>
      <c r="AH5131">
        <v>45.1276954264683</v>
      </c>
      <c r="AI5131">
        <v>91.299671867165301</v>
      </c>
      <c r="AJ5131">
        <v>72.750431932160097</v>
      </c>
      <c r="AK5131">
        <v>47.265193360931299</v>
      </c>
      <c r="AL5131">
        <v>79.230195973024905</v>
      </c>
      <c r="AM5131">
        <v>75.961554089018804</v>
      </c>
      <c r="AN5131">
        <v>0.999999976479504</v>
      </c>
    </row>
    <row r="5132" spans="1:40" x14ac:dyDescent="0.25">
      <c r="A5132" t="str">
        <f>"20190312172808822"</f>
        <v>20190312172808822</v>
      </c>
      <c r="B5132" t="str">
        <f>"1552382888814668"</f>
        <v>1552382888814668</v>
      </c>
      <c r="C5132" t="s">
        <v>40</v>
      </c>
      <c r="D5132">
        <v>3.6213510000000002</v>
      </c>
      <c r="E5132">
        <v>0.5174974</v>
      </c>
      <c r="F5132" t="s">
        <v>41</v>
      </c>
      <c r="G5132">
        <v>-302.58909999999997</v>
      </c>
      <c r="H5132" s="1">
        <v>-1.8461790000000001E-6</v>
      </c>
      <c r="I5132">
        <v>-27.71321</v>
      </c>
      <c r="J5132">
        <v>-302.29820000000001</v>
      </c>
      <c r="K5132">
        <v>1.073733</v>
      </c>
      <c r="L5132">
        <v>-0.67773439999999996</v>
      </c>
      <c r="M5132">
        <v>0.27349879999999999</v>
      </c>
      <c r="N5132">
        <v>0</v>
      </c>
      <c r="O5132">
        <v>-0.9618662</v>
      </c>
      <c r="P5132">
        <v>3.6427069999999999E-2</v>
      </c>
      <c r="Q5132">
        <v>0.19141449999999999</v>
      </c>
      <c r="R5132">
        <v>-0.98083339999999997</v>
      </c>
      <c r="S5132">
        <v>-2.896118E-2</v>
      </c>
      <c r="T5132">
        <v>-0.12157519999999999</v>
      </c>
      <c r="U5132">
        <v>-3.0833439999999999</v>
      </c>
      <c r="V5132">
        <v>0.2343857</v>
      </c>
      <c r="W5132">
        <v>0.18667110000000001</v>
      </c>
      <c r="X5132">
        <v>0.95405300000000004</v>
      </c>
      <c r="Y5132">
        <v>0.28251179999999998</v>
      </c>
      <c r="Z5132">
        <v>3.6342039999999999E-2</v>
      </c>
      <c r="AA5132">
        <v>0.95857519999999996</v>
      </c>
      <c r="AB5132">
        <v>13</v>
      </c>
      <c r="AC5132">
        <v>-0.29089999999996502</v>
      </c>
      <c r="AD5132">
        <v>-1.0737348461789999</v>
      </c>
      <c r="AE5132">
        <v>-27.035475600000002</v>
      </c>
      <c r="AF5132">
        <v>7.6619382605208903</v>
      </c>
      <c r="AG5132">
        <v>-1.0737348461789999</v>
      </c>
      <c r="AH5132">
        <v>25.884278940824299</v>
      </c>
      <c r="AI5132">
        <v>92.277802462875499</v>
      </c>
      <c r="AJ5132">
        <v>73.510856155706406</v>
      </c>
      <c r="AK5132">
        <v>27.015812049878001</v>
      </c>
      <c r="AL5132">
        <v>79.241422576800602</v>
      </c>
      <c r="AM5132">
        <v>76.197292323670297</v>
      </c>
      <c r="AN5132">
        <v>0.999999941374348</v>
      </c>
    </row>
    <row r="5133" spans="1:40" x14ac:dyDescent="0.25">
      <c r="A5133" t="str">
        <f>"20190312172808862"</f>
        <v>20190312172808862</v>
      </c>
      <c r="B5133" t="str">
        <f>"1552382888854687"</f>
        <v>1552382888854687</v>
      </c>
      <c r="C5133" t="s">
        <v>40</v>
      </c>
      <c r="D5133">
        <v>3.3958819999999998</v>
      </c>
      <c r="E5133">
        <v>0.51758530000000003</v>
      </c>
      <c r="F5133" t="s">
        <v>41</v>
      </c>
      <c r="G5133">
        <v>-302.62</v>
      </c>
      <c r="H5133" s="1">
        <v>-9.8222669999999997E-7</v>
      </c>
      <c r="I5133">
        <v>-29.746300000000002</v>
      </c>
      <c r="J5133">
        <v>-302.24799999999999</v>
      </c>
      <c r="K5133">
        <v>1.07577099999999</v>
      </c>
      <c r="L5133">
        <v>-0.90054319999999899</v>
      </c>
      <c r="M5133">
        <v>0.26416279999999998</v>
      </c>
      <c r="N5133">
        <v>0</v>
      </c>
      <c r="O5133">
        <v>-0.96446589999999999</v>
      </c>
      <c r="P5133">
        <v>3.4514110000000001E-2</v>
      </c>
      <c r="Q5133">
        <v>0.19321859999999999</v>
      </c>
      <c r="R5133">
        <v>-0.98054870000000005</v>
      </c>
      <c r="S5133">
        <v>-3.411865E-2</v>
      </c>
      <c r="T5133">
        <v>-0.1138474</v>
      </c>
      <c r="U5133">
        <v>-3.0821230000000002</v>
      </c>
      <c r="V5133">
        <v>0.22669529999999999</v>
      </c>
      <c r="W5133">
        <v>0.18741640000000001</v>
      </c>
      <c r="X5133">
        <v>0.95576380000000005</v>
      </c>
      <c r="Y5133">
        <v>0.27481549999999999</v>
      </c>
      <c r="Z5133">
        <v>3.4233720000000002E-2</v>
      </c>
      <c r="AA5133">
        <v>0.96088739999999995</v>
      </c>
      <c r="AB5133">
        <v>13</v>
      </c>
      <c r="AC5133">
        <v>-0.37200000000001399</v>
      </c>
      <c r="AD5133">
        <v>-1.07577198222669</v>
      </c>
      <c r="AE5133">
        <v>-28.8457568</v>
      </c>
      <c r="AF5133">
        <v>7.9677710851768397</v>
      </c>
      <c r="AG5133">
        <v>-1.07577198222669</v>
      </c>
      <c r="AH5133">
        <v>27.684308581469701</v>
      </c>
      <c r="AI5133">
        <v>92.138585298043793</v>
      </c>
      <c r="AJ5133">
        <v>73.9437475041196</v>
      </c>
      <c r="AK5133">
        <v>28.828173772501799</v>
      </c>
      <c r="AL5133">
        <v>79.197954084969496</v>
      </c>
      <c r="AM5133">
        <v>76.656727470293106</v>
      </c>
      <c r="AN5133">
        <v>1.0000000537107401</v>
      </c>
    </row>
    <row r="5134" spans="1:40" x14ac:dyDescent="0.25">
      <c r="A5134" t="str">
        <f>"20190312172808890"</f>
        <v>20190312172808890</v>
      </c>
      <c r="B5134" t="str">
        <f>"1552382888884941"</f>
        <v>1552382888884941</v>
      </c>
      <c r="C5134" t="s">
        <v>40</v>
      </c>
      <c r="D5134">
        <v>3.416703</v>
      </c>
      <c r="E5134">
        <v>0.51764699999999997</v>
      </c>
      <c r="F5134" t="s">
        <v>41</v>
      </c>
      <c r="G5134">
        <v>-302.62920000000003</v>
      </c>
      <c r="H5134" s="1">
        <v>-4.554786E-6</v>
      </c>
      <c r="I5134">
        <v>-30.999199999999998</v>
      </c>
      <c r="J5134">
        <v>-302.2131</v>
      </c>
      <c r="K5134">
        <v>1.076886</v>
      </c>
      <c r="L5134">
        <v>-1.0593570000000001</v>
      </c>
      <c r="M5134">
        <v>0.25761040000000002</v>
      </c>
      <c r="N5134">
        <v>0</v>
      </c>
      <c r="O5134">
        <v>-0.96623190000000003</v>
      </c>
      <c r="P5134">
        <v>3.0835729999999999E-2</v>
      </c>
      <c r="Q5134">
        <v>0.19448070000000001</v>
      </c>
      <c r="R5134">
        <v>-0.98042180000000001</v>
      </c>
      <c r="S5134">
        <v>-3.9031980000000001E-2</v>
      </c>
      <c r="T5134">
        <v>-0.1101776</v>
      </c>
      <c r="U5134">
        <v>-3.082611</v>
      </c>
      <c r="V5134">
        <v>0.22364290000000001</v>
      </c>
      <c r="W5134">
        <v>0.18797320000000001</v>
      </c>
      <c r="X5134">
        <v>0.95637329999999998</v>
      </c>
      <c r="Y5134">
        <v>0.26981729999999998</v>
      </c>
      <c r="Z5134">
        <v>3.3246119999999997E-2</v>
      </c>
      <c r="AA5134">
        <v>0.96233740000000001</v>
      </c>
      <c r="AB5134">
        <v>13</v>
      </c>
      <c r="AC5134">
        <v>-0.416100000000028</v>
      </c>
      <c r="AD5134">
        <v>-1.0768905547859999</v>
      </c>
      <c r="AE5134">
        <v>-29.939843</v>
      </c>
      <c r="AF5134">
        <v>8.1045140615583708</v>
      </c>
      <c r="AG5134">
        <v>-1.0768905547859999</v>
      </c>
      <c r="AH5134">
        <v>28.784879637467</v>
      </c>
      <c r="AI5134">
        <v>92.062417107657197</v>
      </c>
      <c r="AJ5134">
        <v>74.275192702375193</v>
      </c>
      <c r="AK5134">
        <v>29.923437923882499</v>
      </c>
      <c r="AL5134">
        <v>79.165473739891297</v>
      </c>
      <c r="AM5134">
        <v>76.838190377322206</v>
      </c>
      <c r="AN5134">
        <v>0.99999997979576905</v>
      </c>
    </row>
    <row r="5135" spans="1:40" x14ac:dyDescent="0.25">
      <c r="A5135" t="str">
        <f>"20190312172808929"</f>
        <v>20190312172808929</v>
      </c>
      <c r="B5135" t="str">
        <f>"1552382888924957"</f>
        <v>1552382888924957</v>
      </c>
      <c r="C5135" t="s">
        <v>40</v>
      </c>
      <c r="D5135">
        <v>3.408337</v>
      </c>
      <c r="E5135">
        <v>0.51770689999999997</v>
      </c>
      <c r="F5135" t="s">
        <v>41</v>
      </c>
      <c r="G5135">
        <v>-302.71550000000002</v>
      </c>
      <c r="H5135" s="1">
        <v>-4.4207919999999999E-6</v>
      </c>
      <c r="I5135">
        <v>-31.43798</v>
      </c>
      <c r="J5135">
        <v>-302.16500000000002</v>
      </c>
      <c r="K5135">
        <v>1.078147</v>
      </c>
      <c r="L5135">
        <v>-1.2841800000000001</v>
      </c>
      <c r="M5135">
        <v>0.2477414</v>
      </c>
      <c r="N5135">
        <v>0</v>
      </c>
      <c r="O5135">
        <v>-0.96880480000000002</v>
      </c>
      <c r="P5135">
        <v>2.5290429999999999E-2</v>
      </c>
      <c r="Q5135">
        <v>0.19500210000000001</v>
      </c>
      <c r="R5135">
        <v>-0.98047669999999998</v>
      </c>
      <c r="S5135">
        <v>-5.0994869999999998E-2</v>
      </c>
      <c r="T5135">
        <v>-0.1092958</v>
      </c>
      <c r="U5135">
        <v>-3.0831909999999998</v>
      </c>
      <c r="V5135">
        <v>0.21921070000000001</v>
      </c>
      <c r="W5135">
        <v>0.18789320000000001</v>
      </c>
      <c r="X5135">
        <v>0.95741469999999995</v>
      </c>
      <c r="Y5135">
        <v>0.26372230000000002</v>
      </c>
      <c r="Z5135">
        <v>3.3139870000000002E-2</v>
      </c>
      <c r="AA5135">
        <v>0.96402920000000003</v>
      </c>
      <c r="AB5135">
        <v>13</v>
      </c>
      <c r="AC5135">
        <v>-0.55049999999999899</v>
      </c>
      <c r="AD5135">
        <v>-1.078151420792</v>
      </c>
      <c r="AE5135">
        <v>-30.1538</v>
      </c>
      <c r="AF5135">
        <v>7.9936217390465902</v>
      </c>
      <c r="AG5135">
        <v>-1.078151420792</v>
      </c>
      <c r="AH5135">
        <v>29.040253860957002</v>
      </c>
      <c r="AI5135">
        <v>92.050016109127</v>
      </c>
      <c r="AJ5135">
        <v>74.609897460160198</v>
      </c>
      <c r="AK5135">
        <v>30.139620822132802</v>
      </c>
      <c r="AL5135">
        <v>79.170141289755705</v>
      </c>
      <c r="AM5135">
        <v>77.103783541364905</v>
      </c>
      <c r="AN5135">
        <v>1.0000000466884</v>
      </c>
    </row>
    <row r="5136" spans="1:40" x14ac:dyDescent="0.25">
      <c r="A5136" t="str">
        <f>"20190312172808954"</f>
        <v>20190312172808954</v>
      </c>
      <c r="B5136" t="str">
        <f>"1552382888944477"</f>
        <v>1552382888944477</v>
      </c>
      <c r="C5136" t="s">
        <v>40</v>
      </c>
      <c r="D5136">
        <v>3.405904</v>
      </c>
      <c r="E5136">
        <v>0.51782609999999996</v>
      </c>
      <c r="F5136" t="s">
        <v>41</v>
      </c>
      <c r="G5136">
        <v>-302.84930000000003</v>
      </c>
      <c r="H5136" s="1">
        <v>-4.4573420000000004E-6</v>
      </c>
      <c r="I5136">
        <v>-31.400310000000001</v>
      </c>
      <c r="J5136">
        <v>-302.1343</v>
      </c>
      <c r="K5136">
        <v>1.078765</v>
      </c>
      <c r="L5136">
        <v>-1.42981</v>
      </c>
      <c r="M5136">
        <v>0.24055029999999999</v>
      </c>
      <c r="N5136">
        <v>0</v>
      </c>
      <c r="O5136">
        <v>-0.97061640000000005</v>
      </c>
      <c r="P5136">
        <v>2.0271890000000001E-2</v>
      </c>
      <c r="Q5136">
        <v>0.19487389999999999</v>
      </c>
      <c r="R5136">
        <v>-0.98061889999999996</v>
      </c>
      <c r="S5136">
        <v>-7.0068359999999996E-2</v>
      </c>
      <c r="T5136">
        <v>-0.1103885</v>
      </c>
      <c r="U5136">
        <v>-3.0834959999999998</v>
      </c>
      <c r="V5136">
        <v>0.21717600000000001</v>
      </c>
      <c r="W5136">
        <v>0.18774940000000001</v>
      </c>
      <c r="X5136">
        <v>0.95790640000000005</v>
      </c>
      <c r="Y5136">
        <v>0.26252769999999997</v>
      </c>
      <c r="Z5136">
        <v>3.3568090000000002E-2</v>
      </c>
      <c r="AA5136">
        <v>0.96434039999999999</v>
      </c>
      <c r="AB5136">
        <v>13</v>
      </c>
      <c r="AC5136">
        <v>-0.71500000000003106</v>
      </c>
      <c r="AD5136">
        <v>-1.0787694573419999</v>
      </c>
      <c r="AE5136">
        <v>-29.970500000000001</v>
      </c>
      <c r="AF5136">
        <v>7.8933382712141196</v>
      </c>
      <c r="AG5136">
        <v>-1.0787694573419999</v>
      </c>
      <c r="AH5136">
        <v>28.881037584517301</v>
      </c>
      <c r="AI5136">
        <v>92.063516227588394</v>
      </c>
      <c r="AJ5136">
        <v>74.714064495163299</v>
      </c>
      <c r="AK5136">
        <v>29.9596873242063</v>
      </c>
      <c r="AL5136">
        <v>79.1785287782062</v>
      </c>
      <c r="AM5136">
        <v>77.225881684259505</v>
      </c>
      <c r="AN5136">
        <v>0.99999996166865901</v>
      </c>
    </row>
    <row r="5137" spans="1:40" x14ac:dyDescent="0.25">
      <c r="A5137" t="str">
        <f>"20190312172808997"</f>
        <v>20190312172808997</v>
      </c>
      <c r="B5137" t="str">
        <f>"1552382888994253"</f>
        <v>1552382888994253</v>
      </c>
      <c r="C5137" t="s">
        <v>40</v>
      </c>
      <c r="D5137">
        <v>3.4024830000000001</v>
      </c>
      <c r="E5137">
        <v>0.51778380000000002</v>
      </c>
      <c r="F5137" t="s">
        <v>41</v>
      </c>
      <c r="G5137">
        <v>-302.98899999999998</v>
      </c>
      <c r="H5137" s="1">
        <v>-4.5269239999999996E-6</v>
      </c>
      <c r="I5137">
        <v>-31.26867</v>
      </c>
      <c r="J5137">
        <v>-302.08449999999999</v>
      </c>
      <c r="K5137">
        <v>1.0790580000000001</v>
      </c>
      <c r="L5137">
        <v>-1.674652</v>
      </c>
      <c r="M5137">
        <v>0.23104369999999999</v>
      </c>
      <c r="N5137">
        <v>0</v>
      </c>
      <c r="O5137">
        <v>-0.97292449999999997</v>
      </c>
      <c r="P5137">
        <v>1.695806E-2</v>
      </c>
      <c r="Q5137">
        <v>0.19484190000000001</v>
      </c>
      <c r="R5137">
        <v>-0.98068809999999995</v>
      </c>
      <c r="S5137">
        <v>-8.8317870000000007E-2</v>
      </c>
      <c r="T5137">
        <v>-0.1114705</v>
      </c>
      <c r="U5137">
        <v>-3.0832820000000001</v>
      </c>
      <c r="V5137">
        <v>0.2117906</v>
      </c>
      <c r="W5137">
        <v>0.18711469999999999</v>
      </c>
      <c r="X5137">
        <v>0.95923550000000002</v>
      </c>
      <c r="Y5137">
        <v>0.2587913</v>
      </c>
      <c r="Z5137">
        <v>3.4039460000000001E-2</v>
      </c>
      <c r="AA5137">
        <v>0.96533329999999995</v>
      </c>
      <c r="AB5137">
        <v>13</v>
      </c>
      <c r="AC5137">
        <v>-0.90450000000004105</v>
      </c>
      <c r="AD5137">
        <v>-1.079062526924</v>
      </c>
      <c r="AE5137">
        <v>-29.594017999999998</v>
      </c>
      <c r="AF5137">
        <v>7.7074259583166196</v>
      </c>
      <c r="AG5137">
        <v>-1.079062526924</v>
      </c>
      <c r="AH5137">
        <v>28.546374312709599</v>
      </c>
      <c r="AI5137">
        <v>92.090000282094095</v>
      </c>
      <c r="AJ5137">
        <v>74.890602796211994</v>
      </c>
      <c r="AK5137">
        <v>29.5882455924861</v>
      </c>
      <c r="AL5137">
        <v>79.215550474138198</v>
      </c>
      <c r="AM5137">
        <v>77.549357984693401</v>
      </c>
      <c r="AN5137">
        <v>0.99999995683234899</v>
      </c>
    </row>
    <row r="5138" spans="1:40" x14ac:dyDescent="0.25">
      <c r="A5138" t="str">
        <f>"20190312172809042"</f>
        <v>20190312172809042</v>
      </c>
      <c r="B5138" t="str">
        <f>"1552382889034269"</f>
        <v>1552382889034269</v>
      </c>
      <c r="C5138" t="s">
        <v>40</v>
      </c>
      <c r="D5138">
        <v>3.3854769999999998</v>
      </c>
      <c r="E5138">
        <v>0.5176558</v>
      </c>
      <c r="F5138" t="s">
        <v>41</v>
      </c>
      <c r="G5138">
        <v>-303.04790000000003</v>
      </c>
      <c r="H5138" s="1">
        <v>-4.6278470000000002E-6</v>
      </c>
      <c r="I5138">
        <v>-31.002790000000001</v>
      </c>
      <c r="J5138">
        <v>-302.03570000000002</v>
      </c>
      <c r="K5138">
        <v>1.0811040000000001</v>
      </c>
      <c r="L5138">
        <v>-1.933136</v>
      </c>
      <c r="M5138">
        <v>0.2246956</v>
      </c>
      <c r="N5138">
        <v>0</v>
      </c>
      <c r="O5138">
        <v>-0.97441849999999997</v>
      </c>
      <c r="P5138">
        <v>1.826287E-2</v>
      </c>
      <c r="Q5138">
        <v>0.1918948</v>
      </c>
      <c r="R5138">
        <v>-0.98124560000000005</v>
      </c>
      <c r="S5138">
        <v>-0.1012878</v>
      </c>
      <c r="T5138">
        <v>-0.1134458</v>
      </c>
      <c r="U5138">
        <v>-3.0833740000000001</v>
      </c>
      <c r="V5138">
        <v>0.20481740000000001</v>
      </c>
      <c r="W5138">
        <v>0.18520700000000001</v>
      </c>
      <c r="X5138">
        <v>0.96111820000000003</v>
      </c>
      <c r="Y5138">
        <v>0.25654629999999901</v>
      </c>
      <c r="Z5138">
        <v>3.4731430000000001E-2</v>
      </c>
      <c r="AA5138">
        <v>0.96590779999999998</v>
      </c>
      <c r="AB5138">
        <v>13</v>
      </c>
      <c r="AC5138">
        <v>-1.0122</v>
      </c>
      <c r="AD5138">
        <v>-1.0811086278469999</v>
      </c>
      <c r="AE5138">
        <v>-29.0696539999999</v>
      </c>
      <c r="AF5138">
        <v>7.5078350779688403</v>
      </c>
      <c r="AG5138">
        <v>-1.0811086278469999</v>
      </c>
      <c r="AH5138">
        <v>28.060096011888501</v>
      </c>
      <c r="AI5138">
        <v>92.131513613688597</v>
      </c>
      <c r="AJ5138">
        <v>75.020662937208897</v>
      </c>
      <c r="AK5138">
        <v>29.0672560043012</v>
      </c>
      <c r="AL5138">
        <v>79.326798786233297</v>
      </c>
      <c r="AM5138">
        <v>77.970035092602203</v>
      </c>
      <c r="AN5138">
        <v>0.99999999728150002</v>
      </c>
    </row>
    <row r="5139" spans="1:40" x14ac:dyDescent="0.25">
      <c r="A5139" t="str">
        <f>"20190312172809066"</f>
        <v>20190312172809066</v>
      </c>
      <c r="B5139" t="str">
        <f>"1552382889054765"</f>
        <v>1552382889054765</v>
      </c>
      <c r="C5139" t="s">
        <v>40</v>
      </c>
      <c r="D5139">
        <v>3.3917060000000001</v>
      </c>
      <c r="E5139">
        <v>0.51765709999999998</v>
      </c>
      <c r="F5139" t="s">
        <v>41</v>
      </c>
      <c r="G5139">
        <v>-302.90030000000002</v>
      </c>
      <c r="H5139" s="1">
        <v>-1.428646E-6</v>
      </c>
      <c r="I5139">
        <v>-28.879519999999999</v>
      </c>
      <c r="J5139">
        <v>-302.00819999999999</v>
      </c>
      <c r="K5139">
        <v>1.083715</v>
      </c>
      <c r="L5139">
        <v>-2.0840450000000001</v>
      </c>
      <c r="M5139">
        <v>0.2193244</v>
      </c>
      <c r="N5139">
        <v>0</v>
      </c>
      <c r="O5139">
        <v>-0.97564609999999996</v>
      </c>
      <c r="P5139">
        <v>1.6773150000000001E-2</v>
      </c>
      <c r="Q5139">
        <v>0.18952169999999999</v>
      </c>
      <c r="R5139">
        <v>-0.98173350000000004</v>
      </c>
      <c r="S5139">
        <v>-9.8937990000000003E-2</v>
      </c>
      <c r="T5139">
        <v>-0.12370680000000001</v>
      </c>
      <c r="U5139">
        <v>-3.0833740000000001</v>
      </c>
      <c r="V5139">
        <v>0.20086399999999999</v>
      </c>
      <c r="W5139">
        <v>0.18414220000000001</v>
      </c>
      <c r="X5139">
        <v>0.96215660000000003</v>
      </c>
      <c r="Y5139">
        <v>0.25047649999999999</v>
      </c>
      <c r="Z5139">
        <v>3.797412E-2</v>
      </c>
      <c r="AA5139">
        <v>0.96737770000000001</v>
      </c>
      <c r="AB5139">
        <v>13</v>
      </c>
      <c r="AC5139">
        <v>-0.89210000000002698</v>
      </c>
      <c r="AD5139">
        <v>-1.0837164286459999</v>
      </c>
      <c r="AE5139">
        <v>-26.795475</v>
      </c>
      <c r="AF5139">
        <v>6.7363076447379902</v>
      </c>
      <c r="AG5139">
        <v>-1.0837164286459999</v>
      </c>
      <c r="AH5139">
        <v>25.905064058455199</v>
      </c>
      <c r="AI5139">
        <v>92.318505618536804</v>
      </c>
      <c r="AJ5139">
        <v>75.423730776096406</v>
      </c>
      <c r="AK5139">
        <v>26.788516678885799</v>
      </c>
      <c r="AL5139">
        <v>79.388875197473993</v>
      </c>
      <c r="AM5139">
        <v>78.208044774585204</v>
      </c>
      <c r="AN5139">
        <v>1.0000000096202</v>
      </c>
    </row>
    <row r="5140" spans="1:40" x14ac:dyDescent="0.25">
      <c r="A5140" t="str">
        <f>"20190312172809092"</f>
        <v>20190312172809092</v>
      </c>
      <c r="B5140" t="str">
        <f>"1552382889085021"</f>
        <v>1552382889085021</v>
      </c>
      <c r="C5140" t="s">
        <v>40</v>
      </c>
      <c r="D5140">
        <v>3.3634499999999998</v>
      </c>
      <c r="E5140">
        <v>0.51759339999999998</v>
      </c>
      <c r="F5140" t="s">
        <v>41</v>
      </c>
      <c r="G5140">
        <v>-302.8673</v>
      </c>
      <c r="H5140" s="1">
        <v>-2.0283239999999999E-6</v>
      </c>
      <c r="I5140">
        <v>-27.461189999999998</v>
      </c>
      <c r="J5140">
        <v>-301.98079999999999</v>
      </c>
      <c r="K5140">
        <v>1.0867290000000001</v>
      </c>
      <c r="L5140">
        <v>-2.2362980000000001</v>
      </c>
      <c r="M5140">
        <v>0.21240210000000001</v>
      </c>
      <c r="N5140">
        <v>0</v>
      </c>
      <c r="O5140">
        <v>-0.97717929999999997</v>
      </c>
      <c r="P5140">
        <v>1.292653E-2</v>
      </c>
      <c r="Q5140">
        <v>0.18796060000000001</v>
      </c>
      <c r="R5140">
        <v>-0.98209150000000001</v>
      </c>
      <c r="S5140">
        <v>-0.10437009999999999</v>
      </c>
      <c r="T5140">
        <v>-0.1316582</v>
      </c>
      <c r="U5140">
        <v>-3.083008</v>
      </c>
      <c r="V5140">
        <v>0.19753860000000001</v>
      </c>
      <c r="W5140">
        <v>0.18396080000000001</v>
      </c>
      <c r="X5140">
        <v>0.9628795</v>
      </c>
      <c r="Y5140">
        <v>0.24531169999999999</v>
      </c>
      <c r="Z5140">
        <v>4.0540449999999999E-2</v>
      </c>
      <c r="AA5140">
        <v>0.96859620000000002</v>
      </c>
      <c r="AB5140">
        <v>13</v>
      </c>
      <c r="AC5140">
        <v>-0.88650000000001195</v>
      </c>
      <c r="AD5140">
        <v>-1.0867310283239999</v>
      </c>
      <c r="AE5140">
        <v>-25.224892000000001</v>
      </c>
      <c r="AF5140">
        <v>6.2125914956910204</v>
      </c>
      <c r="AG5140">
        <v>-1.0867310283239999</v>
      </c>
      <c r="AH5140">
        <v>24.415760247039199</v>
      </c>
      <c r="AI5140">
        <v>92.469918040928704</v>
      </c>
      <c r="AJ5140">
        <v>75.724037855834794</v>
      </c>
      <c r="AK5140">
        <v>25.217189095161999</v>
      </c>
      <c r="AL5140">
        <v>79.399449222009196</v>
      </c>
      <c r="AM5140">
        <v>78.4064052484065</v>
      </c>
      <c r="AN5140">
        <v>1.00000000297342</v>
      </c>
    </row>
    <row r="5141" spans="1:40" x14ac:dyDescent="0.25">
      <c r="A5141" t="str">
        <f>"20190312172809118"</f>
        <v>20190312172809118</v>
      </c>
      <c r="B5141" t="str">
        <f>"1552382889115277"</f>
        <v>1552382889115277</v>
      </c>
      <c r="C5141" t="s">
        <v>40</v>
      </c>
      <c r="D5141">
        <v>3.3515990000000002</v>
      </c>
      <c r="E5141">
        <v>0.51763079999999995</v>
      </c>
      <c r="F5141" t="s">
        <v>41</v>
      </c>
      <c r="G5141">
        <v>-302.89280000000002</v>
      </c>
      <c r="H5141" s="1">
        <v>-2.3847409999999999E-6</v>
      </c>
      <c r="I5141">
        <v>-26.6462</v>
      </c>
      <c r="J5141">
        <v>-301.95310000000001</v>
      </c>
      <c r="K5141">
        <v>1.0896889999999999</v>
      </c>
      <c r="L5141">
        <v>-2.3930660000000001</v>
      </c>
      <c r="M5141">
        <v>0.20564189999999999</v>
      </c>
      <c r="N5141">
        <v>0</v>
      </c>
      <c r="O5141">
        <v>-0.97862660000000001</v>
      </c>
      <c r="P5141">
        <v>1.0694759999999999E-2</v>
      </c>
      <c r="Q5141">
        <v>0.18693070000000001</v>
      </c>
      <c r="R5141">
        <v>-0.98231460000000004</v>
      </c>
      <c r="S5141">
        <v>-0.11517330000000001</v>
      </c>
      <c r="T5141">
        <v>-0.13723279999999999</v>
      </c>
      <c r="U5141">
        <v>-3.0824889999999998</v>
      </c>
      <c r="V5141">
        <v>0.19285359999999999</v>
      </c>
      <c r="W5141">
        <v>0.18441450000000001</v>
      </c>
      <c r="X5141">
        <v>0.96374210000000005</v>
      </c>
      <c r="Y5141">
        <v>0.2420011</v>
      </c>
      <c r="Z5141">
        <v>4.2372989999999999E-2</v>
      </c>
      <c r="AA5141">
        <v>0.9693503</v>
      </c>
      <c r="AB5141">
        <v>13</v>
      </c>
      <c r="AC5141">
        <v>-0.93970000000001597</v>
      </c>
      <c r="AD5141">
        <v>-1.0896913847409999</v>
      </c>
      <c r="AE5141">
        <v>-24.253133999999999</v>
      </c>
      <c r="AF5141">
        <v>5.8951972855423298</v>
      </c>
      <c r="AG5141">
        <v>-1.0896913847409999</v>
      </c>
      <c r="AH5141">
        <v>23.4941801387189</v>
      </c>
      <c r="AI5141">
        <v>92.575813043748994</v>
      </c>
      <c r="AJ5141">
        <v>75.9140696007629</v>
      </c>
      <c r="AK5141">
        <v>24.2470055623373</v>
      </c>
      <c r="AL5141">
        <v>79.373001896660895</v>
      </c>
      <c r="AM5141">
        <v>78.684055061660402</v>
      </c>
      <c r="AN5141">
        <v>1.0000000270778</v>
      </c>
    </row>
    <row r="5142" spans="1:40" x14ac:dyDescent="0.25">
      <c r="A5142" t="str">
        <f>"20190312172809164"</f>
        <v>20190312172809164</v>
      </c>
      <c r="B5142" t="str">
        <f>"1552382889154317"</f>
        <v>1552382889154317</v>
      </c>
      <c r="C5142" t="s">
        <v>40</v>
      </c>
      <c r="D5142">
        <v>3.3615599999999999</v>
      </c>
      <c r="E5142">
        <v>0.51630149999999997</v>
      </c>
      <c r="F5142" t="s">
        <v>41</v>
      </c>
      <c r="G5142">
        <v>-302.86959999999999</v>
      </c>
      <c r="H5142" s="1">
        <v>-2.6115630000000002E-6</v>
      </c>
      <c r="I5142">
        <v>-26.10305</v>
      </c>
      <c r="J5142">
        <v>-301.90769999999998</v>
      </c>
      <c r="K5142">
        <v>1.094033</v>
      </c>
      <c r="L5142">
        <v>-2.6654360000000001</v>
      </c>
      <c r="M5142">
        <v>0.19666690000000001</v>
      </c>
      <c r="N5142">
        <v>0</v>
      </c>
      <c r="O5142">
        <v>-0.98046979999999995</v>
      </c>
      <c r="P5142">
        <v>1.029913E-2</v>
      </c>
      <c r="Q5142">
        <v>0.1815824</v>
      </c>
      <c r="R5142">
        <v>-0.98332200000000003</v>
      </c>
      <c r="S5142">
        <v>-0.1191406</v>
      </c>
      <c r="T5142">
        <v>-0.1416589</v>
      </c>
      <c r="U5142">
        <v>-3.0822750000000001</v>
      </c>
      <c r="V5142">
        <v>0.1843997</v>
      </c>
      <c r="W5142">
        <v>0.18148980000000001</v>
      </c>
      <c r="X5142">
        <v>0.96594939999999996</v>
      </c>
      <c r="Y5142">
        <v>0.23434969999999999</v>
      </c>
      <c r="Z5142">
        <v>4.3908860000000001E-2</v>
      </c>
      <c r="AA5142">
        <v>0.97116020000000003</v>
      </c>
      <c r="AB5142">
        <v>13</v>
      </c>
      <c r="AC5142">
        <v>-0.96190000000001397</v>
      </c>
      <c r="AD5142">
        <v>-1.0940356115629899</v>
      </c>
      <c r="AE5142">
        <v>-23.437614</v>
      </c>
      <c r="AF5142">
        <v>5.5404680544172802</v>
      </c>
      <c r="AG5142">
        <v>-1.0940356115629899</v>
      </c>
      <c r="AH5142">
        <v>22.741243933002998</v>
      </c>
      <c r="AI5142">
        <v>92.676103734665503</v>
      </c>
      <c r="AJ5142">
        <v>76.307728373979998</v>
      </c>
      <c r="AK5142">
        <v>23.431984034685001</v>
      </c>
      <c r="AL5142">
        <v>79.543451737388196</v>
      </c>
      <c r="AM5142">
        <v>79.192273930524095</v>
      </c>
      <c r="AN5142">
        <v>1.0000000201122401</v>
      </c>
    </row>
    <row r="5143" spans="1:40" x14ac:dyDescent="0.25">
      <c r="A5143" t="str">
        <f>"20190312172809208"</f>
        <v>20190312172809208</v>
      </c>
      <c r="B5143" t="str">
        <f>"1552382889205069"</f>
        <v>1552382889205069</v>
      </c>
      <c r="C5143" t="s">
        <v>40</v>
      </c>
      <c r="D5143">
        <v>3.3573179999999998</v>
      </c>
      <c r="E5143">
        <v>0.51448039999999995</v>
      </c>
      <c r="F5143" t="s">
        <v>41</v>
      </c>
      <c r="G5143">
        <v>-302.66079999999999</v>
      </c>
      <c r="H5143" s="1">
        <v>-3.7646419999999998E-6</v>
      </c>
      <c r="I5143">
        <v>-23.285710000000002</v>
      </c>
      <c r="J5143">
        <v>-301.86520000000002</v>
      </c>
      <c r="K5143">
        <v>1.097658</v>
      </c>
      <c r="L5143">
        <v>-2.9368590000000001</v>
      </c>
      <c r="M5143">
        <v>0.18892400000000001</v>
      </c>
      <c r="N5143">
        <v>0</v>
      </c>
      <c r="O5143">
        <v>-0.98198770000000002</v>
      </c>
      <c r="P5143">
        <v>8.782336E-3</v>
      </c>
      <c r="Q5143">
        <v>0.17896090000000001</v>
      </c>
      <c r="R5143">
        <v>-0.98381700000000005</v>
      </c>
      <c r="S5143">
        <v>-0.11257929999999999</v>
      </c>
      <c r="T5143">
        <v>-0.1635344</v>
      </c>
      <c r="U5143">
        <v>-3.0822750000000001</v>
      </c>
      <c r="V5143">
        <v>0.1781827</v>
      </c>
      <c r="W5143">
        <v>0.18077689999999999</v>
      </c>
      <c r="X5143">
        <v>0.96724900000000003</v>
      </c>
      <c r="Y5143">
        <v>0.2245904</v>
      </c>
      <c r="Z5143">
        <v>5.0855900000000002E-2</v>
      </c>
      <c r="AA5143">
        <v>0.97312529999999997</v>
      </c>
      <c r="AB5143">
        <v>13</v>
      </c>
      <c r="AC5143">
        <v>-0.79559999999997899</v>
      </c>
      <c r="AD5143">
        <v>-1.0976617646419999</v>
      </c>
      <c r="AE5143">
        <v>-20.348851</v>
      </c>
      <c r="AF5143">
        <v>4.6122738345194696</v>
      </c>
      <c r="AG5143">
        <v>-1.0976617646419999</v>
      </c>
      <c r="AH5143">
        <v>19.774639939708699</v>
      </c>
      <c r="AI5143">
        <v>93.094261553793302</v>
      </c>
      <c r="AJ5143">
        <v>76.870948124323206</v>
      </c>
      <c r="AK5143">
        <v>20.335051414227401</v>
      </c>
      <c r="AL5143">
        <v>79.584984654328096</v>
      </c>
      <c r="AM5143">
        <v>79.562223716966898</v>
      </c>
      <c r="AN5143">
        <v>0.99999999507695003</v>
      </c>
    </row>
    <row r="5144" spans="1:40" x14ac:dyDescent="0.25">
      <c r="A5144" t="str">
        <f>"20190312172809240"</f>
        <v>20190312172809240</v>
      </c>
      <c r="B5144" t="str">
        <f>"1552382889234349"</f>
        <v>1552382889234349</v>
      </c>
      <c r="C5144" t="s">
        <v>40</v>
      </c>
      <c r="D5144">
        <v>3.2973599999999998</v>
      </c>
      <c r="E5144">
        <v>0.51363859999999995</v>
      </c>
      <c r="F5144" t="s">
        <v>41</v>
      </c>
      <c r="G5144">
        <v>-302.47329999999999</v>
      </c>
      <c r="H5144" s="1">
        <v>-4.3228009999999997E-6</v>
      </c>
      <c r="I5144">
        <v>-21.59965</v>
      </c>
      <c r="J5144">
        <v>-301.8365</v>
      </c>
      <c r="K5144">
        <v>1.0999000000000001</v>
      </c>
      <c r="L5144">
        <v>-3.1248469999999999</v>
      </c>
      <c r="M5144">
        <v>0.18339069999999999</v>
      </c>
      <c r="N5144">
        <v>0</v>
      </c>
      <c r="O5144">
        <v>-0.98303280000000004</v>
      </c>
      <c r="P5144">
        <v>6.2173810000000001E-3</v>
      </c>
      <c r="Q5144">
        <v>0.17693390000000001</v>
      </c>
      <c r="R5144">
        <v>-0.98420319999999994</v>
      </c>
      <c r="S5144">
        <v>-0.10046389999999999</v>
      </c>
      <c r="T5144">
        <v>-0.18134140000000001</v>
      </c>
      <c r="U5144">
        <v>-3.083221</v>
      </c>
      <c r="V5144">
        <v>0.17514469999999999</v>
      </c>
      <c r="W5144">
        <v>0.17990030000000001</v>
      </c>
      <c r="X5144">
        <v>0.96796700000000002</v>
      </c>
      <c r="Y5144">
        <v>0.21525250000000001</v>
      </c>
      <c r="Z5144">
        <v>5.6516480000000001E-2</v>
      </c>
      <c r="AA5144">
        <v>0.97492160000000005</v>
      </c>
      <c r="AB5144">
        <v>14</v>
      </c>
      <c r="AC5144">
        <v>-0.63679999999999304</v>
      </c>
      <c r="AD5144">
        <v>-1.0999043228009999</v>
      </c>
      <c r="AE5144">
        <v>-18.474803000000001</v>
      </c>
      <c r="AF5144">
        <v>3.99997026001363</v>
      </c>
      <c r="AG5144">
        <v>-1.0999043228009999</v>
      </c>
      <c r="AH5144">
        <v>17.981026319835099</v>
      </c>
      <c r="AI5144">
        <v>93.417113022909007</v>
      </c>
      <c r="AJ5144">
        <v>77.458480177377297</v>
      </c>
      <c r="AK5144">
        <v>18.453369857966699</v>
      </c>
      <c r="AL5144">
        <v>79.636046842017095</v>
      </c>
      <c r="AM5144">
        <v>79.743823999895795</v>
      </c>
      <c r="AN5144">
        <v>0.99999994848358797</v>
      </c>
    </row>
    <row r="5145" spans="1:40" x14ac:dyDescent="0.25">
      <c r="A5145" t="str">
        <f>"20190312172809275"</f>
        <v>20190312172809275</v>
      </c>
      <c r="B5145" t="str">
        <f>"1552382889264605"</f>
        <v>1552382889264605</v>
      </c>
      <c r="C5145" t="s">
        <v>40</v>
      </c>
      <c r="D5145">
        <v>3.3503810000000001</v>
      </c>
      <c r="E5145">
        <v>0.51292159999999998</v>
      </c>
      <c r="F5145" t="s">
        <v>41</v>
      </c>
      <c r="G5145">
        <v>-302.41090000000003</v>
      </c>
      <c r="H5145" s="1">
        <v>-4.5958619999999997E-6</v>
      </c>
      <c r="I5145">
        <v>-20.76474</v>
      </c>
      <c r="J5145">
        <v>-301.80349999999999</v>
      </c>
      <c r="K5145">
        <v>1.10209</v>
      </c>
      <c r="L5145">
        <v>-3.3445130000000001</v>
      </c>
      <c r="M5145">
        <v>0.17728910000000001</v>
      </c>
      <c r="N5145">
        <v>0</v>
      </c>
      <c r="O5145">
        <v>-0.98414690000000005</v>
      </c>
      <c r="P5145">
        <v>6.1577489999999997E-3</v>
      </c>
      <c r="Q5145">
        <v>0.17495250000000001</v>
      </c>
      <c r="R5145">
        <v>-0.98455780000000004</v>
      </c>
      <c r="S5145">
        <v>-0.1004028</v>
      </c>
      <c r="T5145">
        <v>-0.1922565</v>
      </c>
      <c r="U5145">
        <v>-3.0833439999999999</v>
      </c>
      <c r="V5145">
        <v>0.16908380000000001</v>
      </c>
      <c r="W5145">
        <v>0.1790841</v>
      </c>
      <c r="X5145">
        <v>0.96919529999999998</v>
      </c>
      <c r="Y5145">
        <v>0.20916399999999999</v>
      </c>
      <c r="Z5145">
        <v>6.0048810000000001E-2</v>
      </c>
      <c r="AA5145">
        <v>0.97603510000000004</v>
      </c>
      <c r="AB5145">
        <v>14</v>
      </c>
      <c r="AC5145">
        <v>-0.60740000000004102</v>
      </c>
      <c r="AD5145">
        <v>-1.1020945958620001</v>
      </c>
      <c r="AE5145">
        <v>-17.420227000000001</v>
      </c>
      <c r="AF5145">
        <v>3.6715529174435702</v>
      </c>
      <c r="AG5145">
        <v>-1.1020945958620001</v>
      </c>
      <c r="AH5145">
        <v>16.968742060681699</v>
      </c>
      <c r="AI5145">
        <v>93.632237277478794</v>
      </c>
      <c r="AJ5145">
        <v>77.791029396447101</v>
      </c>
      <c r="AK5145">
        <v>17.396353653733499</v>
      </c>
      <c r="AL5145">
        <v>79.683584099576805</v>
      </c>
      <c r="AM5145">
        <v>80.103893023341897</v>
      </c>
      <c r="AN5145">
        <v>0.99999998791866995</v>
      </c>
    </row>
    <row r="5146" spans="1:40" x14ac:dyDescent="0.25">
      <c r="A5146" t="str">
        <f>"20190312172809320"</f>
        <v>20190312172809320</v>
      </c>
      <c r="B5146" t="str">
        <f>"1552382889314381"</f>
        <v>1552382889314381</v>
      </c>
      <c r="C5146" t="s">
        <v>40</v>
      </c>
      <c r="D5146">
        <v>3.3741319999999999</v>
      </c>
      <c r="E5146">
        <v>0.51188359999999899</v>
      </c>
      <c r="F5146" t="s">
        <v>41</v>
      </c>
      <c r="G5146">
        <v>-302.31849999999997</v>
      </c>
      <c r="H5146" s="1">
        <v>-7.3219369999999997E-7</v>
      </c>
      <c r="I5146">
        <v>-20.142150000000001</v>
      </c>
      <c r="J5146">
        <v>-301.76310000000001</v>
      </c>
      <c r="K5146">
        <v>1.1041540000000001</v>
      </c>
      <c r="L5146">
        <v>-3.6189269999999998</v>
      </c>
      <c r="M5146">
        <v>0.17064360000000001</v>
      </c>
      <c r="N5146">
        <v>0</v>
      </c>
      <c r="O5146">
        <v>-0.98531570000000002</v>
      </c>
      <c r="P5146">
        <v>4.8369479999999998E-3</v>
      </c>
      <c r="Q5146">
        <v>0.17065089999999999</v>
      </c>
      <c r="R5146">
        <v>-0.98531959999999996</v>
      </c>
      <c r="S5146">
        <v>-9.4543459999999996E-2</v>
      </c>
      <c r="T5146">
        <v>-0.20231389999999999</v>
      </c>
      <c r="U5146">
        <v>-3.0835880000000002</v>
      </c>
      <c r="V5146">
        <v>0.1638192</v>
      </c>
      <c r="W5146">
        <v>0.17586779999999999</v>
      </c>
      <c r="X5146">
        <v>0.97068730000000003</v>
      </c>
      <c r="Y5146">
        <v>0.2006964</v>
      </c>
      <c r="Z5146">
        <v>6.3347459999999994E-2</v>
      </c>
      <c r="AA5146">
        <v>0.97760320000000001</v>
      </c>
      <c r="AB5146">
        <v>14</v>
      </c>
      <c r="AC5146">
        <v>-0.55539999999996303</v>
      </c>
      <c r="AD5146">
        <v>-1.1041547321937</v>
      </c>
      <c r="AE5146">
        <v>-16.523223000000002</v>
      </c>
      <c r="AF5146">
        <v>3.3519322148820598</v>
      </c>
      <c r="AG5146">
        <v>-1.1041547321937</v>
      </c>
      <c r="AH5146">
        <v>16.1142117426242</v>
      </c>
      <c r="AI5146">
        <v>93.837913857687695</v>
      </c>
      <c r="AJ5146">
        <v>78.249416006621004</v>
      </c>
      <c r="AK5146">
        <v>16.496133708597199</v>
      </c>
      <c r="AL5146">
        <v>79.870837593104298</v>
      </c>
      <c r="AM5146">
        <v>80.420674993444194</v>
      </c>
      <c r="AN5146">
        <v>1.0000000238733799</v>
      </c>
    </row>
    <row r="5147" spans="1:40" x14ac:dyDescent="0.25">
      <c r="A5147" t="str">
        <f>"20190312172809347"</f>
        <v>20190312172809347</v>
      </c>
      <c r="B5147" t="str">
        <f>"1552382889344637"</f>
        <v>1552382889344637</v>
      </c>
      <c r="C5147" t="s">
        <v>40</v>
      </c>
      <c r="D5147">
        <v>3.3492229999999998</v>
      </c>
      <c r="E5147">
        <v>0.5113972</v>
      </c>
      <c r="F5147" t="s">
        <v>41</v>
      </c>
      <c r="G5147">
        <v>-302.20710000000003</v>
      </c>
      <c r="H5147" s="1">
        <v>-1.186315E-6</v>
      </c>
      <c r="I5147">
        <v>-19.01444</v>
      </c>
      <c r="J5147">
        <v>-301.73820000000001</v>
      </c>
      <c r="K5147">
        <v>1.105137</v>
      </c>
      <c r="L5147">
        <v>-3.790222</v>
      </c>
      <c r="M5147">
        <v>0.16683999999999999</v>
      </c>
      <c r="N5147">
        <v>0</v>
      </c>
      <c r="O5147">
        <v>-0.98596410000000001</v>
      </c>
      <c r="P5147">
        <v>4.9032659999999999E-3</v>
      </c>
      <c r="Q5147">
        <v>0.1683955</v>
      </c>
      <c r="R5147">
        <v>-0.98570749999999996</v>
      </c>
      <c r="S5147">
        <v>-8.8928220000000002E-2</v>
      </c>
      <c r="T5147">
        <v>-0.2211417</v>
      </c>
      <c r="U5147">
        <v>-3.0834350000000001</v>
      </c>
      <c r="V5147">
        <v>0.1600065</v>
      </c>
      <c r="W5147">
        <v>0.17413770000000001</v>
      </c>
      <c r="X5147">
        <v>0.97163469999999996</v>
      </c>
      <c r="Y5147">
        <v>0.19512399999999999</v>
      </c>
      <c r="Z5147">
        <v>6.9329500000000002E-2</v>
      </c>
      <c r="AA5147">
        <v>0.97832509999999995</v>
      </c>
      <c r="AB5147">
        <v>14</v>
      </c>
      <c r="AC5147">
        <v>-0.46890000000001902</v>
      </c>
      <c r="AD5147">
        <v>-1.105138186315</v>
      </c>
      <c r="AE5147">
        <v>-15.224217999999899</v>
      </c>
      <c r="AF5147">
        <v>2.98666287758016</v>
      </c>
      <c r="AG5147">
        <v>-1.105138186315</v>
      </c>
      <c r="AH5147">
        <v>14.8543939383358</v>
      </c>
      <c r="AI5147">
        <v>94.171673093617002</v>
      </c>
      <c r="AJ5147">
        <v>78.631539346614304</v>
      </c>
      <c r="AK5147">
        <v>15.1919223546737</v>
      </c>
      <c r="AL5147">
        <v>79.971518552887204</v>
      </c>
      <c r="AM5147">
        <v>80.648596722492499</v>
      </c>
      <c r="AN5147">
        <v>1.00000000442381</v>
      </c>
    </row>
    <row r="5148" spans="1:40" x14ac:dyDescent="0.25">
      <c r="A5148" t="str">
        <f>"20190312172809388"</f>
        <v>20190312172809388</v>
      </c>
      <c r="B5148" t="str">
        <f>"1552382889384654"</f>
        <v>1552382889384654</v>
      </c>
      <c r="C5148" t="s">
        <v>40</v>
      </c>
      <c r="D5148">
        <v>3.3463349999999998</v>
      </c>
      <c r="E5148">
        <v>0.51087640000000001</v>
      </c>
      <c r="F5148" t="s">
        <v>41</v>
      </c>
      <c r="G5148">
        <v>-302.15460000000002</v>
      </c>
      <c r="H5148" s="1">
        <v>-1.3583720000000001E-6</v>
      </c>
      <c r="I5148">
        <v>-18.5808</v>
      </c>
      <c r="J5148">
        <v>-301.7022</v>
      </c>
      <c r="K5148">
        <v>1.1062970000000001</v>
      </c>
      <c r="L5148">
        <v>-4.0410459999999997</v>
      </c>
      <c r="M5148">
        <v>0.16176370000000001</v>
      </c>
      <c r="N5148">
        <v>0</v>
      </c>
      <c r="O5148">
        <v>-0.98680619999999997</v>
      </c>
      <c r="P5148">
        <v>4.2327839999999999E-3</v>
      </c>
      <c r="Q5148">
        <v>0.1707446</v>
      </c>
      <c r="R5148">
        <v>-0.98530649999999997</v>
      </c>
      <c r="S5148">
        <v>-8.6791989999999999E-2</v>
      </c>
      <c r="T5148">
        <v>-0.2303799</v>
      </c>
      <c r="U5148">
        <v>-3.0832820000000001</v>
      </c>
      <c r="V5148">
        <v>0.1555309</v>
      </c>
      <c r="W5148">
        <v>0.17709610000000001</v>
      </c>
      <c r="X5148">
        <v>0.97182670000000004</v>
      </c>
      <c r="Y5148">
        <v>0.189392</v>
      </c>
      <c r="Z5148">
        <v>7.2350730000000002E-2</v>
      </c>
      <c r="AA5148">
        <v>0.9792324</v>
      </c>
      <c r="AB5148">
        <v>14</v>
      </c>
      <c r="AC5148">
        <v>-0.45240000000001102</v>
      </c>
      <c r="AD5148">
        <v>-1.1062983583720001</v>
      </c>
      <c r="AE5148">
        <v>-14.539754</v>
      </c>
      <c r="AF5148">
        <v>2.7824071640021399</v>
      </c>
      <c r="AG5148">
        <v>-1.1062983583720001</v>
      </c>
      <c r="AH5148">
        <v>14.1929772763438</v>
      </c>
      <c r="AI5148">
        <v>94.3740876149961</v>
      </c>
      <c r="AJ5148">
        <v>78.908335629083297</v>
      </c>
      <c r="AK5148">
        <v>14.505388297141099</v>
      </c>
      <c r="AL5148">
        <v>79.799338811294902</v>
      </c>
      <c r="AM5148">
        <v>80.907502555936802</v>
      </c>
      <c r="AN5148">
        <v>1.0000000121614501</v>
      </c>
    </row>
    <row r="5149" spans="1:40" x14ac:dyDescent="0.25">
      <c r="A5149" t="str">
        <f>"20190312172809433"</f>
        <v>20190312172809433</v>
      </c>
      <c r="B5149" t="str">
        <f>"1552382889424673"</f>
        <v>1552382889424673</v>
      </c>
      <c r="C5149" t="s">
        <v>40</v>
      </c>
      <c r="D5149">
        <v>3.3660160000000001</v>
      </c>
      <c r="E5149">
        <v>0.51042549999999998</v>
      </c>
      <c r="F5149" t="s">
        <v>41</v>
      </c>
      <c r="G5149">
        <v>-302.1035</v>
      </c>
      <c r="H5149" s="1">
        <v>-1.112924E-6</v>
      </c>
      <c r="I5149">
        <v>-19.121259999999999</v>
      </c>
      <c r="J5149">
        <v>-301.66329999999999</v>
      </c>
      <c r="K5149">
        <v>1.107243</v>
      </c>
      <c r="L5149">
        <v>-4.3164369999999996</v>
      </c>
      <c r="M5149">
        <v>0.15698389999999901</v>
      </c>
      <c r="N5149">
        <v>0</v>
      </c>
      <c r="O5149">
        <v>-0.98757439999999996</v>
      </c>
      <c r="P5149">
        <v>4.4613020000000003E-3</v>
      </c>
      <c r="Q5149">
        <v>0.16986770000000001</v>
      </c>
      <c r="R5149">
        <v>-0.98545660000000002</v>
      </c>
      <c r="S5149">
        <v>-8.2061770000000006E-2</v>
      </c>
      <c r="T5149">
        <v>-0.22626640000000001</v>
      </c>
      <c r="U5149">
        <v>-3.0842900000000002</v>
      </c>
      <c r="V5149">
        <v>0.1505513</v>
      </c>
      <c r="W5149">
        <v>0.17673050000000001</v>
      </c>
      <c r="X5149">
        <v>0.97267709999999996</v>
      </c>
      <c r="Y5149">
        <v>0.18312790000000001</v>
      </c>
      <c r="Z5149">
        <v>7.117242E-2</v>
      </c>
      <c r="AA5149">
        <v>0.98050939999999998</v>
      </c>
      <c r="AB5149">
        <v>14</v>
      </c>
      <c r="AC5149">
        <v>-0.44020000000000398</v>
      </c>
      <c r="AD5149">
        <v>-1.107244112924</v>
      </c>
      <c r="AE5149">
        <v>-14.804823000000001</v>
      </c>
      <c r="AF5149">
        <v>2.74358942817247</v>
      </c>
      <c r="AG5149">
        <v>-1.107244112924</v>
      </c>
      <c r="AH5149">
        <v>14.4712715541013</v>
      </c>
      <c r="AI5149">
        <v>94.299075917811805</v>
      </c>
      <c r="AJ5149">
        <v>79.264779806275001</v>
      </c>
      <c r="AK5149">
        <v>14.7706117973673</v>
      </c>
      <c r="AL5149">
        <v>79.820622269617402</v>
      </c>
      <c r="AM5149">
        <v>81.201557292621203</v>
      </c>
      <c r="AN5149">
        <v>1.00000005221317</v>
      </c>
    </row>
    <row r="5150" spans="1:40" x14ac:dyDescent="0.25">
      <c r="A5150" t="str">
        <f>"20190312172809461"</f>
        <v>20190312172809461</v>
      </c>
      <c r="B5150" t="str">
        <f>"1552382889454925"</f>
        <v>1552382889454925</v>
      </c>
      <c r="C5150" t="s">
        <v>40</v>
      </c>
      <c r="D5150">
        <v>3.3837069999999998</v>
      </c>
      <c r="E5150">
        <v>0.4933669</v>
      </c>
      <c r="F5150" t="s">
        <v>41</v>
      </c>
      <c r="G5150">
        <v>-302.02010000000001</v>
      </c>
      <c r="H5150" s="1">
        <v>-1.119146E-6</v>
      </c>
      <c r="I5150">
        <v>-19.055040000000002</v>
      </c>
      <c r="J5150">
        <v>-301.63650000000001</v>
      </c>
      <c r="K5150">
        <v>1.107731</v>
      </c>
      <c r="L5150">
        <v>-4.5080260000000001</v>
      </c>
      <c r="M5150">
        <v>0.15404880000000001</v>
      </c>
      <c r="N5150">
        <v>0</v>
      </c>
      <c r="O5150">
        <v>-0.98803479999999999</v>
      </c>
      <c r="P5150">
        <v>6.0047709999999999E-3</v>
      </c>
      <c r="Q5150">
        <v>0.1671781</v>
      </c>
      <c r="R5150">
        <v>-0.98590840000000002</v>
      </c>
      <c r="S5150">
        <v>-7.4676510000000001E-2</v>
      </c>
      <c r="T5150">
        <v>-0.2317293</v>
      </c>
      <c r="U5150">
        <v>-3.0845639999999999</v>
      </c>
      <c r="V5150">
        <v>0.1461701</v>
      </c>
      <c r="W5150">
        <v>0.17431099999999999</v>
      </c>
      <c r="X5150">
        <v>0.97378129999999996</v>
      </c>
      <c r="Y5150">
        <v>0.17785290000000001</v>
      </c>
      <c r="Z5150">
        <v>7.2965349999999998E-2</v>
      </c>
      <c r="AA5150">
        <v>0.98134829999999995</v>
      </c>
      <c r="AB5150">
        <v>14</v>
      </c>
      <c r="AC5150">
        <v>-0.383600000000001</v>
      </c>
      <c r="AD5150">
        <v>-1.1077321191459999</v>
      </c>
      <c r="AE5150">
        <v>-14.5470139999999</v>
      </c>
      <c r="AF5150">
        <v>2.6049393673682602</v>
      </c>
      <c r="AG5150">
        <v>-1.1077321191459999</v>
      </c>
      <c r="AH5150">
        <v>14.2317982920642</v>
      </c>
      <c r="AI5150">
        <v>94.378198128453406</v>
      </c>
      <c r="AJ5150">
        <v>79.627594110549595</v>
      </c>
      <c r="AK5150">
        <v>14.5105775964107</v>
      </c>
      <c r="AL5150">
        <v>79.961435149572395</v>
      </c>
      <c r="AM5150">
        <v>81.463312946027401</v>
      </c>
      <c r="AN5150">
        <v>1.0000000215423399</v>
      </c>
    </row>
    <row r="5151" spans="1:40" x14ac:dyDescent="0.25">
      <c r="A5151" t="str">
        <f>"20190312172809498"</f>
        <v>20190312172809498</v>
      </c>
      <c r="B5151" t="str">
        <f>"1552382889494942"</f>
        <v>1552382889494942</v>
      </c>
      <c r="C5151" t="s">
        <v>40</v>
      </c>
      <c r="D5151">
        <v>3.3849559999999999</v>
      </c>
      <c r="E5151">
        <v>0.49217</v>
      </c>
      <c r="F5151" t="s">
        <v>41</v>
      </c>
      <c r="G5151">
        <v>-301.26710000000003</v>
      </c>
      <c r="H5151" s="1">
        <v>-3.8777369999999997E-6</v>
      </c>
      <c r="I5151">
        <v>-22.15766</v>
      </c>
      <c r="J5151">
        <v>-301.60430000000002</v>
      </c>
      <c r="K5151">
        <v>1.1081730000000001</v>
      </c>
      <c r="L5151">
        <v>-4.7398989999999896</v>
      </c>
      <c r="M5151">
        <v>0.15082019999999999</v>
      </c>
      <c r="N5151">
        <v>0</v>
      </c>
      <c r="O5151">
        <v>-0.98853120000000005</v>
      </c>
      <c r="P5151">
        <v>1.0851899999999999E-2</v>
      </c>
      <c r="Q5151">
        <v>0.16814309999999999</v>
      </c>
      <c r="R5151">
        <v>-0.98570329999999995</v>
      </c>
      <c r="S5151">
        <v>6.4361570000000007E-2</v>
      </c>
      <c r="T5151">
        <v>-0.19300880000000001</v>
      </c>
      <c r="U5151">
        <v>-3.0752259999999998</v>
      </c>
      <c r="V5151">
        <v>0.13814460000000001</v>
      </c>
      <c r="W5151">
        <v>0.175534</v>
      </c>
      <c r="X5151">
        <v>0.97473270000000001</v>
      </c>
      <c r="Y5151">
        <v>0.13014500000000001</v>
      </c>
      <c r="Z5151">
        <v>6.1292680000000002E-2</v>
      </c>
      <c r="AA5151">
        <v>0.98959859999999999</v>
      </c>
      <c r="AB5151">
        <v>14</v>
      </c>
      <c r="AC5151">
        <v>0.337199999999995</v>
      </c>
      <c r="AD5151">
        <v>-1.10817687773699</v>
      </c>
      <c r="AE5151">
        <v>-17.417760999999999</v>
      </c>
      <c r="AF5151">
        <v>2.2844417178473702</v>
      </c>
      <c r="AG5151">
        <v>-1.10817687773699</v>
      </c>
      <c r="AH5151">
        <v>17.199771620733902</v>
      </c>
      <c r="AI5151">
        <v>93.654452514545397</v>
      </c>
      <c r="AJ5151">
        <v>82.434361244904395</v>
      </c>
      <c r="AK5151">
        <v>17.386169036334501</v>
      </c>
      <c r="AL5151">
        <v>79.890264658320007</v>
      </c>
      <c r="AM5151">
        <v>81.933442324035894</v>
      </c>
      <c r="AN5151">
        <v>0.99999997605722402</v>
      </c>
    </row>
    <row r="5152" spans="1:40" x14ac:dyDescent="0.25">
      <c r="A5152" t="str">
        <f>"20190312172809525"</f>
        <v>20190312172809525</v>
      </c>
      <c r="B5152" t="str">
        <f>"1552382889514462"</f>
        <v>1552382889514462</v>
      </c>
      <c r="C5152" t="s">
        <v>40</v>
      </c>
      <c r="D5152">
        <v>3.3540000000000001</v>
      </c>
      <c r="E5152">
        <v>0.49206889999999998</v>
      </c>
      <c r="F5152" t="s">
        <v>41</v>
      </c>
      <c r="G5152">
        <v>-300.9744</v>
      </c>
      <c r="H5152" s="1">
        <v>-1.8751630000000001E-6</v>
      </c>
      <c r="I5152">
        <v>-26.644200000000001</v>
      </c>
      <c r="J5152">
        <v>-301.58069999999998</v>
      </c>
      <c r="K5152">
        <v>1.108441</v>
      </c>
      <c r="L5152">
        <v>-4.9123539999999997</v>
      </c>
      <c r="M5152">
        <v>0.14866370000000001</v>
      </c>
      <c r="N5152">
        <v>0</v>
      </c>
      <c r="O5152">
        <v>-0.98885659999999997</v>
      </c>
      <c r="P5152">
        <v>1.1971570000000001E-2</v>
      </c>
      <c r="Q5152">
        <v>0.16938810000000001</v>
      </c>
      <c r="R5152">
        <v>-0.98547700000000005</v>
      </c>
      <c r="S5152">
        <v>8.8256840000000003E-2</v>
      </c>
      <c r="T5152">
        <v>-0.1552674</v>
      </c>
      <c r="U5152">
        <v>-3.0690309999999998</v>
      </c>
      <c r="V5152">
        <v>0.13486219999999999</v>
      </c>
      <c r="W5152">
        <v>0.1769271</v>
      </c>
      <c r="X5152">
        <v>0.97494049999999999</v>
      </c>
      <c r="Y5152">
        <v>0.1202158</v>
      </c>
      <c r="Z5152">
        <v>4.9492399999999999E-2</v>
      </c>
      <c r="AA5152">
        <v>0.99151330000000004</v>
      </c>
      <c r="AB5152">
        <v>14</v>
      </c>
      <c r="AC5152">
        <v>0.60629999999997597</v>
      </c>
      <c r="AD5152">
        <v>-1.108442875163</v>
      </c>
      <c r="AE5152">
        <v>-21.731846000000001</v>
      </c>
      <c r="AF5152">
        <v>2.6244517404369399</v>
      </c>
      <c r="AG5152">
        <v>-1.108442875163</v>
      </c>
      <c r="AH5152">
        <v>21.5245264923417</v>
      </c>
      <c r="AI5152">
        <v>92.926307916243701</v>
      </c>
      <c r="AJ5152">
        <v>83.048329094515196</v>
      </c>
      <c r="AK5152">
        <v>21.712246158905401</v>
      </c>
      <c r="AL5152">
        <v>79.809176982056997</v>
      </c>
      <c r="AM5152">
        <v>82.124331724674093</v>
      </c>
      <c r="AN5152">
        <v>0.99999999512174897</v>
      </c>
    </row>
    <row r="5153" spans="1:40" x14ac:dyDescent="0.25">
      <c r="A5153" t="str">
        <f>"20190312172809566"</f>
        <v>20190312172809566</v>
      </c>
      <c r="B5153" t="str">
        <f>"1552382889554481"</f>
        <v>1552382889554481</v>
      </c>
      <c r="C5153" t="s">
        <v>40</v>
      </c>
      <c r="D5153">
        <v>3.3883369999999999</v>
      </c>
      <c r="E5153">
        <v>0.49208560000000001</v>
      </c>
      <c r="F5153" t="s">
        <v>41</v>
      </c>
      <c r="G5153">
        <v>-300.87830000000002</v>
      </c>
      <c r="H5153" s="1">
        <v>-1.3730199999999999E-6</v>
      </c>
      <c r="I5153">
        <v>-27.755050000000001</v>
      </c>
      <c r="J5153">
        <v>-301.54520000000002</v>
      </c>
      <c r="K5153">
        <v>1.1087450000000001</v>
      </c>
      <c r="L5153">
        <v>-5.1728820000000004</v>
      </c>
      <c r="M5153">
        <v>0.1457582</v>
      </c>
      <c r="N5153">
        <v>0</v>
      </c>
      <c r="O5153">
        <v>-0.98928769999999999</v>
      </c>
      <c r="P5153">
        <v>1.8918339999999999E-2</v>
      </c>
      <c r="Q5153">
        <v>0.16642789999999999</v>
      </c>
      <c r="R5153">
        <v>-0.98587210000000003</v>
      </c>
      <c r="S5153">
        <v>9.4360349999999996E-2</v>
      </c>
      <c r="T5153">
        <v>-0.14890690000000001</v>
      </c>
      <c r="U5153">
        <v>-3.0686650000000002</v>
      </c>
      <c r="V5153">
        <v>0.12515000000000001</v>
      </c>
      <c r="W5153">
        <v>0.1741598</v>
      </c>
      <c r="X5153">
        <v>0.9767323</v>
      </c>
      <c r="Y5153">
        <v>0.1153218</v>
      </c>
      <c r="Z5153">
        <v>4.7519539999999999E-2</v>
      </c>
      <c r="AA5153">
        <v>0.99219089999999999</v>
      </c>
      <c r="AB5153">
        <v>14</v>
      </c>
      <c r="AC5153">
        <v>0.66689999999999805</v>
      </c>
      <c r="AD5153">
        <v>-1.10874637302</v>
      </c>
      <c r="AE5153">
        <v>-22.582167999999999</v>
      </c>
      <c r="AF5153">
        <v>2.6255412008162802</v>
      </c>
      <c r="AG5153">
        <v>-1.10874637302</v>
      </c>
      <c r="AH5153">
        <v>22.3842761267002</v>
      </c>
      <c r="AI5153">
        <v>92.816402239868097</v>
      </c>
      <c r="AJ5153">
        <v>83.310116838640596</v>
      </c>
      <c r="AK5153">
        <v>22.564986213894102</v>
      </c>
      <c r="AL5153">
        <v>79.970233353302106</v>
      </c>
      <c r="AM5153">
        <v>82.698400955229701</v>
      </c>
      <c r="AN5153">
        <v>1.00000007214966</v>
      </c>
    </row>
    <row r="5154" spans="1:40" x14ac:dyDescent="0.25">
      <c r="A5154" t="str">
        <f>"20190312172809611"</f>
        <v>20190312172809611</v>
      </c>
      <c r="B5154" t="str">
        <f>"1552382889604253"</f>
        <v>1552382889604253</v>
      </c>
      <c r="C5154" t="s">
        <v>40</v>
      </c>
      <c r="D5154">
        <v>3.3985639999999999</v>
      </c>
      <c r="E5154">
        <v>0.49217139999999998</v>
      </c>
      <c r="F5154" t="s">
        <v>41</v>
      </c>
      <c r="G5154">
        <v>-300.74220000000003</v>
      </c>
      <c r="H5154" s="1">
        <v>-1.6190219999999901E-6</v>
      </c>
      <c r="I5154">
        <v>-27.09723</v>
      </c>
      <c r="J5154">
        <v>-301.50689999999997</v>
      </c>
      <c r="K5154">
        <v>1.1090009999999999</v>
      </c>
      <c r="L5154">
        <v>-5.4573359999999997</v>
      </c>
      <c r="M5154">
        <v>0.1429549</v>
      </c>
      <c r="N5154">
        <v>0</v>
      </c>
      <c r="O5154">
        <v>-0.98969549999999995</v>
      </c>
      <c r="P5154">
        <v>2.2777479999999999E-2</v>
      </c>
      <c r="Q5154">
        <v>0.1668077</v>
      </c>
      <c r="R5154">
        <v>-0.9857264</v>
      </c>
      <c r="S5154">
        <v>0.112335199999999</v>
      </c>
      <c r="T5154">
        <v>-0.155103399999999</v>
      </c>
      <c r="U5154">
        <v>-3.0670169999999999</v>
      </c>
      <c r="V5154">
        <v>0.11851680000000001</v>
      </c>
      <c r="W5154">
        <v>0.17468610000000001</v>
      </c>
      <c r="X5154">
        <v>0.97746529999999998</v>
      </c>
      <c r="Y5154">
        <v>0.106682399999999</v>
      </c>
      <c r="Z5154">
        <v>4.9569120000000001E-2</v>
      </c>
      <c r="AA5154">
        <v>0.99305679999999996</v>
      </c>
      <c r="AB5154">
        <v>14</v>
      </c>
      <c r="AC5154">
        <v>0.76469999999994798</v>
      </c>
      <c r="AD5154">
        <v>-1.1090026190219999</v>
      </c>
      <c r="AE5154">
        <v>-21.639894000000002</v>
      </c>
      <c r="AF5154">
        <v>2.3306731219509902</v>
      </c>
      <c r="AG5154">
        <v>-1.1090026190219999</v>
      </c>
      <c r="AH5154">
        <v>21.470622072218301</v>
      </c>
      <c r="AI5154">
        <v>92.939581428301196</v>
      </c>
      <c r="AJ5154">
        <v>83.804702196100493</v>
      </c>
      <c r="AK5154">
        <v>21.625206037825599</v>
      </c>
      <c r="AL5154">
        <v>79.9396077896549</v>
      </c>
      <c r="AM5154">
        <v>83.086684141518305</v>
      </c>
      <c r="AN5154">
        <v>0.99999993905976803</v>
      </c>
    </row>
    <row r="5155" spans="1:40" x14ac:dyDescent="0.25">
      <c r="A5155" t="str">
        <f>"20190312172809655"</f>
        <v>20190312172809655</v>
      </c>
      <c r="B5155" t="str">
        <f>"1552382889644270"</f>
        <v>1552382889644270</v>
      </c>
      <c r="C5155" t="s">
        <v>40</v>
      </c>
      <c r="D5155">
        <v>3.413087</v>
      </c>
      <c r="E5155">
        <v>0.49247469999999999</v>
      </c>
      <c r="F5155" t="s">
        <v>41</v>
      </c>
      <c r="G5155">
        <v>-300.59649999999999</v>
      </c>
      <c r="H5155" s="1">
        <v>-1.196272E-6</v>
      </c>
      <c r="I5155">
        <v>-27.99231</v>
      </c>
      <c r="J5155">
        <v>-301.46789999999999</v>
      </c>
      <c r="K5155">
        <v>1.1091359999999999</v>
      </c>
      <c r="L5155">
        <v>-5.7504269999999904</v>
      </c>
      <c r="M5155">
        <v>0.1403479</v>
      </c>
      <c r="N5155">
        <v>0</v>
      </c>
      <c r="O5155">
        <v>-0.99006830000000001</v>
      </c>
      <c r="P5155">
        <v>2.5146249999999998E-2</v>
      </c>
      <c r="Q5155">
        <v>0.16782159999999999</v>
      </c>
      <c r="R5155">
        <v>-0.98549679999999995</v>
      </c>
      <c r="S5155">
        <v>0.1238708</v>
      </c>
      <c r="T5155">
        <v>-0.15089050000000001</v>
      </c>
      <c r="U5155">
        <v>-3.0661010000000002</v>
      </c>
      <c r="V5155">
        <v>0.11356520000000001</v>
      </c>
      <c r="W5155">
        <v>0.17578189999999999</v>
      </c>
      <c r="X5155">
        <v>0.97785670000000002</v>
      </c>
      <c r="Y5155">
        <v>0.1003178</v>
      </c>
      <c r="Z5155">
        <v>4.8280629999999998E-2</v>
      </c>
      <c r="AA5155">
        <v>0.99378339999999998</v>
      </c>
      <c r="AB5155">
        <v>15</v>
      </c>
      <c r="AC5155">
        <v>0.87139999999999396</v>
      </c>
      <c r="AD5155">
        <v>-1.109137196272</v>
      </c>
      <c r="AE5155">
        <v>-22.241883000000001</v>
      </c>
      <c r="AF5155">
        <v>2.2533371499400001</v>
      </c>
      <c r="AG5155">
        <v>-1.109137196272</v>
      </c>
      <c r="AH5155">
        <v>22.089181322042201</v>
      </c>
      <c r="AI5155">
        <v>92.859693187723806</v>
      </c>
      <c r="AJ5155">
        <v>84.175354691495997</v>
      </c>
      <c r="AK5155">
        <v>22.2315011888426</v>
      </c>
      <c r="AL5155">
        <v>79.875837232860107</v>
      </c>
      <c r="AM5155">
        <v>83.375525222721507</v>
      </c>
      <c r="AN5155">
        <v>1.0000000283767601</v>
      </c>
    </row>
    <row r="5156" spans="1:40" x14ac:dyDescent="0.25">
      <c r="A5156" t="str">
        <f>"20190312172809682"</f>
        <v>20190312172809682</v>
      </c>
      <c r="B5156" t="str">
        <f>"1552382889674526"</f>
        <v>1552382889674526</v>
      </c>
      <c r="C5156" t="s">
        <v>40</v>
      </c>
      <c r="D5156">
        <v>3.436623</v>
      </c>
      <c r="E5156">
        <v>0.49276379999999997</v>
      </c>
      <c r="F5156" t="s">
        <v>41</v>
      </c>
      <c r="G5156">
        <v>-300.4898</v>
      </c>
      <c r="H5156" s="1">
        <v>-7.7689090000000005E-7</v>
      </c>
      <c r="I5156">
        <v>-28.90372</v>
      </c>
      <c r="J5156">
        <v>-301.44479999999999</v>
      </c>
      <c r="K5156">
        <v>1.1091759999999999</v>
      </c>
      <c r="L5156">
        <v>-5.926056</v>
      </c>
      <c r="M5156">
        <v>0.13887260000000001</v>
      </c>
      <c r="N5156">
        <v>0</v>
      </c>
      <c r="O5156">
        <v>-0.99027589999999999</v>
      </c>
      <c r="P5156">
        <v>2.6472369999999999E-2</v>
      </c>
      <c r="Q5156">
        <v>0.16733310000000001</v>
      </c>
      <c r="R5156">
        <v>-0.985545</v>
      </c>
      <c r="S5156">
        <v>0.12951660000000001</v>
      </c>
      <c r="T5156">
        <v>-0.14686689999999999</v>
      </c>
      <c r="U5156">
        <v>-3.0658569999999998</v>
      </c>
      <c r="V5156">
        <v>0.1108088</v>
      </c>
      <c r="W5156">
        <v>0.1753265</v>
      </c>
      <c r="X5156">
        <v>0.97825459999999997</v>
      </c>
      <c r="Y5156">
        <v>9.7002130000000006E-2</v>
      </c>
      <c r="Z5156">
        <v>4.7020930000000002E-2</v>
      </c>
      <c r="AA5156">
        <v>0.99417279999999997</v>
      </c>
      <c r="AB5156">
        <v>15</v>
      </c>
      <c r="AC5156">
        <v>0.95499999999998397</v>
      </c>
      <c r="AD5156">
        <v>-1.10917677689089</v>
      </c>
      <c r="AE5156">
        <v>-22.977664000000001</v>
      </c>
      <c r="AF5156">
        <v>2.2401199625439401</v>
      </c>
      <c r="AG5156">
        <v>-1.10917677689089</v>
      </c>
      <c r="AH5156">
        <v>22.8345121056634</v>
      </c>
      <c r="AI5156">
        <v>92.767667037630702</v>
      </c>
      <c r="AJ5156">
        <v>84.397076143471494</v>
      </c>
      <c r="AK5156">
        <v>22.9709240927018</v>
      </c>
      <c r="AL5156">
        <v>79.902341230213906</v>
      </c>
      <c r="AM5156">
        <v>83.537540684700403</v>
      </c>
      <c r="AN5156">
        <v>1.00000001709042</v>
      </c>
    </row>
    <row r="5157" spans="1:40" x14ac:dyDescent="0.25">
      <c r="A5157" t="str">
        <f>"20190312172809722"</f>
        <v>20190312172809722</v>
      </c>
      <c r="B5157" t="str">
        <f>"1552382889714545"</f>
        <v>1552382889714545</v>
      </c>
      <c r="C5157" t="s">
        <v>40</v>
      </c>
      <c r="D5157">
        <v>3.4447410000000001</v>
      </c>
      <c r="E5157">
        <v>0.49306699999999998</v>
      </c>
      <c r="F5157" t="s">
        <v>41</v>
      </c>
      <c r="G5157">
        <v>-300.47489999999999</v>
      </c>
      <c r="H5157" s="1">
        <v>-8.3738500000000003E-7</v>
      </c>
      <c r="I5157">
        <v>-28.753489999999999</v>
      </c>
      <c r="J5157">
        <v>-301.41019999999997</v>
      </c>
      <c r="K5157">
        <v>1.1092169999999999</v>
      </c>
      <c r="L5157">
        <v>-6.1918329999999999</v>
      </c>
      <c r="M5157">
        <v>0.136756399999999</v>
      </c>
      <c r="N5157">
        <v>0</v>
      </c>
      <c r="O5157">
        <v>-0.99057010000000001</v>
      </c>
      <c r="P5157">
        <v>2.680596E-2</v>
      </c>
      <c r="Q5157">
        <v>0.16788529999999999</v>
      </c>
      <c r="R5157">
        <v>-0.9854425</v>
      </c>
      <c r="S5157">
        <v>0.130249</v>
      </c>
      <c r="T5157">
        <v>-0.14896599999999999</v>
      </c>
      <c r="U5157">
        <v>-3.0657960000000002</v>
      </c>
      <c r="V5157">
        <v>0.10837860000000001</v>
      </c>
      <c r="W5157">
        <v>0.17591989999999999</v>
      </c>
      <c r="X5157">
        <v>0.97842030000000002</v>
      </c>
      <c r="Y5157">
        <v>9.4638899999999901E-2</v>
      </c>
      <c r="Z5157">
        <v>4.7719009999999999E-2</v>
      </c>
      <c r="AA5157">
        <v>0.99436729999999995</v>
      </c>
      <c r="AB5157">
        <v>15</v>
      </c>
      <c r="AC5157">
        <v>0.93529999999998303</v>
      </c>
      <c r="AD5157">
        <v>-1.1092178373849999</v>
      </c>
      <c r="AE5157">
        <v>-22.561657</v>
      </c>
      <c r="AF5157">
        <v>2.15384769360832</v>
      </c>
      <c r="AG5157">
        <v>-1.1092178373849999</v>
      </c>
      <c r="AH5157">
        <v>22.423475247453698</v>
      </c>
      <c r="AI5157">
        <v>92.818977852025398</v>
      </c>
      <c r="AJ5157">
        <v>84.513386381722199</v>
      </c>
      <c r="AK5157">
        <v>22.553972294724598</v>
      </c>
      <c r="AL5157">
        <v>79.8678050409858</v>
      </c>
      <c r="AM5157">
        <v>83.679173670724495</v>
      </c>
      <c r="AN5157">
        <v>1.00000000780303</v>
      </c>
    </row>
    <row r="5158" spans="1:40" x14ac:dyDescent="0.25">
      <c r="A5158" t="str">
        <f>"20190312172809747"</f>
        <v>20190312172809747</v>
      </c>
      <c r="B5158" t="str">
        <f>"1552382889744797"</f>
        <v>1552382889744797</v>
      </c>
      <c r="C5158" t="s">
        <v>40</v>
      </c>
      <c r="D5158">
        <v>3.4147789999999998</v>
      </c>
      <c r="E5158">
        <v>0.49323640000000002</v>
      </c>
      <c r="F5158" t="s">
        <v>41</v>
      </c>
      <c r="G5158">
        <v>-300.41579999999999</v>
      </c>
      <c r="H5158" s="1">
        <v>-6.1447869999999897E-7</v>
      </c>
      <c r="I5158">
        <v>-29.236419999999999</v>
      </c>
      <c r="J5158">
        <v>-301.38799999999998</v>
      </c>
      <c r="K5158">
        <v>1.1092500000000001</v>
      </c>
      <c r="L5158">
        <v>-6.3640140000000001</v>
      </c>
      <c r="M5158">
        <v>0.1354581</v>
      </c>
      <c r="N5158">
        <v>0</v>
      </c>
      <c r="O5158">
        <v>-0.99074830000000003</v>
      </c>
      <c r="P5158">
        <v>2.5501820000000001E-2</v>
      </c>
      <c r="Q5158">
        <v>0.1652855</v>
      </c>
      <c r="R5158">
        <v>-0.98591629999999997</v>
      </c>
      <c r="S5158">
        <v>0.13229369999999999</v>
      </c>
      <c r="T5158">
        <v>-0.14757049999999999</v>
      </c>
      <c r="U5158">
        <v>-3.0658569999999998</v>
      </c>
      <c r="V5158">
        <v>0.1084442</v>
      </c>
      <c r="W5158">
        <v>0.17334840000000001</v>
      </c>
      <c r="X5158">
        <v>0.97887190000000002</v>
      </c>
      <c r="Y5158">
        <v>9.2672009999999999E-2</v>
      </c>
      <c r="Z5158">
        <v>4.7288709999999998E-2</v>
      </c>
      <c r="AA5158">
        <v>0.99457309999999999</v>
      </c>
      <c r="AB5158">
        <v>15</v>
      </c>
      <c r="AC5158">
        <v>0.97219999999998596</v>
      </c>
      <c r="AD5158">
        <v>-1.1092506144787</v>
      </c>
      <c r="AE5158">
        <v>-22.872405999999899</v>
      </c>
      <c r="AF5158">
        <v>2.1301197408011099</v>
      </c>
      <c r="AG5158">
        <v>-1.1092506144787</v>
      </c>
      <c r="AH5158">
        <v>22.739887517984499</v>
      </c>
      <c r="AI5158">
        <v>92.780518509565894</v>
      </c>
      <c r="AJ5158">
        <v>84.648532696991197</v>
      </c>
      <c r="AK5158">
        <v>22.866358069584599</v>
      </c>
      <c r="AL5158">
        <v>80.017440539652796</v>
      </c>
      <c r="AM5158">
        <v>83.678272978851595</v>
      </c>
      <c r="AN5158">
        <v>1.0000000044529</v>
      </c>
    </row>
    <row r="5159" spans="1:40" x14ac:dyDescent="0.25">
      <c r="A5159" t="str">
        <f>"20190312172809778"</f>
        <v>20190312172809778</v>
      </c>
      <c r="B5159" t="str">
        <f>"1552382889775053"</f>
        <v>1552382889775053</v>
      </c>
      <c r="C5159" t="s">
        <v>40</v>
      </c>
      <c r="D5159">
        <v>3.4630019999999901</v>
      </c>
      <c r="E5159">
        <v>0.4934945</v>
      </c>
      <c r="F5159" t="s">
        <v>41</v>
      </c>
      <c r="G5159">
        <v>-300.4796</v>
      </c>
      <c r="H5159" s="1">
        <v>-1.113117E-6</v>
      </c>
      <c r="I5159">
        <v>-28.113610000000001</v>
      </c>
      <c r="J5159">
        <v>-301.3621</v>
      </c>
      <c r="K5159">
        <v>1.1092959999999901</v>
      </c>
      <c r="L5159">
        <v>-6.5662229999999999</v>
      </c>
      <c r="M5159">
        <v>0.13403109999999999</v>
      </c>
      <c r="N5159">
        <v>0</v>
      </c>
      <c r="O5159">
        <v>-0.99094199999999999</v>
      </c>
      <c r="P5159">
        <v>2.3618320000000002E-2</v>
      </c>
      <c r="Q5159">
        <v>0.16172120000000001</v>
      </c>
      <c r="R5159">
        <v>-0.98655400000000004</v>
      </c>
      <c r="S5159">
        <v>0.12805179999999999</v>
      </c>
      <c r="T5159">
        <v>-0.156357</v>
      </c>
      <c r="U5159">
        <v>-3.0657649999999999</v>
      </c>
      <c r="V5159">
        <v>0.10896889999999899</v>
      </c>
      <c r="W5159">
        <v>0.1698162</v>
      </c>
      <c r="X5159">
        <v>0.97943259999999999</v>
      </c>
      <c r="Y5159">
        <v>9.2616199999999996E-2</v>
      </c>
      <c r="Z5159">
        <v>5.0115149999999997E-2</v>
      </c>
      <c r="AA5159">
        <v>0.99443990000000004</v>
      </c>
      <c r="AB5159">
        <v>15</v>
      </c>
      <c r="AC5159">
        <v>0.88249999999999296</v>
      </c>
      <c r="AD5159">
        <v>-1.10929711311699</v>
      </c>
      <c r="AE5159">
        <v>-21.547387000000001</v>
      </c>
      <c r="AF5159">
        <v>2.00827001198568</v>
      </c>
      <c r="AG5159">
        <v>-1.10929711311699</v>
      </c>
      <c r="AH5159">
        <v>21.414579089861501</v>
      </c>
      <c r="AI5159">
        <v>92.9523982168689</v>
      </c>
      <c r="AJ5159">
        <v>84.642442460095793</v>
      </c>
      <c r="AK5159">
        <v>21.537128084360301</v>
      </c>
      <c r="AL5159">
        <v>80.222867193646493</v>
      </c>
      <c r="AM5159">
        <v>83.651541842851103</v>
      </c>
      <c r="AN5159">
        <v>0.99999999044620502</v>
      </c>
    </row>
    <row r="5160" spans="1:40" x14ac:dyDescent="0.25">
      <c r="A5160" t="str">
        <f>"20190312172809812"</f>
        <v>20190312172809812</v>
      </c>
      <c r="B5160" t="str">
        <f>"1552382889804334"</f>
        <v>1552382889804334</v>
      </c>
      <c r="C5160" t="s">
        <v>40</v>
      </c>
      <c r="D5160">
        <v>3.4717699999999998</v>
      </c>
      <c r="E5160">
        <v>0.4937802</v>
      </c>
      <c r="F5160" t="s">
        <v>41</v>
      </c>
      <c r="G5160">
        <v>-300.56689999999998</v>
      </c>
      <c r="H5160" s="1">
        <v>-1.7061310000000001E-6</v>
      </c>
      <c r="I5160">
        <v>-26.785430000000002</v>
      </c>
      <c r="J5160">
        <v>-301.3338</v>
      </c>
      <c r="K5160">
        <v>1.1093440000000001</v>
      </c>
      <c r="L5160">
        <v>-6.7891240000000002</v>
      </c>
      <c r="M5160">
        <v>0.1325759</v>
      </c>
      <c r="N5160">
        <v>0</v>
      </c>
      <c r="O5160">
        <v>-0.99113799999999996</v>
      </c>
      <c r="P5160">
        <v>2.1211020000000001E-2</v>
      </c>
      <c r="Q5160">
        <v>0.15904679999999999</v>
      </c>
      <c r="R5160">
        <v>-0.98704340000000002</v>
      </c>
      <c r="S5160">
        <v>0.120575</v>
      </c>
      <c r="T5160">
        <v>-0.1681888</v>
      </c>
      <c r="U5160">
        <v>-3.065582</v>
      </c>
      <c r="V5160">
        <v>0.1099623</v>
      </c>
      <c r="W5160">
        <v>0.16716339999999999</v>
      </c>
      <c r="X5160">
        <v>0.97977789999999998</v>
      </c>
      <c r="Y5160">
        <v>9.358081E-2</v>
      </c>
      <c r="Z5160">
        <v>5.3915930000000001E-2</v>
      </c>
      <c r="AA5160">
        <v>0.9941508</v>
      </c>
      <c r="AB5160">
        <v>15</v>
      </c>
      <c r="AC5160">
        <v>0.76690000000002101</v>
      </c>
      <c r="AD5160">
        <v>-1.1093457061309999</v>
      </c>
      <c r="AE5160">
        <v>-19.996306000000001</v>
      </c>
      <c r="AF5160">
        <v>1.8851962099680799</v>
      </c>
      <c r="AG5160">
        <v>-1.1093457061309999</v>
      </c>
      <c r="AH5160">
        <v>19.860423676604398</v>
      </c>
      <c r="AI5160">
        <v>93.182776977223995</v>
      </c>
      <c r="AJ5160">
        <v>84.577602125504896</v>
      </c>
      <c r="AK5160">
        <v>19.9805165413715</v>
      </c>
      <c r="AL5160">
        <v>80.377066310033598</v>
      </c>
      <c r="AM5160">
        <v>83.596384775170705</v>
      </c>
      <c r="AN5160">
        <v>1.0000000215246201</v>
      </c>
    </row>
    <row r="5161" spans="1:40" x14ac:dyDescent="0.25">
      <c r="A5161" t="str">
        <f>"20190312172809845"</f>
        <v>20190312172809845</v>
      </c>
      <c r="B5161" t="str">
        <f>"1552382889834590"</f>
        <v>1552382889834590</v>
      </c>
      <c r="C5161" t="s">
        <v>40</v>
      </c>
      <c r="D5161">
        <v>3.4639920000000002</v>
      </c>
      <c r="E5161">
        <v>0.49396699999999999</v>
      </c>
      <c r="F5161" t="s">
        <v>41</v>
      </c>
      <c r="G5161">
        <v>-300.62700000000001</v>
      </c>
      <c r="H5161" s="1">
        <v>-2.0661500000000001E-6</v>
      </c>
      <c r="I5161">
        <v>-25.98349</v>
      </c>
      <c r="J5161">
        <v>-301.30509999999998</v>
      </c>
      <c r="K5161">
        <v>1.1093789999999999</v>
      </c>
      <c r="L5161">
        <v>-7.0160220000000004</v>
      </c>
      <c r="M5161">
        <v>0.13122449999999999</v>
      </c>
      <c r="N5161">
        <v>0</v>
      </c>
      <c r="O5161">
        <v>-0.99131769999999997</v>
      </c>
      <c r="P5161">
        <v>2.007333E-2</v>
      </c>
      <c r="Q5161">
        <v>0.1572025</v>
      </c>
      <c r="R5161">
        <v>-0.98736270000000004</v>
      </c>
      <c r="S5161">
        <v>0.1128845</v>
      </c>
      <c r="T5161">
        <v>-0.1771713</v>
      </c>
      <c r="U5161">
        <v>-3.0654910000000002</v>
      </c>
      <c r="V5161">
        <v>0.1097828</v>
      </c>
      <c r="W5161">
        <v>0.16532820000000001</v>
      </c>
      <c r="X5161">
        <v>0.98010929999999996</v>
      </c>
      <c r="Y5161">
        <v>9.4718469999999999E-2</v>
      </c>
      <c r="Z5161">
        <v>5.680292E-2</v>
      </c>
      <c r="AA5161">
        <v>0.99388220000000005</v>
      </c>
      <c r="AB5161">
        <v>15</v>
      </c>
      <c r="AC5161">
        <v>0.67809999999997195</v>
      </c>
      <c r="AD5161">
        <v>-1.1093810661499901</v>
      </c>
      <c r="AE5161">
        <v>-18.967468</v>
      </c>
      <c r="AF5161">
        <v>1.8106607539566799</v>
      </c>
      <c r="AG5161">
        <v>-1.1093810661499901</v>
      </c>
      <c r="AH5161">
        <v>18.828097996817299</v>
      </c>
      <c r="AI5161">
        <v>93.356608424306302</v>
      </c>
      <c r="AJ5161">
        <v>84.506871236531097</v>
      </c>
      <c r="AK5161">
        <v>18.947466661630699</v>
      </c>
      <c r="AL5161">
        <v>80.483698802105096</v>
      </c>
      <c r="AM5161">
        <v>83.608895103806603</v>
      </c>
      <c r="AN5161">
        <v>0.99999995841878397</v>
      </c>
    </row>
    <row r="5162" spans="1:40" x14ac:dyDescent="0.25">
      <c r="A5162" t="str">
        <f>"20190312172809878"</f>
        <v>20190312172809878</v>
      </c>
      <c r="B5162" t="str">
        <f>"1552382889874606"</f>
        <v>1552382889874606</v>
      </c>
      <c r="C5162" t="s">
        <v>40</v>
      </c>
      <c r="D5162">
        <v>3.4333900000000002</v>
      </c>
      <c r="E5162">
        <v>0.49417620000000001</v>
      </c>
      <c r="F5162" t="s">
        <v>41</v>
      </c>
      <c r="G5162">
        <v>-300.6481</v>
      </c>
      <c r="H5162" s="1">
        <v>-2.240861E-6</v>
      </c>
      <c r="I5162">
        <v>-25.589320000000001</v>
      </c>
      <c r="J5162">
        <v>-301.27640000000002</v>
      </c>
      <c r="K5162">
        <v>1.1093869999999999</v>
      </c>
      <c r="L5162">
        <v>-7.2437440000000004</v>
      </c>
      <c r="M5162">
        <v>0.129971</v>
      </c>
      <c r="N5162">
        <v>0</v>
      </c>
      <c r="O5162">
        <v>-0.99148270000000005</v>
      </c>
      <c r="P5162">
        <v>1.8429520000000001E-2</v>
      </c>
      <c r="Q5162">
        <v>0.15781400000000001</v>
      </c>
      <c r="R5162">
        <v>-0.98729699999999998</v>
      </c>
      <c r="S5162">
        <v>0.108429</v>
      </c>
      <c r="T5162">
        <v>-0.18309220000000001</v>
      </c>
      <c r="U5162">
        <v>-3.0653380000000001</v>
      </c>
      <c r="V5162">
        <v>0.1101611</v>
      </c>
      <c r="W5162">
        <v>0.1659292</v>
      </c>
      <c r="X5162">
        <v>0.97996530000000004</v>
      </c>
      <c r="Y5162">
        <v>9.4904630000000004E-2</v>
      </c>
      <c r="Z5162">
        <v>5.8713250000000002E-2</v>
      </c>
      <c r="AA5162">
        <v>0.99375340000000001</v>
      </c>
      <c r="AB5162">
        <v>15</v>
      </c>
      <c r="AC5162">
        <v>0.62830000000002395</v>
      </c>
      <c r="AD5162">
        <v>-1.109389240861</v>
      </c>
      <c r="AE5162">
        <v>-18.345576000000001</v>
      </c>
      <c r="AF5162">
        <v>1.75509500353885</v>
      </c>
      <c r="AG5162">
        <v>-1.109389240861</v>
      </c>
      <c r="AH5162">
        <v>18.2051227103934</v>
      </c>
      <c r="AI5162">
        <v>93.471141279084193</v>
      </c>
      <c r="AJ5162">
        <v>84.493323543204895</v>
      </c>
      <c r="AK5162">
        <v>18.323143722070899</v>
      </c>
      <c r="AL5162">
        <v>80.448781960444293</v>
      </c>
      <c r="AM5162">
        <v>83.586120696625301</v>
      </c>
      <c r="AN5162">
        <v>0.999999978284969</v>
      </c>
    </row>
    <row r="5163" spans="1:40" x14ac:dyDescent="0.25">
      <c r="A5163" t="str">
        <f>"20190312172809911"</f>
        <v>20190312172809911</v>
      </c>
      <c r="B5163" t="str">
        <f>"1552382889904864"</f>
        <v>1552382889904864</v>
      </c>
      <c r="C5163" t="s">
        <v>40</v>
      </c>
      <c r="D5163">
        <v>3.4453740000000002</v>
      </c>
      <c r="E5163">
        <v>0.49433820000000001</v>
      </c>
      <c r="F5163" t="s">
        <v>41</v>
      </c>
      <c r="G5163">
        <v>-300.65809999999999</v>
      </c>
      <c r="H5163" s="1">
        <v>-2.0870250000000001E-6</v>
      </c>
      <c r="I5163">
        <v>-25.95411</v>
      </c>
      <c r="J5163">
        <v>-301.24810000000002</v>
      </c>
      <c r="K5163">
        <v>1.109372</v>
      </c>
      <c r="L5163">
        <v>-7.471069</v>
      </c>
      <c r="M5163">
        <v>0.12877949999999999</v>
      </c>
      <c r="N5163">
        <v>0</v>
      </c>
      <c r="O5163">
        <v>-0.99163840000000003</v>
      </c>
      <c r="P5163">
        <v>1.7643849999999999E-2</v>
      </c>
      <c r="Q5163">
        <v>0.15872439999999999</v>
      </c>
      <c r="R5163">
        <v>-0.98716559999999998</v>
      </c>
      <c r="S5163">
        <v>0.1013184</v>
      </c>
      <c r="T5163">
        <v>-0.18177760000000001</v>
      </c>
      <c r="U5163">
        <v>-3.0657649999999999</v>
      </c>
      <c r="V5163">
        <v>0.109748499999999</v>
      </c>
      <c r="W5163">
        <v>0.1668066</v>
      </c>
      <c r="X5163">
        <v>0.97986260000000003</v>
      </c>
      <c r="Y5163">
        <v>9.6014619999999995E-2</v>
      </c>
      <c r="Z5163">
        <v>5.8297929999999998E-2</v>
      </c>
      <c r="AA5163">
        <v>0.99367119999999998</v>
      </c>
      <c r="AB5163">
        <v>15</v>
      </c>
      <c r="AC5163">
        <v>0.59000000000003106</v>
      </c>
      <c r="AD5163">
        <v>-1.109374087025</v>
      </c>
      <c r="AE5163">
        <v>-18.483041</v>
      </c>
      <c r="AF5163">
        <v>1.7887945207842499</v>
      </c>
      <c r="AG5163">
        <v>-1.109374087025</v>
      </c>
      <c r="AH5163">
        <v>18.3391090594052</v>
      </c>
      <c r="AI5163">
        <v>93.445421126796106</v>
      </c>
      <c r="AJ5163">
        <v>84.428999418144102</v>
      </c>
      <c r="AK5163">
        <v>18.459507517680599</v>
      </c>
      <c r="AL5163">
        <v>80.397799822375504</v>
      </c>
      <c r="AM5163">
        <v>83.609280111617096</v>
      </c>
      <c r="AN5163">
        <v>0.99999994496728295</v>
      </c>
    </row>
    <row r="5164" spans="1:40" x14ac:dyDescent="0.25">
      <c r="A5164" t="str">
        <f>"20190312172809945"</f>
        <v>20190312172809945</v>
      </c>
      <c r="B5164" t="str">
        <f>"1552382889934680"</f>
        <v>1552382889934680</v>
      </c>
      <c r="C5164" t="s">
        <v>40</v>
      </c>
      <c r="D5164">
        <v>3.4311129999999999</v>
      </c>
      <c r="E5164">
        <v>0.49444700000000003</v>
      </c>
      <c r="F5164" t="s">
        <v>41</v>
      </c>
      <c r="G5164">
        <v>-300.63830000000002</v>
      </c>
      <c r="H5164" s="1">
        <v>-1.9013140000000001E-6</v>
      </c>
      <c r="I5164">
        <v>-26.374749999999999</v>
      </c>
      <c r="J5164">
        <v>-301.21949999999998</v>
      </c>
      <c r="K5164">
        <v>1.109353</v>
      </c>
      <c r="L5164">
        <v>-7.7028499999999998</v>
      </c>
      <c r="M5164">
        <v>0.1275839</v>
      </c>
      <c r="N5164">
        <v>0</v>
      </c>
      <c r="O5164">
        <v>-0.99179329999999999</v>
      </c>
      <c r="P5164">
        <v>1.895875E-2</v>
      </c>
      <c r="Q5164">
        <v>0.15884899999999999</v>
      </c>
      <c r="R5164">
        <v>-0.98712100000000003</v>
      </c>
      <c r="S5164">
        <v>9.8907469999999997E-2</v>
      </c>
      <c r="T5164">
        <v>-0.1799395</v>
      </c>
      <c r="U5164">
        <v>-3.0661619999999998</v>
      </c>
      <c r="V5164">
        <v>0.1072645</v>
      </c>
      <c r="W5164">
        <v>0.16688320000000001</v>
      </c>
      <c r="X5164">
        <v>0.98012469999999996</v>
      </c>
      <c r="Y5164">
        <v>9.5598119999999995E-2</v>
      </c>
      <c r="Z5164">
        <v>5.7718480000000003E-2</v>
      </c>
      <c r="AA5164">
        <v>0.9937452</v>
      </c>
      <c r="AB5164">
        <v>15</v>
      </c>
      <c r="AC5164">
        <v>0.58119999999996697</v>
      </c>
      <c r="AD5164">
        <v>-1.1093549013140001</v>
      </c>
      <c r="AE5164">
        <v>-18.671900000000001</v>
      </c>
      <c r="AF5164">
        <v>1.79951931891862</v>
      </c>
      <c r="AG5164">
        <v>-1.1093549013140001</v>
      </c>
      <c r="AH5164">
        <v>18.528113653770799</v>
      </c>
      <c r="AI5164">
        <v>93.410435574912995</v>
      </c>
      <c r="AJ5164">
        <v>84.452619946754297</v>
      </c>
      <c r="AK5164">
        <v>18.6483225423435</v>
      </c>
      <c r="AL5164">
        <v>80.393349605827893</v>
      </c>
      <c r="AM5164">
        <v>83.754425533033697</v>
      </c>
      <c r="AN5164">
        <v>1.0000000514762799</v>
      </c>
    </row>
    <row r="5165" spans="1:40" x14ac:dyDescent="0.25">
      <c r="A5165" t="str">
        <f>"20190312172809979"</f>
        <v>20190312172809979</v>
      </c>
      <c r="B5165" t="str">
        <f>"1552382889974697"</f>
        <v>1552382889974697</v>
      </c>
      <c r="C5165" t="s">
        <v>40</v>
      </c>
      <c r="D5165">
        <v>3.4023210000000002</v>
      </c>
      <c r="E5165">
        <v>0.49453320000000001</v>
      </c>
      <c r="F5165" t="s">
        <v>41</v>
      </c>
      <c r="G5165">
        <v>-300.59870000000001</v>
      </c>
      <c r="H5165" s="1">
        <v>-1.8220450000000001E-6</v>
      </c>
      <c r="I5165">
        <v>-26.534970000000001</v>
      </c>
      <c r="J5165">
        <v>-301.19060000000002</v>
      </c>
      <c r="K5165">
        <v>1.1093219999999999</v>
      </c>
      <c r="L5165">
        <v>-7.9383539999999897</v>
      </c>
      <c r="M5165">
        <v>0.12635750000000001</v>
      </c>
      <c r="N5165">
        <v>0</v>
      </c>
      <c r="O5165">
        <v>-0.99195120000000003</v>
      </c>
      <c r="P5165">
        <v>2.02916E-2</v>
      </c>
      <c r="Q5165">
        <v>0.159221</v>
      </c>
      <c r="R5165">
        <v>-0.987035</v>
      </c>
      <c r="S5165">
        <v>0.1010742</v>
      </c>
      <c r="T5165">
        <v>-0.1806257</v>
      </c>
      <c r="U5165">
        <v>-3.0662539999999998</v>
      </c>
      <c r="V5165">
        <v>0.10472869999999999</v>
      </c>
      <c r="W5165">
        <v>0.16719300000000001</v>
      </c>
      <c r="X5165">
        <v>0.9803461</v>
      </c>
      <c r="Y5165">
        <v>9.3667020000000004E-2</v>
      </c>
      <c r="Z5165">
        <v>5.795467E-2</v>
      </c>
      <c r="AA5165">
        <v>0.9939154</v>
      </c>
      <c r="AB5165">
        <v>15</v>
      </c>
      <c r="AC5165">
        <v>0.59190000000000897</v>
      </c>
      <c r="AD5165">
        <v>-1.1093238220449999</v>
      </c>
      <c r="AE5165">
        <v>-18.596616000000001</v>
      </c>
      <c r="AF5165">
        <v>1.7565007688832901</v>
      </c>
      <c r="AG5165">
        <v>-1.1093238220449999</v>
      </c>
      <c r="AH5165">
        <v>18.456734275613599</v>
      </c>
      <c r="AI5165">
        <v>93.424134260018803</v>
      </c>
      <c r="AJ5165">
        <v>84.563616426105</v>
      </c>
      <c r="AK5165">
        <v>18.573285504020401</v>
      </c>
      <c r="AL5165">
        <v>80.375346304933501</v>
      </c>
      <c r="AM5165">
        <v>83.902315697688095</v>
      </c>
      <c r="AN5165">
        <v>1.00000003781894</v>
      </c>
    </row>
    <row r="5166" spans="1:40" x14ac:dyDescent="0.25">
      <c r="A5166" t="str">
        <f>"20190312172810016"</f>
        <v>20190312172810016</v>
      </c>
      <c r="B5166" t="str">
        <f>"1552382890004953"</f>
        <v>1552382890004953</v>
      </c>
      <c r="C5166" t="s">
        <v>40</v>
      </c>
      <c r="D5166">
        <v>3.4102350000000001</v>
      </c>
      <c r="E5166">
        <v>0.49458590000000002</v>
      </c>
      <c r="F5166" t="s">
        <v>41</v>
      </c>
      <c r="G5166">
        <v>-300.55459999999999</v>
      </c>
      <c r="H5166" s="1">
        <v>-1.6885800000000001E-6</v>
      </c>
      <c r="I5166">
        <v>-26.818709999999999</v>
      </c>
      <c r="J5166">
        <v>-301.15980000000002</v>
      </c>
      <c r="K5166">
        <v>1.1092850000000001</v>
      </c>
      <c r="L5166">
        <v>-8.1933589999999992</v>
      </c>
      <c r="M5166">
        <v>0.12500169999999999</v>
      </c>
      <c r="N5166">
        <v>0</v>
      </c>
      <c r="O5166">
        <v>-0.99212350000000005</v>
      </c>
      <c r="P5166">
        <v>2.1716490000000001E-2</v>
      </c>
      <c r="Q5166">
        <v>0.15850249999999999</v>
      </c>
      <c r="R5166">
        <v>-0.9871202</v>
      </c>
      <c r="S5166">
        <v>0.103302</v>
      </c>
      <c r="T5166">
        <v>-0.18016460000000001</v>
      </c>
      <c r="U5166">
        <v>-3.0663450000000001</v>
      </c>
      <c r="V5166">
        <v>0.1019943</v>
      </c>
      <c r="W5166">
        <v>0.16639379999999901</v>
      </c>
      <c r="X5166">
        <v>0.98077020000000004</v>
      </c>
      <c r="Y5166">
        <v>9.1585520000000004E-2</v>
      </c>
      <c r="Z5166">
        <v>5.782557E-2</v>
      </c>
      <c r="AA5166">
        <v>0.99411680000000002</v>
      </c>
      <c r="AB5166">
        <v>16</v>
      </c>
      <c r="AC5166">
        <v>0.60520000000002405</v>
      </c>
      <c r="AD5166">
        <v>-1.1092866885799999</v>
      </c>
      <c r="AE5166">
        <v>-18.625350999999998</v>
      </c>
      <c r="AF5166">
        <v>1.7217232569923</v>
      </c>
      <c r="AG5166">
        <v>-1.1092866885799999</v>
      </c>
      <c r="AH5166">
        <v>18.489392124796201</v>
      </c>
      <c r="AI5166">
        <v>93.418638476978003</v>
      </c>
      <c r="AJ5166">
        <v>84.679986358085998</v>
      </c>
      <c r="AK5166">
        <v>18.6024855617631</v>
      </c>
      <c r="AL5166">
        <v>80.421786891365002</v>
      </c>
      <c r="AM5166">
        <v>84.062919152550904</v>
      </c>
      <c r="AN5166">
        <v>0.99999995955948395</v>
      </c>
    </row>
    <row r="5167" spans="1:40" x14ac:dyDescent="0.25">
      <c r="A5167" t="str">
        <f>"20190312172810045"</f>
        <v>20190312172810045</v>
      </c>
      <c r="B5167" t="str">
        <f>"1552382890034999"</f>
        <v>1552382890034999</v>
      </c>
      <c r="C5167" t="s">
        <v>40</v>
      </c>
      <c r="D5167">
        <v>3.4108649999999998</v>
      </c>
      <c r="E5167">
        <v>0.49465540000000002</v>
      </c>
      <c r="F5167" t="s">
        <v>41</v>
      </c>
      <c r="G5167">
        <v>-300.51069999999999</v>
      </c>
      <c r="H5167" s="1">
        <v>-1.6803630000000001E-6</v>
      </c>
      <c r="I5167">
        <v>-26.810649999999999</v>
      </c>
      <c r="J5167">
        <v>-301.13400000000001</v>
      </c>
      <c r="K5167">
        <v>1.1092409999999999</v>
      </c>
      <c r="L5167">
        <v>-8.4086610000000004</v>
      </c>
      <c r="M5167">
        <v>0.12383039999999899</v>
      </c>
      <c r="N5167">
        <v>0</v>
      </c>
      <c r="O5167">
        <v>-0.99227089999999996</v>
      </c>
      <c r="P5167">
        <v>2.3142469999999998E-2</v>
      </c>
      <c r="Q5167">
        <v>0.15753020000000001</v>
      </c>
      <c r="R5167">
        <v>-0.98724339999999999</v>
      </c>
      <c r="S5167">
        <v>0.1069031</v>
      </c>
      <c r="T5167">
        <v>-0.1826913</v>
      </c>
      <c r="U5167">
        <v>-3.0661320000000001</v>
      </c>
      <c r="V5167">
        <v>9.9442299999999997E-2</v>
      </c>
      <c r="W5167">
        <v>0.16534749999999901</v>
      </c>
      <c r="X5167">
        <v>0.9812092</v>
      </c>
      <c r="Y5167">
        <v>8.924282E-2</v>
      </c>
      <c r="Z5167">
        <v>5.8656050000000001E-2</v>
      </c>
      <c r="AA5167">
        <v>0.99428119999999998</v>
      </c>
      <c r="AB5167">
        <v>16</v>
      </c>
      <c r="AC5167">
        <v>0.62330000000002805</v>
      </c>
      <c r="AD5167">
        <v>-1.109242680363</v>
      </c>
      <c r="AE5167">
        <v>-18.401989</v>
      </c>
      <c r="AF5167">
        <v>1.6542927832033201</v>
      </c>
      <c r="AG5167">
        <v>-1.109242680363</v>
      </c>
      <c r="AH5167">
        <v>18.271220840939598</v>
      </c>
      <c r="AI5167">
        <v>93.460034373278404</v>
      </c>
      <c r="AJ5167">
        <v>84.826494641862794</v>
      </c>
      <c r="AK5167">
        <v>18.3794617699998</v>
      </c>
      <c r="AL5167">
        <v>80.482578254038003</v>
      </c>
      <c r="AM5167">
        <v>84.213021663208906</v>
      </c>
      <c r="AN5167">
        <v>1.00000003047508</v>
      </c>
    </row>
    <row r="5168" spans="1:40" x14ac:dyDescent="0.25">
      <c r="A5168" t="str">
        <f>"20190312172810079"</f>
        <v>20190312172810079</v>
      </c>
      <c r="B5168" t="str">
        <f>"1552382890075015"</f>
        <v>1552382890075015</v>
      </c>
      <c r="C5168" t="s">
        <v>40</v>
      </c>
      <c r="D5168">
        <v>3.3997130000000002</v>
      </c>
      <c r="E5168">
        <v>0.49467830000000002</v>
      </c>
      <c r="F5168" t="s">
        <v>41</v>
      </c>
      <c r="G5168">
        <v>-300.4803</v>
      </c>
      <c r="H5168" s="1">
        <v>-1.7379779999999999E-6</v>
      </c>
      <c r="I5168">
        <v>-26.657499999999999</v>
      </c>
      <c r="J5168">
        <v>-301.10629999999998</v>
      </c>
      <c r="K5168">
        <v>1.1092010000000001</v>
      </c>
      <c r="L5168">
        <v>-8.6434329999999999</v>
      </c>
      <c r="M5168">
        <v>0.12251099999999999</v>
      </c>
      <c r="N5168">
        <v>0</v>
      </c>
      <c r="O5168">
        <v>-0.99243530000000002</v>
      </c>
      <c r="P5168">
        <v>2.285887E-2</v>
      </c>
      <c r="Q5168">
        <v>0.15882460000000001</v>
      </c>
      <c r="R5168">
        <v>-0.98704239999999999</v>
      </c>
      <c r="S5168">
        <v>0.10983279999999999</v>
      </c>
      <c r="T5168">
        <v>-0.18635959999999999</v>
      </c>
      <c r="U5168">
        <v>-3.0659179999999999</v>
      </c>
      <c r="V5168">
        <v>9.840409E-2</v>
      </c>
      <c r="W5168">
        <v>0.16654849999999999</v>
      </c>
      <c r="X5168">
        <v>0.9811107</v>
      </c>
      <c r="Y5168">
        <v>8.6969439999999995E-2</v>
      </c>
      <c r="Z5168">
        <v>5.9853699999999899E-2</v>
      </c>
      <c r="AA5168">
        <v>0.9944113</v>
      </c>
      <c r="AB5168">
        <v>16</v>
      </c>
      <c r="AC5168">
        <v>0.62599999999997602</v>
      </c>
      <c r="AD5168">
        <v>-1.1092027379780001</v>
      </c>
      <c r="AE5168">
        <v>-18.014066999999901</v>
      </c>
      <c r="AF5168">
        <v>1.57972487043831</v>
      </c>
      <c r="AG5168">
        <v>-1.1092027379780001</v>
      </c>
      <c r="AH5168">
        <v>17.887319549181299</v>
      </c>
      <c r="AI5168">
        <v>93.534677232071402</v>
      </c>
      <c r="AJ5168">
        <v>84.952997584760197</v>
      </c>
      <c r="AK5168">
        <v>17.991166222197599</v>
      </c>
      <c r="AL5168">
        <v>80.412798065913904</v>
      </c>
      <c r="AM5168">
        <v>84.272464746314</v>
      </c>
      <c r="AN5168">
        <v>0.99999998671773405</v>
      </c>
    </row>
    <row r="5169" spans="1:40" x14ac:dyDescent="0.25">
      <c r="A5169" t="str">
        <f>"20190312172810113"</f>
        <v>20190312172810113</v>
      </c>
      <c r="B5169" t="str">
        <f>"1552382890104295"</f>
        <v>1552382890104295</v>
      </c>
      <c r="C5169" t="s">
        <v>40</v>
      </c>
      <c r="D5169">
        <v>3.4276689999999999</v>
      </c>
      <c r="E5169">
        <v>0.49470789999999998</v>
      </c>
      <c r="F5169" t="s">
        <v>41</v>
      </c>
      <c r="G5169">
        <v>-300.45179999999999</v>
      </c>
      <c r="H5169" s="1">
        <v>-1.477537E-6</v>
      </c>
      <c r="I5169">
        <v>-27.246929999999999</v>
      </c>
      <c r="J5169">
        <v>-301.07830000000001</v>
      </c>
      <c r="K5169">
        <v>1.1091549999999999</v>
      </c>
      <c r="L5169">
        <v>-8.8834529999999994</v>
      </c>
      <c r="M5169">
        <v>0.1211001</v>
      </c>
      <c r="N5169">
        <v>0</v>
      </c>
      <c r="O5169">
        <v>-0.99260910000000002</v>
      </c>
      <c r="P5169">
        <v>2.2037939999999999E-2</v>
      </c>
      <c r="Q5169">
        <v>0.1589691</v>
      </c>
      <c r="R5169">
        <v>-0.98703739999999995</v>
      </c>
      <c r="S5169">
        <v>0.10787960000000001</v>
      </c>
      <c r="T5169">
        <v>-0.18282390000000001</v>
      </c>
      <c r="U5169">
        <v>-3.0663149999999999</v>
      </c>
      <c r="V5169">
        <v>9.7836389999999995E-2</v>
      </c>
      <c r="W5169">
        <v>0.1665884</v>
      </c>
      <c r="X5169">
        <v>0.9811607</v>
      </c>
      <c r="Y5169">
        <v>8.618808E-2</v>
      </c>
      <c r="Z5169">
        <v>5.8732670000000001E-2</v>
      </c>
      <c r="AA5169">
        <v>0.99454620000000005</v>
      </c>
      <c r="AB5169">
        <v>16</v>
      </c>
      <c r="AC5169">
        <v>0.62650000000002104</v>
      </c>
      <c r="AD5169">
        <v>-1.109156477537</v>
      </c>
      <c r="AE5169">
        <v>-18.363477</v>
      </c>
      <c r="AF5169">
        <v>1.5961825296662999</v>
      </c>
      <c r="AG5169">
        <v>-1.109156477537</v>
      </c>
      <c r="AH5169">
        <v>18.237733370585001</v>
      </c>
      <c r="AI5169">
        <v>93.467025845471994</v>
      </c>
      <c r="AJ5169">
        <v>84.9981679843915</v>
      </c>
      <c r="AK5169">
        <v>18.341018108497199</v>
      </c>
      <c r="AL5169">
        <v>80.4104795747688</v>
      </c>
      <c r="AM5169">
        <v>84.305577784072895</v>
      </c>
      <c r="AN5169">
        <v>0.99999998672364099</v>
      </c>
    </row>
    <row r="5170" spans="1:40" x14ac:dyDescent="0.25">
      <c r="A5170" t="str">
        <f>"20190312172810146"</f>
        <v>20190312172810146</v>
      </c>
      <c r="B5170" t="str">
        <f>"1552382890135105"</f>
        <v>1552382890135105</v>
      </c>
      <c r="C5170" t="s">
        <v>40</v>
      </c>
      <c r="D5170">
        <v>3.430383</v>
      </c>
      <c r="E5170">
        <v>0.49474800000000002</v>
      </c>
      <c r="F5170" t="s">
        <v>41</v>
      </c>
      <c r="G5170">
        <v>-300.44209999999998</v>
      </c>
      <c r="H5170" s="1">
        <v>-1.3509489999999999E-6</v>
      </c>
      <c r="I5170">
        <v>-27.536010000000001</v>
      </c>
      <c r="J5170">
        <v>-301.0505</v>
      </c>
      <c r="K5170">
        <v>1.1091059999999999</v>
      </c>
      <c r="L5170">
        <v>-9.1264040000000008</v>
      </c>
      <c r="M5170">
        <v>0.1195885</v>
      </c>
      <c r="N5170">
        <v>0</v>
      </c>
      <c r="O5170">
        <v>-0.99279340000000005</v>
      </c>
      <c r="P5170">
        <v>2.1618979999999999E-2</v>
      </c>
      <c r="Q5170">
        <v>0.15925010000000001</v>
      </c>
      <c r="R5170">
        <v>-0.98700149999999998</v>
      </c>
      <c r="S5170">
        <v>0.1045837</v>
      </c>
      <c r="T5170">
        <v>-0.18234259999999999</v>
      </c>
      <c r="U5170">
        <v>-3.0664370000000001</v>
      </c>
      <c r="V5170">
        <v>9.6771780000000002E-2</v>
      </c>
      <c r="W5170">
        <v>0.16675719999999999</v>
      </c>
      <c r="X5170">
        <v>0.98123760000000004</v>
      </c>
      <c r="Y5170">
        <v>8.5739689999999993E-2</v>
      </c>
      <c r="Z5170">
        <v>5.8594790000000001E-2</v>
      </c>
      <c r="AA5170">
        <v>0.99459310000000001</v>
      </c>
      <c r="AB5170">
        <v>16</v>
      </c>
      <c r="AC5170">
        <v>0.60840000000001704</v>
      </c>
      <c r="AD5170">
        <v>-1.1091073509489999</v>
      </c>
      <c r="AE5170">
        <v>-18.409606</v>
      </c>
      <c r="AF5170">
        <v>1.5918380519855899</v>
      </c>
      <c r="AG5170">
        <v>-1.1091073509489999</v>
      </c>
      <c r="AH5170">
        <v>18.283951228346201</v>
      </c>
      <c r="AI5170">
        <v>93.458267582946604</v>
      </c>
      <c r="AJ5170">
        <v>85.024259075216406</v>
      </c>
      <c r="AK5170">
        <v>18.386596749268801</v>
      </c>
      <c r="AL5170">
        <v>80.400670822617698</v>
      </c>
      <c r="AM5170">
        <v>84.367579780736904</v>
      </c>
      <c r="AN5170">
        <v>0.99999998440498405</v>
      </c>
    </row>
    <row r="5171" spans="1:40" x14ac:dyDescent="0.25">
      <c r="A5171" t="str">
        <f>"20190312172810180"</f>
        <v>20190312172810180</v>
      </c>
      <c r="B5171" t="str">
        <f>"1552382890175120"</f>
        <v>1552382890175120</v>
      </c>
      <c r="C5171" t="s">
        <v>40</v>
      </c>
      <c r="D5171">
        <v>3.4425129999999999</v>
      </c>
      <c r="E5171">
        <v>0.49479139999999999</v>
      </c>
      <c r="F5171" t="s">
        <v>41</v>
      </c>
      <c r="G5171">
        <v>-300.42849999999999</v>
      </c>
      <c r="H5171" s="1">
        <v>-1.20525E-6</v>
      </c>
      <c r="I5171">
        <v>-27.867190000000001</v>
      </c>
      <c r="J5171">
        <v>-301.0224</v>
      </c>
      <c r="K5171">
        <v>1.1090329999999999</v>
      </c>
      <c r="L5171">
        <v>-9.3760680000000001</v>
      </c>
      <c r="M5171">
        <v>0.1178888</v>
      </c>
      <c r="N5171">
        <v>0</v>
      </c>
      <c r="O5171">
        <v>-0.99299740000000003</v>
      </c>
      <c r="P5171">
        <v>2.1223510000000001E-2</v>
      </c>
      <c r="Q5171">
        <v>0.15996830000000001</v>
      </c>
      <c r="R5171">
        <v>-0.9868941</v>
      </c>
      <c r="S5171">
        <v>0.10177609999999999</v>
      </c>
      <c r="T5171">
        <v>-0.18148339999999999</v>
      </c>
      <c r="U5171">
        <v>-3.0665589999999998</v>
      </c>
      <c r="V5171">
        <v>9.5499710000000002E-2</v>
      </c>
      <c r="W5171">
        <v>0.16736509999999999</v>
      </c>
      <c r="X5171">
        <v>0.98125870000000004</v>
      </c>
      <c r="Y5171">
        <v>8.4944489999999997E-2</v>
      </c>
      <c r="Z5171">
        <v>5.8338199999999903E-2</v>
      </c>
      <c r="AA5171">
        <v>0.99467640000000002</v>
      </c>
      <c r="AB5171">
        <v>16</v>
      </c>
      <c r="AC5171">
        <v>0.59390000000001897</v>
      </c>
      <c r="AD5171">
        <v>-1.10903420525</v>
      </c>
      <c r="AE5171">
        <v>-18.491122000000001</v>
      </c>
      <c r="AF5171">
        <v>1.5845075567479601</v>
      </c>
      <c r="AG5171">
        <v>-1.10903420525</v>
      </c>
      <c r="AH5171">
        <v>18.366189815399501</v>
      </c>
      <c r="AI5171">
        <v>93.442826353086502</v>
      </c>
      <c r="AJ5171">
        <v>85.069126653922694</v>
      </c>
      <c r="AK5171">
        <v>18.4677434842779</v>
      </c>
      <c r="AL5171">
        <v>80.365343958958405</v>
      </c>
      <c r="AM5171">
        <v>84.441270220555893</v>
      </c>
      <c r="AN5171">
        <v>0.999999953816891</v>
      </c>
    </row>
    <row r="5172" spans="1:40" x14ac:dyDescent="0.25">
      <c r="A5172" t="str">
        <f>"20190312172810247"</f>
        <v>20190312172810247</v>
      </c>
      <c r="B5172" t="str">
        <f>"1552382890245208"</f>
        <v>1552382890245208</v>
      </c>
      <c r="C5172" t="s">
        <v>40</v>
      </c>
      <c r="D5172">
        <v>3.4237820000000001</v>
      </c>
      <c r="E5172">
        <v>0.49493409999999899</v>
      </c>
      <c r="F5172" t="s">
        <v>41</v>
      </c>
      <c r="G5172">
        <v>-300.4074</v>
      </c>
      <c r="H5172" s="1">
        <v>-9.8461929999999999E-7</v>
      </c>
      <c r="I5172">
        <v>-28.368410000000001</v>
      </c>
      <c r="J5172">
        <v>-300.96940000000001</v>
      </c>
      <c r="K5172">
        <v>1.108798</v>
      </c>
      <c r="L5172">
        <v>-9.8658750000000008</v>
      </c>
      <c r="M5172">
        <v>0.11392819999999999</v>
      </c>
      <c r="N5172">
        <v>0</v>
      </c>
      <c r="O5172">
        <v>-0.99346080000000003</v>
      </c>
      <c r="P5172">
        <v>1.9037889999999998E-2</v>
      </c>
      <c r="Q5172">
        <v>0.15817899999999999</v>
      </c>
      <c r="R5172">
        <v>-0.98722730000000003</v>
      </c>
      <c r="S5172">
        <v>9.9304199999999995E-2</v>
      </c>
      <c r="T5172">
        <v>-0.1790785</v>
      </c>
      <c r="U5172">
        <v>-3.0667420000000001</v>
      </c>
      <c r="V5172">
        <v>9.3870839999999997E-2</v>
      </c>
      <c r="W5172">
        <v>0.16538510000000001</v>
      </c>
      <c r="X5172">
        <v>0.9817515</v>
      </c>
      <c r="Y5172">
        <v>8.1772189999999995E-2</v>
      </c>
      <c r="Z5172">
        <v>5.7613150000000002E-2</v>
      </c>
      <c r="AA5172">
        <v>0.99498439999999999</v>
      </c>
      <c r="AB5172">
        <v>16</v>
      </c>
      <c r="AC5172">
        <v>0.56200000000001105</v>
      </c>
      <c r="AD5172">
        <v>-1.1087989846193</v>
      </c>
      <c r="AE5172">
        <v>-18.502534999999899</v>
      </c>
      <c r="AF5172">
        <v>1.5441386880378101</v>
      </c>
      <c r="AG5172">
        <v>-1.1087989846193</v>
      </c>
      <c r="AH5172">
        <v>18.3801409428937</v>
      </c>
      <c r="AI5172">
        <v>93.440147591011097</v>
      </c>
      <c r="AJ5172">
        <v>85.197786365838198</v>
      </c>
      <c r="AK5172">
        <v>18.478186614406301</v>
      </c>
      <c r="AL5172">
        <v>80.480393439146695</v>
      </c>
      <c r="AM5172">
        <v>84.538229025532303</v>
      </c>
      <c r="AN5172">
        <v>0.99999998682828195</v>
      </c>
    </row>
    <row r="5173" spans="1:40" x14ac:dyDescent="0.25">
      <c r="A5173" t="str">
        <f>"20190312172810280"</f>
        <v>20190312172810280</v>
      </c>
      <c r="B5173" t="str">
        <f>"1552382890274491"</f>
        <v>1552382890274491</v>
      </c>
      <c r="C5173" t="s">
        <v>40</v>
      </c>
      <c r="D5173">
        <v>3.3786040000000002</v>
      </c>
      <c r="E5173">
        <v>0.49499159999999998</v>
      </c>
      <c r="F5173" t="s">
        <v>41</v>
      </c>
      <c r="G5173">
        <v>-300.42469999999997</v>
      </c>
      <c r="H5173" s="1">
        <v>-1.020253E-6</v>
      </c>
      <c r="I5173">
        <v>-28.296050000000001</v>
      </c>
      <c r="J5173">
        <v>-300.9436</v>
      </c>
      <c r="K5173">
        <v>1.1086879999999999</v>
      </c>
      <c r="L5173">
        <v>-10.1167</v>
      </c>
      <c r="M5173">
        <v>0.1115666</v>
      </c>
      <c r="N5173">
        <v>0</v>
      </c>
      <c r="O5173">
        <v>-0.99372919999999998</v>
      </c>
      <c r="P5173">
        <v>1.7075719999999999E-2</v>
      </c>
      <c r="Q5173">
        <v>0.15653839999999999</v>
      </c>
      <c r="R5173">
        <v>-0.98752439999999997</v>
      </c>
      <c r="S5173">
        <v>9.0637209999999996E-2</v>
      </c>
      <c r="T5173">
        <v>-0.1844944</v>
      </c>
      <c r="U5173">
        <v>-3.0666199999999999</v>
      </c>
      <c r="V5173">
        <v>9.3550590000000003E-2</v>
      </c>
      <c r="W5173">
        <v>0.1636609</v>
      </c>
      <c r="X5173">
        <v>0.98207100000000003</v>
      </c>
      <c r="Y5173">
        <v>8.221436E-2</v>
      </c>
      <c r="Z5173">
        <v>5.9377310000000003E-2</v>
      </c>
      <c r="AA5173">
        <v>0.99484430000000001</v>
      </c>
      <c r="AB5173">
        <v>17</v>
      </c>
      <c r="AC5173">
        <v>0.51890000000003</v>
      </c>
      <c r="AD5173">
        <v>-1.108689020253</v>
      </c>
      <c r="AE5173">
        <v>-18.179349999999999</v>
      </c>
      <c r="AF5173">
        <v>1.5070034586724499</v>
      </c>
      <c r="AG5173">
        <v>-1.108689020253</v>
      </c>
      <c r="AH5173">
        <v>18.056639167060901</v>
      </c>
      <c r="AI5173">
        <v>93.501442827704295</v>
      </c>
      <c r="AJ5173">
        <v>85.229162460754694</v>
      </c>
      <c r="AK5173">
        <v>18.153304624159201</v>
      </c>
      <c r="AL5173">
        <v>80.580547986240603</v>
      </c>
      <c r="AM5173">
        <v>84.558510550092706</v>
      </c>
      <c r="AN5173">
        <v>1.0000000260595701</v>
      </c>
    </row>
    <row r="5174" spans="1:40" x14ac:dyDescent="0.25">
      <c r="A5174" t="str">
        <f>"20190312172810314"</f>
        <v>20190312172810314</v>
      </c>
      <c r="B5174" t="str">
        <f>"1552382890304747"</f>
        <v>1552382890304747</v>
      </c>
      <c r="C5174" t="s">
        <v>40</v>
      </c>
      <c r="D5174">
        <v>3.4382109999999999</v>
      </c>
      <c r="E5174">
        <v>0.49502930000000001</v>
      </c>
      <c r="F5174" t="s">
        <v>41</v>
      </c>
      <c r="G5174">
        <v>-300.44650000000001</v>
      </c>
      <c r="H5174" s="1">
        <v>-1.127739E-6</v>
      </c>
      <c r="I5174">
        <v>-28.059000000000001</v>
      </c>
      <c r="J5174">
        <v>-300.91829999999999</v>
      </c>
      <c r="K5174">
        <v>1.1085769999999999</v>
      </c>
      <c r="L5174">
        <v>-10.370089999999999</v>
      </c>
      <c r="M5174">
        <v>0.1089108</v>
      </c>
      <c r="N5174">
        <v>0</v>
      </c>
      <c r="O5174">
        <v>-0.99402420000000002</v>
      </c>
      <c r="P5174">
        <v>1.4419070000000001E-2</v>
      </c>
      <c r="Q5174">
        <v>0.15482770000000001</v>
      </c>
      <c r="R5174">
        <v>-0.98783639999999995</v>
      </c>
      <c r="S5174">
        <v>8.4960939999999999E-2</v>
      </c>
      <c r="T5174">
        <v>-0.18948290000000001</v>
      </c>
      <c r="U5174">
        <v>-3.0664669999999998</v>
      </c>
      <c r="V5174">
        <v>9.3632569999999998E-2</v>
      </c>
      <c r="W5174">
        <v>0.1618754</v>
      </c>
      <c r="X5174">
        <v>0.98235910000000004</v>
      </c>
      <c r="Y5174">
        <v>8.139246E-2</v>
      </c>
      <c r="Z5174">
        <v>6.1010710000000003E-2</v>
      </c>
      <c r="AA5174">
        <v>0.99481299999999995</v>
      </c>
      <c r="AB5174">
        <v>17</v>
      </c>
      <c r="AC5174">
        <v>0.47179999999997302</v>
      </c>
      <c r="AD5174">
        <v>-1.1085781277390001</v>
      </c>
      <c r="AE5174">
        <v>-17.68891</v>
      </c>
      <c r="AF5174">
        <v>1.45187394678933</v>
      </c>
      <c r="AG5174">
        <v>-1.1085781277390001</v>
      </c>
      <c r="AH5174">
        <v>17.566123596776201</v>
      </c>
      <c r="AI5174">
        <v>93.598843598335094</v>
      </c>
      <c r="AJ5174">
        <v>85.275133003447706</v>
      </c>
      <c r="AK5174">
        <v>17.660848836901501</v>
      </c>
      <c r="AL5174">
        <v>80.684232558155699</v>
      </c>
      <c r="AM5174">
        <v>84.555358373589399</v>
      </c>
      <c r="AN5174">
        <v>1.0000000523213799</v>
      </c>
    </row>
    <row r="5175" spans="1:40" x14ac:dyDescent="0.25">
      <c r="A5175" t="str">
        <f>"20190312172810347"</f>
        <v>20190312172810347</v>
      </c>
      <c r="B5175" t="str">
        <f>"1552382890334530"</f>
        <v>1552382890334530</v>
      </c>
      <c r="C5175" t="s">
        <v>40</v>
      </c>
      <c r="D5175">
        <v>3.4295200000000001</v>
      </c>
      <c r="E5175">
        <v>0.49507610000000002</v>
      </c>
      <c r="F5175" t="s">
        <v>44</v>
      </c>
      <c r="G5175">
        <v>-300.89679999999998</v>
      </c>
      <c r="H5175">
        <v>1.054856</v>
      </c>
      <c r="I5175">
        <v>-11.217219999999999</v>
      </c>
      <c r="J5175">
        <v>-300.89420000000001</v>
      </c>
      <c r="K5175">
        <v>1.1084719999999999</v>
      </c>
      <c r="L5175">
        <v>-10.62088</v>
      </c>
      <c r="M5175">
        <v>0.1060369</v>
      </c>
      <c r="N5175">
        <v>0</v>
      </c>
      <c r="O5175">
        <v>-0.99433550000000004</v>
      </c>
      <c r="P5175">
        <v>1.054423E-2</v>
      </c>
      <c r="Q5175">
        <v>0.154132399999999</v>
      </c>
      <c r="R5175">
        <v>-0.98799429999999999</v>
      </c>
      <c r="S5175">
        <v>7.794189E-2</v>
      </c>
      <c r="T5175">
        <v>-0.1944584</v>
      </c>
      <c r="U5175">
        <v>-3.066284</v>
      </c>
      <c r="V5175">
        <v>9.469458E-2</v>
      </c>
      <c r="W5175">
        <v>0.16110650000000001</v>
      </c>
      <c r="X5175">
        <v>0.98238369999999997</v>
      </c>
      <c r="Y5175">
        <v>8.0787849999999994E-2</v>
      </c>
      <c r="Z5175">
        <v>6.2643019999999994E-2</v>
      </c>
      <c r="AA5175">
        <v>0.99476089999999995</v>
      </c>
      <c r="AB5175">
        <v>17</v>
      </c>
      <c r="AC5175">
        <v>-2.5999999999726199E-3</v>
      </c>
      <c r="AD5175">
        <v>-5.3615999999999803E-2</v>
      </c>
      <c r="AE5175">
        <v>-0.59633999999999898</v>
      </c>
      <c r="AF5175">
        <v>6.5293274495397596E-2</v>
      </c>
      <c r="AG5175">
        <v>-5.3615999999999803E-2</v>
      </c>
      <c r="AH5175">
        <v>0.58794945395723597</v>
      </c>
      <c r="AI5175">
        <v>95.1788156940177</v>
      </c>
      <c r="AJ5175">
        <v>83.663123781828205</v>
      </c>
      <c r="AK5175">
        <v>0.59398859211178701</v>
      </c>
      <c r="AL5175">
        <v>80.728873213590106</v>
      </c>
      <c r="AM5175">
        <v>84.494117957944198</v>
      </c>
      <c r="AN5175">
        <v>1.0000000509246501</v>
      </c>
    </row>
    <row r="5176" spans="1:40" x14ac:dyDescent="0.25">
      <c r="A5176" t="str">
        <f>"20190312172810381"</f>
        <v>20190312172810381</v>
      </c>
      <c r="B5176" t="str">
        <f>"1552382890374546"</f>
        <v>1552382890374546</v>
      </c>
      <c r="C5176" t="s">
        <v>40</v>
      </c>
      <c r="D5176">
        <v>3.3962650000000001</v>
      </c>
      <c r="E5176">
        <v>0.49511139999999998</v>
      </c>
      <c r="F5176" t="s">
        <v>41</v>
      </c>
      <c r="G5176">
        <v>-300.51909999999998</v>
      </c>
      <c r="H5176" s="1">
        <v>-1.198783E-6</v>
      </c>
      <c r="I5176">
        <v>-27.938469999999999</v>
      </c>
      <c r="J5176">
        <v>-300.87029999999999</v>
      </c>
      <c r="K5176">
        <v>1.1083799999999999</v>
      </c>
      <c r="L5176">
        <v>-10.88083</v>
      </c>
      <c r="M5176">
        <v>0.10285030000000001</v>
      </c>
      <c r="N5176">
        <v>0</v>
      </c>
      <c r="O5176">
        <v>-0.99467030000000001</v>
      </c>
      <c r="P5176">
        <v>5.7801249999999997E-3</v>
      </c>
      <c r="Q5176">
        <v>0.15450520000000001</v>
      </c>
      <c r="R5176">
        <v>-0.98797520000000005</v>
      </c>
      <c r="S5176">
        <v>6.640625E-2</v>
      </c>
      <c r="T5176">
        <v>-0.19627430000000001</v>
      </c>
      <c r="U5176">
        <v>-3.066376</v>
      </c>
      <c r="V5176">
        <v>9.6312060000000005E-2</v>
      </c>
      <c r="W5176">
        <v>0.16140669999999999</v>
      </c>
      <c r="X5176">
        <v>0.98217710000000003</v>
      </c>
      <c r="Y5176">
        <v>8.1335840000000006E-2</v>
      </c>
      <c r="Z5176">
        <v>6.3257079999999993E-2</v>
      </c>
      <c r="AA5176">
        <v>0.99467740000000004</v>
      </c>
      <c r="AB5176">
        <v>17</v>
      </c>
      <c r="AC5176">
        <v>0.35120000000000501</v>
      </c>
      <c r="AD5176">
        <v>-1.1083811987829999</v>
      </c>
      <c r="AE5176">
        <v>-17.057639999999999</v>
      </c>
      <c r="AF5176">
        <v>1.39918711743633</v>
      </c>
      <c r="AG5176">
        <v>-1.1083811987829999</v>
      </c>
      <c r="AH5176">
        <v>16.931838319616499</v>
      </c>
      <c r="AI5176">
        <v>93.732629246235803</v>
      </c>
      <c r="AJ5176">
        <v>85.276013336307003</v>
      </c>
      <c r="AK5176">
        <v>17.025668337925801</v>
      </c>
      <c r="AL5176">
        <v>80.7114444117978</v>
      </c>
      <c r="AM5176">
        <v>84.399494232415705</v>
      </c>
      <c r="AN5176">
        <v>0.99999999573537102</v>
      </c>
    </row>
    <row r="5177" spans="1:40" x14ac:dyDescent="0.25">
      <c r="A5177" t="str">
        <f>"20190312172810415"</f>
        <v>20190312172810415</v>
      </c>
      <c r="B5177" t="str">
        <f>"1552382890404802"</f>
        <v>1552382890404802</v>
      </c>
      <c r="C5177" t="s">
        <v>40</v>
      </c>
      <c r="D5177">
        <v>3.41648</v>
      </c>
      <c r="E5177">
        <v>0.49512270000000003</v>
      </c>
      <c r="F5177" t="s">
        <v>44</v>
      </c>
      <c r="G5177">
        <v>-300.85700000000003</v>
      </c>
      <c r="H5177">
        <v>1.057383</v>
      </c>
      <c r="I5177">
        <v>-11.68327</v>
      </c>
      <c r="J5177">
        <v>-300.84699999999998</v>
      </c>
      <c r="K5177">
        <v>1.1083099999999999</v>
      </c>
      <c r="L5177">
        <v>-11.145569999999999</v>
      </c>
      <c r="M5177">
        <v>9.9441180000000004E-2</v>
      </c>
      <c r="N5177">
        <v>0</v>
      </c>
      <c r="O5177">
        <v>-0.99501729999999999</v>
      </c>
      <c r="P5177">
        <v>2.2883669999999999E-3</v>
      </c>
      <c r="Q5177">
        <v>0.15474499999999999</v>
      </c>
      <c r="R5177">
        <v>-0.9879521</v>
      </c>
      <c r="S5177">
        <v>5.2032469999999997E-2</v>
      </c>
      <c r="T5177">
        <v>-0.1945992</v>
      </c>
      <c r="U5177">
        <v>-3.0666500000000001</v>
      </c>
      <c r="V5177">
        <v>9.6436980000000005E-2</v>
      </c>
      <c r="W5177">
        <v>0.1615917</v>
      </c>
      <c r="X5177">
        <v>0.98213450000000002</v>
      </c>
      <c r="Y5177">
        <v>8.2582039999999995E-2</v>
      </c>
      <c r="Z5177">
        <v>6.2746179999999999E-2</v>
      </c>
      <c r="AA5177">
        <v>0.99460700000000002</v>
      </c>
      <c r="AB5177">
        <v>17</v>
      </c>
      <c r="AC5177">
        <v>-1.00000000000477E-2</v>
      </c>
      <c r="AD5177">
        <v>-5.0927000000000097E-2</v>
      </c>
      <c r="AE5177">
        <v>-0.53770000000000095</v>
      </c>
      <c r="AF5177">
        <v>6.2857676109096594E-2</v>
      </c>
      <c r="AG5177">
        <v>-5.0927000000000097E-2</v>
      </c>
      <c r="AH5177">
        <v>0.52929389876188304</v>
      </c>
      <c r="AI5177">
        <v>95.457784395618006</v>
      </c>
      <c r="AJ5177">
        <v>83.227410321489501</v>
      </c>
      <c r="AK5177">
        <v>0.53544063913882201</v>
      </c>
      <c r="AL5177">
        <v>80.700704416317095</v>
      </c>
      <c r="AM5177">
        <v>84.392034773441196</v>
      </c>
      <c r="AN5177">
        <v>1.00000007235532</v>
      </c>
    </row>
    <row r="5178" spans="1:40" x14ac:dyDescent="0.25">
      <c r="A5178" t="str">
        <f>"20190312172810448"</f>
        <v>20190312172810448</v>
      </c>
      <c r="B5178" t="str">
        <f>"1552382890444349"</f>
        <v>1552382890444349</v>
      </c>
      <c r="C5178" t="s">
        <v>40</v>
      </c>
      <c r="D5178">
        <v>3.3930989999999999</v>
      </c>
      <c r="E5178">
        <v>0.49514520000000001</v>
      </c>
      <c r="F5178" t="s">
        <v>44</v>
      </c>
      <c r="G5178">
        <v>-300.83609999999999</v>
      </c>
      <c r="H5178">
        <v>1.0550379999999999</v>
      </c>
      <c r="I5178">
        <v>-11.98757</v>
      </c>
      <c r="J5178">
        <v>-300.82569999999998</v>
      </c>
      <c r="K5178">
        <v>1.108271</v>
      </c>
      <c r="L5178">
        <v>-11.399929999999999</v>
      </c>
      <c r="M5178">
        <v>9.6055399999999999E-2</v>
      </c>
      <c r="N5178">
        <v>0</v>
      </c>
      <c r="O5178">
        <v>-0.99534979999999995</v>
      </c>
      <c r="P5178">
        <v>-6.0054659999999997E-4</v>
      </c>
      <c r="Q5178">
        <v>0.1546526</v>
      </c>
      <c r="R5178">
        <v>-0.98796879999999998</v>
      </c>
      <c r="S5178">
        <v>4.0985109999999998E-2</v>
      </c>
      <c r="T5178">
        <v>-0.1937169</v>
      </c>
      <c r="U5178">
        <v>-3.0668329999999999</v>
      </c>
      <c r="V5178">
        <v>9.598023E-2</v>
      </c>
      <c r="W5178">
        <v>0.1614632</v>
      </c>
      <c r="X5178">
        <v>0.98220030000000003</v>
      </c>
      <c r="Y5178">
        <v>8.2774239999999999E-2</v>
      </c>
      <c r="Z5178">
        <v>6.2491690000000003E-2</v>
      </c>
      <c r="AA5178">
        <v>0.99460709999999997</v>
      </c>
      <c r="AB5178">
        <v>17</v>
      </c>
      <c r="AC5178">
        <v>-1.04000000000041E-2</v>
      </c>
      <c r="AD5178">
        <v>-5.3233000000000003E-2</v>
      </c>
      <c r="AE5178">
        <v>-0.58764000000000005</v>
      </c>
      <c r="AF5178">
        <v>6.6255839736397107E-2</v>
      </c>
      <c r="AG5178">
        <v>-5.3233000000000003E-2</v>
      </c>
      <c r="AH5178">
        <v>0.57917231834778204</v>
      </c>
      <c r="AI5178">
        <v>95.217586286525801</v>
      </c>
      <c r="AJ5178">
        <v>83.473878550194499</v>
      </c>
      <c r="AK5178">
        <v>0.585375232588909</v>
      </c>
      <c r="AL5178">
        <v>80.708164209004707</v>
      </c>
      <c r="AM5178">
        <v>84.418798963509602</v>
      </c>
      <c r="AN5178">
        <v>0.99999999941259099</v>
      </c>
    </row>
    <row r="5179" spans="1:40" x14ac:dyDescent="0.25">
      <c r="A5179" t="str">
        <f>"20190312172810481"</f>
        <v>20190312172810481</v>
      </c>
      <c r="B5179" t="str">
        <f>"1552382890474608"</f>
        <v>1552382890474608</v>
      </c>
      <c r="C5179" t="s">
        <v>40</v>
      </c>
      <c r="D5179">
        <v>3.4393009999999999</v>
      </c>
      <c r="E5179">
        <v>0.49514819999999998</v>
      </c>
      <c r="F5179" t="s">
        <v>41</v>
      </c>
      <c r="G5179">
        <v>-300.64600000000002</v>
      </c>
      <c r="H5179" s="1">
        <v>-8.0101100000000002E-7</v>
      </c>
      <c r="I5179">
        <v>-28.944379999999999</v>
      </c>
      <c r="J5179">
        <v>-300.80450000000002</v>
      </c>
      <c r="K5179">
        <v>1.1082529999999999</v>
      </c>
      <c r="L5179">
        <v>-11.6637</v>
      </c>
      <c r="M5179">
        <v>9.2461760000000004E-2</v>
      </c>
      <c r="N5179">
        <v>0</v>
      </c>
      <c r="O5179">
        <v>-0.99569019999999997</v>
      </c>
      <c r="P5179">
        <v>-1.8797550000000001E-3</v>
      </c>
      <c r="Q5179">
        <v>0.15505089999999999</v>
      </c>
      <c r="R5179">
        <v>-0.98790500000000003</v>
      </c>
      <c r="S5179">
        <v>3.1402590000000001E-2</v>
      </c>
      <c r="T5179">
        <v>-0.19373190000000001</v>
      </c>
      <c r="U5179">
        <v>-3.0668639999999998</v>
      </c>
      <c r="V5179">
        <v>9.3706529999999996E-2</v>
      </c>
      <c r="W5179">
        <v>0.1618425</v>
      </c>
      <c r="X5179">
        <v>0.98235740000000005</v>
      </c>
      <c r="Y5179">
        <v>8.2284200000000002E-2</v>
      </c>
      <c r="Z5179">
        <v>6.2530459999999996E-2</v>
      </c>
      <c r="AA5179">
        <v>0.99464529999999995</v>
      </c>
      <c r="AB5179">
        <v>17</v>
      </c>
      <c r="AC5179">
        <v>0.15850000000006001</v>
      </c>
      <c r="AD5179">
        <v>-1.1082538010109999</v>
      </c>
      <c r="AE5179">
        <v>-17.280679999999901</v>
      </c>
      <c r="AF5179">
        <v>1.4341244901832499</v>
      </c>
      <c r="AG5179">
        <v>-1.1082538010109999</v>
      </c>
      <c r="AH5179">
        <v>17.150770494607201</v>
      </c>
      <c r="AI5179">
        <v>93.684393459101997</v>
      </c>
      <c r="AJ5179">
        <v>85.220123280038493</v>
      </c>
      <c r="AK5179">
        <v>17.246271136088801</v>
      </c>
      <c r="AL5179">
        <v>80.686142144490304</v>
      </c>
      <c r="AM5179">
        <v>84.551074173988297</v>
      </c>
      <c r="AN5179">
        <v>0.99999998495282505</v>
      </c>
    </row>
    <row r="5180" spans="1:40" x14ac:dyDescent="0.25">
      <c r="A5180" t="str">
        <f>"20190312172810515"</f>
        <v>20190312172810515</v>
      </c>
      <c r="B5180" t="str">
        <f>"1552382890504861"</f>
        <v>1552382890504861</v>
      </c>
      <c r="C5180" t="s">
        <v>40</v>
      </c>
      <c r="D5180">
        <v>3.4226109999999998</v>
      </c>
      <c r="E5180">
        <v>0.49512089999999997</v>
      </c>
      <c r="F5180" t="s">
        <v>44</v>
      </c>
      <c r="G5180">
        <v>-300.79790000000003</v>
      </c>
      <c r="H5180">
        <v>1.0575889999999999</v>
      </c>
      <c r="I5180">
        <v>-12.47086</v>
      </c>
      <c r="J5180">
        <v>-300.78399999999999</v>
      </c>
      <c r="K5180">
        <v>1.108228</v>
      </c>
      <c r="L5180">
        <v>-11.933350000000001</v>
      </c>
      <c r="M5180">
        <v>8.8720599999999997E-2</v>
      </c>
      <c r="N5180">
        <v>0</v>
      </c>
      <c r="O5180">
        <v>-0.99603070000000005</v>
      </c>
      <c r="P5180">
        <v>-3.2559490000000002E-3</v>
      </c>
      <c r="Q5180">
        <v>0.15554670000000001</v>
      </c>
      <c r="R5180">
        <v>-0.98782320000000001</v>
      </c>
      <c r="S5180">
        <v>2.5634770000000001E-2</v>
      </c>
      <c r="T5180">
        <v>-0.19235920000000001</v>
      </c>
      <c r="U5180">
        <v>-3.0669559999999998</v>
      </c>
      <c r="V5180">
        <v>9.1386159999999994E-2</v>
      </c>
      <c r="W5180">
        <v>0.16232469999999999</v>
      </c>
      <c r="X5180">
        <v>0.98249640000000005</v>
      </c>
      <c r="Y5180">
        <v>8.0410590000000004E-2</v>
      </c>
      <c r="Z5180">
        <v>6.2124520000000003E-2</v>
      </c>
      <c r="AA5180">
        <v>0.99482389999999998</v>
      </c>
      <c r="AB5180">
        <v>18</v>
      </c>
      <c r="AC5180">
        <v>-1.39000000000351E-2</v>
      </c>
      <c r="AD5180">
        <v>-5.0639000000000101E-2</v>
      </c>
      <c r="AE5180">
        <v>-0.53750999999999904</v>
      </c>
      <c r="AF5180">
        <v>6.0993628419703599E-2</v>
      </c>
      <c r="AG5180">
        <v>-5.0639000000000101E-2</v>
      </c>
      <c r="AH5180">
        <v>0.52946086376750001</v>
      </c>
      <c r="AI5180">
        <v>95.427618202982799</v>
      </c>
      <c r="AJ5180">
        <v>83.428522366770196</v>
      </c>
      <c r="AK5180">
        <v>0.53536280902788502</v>
      </c>
      <c r="AL5180">
        <v>80.658143637723398</v>
      </c>
      <c r="AM5180">
        <v>84.685966232656895</v>
      </c>
      <c r="AN5180">
        <v>0.99999995724129598</v>
      </c>
    </row>
    <row r="5181" spans="1:40" x14ac:dyDescent="0.25">
      <c r="A5181" t="str">
        <f>"20190312172810549"</f>
        <v>20190312172810549</v>
      </c>
      <c r="B5181" t="str">
        <f>"1552382890544410"</f>
        <v>1552382890544410</v>
      </c>
      <c r="C5181" t="s">
        <v>40</v>
      </c>
      <c r="D5181">
        <v>3.4360339999999998</v>
      </c>
      <c r="E5181">
        <v>0.49508289999999999</v>
      </c>
      <c r="F5181" t="s">
        <v>44</v>
      </c>
      <c r="G5181">
        <v>-300.77850000000001</v>
      </c>
      <c r="H5181">
        <v>1.0558000000000001</v>
      </c>
      <c r="I5181">
        <v>-12.7767</v>
      </c>
      <c r="J5181">
        <v>-300.76479999999998</v>
      </c>
      <c r="K5181">
        <v>1.108195</v>
      </c>
      <c r="L5181">
        <v>-12.19928</v>
      </c>
      <c r="M5181">
        <v>8.497093E-2</v>
      </c>
      <c r="N5181">
        <v>0</v>
      </c>
      <c r="O5181">
        <v>-0.99635770000000001</v>
      </c>
      <c r="P5181">
        <v>-4.2319840000000003E-3</v>
      </c>
      <c r="Q5181">
        <v>0.15636729999999999</v>
      </c>
      <c r="R5181">
        <v>-0.98768990000000001</v>
      </c>
      <c r="S5181">
        <v>1.986694E-2</v>
      </c>
      <c r="T5181">
        <v>-0.1907247</v>
      </c>
      <c r="U5181">
        <v>-3.067078</v>
      </c>
      <c r="V5181">
        <v>8.8660080000000002E-2</v>
      </c>
      <c r="W5181">
        <v>0.1631387</v>
      </c>
      <c r="X5181">
        <v>0.98261140000000002</v>
      </c>
      <c r="Y5181">
        <v>7.8529520000000005E-2</v>
      </c>
      <c r="Z5181">
        <v>6.1631709999999999E-2</v>
      </c>
      <c r="AA5181">
        <v>0.99500480000000002</v>
      </c>
      <c r="AB5181">
        <v>18</v>
      </c>
      <c r="AC5181">
        <v>-1.37000000000284E-2</v>
      </c>
      <c r="AD5181">
        <v>-5.23949999999999E-2</v>
      </c>
      <c r="AE5181">
        <v>-0.57741999999999905</v>
      </c>
      <c r="AF5181">
        <v>6.2203742785736399E-2</v>
      </c>
      <c r="AG5181">
        <v>-5.23949999999999E-2</v>
      </c>
      <c r="AH5181">
        <v>0.569481171819336</v>
      </c>
      <c r="AI5181">
        <v>95.225779366848002</v>
      </c>
      <c r="AJ5181">
        <v>83.766363624228205</v>
      </c>
      <c r="AK5181">
        <v>0.57525937341192301</v>
      </c>
      <c r="AL5181">
        <v>80.610875238900206</v>
      </c>
      <c r="AM5181">
        <v>84.844218317338303</v>
      </c>
      <c r="AN5181">
        <v>1.00000000431662</v>
      </c>
    </row>
    <row r="5182" spans="1:40" x14ac:dyDescent="0.25">
      <c r="A5182" t="str">
        <f>"20190312172810577"</f>
        <v>20190312172810577</v>
      </c>
      <c r="B5182" t="str">
        <f>"1552382890574667"</f>
        <v>1552382890574667</v>
      </c>
      <c r="C5182" t="s">
        <v>40</v>
      </c>
      <c r="D5182">
        <v>3.4078629999999999</v>
      </c>
      <c r="E5182">
        <v>0.49505900000000003</v>
      </c>
      <c r="F5182" t="s">
        <v>44</v>
      </c>
      <c r="G5182">
        <v>-300.76</v>
      </c>
      <c r="H5182">
        <v>1.0533030000000001</v>
      </c>
      <c r="I5182">
        <v>-13.095190000000001</v>
      </c>
      <c r="J5182">
        <v>-300.74860000000001</v>
      </c>
      <c r="K5182">
        <v>1.1081639999999999</v>
      </c>
      <c r="L5182">
        <v>-12.437709999999999</v>
      </c>
      <c r="M5182">
        <v>8.1542699999999996E-2</v>
      </c>
      <c r="N5182">
        <v>0</v>
      </c>
      <c r="O5182">
        <v>-0.99664410000000003</v>
      </c>
      <c r="P5182">
        <v>-5.8481940000000001E-3</v>
      </c>
      <c r="Q5182">
        <v>0.15688150000000001</v>
      </c>
      <c r="R5182">
        <v>-0.98760040000000004</v>
      </c>
      <c r="S5182">
        <v>1.672363E-2</v>
      </c>
      <c r="T5182">
        <v>-0.18784819999999999</v>
      </c>
      <c r="U5182">
        <v>-3.0672000000000001</v>
      </c>
      <c r="V5182">
        <v>8.6895020000000003E-2</v>
      </c>
      <c r="W5182">
        <v>0.16364860000000001</v>
      </c>
      <c r="X5182">
        <v>0.98268429999999996</v>
      </c>
      <c r="Y5182">
        <v>7.6119279999999997E-2</v>
      </c>
      <c r="Z5182">
        <v>6.0735400000000002E-2</v>
      </c>
      <c r="AA5182">
        <v>0.9952472</v>
      </c>
      <c r="AB5182">
        <v>18</v>
      </c>
      <c r="AC5182">
        <v>-1.13999999999805E-2</v>
      </c>
      <c r="AD5182">
        <v>-5.4860999999999799E-2</v>
      </c>
      <c r="AE5182">
        <v>-0.65747999999999696</v>
      </c>
      <c r="AF5182">
        <v>6.4526973572727006E-2</v>
      </c>
      <c r="AG5182">
        <v>-5.4860999999999799E-2</v>
      </c>
      <c r="AH5182">
        <v>0.64983766406684296</v>
      </c>
      <c r="AI5182">
        <v>94.802112473476001</v>
      </c>
      <c r="AJ5182">
        <v>84.329286005650303</v>
      </c>
      <c r="AK5182">
        <v>0.65533384566899</v>
      </c>
      <c r="AL5182">
        <v>80.581262308766398</v>
      </c>
      <c r="AM5182">
        <v>84.946696578689696</v>
      </c>
      <c r="AN5182">
        <v>1.0000000211246201</v>
      </c>
    </row>
    <row r="5183" spans="1:40" x14ac:dyDescent="0.25">
      <c r="A5183" t="str">
        <f>"20190312172810616"</f>
        <v>20190312172810616</v>
      </c>
      <c r="B5183" t="str">
        <f>"1552382890604922"</f>
        <v>1552382890604922</v>
      </c>
      <c r="C5183" t="s">
        <v>40</v>
      </c>
      <c r="D5183">
        <v>3.4771299999999998</v>
      </c>
      <c r="E5183">
        <v>0.49502089999999999</v>
      </c>
      <c r="F5183" t="s">
        <v>44</v>
      </c>
      <c r="G5183">
        <v>-300.7457</v>
      </c>
      <c r="H5183">
        <v>1.057612</v>
      </c>
      <c r="I5183">
        <v>-13.26873</v>
      </c>
      <c r="J5183">
        <v>-300.72899999999998</v>
      </c>
      <c r="K5183">
        <v>1.108112</v>
      </c>
      <c r="L5183">
        <v>-12.7453</v>
      </c>
      <c r="M5183">
        <v>7.7018329999999996E-2</v>
      </c>
      <c r="N5183">
        <v>0</v>
      </c>
      <c r="O5183">
        <v>-0.99700390000000005</v>
      </c>
      <c r="P5183">
        <v>-6.651016E-3</v>
      </c>
      <c r="Q5183">
        <v>0.15715390000000001</v>
      </c>
      <c r="R5183">
        <v>-0.98755199999999999</v>
      </c>
      <c r="S5183">
        <v>1.1627200000000001E-2</v>
      </c>
      <c r="T5183">
        <v>-0.186224</v>
      </c>
      <c r="U5183">
        <v>-3.0673219999999999</v>
      </c>
      <c r="V5183">
        <v>8.3247840000000004E-2</v>
      </c>
      <c r="W5183">
        <v>0.16392570000000001</v>
      </c>
      <c r="X5183">
        <v>0.98295379999999999</v>
      </c>
      <c r="Y5183">
        <v>7.3247090000000001E-2</v>
      </c>
      <c r="Z5183">
        <v>6.0249219999999999E-2</v>
      </c>
      <c r="AA5183">
        <v>0.9954923</v>
      </c>
      <c r="AB5183">
        <v>18</v>
      </c>
      <c r="AC5183">
        <v>-1.6699999999957499E-2</v>
      </c>
      <c r="AD5183">
        <v>-5.0499999999999899E-2</v>
      </c>
      <c r="AE5183">
        <v>-0.52342999999999895</v>
      </c>
      <c r="AF5183">
        <v>5.6440310370996401E-2</v>
      </c>
      <c r="AG5183">
        <v>-5.0499999999999899E-2</v>
      </c>
      <c r="AH5183">
        <v>0.51579270703103897</v>
      </c>
      <c r="AI5183">
        <v>95.558895582634193</v>
      </c>
      <c r="AJ5183">
        <v>83.755288399536099</v>
      </c>
      <c r="AK5183">
        <v>0.52132319655006898</v>
      </c>
      <c r="AL5183">
        <v>80.565168161251293</v>
      </c>
      <c r="AM5183">
        <v>85.159086016765897</v>
      </c>
      <c r="AN5183">
        <v>1.00000000545979</v>
      </c>
    </row>
    <row r="5184" spans="1:40" x14ac:dyDescent="0.25">
      <c r="A5184" t="str">
        <f>"20190312172810660"</f>
        <v>20190312172810660</v>
      </c>
      <c r="B5184" t="str">
        <f>"1552382890654701"</f>
        <v>1552382890654701</v>
      </c>
      <c r="C5184" t="s">
        <v>40</v>
      </c>
      <c r="D5184">
        <v>3.4707270000000001</v>
      </c>
      <c r="E5184">
        <v>0.4926507</v>
      </c>
      <c r="F5184" t="s">
        <v>44</v>
      </c>
      <c r="G5184">
        <v>-300.72710000000001</v>
      </c>
      <c r="H5184">
        <v>1.0573650000000001</v>
      </c>
      <c r="I5184">
        <v>-13.585739999999999</v>
      </c>
      <c r="J5184">
        <v>-300.70800000000003</v>
      </c>
      <c r="K5184">
        <v>1.108034</v>
      </c>
      <c r="L5184">
        <v>-13.10721</v>
      </c>
      <c r="M5184">
        <v>7.1498279999999997E-2</v>
      </c>
      <c r="N5184">
        <v>0</v>
      </c>
      <c r="O5184">
        <v>-0.9974151</v>
      </c>
      <c r="P5184">
        <v>-9.5525230000000003E-3</v>
      </c>
      <c r="Q5184">
        <v>0.15724360000000001</v>
      </c>
      <c r="R5184">
        <v>-0.98751369999999905</v>
      </c>
      <c r="S5184">
        <v>8.2702639999999994E-3</v>
      </c>
      <c r="T5184">
        <v>-0.18482979999999999</v>
      </c>
      <c r="U5184">
        <v>-3.067291</v>
      </c>
      <c r="V5184">
        <v>8.0721589999999996E-2</v>
      </c>
      <c r="W5184">
        <v>0.16401879999999999</v>
      </c>
      <c r="X5184">
        <v>0.98314889999999999</v>
      </c>
      <c r="Y5184">
        <v>6.8815180000000004E-2</v>
      </c>
      <c r="Z5184">
        <v>5.9847060000000001E-2</v>
      </c>
      <c r="AA5184">
        <v>0.99583270000000002</v>
      </c>
      <c r="AB5184">
        <v>18</v>
      </c>
      <c r="AC5184">
        <v>-1.9100000000037198E-2</v>
      </c>
      <c r="AD5184">
        <v>-5.0668999999999999E-2</v>
      </c>
      <c r="AE5184">
        <v>-0.47852999999999901</v>
      </c>
      <c r="AF5184">
        <v>5.2676415879655498E-2</v>
      </c>
      <c r="AG5184">
        <v>-5.0668999999999999E-2</v>
      </c>
      <c r="AH5184">
        <v>0.47067102802467597</v>
      </c>
      <c r="AI5184">
        <v>96.106547229271897</v>
      </c>
      <c r="AJ5184">
        <v>83.614162117377504</v>
      </c>
      <c r="AK5184">
        <v>0.47631225994375997</v>
      </c>
      <c r="AL5184">
        <v>80.559760212829005</v>
      </c>
      <c r="AM5184">
        <v>85.306249670450299</v>
      </c>
      <c r="AN5184">
        <v>0.99999995070838699</v>
      </c>
    </row>
    <row r="5185" spans="1:40" x14ac:dyDescent="0.25">
      <c r="A5185" t="str">
        <f>"20190312172810705"</f>
        <v>20190312172810705</v>
      </c>
      <c r="B5185" t="str">
        <f>"1552382890694714"</f>
        <v>1552382890694714</v>
      </c>
      <c r="C5185" t="s">
        <v>40</v>
      </c>
      <c r="D5185">
        <v>3.4566690000000002</v>
      </c>
      <c r="E5185">
        <v>0.49301709999999899</v>
      </c>
      <c r="F5185" t="s">
        <v>41</v>
      </c>
      <c r="G5185">
        <v>-300.58319999999998</v>
      </c>
      <c r="H5185" s="1">
        <v>-2.7553309999999999E-6</v>
      </c>
      <c r="I5185">
        <v>-34.349829999999997</v>
      </c>
      <c r="J5185">
        <v>-300.68889999999999</v>
      </c>
      <c r="K5185">
        <v>1.107961</v>
      </c>
      <c r="L5185">
        <v>-13.474729999999999</v>
      </c>
      <c r="M5185">
        <v>6.5683779999999997E-2</v>
      </c>
      <c r="N5185">
        <v>0</v>
      </c>
      <c r="O5185">
        <v>-0.99781470000000005</v>
      </c>
      <c r="P5185">
        <v>-1.4094860000000001E-2</v>
      </c>
      <c r="Q5185">
        <v>0.15753210000000001</v>
      </c>
      <c r="R5185">
        <v>-0.98741350000000006</v>
      </c>
      <c r="S5185">
        <v>1.800537E-2</v>
      </c>
      <c r="T5185">
        <v>-0.15979889999999999</v>
      </c>
      <c r="U5185">
        <v>-3.0635680000000001</v>
      </c>
      <c r="V5185">
        <v>7.9541230000000004E-2</v>
      </c>
      <c r="W5185">
        <v>0.16431229999999999</v>
      </c>
      <c r="X5185">
        <v>0.98319610000000002</v>
      </c>
      <c r="Y5185">
        <v>5.9827739999999997E-2</v>
      </c>
      <c r="Z5185">
        <v>5.1874459999999997E-2</v>
      </c>
      <c r="AA5185">
        <v>0.99685990000000002</v>
      </c>
      <c r="AB5185">
        <v>18</v>
      </c>
      <c r="AC5185">
        <v>0.10570000000001301</v>
      </c>
      <c r="AD5185">
        <v>-1.107963755331</v>
      </c>
      <c r="AE5185">
        <v>-20.8751</v>
      </c>
      <c r="AF5185">
        <v>1.26216355099692</v>
      </c>
      <c r="AG5185">
        <v>-1.107963755331</v>
      </c>
      <c r="AH5185">
        <v>20.7784283257879</v>
      </c>
      <c r="AI5185">
        <v>93.046675032674202</v>
      </c>
      <c r="AJ5185">
        <v>86.523899954510497</v>
      </c>
      <c r="AK5185">
        <v>20.846192079190299</v>
      </c>
      <c r="AL5185">
        <v>80.542712654630606</v>
      </c>
      <c r="AM5185">
        <v>85.374805612159903</v>
      </c>
      <c r="AN5185">
        <v>0.99999995512820505</v>
      </c>
    </row>
    <row r="5186" spans="1:40" x14ac:dyDescent="0.25">
      <c r="A5186" t="str">
        <f>"20190312172810734"</f>
        <v>20190312172810734</v>
      </c>
      <c r="B5186" t="str">
        <f>"1552382890724501"</f>
        <v>1552382890724501</v>
      </c>
      <c r="C5186" t="s">
        <v>40</v>
      </c>
      <c r="D5186">
        <v>3.44699</v>
      </c>
      <c r="E5186">
        <v>0.49290309999999998</v>
      </c>
      <c r="F5186" t="s">
        <v>41</v>
      </c>
      <c r="G5186">
        <v>-300.6635</v>
      </c>
      <c r="H5186" s="1">
        <v>-2.7687529999999998E-6</v>
      </c>
      <c r="I5186">
        <v>-34.368400000000001</v>
      </c>
      <c r="J5186">
        <v>-300.67779999999999</v>
      </c>
      <c r="K5186">
        <v>1.1079220000000001</v>
      </c>
      <c r="L5186">
        <v>-13.714230000000001</v>
      </c>
      <c r="M5186">
        <v>6.1801790000000002E-2</v>
      </c>
      <c r="N5186">
        <v>0</v>
      </c>
      <c r="O5186">
        <v>-0.99806260000000002</v>
      </c>
      <c r="P5186">
        <v>-1.8251050000000001E-2</v>
      </c>
      <c r="Q5186">
        <v>0.15681579999999901</v>
      </c>
      <c r="R5186">
        <v>-0.98745930000000004</v>
      </c>
      <c r="S5186">
        <v>3.7231450000000002E-3</v>
      </c>
      <c r="T5186">
        <v>-0.162491</v>
      </c>
      <c r="U5186">
        <v>-3.064209</v>
      </c>
      <c r="V5186">
        <v>7.9875000000000002E-2</v>
      </c>
      <c r="W5186">
        <v>0.16359879999999999</v>
      </c>
      <c r="X5186">
        <v>0.98328800000000005</v>
      </c>
      <c r="Y5186">
        <v>6.0592260000000002E-2</v>
      </c>
      <c r="Z5186">
        <v>5.2753849999999998E-2</v>
      </c>
      <c r="AA5186">
        <v>0.99676759999999998</v>
      </c>
      <c r="AB5186">
        <v>18</v>
      </c>
      <c r="AC5186">
        <v>1.42999999999915E-2</v>
      </c>
      <c r="AD5186">
        <v>-1.1079247687529901</v>
      </c>
      <c r="AE5186">
        <v>-20.654170000000001</v>
      </c>
      <c r="AF5186">
        <v>1.2586033945132</v>
      </c>
      <c r="AG5186">
        <v>-1.1079247687529901</v>
      </c>
      <c r="AH5186">
        <v>20.556420442166399</v>
      </c>
      <c r="AI5186">
        <v>93.079317594277498</v>
      </c>
      <c r="AJ5186">
        <v>86.496337730329998</v>
      </c>
      <c r="AK5186">
        <v>20.624693966045001</v>
      </c>
      <c r="AL5186">
        <v>80.584153819047103</v>
      </c>
      <c r="AM5186">
        <v>85.355914344985905</v>
      </c>
      <c r="AN5186">
        <v>0.99999993696521805</v>
      </c>
    </row>
    <row r="5187" spans="1:40" x14ac:dyDescent="0.25">
      <c r="A5187" t="str">
        <f>"20190312172810756"</f>
        <v>20190312172810756</v>
      </c>
      <c r="B5187" t="str">
        <f>"1552382890744997"</f>
        <v>1552382890744997</v>
      </c>
      <c r="C5187" t="s">
        <v>40</v>
      </c>
      <c r="D5187">
        <v>3.4462090000000001</v>
      </c>
      <c r="E5187">
        <v>0.4929017</v>
      </c>
      <c r="F5187" t="s">
        <v>41</v>
      </c>
      <c r="G5187">
        <v>-300.72980000000001</v>
      </c>
      <c r="H5187" s="1">
        <v>-2.9062249999999999E-6</v>
      </c>
      <c r="I5187">
        <v>-34.089019999999998</v>
      </c>
      <c r="J5187">
        <v>-300.66950000000003</v>
      </c>
      <c r="K5187">
        <v>1.107907</v>
      </c>
      <c r="L5187">
        <v>-13.90784</v>
      </c>
      <c r="M5187">
        <v>5.8633810000000001E-2</v>
      </c>
      <c r="N5187">
        <v>0</v>
      </c>
      <c r="O5187">
        <v>-0.99825359999999996</v>
      </c>
      <c r="P5187">
        <v>-2.1107569999999999E-2</v>
      </c>
      <c r="Q5187">
        <v>0.1562684</v>
      </c>
      <c r="R5187">
        <v>-0.98748930000000001</v>
      </c>
      <c r="S5187">
        <v>-7.8125E-3</v>
      </c>
      <c r="T5187">
        <v>-0.1666349</v>
      </c>
      <c r="U5187">
        <v>-3.0644230000000001</v>
      </c>
      <c r="V5187">
        <v>7.960913E-2</v>
      </c>
      <c r="W5187">
        <v>0.16305819999999999</v>
      </c>
      <c r="X5187">
        <v>0.98339940000000003</v>
      </c>
      <c r="Y5187">
        <v>6.1176349999999997E-2</v>
      </c>
      <c r="Z5187">
        <v>5.4106050000000003E-2</v>
      </c>
      <c r="AA5187">
        <v>0.99665939999999997</v>
      </c>
      <c r="AB5187">
        <v>19</v>
      </c>
      <c r="AC5187">
        <v>-6.0299999999983797E-2</v>
      </c>
      <c r="AD5187">
        <v>-1.107909906225</v>
      </c>
      <c r="AE5187">
        <v>-20.181180000000001</v>
      </c>
      <c r="AF5187">
        <v>1.23978993278709</v>
      </c>
      <c r="AG5187">
        <v>-1.107909906225</v>
      </c>
      <c r="AH5187">
        <v>20.082397964081999</v>
      </c>
      <c r="AI5187">
        <v>93.151716434186895</v>
      </c>
      <c r="AJ5187">
        <v>86.467319622565597</v>
      </c>
      <c r="AK5187">
        <v>20.1511104266121</v>
      </c>
      <c r="AL5187">
        <v>80.615549964589107</v>
      </c>
      <c r="AM5187">
        <v>85.371827318623701</v>
      </c>
      <c r="AN5187">
        <v>0.99999998504347798</v>
      </c>
    </row>
    <row r="5188" spans="1:40" x14ac:dyDescent="0.25">
      <c r="A5188" t="str">
        <f>"20190312172810779"</f>
        <v>20190312172810779</v>
      </c>
      <c r="B5188" t="str">
        <f>"1552382890774279"</f>
        <v>1552382890774279</v>
      </c>
      <c r="C5188" t="s">
        <v>40</v>
      </c>
      <c r="D5188">
        <v>3.4709029999999998</v>
      </c>
      <c r="E5188">
        <v>0.49263750000000001</v>
      </c>
      <c r="F5188" t="s">
        <v>41</v>
      </c>
      <c r="G5188">
        <v>-300.78410000000002</v>
      </c>
      <c r="H5188" s="1">
        <v>-3.0381019999999998E-6</v>
      </c>
      <c r="I5188">
        <v>-33.815309999999997</v>
      </c>
      <c r="J5188">
        <v>-300.66210000000001</v>
      </c>
      <c r="K5188">
        <v>1.107893</v>
      </c>
      <c r="L5188">
        <v>-14.09521</v>
      </c>
      <c r="M5188">
        <v>5.5556410000000001E-2</v>
      </c>
      <c r="N5188">
        <v>0</v>
      </c>
      <c r="O5188">
        <v>-0.99842949999999997</v>
      </c>
      <c r="P5188">
        <v>-2.3863760000000001E-2</v>
      </c>
      <c r="Q5188">
        <v>0.15639800000000001</v>
      </c>
      <c r="R5188">
        <v>-0.98740600000000001</v>
      </c>
      <c r="S5188">
        <v>-1.7639160000000001E-2</v>
      </c>
      <c r="T5188">
        <v>-0.17055609999999999</v>
      </c>
      <c r="U5188">
        <v>-3.0646360000000001</v>
      </c>
      <c r="V5188">
        <v>7.9325679999999996E-2</v>
      </c>
      <c r="W5188">
        <v>0.16319610000000001</v>
      </c>
      <c r="X5188">
        <v>0.98339949999999998</v>
      </c>
      <c r="Y5188">
        <v>6.129474E-2</v>
      </c>
      <c r="Z5188">
        <v>5.5385589999999998E-2</v>
      </c>
      <c r="AA5188">
        <v>0.99658190000000002</v>
      </c>
      <c r="AB5188">
        <v>19</v>
      </c>
      <c r="AC5188">
        <v>-0.122000000000014</v>
      </c>
      <c r="AD5188">
        <v>-1.107896038102</v>
      </c>
      <c r="AE5188">
        <v>-19.720099999999899</v>
      </c>
      <c r="AF5188">
        <v>1.2135877109125299</v>
      </c>
      <c r="AG5188">
        <v>-1.107896038102</v>
      </c>
      <c r="AH5188">
        <v>19.6209362401814</v>
      </c>
      <c r="AI5188">
        <v>93.225623042833902</v>
      </c>
      <c r="AJ5188">
        <v>86.460669037898199</v>
      </c>
      <c r="AK5188">
        <v>19.689625890417101</v>
      </c>
      <c r="AL5188">
        <v>80.607542254491193</v>
      </c>
      <c r="AM5188">
        <v>85.388235284909896</v>
      </c>
      <c r="AN5188">
        <v>1.0000000535814499</v>
      </c>
    </row>
    <row r="5189" spans="1:40" x14ac:dyDescent="0.25">
      <c r="A5189" t="str">
        <f>"20190312172810817"</f>
        <v>20190312172810817</v>
      </c>
      <c r="B5189" t="str">
        <f>"1552382890804533"</f>
        <v>1552382890804533</v>
      </c>
      <c r="C5189" t="s">
        <v>40</v>
      </c>
      <c r="D5189">
        <v>3.4355850000000001</v>
      </c>
      <c r="E5189">
        <v>0.49231219999999998</v>
      </c>
      <c r="F5189" t="s">
        <v>41</v>
      </c>
      <c r="G5189">
        <v>-300.82150000000001</v>
      </c>
      <c r="H5189" s="1">
        <v>-2.9124479999999999E-6</v>
      </c>
      <c r="I5189">
        <v>-34.131430000000002</v>
      </c>
      <c r="J5189">
        <v>-300.65069999999997</v>
      </c>
      <c r="K5189">
        <v>1.107882</v>
      </c>
      <c r="L5189">
        <v>-14.416499999999999</v>
      </c>
      <c r="M5189">
        <v>5.0279900000000002E-2</v>
      </c>
      <c r="N5189">
        <v>0</v>
      </c>
      <c r="O5189">
        <v>-0.99870879999999995</v>
      </c>
      <c r="P5189">
        <v>-2.8017520000000001E-2</v>
      </c>
      <c r="Q5189">
        <v>0.1561246</v>
      </c>
      <c r="R5189">
        <v>-0.98734</v>
      </c>
      <c r="S5189">
        <v>-2.4383539999999999E-2</v>
      </c>
      <c r="T5189">
        <v>-0.1694512</v>
      </c>
      <c r="U5189">
        <v>-3.064514</v>
      </c>
      <c r="V5189">
        <v>7.8268550000000006E-2</v>
      </c>
      <c r="W5189">
        <v>0.16294249999999999</v>
      </c>
      <c r="X5189">
        <v>0.98352620000000002</v>
      </c>
      <c r="Y5189">
        <v>5.8213899999999999E-2</v>
      </c>
      <c r="Z5189">
        <v>5.5057910000000002E-2</v>
      </c>
      <c r="AA5189">
        <v>0.99678469999999997</v>
      </c>
      <c r="AB5189">
        <v>19</v>
      </c>
      <c r="AC5189">
        <v>-0.170800000000042</v>
      </c>
      <c r="AD5189">
        <v>-1.1078849124479999</v>
      </c>
      <c r="AE5189">
        <v>-19.714929999999999</v>
      </c>
      <c r="AF5189">
        <v>1.1582175028105399</v>
      </c>
      <c r="AG5189">
        <v>-1.1078849124479999</v>
      </c>
      <c r="AH5189">
        <v>19.619452853876499</v>
      </c>
      <c r="AI5189">
        <v>93.2263803327738</v>
      </c>
      <c r="AJ5189">
        <v>86.621514067007595</v>
      </c>
      <c r="AK5189">
        <v>19.684811582754101</v>
      </c>
      <c r="AL5189">
        <v>80.622269136278007</v>
      </c>
      <c r="AM5189">
        <v>85.450017650876404</v>
      </c>
      <c r="AN5189">
        <v>1.0000000051558899</v>
      </c>
    </row>
    <row r="5190" spans="1:40" x14ac:dyDescent="0.25">
      <c r="A5190" t="str">
        <f>"20190312172810861"</f>
        <v>20190312172810861</v>
      </c>
      <c r="B5190" t="str">
        <f>"1552382890854309"</f>
        <v>1552382890854309</v>
      </c>
      <c r="C5190" t="s">
        <v>40</v>
      </c>
      <c r="D5190">
        <v>3.4805799999999998</v>
      </c>
      <c r="E5190">
        <v>0.48909399999999997</v>
      </c>
      <c r="F5190" t="s">
        <v>41</v>
      </c>
      <c r="G5190">
        <v>-300.87360000000001</v>
      </c>
      <c r="H5190" s="1">
        <v>-2.8513999999999999E-6</v>
      </c>
      <c r="I5190">
        <v>-34.305999999999997</v>
      </c>
      <c r="J5190">
        <v>-300.63940000000002</v>
      </c>
      <c r="K5190">
        <v>1.1078699999999999</v>
      </c>
      <c r="L5190">
        <v>-14.79471</v>
      </c>
      <c r="M5190">
        <v>4.4100239999999999E-2</v>
      </c>
      <c r="N5190">
        <v>0</v>
      </c>
      <c r="O5190">
        <v>-0.99900069999999996</v>
      </c>
      <c r="P5190">
        <v>-3.0536020000000001E-2</v>
      </c>
      <c r="Q5190">
        <v>0.15509600000000001</v>
      </c>
      <c r="R5190">
        <v>-0.98742739999999996</v>
      </c>
      <c r="S5190">
        <v>-3.433228E-2</v>
      </c>
      <c r="T5190">
        <v>-0.17069790000000001</v>
      </c>
      <c r="U5190">
        <v>-3.0644840000000002</v>
      </c>
      <c r="V5190">
        <v>7.4692969999999997E-2</v>
      </c>
      <c r="W5190">
        <v>0.161948799999999</v>
      </c>
      <c r="X5190">
        <v>0.98396830000000002</v>
      </c>
      <c r="Y5190">
        <v>5.5272990000000001E-2</v>
      </c>
      <c r="Z5190">
        <v>5.5490419999999999E-2</v>
      </c>
      <c r="AA5190">
        <v>0.99692820000000004</v>
      </c>
      <c r="AB5190">
        <v>19</v>
      </c>
      <c r="AC5190">
        <v>-0.234199999999987</v>
      </c>
      <c r="AD5190">
        <v>-1.1078728514</v>
      </c>
      <c r="AE5190">
        <v>-19.511289999999899</v>
      </c>
      <c r="AF5190">
        <v>1.09093065543223</v>
      </c>
      <c r="AG5190">
        <v>-1.1078728514</v>
      </c>
      <c r="AH5190">
        <v>19.419377229130799</v>
      </c>
      <c r="AI5190">
        <v>93.260048151790997</v>
      </c>
      <c r="AJ5190">
        <v>86.784650105782006</v>
      </c>
      <c r="AK5190">
        <v>19.4815226283038</v>
      </c>
      <c r="AL5190">
        <v>80.679970647646499</v>
      </c>
      <c r="AM5190">
        <v>85.659006372051394</v>
      </c>
      <c r="AN5190">
        <v>1.00000003449687</v>
      </c>
    </row>
    <row r="5191" spans="1:40" x14ac:dyDescent="0.25">
      <c r="A5191" t="str">
        <f>"20190312172810891"</f>
        <v>20190312172810891</v>
      </c>
      <c r="B5191" t="str">
        <f>"1552382890884565"</f>
        <v>1552382890884565</v>
      </c>
      <c r="C5191" t="s">
        <v>40</v>
      </c>
      <c r="D5191">
        <v>3.4590459999999998</v>
      </c>
      <c r="E5191">
        <v>0.48851030000000001</v>
      </c>
      <c r="F5191" t="s">
        <v>41</v>
      </c>
      <c r="G5191">
        <v>-300.74360000000001</v>
      </c>
      <c r="H5191" s="1">
        <v>-3.125263E-6</v>
      </c>
      <c r="I5191">
        <v>-33.587009999999999</v>
      </c>
      <c r="J5191">
        <v>-300.63290000000001</v>
      </c>
      <c r="K5191">
        <v>1.10785</v>
      </c>
      <c r="L5191">
        <v>-15.057499999999999</v>
      </c>
      <c r="M5191">
        <v>3.9831329999999998E-2</v>
      </c>
      <c r="N5191">
        <v>0</v>
      </c>
      <c r="O5191">
        <v>-0.99918010000000002</v>
      </c>
      <c r="P5191">
        <v>-3.3508499999999997E-2</v>
      </c>
      <c r="Q5191">
        <v>0.1540108</v>
      </c>
      <c r="R5191">
        <v>-0.98750110000000002</v>
      </c>
      <c r="S5191">
        <v>-1.6998289999999999E-2</v>
      </c>
      <c r="T5191">
        <v>-0.1807559</v>
      </c>
      <c r="U5191">
        <v>-3.066071</v>
      </c>
      <c r="V5191">
        <v>7.3455300000000001E-2</v>
      </c>
      <c r="W5191">
        <v>0.16088239999999901</v>
      </c>
      <c r="X5191">
        <v>0.98423640000000001</v>
      </c>
      <c r="Y5191">
        <v>4.536167E-2</v>
      </c>
      <c r="Z5191">
        <v>5.875064E-2</v>
      </c>
      <c r="AA5191">
        <v>0.99724159999999995</v>
      </c>
      <c r="AB5191">
        <v>19</v>
      </c>
      <c r="AC5191">
        <v>-0.110700000000008</v>
      </c>
      <c r="AD5191">
        <v>-1.1078531252629999</v>
      </c>
      <c r="AE5191">
        <v>-18.529509999999998</v>
      </c>
      <c r="AF5191">
        <v>0.84566371770955395</v>
      </c>
      <c r="AG5191">
        <v>-1.1078531252629999</v>
      </c>
      <c r="AH5191">
        <v>18.444464486681301</v>
      </c>
      <c r="AI5191">
        <v>93.433700479428396</v>
      </c>
      <c r="AJ5191">
        <v>87.374873478180305</v>
      </c>
      <c r="AK5191">
        <v>18.497047220328302</v>
      </c>
      <c r="AL5191">
        <v>80.741882983717403</v>
      </c>
      <c r="AM5191">
        <v>85.731827526809099</v>
      </c>
      <c r="AN5191">
        <v>1.0000000594064</v>
      </c>
    </row>
    <row r="5192" spans="1:40" x14ac:dyDescent="0.25">
      <c r="A5192" t="str">
        <f>"20190312172810912"</f>
        <v>20190312172810912</v>
      </c>
      <c r="B5192" t="str">
        <f>"1552382890905062"</f>
        <v>1552382890905062</v>
      </c>
      <c r="C5192" t="s">
        <v>40</v>
      </c>
      <c r="D5192">
        <v>3.4402189999999999</v>
      </c>
      <c r="E5192">
        <v>0.4883634</v>
      </c>
      <c r="F5192" t="s">
        <v>41</v>
      </c>
      <c r="G5192">
        <v>-300.75779999999997</v>
      </c>
      <c r="H5192" s="1">
        <v>-2.645313E-6</v>
      </c>
      <c r="I5192">
        <v>-34.714599999999997</v>
      </c>
      <c r="J5192">
        <v>-300.62909999999999</v>
      </c>
      <c r="K5192">
        <v>1.107842</v>
      </c>
      <c r="L5192">
        <v>-15.238709999999999</v>
      </c>
      <c r="M5192">
        <v>3.6898769999999997E-2</v>
      </c>
      <c r="N5192">
        <v>0</v>
      </c>
      <c r="O5192">
        <v>-0.99929259999999998</v>
      </c>
      <c r="P5192">
        <v>-3.4842980000000003E-2</v>
      </c>
      <c r="Q5192">
        <v>0.15252379999999999</v>
      </c>
      <c r="R5192">
        <v>-0.98768540000000005</v>
      </c>
      <c r="S5192">
        <v>-1.9470210000000002E-2</v>
      </c>
      <c r="T5192">
        <v>-0.1726972</v>
      </c>
      <c r="U5192">
        <v>-3.0642399999999999</v>
      </c>
      <c r="V5192">
        <v>7.1900699999999998E-2</v>
      </c>
      <c r="W5192">
        <v>0.15941250000000001</v>
      </c>
      <c r="X5192">
        <v>0.98459019999999997</v>
      </c>
      <c r="Y5192">
        <v>4.3238489999999997E-2</v>
      </c>
      <c r="Z5192">
        <v>5.6185270000000002E-2</v>
      </c>
      <c r="AA5192">
        <v>0.99748369999999997</v>
      </c>
      <c r="AB5192">
        <v>19</v>
      </c>
      <c r="AC5192">
        <v>-0.12869999999998</v>
      </c>
      <c r="AD5192">
        <v>-1.107844645313</v>
      </c>
      <c r="AE5192">
        <v>-19.47589</v>
      </c>
      <c r="AF5192">
        <v>0.84453519231651997</v>
      </c>
      <c r="AG5192">
        <v>-1.107844645313</v>
      </c>
      <c r="AH5192">
        <v>19.395124068763</v>
      </c>
      <c r="AI5192">
        <v>93.266080156111897</v>
      </c>
      <c r="AJ5192">
        <v>87.506705577771598</v>
      </c>
      <c r="AK5192">
        <v>19.445086708264299</v>
      </c>
      <c r="AL5192">
        <v>80.827202343363496</v>
      </c>
      <c r="AM5192">
        <v>85.823331387061302</v>
      </c>
      <c r="AN5192">
        <v>0.99999995887638904</v>
      </c>
    </row>
    <row r="5193" spans="1:40" x14ac:dyDescent="0.25">
      <c r="A5193" t="str">
        <f>"20190312172810950"</f>
        <v>20190312172810950</v>
      </c>
      <c r="B5193" t="str">
        <f>"1552382890945077"</f>
        <v>1552382890945077</v>
      </c>
      <c r="C5193" t="s">
        <v>40</v>
      </c>
      <c r="D5193">
        <v>3.4309609999999999</v>
      </c>
      <c r="E5193">
        <v>0.48811019999999999</v>
      </c>
      <c r="F5193" t="s">
        <v>41</v>
      </c>
      <c r="G5193">
        <v>-300.77300000000002</v>
      </c>
      <c r="H5193" s="1">
        <v>-2.6615900000000002E-6</v>
      </c>
      <c r="I5193">
        <v>-34.686079999999997</v>
      </c>
      <c r="J5193">
        <v>-300.6234</v>
      </c>
      <c r="K5193">
        <v>1.1078159999999999</v>
      </c>
      <c r="L5193">
        <v>-15.567379999999901</v>
      </c>
      <c r="M5193">
        <v>3.1593650000000001E-2</v>
      </c>
      <c r="N5193">
        <v>0</v>
      </c>
      <c r="O5193">
        <v>-0.99947399999999997</v>
      </c>
      <c r="P5193">
        <v>-3.6440350000000003E-2</v>
      </c>
      <c r="Q5193">
        <v>0.15256330000000001</v>
      </c>
      <c r="R5193">
        <v>-0.98762150000000004</v>
      </c>
      <c r="S5193">
        <v>-2.267456E-2</v>
      </c>
      <c r="T5193">
        <v>-0.17452010000000001</v>
      </c>
      <c r="U5193">
        <v>-3.0635680000000001</v>
      </c>
      <c r="V5193">
        <v>6.8267999999999995E-2</v>
      </c>
      <c r="W5193">
        <v>0.1594836</v>
      </c>
      <c r="X5193">
        <v>0.98483730000000003</v>
      </c>
      <c r="Y5193">
        <v>3.8979109999999997E-2</v>
      </c>
      <c r="Z5193">
        <v>5.6809129999999999E-2</v>
      </c>
      <c r="AA5193">
        <v>0.99762390000000001</v>
      </c>
      <c r="AB5193">
        <v>19</v>
      </c>
      <c r="AC5193">
        <v>-0.14959999999996301</v>
      </c>
      <c r="AD5193">
        <v>-1.1078186615900001</v>
      </c>
      <c r="AE5193">
        <v>-19.1187</v>
      </c>
      <c r="AF5193">
        <v>0.75104948822492201</v>
      </c>
      <c r="AG5193">
        <v>-1.1078186615900001</v>
      </c>
      <c r="AH5193">
        <v>19.0405035651197</v>
      </c>
      <c r="AI5193">
        <v>93.327259749315402</v>
      </c>
      <c r="AJ5193">
        <v>87.741148556988904</v>
      </c>
      <c r="AK5193">
        <v>19.087485783467301</v>
      </c>
      <c r="AL5193">
        <v>80.823076413224499</v>
      </c>
      <c r="AM5193">
        <v>86.034653403836401</v>
      </c>
      <c r="AN5193">
        <v>1.00000002298212</v>
      </c>
    </row>
    <row r="5194" spans="1:40" x14ac:dyDescent="0.25">
      <c r="A5194" t="str">
        <f>"20190312172810977"</f>
        <v>20190312172810977</v>
      </c>
      <c r="B5194" t="str">
        <f>"1552382890974357"</f>
        <v>1552382890974357</v>
      </c>
      <c r="C5194" t="s">
        <v>40</v>
      </c>
      <c r="D5194">
        <v>3.39846</v>
      </c>
      <c r="E5194">
        <v>0.48804750000000002</v>
      </c>
      <c r="F5194" t="s">
        <v>41</v>
      </c>
      <c r="G5194">
        <v>-300.78910000000002</v>
      </c>
      <c r="H5194" s="1">
        <v>-2.3622820000000002E-6</v>
      </c>
      <c r="I5194">
        <v>-35.393790000000003</v>
      </c>
      <c r="J5194">
        <v>-300.62040000000002</v>
      </c>
      <c r="K5194">
        <v>1.1078110000000001</v>
      </c>
      <c r="L5194">
        <v>-15.808719999999999</v>
      </c>
      <c r="M5194">
        <v>2.770852E-2</v>
      </c>
      <c r="N5194">
        <v>0</v>
      </c>
      <c r="O5194">
        <v>-0.99958950000000002</v>
      </c>
      <c r="P5194">
        <v>-3.9001279999999999E-2</v>
      </c>
      <c r="Q5194">
        <v>0.15284049999999999</v>
      </c>
      <c r="R5194">
        <v>-0.98748150000000001</v>
      </c>
      <c r="S5194">
        <v>-2.5604249999999999E-2</v>
      </c>
      <c r="T5194">
        <v>-0.171154</v>
      </c>
      <c r="U5194">
        <v>-3.06311</v>
      </c>
      <c r="V5194">
        <v>6.6996780000000006E-2</v>
      </c>
      <c r="W5194">
        <v>0.159777799999999</v>
      </c>
      <c r="X5194">
        <v>0.98487690000000006</v>
      </c>
      <c r="Y5194">
        <v>3.6050690000000003E-2</v>
      </c>
      <c r="Z5194">
        <v>5.5737660000000001E-2</v>
      </c>
      <c r="AA5194">
        <v>0.99779439999999997</v>
      </c>
      <c r="AB5194">
        <v>19</v>
      </c>
      <c r="AC5194">
        <v>-0.16870000000000099</v>
      </c>
      <c r="AD5194">
        <v>-1.1078133622819999</v>
      </c>
      <c r="AE5194">
        <v>-19.585070000000002</v>
      </c>
      <c r="AF5194">
        <v>0.70905447164484803</v>
      </c>
      <c r="AG5194">
        <v>-1.1078133622819999</v>
      </c>
      <c r="AH5194">
        <v>19.5104560768503</v>
      </c>
      <c r="AI5194">
        <v>93.247653887253506</v>
      </c>
      <c r="AJ5194">
        <v>87.918656693855198</v>
      </c>
      <c r="AK5194">
        <v>19.554741241348999</v>
      </c>
      <c r="AL5194">
        <v>80.806000923411602</v>
      </c>
      <c r="AM5194">
        <v>86.108419170737406</v>
      </c>
      <c r="AN5194">
        <v>1.0000000110284</v>
      </c>
    </row>
    <row r="5195" spans="1:40" x14ac:dyDescent="0.25">
      <c r="A5195" t="str">
        <f>"20190312172811018"</f>
        <v>20190312172811018</v>
      </c>
      <c r="B5195" t="str">
        <f>"1552382891014374"</f>
        <v>1552382891014374</v>
      </c>
      <c r="C5195" t="s">
        <v>40</v>
      </c>
      <c r="D5195">
        <v>3.258623</v>
      </c>
      <c r="E5195">
        <v>0.48885699999999999</v>
      </c>
      <c r="F5195" t="s">
        <v>41</v>
      </c>
      <c r="G5195">
        <v>-300.834</v>
      </c>
      <c r="H5195" s="1">
        <v>-2.157204E-6</v>
      </c>
      <c r="I5195">
        <v>-35.899639999999998</v>
      </c>
      <c r="J5195">
        <v>-300.61759999999998</v>
      </c>
      <c r="K5195">
        <v>1.1078049999999999</v>
      </c>
      <c r="L5195">
        <v>-16.159610000000001</v>
      </c>
      <c r="M5195">
        <v>2.2063099999999999E-2</v>
      </c>
      <c r="N5195">
        <v>0</v>
      </c>
      <c r="O5195">
        <v>-0.9997298</v>
      </c>
      <c r="P5195">
        <v>-4.1977819999999999E-2</v>
      </c>
      <c r="Q5195">
        <v>0.1537917</v>
      </c>
      <c r="R5195">
        <v>-0.98721139999999996</v>
      </c>
      <c r="S5195">
        <v>-3.2562260000000003E-2</v>
      </c>
      <c r="T5195">
        <v>-0.16888800000000001</v>
      </c>
      <c r="U5195">
        <v>-3.062897</v>
      </c>
      <c r="V5195">
        <v>6.4408309999999996E-2</v>
      </c>
      <c r="W5195">
        <v>0.16075629999999999</v>
      </c>
      <c r="X5195">
        <v>0.9848903</v>
      </c>
      <c r="Y5195">
        <v>3.2674340000000003E-2</v>
      </c>
      <c r="Z5195">
        <v>5.5019980000000003E-2</v>
      </c>
      <c r="AA5195">
        <v>0.99795049999999996</v>
      </c>
      <c r="AB5195">
        <v>19</v>
      </c>
      <c r="AC5195">
        <v>-0.21640000000002099</v>
      </c>
      <c r="AD5195">
        <v>-1.107807157204</v>
      </c>
      <c r="AE5195">
        <v>-19.740030000000001</v>
      </c>
      <c r="AF5195">
        <v>0.64983885833454202</v>
      </c>
      <c r="AG5195">
        <v>-1.107807157204</v>
      </c>
      <c r="AH5195">
        <v>19.668512776774101</v>
      </c>
      <c r="AI5195">
        <v>93.221960753171999</v>
      </c>
      <c r="AJ5195">
        <v>88.107661457190204</v>
      </c>
      <c r="AK5195">
        <v>19.710401368046298</v>
      </c>
      <c r="AL5195">
        <v>80.749202341835201</v>
      </c>
      <c r="AM5195">
        <v>86.258388379020303</v>
      </c>
      <c r="AN5195">
        <v>0.99999996071041697</v>
      </c>
    </row>
    <row r="5196" spans="1:40" x14ac:dyDescent="0.25">
      <c r="A5196" t="str">
        <f>"20190312172811063"</f>
        <v>20190312172811063</v>
      </c>
      <c r="B5196" t="str">
        <f>"1552382891054406"</f>
        <v>1552382891054406</v>
      </c>
      <c r="C5196" t="s">
        <v>40</v>
      </c>
      <c r="D5196">
        <v>2.6345930000000002</v>
      </c>
      <c r="E5196">
        <v>0.48634290000000002</v>
      </c>
      <c r="F5196" t="s">
        <v>41</v>
      </c>
      <c r="G5196">
        <v>-300.90699999999998</v>
      </c>
      <c r="H5196" s="1">
        <v>-3.0448629999999999E-6</v>
      </c>
      <c r="I5196">
        <v>-33.875749999999996</v>
      </c>
      <c r="J5196">
        <v>-300.61689999999999</v>
      </c>
      <c r="K5196">
        <v>1.1078030000000001</v>
      </c>
      <c r="L5196">
        <v>-16.558779999999999</v>
      </c>
      <c r="M5196">
        <v>1.5646589999999998E-2</v>
      </c>
      <c r="N5196">
        <v>0</v>
      </c>
      <c r="O5196">
        <v>-0.99985060000000003</v>
      </c>
      <c r="P5196">
        <v>-4.588532E-2</v>
      </c>
      <c r="Q5196">
        <v>0.15696109999999999</v>
      </c>
      <c r="R5196">
        <v>-0.98653860000000004</v>
      </c>
      <c r="S5196">
        <v>-5.0079350000000002E-2</v>
      </c>
      <c r="T5196">
        <v>-0.19175880000000001</v>
      </c>
      <c r="U5196">
        <v>-3.0666199999999999</v>
      </c>
      <c r="V5196">
        <v>6.199822E-2</v>
      </c>
      <c r="W5196">
        <v>0.16395199999999999</v>
      </c>
      <c r="X5196">
        <v>0.98451809999999995</v>
      </c>
      <c r="Y5196">
        <v>3.1939410000000001E-2</v>
      </c>
      <c r="Z5196">
        <v>6.2377559999999999E-2</v>
      </c>
      <c r="AA5196">
        <v>0.99754140000000002</v>
      </c>
      <c r="AB5196">
        <v>20</v>
      </c>
      <c r="AC5196">
        <v>-0.29009999999999497</v>
      </c>
      <c r="AD5196">
        <v>-1.1078060448630001</v>
      </c>
      <c r="AE5196">
        <v>-17.316969999999898</v>
      </c>
      <c r="AF5196">
        <v>0.55873736123988205</v>
      </c>
      <c r="AG5196">
        <v>-1.1078060448630001</v>
      </c>
      <c r="AH5196">
        <v>17.2397776465031</v>
      </c>
      <c r="AI5196">
        <v>93.6747742447115</v>
      </c>
      <c r="AJ5196">
        <v>88.143706286884793</v>
      </c>
      <c r="AK5196">
        <v>17.284367358186699</v>
      </c>
      <c r="AL5196">
        <v>80.563640214881801</v>
      </c>
      <c r="AM5196">
        <v>86.396661596608894</v>
      </c>
      <c r="AN5196">
        <v>0.99999996340738795</v>
      </c>
    </row>
    <row r="5197" spans="1:40" x14ac:dyDescent="0.25">
      <c r="A5197" t="str">
        <f>"20190312172811129"</f>
        <v>20190312172811129</v>
      </c>
      <c r="B5197" t="str">
        <f>"1552382891124661"</f>
        <v>1552382891124661</v>
      </c>
      <c r="C5197" t="s">
        <v>40</v>
      </c>
      <c r="D5197">
        <v>2.2849240000000002</v>
      </c>
      <c r="E5197">
        <v>0.48511569999999998</v>
      </c>
      <c r="F5197" t="s">
        <v>44</v>
      </c>
      <c r="G5197">
        <v>-300.62810000000002</v>
      </c>
      <c r="H5197">
        <v>1.050972</v>
      </c>
      <c r="I5197">
        <v>-17.344739999999899</v>
      </c>
      <c r="J5197">
        <v>-300.62040000000002</v>
      </c>
      <c r="K5197">
        <v>1.1077699999999999</v>
      </c>
      <c r="L5197">
        <v>-17.155179999999898</v>
      </c>
      <c r="M5197">
        <v>6.0718489999999998E-3</v>
      </c>
      <c r="N5197">
        <v>0</v>
      </c>
      <c r="O5197">
        <v>-0.99995429999999996</v>
      </c>
      <c r="P5197">
        <v>-4.5696819999999999E-2</v>
      </c>
      <c r="Q5197">
        <v>0.1571553</v>
      </c>
      <c r="R5197">
        <v>-0.98651639999999996</v>
      </c>
      <c r="S5197">
        <v>-4.2877199999999997E-2</v>
      </c>
      <c r="T5197">
        <v>-0.22179869999999999</v>
      </c>
      <c r="U5197">
        <v>-3.0742189999999998</v>
      </c>
      <c r="V5197">
        <v>5.2384310000000003E-2</v>
      </c>
      <c r="W5197">
        <v>0.16422059999999999</v>
      </c>
      <c r="X5197">
        <v>0.98503169999999995</v>
      </c>
      <c r="Y5197">
        <v>1.998101E-2</v>
      </c>
      <c r="Z5197">
        <v>7.1948269999999995E-2</v>
      </c>
      <c r="AA5197">
        <v>0.99720819999999999</v>
      </c>
      <c r="AB5197">
        <v>20</v>
      </c>
      <c r="AC5197">
        <v>-7.6999999999998103E-3</v>
      </c>
      <c r="AD5197">
        <v>-5.6798000000000098E-2</v>
      </c>
      <c r="AE5197">
        <v>-0.18956000000000001</v>
      </c>
      <c r="AF5197">
        <v>8.1228156520005302E-3</v>
      </c>
      <c r="AG5197">
        <v>-5.6798000000000098E-2</v>
      </c>
      <c r="AH5197">
        <v>0.17392108601276199</v>
      </c>
      <c r="AI5197">
        <v>108.067248310179</v>
      </c>
      <c r="AJ5197">
        <v>87.325999290185095</v>
      </c>
      <c r="AK5197">
        <v>0.18314075761002799</v>
      </c>
      <c r="AL5197">
        <v>80.548039322964797</v>
      </c>
      <c r="AM5197">
        <v>86.955859186839504</v>
      </c>
      <c r="AN5197">
        <v>0.999999985701713</v>
      </c>
    </row>
    <row r="5198" spans="1:40" x14ac:dyDescent="0.25">
      <c r="A5198" t="str">
        <f>"20190312172811157"</f>
        <v>20190312172811157</v>
      </c>
      <c r="B5198" t="str">
        <f>"1552382891154917"</f>
        <v>1552382891154917</v>
      </c>
      <c r="C5198" t="s">
        <v>40</v>
      </c>
      <c r="D5198">
        <v>2.8830689999999999</v>
      </c>
      <c r="E5198">
        <v>0.4838597</v>
      </c>
      <c r="F5198" t="s">
        <v>44</v>
      </c>
      <c r="G5198">
        <v>-300.6309</v>
      </c>
      <c r="H5198">
        <v>1.029112</v>
      </c>
      <c r="I5198">
        <v>-18.05095</v>
      </c>
      <c r="J5198">
        <v>-300.62380000000002</v>
      </c>
      <c r="K5198">
        <v>1.1077669999999999</v>
      </c>
      <c r="L5198">
        <v>-17.416720000000002</v>
      </c>
      <c r="M5198">
        <v>1.89284E-3</v>
      </c>
      <c r="N5198">
        <v>0</v>
      </c>
      <c r="O5198">
        <v>-0.99997080000000005</v>
      </c>
      <c r="P5198">
        <v>-4.6707350000000002E-2</v>
      </c>
      <c r="Q5198">
        <v>0.1574942</v>
      </c>
      <c r="R5198">
        <v>-0.98641500000000004</v>
      </c>
      <c r="S5198">
        <v>-3.5064699999999997E-2</v>
      </c>
      <c r="T5198">
        <v>-0.27033359999999901</v>
      </c>
      <c r="U5198">
        <v>-3.0824579999999999</v>
      </c>
      <c r="V5198">
        <v>4.9278580000000002E-2</v>
      </c>
      <c r="W5198">
        <v>0.1645875</v>
      </c>
      <c r="X5198">
        <v>0.98513070000000003</v>
      </c>
      <c r="Y5198">
        <v>1.3224090000000001E-2</v>
      </c>
      <c r="Z5198">
        <v>8.7358469999999994E-2</v>
      </c>
      <c r="AA5198">
        <v>0.99608920000000001</v>
      </c>
      <c r="AB5198">
        <v>20</v>
      </c>
      <c r="AC5198">
        <v>-7.0999999999799002E-3</v>
      </c>
      <c r="AD5198">
        <v>-7.8654999999999906E-2</v>
      </c>
      <c r="AE5198">
        <v>-0.63422999999999796</v>
      </c>
      <c r="AF5198">
        <v>8.1748025859328804E-3</v>
      </c>
      <c r="AG5198">
        <v>-7.8654999999999906E-2</v>
      </c>
      <c r="AH5198">
        <v>0.624610063852021</v>
      </c>
      <c r="AI5198">
        <v>97.176673696060504</v>
      </c>
      <c r="AJ5198">
        <v>89.250164265572096</v>
      </c>
      <c r="AK5198">
        <v>0.62959603579402001</v>
      </c>
      <c r="AL5198">
        <v>80.526727265702107</v>
      </c>
      <c r="AM5198">
        <v>87.136315822563404</v>
      </c>
      <c r="AN5198">
        <v>0.99999995984277701</v>
      </c>
    </row>
    <row r="5199" spans="1:40" x14ac:dyDescent="0.25">
      <c r="A5199" t="str">
        <f>"20190312172811181"</f>
        <v>20190312172811181</v>
      </c>
      <c r="B5199" t="str">
        <f>"1552382891174439"</f>
        <v>1552382891174439</v>
      </c>
      <c r="C5199" t="s">
        <v>40</v>
      </c>
      <c r="D5199">
        <v>2.8922910000000002</v>
      </c>
      <c r="E5199">
        <v>0.48306779999999999</v>
      </c>
      <c r="F5199" t="s">
        <v>44</v>
      </c>
      <c r="G5199">
        <v>-300.63139999999999</v>
      </c>
      <c r="H5199">
        <v>1.035021</v>
      </c>
      <c r="I5199">
        <v>-18.235520000000001</v>
      </c>
      <c r="J5199">
        <v>-300.62729999999999</v>
      </c>
      <c r="K5199">
        <v>1.1077600000000001</v>
      </c>
      <c r="L5199">
        <v>-17.63043</v>
      </c>
      <c r="M5199">
        <v>-1.5061289999999999E-3</v>
      </c>
      <c r="N5199">
        <v>0</v>
      </c>
      <c r="O5199">
        <v>-0.99997150000000001</v>
      </c>
      <c r="P5199">
        <v>-4.6933389999999998E-2</v>
      </c>
      <c r="Q5199">
        <v>0.15881870000000001</v>
      </c>
      <c r="R5199">
        <v>-0.98619179999999995</v>
      </c>
      <c r="S5199">
        <v>-2.7984620000000002E-2</v>
      </c>
      <c r="T5199">
        <v>-0.27369959999999999</v>
      </c>
      <c r="U5199">
        <v>-3.0836790000000001</v>
      </c>
      <c r="V5199">
        <v>4.6159869999999999E-2</v>
      </c>
      <c r="W5199">
        <v>0.16593620000000001</v>
      </c>
      <c r="X5199">
        <v>0.98505560000000003</v>
      </c>
      <c r="Y5199">
        <v>7.5330509999999998E-3</v>
      </c>
      <c r="Z5199">
        <v>8.8406739999999998E-2</v>
      </c>
      <c r="AA5199">
        <v>0.99605600000000005</v>
      </c>
      <c r="AB5199">
        <v>20</v>
      </c>
      <c r="AC5199">
        <v>-4.0999999999939904E-3</v>
      </c>
      <c r="AD5199">
        <v>-7.2739000000000095E-2</v>
      </c>
      <c r="AE5199">
        <v>-0.60509000000000002</v>
      </c>
      <c r="AF5199">
        <v>3.1432067518104901E-3</v>
      </c>
      <c r="AG5199">
        <v>-7.2739000000000095E-2</v>
      </c>
      <c r="AH5199">
        <v>0.596476269625273</v>
      </c>
      <c r="AI5199">
        <v>96.952671776842806</v>
      </c>
      <c r="AJ5199">
        <v>89.698075475553594</v>
      </c>
      <c r="AK5199">
        <v>0.60090330511303203</v>
      </c>
      <c r="AL5199">
        <v>80.448375900608497</v>
      </c>
      <c r="AM5199">
        <v>87.317072841498103</v>
      </c>
      <c r="AN5199">
        <v>1.0000000455800999</v>
      </c>
    </row>
    <row r="5200" spans="1:40" x14ac:dyDescent="0.25">
      <c r="A5200" t="str">
        <f>"20190312172811220"</f>
        <v>20190312172811220</v>
      </c>
      <c r="B5200" t="str">
        <f>"1552382891214453"</f>
        <v>1552382891214453</v>
      </c>
      <c r="C5200" t="s">
        <v>40</v>
      </c>
      <c r="D5200">
        <v>2.852757</v>
      </c>
      <c r="E5200">
        <v>0.48256739999999998</v>
      </c>
      <c r="F5200" t="s">
        <v>44</v>
      </c>
      <c r="G5200">
        <v>-300.63310000000001</v>
      </c>
      <c r="H5200">
        <v>1.0437959999999999</v>
      </c>
      <c r="I5200">
        <v>-18.425180000000001</v>
      </c>
      <c r="J5200">
        <v>-300.6345</v>
      </c>
      <c r="K5200">
        <v>1.107782</v>
      </c>
      <c r="L5200">
        <v>-17.979610000000001</v>
      </c>
      <c r="M5200">
        <v>-6.9787269999999997E-3</v>
      </c>
      <c r="N5200">
        <v>0</v>
      </c>
      <c r="O5200">
        <v>-0.99994810000000001</v>
      </c>
      <c r="P5200">
        <v>-4.641874E-2</v>
      </c>
      <c r="Q5200">
        <v>0.1590309</v>
      </c>
      <c r="R5200">
        <v>-0.98618209999999995</v>
      </c>
      <c r="S5200">
        <v>-2.1423339999999999E-2</v>
      </c>
      <c r="T5200">
        <v>-0.24758820000000001</v>
      </c>
      <c r="U5200">
        <v>-3.0808719999999998</v>
      </c>
      <c r="V5200">
        <v>4.0242630000000001E-2</v>
      </c>
      <c r="W5200">
        <v>0.16619579999999901</v>
      </c>
      <c r="X5200">
        <v>0.98527129999999996</v>
      </c>
      <c r="Y5200" s="1">
        <v>-4.7769109999999997E-5</v>
      </c>
      <c r="Z5200">
        <v>8.0100899999999906E-2</v>
      </c>
      <c r="AA5200">
        <v>0.99678679999999997</v>
      </c>
      <c r="AB5200">
        <v>20</v>
      </c>
      <c r="AC5200">
        <v>1.39999999998963E-3</v>
      </c>
      <c r="AD5200">
        <v>-6.3986000000000098E-2</v>
      </c>
      <c r="AE5200">
        <v>-0.44556999999999602</v>
      </c>
      <c r="AF5200">
        <v>-4.4184451586429703E-3</v>
      </c>
      <c r="AG5200">
        <v>-6.3986000000000098E-2</v>
      </c>
      <c r="AH5200">
        <v>0.43654684793218201</v>
      </c>
      <c r="AI5200">
        <v>98.338219169299194</v>
      </c>
      <c r="AJ5200">
        <v>90.579891062477202</v>
      </c>
      <c r="AK5200">
        <v>0.44123336375793698</v>
      </c>
      <c r="AL5200">
        <v>80.433292268844895</v>
      </c>
      <c r="AM5200">
        <v>87.661099071878894</v>
      </c>
      <c r="AN5200">
        <v>1.0000000239053199</v>
      </c>
    </row>
    <row r="5201" spans="1:40" x14ac:dyDescent="0.25">
      <c r="A5201" t="str">
        <f>"20190312172811263"</f>
        <v>20190312172811263</v>
      </c>
      <c r="B5201" t="str">
        <f>"1552382891254473"</f>
        <v>1552382891254473</v>
      </c>
      <c r="C5201" t="s">
        <v>40</v>
      </c>
      <c r="D5201">
        <v>2.9043290000000002</v>
      </c>
      <c r="E5201">
        <v>0.48266229999999899</v>
      </c>
      <c r="F5201" t="s">
        <v>41</v>
      </c>
      <c r="G5201">
        <v>-300.71769999999998</v>
      </c>
      <c r="H5201" s="1">
        <v>-2.9337169999999998E-6</v>
      </c>
      <c r="I5201">
        <v>-34.01746</v>
      </c>
      <c r="J5201">
        <v>-300.64499999999998</v>
      </c>
      <c r="K5201">
        <v>1.107837</v>
      </c>
      <c r="L5201">
        <v>-18.382020000000001</v>
      </c>
      <c r="M5201">
        <v>-1.309627E-2</v>
      </c>
      <c r="N5201">
        <v>0</v>
      </c>
      <c r="O5201">
        <v>-0.99988650000000001</v>
      </c>
      <c r="P5201">
        <v>-4.7616060000000002E-2</v>
      </c>
      <c r="Q5201">
        <v>0.15910550000000001</v>
      </c>
      <c r="R5201">
        <v>-0.98611280000000001</v>
      </c>
      <c r="S5201">
        <v>-1.596069E-2</v>
      </c>
      <c r="T5201">
        <v>-0.21243870000000001</v>
      </c>
      <c r="U5201">
        <v>-3.0755620000000001</v>
      </c>
      <c r="V5201">
        <v>3.5384319999999997E-2</v>
      </c>
      <c r="W5201">
        <v>0.16631670000000001</v>
      </c>
      <c r="X5201">
        <v>0.98543729999999996</v>
      </c>
      <c r="Y5201">
        <v>-7.9197859999999998E-3</v>
      </c>
      <c r="Z5201">
        <v>6.8898570000000006E-2</v>
      </c>
      <c r="AA5201">
        <v>0.99759219999999904</v>
      </c>
      <c r="AB5201">
        <v>20</v>
      </c>
      <c r="AC5201">
        <v>-7.2699999999997503E-2</v>
      </c>
      <c r="AD5201">
        <v>-1.107839933717</v>
      </c>
      <c r="AE5201">
        <v>-15.635439999999999</v>
      </c>
      <c r="AF5201">
        <v>-0.131418108441962</v>
      </c>
      <c r="AG5201">
        <v>-1.107839933717</v>
      </c>
      <c r="AH5201">
        <v>15.556951537236399</v>
      </c>
      <c r="AI5201">
        <v>94.073119883577206</v>
      </c>
      <c r="AJ5201">
        <v>90.483997385073295</v>
      </c>
      <c r="AK5201">
        <v>15.596901011735801</v>
      </c>
      <c r="AL5201">
        <v>80.426267051500403</v>
      </c>
      <c r="AM5201">
        <v>87.943550996239793</v>
      </c>
      <c r="AN5201">
        <v>0.99999998351602104</v>
      </c>
    </row>
    <row r="5202" spans="1:40" x14ac:dyDescent="0.25">
      <c r="A5202" t="str">
        <f>"20190312172811308"</f>
        <v>20190312172811308</v>
      </c>
      <c r="B5202" t="str">
        <f>"1552382891305222"</f>
        <v>1552382891305222</v>
      </c>
      <c r="C5202" t="s">
        <v>40</v>
      </c>
      <c r="D5202">
        <v>2.9292950000000002</v>
      </c>
      <c r="E5202">
        <v>0.4828597</v>
      </c>
      <c r="F5202" t="s">
        <v>41</v>
      </c>
      <c r="G5202">
        <v>-300.74439999999998</v>
      </c>
      <c r="H5202" s="1">
        <v>-2.1119079999999999E-6</v>
      </c>
      <c r="I5202">
        <v>-35.949669999999998</v>
      </c>
      <c r="J5202">
        <v>-300.65780000000001</v>
      </c>
      <c r="K5202">
        <v>1.10791</v>
      </c>
      <c r="L5202">
        <v>-18.795169999999999</v>
      </c>
      <c r="M5202">
        <v>-1.9069820000000001E-2</v>
      </c>
      <c r="N5202">
        <v>0</v>
      </c>
      <c r="O5202">
        <v>-0.99979019999999996</v>
      </c>
      <c r="P5202">
        <v>-4.7690759999999999E-2</v>
      </c>
      <c r="Q5202">
        <v>0.157418899999999</v>
      </c>
      <c r="R5202">
        <v>-0.98637989999999998</v>
      </c>
      <c r="S5202">
        <v>-1.7395020000000001E-2</v>
      </c>
      <c r="T5202">
        <v>-0.19376599999999999</v>
      </c>
      <c r="U5202">
        <v>-3.0726619999999998</v>
      </c>
      <c r="V5202">
        <v>2.951639E-2</v>
      </c>
      <c r="W5202">
        <v>0.16468289999999999</v>
      </c>
      <c r="X5202">
        <v>0.98590480000000003</v>
      </c>
      <c r="Y5202">
        <v>-1.342117E-2</v>
      </c>
      <c r="Z5202">
        <v>6.2915769999999996E-2</v>
      </c>
      <c r="AA5202">
        <v>0.99792860000000005</v>
      </c>
      <c r="AB5202">
        <v>20</v>
      </c>
      <c r="AC5202">
        <v>-8.6599999999975794E-2</v>
      </c>
      <c r="AD5202">
        <v>-1.107912111908</v>
      </c>
      <c r="AE5202">
        <v>-17.154499999999999</v>
      </c>
      <c r="AF5202">
        <v>-0.239558911654907</v>
      </c>
      <c r="AG5202">
        <v>-1.107912111908</v>
      </c>
      <c r="AH5202">
        <v>17.0817832003295</v>
      </c>
      <c r="AI5202">
        <v>93.710601139085796</v>
      </c>
      <c r="AJ5202">
        <v>90.8034767022843</v>
      </c>
      <c r="AK5202">
        <v>17.119350893737899</v>
      </c>
      <c r="AL5202">
        <v>80.521185772438599</v>
      </c>
      <c r="AM5202">
        <v>88.285169543977503</v>
      </c>
      <c r="AN5202">
        <v>0.99999997474704005</v>
      </c>
    </row>
    <row r="5203" spans="1:40" x14ac:dyDescent="0.25">
      <c r="A5203" t="str">
        <f>"20190312172811337"</f>
        <v>20190312172811337</v>
      </c>
      <c r="B5203" t="str">
        <f>"1552382891324742"</f>
        <v>1552382891324742</v>
      </c>
      <c r="C5203" t="s">
        <v>40</v>
      </c>
      <c r="D5203">
        <v>2.8871859999999998</v>
      </c>
      <c r="E5203">
        <v>0.48294769999999998</v>
      </c>
      <c r="F5203" t="s">
        <v>41</v>
      </c>
      <c r="G5203">
        <v>-300.77659999999997</v>
      </c>
      <c r="H5203" s="1">
        <v>-1.632528E-6</v>
      </c>
      <c r="I5203">
        <v>-37.087069999999997</v>
      </c>
      <c r="J5203">
        <v>-300.66750000000002</v>
      </c>
      <c r="K5203">
        <v>1.107988</v>
      </c>
      <c r="L5203">
        <v>-19.068449999999999</v>
      </c>
      <c r="M5203">
        <v>-2.276856E-2</v>
      </c>
      <c r="N5203">
        <v>0</v>
      </c>
      <c r="O5203">
        <v>-0.99971290000000002</v>
      </c>
      <c r="P5203">
        <v>-4.7338869999999998E-2</v>
      </c>
      <c r="Q5203">
        <v>0.1566987</v>
      </c>
      <c r="R5203">
        <v>-0.98651140000000004</v>
      </c>
      <c r="S5203">
        <v>-1.9927980000000001E-2</v>
      </c>
      <c r="T5203">
        <v>-0.1859529</v>
      </c>
      <c r="U5203">
        <v>-3.0701290000000001</v>
      </c>
      <c r="V5203">
        <v>2.5475049999999999E-2</v>
      </c>
      <c r="W5203">
        <v>0.16399629999999901</v>
      </c>
      <c r="X5203">
        <v>0.98613200000000001</v>
      </c>
      <c r="Y5203">
        <v>-1.6291469999999999E-2</v>
      </c>
      <c r="Z5203">
        <v>6.0429499999999997E-2</v>
      </c>
      <c r="AA5203">
        <v>0.99803949999999997</v>
      </c>
      <c r="AB5203">
        <v>21</v>
      </c>
      <c r="AC5203">
        <v>-0.109099999999955</v>
      </c>
      <c r="AD5203">
        <v>-1.1079896325280001</v>
      </c>
      <c r="AE5203">
        <v>-18.018619999999999</v>
      </c>
      <c r="AF5203">
        <v>-0.30006318929625803</v>
      </c>
      <c r="AG5203">
        <v>-1.1079896325280001</v>
      </c>
      <c r="AH5203">
        <v>17.9485683269926</v>
      </c>
      <c r="AI5203">
        <v>93.531971843585495</v>
      </c>
      <c r="AJ5203">
        <v>90.957778503216105</v>
      </c>
      <c r="AK5203">
        <v>17.985237944828</v>
      </c>
      <c r="AL5203">
        <v>80.561067943044506</v>
      </c>
      <c r="AM5203">
        <v>88.520189708647607</v>
      </c>
      <c r="AN5203">
        <v>1.0000000430050899</v>
      </c>
    </row>
    <row r="5204" spans="1:40" x14ac:dyDescent="0.25">
      <c r="A5204" t="str">
        <f>"20190312172811360"</f>
        <v>20190312172811360</v>
      </c>
      <c r="B5204" t="str">
        <f>"1552382891354997"</f>
        <v>1552382891354997</v>
      </c>
      <c r="C5204" t="s">
        <v>40</v>
      </c>
      <c r="D5204">
        <v>2.938742</v>
      </c>
      <c r="E5204">
        <v>0.48296090000000003</v>
      </c>
      <c r="F5204" t="s">
        <v>41</v>
      </c>
      <c r="G5204">
        <v>-300.78539999999998</v>
      </c>
      <c r="H5204" s="1">
        <v>-1.380095E-6</v>
      </c>
      <c r="I5204">
        <v>-37.680950000000003</v>
      </c>
      <c r="J5204">
        <v>-300.67590000000001</v>
      </c>
      <c r="K5204">
        <v>1.10806</v>
      </c>
      <c r="L5204">
        <v>-19.290220000000001</v>
      </c>
      <c r="M5204">
        <v>-2.5604780000000001E-2</v>
      </c>
      <c r="N5204">
        <v>0</v>
      </c>
      <c r="O5204">
        <v>-0.99964399999999998</v>
      </c>
      <c r="P5204">
        <v>-4.8326029999999999E-2</v>
      </c>
      <c r="Q5204">
        <v>0.15657979999999999</v>
      </c>
      <c r="R5204">
        <v>-0.98648250000000004</v>
      </c>
      <c r="S5204">
        <v>-1.9439700000000001E-2</v>
      </c>
      <c r="T5204">
        <v>-0.1827027</v>
      </c>
      <c r="U5204">
        <v>-3.0691220000000001</v>
      </c>
      <c r="V5204">
        <v>2.362916E-2</v>
      </c>
      <c r="W5204">
        <v>0.1638975</v>
      </c>
      <c r="X5204">
        <v>0.98619429999999997</v>
      </c>
      <c r="Y5204">
        <v>-1.9284409999999998E-2</v>
      </c>
      <c r="Z5204">
        <v>5.938877E-2</v>
      </c>
      <c r="AA5204">
        <v>0.99804870000000001</v>
      </c>
      <c r="AB5204">
        <v>21</v>
      </c>
      <c r="AC5204">
        <v>-0.109499999999968</v>
      </c>
      <c r="AD5204">
        <v>-1.1080613800949899</v>
      </c>
      <c r="AE5204">
        <v>-18.390729999999898</v>
      </c>
      <c r="AF5204">
        <v>-0.36013244278735501</v>
      </c>
      <c r="AG5204">
        <v>-1.1080613800949899</v>
      </c>
      <c r="AH5204">
        <v>18.3209975524477</v>
      </c>
      <c r="AI5204">
        <v>93.460389262921495</v>
      </c>
      <c r="AJ5204">
        <v>91.126107461817597</v>
      </c>
      <c r="AK5204">
        <v>18.358007700052902</v>
      </c>
      <c r="AL5204">
        <v>80.566805646022601</v>
      </c>
      <c r="AM5204">
        <v>88.627458951873294</v>
      </c>
      <c r="AN5204">
        <v>0.99999996253052204</v>
      </c>
    </row>
    <row r="5205" spans="1:40" x14ac:dyDescent="0.25">
      <c r="A5205" t="str">
        <f>"20190312172811386"</f>
        <v>20190312172811386</v>
      </c>
      <c r="B5205" t="str">
        <f>"1552382891375494"</f>
        <v>1552382891375494</v>
      </c>
      <c r="C5205" t="s">
        <v>40</v>
      </c>
      <c r="D5205">
        <v>2.9370539999999998</v>
      </c>
      <c r="E5205">
        <v>0.48299419999999998</v>
      </c>
      <c r="F5205" t="s">
        <v>41</v>
      </c>
      <c r="G5205">
        <v>-300.80540000000002</v>
      </c>
      <c r="H5205" s="1">
        <v>-1.0039010000000001E-6</v>
      </c>
      <c r="I5205">
        <v>-38.570259999999998</v>
      </c>
      <c r="J5205">
        <v>-300.68549999999999</v>
      </c>
      <c r="K5205">
        <v>1.108155</v>
      </c>
      <c r="L5205">
        <v>-19.532350000000001</v>
      </c>
      <c r="M5205">
        <v>-2.8527340000000002E-2</v>
      </c>
      <c r="N5205">
        <v>0</v>
      </c>
      <c r="O5205">
        <v>-0.99956489999999998</v>
      </c>
      <c r="P5205">
        <v>-4.6987189999999998E-2</v>
      </c>
      <c r="Q5205">
        <v>0.15499869999999999</v>
      </c>
      <c r="R5205">
        <v>-0.98679689999999998</v>
      </c>
      <c r="S5205">
        <v>-2.0599369999999999E-2</v>
      </c>
      <c r="T5205">
        <v>-0.1763287</v>
      </c>
      <c r="U5205">
        <v>-3.068085</v>
      </c>
      <c r="V5205">
        <v>1.935226E-2</v>
      </c>
      <c r="W5205">
        <v>0.1623473</v>
      </c>
      <c r="X5205">
        <v>0.98654390000000003</v>
      </c>
      <c r="Y5205">
        <v>-2.1827340000000001E-2</v>
      </c>
      <c r="Z5205">
        <v>5.7334740000000002E-2</v>
      </c>
      <c r="AA5205">
        <v>0.99811640000000001</v>
      </c>
      <c r="AB5205">
        <v>21</v>
      </c>
      <c r="AC5205">
        <v>-0.119900000000029</v>
      </c>
      <c r="AD5205">
        <v>-1.1081560039010001</v>
      </c>
      <c r="AE5205">
        <v>-19.03791</v>
      </c>
      <c r="AF5205">
        <v>-0.421835805790579</v>
      </c>
      <c r="AG5205">
        <v>-1.1081560039010001</v>
      </c>
      <c r="AH5205">
        <v>18.9693134745031</v>
      </c>
      <c r="AI5205">
        <v>93.342500637419604</v>
      </c>
      <c r="AJ5205">
        <v>91.273922140072401</v>
      </c>
      <c r="AK5205">
        <v>19.006336019075199</v>
      </c>
      <c r="AL5205">
        <v>80.656831854925997</v>
      </c>
      <c r="AM5205">
        <v>88.876217638259405</v>
      </c>
      <c r="AN5205">
        <v>1.0000000112058001</v>
      </c>
    </row>
    <row r="5206" spans="1:40" x14ac:dyDescent="0.25">
      <c r="A5206" t="str">
        <f>"20190312172811420"</f>
        <v>20190312172811420</v>
      </c>
      <c r="B5206" t="str">
        <f>"1552382891414534"</f>
        <v>1552382891414534</v>
      </c>
      <c r="C5206" t="s">
        <v>40</v>
      </c>
      <c r="D5206">
        <v>2.952175</v>
      </c>
      <c r="E5206">
        <v>0.48305789999999998</v>
      </c>
      <c r="F5206" t="s">
        <v>41</v>
      </c>
      <c r="G5206">
        <v>-300.78129999999999</v>
      </c>
      <c r="H5206" s="1">
        <v>-9.4192420000000005E-7</v>
      </c>
      <c r="I5206">
        <v>-38.699800000000003</v>
      </c>
      <c r="J5206">
        <v>-300.69889999999998</v>
      </c>
      <c r="K5206">
        <v>1.108298</v>
      </c>
      <c r="L5206">
        <v>-19.849299999999999</v>
      </c>
      <c r="M5206">
        <v>-3.1999029999999998E-2</v>
      </c>
      <c r="N5206">
        <v>0</v>
      </c>
      <c r="O5206">
        <v>-0.99945989999999996</v>
      </c>
      <c r="P5206">
        <v>-4.5452720000000002E-2</v>
      </c>
      <c r="Q5206">
        <v>0.1529307</v>
      </c>
      <c r="R5206">
        <v>-0.9871915</v>
      </c>
      <c r="S5206">
        <v>-1.531982E-2</v>
      </c>
      <c r="T5206">
        <v>-0.17733199999999999</v>
      </c>
      <c r="U5206">
        <v>-3.0672609999999998</v>
      </c>
      <c r="V5206">
        <v>1.431325E-2</v>
      </c>
      <c r="W5206">
        <v>0.16031579999999901</v>
      </c>
      <c r="X5206">
        <v>0.98696200000000001</v>
      </c>
      <c r="Y5206">
        <v>-2.7015819999999999E-2</v>
      </c>
      <c r="Z5206">
        <v>5.7662890000000001E-2</v>
      </c>
      <c r="AA5206">
        <v>0.99797049999999998</v>
      </c>
      <c r="AB5206">
        <v>21</v>
      </c>
      <c r="AC5206">
        <v>-8.2400000000006898E-2</v>
      </c>
      <c r="AD5206">
        <v>-1.1082989419242</v>
      </c>
      <c r="AE5206">
        <v>-18.8505</v>
      </c>
      <c r="AF5206">
        <v>-0.51906256002713302</v>
      </c>
      <c r="AG5206">
        <v>-1.1082989419242</v>
      </c>
      <c r="AH5206">
        <v>18.778571307157101</v>
      </c>
      <c r="AI5206">
        <v>93.376354544323206</v>
      </c>
      <c r="AJ5206">
        <v>91.583321904563704</v>
      </c>
      <c r="AK5206">
        <v>18.818408349907699</v>
      </c>
      <c r="AL5206">
        <v>80.774773215304606</v>
      </c>
      <c r="AM5206">
        <v>89.169135863054393</v>
      </c>
      <c r="AN5206">
        <v>1.0000000071496</v>
      </c>
    </row>
    <row r="5207" spans="1:40" x14ac:dyDescent="0.25">
      <c r="A5207" t="str">
        <f>"20190312172811456"</f>
        <v>20190312172811456</v>
      </c>
      <c r="B5207" t="str">
        <f>"1552382891444789"</f>
        <v>1552382891444789</v>
      </c>
      <c r="C5207" t="s">
        <v>40</v>
      </c>
      <c r="D5207">
        <v>2.9853350000000001</v>
      </c>
      <c r="E5207">
        <v>0.4830796</v>
      </c>
      <c r="F5207" t="s">
        <v>41</v>
      </c>
      <c r="G5207">
        <v>-300.77760000000001</v>
      </c>
      <c r="H5207" s="1">
        <v>-8.1497440000000002E-7</v>
      </c>
      <c r="I5207">
        <v>-38.99342</v>
      </c>
      <c r="J5207">
        <v>-300.71409999999997</v>
      </c>
      <c r="K5207">
        <v>1.1084579999999999</v>
      </c>
      <c r="L5207">
        <v>-20.194669999999999</v>
      </c>
      <c r="M5207">
        <v>-3.5358140000000003E-2</v>
      </c>
      <c r="N5207">
        <v>0</v>
      </c>
      <c r="O5207">
        <v>-0.99934659999999997</v>
      </c>
      <c r="P5207">
        <v>-4.6866379999999999E-2</v>
      </c>
      <c r="Q5207">
        <v>0.1560117</v>
      </c>
      <c r="R5207">
        <v>-0.9866431</v>
      </c>
      <c r="S5207">
        <v>-1.260376E-2</v>
      </c>
      <c r="T5207">
        <v>-0.17748989999999901</v>
      </c>
      <c r="U5207">
        <v>-3.0658569999999998</v>
      </c>
      <c r="V5207">
        <v>1.237105E-2</v>
      </c>
      <c r="W5207">
        <v>0.16341620000000001</v>
      </c>
      <c r="X5207">
        <v>0.98647960000000001</v>
      </c>
      <c r="Y5207">
        <v>-3.1257269999999997E-2</v>
      </c>
      <c r="Z5207">
        <v>5.7727109999999998E-2</v>
      </c>
      <c r="AA5207">
        <v>0.99784300000000004</v>
      </c>
      <c r="AB5207">
        <v>21</v>
      </c>
      <c r="AC5207">
        <v>-6.3500000000033197E-2</v>
      </c>
      <c r="AD5207">
        <v>-1.1084588149743999</v>
      </c>
      <c r="AE5207">
        <v>-18.798749999999998</v>
      </c>
      <c r="AF5207">
        <v>-0.59916405612572399</v>
      </c>
      <c r="AG5207">
        <v>-1.1084588149743999</v>
      </c>
      <c r="AH5207">
        <v>18.724140320357002</v>
      </c>
      <c r="AI5207">
        <v>93.386195397058202</v>
      </c>
      <c r="AJ5207">
        <v>91.832813723958196</v>
      </c>
      <c r="AK5207">
        <v>18.7664889962685</v>
      </c>
      <c r="AL5207">
        <v>80.594758865934807</v>
      </c>
      <c r="AM5207">
        <v>89.281513982355605</v>
      </c>
      <c r="AN5207">
        <v>0.99999994925834901</v>
      </c>
    </row>
    <row r="5208" spans="1:40" x14ac:dyDescent="0.25">
      <c r="A5208" t="str">
        <f>"20190312172811485"</f>
        <v>20190312172811485</v>
      </c>
      <c r="B5208" t="str">
        <f>"1552382891475047"</f>
        <v>1552382891475047</v>
      </c>
      <c r="C5208" t="s">
        <v>40</v>
      </c>
      <c r="D5208">
        <v>2.9947059999999999</v>
      </c>
      <c r="E5208">
        <v>0.4831242</v>
      </c>
      <c r="F5208" t="s">
        <v>52</v>
      </c>
      <c r="G5208">
        <v>-300.80889999999999</v>
      </c>
      <c r="H5208" s="1">
        <v>-5.2603389999999997E-7</v>
      </c>
      <c r="I5208">
        <v>-41.027290000000001</v>
      </c>
      <c r="J5208">
        <v>-300.72739999999999</v>
      </c>
      <c r="K5208">
        <v>1.1085719999999999</v>
      </c>
      <c r="L5208">
        <v>-20.483699999999999</v>
      </c>
      <c r="M5208">
        <v>-3.7848519999999997E-2</v>
      </c>
      <c r="N5208">
        <v>0</v>
      </c>
      <c r="O5208">
        <v>-0.99925520000000001</v>
      </c>
      <c r="P5208">
        <v>-4.7711389999999999E-2</v>
      </c>
      <c r="Q5208">
        <v>0.15583440000000001</v>
      </c>
      <c r="R5208">
        <v>-0.98663080000000003</v>
      </c>
      <c r="S5208">
        <v>-1.394653E-2</v>
      </c>
      <c r="T5208">
        <v>-0.16312109999999999</v>
      </c>
      <c r="U5208">
        <v>-3.0657350000000001</v>
      </c>
      <c r="V5208">
        <v>1.070574E-2</v>
      </c>
      <c r="W5208">
        <v>0.16325770000000001</v>
      </c>
      <c r="X5208">
        <v>0.9865254</v>
      </c>
      <c r="Y5208">
        <v>-3.3309749999999999E-2</v>
      </c>
      <c r="Z5208">
        <v>5.3060589999999998E-2</v>
      </c>
      <c r="AA5208">
        <v>0.99803560000000002</v>
      </c>
      <c r="AB5208">
        <v>21</v>
      </c>
      <c r="AC5208">
        <v>-8.1500000000005401E-2</v>
      </c>
      <c r="AD5208">
        <v>-1.1085725260339001</v>
      </c>
      <c r="AE5208">
        <v>-20.543589999999998</v>
      </c>
      <c r="AF5208">
        <v>-0.69410373150541604</v>
      </c>
      <c r="AG5208">
        <v>-1.1085725260339001</v>
      </c>
      <c r="AH5208">
        <v>20.472341833003199</v>
      </c>
      <c r="AI5208">
        <v>93.097749492516996</v>
      </c>
      <c r="AJ5208">
        <v>91.941838739399898</v>
      </c>
      <c r="AK5208">
        <v>20.514080363567299</v>
      </c>
      <c r="AL5208">
        <v>80.603964606105293</v>
      </c>
      <c r="AM5208">
        <v>89.378252560489798</v>
      </c>
      <c r="AN5208">
        <v>1.00000002716169</v>
      </c>
    </row>
    <row r="5209" spans="1:40" x14ac:dyDescent="0.25">
      <c r="A5209" t="str">
        <f>"20190312172811519"</f>
        <v>20190312172811519</v>
      </c>
      <c r="B5209" t="str">
        <f>"1552382891515062"</f>
        <v>1552382891515062</v>
      </c>
      <c r="C5209" t="s">
        <v>40</v>
      </c>
      <c r="D5209">
        <v>3.0413320000000001</v>
      </c>
      <c r="E5209">
        <v>0.48315190000000002</v>
      </c>
      <c r="F5209" t="s">
        <v>52</v>
      </c>
      <c r="G5209">
        <v>-300.8338</v>
      </c>
      <c r="H5209" s="1">
        <v>-9.2246949999999996E-7</v>
      </c>
      <c r="I5209">
        <v>-41.645519999999998</v>
      </c>
      <c r="J5209">
        <v>-300.74259999999998</v>
      </c>
      <c r="K5209">
        <v>1.1087209999999901</v>
      </c>
      <c r="L5209">
        <v>-20.806519999999999</v>
      </c>
      <c r="M5209">
        <v>-4.0212680000000001E-2</v>
      </c>
      <c r="N5209">
        <v>0</v>
      </c>
      <c r="O5209">
        <v>-0.99916269999999996</v>
      </c>
      <c r="P5209">
        <v>-4.7912530000000002E-2</v>
      </c>
      <c r="Q5209">
        <v>0.1546392</v>
      </c>
      <c r="R5209">
        <v>-0.98680880000000004</v>
      </c>
      <c r="S5209">
        <v>-1.5411380000000001E-2</v>
      </c>
      <c r="T5209">
        <v>-0.1605761</v>
      </c>
      <c r="U5209">
        <v>-3.065277</v>
      </c>
      <c r="V5209">
        <v>8.5021960000000001E-3</v>
      </c>
      <c r="W5209">
        <v>0.1620867</v>
      </c>
      <c r="X5209">
        <v>0.9867399</v>
      </c>
      <c r="Y5209">
        <v>-3.5196579999999998E-2</v>
      </c>
      <c r="Z5209">
        <v>5.2233799999999997E-2</v>
      </c>
      <c r="AA5209">
        <v>0.99801450000000003</v>
      </c>
      <c r="AB5209">
        <v>21</v>
      </c>
      <c r="AC5209">
        <v>-9.1200000000014797E-2</v>
      </c>
      <c r="AD5209">
        <v>-1.10872192246949</v>
      </c>
      <c r="AE5209">
        <v>-20.838999999999899</v>
      </c>
      <c r="AF5209">
        <v>-0.74478142580281403</v>
      </c>
      <c r="AG5209">
        <v>-1.10872192246949</v>
      </c>
      <c r="AH5209">
        <v>20.7670269895758</v>
      </c>
      <c r="AI5209">
        <v>93.0540787611328</v>
      </c>
      <c r="AJ5209">
        <v>92.053955590186902</v>
      </c>
      <c r="AK5209">
        <v>20.8099344943552</v>
      </c>
      <c r="AL5209">
        <v>80.671963522016199</v>
      </c>
      <c r="AM5209">
        <v>89.506325940284796</v>
      </c>
      <c r="AN5209">
        <v>1.0000000079528599</v>
      </c>
    </row>
    <row r="5210" spans="1:40" x14ac:dyDescent="0.25">
      <c r="A5210" t="str">
        <f>"20190312172811554"</f>
        <v>20190312172811554</v>
      </c>
      <c r="B5210" t="str">
        <f>"1552382891544342"</f>
        <v>1552382891544342</v>
      </c>
      <c r="C5210" t="s">
        <v>40</v>
      </c>
      <c r="D5210">
        <v>3.0489799999999998</v>
      </c>
      <c r="E5210">
        <v>0.48311559999999998</v>
      </c>
      <c r="F5210" t="s">
        <v>52</v>
      </c>
      <c r="G5210">
        <v>-300.86250000000001</v>
      </c>
      <c r="H5210" s="1">
        <v>-1.062361E-6</v>
      </c>
      <c r="I5210">
        <v>-41.859319999999997</v>
      </c>
      <c r="J5210">
        <v>-300.75830000000002</v>
      </c>
      <c r="K5210">
        <v>1.108887</v>
      </c>
      <c r="L5210">
        <v>-21.133669999999999</v>
      </c>
      <c r="M5210">
        <v>-4.21652E-2</v>
      </c>
      <c r="N5210">
        <v>0</v>
      </c>
      <c r="O5210">
        <v>-0.99908209999999997</v>
      </c>
      <c r="P5210">
        <v>-4.9657050000000001E-2</v>
      </c>
      <c r="Q5210">
        <v>0.15493799999999999</v>
      </c>
      <c r="R5210">
        <v>-0.98667570000000004</v>
      </c>
      <c r="S5210">
        <v>-1.7456050000000001E-2</v>
      </c>
      <c r="T5210">
        <v>-0.1613908</v>
      </c>
      <c r="U5210">
        <v>-3.0645449999999999</v>
      </c>
      <c r="V5210">
        <v>8.2530699999999995E-3</v>
      </c>
      <c r="W5210">
        <v>0.16241369999999999</v>
      </c>
      <c r="X5210">
        <v>0.98668829999999996</v>
      </c>
      <c r="Y5210">
        <v>-3.6482590000000002E-2</v>
      </c>
      <c r="Z5210">
        <v>5.250295E-2</v>
      </c>
      <c r="AA5210">
        <v>0.99795409999999996</v>
      </c>
      <c r="AB5210">
        <v>21</v>
      </c>
      <c r="AC5210">
        <v>-0.10419999999999099</v>
      </c>
      <c r="AD5210">
        <v>-1.108888062361</v>
      </c>
      <c r="AE5210">
        <v>-20.725650000000002</v>
      </c>
      <c r="AF5210">
        <v>-0.76762145356400802</v>
      </c>
      <c r="AG5210">
        <v>-1.108888062361</v>
      </c>
      <c r="AH5210">
        <v>20.6524922654141</v>
      </c>
      <c r="AI5210">
        <v>93.071297194085204</v>
      </c>
      <c r="AJ5210">
        <v>92.128616361071096</v>
      </c>
      <c r="AK5210">
        <v>20.696480671935699</v>
      </c>
      <c r="AL5210">
        <v>80.6529767256241</v>
      </c>
      <c r="AM5210">
        <v>89.520765522697303</v>
      </c>
      <c r="AN5210">
        <v>1.0000000622345</v>
      </c>
    </row>
    <row r="5211" spans="1:40" x14ac:dyDescent="0.25">
      <c r="A5211" t="str">
        <f>"20190312172811587"</f>
        <v>20190312172811587</v>
      </c>
      <c r="B5211" t="str">
        <f>"1552382891574598"</f>
        <v>1552382891574598</v>
      </c>
      <c r="C5211" t="s">
        <v>40</v>
      </c>
      <c r="D5211">
        <v>3.0304319999999998</v>
      </c>
      <c r="E5211">
        <v>0.48322579999999998</v>
      </c>
      <c r="F5211" t="s">
        <v>52</v>
      </c>
      <c r="G5211">
        <v>-300.88690000000003</v>
      </c>
      <c r="H5211" s="1">
        <v>-1.6360249999999999E-6</v>
      </c>
      <c r="I5211">
        <v>-42.756500000000003</v>
      </c>
      <c r="J5211">
        <v>-300.77370000000002</v>
      </c>
      <c r="K5211">
        <v>1.1090610000000001</v>
      </c>
      <c r="L5211">
        <v>-21.453610000000001</v>
      </c>
      <c r="M5211">
        <v>-4.3670870000000001E-2</v>
      </c>
      <c r="N5211">
        <v>0</v>
      </c>
      <c r="O5211">
        <v>-0.99901709999999999</v>
      </c>
      <c r="P5211">
        <v>-4.9946289999999997E-2</v>
      </c>
      <c r="Q5211">
        <v>0.15338840000000001</v>
      </c>
      <c r="R5211">
        <v>-0.98690290000000003</v>
      </c>
      <c r="S5211">
        <v>-1.8218990000000001E-2</v>
      </c>
      <c r="T5211">
        <v>-0.1571456</v>
      </c>
      <c r="U5211">
        <v>-3.06427</v>
      </c>
      <c r="V5211">
        <v>6.9741550000000001E-3</v>
      </c>
      <c r="W5211">
        <v>0.1609013</v>
      </c>
      <c r="X5211">
        <v>0.98694590000000004</v>
      </c>
      <c r="Y5211">
        <v>-3.773928E-2</v>
      </c>
      <c r="Z5211">
        <v>5.1123969999999998E-2</v>
      </c>
      <c r="AA5211">
        <v>0.99797899999999995</v>
      </c>
      <c r="AB5211">
        <v>22</v>
      </c>
      <c r="AC5211">
        <v>-0.113200000000006</v>
      </c>
      <c r="AD5211">
        <v>-1.109062636025</v>
      </c>
      <c r="AE5211">
        <v>-21.302889999999898</v>
      </c>
      <c r="AF5211">
        <v>-0.81504154270653695</v>
      </c>
      <c r="AG5211">
        <v>-1.109062636025</v>
      </c>
      <c r="AH5211">
        <v>21.2299686596361</v>
      </c>
      <c r="AI5211">
        <v>92.988240280199093</v>
      </c>
      <c r="AJ5211">
        <v>92.198567458055294</v>
      </c>
      <c r="AK5211">
        <v>21.2745359981386</v>
      </c>
      <c r="AL5211">
        <v>80.7407856028303</v>
      </c>
      <c r="AM5211">
        <v>89.595131813880798</v>
      </c>
      <c r="AN5211">
        <v>1.0000000383532299</v>
      </c>
    </row>
    <row r="5212" spans="1:40" x14ac:dyDescent="0.25">
      <c r="A5212" t="str">
        <f>"20190312172811621"</f>
        <v>20190312172811621</v>
      </c>
      <c r="B5212" t="str">
        <f>"1552382891614614"</f>
        <v>1552382891614614</v>
      </c>
      <c r="C5212" t="s">
        <v>40</v>
      </c>
      <c r="D5212">
        <v>3.0676559999999999</v>
      </c>
      <c r="E5212">
        <v>0.48335410000000001</v>
      </c>
      <c r="F5212" t="s">
        <v>52</v>
      </c>
      <c r="G5212">
        <v>-300.9058</v>
      </c>
      <c r="H5212" s="1">
        <v>-1.451807E-6</v>
      </c>
      <c r="I5212">
        <v>-42.462530000000001</v>
      </c>
      <c r="J5212">
        <v>-300.78960000000001</v>
      </c>
      <c r="K5212">
        <v>1.1092299999999999</v>
      </c>
      <c r="L5212">
        <v>-21.784479999999999</v>
      </c>
      <c r="M5212">
        <v>-4.4757039999999998E-2</v>
      </c>
      <c r="N5212">
        <v>0</v>
      </c>
      <c r="O5212">
        <v>-0.99896859999999998</v>
      </c>
      <c r="P5212">
        <v>-5.0038979999999997E-2</v>
      </c>
      <c r="Q5212">
        <v>0.15374660000000001</v>
      </c>
      <c r="R5212">
        <v>-0.98684249999999996</v>
      </c>
      <c r="S5212">
        <v>-1.9256590000000001E-2</v>
      </c>
      <c r="T5212">
        <v>-0.161747</v>
      </c>
      <c r="U5212">
        <v>-3.063965</v>
      </c>
      <c r="V5212">
        <v>5.9279739999999999E-3</v>
      </c>
      <c r="W5212">
        <v>0.16129470000000001</v>
      </c>
      <c r="X5212">
        <v>0.98688849999999995</v>
      </c>
      <c r="Y5212">
        <v>-3.8487710000000001E-2</v>
      </c>
      <c r="Z5212">
        <v>5.261743E-2</v>
      </c>
      <c r="AA5212">
        <v>0.9978728</v>
      </c>
      <c r="AB5212">
        <v>22</v>
      </c>
      <c r="AC5212">
        <v>-0.116199999999992</v>
      </c>
      <c r="AD5212">
        <v>-1.1092314518069999</v>
      </c>
      <c r="AE5212">
        <v>-20.678049999999999</v>
      </c>
      <c r="AF5212">
        <v>-0.80710941680472303</v>
      </c>
      <c r="AG5212">
        <v>-1.1092314518069999</v>
      </c>
      <c r="AH5212">
        <v>20.6032429604168</v>
      </c>
      <c r="AI5212">
        <v>93.079341201989706</v>
      </c>
      <c r="AJ5212">
        <v>92.243352164934095</v>
      </c>
      <c r="AK5212">
        <v>20.648860513605499</v>
      </c>
      <c r="AL5212">
        <v>80.717946930616193</v>
      </c>
      <c r="AM5212">
        <v>89.655843789418</v>
      </c>
      <c r="AN5212">
        <v>1.00000001627804</v>
      </c>
    </row>
    <row r="5213" spans="1:40" x14ac:dyDescent="0.25">
      <c r="A5213" t="str">
        <f>"20190312172811655"</f>
        <v>20190312172811655</v>
      </c>
      <c r="B5213" t="str">
        <f>"1552382891644870"</f>
        <v>1552382891644870</v>
      </c>
      <c r="C5213" t="s">
        <v>40</v>
      </c>
      <c r="D5213">
        <v>3.0916830000000002</v>
      </c>
      <c r="E5213">
        <v>0.48348809999999898</v>
      </c>
      <c r="F5213" t="s">
        <v>52</v>
      </c>
      <c r="G5213">
        <v>-300.93299999999999</v>
      </c>
      <c r="H5213" s="1">
        <v>-1.6719090000000001E-6</v>
      </c>
      <c r="I5213">
        <v>-42.802840000000003</v>
      </c>
      <c r="J5213">
        <v>-300.80549999999999</v>
      </c>
      <c r="K5213">
        <v>1.10941</v>
      </c>
      <c r="L5213">
        <v>-22.116520000000001</v>
      </c>
      <c r="M5213">
        <v>-4.5387959999999998E-2</v>
      </c>
      <c r="N5213">
        <v>0</v>
      </c>
      <c r="O5213">
        <v>-0.9989401</v>
      </c>
      <c r="P5213">
        <v>-5.0006830000000002E-2</v>
      </c>
      <c r="Q5213">
        <v>0.15503939999999999</v>
      </c>
      <c r="R5213">
        <v>-0.98664209999999997</v>
      </c>
      <c r="S5213">
        <v>-2.0904539999999999E-2</v>
      </c>
      <c r="T5213">
        <v>-0.16170870000000001</v>
      </c>
      <c r="U5213">
        <v>-3.0641479999999999</v>
      </c>
      <c r="V5213">
        <v>5.213601E-3</v>
      </c>
      <c r="W5213">
        <v>0.16261979999999901</v>
      </c>
      <c r="X5213">
        <v>0.98667499999999997</v>
      </c>
      <c r="Y5213">
        <v>-3.858255E-2</v>
      </c>
      <c r="Z5213">
        <v>5.2599449999999999E-2</v>
      </c>
      <c r="AA5213">
        <v>0.99787009999999998</v>
      </c>
      <c r="AB5213">
        <v>22</v>
      </c>
      <c r="AC5213">
        <v>-0.127499999999997</v>
      </c>
      <c r="AD5213">
        <v>-1.1094116719089999</v>
      </c>
      <c r="AE5213">
        <v>-20.686319999999998</v>
      </c>
      <c r="AF5213">
        <v>-0.80924133422163202</v>
      </c>
      <c r="AG5213">
        <v>-1.1094116719089999</v>
      </c>
      <c r="AH5213">
        <v>20.6115067471369</v>
      </c>
      <c r="AI5213">
        <v>93.078597566310094</v>
      </c>
      <c r="AJ5213">
        <v>92.248370852317194</v>
      </c>
      <c r="AK5213">
        <v>20.6571991369124</v>
      </c>
      <c r="AL5213">
        <v>80.6410080772268</v>
      </c>
      <c r="AM5213">
        <v>89.697251320573798</v>
      </c>
      <c r="AN5213">
        <v>0.99999996830621296</v>
      </c>
    </row>
    <row r="5214" spans="1:40" x14ac:dyDescent="0.25">
      <c r="A5214" t="str">
        <f>"20190312172811687"</f>
        <v>20190312172811687</v>
      </c>
      <c r="B5214" t="str">
        <f>"1552382891684885"</f>
        <v>1552382891684885</v>
      </c>
      <c r="C5214" t="s">
        <v>40</v>
      </c>
      <c r="D5214">
        <v>3.2319070000000001</v>
      </c>
      <c r="E5214">
        <v>0.4836223</v>
      </c>
      <c r="F5214" t="s">
        <v>52</v>
      </c>
      <c r="G5214">
        <v>-300.94319999999999</v>
      </c>
      <c r="H5214" s="1">
        <v>-2.0950599999999998E-6</v>
      </c>
      <c r="I5214">
        <v>-43.466329999999999</v>
      </c>
      <c r="J5214">
        <v>-300.82040000000001</v>
      </c>
      <c r="K5214">
        <v>1.109564</v>
      </c>
      <c r="L5214">
        <v>-22.43713</v>
      </c>
      <c r="M5214">
        <v>-4.562766E-2</v>
      </c>
      <c r="N5214">
        <v>0</v>
      </c>
      <c r="O5214">
        <v>-0.99892899999999996</v>
      </c>
      <c r="P5214">
        <v>-4.8445050000000003E-2</v>
      </c>
      <c r="Q5214">
        <v>0.15586720000000001</v>
      </c>
      <c r="R5214">
        <v>-0.98658959999999996</v>
      </c>
      <c r="S5214">
        <v>-1.977539E-2</v>
      </c>
      <c r="T5214">
        <v>-0.15924940000000001</v>
      </c>
      <c r="U5214">
        <v>-3.0646360000000001</v>
      </c>
      <c r="V5214">
        <v>3.3598899999999999E-3</v>
      </c>
      <c r="W5214">
        <v>0.16347690000000001</v>
      </c>
      <c r="X5214">
        <v>0.98654149999999996</v>
      </c>
      <c r="Y5214">
        <v>-3.9190790000000003E-2</v>
      </c>
      <c r="Z5214">
        <v>5.1792049999999999E-2</v>
      </c>
      <c r="AA5214">
        <v>0.99788860000000001</v>
      </c>
      <c r="AB5214">
        <v>22</v>
      </c>
      <c r="AC5214">
        <v>-0.12279999999998301</v>
      </c>
      <c r="AD5214">
        <v>-1.1095660950599999</v>
      </c>
      <c r="AE5214">
        <v>-21.029199999999999</v>
      </c>
      <c r="AF5214">
        <v>-0.83454612938457695</v>
      </c>
      <c r="AG5214">
        <v>-1.1095660950599999</v>
      </c>
      <c r="AH5214">
        <v>20.954565976746999</v>
      </c>
      <c r="AI5214">
        <v>93.028643987075199</v>
      </c>
      <c r="AJ5214">
        <v>92.280682599669404</v>
      </c>
      <c r="AK5214">
        <v>21.000510456539399</v>
      </c>
      <c r="AL5214">
        <v>80.591234641672003</v>
      </c>
      <c r="AM5214">
        <v>89.804867030594096</v>
      </c>
      <c r="AN5214">
        <v>1.00000005845833</v>
      </c>
    </row>
    <row r="5215" spans="1:40" x14ac:dyDescent="0.25">
      <c r="A5215" t="str">
        <f>"20190312172811721"</f>
        <v>20190312172811721</v>
      </c>
      <c r="B5215" t="str">
        <f>"1552382891715142"</f>
        <v>1552382891715142</v>
      </c>
      <c r="C5215" t="s">
        <v>40</v>
      </c>
      <c r="D5215">
        <v>3.1776209999999998</v>
      </c>
      <c r="E5215">
        <v>0.4836432</v>
      </c>
      <c r="F5215" t="s">
        <v>52</v>
      </c>
      <c r="G5215">
        <v>-300.92829999999998</v>
      </c>
      <c r="H5215" s="1">
        <v>-2.3949300000000001E-6</v>
      </c>
      <c r="I5215">
        <v>-43.941369999999999</v>
      </c>
      <c r="J5215">
        <v>-300.8356</v>
      </c>
      <c r="K5215">
        <v>1.1096839999999999</v>
      </c>
      <c r="L5215">
        <v>-22.771789999999999</v>
      </c>
      <c r="M5215">
        <v>-4.555791E-2</v>
      </c>
      <c r="N5215">
        <v>0</v>
      </c>
      <c r="O5215">
        <v>-0.99893160000000003</v>
      </c>
      <c r="P5215">
        <v>-4.5876630000000002E-2</v>
      </c>
      <c r="Q5215">
        <v>0.1568021</v>
      </c>
      <c r="R5215">
        <v>-0.986564</v>
      </c>
      <c r="S5215">
        <v>-1.538086E-2</v>
      </c>
      <c r="T5215">
        <v>-0.1581467</v>
      </c>
      <c r="U5215">
        <v>-3.0650019999999998</v>
      </c>
      <c r="V5215">
        <v>8.2228779999999897E-4</v>
      </c>
      <c r="W5215">
        <v>0.16444589999999901</v>
      </c>
      <c r="X5215">
        <v>0.98638579999999998</v>
      </c>
      <c r="Y5215">
        <v>-4.0552379999999999E-2</v>
      </c>
      <c r="Z5215">
        <v>5.1427309999999997E-2</v>
      </c>
      <c r="AA5215">
        <v>0.99785299999999999</v>
      </c>
      <c r="AB5215">
        <v>22</v>
      </c>
      <c r="AC5215">
        <v>-9.2699999999979299E-2</v>
      </c>
      <c r="AD5215">
        <v>-1.10968639493</v>
      </c>
      <c r="AE5215">
        <v>-21.16958</v>
      </c>
      <c r="AF5215">
        <v>-0.86947802052606005</v>
      </c>
      <c r="AG5215">
        <v>-1.10968639493</v>
      </c>
      <c r="AH5215">
        <v>21.093862243219899</v>
      </c>
      <c r="AI5215">
        <v>93.008837122974199</v>
      </c>
      <c r="AJ5215">
        <v>92.360366019620898</v>
      </c>
      <c r="AK5215">
        <v>21.1409181508091</v>
      </c>
      <c r="AL5215">
        <v>80.534953171506601</v>
      </c>
      <c r="AM5215">
        <v>89.952236123460693</v>
      </c>
      <c r="AN5215">
        <v>1.00000003831283</v>
      </c>
    </row>
    <row r="5216" spans="1:40" x14ac:dyDescent="0.25">
      <c r="A5216" t="str">
        <f>"20190312172811755"</f>
        <v>20190312172811755</v>
      </c>
      <c r="B5216" t="str">
        <f>"1552382891744422"</f>
        <v>1552382891744422</v>
      </c>
      <c r="C5216" t="s">
        <v>40</v>
      </c>
      <c r="D5216">
        <v>3.2733219999999998</v>
      </c>
      <c r="E5216">
        <v>0.48361399999999999</v>
      </c>
      <c r="F5216" t="s">
        <v>52</v>
      </c>
      <c r="G5216">
        <v>-300.89819999999997</v>
      </c>
      <c r="H5216" s="1">
        <v>-2.853695E-6</v>
      </c>
      <c r="I5216">
        <v>-44.669710000000002</v>
      </c>
      <c r="J5216">
        <v>-300.85039999999998</v>
      </c>
      <c r="K5216">
        <v>1.1097680000000001</v>
      </c>
      <c r="L5216">
        <v>-23.102170000000001</v>
      </c>
      <c r="M5216">
        <v>-4.5274689999999999E-2</v>
      </c>
      <c r="N5216">
        <v>0</v>
      </c>
      <c r="O5216">
        <v>-0.99894439999999995</v>
      </c>
      <c r="P5216">
        <v>-4.1683869999999998E-2</v>
      </c>
      <c r="Q5216">
        <v>0.15985250000000001</v>
      </c>
      <c r="R5216">
        <v>-0.98626100000000005</v>
      </c>
      <c r="S5216">
        <v>-8.7585449999999995E-3</v>
      </c>
      <c r="T5216">
        <v>-0.15532650000000001</v>
      </c>
      <c r="U5216">
        <v>-3.0651250000000001</v>
      </c>
      <c r="V5216">
        <v>-3.0982380000000001E-3</v>
      </c>
      <c r="W5216">
        <v>0.16753199999999999</v>
      </c>
      <c r="X5216">
        <v>0.98586180000000001</v>
      </c>
      <c r="Y5216">
        <v>-4.2424950000000003E-2</v>
      </c>
      <c r="Z5216">
        <v>5.0509779999999997E-2</v>
      </c>
      <c r="AA5216">
        <v>0.99782199999999999</v>
      </c>
      <c r="AB5216">
        <v>22</v>
      </c>
      <c r="AC5216">
        <v>-4.7799999999995103E-2</v>
      </c>
      <c r="AD5216">
        <v>-1.1097708536949999</v>
      </c>
      <c r="AE5216">
        <v>-21.567539999999902</v>
      </c>
      <c r="AF5216">
        <v>-0.92628963575142098</v>
      </c>
      <c r="AG5216">
        <v>-1.1097708536949999</v>
      </c>
      <c r="AH5216">
        <v>21.490686806511501</v>
      </c>
      <c r="AI5216">
        <v>92.953369176810199</v>
      </c>
      <c r="AJ5216">
        <v>92.468029906435802</v>
      </c>
      <c r="AK5216">
        <v>21.5392484375054</v>
      </c>
      <c r="AL5216">
        <v>80.355645078139503</v>
      </c>
      <c r="AM5216">
        <v>90.180061117010396</v>
      </c>
      <c r="AN5216">
        <v>1.0000000294009701</v>
      </c>
    </row>
    <row r="5217" spans="1:40" x14ac:dyDescent="0.25">
      <c r="A5217" t="str">
        <f>"20190312172811787"</f>
        <v>20190312172811787</v>
      </c>
      <c r="B5217" t="str">
        <f>"1552382891784439"</f>
        <v>1552382891784439</v>
      </c>
      <c r="C5217" t="s">
        <v>40</v>
      </c>
      <c r="D5217">
        <v>3.1703269999999999</v>
      </c>
      <c r="E5217">
        <v>0.48362060000000001</v>
      </c>
      <c r="F5217" t="s">
        <v>52</v>
      </c>
      <c r="G5217">
        <v>-300.83159999999998</v>
      </c>
      <c r="H5217" s="1">
        <v>-3.7504070000000001E-6</v>
      </c>
      <c r="I5217">
        <v>-46.410339999999998</v>
      </c>
      <c r="J5217">
        <v>-300.86500000000001</v>
      </c>
      <c r="K5217">
        <v>1.1098110000000001</v>
      </c>
      <c r="L5217">
        <v>-23.432189999999999</v>
      </c>
      <c r="M5217">
        <v>-4.4875789999999999E-2</v>
      </c>
      <c r="N5217">
        <v>0</v>
      </c>
      <c r="O5217">
        <v>-0.99896209999999996</v>
      </c>
      <c r="P5217">
        <v>-3.700138E-2</v>
      </c>
      <c r="Q5217">
        <v>0.16446369999999999</v>
      </c>
      <c r="R5217">
        <v>-0.98568900000000004</v>
      </c>
      <c r="S5217">
        <v>2.4719239999999999E-3</v>
      </c>
      <c r="T5217">
        <v>-0.14596010000000001</v>
      </c>
      <c r="U5217">
        <v>-3.0655519999999998</v>
      </c>
      <c r="V5217">
        <v>-7.366788E-3</v>
      </c>
      <c r="W5217">
        <v>0.17217560000000001</v>
      </c>
      <c r="X5217">
        <v>0.98503870000000004</v>
      </c>
      <c r="Y5217">
        <v>-4.5681739999999998E-2</v>
      </c>
      <c r="Z5217">
        <v>4.7462440000000002E-2</v>
      </c>
      <c r="AA5217">
        <v>0.99782789999999999</v>
      </c>
      <c r="AB5217">
        <v>22</v>
      </c>
      <c r="AC5217">
        <v>3.3400000000028698E-2</v>
      </c>
      <c r="AD5217">
        <v>-1.109814750407</v>
      </c>
      <c r="AE5217">
        <v>-22.978149999999999</v>
      </c>
      <c r="AF5217">
        <v>-1.0620827935424499</v>
      </c>
      <c r="AG5217">
        <v>-1.109814750407</v>
      </c>
      <c r="AH5217">
        <v>22.900080535451199</v>
      </c>
      <c r="AI5217">
        <v>92.771600276575995</v>
      </c>
      <c r="AJ5217">
        <v>92.655417999945399</v>
      </c>
      <c r="AK5217">
        <v>22.951544548694599</v>
      </c>
      <c r="AL5217">
        <v>80.085662543455001</v>
      </c>
      <c r="AM5217">
        <v>90.428488740650295</v>
      </c>
      <c r="AN5217">
        <v>0.99999997364924298</v>
      </c>
    </row>
    <row r="5218" spans="1:40" x14ac:dyDescent="0.25">
      <c r="A5218" t="str">
        <f>"20190312172811821"</f>
        <v>20190312172811821</v>
      </c>
      <c r="B5218" t="str">
        <f>"1552382891814693"</f>
        <v>1552382891814693</v>
      </c>
      <c r="C5218" t="s">
        <v>40</v>
      </c>
      <c r="D5218">
        <v>3.193346</v>
      </c>
      <c r="E5218">
        <v>0.48366219999999999</v>
      </c>
      <c r="F5218" t="s">
        <v>52</v>
      </c>
      <c r="G5218">
        <v>-300.73680000000002</v>
      </c>
      <c r="H5218" s="1">
        <v>-5.1895360000000002E-6</v>
      </c>
      <c r="I5218">
        <v>-49.245550000000001</v>
      </c>
      <c r="J5218">
        <v>-300.87959999999998</v>
      </c>
      <c r="K5218">
        <v>1.1098079999999999</v>
      </c>
      <c r="L5218">
        <v>-23.769100000000002</v>
      </c>
      <c r="M5218">
        <v>-4.4439310000000003E-2</v>
      </c>
      <c r="N5218">
        <v>0</v>
      </c>
      <c r="O5218">
        <v>-0.99898109999999996</v>
      </c>
      <c r="P5218">
        <v>-3.1974719999999998E-2</v>
      </c>
      <c r="Q5218">
        <v>0.1673145</v>
      </c>
      <c r="R5218">
        <v>-0.98538530000000002</v>
      </c>
      <c r="S5218">
        <v>1.522827E-2</v>
      </c>
      <c r="T5218">
        <v>-0.13182489999999999</v>
      </c>
      <c r="U5218">
        <v>-3.0661320000000001</v>
      </c>
      <c r="V5218">
        <v>-1.1940600000000001E-2</v>
      </c>
      <c r="W5218">
        <v>0.17505889999999999</v>
      </c>
      <c r="X5218">
        <v>0.98448559999999996</v>
      </c>
      <c r="Y5218">
        <v>-4.9397179999999999E-2</v>
      </c>
      <c r="Z5218">
        <v>4.2864050000000001E-2</v>
      </c>
      <c r="AA5218">
        <v>0.99785900000000005</v>
      </c>
      <c r="AB5218">
        <v>22</v>
      </c>
      <c r="AC5218">
        <v>0.14279999999996501</v>
      </c>
      <c r="AD5218">
        <v>-1.1098131895359999</v>
      </c>
      <c r="AE5218">
        <v>-25.47645</v>
      </c>
      <c r="AF5218">
        <v>-1.27243523039571</v>
      </c>
      <c r="AG5218">
        <v>-1.1098131895359999</v>
      </c>
      <c r="AH5218">
        <v>25.396740509233801</v>
      </c>
      <c r="AI5218">
        <v>92.499048009862406</v>
      </c>
      <c r="AJ5218">
        <v>92.868252204050506</v>
      </c>
      <c r="AK5218">
        <v>25.452803484578599</v>
      </c>
      <c r="AL5218">
        <v>79.917914732847706</v>
      </c>
      <c r="AM5218">
        <v>90.6948932927437</v>
      </c>
      <c r="AN5218">
        <v>1.0000000465024601</v>
      </c>
    </row>
    <row r="5219" spans="1:40" x14ac:dyDescent="0.25">
      <c r="A5219" t="str">
        <f>"20190312172811855"</f>
        <v>20190312172811855</v>
      </c>
      <c r="B5219" t="str">
        <f>"1552382891844949"</f>
        <v>1552382891844949</v>
      </c>
      <c r="C5219" t="s">
        <v>40</v>
      </c>
      <c r="D5219">
        <v>3.2089460000000001</v>
      </c>
      <c r="E5219">
        <v>0.48371229999999998</v>
      </c>
      <c r="F5219" t="s">
        <v>52</v>
      </c>
      <c r="G5219">
        <v>-300.60649999999998</v>
      </c>
      <c r="H5219" s="1">
        <v>-6.1230229999999899E-6</v>
      </c>
      <c r="I5219">
        <v>-51.270330000000001</v>
      </c>
      <c r="J5219">
        <v>-300.89429999999999</v>
      </c>
      <c r="K5219">
        <v>1.109775</v>
      </c>
      <c r="L5219">
        <v>-24.111180000000001</v>
      </c>
      <c r="M5219">
        <v>-4.4015579999999999E-2</v>
      </c>
      <c r="N5219">
        <v>0</v>
      </c>
      <c r="O5219">
        <v>-0.99899970000000005</v>
      </c>
      <c r="P5219">
        <v>-2.7009089999999999E-2</v>
      </c>
      <c r="Q5219">
        <v>0.1680207</v>
      </c>
      <c r="R5219">
        <v>-0.9854136</v>
      </c>
      <c r="S5219">
        <v>3.0456540000000001E-2</v>
      </c>
      <c r="T5219">
        <v>-0.12374880000000001</v>
      </c>
      <c r="U5219">
        <v>-3.0664980000000002</v>
      </c>
      <c r="V5219">
        <v>-1.647444E-2</v>
      </c>
      <c r="W5219">
        <v>0.17579879999999901</v>
      </c>
      <c r="X5219">
        <v>0.9842883</v>
      </c>
      <c r="Y5219">
        <v>-5.3928629999999998E-2</v>
      </c>
      <c r="Z5219">
        <v>4.0233329999999998E-2</v>
      </c>
      <c r="AA5219">
        <v>0.99773400000000001</v>
      </c>
      <c r="AB5219">
        <v>22</v>
      </c>
      <c r="AC5219">
        <v>0.287800000000004</v>
      </c>
      <c r="AD5219">
        <v>-1.1097811230229999</v>
      </c>
      <c r="AE5219">
        <v>-27.15915</v>
      </c>
      <c r="AF5219">
        <v>-1.48051223981735</v>
      </c>
      <c r="AG5219">
        <v>-1.1097811230229999</v>
      </c>
      <c r="AH5219">
        <v>27.074956467663998</v>
      </c>
      <c r="AI5219">
        <v>92.343697467613495</v>
      </c>
      <c r="AJ5219">
        <v>93.129929557279397</v>
      </c>
      <c r="AK5219">
        <v>27.138106020118101</v>
      </c>
      <c r="AL5219">
        <v>79.874853750088405</v>
      </c>
      <c r="AM5219">
        <v>90.958893602081801</v>
      </c>
      <c r="AN5219">
        <v>1.0000000413858201</v>
      </c>
    </row>
    <row r="5220" spans="1:40" x14ac:dyDescent="0.25">
      <c r="A5220" t="str">
        <f>"20190312172811890"</f>
        <v>20190312172811890</v>
      </c>
      <c r="B5220" t="str">
        <f>"1552382891884966"</f>
        <v>1552382891884966</v>
      </c>
      <c r="C5220" t="s">
        <v>40</v>
      </c>
      <c r="D5220">
        <v>3.1938110000000002</v>
      </c>
      <c r="E5220">
        <v>0.48381570000000002</v>
      </c>
      <c r="F5220" t="s">
        <v>52</v>
      </c>
      <c r="G5220">
        <v>-300.47579999999999</v>
      </c>
      <c r="H5220" s="1">
        <v>-6.3733619999999899E-6</v>
      </c>
      <c r="I5220">
        <v>-51.903579999999998</v>
      </c>
      <c r="J5220">
        <v>-300.90910000000002</v>
      </c>
      <c r="K5220">
        <v>1.1097490000000001</v>
      </c>
      <c r="L5220">
        <v>-24.45966</v>
      </c>
      <c r="M5220">
        <v>-4.3618589999999999E-2</v>
      </c>
      <c r="N5220">
        <v>0</v>
      </c>
      <c r="O5220">
        <v>-0.99901660000000003</v>
      </c>
      <c r="P5220">
        <v>-2.2264030000000001E-2</v>
      </c>
      <c r="Q5220">
        <v>0.16816589999999901</v>
      </c>
      <c r="R5220">
        <v>-0.98550700000000002</v>
      </c>
      <c r="S5220">
        <v>4.6173100000000002E-2</v>
      </c>
      <c r="T5220">
        <v>-0.12245109999999999</v>
      </c>
      <c r="U5220">
        <v>-3.0665589999999998</v>
      </c>
      <c r="V5220">
        <v>-2.081645E-2</v>
      </c>
      <c r="W5220">
        <v>0.17597670000000001</v>
      </c>
      <c r="X5220">
        <v>0.9841742</v>
      </c>
      <c r="Y5220">
        <v>-5.864399E-2</v>
      </c>
      <c r="Z5220">
        <v>3.9805760000000003E-2</v>
      </c>
      <c r="AA5220">
        <v>0.99748499999999996</v>
      </c>
      <c r="AB5220">
        <v>23</v>
      </c>
      <c r="AC5220">
        <v>0.43330000000003099</v>
      </c>
      <c r="AD5220">
        <v>-1.10975537336199</v>
      </c>
      <c r="AE5220">
        <v>-27.443919999999999</v>
      </c>
      <c r="AF5220">
        <v>-1.6273302435355701</v>
      </c>
      <c r="AG5220">
        <v>-1.10975537336199</v>
      </c>
      <c r="AH5220">
        <v>27.354180721038102</v>
      </c>
      <c r="AI5220">
        <v>92.319112126591804</v>
      </c>
      <c r="AJ5220">
        <v>93.404576131120706</v>
      </c>
      <c r="AK5220">
        <v>27.425006173735699</v>
      </c>
      <c r="AL5220">
        <v>79.864498880547302</v>
      </c>
      <c r="AM5220">
        <v>91.211692927454607</v>
      </c>
      <c r="AN5220">
        <v>0.99999998973956605</v>
      </c>
    </row>
    <row r="5221" spans="1:40" x14ac:dyDescent="0.25">
      <c r="A5221" t="str">
        <f>"20190312172811922"</f>
        <v>20190312172811922</v>
      </c>
      <c r="B5221" t="str">
        <f>"1552382891914246"</f>
        <v>1552382891914246</v>
      </c>
      <c r="C5221" t="s">
        <v>40</v>
      </c>
      <c r="D5221">
        <v>3.2597659999999999</v>
      </c>
      <c r="E5221">
        <v>0.48378339999999997</v>
      </c>
      <c r="F5221" t="s">
        <v>52</v>
      </c>
      <c r="G5221">
        <v>-300.37419999999997</v>
      </c>
      <c r="H5221" s="1">
        <v>-6.4226890000000003E-6</v>
      </c>
      <c r="I5221">
        <v>-52.039169999999999</v>
      </c>
      <c r="J5221">
        <v>-300.923</v>
      </c>
      <c r="K5221">
        <v>1.109729</v>
      </c>
      <c r="L5221">
        <v>-24.787109999999998</v>
      </c>
      <c r="M5221">
        <v>-4.3278299999999999E-2</v>
      </c>
      <c r="N5221">
        <v>0</v>
      </c>
      <c r="O5221">
        <v>-0.99903149999999996</v>
      </c>
      <c r="P5221">
        <v>-1.880126E-2</v>
      </c>
      <c r="Q5221">
        <v>0.1692555</v>
      </c>
      <c r="R5221">
        <v>-0.98539319999999997</v>
      </c>
      <c r="S5221">
        <v>5.9478759999999999E-2</v>
      </c>
      <c r="T5221">
        <v>-0.12339219999999999</v>
      </c>
      <c r="U5221">
        <v>-3.0665279999999999</v>
      </c>
      <c r="V5221">
        <v>-2.3928970000000001E-2</v>
      </c>
      <c r="W5221">
        <v>0.17709330000000001</v>
      </c>
      <c r="X5221">
        <v>0.98390310000000003</v>
      </c>
      <c r="Y5221">
        <v>-6.2630179999999994E-2</v>
      </c>
      <c r="Z5221">
        <v>4.0106129999999997E-2</v>
      </c>
      <c r="AA5221">
        <v>0.99723059999999997</v>
      </c>
      <c r="AB5221">
        <v>23</v>
      </c>
      <c r="AC5221">
        <v>0.54880000000002804</v>
      </c>
      <c r="AD5221">
        <v>-1.1097354226889999</v>
      </c>
      <c r="AE5221">
        <v>-27.25206</v>
      </c>
      <c r="AF5221">
        <v>-1.7248867146754301</v>
      </c>
      <c r="AG5221">
        <v>-1.1097354226889999</v>
      </c>
      <c r="AH5221">
        <v>27.157757757752702</v>
      </c>
      <c r="AI5221">
        <v>92.335250050019098</v>
      </c>
      <c r="AJ5221">
        <v>93.634179212388304</v>
      </c>
      <c r="AK5221">
        <v>27.235097820929699</v>
      </c>
      <c r="AL5221">
        <v>79.799501395204103</v>
      </c>
      <c r="AM5221">
        <v>91.3931847260816</v>
      </c>
      <c r="AN5221">
        <v>0.99999997134987995</v>
      </c>
    </row>
    <row r="5222" spans="1:40" x14ac:dyDescent="0.25">
      <c r="A5222" t="str">
        <f>"20190312172811955"</f>
        <v>20190312172811955</v>
      </c>
      <c r="B5222" t="str">
        <f>"1552382891944502"</f>
        <v>1552382891944502</v>
      </c>
      <c r="C5222" t="s">
        <v>40</v>
      </c>
      <c r="D5222">
        <v>3.1507339999999999</v>
      </c>
      <c r="E5222">
        <v>0.46723229999999999</v>
      </c>
      <c r="F5222" t="s">
        <v>52</v>
      </c>
      <c r="G5222">
        <v>-300.26569999999998</v>
      </c>
      <c r="H5222" s="1">
        <v>-6.7780299999999997E-6</v>
      </c>
      <c r="I5222">
        <v>-52.927050000000001</v>
      </c>
      <c r="J5222">
        <v>-300.93740000000003</v>
      </c>
      <c r="K5222">
        <v>1.109737</v>
      </c>
      <c r="L5222">
        <v>-25.128139999999998</v>
      </c>
      <c r="M5222">
        <v>-4.2942479999999998E-2</v>
      </c>
      <c r="N5222">
        <v>0</v>
      </c>
      <c r="O5222">
        <v>-0.99904539999999997</v>
      </c>
      <c r="P5222">
        <v>-1.459648E-2</v>
      </c>
      <c r="Q5222">
        <v>0.170544</v>
      </c>
      <c r="R5222">
        <v>-0.98524179999999995</v>
      </c>
      <c r="S5222">
        <v>7.1624759999999996E-2</v>
      </c>
      <c r="T5222">
        <v>-0.12093619999999999</v>
      </c>
      <c r="U5222">
        <v>-3.0666199999999999</v>
      </c>
      <c r="V5222">
        <v>-2.7788899999999998E-2</v>
      </c>
      <c r="W5222">
        <v>0.1784076</v>
      </c>
      <c r="X5222">
        <v>0.9835642</v>
      </c>
      <c r="Y5222">
        <v>-6.6242399999999896E-2</v>
      </c>
      <c r="Z5222">
        <v>3.9302520000000001E-2</v>
      </c>
      <c r="AA5222">
        <v>0.99702919999999995</v>
      </c>
      <c r="AB5222">
        <v>23</v>
      </c>
      <c r="AC5222">
        <v>0.67170000000004304</v>
      </c>
      <c r="AD5222">
        <v>-1.1097437780299999</v>
      </c>
      <c r="AE5222">
        <v>-27.798909999999999</v>
      </c>
      <c r="AF5222">
        <v>-1.8619073487582301</v>
      </c>
      <c r="AG5222">
        <v>-1.1097437780299999</v>
      </c>
      <c r="AH5222">
        <v>27.700301235512001</v>
      </c>
      <c r="AI5222">
        <v>92.289026666991603</v>
      </c>
      <c r="AJ5222">
        <v>93.845416935072194</v>
      </c>
      <c r="AK5222">
        <v>27.784976493895901</v>
      </c>
      <c r="AL5222">
        <v>79.722979424379304</v>
      </c>
      <c r="AM5222">
        <v>91.618362316728096</v>
      </c>
      <c r="AN5222">
        <v>1.0000000151113</v>
      </c>
    </row>
    <row r="5223" spans="1:40" x14ac:dyDescent="0.25">
      <c r="A5223" t="str">
        <f>"20190312172811990"</f>
        <v>20190312172811990</v>
      </c>
      <c r="B5223" t="str">
        <f>"1552382891984519"</f>
        <v>1552382891984519</v>
      </c>
      <c r="C5223" t="s">
        <v>40</v>
      </c>
      <c r="D5223">
        <v>3.2608549999999998</v>
      </c>
      <c r="E5223">
        <v>0.46820590000000001</v>
      </c>
      <c r="F5223" t="s">
        <v>52</v>
      </c>
      <c r="G5223">
        <v>-299.43110000000001</v>
      </c>
      <c r="H5223" s="1">
        <v>-3.825167E-6</v>
      </c>
      <c r="I5223">
        <v>-46.427410000000002</v>
      </c>
      <c r="J5223">
        <v>-300.95190000000002</v>
      </c>
      <c r="K5223">
        <v>1.109737</v>
      </c>
      <c r="L5223">
        <v>-25.47739</v>
      </c>
      <c r="M5223">
        <v>-4.2606039999999998E-2</v>
      </c>
      <c r="N5223">
        <v>0</v>
      </c>
      <c r="O5223">
        <v>-0.9990599</v>
      </c>
      <c r="P5223">
        <v>-1.0156200000000001E-2</v>
      </c>
      <c r="Q5223">
        <v>0.17244200000000001</v>
      </c>
      <c r="R5223">
        <v>-0.98496740000000005</v>
      </c>
      <c r="S5223">
        <v>0.21752929999999901</v>
      </c>
      <c r="T5223">
        <v>-0.1602613</v>
      </c>
      <c r="U5223">
        <v>-3.0758969999999999</v>
      </c>
      <c r="V5223">
        <v>-3.187918E-2</v>
      </c>
      <c r="W5223">
        <v>0.1803276</v>
      </c>
      <c r="X5223">
        <v>0.98308989999999996</v>
      </c>
      <c r="Y5223">
        <v>-0.1128869</v>
      </c>
      <c r="Z5223">
        <v>5.1730060000000001E-2</v>
      </c>
      <c r="AA5223">
        <v>0.99226029999999998</v>
      </c>
      <c r="AB5223">
        <v>23</v>
      </c>
      <c r="AC5223">
        <v>1.5207999999999999</v>
      </c>
      <c r="AD5223">
        <v>-1.109740825167</v>
      </c>
      <c r="AE5223">
        <v>-20.950019999999899</v>
      </c>
      <c r="AF5223">
        <v>-2.405331150961</v>
      </c>
      <c r="AG5223">
        <v>-1.109740825167</v>
      </c>
      <c r="AH5223">
        <v>20.8081180639821</v>
      </c>
      <c r="AI5223">
        <v>93.032656120835696</v>
      </c>
      <c r="AJ5223">
        <v>96.593885640280703</v>
      </c>
      <c r="AK5223">
        <v>20.976055873529798</v>
      </c>
      <c r="AL5223">
        <v>79.611158249374796</v>
      </c>
      <c r="AM5223">
        <v>91.857309938297703</v>
      </c>
      <c r="AN5223">
        <v>1.00000003846062</v>
      </c>
    </row>
    <row r="5224" spans="1:40" x14ac:dyDescent="0.25">
      <c r="A5224" t="str">
        <f>"20190312172812022"</f>
        <v>20190312172812022</v>
      </c>
      <c r="B5224" t="str">
        <f>"1552382892014774"</f>
        <v>1552382892014774</v>
      </c>
      <c r="C5224" t="s">
        <v>40</v>
      </c>
      <c r="D5224">
        <v>3.254362</v>
      </c>
      <c r="E5224">
        <v>0.46899239999999998</v>
      </c>
      <c r="F5224" t="s">
        <v>52</v>
      </c>
      <c r="G5224">
        <v>-299.3929</v>
      </c>
      <c r="H5224" s="1">
        <v>-4.0750470000000002E-6</v>
      </c>
      <c r="I5224">
        <v>-46.90119</v>
      </c>
      <c r="J5224">
        <v>-300.96589999999998</v>
      </c>
      <c r="K5224">
        <v>1.109737</v>
      </c>
      <c r="L5224">
        <v>-25.81607</v>
      </c>
      <c r="M5224">
        <v>-4.2279120000000003E-2</v>
      </c>
      <c r="N5224">
        <v>0</v>
      </c>
      <c r="O5224">
        <v>-0.99907369999999995</v>
      </c>
      <c r="P5224">
        <v>-6.0572279999999996E-3</v>
      </c>
      <c r="Q5224">
        <v>0.17471389999999901</v>
      </c>
      <c r="R5224">
        <v>-0.98460099999999995</v>
      </c>
      <c r="S5224">
        <v>0.2238464</v>
      </c>
      <c r="T5224">
        <v>-0.15933439999999999</v>
      </c>
      <c r="U5224">
        <v>-3.0759889999999999</v>
      </c>
      <c r="V5224">
        <v>-3.563583E-2</v>
      </c>
      <c r="W5224">
        <v>0.18261920000000001</v>
      </c>
      <c r="X5224">
        <v>0.98253769999999996</v>
      </c>
      <c r="Y5224">
        <v>-0.114588</v>
      </c>
      <c r="Z5224">
        <v>5.142244E-2</v>
      </c>
      <c r="AA5224">
        <v>0.99208130000000005</v>
      </c>
      <c r="AB5224">
        <v>23</v>
      </c>
      <c r="AC5224">
        <v>1.57299999999997</v>
      </c>
      <c r="AD5224">
        <v>-1.109741075047</v>
      </c>
      <c r="AE5224">
        <v>-21.08512</v>
      </c>
      <c r="AF5224">
        <v>-2.4563158228675599</v>
      </c>
      <c r="AG5224">
        <v>-1.109741075047</v>
      </c>
      <c r="AH5224">
        <v>20.9420681125676</v>
      </c>
      <c r="AI5224">
        <v>93.012709422227999</v>
      </c>
      <c r="AJ5224">
        <v>96.689713039133494</v>
      </c>
      <c r="AK5224">
        <v>21.114810667082399</v>
      </c>
      <c r="AL5224">
        <v>79.477641973626405</v>
      </c>
      <c r="AM5224">
        <v>92.077160066991397</v>
      </c>
      <c r="AN5224">
        <v>1.0000000082548499</v>
      </c>
    </row>
    <row r="5225" spans="1:40" x14ac:dyDescent="0.25">
      <c r="A5225" t="str">
        <f>"20190312172812057"</f>
        <v>20190312172812057</v>
      </c>
      <c r="B5225" t="str">
        <f>"1552382892045029"</f>
        <v>1552382892045029</v>
      </c>
      <c r="C5225" t="s">
        <v>40</v>
      </c>
      <c r="D5225">
        <v>3.224046</v>
      </c>
      <c r="E5225">
        <v>0.46997119999999998</v>
      </c>
      <c r="F5225" t="s">
        <v>52</v>
      </c>
      <c r="G5225">
        <v>-299.31729999999999</v>
      </c>
      <c r="H5225" s="1">
        <v>-4.5275490000000001E-6</v>
      </c>
      <c r="I5225">
        <v>-47.756360000000001</v>
      </c>
      <c r="J5225">
        <v>-300.98059999999998</v>
      </c>
      <c r="K5225">
        <v>1.1097429999999999</v>
      </c>
      <c r="L5225">
        <v>-26.172090000000001</v>
      </c>
      <c r="M5225">
        <v>-4.1932799999999999E-2</v>
      </c>
      <c r="N5225">
        <v>0</v>
      </c>
      <c r="O5225">
        <v>-0.99908779999999997</v>
      </c>
      <c r="P5225">
        <v>-1.7070989999999999E-3</v>
      </c>
      <c r="Q5225">
        <v>0.17657900000000001</v>
      </c>
      <c r="R5225">
        <v>-0.98428510000000002</v>
      </c>
      <c r="S5225">
        <v>0.23114009999999999</v>
      </c>
      <c r="T5225">
        <v>-0.1555822</v>
      </c>
      <c r="U5225">
        <v>-3.075958</v>
      </c>
      <c r="V5225">
        <v>-3.9627959999999997E-2</v>
      </c>
      <c r="W5225">
        <v>0.18451339999999999</v>
      </c>
      <c r="X5225">
        <v>0.98203070000000003</v>
      </c>
      <c r="Y5225">
        <v>-0.1165885</v>
      </c>
      <c r="Z5225">
        <v>5.0205949999999999E-2</v>
      </c>
      <c r="AA5225">
        <v>0.99191050000000003</v>
      </c>
      <c r="AB5225">
        <v>23</v>
      </c>
      <c r="AC5225">
        <v>1.66329999999999</v>
      </c>
      <c r="AD5225">
        <v>-1.1097475275490001</v>
      </c>
      <c r="AE5225">
        <v>-21.58427</v>
      </c>
      <c r="AF5225">
        <v>-2.5602273894941998</v>
      </c>
      <c r="AG5225">
        <v>-1.1097475275490001</v>
      </c>
      <c r="AH5225">
        <v>21.4391956454084</v>
      </c>
      <c r="AI5225">
        <v>92.942263407432193</v>
      </c>
      <c r="AJ5225">
        <v>96.809902392488894</v>
      </c>
      <c r="AK5225">
        <v>21.620023445475599</v>
      </c>
      <c r="AL5225">
        <v>79.367235390852798</v>
      </c>
      <c r="AM5225">
        <v>92.310807236530295</v>
      </c>
      <c r="AN5225">
        <v>0.99999993286790301</v>
      </c>
    </row>
    <row r="5226" spans="1:40" x14ac:dyDescent="0.25">
      <c r="A5226" t="str">
        <f>"20190312172812093"</f>
        <v>20190312172812093</v>
      </c>
      <c r="B5226" t="str">
        <f>"1552382892085046"</f>
        <v>1552382892085046</v>
      </c>
      <c r="C5226" t="s">
        <v>40</v>
      </c>
      <c r="D5226">
        <v>3.166048</v>
      </c>
      <c r="E5226">
        <v>0.47368320000000003</v>
      </c>
      <c r="F5226" t="s">
        <v>52</v>
      </c>
      <c r="G5226">
        <v>-299.31220000000002</v>
      </c>
      <c r="H5226" s="1">
        <v>-4.5788040000000002E-6</v>
      </c>
      <c r="I5226">
        <v>-47.85474</v>
      </c>
      <c r="J5226">
        <v>-300.99590000000001</v>
      </c>
      <c r="K5226">
        <v>1.109764</v>
      </c>
      <c r="L5226">
        <v>-26.54749</v>
      </c>
      <c r="M5226">
        <v>-4.1565310000000001E-2</v>
      </c>
      <c r="N5226">
        <v>0</v>
      </c>
      <c r="O5226">
        <v>-0.99910259999999995</v>
      </c>
      <c r="P5226">
        <v>1.6322859999999999E-3</v>
      </c>
      <c r="Q5226">
        <v>0.177295799999999</v>
      </c>
      <c r="R5226">
        <v>-0.98415629999999998</v>
      </c>
      <c r="S5226">
        <v>0.23672489999999999</v>
      </c>
      <c r="T5226">
        <v>-0.15746299999999999</v>
      </c>
      <c r="U5226">
        <v>-3.0765690000000001</v>
      </c>
      <c r="V5226">
        <v>-4.2597290000000003E-2</v>
      </c>
      <c r="W5226">
        <v>0.18529039999999999</v>
      </c>
      <c r="X5226">
        <v>0.98176010000000002</v>
      </c>
      <c r="Y5226">
        <v>-0.1179963</v>
      </c>
      <c r="Z5226">
        <v>5.079471E-2</v>
      </c>
      <c r="AA5226">
        <v>0.99171410000000004</v>
      </c>
      <c r="AB5226">
        <v>23</v>
      </c>
      <c r="AC5226">
        <v>1.68369999999998</v>
      </c>
      <c r="AD5226">
        <v>-1.1097685788039999</v>
      </c>
      <c r="AE5226">
        <v>-21.30725</v>
      </c>
      <c r="AF5226">
        <v>-2.5610123730253398</v>
      </c>
      <c r="AG5226">
        <v>-1.1097685788039999</v>
      </c>
      <c r="AH5226">
        <v>21.161798514380301</v>
      </c>
      <c r="AI5226">
        <v>92.980254090467596</v>
      </c>
      <c r="AJ5226">
        <v>96.900409255375493</v>
      </c>
      <c r="AK5226">
        <v>21.345071727134499</v>
      </c>
      <c r="AL5226">
        <v>79.321935942618495</v>
      </c>
      <c r="AM5226">
        <v>92.484430865004597</v>
      </c>
      <c r="AN5226">
        <v>0.99999997769975602</v>
      </c>
    </row>
    <row r="5227" spans="1:40" x14ac:dyDescent="0.25">
      <c r="A5227" t="str">
        <f>"20190312172812123"</f>
        <v>20190312172812123</v>
      </c>
      <c r="B5227" t="str">
        <f>"1552382892115302"</f>
        <v>1552382892115302</v>
      </c>
      <c r="C5227" t="s">
        <v>40</v>
      </c>
      <c r="D5227">
        <v>3.1767050000000001</v>
      </c>
      <c r="E5227">
        <v>0.47422589999999998</v>
      </c>
      <c r="F5227" t="s">
        <v>52</v>
      </c>
      <c r="G5227">
        <v>-299.78879999999998</v>
      </c>
      <c r="H5227" s="1">
        <v>-2.1187350000000001E-6</v>
      </c>
      <c r="I5227">
        <v>-43.648710000000001</v>
      </c>
      <c r="J5227">
        <v>-301.00850000000003</v>
      </c>
      <c r="K5227">
        <v>1.1097760000000001</v>
      </c>
      <c r="L5227">
        <v>-26.860959999999999</v>
      </c>
      <c r="M5227">
        <v>-4.1257139999999998E-2</v>
      </c>
      <c r="N5227">
        <v>0</v>
      </c>
      <c r="O5227">
        <v>-0.99911499999999998</v>
      </c>
      <c r="P5227">
        <v>5.8917519999999897E-3</v>
      </c>
      <c r="Q5227">
        <v>0.1765854</v>
      </c>
      <c r="R5227">
        <v>-0.98426809999999998</v>
      </c>
      <c r="S5227">
        <v>0.21768190000000001</v>
      </c>
      <c r="T5227">
        <v>-0.2001319</v>
      </c>
      <c r="U5227">
        <v>-3.0839840000000001</v>
      </c>
      <c r="V5227">
        <v>-4.6554680000000001E-2</v>
      </c>
      <c r="W5227">
        <v>0.1846498</v>
      </c>
      <c r="X5227">
        <v>0.98170109999999999</v>
      </c>
      <c r="Y5227">
        <v>-0.1113591</v>
      </c>
      <c r="Z5227">
        <v>6.4393770000000003E-2</v>
      </c>
      <c r="AA5227">
        <v>0.99169180000000001</v>
      </c>
      <c r="AB5227">
        <v>23</v>
      </c>
      <c r="AC5227">
        <v>1.21970000000004</v>
      </c>
      <c r="AD5227">
        <v>-1.109778118735</v>
      </c>
      <c r="AE5227">
        <v>-16.7877499999999</v>
      </c>
      <c r="AF5227">
        <v>-1.90302653896508</v>
      </c>
      <c r="AG5227">
        <v>-1.109778118735</v>
      </c>
      <c r="AH5227">
        <v>16.650749605172699</v>
      </c>
      <c r="AI5227">
        <v>93.788552572017394</v>
      </c>
      <c r="AJ5227">
        <v>96.520086144164296</v>
      </c>
      <c r="AK5227">
        <v>16.795850079558001</v>
      </c>
      <c r="AL5227">
        <v>79.359283993567701</v>
      </c>
      <c r="AM5227">
        <v>92.715072664781999</v>
      </c>
      <c r="AN5227">
        <v>0.99999996830557503</v>
      </c>
    </row>
    <row r="5228" spans="1:40" x14ac:dyDescent="0.25">
      <c r="A5228" t="str">
        <f>"20190312172812167"</f>
        <v>20190312172812167</v>
      </c>
      <c r="B5228" t="str">
        <f>"1552382892165052"</f>
        <v>1552382892165052</v>
      </c>
      <c r="C5228" t="s">
        <v>40</v>
      </c>
      <c r="D5228">
        <v>3.2320440000000001</v>
      </c>
      <c r="E5228">
        <v>0.47509439999999997</v>
      </c>
      <c r="F5228" t="s">
        <v>52</v>
      </c>
      <c r="G5228">
        <v>-299.7303</v>
      </c>
      <c r="H5228" s="1">
        <v>-2.515759E-6</v>
      </c>
      <c r="I5228">
        <v>-44.248829999999998</v>
      </c>
      <c r="J5228">
        <v>-301.02710000000002</v>
      </c>
      <c r="K5228">
        <v>1.1097999999999999</v>
      </c>
      <c r="L5228">
        <v>-27.32574</v>
      </c>
      <c r="M5228">
        <v>-4.0799439999999999E-2</v>
      </c>
      <c r="N5228">
        <v>0</v>
      </c>
      <c r="O5228">
        <v>-0.99913240000000003</v>
      </c>
      <c r="P5228">
        <v>1.253813E-2</v>
      </c>
      <c r="Q5228">
        <v>0.17650660000000001</v>
      </c>
      <c r="R5228">
        <v>-0.98421970000000003</v>
      </c>
      <c r="S5228">
        <v>0.2265625</v>
      </c>
      <c r="T5228">
        <v>-0.1967005</v>
      </c>
      <c r="U5228">
        <v>-3.0818789999999998</v>
      </c>
      <c r="V5228">
        <v>-5.2743999999999999E-2</v>
      </c>
      <c r="W5228">
        <v>0.1846981</v>
      </c>
      <c r="X5228">
        <v>0.981379</v>
      </c>
      <c r="Y5228">
        <v>-0.113799</v>
      </c>
      <c r="Z5228">
        <v>6.3323619999999997E-2</v>
      </c>
      <c r="AA5228">
        <v>0.99148369999999997</v>
      </c>
      <c r="AB5228">
        <v>23</v>
      </c>
      <c r="AC5228">
        <v>1.2968000000000099</v>
      </c>
      <c r="AD5228">
        <v>-1.1098025157589999</v>
      </c>
      <c r="AE5228">
        <v>-16.923089999999899</v>
      </c>
      <c r="AF5228">
        <v>-1.9777409842264999</v>
      </c>
      <c r="AG5228">
        <v>-1.1098025157589999</v>
      </c>
      <c r="AH5228">
        <v>16.784325758145599</v>
      </c>
      <c r="AI5228">
        <v>93.757051118947402</v>
      </c>
      <c r="AJ5228">
        <v>96.720322989930693</v>
      </c>
      <c r="AK5228">
        <v>16.936844811836298</v>
      </c>
      <c r="AL5228">
        <v>79.356468835450201</v>
      </c>
      <c r="AM5228">
        <v>93.076389381554307</v>
      </c>
      <c r="AN5228">
        <v>1.0000000296603</v>
      </c>
    </row>
    <row r="5229" spans="1:40" x14ac:dyDescent="0.25">
      <c r="A5229" t="str">
        <f>"20190312172812199"</f>
        <v>20190312172812199</v>
      </c>
      <c r="B5229" t="str">
        <f>"1552382892195308"</f>
        <v>1552382892195308</v>
      </c>
      <c r="C5229" t="s">
        <v>40</v>
      </c>
      <c r="D5229">
        <v>3.2355719999999999</v>
      </c>
      <c r="E5229">
        <v>0.47555989999999998</v>
      </c>
      <c r="F5229" t="s">
        <v>52</v>
      </c>
      <c r="G5229">
        <v>-299.72179999999997</v>
      </c>
      <c r="H5229" s="1">
        <v>-2.420557E-6</v>
      </c>
      <c r="I5229">
        <v>-44.095500000000001</v>
      </c>
      <c r="J5229">
        <v>-301.04020000000003</v>
      </c>
      <c r="K5229">
        <v>1.1098129999999999</v>
      </c>
      <c r="L5229">
        <v>-27.655609999999999</v>
      </c>
      <c r="M5229">
        <v>-4.0474009999999998E-2</v>
      </c>
      <c r="N5229">
        <v>0</v>
      </c>
      <c r="O5229">
        <v>-0.99914499999999995</v>
      </c>
      <c r="P5229">
        <v>1.549122E-2</v>
      </c>
      <c r="Q5229">
        <v>0.176642299999999</v>
      </c>
      <c r="R5229">
        <v>-0.98415359999999996</v>
      </c>
      <c r="S5229">
        <v>0.2398682</v>
      </c>
      <c r="T5229">
        <v>-0.2039368</v>
      </c>
      <c r="U5229">
        <v>-3.081604</v>
      </c>
      <c r="V5229">
        <v>-5.5372150000000002E-2</v>
      </c>
      <c r="W5229">
        <v>0.18493380000000001</v>
      </c>
      <c r="X5229">
        <v>0.9811898</v>
      </c>
      <c r="Y5229">
        <v>-0.1177261</v>
      </c>
      <c r="Z5229">
        <v>6.5624660000000001E-2</v>
      </c>
      <c r="AA5229">
        <v>0.99087539999999996</v>
      </c>
      <c r="AB5229">
        <v>23</v>
      </c>
      <c r="AC5229">
        <v>1.31840000000005</v>
      </c>
      <c r="AD5229">
        <v>-1.1098154205570001</v>
      </c>
      <c r="AE5229">
        <v>-16.439889999999998</v>
      </c>
      <c r="AF5229">
        <v>-1.97379394119614</v>
      </c>
      <c r="AG5229">
        <v>-1.1098154205570001</v>
      </c>
      <c r="AH5229">
        <v>16.2992499843423</v>
      </c>
      <c r="AI5229">
        <v>93.8670907745324</v>
      </c>
      <c r="AJ5229">
        <v>96.904739277252801</v>
      </c>
      <c r="AK5229">
        <v>16.455792379648301</v>
      </c>
      <c r="AL5229">
        <v>79.342727229422294</v>
      </c>
      <c r="AM5229">
        <v>93.229985614208402</v>
      </c>
      <c r="AN5229">
        <v>1.00000000450105</v>
      </c>
    </row>
    <row r="5230" spans="1:40" x14ac:dyDescent="0.25">
      <c r="A5230" t="str">
        <f>"20190312172812236"</f>
        <v>20190312172812236</v>
      </c>
      <c r="B5230" t="str">
        <f>"1552382892224587"</f>
        <v>1552382892224587</v>
      </c>
      <c r="C5230" t="s">
        <v>40</v>
      </c>
      <c r="D5230">
        <v>3.248192</v>
      </c>
      <c r="E5230">
        <v>0.47607310000000003</v>
      </c>
      <c r="F5230" t="s">
        <v>52</v>
      </c>
      <c r="G5230">
        <v>-299.702</v>
      </c>
      <c r="H5230" s="1">
        <v>-2.6429799999999998E-6</v>
      </c>
      <c r="I5230">
        <v>-44.437130000000003</v>
      </c>
      <c r="J5230">
        <v>-301.05549999999999</v>
      </c>
      <c r="K5230">
        <v>1.1098220000000001</v>
      </c>
      <c r="L5230">
        <v>-28.043430000000001</v>
      </c>
      <c r="M5230">
        <v>-4.0091910000000001E-2</v>
      </c>
      <c r="N5230">
        <v>0</v>
      </c>
      <c r="O5230">
        <v>-0.99915929999999997</v>
      </c>
      <c r="P5230">
        <v>1.991768E-2</v>
      </c>
      <c r="Q5230">
        <v>0.17762329999999901</v>
      </c>
      <c r="R5230">
        <v>-0.98389729999999997</v>
      </c>
      <c r="S5230">
        <v>0.245697</v>
      </c>
      <c r="T5230">
        <v>-0.20375789999999999</v>
      </c>
      <c r="U5230">
        <v>-3.0810240000000002</v>
      </c>
      <c r="V5230">
        <v>-5.9410079999999997E-2</v>
      </c>
      <c r="W5230">
        <v>0.1860204</v>
      </c>
      <c r="X5230">
        <v>0.98074810000000001</v>
      </c>
      <c r="Y5230">
        <v>-0.119224</v>
      </c>
      <c r="Z5230">
        <v>6.5570370000000003E-2</v>
      </c>
      <c r="AA5230">
        <v>0.99069980000000002</v>
      </c>
      <c r="AB5230">
        <v>24</v>
      </c>
      <c r="AC5230">
        <v>1.3534999999999899</v>
      </c>
      <c r="AD5230">
        <v>-1.1098246429799901</v>
      </c>
      <c r="AE5230">
        <v>-16.393699999999999</v>
      </c>
      <c r="AF5230">
        <v>-2.0005838428819702</v>
      </c>
      <c r="AG5230">
        <v>-1.1098246429799901</v>
      </c>
      <c r="AH5230">
        <v>16.2522713356142</v>
      </c>
      <c r="AI5230">
        <v>93.877337572983194</v>
      </c>
      <c r="AJ5230">
        <v>97.017558492813393</v>
      </c>
      <c r="AK5230">
        <v>16.4125065123214</v>
      </c>
      <c r="AL5230">
        <v>79.279370156052906</v>
      </c>
      <c r="AM5230">
        <v>93.466529691179204</v>
      </c>
      <c r="AN5230">
        <v>0.99999999123768801</v>
      </c>
    </row>
    <row r="5231" spans="1:40" x14ac:dyDescent="0.25">
      <c r="A5231" t="str">
        <f>"20190312172812279"</f>
        <v>20190312172812279</v>
      </c>
      <c r="B5231" t="str">
        <f>"1552382892274725"</f>
        <v>1552382892274725</v>
      </c>
      <c r="C5231" t="s">
        <v>40</v>
      </c>
      <c r="D5231">
        <v>3.2233480000000001</v>
      </c>
      <c r="E5231">
        <v>0.48001929999999998</v>
      </c>
      <c r="F5231" t="s">
        <v>52</v>
      </c>
      <c r="G5231">
        <v>-299.6474</v>
      </c>
      <c r="H5231" s="1">
        <v>-2.9719680000000001E-6</v>
      </c>
      <c r="I5231">
        <v>-44.93186</v>
      </c>
      <c r="J5231">
        <v>-301.07350000000002</v>
      </c>
      <c r="K5231">
        <v>1.1098330000000001</v>
      </c>
      <c r="L5231">
        <v>-28.507200000000001</v>
      </c>
      <c r="M5231">
        <v>-3.9635450000000003E-2</v>
      </c>
      <c r="N5231">
        <v>0</v>
      </c>
      <c r="O5231">
        <v>-0.99917670000000003</v>
      </c>
      <c r="P5231">
        <v>2.3448219999999999E-2</v>
      </c>
      <c r="Q5231">
        <v>0.1768826</v>
      </c>
      <c r="R5231">
        <v>-0.98395290000000002</v>
      </c>
      <c r="S5231">
        <v>0.25683590000000001</v>
      </c>
      <c r="T5231">
        <v>-0.20243169999999999</v>
      </c>
      <c r="U5231">
        <v>-3.080444</v>
      </c>
      <c r="V5231">
        <v>-6.2491270000000002E-2</v>
      </c>
      <c r="W5231">
        <v>0.1853902</v>
      </c>
      <c r="X5231">
        <v>0.98067590000000004</v>
      </c>
      <c r="Y5231">
        <v>-0.1223456</v>
      </c>
      <c r="Z5231">
        <v>6.5137420000000001E-2</v>
      </c>
      <c r="AA5231">
        <v>0.99034770000000005</v>
      </c>
      <c r="AB5231">
        <v>24</v>
      </c>
      <c r="AC5231">
        <v>1.4261000000000099</v>
      </c>
      <c r="AD5231">
        <v>-1.109835971968</v>
      </c>
      <c r="AE5231">
        <v>-16.424659999999999</v>
      </c>
      <c r="AF5231">
        <v>-2.06663706605304</v>
      </c>
      <c r="AG5231">
        <v>-1.109835971968</v>
      </c>
      <c r="AH5231">
        <v>16.281443481008601</v>
      </c>
      <c r="AI5231">
        <v>93.868629175258206</v>
      </c>
      <c r="AJ5231">
        <v>97.233985801159207</v>
      </c>
      <c r="AK5231">
        <v>16.4495631088712</v>
      </c>
      <c r="AL5231">
        <v>79.316116739723299</v>
      </c>
      <c r="AM5231">
        <v>93.646109302117495</v>
      </c>
      <c r="AN5231">
        <v>0.99999995296152999</v>
      </c>
    </row>
    <row r="5232" spans="1:40" x14ac:dyDescent="0.25">
      <c r="A5232" t="str">
        <f>"20190312172812310"</f>
        <v>20190312172812310</v>
      </c>
      <c r="B5232" t="str">
        <f>"1552382892304978"</f>
        <v>1552382892304978</v>
      </c>
      <c r="C5232" t="s">
        <v>40</v>
      </c>
      <c r="D5232">
        <v>3.1914120000000001</v>
      </c>
      <c r="E5232">
        <v>0.48129509999999998</v>
      </c>
      <c r="F5232" t="s">
        <v>52</v>
      </c>
      <c r="G5232">
        <v>-299.87240000000003</v>
      </c>
      <c r="H5232" s="1">
        <v>-2.435193E-6</v>
      </c>
      <c r="I5232">
        <v>-44.181579999999997</v>
      </c>
      <c r="J5232">
        <v>-301.08620000000002</v>
      </c>
      <c r="K5232">
        <v>1.1098399999999999</v>
      </c>
      <c r="L5232">
        <v>-28.836459999999999</v>
      </c>
      <c r="M5232">
        <v>-3.9311749999999999E-2</v>
      </c>
      <c r="N5232">
        <v>0</v>
      </c>
      <c r="O5232">
        <v>-0.99918890000000005</v>
      </c>
      <c r="P5232">
        <v>2.4156210000000001E-2</v>
      </c>
      <c r="Q5232">
        <v>0.1774906</v>
      </c>
      <c r="R5232">
        <v>-0.98382630000000004</v>
      </c>
      <c r="S5232">
        <v>0.2362061</v>
      </c>
      <c r="T5232">
        <v>-0.21825990000000001</v>
      </c>
      <c r="U5232">
        <v>-3.0825200000000001</v>
      </c>
      <c r="V5232">
        <v>-6.2876029999999999E-2</v>
      </c>
      <c r="W5232">
        <v>0.186055</v>
      </c>
      <c r="X5232">
        <v>0.98052539999999999</v>
      </c>
      <c r="Y5232">
        <v>-0.1153539</v>
      </c>
      <c r="Z5232">
        <v>7.0208720000000002E-2</v>
      </c>
      <c r="AA5232">
        <v>0.9908401</v>
      </c>
      <c r="AB5232">
        <v>24</v>
      </c>
      <c r="AC5232">
        <v>1.21379999999999</v>
      </c>
      <c r="AD5232">
        <v>-1.1098424351930001</v>
      </c>
      <c r="AE5232">
        <v>-15.3451199999999</v>
      </c>
      <c r="AF5232">
        <v>-1.8067359261185401</v>
      </c>
      <c r="AG5232">
        <v>-1.1098424351930001</v>
      </c>
      <c r="AH5232">
        <v>15.206488758001001</v>
      </c>
      <c r="AI5232">
        <v>94.145265836282505</v>
      </c>
      <c r="AJ5232">
        <v>96.775746789975102</v>
      </c>
      <c r="AK5232">
        <v>15.3536101710606</v>
      </c>
      <c r="AL5232">
        <v>79.277352150452003</v>
      </c>
      <c r="AM5232">
        <v>93.669058890010803</v>
      </c>
      <c r="AN5232">
        <v>0.99999995910935902</v>
      </c>
    </row>
    <row r="5233" spans="1:40" x14ac:dyDescent="0.25">
      <c r="A5233" t="str">
        <f>"20190312172812345"</f>
        <v>20190312172812345</v>
      </c>
      <c r="B5233" t="str">
        <f>"1552382892335233"</f>
        <v>1552382892335233</v>
      </c>
      <c r="C5233" t="s">
        <v>40</v>
      </c>
      <c r="D5233">
        <v>3.1740460000000001</v>
      </c>
      <c r="E5233">
        <v>0.48164489999999999</v>
      </c>
      <c r="F5233" t="s">
        <v>52</v>
      </c>
      <c r="G5233">
        <v>-299.96949999999998</v>
      </c>
      <c r="H5233" s="1">
        <v>-2.2379289999999999E-6</v>
      </c>
      <c r="I5233">
        <v>-43.904400000000003</v>
      </c>
      <c r="J5233">
        <v>-301.10070000000002</v>
      </c>
      <c r="K5233">
        <v>1.109834</v>
      </c>
      <c r="L5233">
        <v>-29.21753</v>
      </c>
      <c r="M5233">
        <v>-3.8936270000000002E-2</v>
      </c>
      <c r="N5233">
        <v>0</v>
      </c>
      <c r="O5233">
        <v>-0.99920319999999996</v>
      </c>
      <c r="P5233">
        <v>2.6444220000000001E-2</v>
      </c>
      <c r="Q5233">
        <v>0.17664929999999901</v>
      </c>
      <c r="R5233">
        <v>-0.98391859999999998</v>
      </c>
      <c r="S5233">
        <v>0.22860720000000001</v>
      </c>
      <c r="T5233">
        <v>-0.22720750000000001</v>
      </c>
      <c r="U5233">
        <v>-3.0847169999999999</v>
      </c>
      <c r="V5233">
        <v>-6.4797229999999997E-2</v>
      </c>
      <c r="W5233">
        <v>0.1852548</v>
      </c>
      <c r="X5233">
        <v>0.98055190000000003</v>
      </c>
      <c r="Y5233">
        <v>-0.1124843</v>
      </c>
      <c r="Z5233">
        <v>7.3040519999999998E-2</v>
      </c>
      <c r="AA5233">
        <v>0.9909654</v>
      </c>
      <c r="AB5233">
        <v>24</v>
      </c>
      <c r="AC5233">
        <v>1.13120000000003</v>
      </c>
      <c r="AD5233">
        <v>-1.1098362379290001</v>
      </c>
      <c r="AE5233">
        <v>-14.686870000000001</v>
      </c>
      <c r="AF5233">
        <v>-1.69260776681319</v>
      </c>
      <c r="AG5233">
        <v>-1.1098362379290001</v>
      </c>
      <c r="AH5233">
        <v>14.549095797420801</v>
      </c>
      <c r="AI5233">
        <v>94.333084917625698</v>
      </c>
      <c r="AJ5233">
        <v>96.635826808134794</v>
      </c>
      <c r="AK5233">
        <v>14.689208489562199</v>
      </c>
      <c r="AL5233">
        <v>79.324012121848696</v>
      </c>
      <c r="AM5233">
        <v>93.780746069859603</v>
      </c>
      <c r="AN5233">
        <v>1.0000000252661601</v>
      </c>
    </row>
    <row r="5234" spans="1:40" x14ac:dyDescent="0.25">
      <c r="A5234" t="str">
        <f>"20190312172812391"</f>
        <v>20190312172812391</v>
      </c>
      <c r="B5234" t="str">
        <f>"1552382892385009"</f>
        <v>1552382892385009</v>
      </c>
      <c r="C5234" t="s">
        <v>40</v>
      </c>
      <c r="D5234">
        <v>3.1934130000000001</v>
      </c>
      <c r="E5234">
        <v>0.48265740000000001</v>
      </c>
      <c r="F5234" t="s">
        <v>52</v>
      </c>
      <c r="G5234">
        <v>-299.98200000000003</v>
      </c>
      <c r="H5234" s="1">
        <v>-2.2892820000000002E-6</v>
      </c>
      <c r="I5234">
        <v>-43.982460000000003</v>
      </c>
      <c r="J5234">
        <v>-301.1189</v>
      </c>
      <c r="K5234">
        <v>1.109823</v>
      </c>
      <c r="L5234">
        <v>-29.69989</v>
      </c>
      <c r="M5234">
        <v>-3.8461429999999998E-2</v>
      </c>
      <c r="N5234">
        <v>0</v>
      </c>
      <c r="O5234">
        <v>-0.99922160000000004</v>
      </c>
      <c r="P5234">
        <v>3.0339479999999999E-2</v>
      </c>
      <c r="Q5234">
        <v>0.17402500000000001</v>
      </c>
      <c r="R5234">
        <v>-0.98427430000000005</v>
      </c>
      <c r="S5234">
        <v>0.23370360000000001</v>
      </c>
      <c r="T5234">
        <v>-0.23184389999999999</v>
      </c>
      <c r="U5234">
        <v>-3.084381</v>
      </c>
      <c r="V5234">
        <v>-6.8235379999999998E-2</v>
      </c>
      <c r="W5234">
        <v>0.18265629999999999</v>
      </c>
      <c r="X5234">
        <v>0.98080610000000001</v>
      </c>
      <c r="Y5234">
        <v>-0.1136399</v>
      </c>
      <c r="Z5234">
        <v>7.4523339999999993E-2</v>
      </c>
      <c r="AA5234">
        <v>0.99072309999999997</v>
      </c>
      <c r="AB5234">
        <v>24</v>
      </c>
      <c r="AC5234">
        <v>1.1368999999999601</v>
      </c>
      <c r="AD5234">
        <v>-1.109825289282</v>
      </c>
      <c r="AE5234">
        <v>-14.2825699999999</v>
      </c>
      <c r="AF5234">
        <v>-1.6753557349295101</v>
      </c>
      <c r="AG5234">
        <v>-1.109825289282</v>
      </c>
      <c r="AH5234">
        <v>14.1434119331944</v>
      </c>
      <c r="AI5234">
        <v>94.4557475938024</v>
      </c>
      <c r="AJ5234">
        <v>96.755483677869293</v>
      </c>
      <c r="AK5234">
        <v>14.285469195070799</v>
      </c>
      <c r="AL5234">
        <v>79.475479830490499</v>
      </c>
      <c r="AM5234">
        <v>93.979695829220304</v>
      </c>
      <c r="AN5234">
        <v>0.99999999840532205</v>
      </c>
    </row>
    <row r="5235" spans="1:40" x14ac:dyDescent="0.25">
      <c r="A5235" t="str">
        <f>"20190312172812420"</f>
        <v>20190312172812420</v>
      </c>
      <c r="B5235" t="str">
        <f>"1552382892415265"</f>
        <v>1552382892415265</v>
      </c>
      <c r="C5235" t="s">
        <v>40</v>
      </c>
      <c r="D5235">
        <v>3.2399640000000001</v>
      </c>
      <c r="E5235">
        <v>0.48306769999999999</v>
      </c>
      <c r="F5235" t="s">
        <v>52</v>
      </c>
      <c r="G5235">
        <v>-300.04610000000002</v>
      </c>
      <c r="H5235" s="1">
        <v>-2.0535820000000001E-6</v>
      </c>
      <c r="I5235">
        <v>-43.597580000000001</v>
      </c>
      <c r="J5235">
        <v>-301.13080000000002</v>
      </c>
      <c r="K5235">
        <v>1.1098129999999999</v>
      </c>
      <c r="L5235">
        <v>-30.016629999999999</v>
      </c>
      <c r="M5235">
        <v>-3.8150070000000001E-2</v>
      </c>
      <c r="N5235">
        <v>0</v>
      </c>
      <c r="O5235">
        <v>-0.99923300000000004</v>
      </c>
      <c r="P5235">
        <v>3.2530749999999997E-2</v>
      </c>
      <c r="Q5235">
        <v>0.1736811</v>
      </c>
      <c r="R5235">
        <v>-0.98426460000000005</v>
      </c>
      <c r="S5235">
        <v>0.23806759999999999</v>
      </c>
      <c r="T5235">
        <v>-0.24628910000000001</v>
      </c>
      <c r="U5235">
        <v>-3.0841370000000001</v>
      </c>
      <c r="V5235">
        <v>-7.0118949999999999E-2</v>
      </c>
      <c r="W5235">
        <v>0.18231310000000001</v>
      </c>
      <c r="X5235">
        <v>0.98073710000000003</v>
      </c>
      <c r="Y5235">
        <v>-0.1147025</v>
      </c>
      <c r="Z5235">
        <v>7.9136600000000001E-2</v>
      </c>
      <c r="AA5235">
        <v>0.99024279999999998</v>
      </c>
      <c r="AB5235">
        <v>24</v>
      </c>
      <c r="AC5235">
        <v>1.08469999999999</v>
      </c>
      <c r="AD5235">
        <v>-1.1098150535819999</v>
      </c>
      <c r="AE5235">
        <v>-13.58095</v>
      </c>
      <c r="AF5235">
        <v>-1.5914842647841201</v>
      </c>
      <c r="AG5235">
        <v>-1.1098150535819999</v>
      </c>
      <c r="AH5235">
        <v>13.440494028192999</v>
      </c>
      <c r="AI5235">
        <v>94.687745269067193</v>
      </c>
      <c r="AJ5235">
        <v>96.752930046016303</v>
      </c>
      <c r="AK5235">
        <v>13.5798155856441</v>
      </c>
      <c r="AL5235">
        <v>79.495479543033198</v>
      </c>
      <c r="AM5235">
        <v>94.089470421512502</v>
      </c>
      <c r="AN5235">
        <v>0.99999999644856097</v>
      </c>
    </row>
    <row r="5236" spans="1:40" x14ac:dyDescent="0.25">
      <c r="A5236" t="str">
        <f>"20190312172812458"</f>
        <v>20190312172812458</v>
      </c>
      <c r="B5236" t="str">
        <f>"1552382892454659"</f>
        <v>1552382892454659</v>
      </c>
      <c r="C5236" t="s">
        <v>40</v>
      </c>
      <c r="D5236">
        <v>3.226642</v>
      </c>
      <c r="E5236">
        <v>0.48349389999999998</v>
      </c>
      <c r="F5236" t="s">
        <v>52</v>
      </c>
      <c r="G5236">
        <v>-300.05720000000002</v>
      </c>
      <c r="H5236" s="1">
        <v>-2.1288479999999999E-6</v>
      </c>
      <c r="I5236">
        <v>-43.713569999999997</v>
      </c>
      <c r="J5236">
        <v>-301.14589999999998</v>
      </c>
      <c r="K5236">
        <v>1.109815</v>
      </c>
      <c r="L5236">
        <v>-30.42493</v>
      </c>
      <c r="M5236">
        <v>-3.7749499999999998E-2</v>
      </c>
      <c r="N5236">
        <v>0</v>
      </c>
      <c r="O5236">
        <v>-0.99924869999999999</v>
      </c>
      <c r="P5236">
        <v>3.613748E-2</v>
      </c>
      <c r="Q5236">
        <v>0.17601839999999999</v>
      </c>
      <c r="R5236">
        <v>-0.98372389999999998</v>
      </c>
      <c r="S5236">
        <v>0.24172969999999999</v>
      </c>
      <c r="T5236">
        <v>-0.249892</v>
      </c>
      <c r="U5236">
        <v>-3.084076</v>
      </c>
      <c r="V5236">
        <v>-7.3310819999999999E-2</v>
      </c>
      <c r="W5236">
        <v>0.18462680000000001</v>
      </c>
      <c r="X5236">
        <v>0.98007069999999996</v>
      </c>
      <c r="Y5236">
        <v>-0.11546729999999999</v>
      </c>
      <c r="Z5236">
        <v>8.028296E-2</v>
      </c>
      <c r="AA5236">
        <v>0.99006159999999999</v>
      </c>
      <c r="AB5236">
        <v>24</v>
      </c>
      <c r="AC5236">
        <v>1.08869999999996</v>
      </c>
      <c r="AD5236">
        <v>-1.1098171288480001</v>
      </c>
      <c r="AE5236">
        <v>-13.288639999999999</v>
      </c>
      <c r="AF5236">
        <v>-1.5786452091169001</v>
      </c>
      <c r="AG5236">
        <v>-1.1098171288480001</v>
      </c>
      <c r="AH5236">
        <v>13.1469798307433</v>
      </c>
      <c r="AI5236">
        <v>94.790994133025606</v>
      </c>
      <c r="AJ5236">
        <v>96.8471023798717</v>
      </c>
      <c r="AK5236">
        <v>13.287847584380399</v>
      </c>
      <c r="AL5236">
        <v>79.360625776128998</v>
      </c>
      <c r="AM5236">
        <v>94.277847143088195</v>
      </c>
      <c r="AN5236">
        <v>1.00000005430289</v>
      </c>
    </row>
    <row r="5237" spans="1:40" x14ac:dyDescent="0.25">
      <c r="A5237" t="str">
        <f>"20190312172812503"</f>
        <v>20190312172812503</v>
      </c>
      <c r="B5237" t="str">
        <f>"1552382892494678"</f>
        <v>1552382892494678</v>
      </c>
      <c r="C5237" t="s">
        <v>40</v>
      </c>
      <c r="D5237">
        <v>3.340176</v>
      </c>
      <c r="E5237">
        <v>0.48381190000000002</v>
      </c>
      <c r="F5237" t="s">
        <v>52</v>
      </c>
      <c r="G5237">
        <v>-300.01499999999999</v>
      </c>
      <c r="H5237" s="1">
        <v>-2.5724269999999998E-6</v>
      </c>
      <c r="I5237">
        <v>-44.420670000000001</v>
      </c>
      <c r="J5237">
        <v>-301.1635</v>
      </c>
      <c r="K5237">
        <v>1.109815</v>
      </c>
      <c r="L5237">
        <v>-30.90607</v>
      </c>
      <c r="M5237">
        <v>-3.7276539999999997E-2</v>
      </c>
      <c r="N5237">
        <v>0</v>
      </c>
      <c r="O5237">
        <v>-0.99926689999999996</v>
      </c>
      <c r="P5237">
        <v>4.0387350000000002E-2</v>
      </c>
      <c r="Q5237">
        <v>0.17925279999999999</v>
      </c>
      <c r="R5237">
        <v>-0.98297389999999996</v>
      </c>
      <c r="S5237">
        <v>0.2492065</v>
      </c>
      <c r="T5237">
        <v>-0.24457180000000001</v>
      </c>
      <c r="U5237">
        <v>-3.0842589999999999</v>
      </c>
      <c r="V5237">
        <v>-7.7066540000000003E-2</v>
      </c>
      <c r="W5237">
        <v>0.18781020000000001</v>
      </c>
      <c r="X5237">
        <v>0.97917719999999997</v>
      </c>
      <c r="Y5237">
        <v>-0.1173884</v>
      </c>
      <c r="Z5237">
        <v>7.8565599999999999E-2</v>
      </c>
      <c r="AA5237">
        <v>0.9899734</v>
      </c>
      <c r="AB5237">
        <v>24</v>
      </c>
      <c r="AC5237">
        <v>1.1485000000000101</v>
      </c>
      <c r="AD5237">
        <v>-1.1098175724269901</v>
      </c>
      <c r="AE5237">
        <v>-13.5146</v>
      </c>
      <c r="AF5237">
        <v>-1.64051464370504</v>
      </c>
      <c r="AG5237">
        <v>-1.1098175724269901</v>
      </c>
      <c r="AH5237">
        <v>13.372857129187301</v>
      </c>
      <c r="AI5237">
        <v>94.708982714898397</v>
      </c>
      <c r="AJ5237">
        <v>96.993813221129002</v>
      </c>
      <c r="AK5237">
        <v>13.5187385187351</v>
      </c>
      <c r="AL5237">
        <v>79.174982040276404</v>
      </c>
      <c r="AM5237">
        <v>94.500210696335799</v>
      </c>
      <c r="AN5237">
        <v>0.99999995590572399</v>
      </c>
    </row>
    <row r="5238" spans="1:40" x14ac:dyDescent="0.25">
      <c r="A5238" t="str">
        <f>"20190312172812534"</f>
        <v>20190312172812534</v>
      </c>
      <c r="B5238" t="str">
        <f>"1552382892524930"</f>
        <v>1552382892524930</v>
      </c>
      <c r="C5238" t="s">
        <v>40</v>
      </c>
      <c r="D5238">
        <v>3.2020270000000002</v>
      </c>
      <c r="E5238">
        <v>0.48408010000000001</v>
      </c>
      <c r="F5238" t="s">
        <v>52</v>
      </c>
      <c r="G5238">
        <v>-299.9529</v>
      </c>
      <c r="H5238" s="1">
        <v>-3.1653209999999999E-6</v>
      </c>
      <c r="I5238">
        <v>-45.363930000000003</v>
      </c>
      <c r="J5238">
        <v>-301.1755</v>
      </c>
      <c r="K5238">
        <v>1.109812</v>
      </c>
      <c r="L5238">
        <v>-31.238530000000001</v>
      </c>
      <c r="M5238">
        <v>-3.6949540000000003E-2</v>
      </c>
      <c r="N5238">
        <v>0</v>
      </c>
      <c r="O5238">
        <v>-0.99927900000000003</v>
      </c>
      <c r="P5238">
        <v>4.2528490000000002E-2</v>
      </c>
      <c r="Q5238">
        <v>0.1809925</v>
      </c>
      <c r="R5238">
        <v>-0.98256469999999996</v>
      </c>
      <c r="S5238">
        <v>0.25827030000000001</v>
      </c>
      <c r="T5238">
        <v>-0.23677580000000001</v>
      </c>
      <c r="U5238">
        <v>-3.0845340000000001</v>
      </c>
      <c r="V5238">
        <v>-7.8870830000000003E-2</v>
      </c>
      <c r="W5238">
        <v>0.1895162</v>
      </c>
      <c r="X5238">
        <v>0.97870480000000004</v>
      </c>
      <c r="Y5238">
        <v>-0.1199617</v>
      </c>
      <c r="Z5238">
        <v>7.6049919999999993E-2</v>
      </c>
      <c r="AA5238">
        <v>0.9898614</v>
      </c>
      <c r="AB5238">
        <v>24</v>
      </c>
      <c r="AC5238">
        <v>1.2225999999999999</v>
      </c>
      <c r="AD5238">
        <v>-1.109815165321</v>
      </c>
      <c r="AE5238">
        <v>-14.125400000000001</v>
      </c>
      <c r="AF5238">
        <v>-1.7330930656364101</v>
      </c>
      <c r="AG5238">
        <v>-1.109815165321</v>
      </c>
      <c r="AH5238">
        <v>13.984889761005499</v>
      </c>
      <c r="AI5238">
        <v>94.503075373923494</v>
      </c>
      <c r="AJ5238">
        <v>97.064425921952903</v>
      </c>
      <c r="AK5238">
        <v>14.1355029235896</v>
      </c>
      <c r="AL5238">
        <v>79.075448923676106</v>
      </c>
      <c r="AM5238">
        <v>94.607335314972701</v>
      </c>
      <c r="AN5238">
        <v>1.00000004171518</v>
      </c>
    </row>
    <row r="5239" spans="1:40" x14ac:dyDescent="0.25">
      <c r="A5239" t="str">
        <f>"20190312172812556"</f>
        <v>20190312172812556</v>
      </c>
      <c r="B5239" t="str">
        <f>"1552382892544856"</f>
        <v>1552382892544856</v>
      </c>
      <c r="C5239" t="s">
        <v>40</v>
      </c>
      <c r="D5239">
        <v>3.1826059999999998</v>
      </c>
      <c r="E5239">
        <v>0.48409099999999999</v>
      </c>
      <c r="F5239" t="s">
        <v>52</v>
      </c>
      <c r="G5239">
        <v>-299.9169</v>
      </c>
      <c r="H5239" s="1">
        <v>-3.4881670000000001E-6</v>
      </c>
      <c r="I5239">
        <v>-45.977440000000001</v>
      </c>
      <c r="J5239">
        <v>-301.1848</v>
      </c>
      <c r="K5239">
        <v>1.1098129999999999</v>
      </c>
      <c r="L5239">
        <v>-31.498570000000001</v>
      </c>
      <c r="M5239">
        <v>-3.6693679999999999E-2</v>
      </c>
      <c r="N5239">
        <v>0</v>
      </c>
      <c r="O5239">
        <v>-0.99928859999999997</v>
      </c>
      <c r="P5239">
        <v>4.474798E-2</v>
      </c>
      <c r="Q5239">
        <v>0.18216889999999999</v>
      </c>
      <c r="R5239">
        <v>-0.98224849999999997</v>
      </c>
      <c r="S5239">
        <v>0.2633972</v>
      </c>
      <c r="T5239">
        <v>-0.23226730000000001</v>
      </c>
      <c r="U5239">
        <v>-3.084625</v>
      </c>
      <c r="V5239">
        <v>-8.0826809999999999E-2</v>
      </c>
      <c r="W5239">
        <v>0.1906697</v>
      </c>
      <c r="X5239">
        <v>0.97832110000000005</v>
      </c>
      <c r="Y5239">
        <v>-0.12134789999999999</v>
      </c>
      <c r="Z5239">
        <v>7.4597430000000006E-2</v>
      </c>
      <c r="AA5239">
        <v>0.98980299999999999</v>
      </c>
      <c r="AB5239">
        <v>24</v>
      </c>
      <c r="AC5239">
        <v>1.26789999999999</v>
      </c>
      <c r="AD5239">
        <v>-1.1098164881669901</v>
      </c>
      <c r="AE5239">
        <v>-14.478870000000001</v>
      </c>
      <c r="AF5239">
        <v>-1.7879245337159999</v>
      </c>
      <c r="AG5239">
        <v>-1.1098164881669901</v>
      </c>
      <c r="AH5239">
        <v>14.3389876149753</v>
      </c>
      <c r="AI5239">
        <v>94.391909898416898</v>
      </c>
      <c r="AJ5239">
        <v>97.107512169831296</v>
      </c>
      <c r="AK5239">
        <v>14.4925819852118</v>
      </c>
      <c r="AL5239">
        <v>79.008130762323901</v>
      </c>
      <c r="AM5239">
        <v>94.7229292322953</v>
      </c>
      <c r="AN5239">
        <v>1.00000004120903</v>
      </c>
    </row>
    <row r="5240" spans="1:40" x14ac:dyDescent="0.25">
      <c r="A5240" t="str">
        <f>"20190312172812579"</f>
        <v>20190312172812579</v>
      </c>
      <c r="B5240" t="str">
        <f>"1552382892575112"</f>
        <v>1552382892575112</v>
      </c>
      <c r="C5240" t="s">
        <v>40</v>
      </c>
      <c r="D5240">
        <v>3.166331</v>
      </c>
      <c r="E5240">
        <v>0.47461940000000002</v>
      </c>
      <c r="F5240" t="s">
        <v>52</v>
      </c>
      <c r="G5240">
        <v>-299.87020000000001</v>
      </c>
      <c r="H5240" s="1">
        <v>-3.759809E-6</v>
      </c>
      <c r="I5240">
        <v>-46.490220000000001</v>
      </c>
      <c r="J5240">
        <v>-301.19349999999997</v>
      </c>
      <c r="K5240">
        <v>1.1098159999999999</v>
      </c>
      <c r="L5240">
        <v>-31.743010000000002</v>
      </c>
      <c r="M5240">
        <v>-3.6453720000000002E-2</v>
      </c>
      <c r="N5240">
        <v>0</v>
      </c>
      <c r="O5240">
        <v>-0.99929789999999996</v>
      </c>
      <c r="P5240">
        <v>4.754858E-2</v>
      </c>
      <c r="Q5240">
        <v>0.18248980000000001</v>
      </c>
      <c r="R5240">
        <v>-0.98205779999999998</v>
      </c>
      <c r="S5240">
        <v>0.27044679999999999</v>
      </c>
      <c r="T5240">
        <v>-0.22832440000000001</v>
      </c>
      <c r="U5240">
        <v>-3.0842589999999999</v>
      </c>
      <c r="V5240">
        <v>-8.3384040000000006E-2</v>
      </c>
      <c r="W5240">
        <v>0.1909711</v>
      </c>
      <c r="X5240">
        <v>0.97804760000000002</v>
      </c>
      <c r="Y5240">
        <v>-0.12337289999999999</v>
      </c>
      <c r="Z5240">
        <v>7.3331250000000001E-2</v>
      </c>
      <c r="AA5240">
        <v>0.98964719999999995</v>
      </c>
      <c r="AB5240">
        <v>24</v>
      </c>
      <c r="AC5240">
        <v>1.32329999999996</v>
      </c>
      <c r="AD5240">
        <v>-1.1098197598089901</v>
      </c>
      <c r="AE5240">
        <v>-14.747210000000001</v>
      </c>
      <c r="AF5240">
        <v>-1.8496394065216499</v>
      </c>
      <c r="AG5240">
        <v>-1.1098197598089901</v>
      </c>
      <c r="AH5240">
        <v>14.6070998341623</v>
      </c>
      <c r="AI5240">
        <v>94.310587444510801</v>
      </c>
      <c r="AJ5240">
        <v>97.216730601068093</v>
      </c>
      <c r="AK5240">
        <v>14.7655081659455</v>
      </c>
      <c r="AL5240">
        <v>78.990537914565294</v>
      </c>
      <c r="AM5240">
        <v>94.873002649382997</v>
      </c>
      <c r="AN5240">
        <v>0.999999983513845</v>
      </c>
    </row>
    <row r="5241" spans="1:40" x14ac:dyDescent="0.25">
      <c r="A5241" t="str">
        <f>"20190312172812615"</f>
        <v>20190312172812615</v>
      </c>
      <c r="B5241" t="str">
        <f>"1552382892604392"</f>
        <v>1552382892604392</v>
      </c>
      <c r="C5241" t="s">
        <v>40</v>
      </c>
      <c r="D5241">
        <v>3.2017440000000001</v>
      </c>
      <c r="E5241">
        <v>0.47404639999999998</v>
      </c>
      <c r="F5241" t="s">
        <v>52</v>
      </c>
      <c r="G5241">
        <v>-298.97320000000002</v>
      </c>
      <c r="H5241" s="1">
        <v>-7.5578970000000002E-6</v>
      </c>
      <c r="I5241">
        <v>-51.046990000000001</v>
      </c>
      <c r="J5241">
        <v>-301.20729999999998</v>
      </c>
      <c r="K5241">
        <v>1.109818</v>
      </c>
      <c r="L5241">
        <v>-32.134549999999997</v>
      </c>
      <c r="M5241">
        <v>-3.6069499999999997E-2</v>
      </c>
      <c r="N5241">
        <v>0</v>
      </c>
      <c r="O5241">
        <v>-0.99931179999999997</v>
      </c>
      <c r="P5241">
        <v>5.3413919999999997E-2</v>
      </c>
      <c r="Q5241">
        <v>0.18184149999999999</v>
      </c>
      <c r="R5241">
        <v>-0.98187650000000004</v>
      </c>
      <c r="S5241">
        <v>0.3531494</v>
      </c>
      <c r="T5241">
        <v>-0.17653060000000001</v>
      </c>
      <c r="U5241">
        <v>-3.0705260000000001</v>
      </c>
      <c r="V5241">
        <v>-8.8862689999999994E-2</v>
      </c>
      <c r="W5241">
        <v>0.19029989999999999</v>
      </c>
      <c r="X5241">
        <v>0.97769589999999995</v>
      </c>
      <c r="Y5241">
        <v>-0.14983460000000001</v>
      </c>
      <c r="Z5241">
        <v>5.683038E-2</v>
      </c>
      <c r="AA5241">
        <v>0.98707650000000002</v>
      </c>
      <c r="AB5241">
        <v>25</v>
      </c>
      <c r="AC5241">
        <v>2.23409999999995</v>
      </c>
      <c r="AD5241">
        <v>-1.109825557897</v>
      </c>
      <c r="AE5241">
        <v>-18.91244</v>
      </c>
      <c r="AF5241">
        <v>-2.9049680225098502</v>
      </c>
      <c r="AG5241">
        <v>-1.109825557897</v>
      </c>
      <c r="AH5241">
        <v>18.7558475610032</v>
      </c>
      <c r="AI5241">
        <v>93.346561270626196</v>
      </c>
      <c r="AJ5241">
        <v>98.804204691752005</v>
      </c>
      <c r="AK5241">
        <v>19.011900739072701</v>
      </c>
      <c r="AL5241">
        <v>79.029712926239498</v>
      </c>
      <c r="AM5241">
        <v>95.193338791711795</v>
      </c>
      <c r="AN5241">
        <v>0.99999995124542596</v>
      </c>
    </row>
    <row r="5242" spans="1:40" x14ac:dyDescent="0.25">
      <c r="A5242" t="str">
        <f>"20190312172812643"</f>
        <v>20190312172812643</v>
      </c>
      <c r="B5242" t="str">
        <f>"1552382892635155"</f>
        <v>1552382892635155</v>
      </c>
      <c r="C5242" t="s">
        <v>40</v>
      </c>
      <c r="D5242">
        <v>3.2179470000000001</v>
      </c>
      <c r="E5242">
        <v>0.47432340000000001</v>
      </c>
      <c r="F5242" t="s">
        <v>52</v>
      </c>
      <c r="G5242">
        <v>-298.63299999999998</v>
      </c>
      <c r="H5242" s="1">
        <v>-7.4428430000000003E-6</v>
      </c>
      <c r="I5242">
        <v>-53.131590000000003</v>
      </c>
      <c r="J5242">
        <v>-301.21839999999997</v>
      </c>
      <c r="K5242">
        <v>1.1098209999999999</v>
      </c>
      <c r="L5242">
        <v>-32.455599999999997</v>
      </c>
      <c r="M5242">
        <v>-3.5754929999999997E-2</v>
      </c>
      <c r="N5242">
        <v>0</v>
      </c>
      <c r="O5242">
        <v>-0.99932319999999997</v>
      </c>
      <c r="P5242">
        <v>5.6097849999999998E-2</v>
      </c>
      <c r="Q5242">
        <v>0.18216309999999999</v>
      </c>
      <c r="R5242">
        <v>-0.98166730000000002</v>
      </c>
      <c r="S5242">
        <v>0.37576290000000001</v>
      </c>
      <c r="T5242">
        <v>-0.16200139999999999</v>
      </c>
      <c r="U5242">
        <v>-3.0649410000000001</v>
      </c>
      <c r="V5242">
        <v>-9.122972E-2</v>
      </c>
      <c r="W5242">
        <v>0.19061439999999999</v>
      </c>
      <c r="X5242">
        <v>0.97741659999999997</v>
      </c>
      <c r="Y5242">
        <v>-0.15693560000000001</v>
      </c>
      <c r="Z5242">
        <v>5.2209930000000002E-2</v>
      </c>
      <c r="AA5242">
        <v>0.98622779999999999</v>
      </c>
      <c r="AB5242">
        <v>25</v>
      </c>
      <c r="AC5242">
        <v>2.5853999999999902</v>
      </c>
      <c r="AD5242">
        <v>-1.1098284428430001</v>
      </c>
      <c r="AE5242">
        <v>-20.675989999999999</v>
      </c>
      <c r="AF5242">
        <v>-3.3136425314660398</v>
      </c>
      <c r="AG5242">
        <v>-1.1098284428430001</v>
      </c>
      <c r="AH5242">
        <v>20.5121338158146</v>
      </c>
      <c r="AI5242">
        <v>93.057461106491203</v>
      </c>
      <c r="AJ5242">
        <v>99.176595318839802</v>
      </c>
      <c r="AK5242">
        <v>20.807680785632201</v>
      </c>
      <c r="AL5242">
        <v>79.011357518672</v>
      </c>
      <c r="AM5242">
        <v>95.332401253090296</v>
      </c>
      <c r="AN5242">
        <v>0.99999996062709795</v>
      </c>
    </row>
    <row r="5243" spans="1:40" x14ac:dyDescent="0.25">
      <c r="A5243" t="str">
        <f>"20190312172812682"</f>
        <v>20190312172812682</v>
      </c>
      <c r="B5243" t="str">
        <f>"1552382892675171"</f>
        <v>1552382892675171</v>
      </c>
      <c r="C5243" t="s">
        <v>40</v>
      </c>
      <c r="D5243">
        <v>3.249927</v>
      </c>
      <c r="E5243">
        <v>0.47499829999999998</v>
      </c>
      <c r="F5243" t="s">
        <v>52</v>
      </c>
      <c r="G5243">
        <v>-298.60919999999999</v>
      </c>
      <c r="H5243" s="1">
        <v>-7.4230080000000001E-6</v>
      </c>
      <c r="I5243">
        <v>-53.382339999999999</v>
      </c>
      <c r="J5243">
        <v>-301.233</v>
      </c>
      <c r="K5243">
        <v>1.1098429999999999</v>
      </c>
      <c r="L5243">
        <v>-32.87726</v>
      </c>
      <c r="M5243">
        <v>-3.5341570000000003E-2</v>
      </c>
      <c r="N5243">
        <v>0</v>
      </c>
      <c r="O5243">
        <v>-0.99933760000000005</v>
      </c>
      <c r="P5243">
        <v>6.026132E-2</v>
      </c>
      <c r="Q5243">
        <v>0.1834075</v>
      </c>
      <c r="R5243">
        <v>-0.98118819999999995</v>
      </c>
      <c r="S5243">
        <v>0.38208009999999998</v>
      </c>
      <c r="T5243">
        <v>-0.1625154</v>
      </c>
      <c r="U5243">
        <v>-3.064362</v>
      </c>
      <c r="V5243">
        <v>-9.4969719999999994E-2</v>
      </c>
      <c r="W5243">
        <v>0.1918744</v>
      </c>
      <c r="X5243">
        <v>0.97681370000000001</v>
      </c>
      <c r="Y5243">
        <v>-0.15855079999999999</v>
      </c>
      <c r="Z5243">
        <v>5.2372719999999998E-2</v>
      </c>
      <c r="AA5243">
        <v>0.98596079999999997</v>
      </c>
      <c r="AB5243">
        <v>25</v>
      </c>
      <c r="AC5243">
        <v>2.6238000000000099</v>
      </c>
      <c r="AD5243">
        <v>-1.109850423008</v>
      </c>
      <c r="AE5243">
        <v>-20.50508</v>
      </c>
      <c r="AF5243">
        <v>-3.3372505288348502</v>
      </c>
      <c r="AG5243">
        <v>-1.109850423008</v>
      </c>
      <c r="AH5243">
        <v>20.340906217492499</v>
      </c>
      <c r="AI5243">
        <v>93.081980083841202</v>
      </c>
      <c r="AJ5243">
        <v>99.317279727913998</v>
      </c>
      <c r="AK5243">
        <v>20.642709967503901</v>
      </c>
      <c r="AL5243">
        <v>78.937807922205394</v>
      </c>
      <c r="AM5243">
        <v>95.553071057002697</v>
      </c>
      <c r="AN5243">
        <v>1.00000001879996</v>
      </c>
    </row>
    <row r="5244" spans="1:40" x14ac:dyDescent="0.25">
      <c r="A5244" t="str">
        <f>"20190312172812726"</f>
        <v>20190312172812726</v>
      </c>
      <c r="B5244" t="str">
        <f>"1552382892715187"</f>
        <v>1552382892715187</v>
      </c>
      <c r="C5244" t="s">
        <v>40</v>
      </c>
      <c r="D5244">
        <v>3.1834660000000001</v>
      </c>
      <c r="E5244">
        <v>0.47558050000000002</v>
      </c>
      <c r="F5244" t="s">
        <v>52</v>
      </c>
      <c r="G5244">
        <v>-298.56490000000002</v>
      </c>
      <c r="H5244" s="1">
        <v>-7.3910320000000001E-6</v>
      </c>
      <c r="I5244">
        <v>-53.80489</v>
      </c>
      <c r="J5244">
        <v>-301.24979999999999</v>
      </c>
      <c r="K5244">
        <v>1.109888</v>
      </c>
      <c r="L5244">
        <v>-33.369109999999999</v>
      </c>
      <c r="M5244">
        <v>-3.4859639999999997E-2</v>
      </c>
      <c r="N5244">
        <v>0</v>
      </c>
      <c r="O5244">
        <v>-0.99935379999999996</v>
      </c>
      <c r="P5244">
        <v>6.3754619999999998E-2</v>
      </c>
      <c r="Q5244">
        <v>0.18620210000000001</v>
      </c>
      <c r="R5244">
        <v>-0.98044109999999995</v>
      </c>
      <c r="S5244">
        <v>0.390625</v>
      </c>
      <c r="T5244">
        <v>-0.1624874</v>
      </c>
      <c r="U5244">
        <v>-3.063904</v>
      </c>
      <c r="V5244">
        <v>-9.7964079999999995E-2</v>
      </c>
      <c r="W5244">
        <v>0.1947451</v>
      </c>
      <c r="X5244">
        <v>0.97594950000000003</v>
      </c>
      <c r="Y5244">
        <v>-0.16079930000000001</v>
      </c>
      <c r="Z5244">
        <v>5.2354129999999999E-2</v>
      </c>
      <c r="AA5244">
        <v>0.98559759999999996</v>
      </c>
      <c r="AB5244">
        <v>25</v>
      </c>
      <c r="AC5244">
        <v>2.6848999999999701</v>
      </c>
      <c r="AD5244">
        <v>-1.109895391032</v>
      </c>
      <c r="AE5244">
        <v>-20.435779999999902</v>
      </c>
      <c r="AF5244">
        <v>-3.3858614342450699</v>
      </c>
      <c r="AG5244">
        <v>-1.109895391032</v>
      </c>
      <c r="AH5244">
        <v>20.2709810756953</v>
      </c>
      <c r="AI5244">
        <v>93.091242045116999</v>
      </c>
      <c r="AJ5244">
        <v>99.482574375526198</v>
      </c>
      <c r="AK5244">
        <v>20.5817540360908</v>
      </c>
      <c r="AL5244">
        <v>78.770166803500999</v>
      </c>
      <c r="AM5244">
        <v>95.732048555099098</v>
      </c>
      <c r="AN5244">
        <v>1.0000000207472499</v>
      </c>
    </row>
    <row r="5245" spans="1:40" x14ac:dyDescent="0.25">
      <c r="A5245" t="str">
        <f>"20190312172812771"</f>
        <v>20190312172812771</v>
      </c>
      <c r="B5245" t="str">
        <f>"1552382892764496"</f>
        <v>1552382892764496</v>
      </c>
      <c r="C5245" t="s">
        <v>40</v>
      </c>
      <c r="D5245">
        <v>3.2464469999999999</v>
      </c>
      <c r="E5245">
        <v>0.47592079999999998</v>
      </c>
      <c r="F5245" t="s">
        <v>52</v>
      </c>
      <c r="G5245">
        <v>-298.49860000000001</v>
      </c>
      <c r="H5245" s="1">
        <v>-7.3113059999999902E-6</v>
      </c>
      <c r="I5245">
        <v>-54.720680000000002</v>
      </c>
      <c r="J5245">
        <v>-301.26659999999998</v>
      </c>
      <c r="K5245">
        <v>1.1099559999999999</v>
      </c>
      <c r="L5245">
        <v>-33.867829999999998</v>
      </c>
      <c r="M5245">
        <v>-3.4372800000000002E-2</v>
      </c>
      <c r="N5245">
        <v>0</v>
      </c>
      <c r="O5245">
        <v>-0.99936879999999995</v>
      </c>
      <c r="P5245">
        <v>6.5830769999999997E-2</v>
      </c>
      <c r="Q5245">
        <v>0.1886372</v>
      </c>
      <c r="R5245">
        <v>-0.97983799999999999</v>
      </c>
      <c r="S5245">
        <v>0.39486690000000002</v>
      </c>
      <c r="T5245">
        <v>-0.15929450000000001</v>
      </c>
      <c r="U5245">
        <v>-3.0644230000000001</v>
      </c>
      <c r="V5245">
        <v>-9.9544090000000002E-2</v>
      </c>
      <c r="W5245">
        <v>0.1973934</v>
      </c>
      <c r="X5245">
        <v>0.97525729999999999</v>
      </c>
      <c r="Y5245">
        <v>-0.1616467</v>
      </c>
      <c r="Z5245">
        <v>5.1312799999999999E-2</v>
      </c>
      <c r="AA5245">
        <v>0.98551369999999905</v>
      </c>
      <c r="AB5245">
        <v>25</v>
      </c>
      <c r="AC5245">
        <v>2.76799999999997</v>
      </c>
      <c r="AD5245">
        <v>-1.1099633113059999</v>
      </c>
      <c r="AE5245">
        <v>-20.85285</v>
      </c>
      <c r="AF5245">
        <v>-3.4734929936433998</v>
      </c>
      <c r="AG5245">
        <v>-1.1099633113059999</v>
      </c>
      <c r="AH5245">
        <v>20.687779942277398</v>
      </c>
      <c r="AI5245">
        <v>93.028835815653395</v>
      </c>
      <c r="AJ5245">
        <v>99.531103069668006</v>
      </c>
      <c r="AK5245">
        <v>21.006699195005101</v>
      </c>
      <c r="AL5245">
        <v>78.615426501150296</v>
      </c>
      <c r="AM5245">
        <v>95.827972322802694</v>
      </c>
      <c r="AN5245">
        <v>0.99999999071038903</v>
      </c>
    </row>
    <row r="5246" spans="1:40" x14ac:dyDescent="0.25">
      <c r="A5246" t="str">
        <f>"20190312172812801"</f>
        <v>20190312172812801</v>
      </c>
      <c r="B5246" t="str">
        <f>"1552382892794748"</f>
        <v>1552382892794748</v>
      </c>
      <c r="C5246" t="s">
        <v>40</v>
      </c>
      <c r="D5246">
        <v>3.2659690000000001</v>
      </c>
      <c r="E5246">
        <v>0.47613220000000001</v>
      </c>
      <c r="F5246" t="s">
        <v>52</v>
      </c>
      <c r="G5246">
        <v>-298.3904</v>
      </c>
      <c r="H5246" s="1">
        <v>-7.2057429999999996E-6</v>
      </c>
      <c r="I5246">
        <v>-55.996650000000002</v>
      </c>
      <c r="J5246">
        <v>-301.27780000000001</v>
      </c>
      <c r="K5246">
        <v>1.1100209999999999</v>
      </c>
      <c r="L5246">
        <v>-34.205109999999998</v>
      </c>
      <c r="M5246">
        <v>-3.4044820000000003E-2</v>
      </c>
      <c r="N5246">
        <v>0</v>
      </c>
      <c r="O5246">
        <v>-0.99937759999999998</v>
      </c>
      <c r="P5246">
        <v>6.7253309999999997E-2</v>
      </c>
      <c r="Q5246">
        <v>0.1878158</v>
      </c>
      <c r="R5246">
        <v>-0.97989959999999998</v>
      </c>
      <c r="S5246">
        <v>0.39831539999999999</v>
      </c>
      <c r="T5246">
        <v>-0.15371660000000001</v>
      </c>
      <c r="U5246">
        <v>-3.064575</v>
      </c>
      <c r="V5246">
        <v>-0.1006485</v>
      </c>
      <c r="W5246">
        <v>0.19683059999999999</v>
      </c>
      <c r="X5246">
        <v>0.97525770000000001</v>
      </c>
      <c r="Y5246">
        <v>-0.16241910000000001</v>
      </c>
      <c r="Z5246">
        <v>4.9512239999999999E-2</v>
      </c>
      <c r="AA5246">
        <v>0.98547890000000005</v>
      </c>
      <c r="AB5246">
        <v>25</v>
      </c>
      <c r="AC5246">
        <v>2.8874000000000102</v>
      </c>
      <c r="AD5246">
        <v>-1.110028205743</v>
      </c>
      <c r="AE5246">
        <v>-21.791540000000001</v>
      </c>
      <c r="AF5246">
        <v>-3.6184199434252702</v>
      </c>
      <c r="AG5246">
        <v>-1.110028205743</v>
      </c>
      <c r="AH5246">
        <v>21.625457224438801</v>
      </c>
      <c r="AI5246">
        <v>92.898176715355504</v>
      </c>
      <c r="AJ5246">
        <v>99.498864724438405</v>
      </c>
      <c r="AK5246">
        <v>21.954168753805199</v>
      </c>
      <c r="AL5246">
        <v>78.648317895485206</v>
      </c>
      <c r="AM5246">
        <v>95.892176975739702</v>
      </c>
      <c r="AN5246">
        <v>0.99999999352894997</v>
      </c>
    </row>
    <row r="5247" spans="1:40" x14ac:dyDescent="0.25">
      <c r="A5247" t="str">
        <f>"20190312172812837"</f>
        <v>20190312172812837</v>
      </c>
      <c r="B5247" t="str">
        <f>"1552382892834765"</f>
        <v>1552382892834765</v>
      </c>
      <c r="C5247" t="s">
        <v>40</v>
      </c>
      <c r="D5247">
        <v>3.236345</v>
      </c>
      <c r="E5247">
        <v>0.47630329999999899</v>
      </c>
      <c r="F5247" t="s">
        <v>52</v>
      </c>
      <c r="G5247">
        <v>-298.47219999999999</v>
      </c>
      <c r="H5247" s="1">
        <v>-7.2090559999999998E-6</v>
      </c>
      <c r="I5247">
        <v>-55.711889999999997</v>
      </c>
      <c r="J5247">
        <v>-301.29109999999997</v>
      </c>
      <c r="K5247">
        <v>1.1101490000000001</v>
      </c>
      <c r="L5247">
        <v>-34.610140000000001</v>
      </c>
      <c r="M5247">
        <v>-3.3646130000000003E-2</v>
      </c>
      <c r="N5247">
        <v>0</v>
      </c>
      <c r="O5247">
        <v>-0.99938649999999996</v>
      </c>
      <c r="P5247">
        <v>7.1229669999999995E-2</v>
      </c>
      <c r="Q5247">
        <v>0.1857094</v>
      </c>
      <c r="R5247">
        <v>-0.98002009999999995</v>
      </c>
      <c r="S5247">
        <v>0.39974979999999999</v>
      </c>
      <c r="T5247">
        <v>-0.1581639</v>
      </c>
      <c r="U5247">
        <v>-3.0644230000000001</v>
      </c>
      <c r="V5247">
        <v>-0.1042406</v>
      </c>
      <c r="W5247">
        <v>0.1951917</v>
      </c>
      <c r="X5247">
        <v>0.97520980000000002</v>
      </c>
      <c r="Y5247">
        <v>-0.16247609999999901</v>
      </c>
      <c r="Z5247">
        <v>5.0942800000000003E-2</v>
      </c>
      <c r="AA5247">
        <v>0.98539659999999996</v>
      </c>
      <c r="AB5247">
        <v>25</v>
      </c>
      <c r="AC5247">
        <v>2.8188999999999802</v>
      </c>
      <c r="AD5247">
        <v>-1.110156209056</v>
      </c>
      <c r="AE5247">
        <v>-21.101749999999999</v>
      </c>
      <c r="AF5247">
        <v>-3.5177639201472899</v>
      </c>
      <c r="AG5247">
        <v>-1.110156209056</v>
      </c>
      <c r="AH5247">
        <v>20.938015935844401</v>
      </c>
      <c r="AI5247">
        <v>92.993170125610504</v>
      </c>
      <c r="AJ5247">
        <v>99.537107460417005</v>
      </c>
      <c r="AK5247">
        <v>21.260470858757401</v>
      </c>
      <c r="AL5247">
        <v>78.744077934520206</v>
      </c>
      <c r="AM5247">
        <v>96.101204617895206</v>
      </c>
      <c r="AN5247">
        <v>1.0000000282266399</v>
      </c>
    </row>
    <row r="5248" spans="1:40" x14ac:dyDescent="0.25">
      <c r="A5248" t="str">
        <f>"20190312172812883"</f>
        <v>20190312172812883</v>
      </c>
      <c r="B5248" t="str">
        <f>"1552382892874782"</f>
        <v>1552382892874782</v>
      </c>
      <c r="C5248" t="s">
        <v>40</v>
      </c>
      <c r="D5248">
        <v>3.2339419999999999</v>
      </c>
      <c r="E5248">
        <v>0.47647899999999999</v>
      </c>
      <c r="F5248" t="s">
        <v>52</v>
      </c>
      <c r="G5248">
        <v>-298.60449999999997</v>
      </c>
      <c r="H5248" s="1">
        <v>-7.2647640000000002E-6</v>
      </c>
      <c r="I5248">
        <v>-54.803899999999999</v>
      </c>
      <c r="J5248">
        <v>-301.3073</v>
      </c>
      <c r="K5248">
        <v>1.110355</v>
      </c>
      <c r="L5248">
        <v>-35.114350000000002</v>
      </c>
      <c r="M5248">
        <v>-3.3072900000000002E-2</v>
      </c>
      <c r="N5248">
        <v>0</v>
      </c>
      <c r="O5248">
        <v>-0.99939599999999995</v>
      </c>
      <c r="P5248">
        <v>7.4748629999999996E-2</v>
      </c>
      <c r="Q5248">
        <v>0.18799630000000001</v>
      </c>
      <c r="R5248">
        <v>-0.97932129999999995</v>
      </c>
      <c r="S5248">
        <v>0.40756229999999999</v>
      </c>
      <c r="T5248">
        <v>-0.16841349999999999</v>
      </c>
      <c r="U5248">
        <v>-3.0634459999999999</v>
      </c>
      <c r="V5248">
        <v>-0.10718900000000001</v>
      </c>
      <c r="W5248">
        <v>0.19836010000000001</v>
      </c>
      <c r="X5248">
        <v>0.97425039999999996</v>
      </c>
      <c r="Y5248">
        <v>-0.16439770000000001</v>
      </c>
      <c r="Z5248">
        <v>5.4235499999999999E-2</v>
      </c>
      <c r="AA5248">
        <v>0.98490200000000006</v>
      </c>
      <c r="AB5248">
        <v>25</v>
      </c>
      <c r="AC5248">
        <v>2.7028000000000199</v>
      </c>
      <c r="AD5248">
        <v>-1.1103622647639999</v>
      </c>
      <c r="AE5248">
        <v>-19.689550000000001</v>
      </c>
      <c r="AF5248">
        <v>-3.3421167162627299</v>
      </c>
      <c r="AG5248">
        <v>-1.1103622647639999</v>
      </c>
      <c r="AH5248">
        <v>19.528426754505201</v>
      </c>
      <c r="AI5248">
        <v>93.207726017178999</v>
      </c>
      <c r="AJ5248">
        <v>99.711577908897894</v>
      </c>
      <c r="AK5248">
        <v>19.843439722240898</v>
      </c>
      <c r="AL5248">
        <v>78.558921801626298</v>
      </c>
      <c r="AM5248">
        <v>96.278545230867095</v>
      </c>
      <c r="AN5248">
        <v>1.00000002644658</v>
      </c>
    </row>
    <row r="5249" spans="1:40" x14ac:dyDescent="0.25">
      <c r="A5249" t="str">
        <f>"20190312172812927"</f>
        <v>20190312172812927</v>
      </c>
      <c r="B5249" t="str">
        <f>"1552382892924557"</f>
        <v>1552382892924557</v>
      </c>
      <c r="C5249" t="s">
        <v>40</v>
      </c>
      <c r="D5249">
        <v>3.3589509999999998</v>
      </c>
      <c r="E5249">
        <v>0.47658050000000002</v>
      </c>
      <c r="F5249" t="s">
        <v>52</v>
      </c>
      <c r="G5249">
        <v>-298.47879999999998</v>
      </c>
      <c r="H5249" s="1">
        <v>-7.191742E-6</v>
      </c>
      <c r="I5249">
        <v>-55.8452699999999</v>
      </c>
      <c r="J5249">
        <v>-301.32249999999999</v>
      </c>
      <c r="K5249">
        <v>1.1105659999999999</v>
      </c>
      <c r="L5249">
        <v>-35.600250000000003</v>
      </c>
      <c r="M5249">
        <v>-3.2304010000000001E-2</v>
      </c>
      <c r="N5249">
        <v>0</v>
      </c>
      <c r="O5249">
        <v>-0.99941120000000006</v>
      </c>
      <c r="P5249">
        <v>7.9975370000000004E-2</v>
      </c>
      <c r="Q5249">
        <v>0.1869962</v>
      </c>
      <c r="R5249">
        <v>-0.97910019999999998</v>
      </c>
      <c r="S5249">
        <v>0.41790769999999999</v>
      </c>
      <c r="T5249">
        <v>-0.16405420000000001</v>
      </c>
      <c r="U5249">
        <v>-3.0629580000000001</v>
      </c>
      <c r="V5249">
        <v>-0.1116935</v>
      </c>
      <c r="W5249">
        <v>0.19820399999999999</v>
      </c>
      <c r="X5249">
        <v>0.97377599999999997</v>
      </c>
      <c r="Y5249">
        <v>-0.16693669999999999</v>
      </c>
      <c r="Z5249">
        <v>5.2822809999999998E-2</v>
      </c>
      <c r="AA5249">
        <v>0.98455159999999997</v>
      </c>
      <c r="AB5249">
        <v>25</v>
      </c>
      <c r="AC5249">
        <v>2.8437000000000099</v>
      </c>
      <c r="AD5249">
        <v>-1.1105731917420001</v>
      </c>
      <c r="AE5249">
        <v>-20.245019999999901</v>
      </c>
      <c r="AF5249">
        <v>-3.48596752554942</v>
      </c>
      <c r="AG5249">
        <v>-1.1105731917420001</v>
      </c>
      <c r="AH5249">
        <v>20.083317096632602</v>
      </c>
      <c r="AI5249">
        <v>93.118598882407795</v>
      </c>
      <c r="AJ5249">
        <v>99.847021975283397</v>
      </c>
      <c r="AK5249">
        <v>20.413842558599701</v>
      </c>
      <c r="AL5249">
        <v>78.568046322291494</v>
      </c>
      <c r="AM5249">
        <v>96.543312329958297</v>
      </c>
      <c r="AN5249">
        <v>0.99999998086712405</v>
      </c>
    </row>
    <row r="5250" spans="1:40" x14ac:dyDescent="0.25">
      <c r="A5250" t="str">
        <f>"20190312172812960"</f>
        <v>20190312172812960</v>
      </c>
      <c r="B5250" t="str">
        <f>"1552382892954813"</f>
        <v>1552382892954813</v>
      </c>
      <c r="C5250" t="s">
        <v>40</v>
      </c>
      <c r="D5250">
        <v>3.2921279999999999</v>
      </c>
      <c r="E5250">
        <v>0.47892560000000001</v>
      </c>
      <c r="F5250" t="s">
        <v>52</v>
      </c>
      <c r="G5250">
        <v>-298.452</v>
      </c>
      <c r="H5250" s="1">
        <v>-7.2100879999999901E-6</v>
      </c>
      <c r="I5250">
        <v>-55.765949999999997</v>
      </c>
      <c r="J5250">
        <v>-301.33350000000002</v>
      </c>
      <c r="K5250">
        <v>1.11076</v>
      </c>
      <c r="L5250">
        <v>-35.97025</v>
      </c>
      <c r="M5250">
        <v>-3.1415749999999999E-2</v>
      </c>
      <c r="N5250">
        <v>0</v>
      </c>
      <c r="O5250">
        <v>-0.9994326</v>
      </c>
      <c r="P5250">
        <v>8.4795159999999994E-2</v>
      </c>
      <c r="Q5250">
        <v>0.18425449999999999</v>
      </c>
      <c r="R5250">
        <v>-0.97921420000000003</v>
      </c>
      <c r="S5250">
        <v>0.43566890000000003</v>
      </c>
      <c r="T5250">
        <v>-0.1685567</v>
      </c>
      <c r="U5250">
        <v>-3.060638</v>
      </c>
      <c r="V5250">
        <v>-0.11571090000000001</v>
      </c>
      <c r="W5250">
        <v>0.19599140000000001</v>
      </c>
      <c r="X5250">
        <v>0.97375480000000003</v>
      </c>
      <c r="Y5250">
        <v>-0.17175209999999999</v>
      </c>
      <c r="Z5250">
        <v>5.4266990000000001E-2</v>
      </c>
      <c r="AA5250">
        <v>0.98364439999999997</v>
      </c>
      <c r="AB5250">
        <v>25</v>
      </c>
      <c r="AC5250">
        <v>2.8815000000000102</v>
      </c>
      <c r="AD5250">
        <v>-1.1107672100879999</v>
      </c>
      <c r="AE5250">
        <v>-19.7957</v>
      </c>
      <c r="AF5250">
        <v>-3.4912559703940498</v>
      </c>
      <c r="AG5250">
        <v>-1.1107672100879999</v>
      </c>
      <c r="AH5250">
        <v>19.6348585498924</v>
      </c>
      <c r="AI5250">
        <v>93.187941682514094</v>
      </c>
      <c r="AJ5250">
        <v>100.08233605225099</v>
      </c>
      <c r="AK5250">
        <v>19.9737413200458</v>
      </c>
      <c r="AL5250">
        <v>78.697356061194498</v>
      </c>
      <c r="AM5250">
        <v>96.7766576329049</v>
      </c>
      <c r="AN5250">
        <v>1.0000000258879</v>
      </c>
    </row>
    <row r="5251" spans="1:40" x14ac:dyDescent="0.25">
      <c r="A5251" t="str">
        <f>"20190312172812993"</f>
        <v>20190312172812993</v>
      </c>
      <c r="B5251" t="str">
        <f>"1552382892985070"</f>
        <v>1552382892985070</v>
      </c>
      <c r="C5251" t="s">
        <v>40</v>
      </c>
      <c r="D5251">
        <v>3.2576749999999999</v>
      </c>
      <c r="E5251">
        <v>0.47926340000000001</v>
      </c>
      <c r="F5251" t="s">
        <v>52</v>
      </c>
      <c r="G5251">
        <v>-299.13720000000001</v>
      </c>
      <c r="H5251" s="1">
        <v>-7.4381619999999996E-6</v>
      </c>
      <c r="I5251">
        <v>-51.59995</v>
      </c>
      <c r="J5251">
        <v>-301.34359999999998</v>
      </c>
      <c r="K5251">
        <v>1.1110100000000001</v>
      </c>
      <c r="L5251">
        <v>-36.33896</v>
      </c>
      <c r="M5251">
        <v>-3.0137730000000001E-2</v>
      </c>
      <c r="N5251">
        <v>0</v>
      </c>
      <c r="O5251">
        <v>-0.99946559999999995</v>
      </c>
      <c r="P5251">
        <v>8.7495790000000004E-2</v>
      </c>
      <c r="Q5251">
        <v>0.1862876</v>
      </c>
      <c r="R5251">
        <v>-0.97859160000000001</v>
      </c>
      <c r="S5251">
        <v>0.43103029999999998</v>
      </c>
      <c r="T5251">
        <v>-0.21799209999999999</v>
      </c>
      <c r="U5251">
        <v>-3.067383</v>
      </c>
      <c r="V5251">
        <v>-0.117242</v>
      </c>
      <c r="W5251">
        <v>0.19844609999999999</v>
      </c>
      <c r="X5251">
        <v>0.97307429999999995</v>
      </c>
      <c r="Y5251">
        <v>-0.1685952</v>
      </c>
      <c r="Z5251">
        <v>6.9991020000000001E-2</v>
      </c>
      <c r="AA5251">
        <v>0.98319730000000005</v>
      </c>
      <c r="AB5251">
        <v>25</v>
      </c>
      <c r="AC5251">
        <v>2.2063999999999702</v>
      </c>
      <c r="AD5251">
        <v>-1.1110174381619999</v>
      </c>
      <c r="AE5251">
        <v>-15.26099</v>
      </c>
      <c r="AF5251">
        <v>-2.65160028784114</v>
      </c>
      <c r="AG5251">
        <v>-1.1110174381619999</v>
      </c>
      <c r="AH5251">
        <v>15.1091166333724</v>
      </c>
      <c r="AI5251">
        <v>94.142473813622502</v>
      </c>
      <c r="AJ5251">
        <v>99.9538569941285</v>
      </c>
      <c r="AK5251">
        <v>15.380206411983901</v>
      </c>
      <c r="AL5251">
        <v>78.553894896282102</v>
      </c>
      <c r="AM5251">
        <v>96.870232154823299</v>
      </c>
      <c r="AN5251">
        <v>1.0000000672448399</v>
      </c>
    </row>
    <row r="5252" spans="1:40" x14ac:dyDescent="0.25">
      <c r="A5252" t="str">
        <f>"20190312172813027"</f>
        <v>20190312172813027</v>
      </c>
      <c r="B5252" t="str">
        <f>"1552382893025085"</f>
        <v>1552382893025085</v>
      </c>
      <c r="C5252" t="s">
        <v>40</v>
      </c>
      <c r="D5252">
        <v>3.304551</v>
      </c>
      <c r="E5252">
        <v>0.47981970000000002</v>
      </c>
      <c r="F5252" t="s">
        <v>52</v>
      </c>
      <c r="G5252">
        <v>-299.07</v>
      </c>
      <c r="H5252" s="1">
        <v>-7.3984369999999997E-6</v>
      </c>
      <c r="I5252">
        <v>-52.162680000000002</v>
      </c>
      <c r="J5252">
        <v>-301.3526</v>
      </c>
      <c r="K5252">
        <v>1.1112629999999999</v>
      </c>
      <c r="L5252">
        <v>-36.701900000000002</v>
      </c>
      <c r="M5252">
        <v>-2.8406890000000001E-2</v>
      </c>
      <c r="N5252">
        <v>0</v>
      </c>
      <c r="O5252">
        <v>-0.99951109999999999</v>
      </c>
      <c r="P5252">
        <v>9.1905089999999995E-2</v>
      </c>
      <c r="Q5252">
        <v>0.18493019999999999</v>
      </c>
      <c r="R5252">
        <v>-0.97844520000000001</v>
      </c>
      <c r="S5252">
        <v>0.44070429999999999</v>
      </c>
      <c r="T5252">
        <v>-0.21535670000000001</v>
      </c>
      <c r="U5252">
        <v>-3.0672299999999999</v>
      </c>
      <c r="V5252">
        <v>-0.1200686</v>
      </c>
      <c r="W5252">
        <v>0.1974178</v>
      </c>
      <c r="X5252">
        <v>0.97293870000000005</v>
      </c>
      <c r="Y5252">
        <v>-0.16994319999999999</v>
      </c>
      <c r="Z5252">
        <v>6.9134470000000003E-2</v>
      </c>
      <c r="AA5252">
        <v>0.98302579999999995</v>
      </c>
      <c r="AB5252">
        <v>25</v>
      </c>
      <c r="AC5252">
        <v>2.2826</v>
      </c>
      <c r="AD5252">
        <v>-1.11127039843699</v>
      </c>
      <c r="AE5252">
        <v>-15.4607799999999</v>
      </c>
      <c r="AF5252">
        <v>-2.7072209632976101</v>
      </c>
      <c r="AG5252">
        <v>-1.11127039843699</v>
      </c>
      <c r="AH5252">
        <v>15.312272785412199</v>
      </c>
      <c r="AI5252">
        <v>94.087720778751205</v>
      </c>
      <c r="AJ5252">
        <v>100.026323057261</v>
      </c>
      <c r="AK5252">
        <v>15.5894087475258</v>
      </c>
      <c r="AL5252">
        <v>78.6140003581191</v>
      </c>
      <c r="AM5252">
        <v>97.035197740277098</v>
      </c>
      <c r="AN5252">
        <v>0.99999998521024402</v>
      </c>
    </row>
    <row r="5253" spans="1:40" x14ac:dyDescent="0.25">
      <c r="A5253" t="str">
        <f>"20190312172813062"</f>
        <v>20190312172813062</v>
      </c>
      <c r="B5253" t="str">
        <f>"1552382893054365"</f>
        <v>1552382893054365</v>
      </c>
      <c r="C5253" t="s">
        <v>40</v>
      </c>
      <c r="D5253">
        <v>3.3088359999999999</v>
      </c>
      <c r="E5253">
        <v>0.48007630000000001</v>
      </c>
      <c r="F5253" t="s">
        <v>52</v>
      </c>
      <c r="G5253">
        <v>-299.09899999999999</v>
      </c>
      <c r="H5253" s="1">
        <v>-7.3930939999999998E-6</v>
      </c>
      <c r="I5253">
        <v>-52.11985</v>
      </c>
      <c r="J5253">
        <v>-301.36040000000003</v>
      </c>
      <c r="K5253">
        <v>1.1115660000000001</v>
      </c>
      <c r="L5253">
        <v>-37.07394</v>
      </c>
      <c r="M5253">
        <v>-2.59776E-2</v>
      </c>
      <c r="N5253">
        <v>0</v>
      </c>
      <c r="O5253">
        <v>-0.99957260000000003</v>
      </c>
      <c r="P5253">
        <v>9.8517629999999995E-2</v>
      </c>
      <c r="Q5253">
        <v>0.18261240000000001</v>
      </c>
      <c r="R5253">
        <v>-0.97823689999999996</v>
      </c>
      <c r="S5253">
        <v>0.44812010000000002</v>
      </c>
      <c r="T5253">
        <v>-0.22096940000000001</v>
      </c>
      <c r="U5253">
        <v>-3.0657649999999999</v>
      </c>
      <c r="V5253">
        <v>-0.1244291</v>
      </c>
      <c r="W5253">
        <v>0.19534280000000001</v>
      </c>
      <c r="X5253">
        <v>0.9728097</v>
      </c>
      <c r="Y5253">
        <v>-0.16992499999999999</v>
      </c>
      <c r="Z5253">
        <v>7.0955569999999996E-2</v>
      </c>
      <c r="AA5253">
        <v>0.98289919999999997</v>
      </c>
      <c r="AB5253">
        <v>25</v>
      </c>
      <c r="AC5253">
        <v>2.2614000000000298</v>
      </c>
      <c r="AD5253">
        <v>-1.1115733930939999</v>
      </c>
      <c r="AE5253">
        <v>-15.045909999999999</v>
      </c>
      <c r="AF5253">
        <v>-2.6374510761117298</v>
      </c>
      <c r="AG5253">
        <v>-1.1115733930939999</v>
      </c>
      <c r="AH5253">
        <v>14.902538166036299</v>
      </c>
      <c r="AI5253">
        <v>94.200725237169806</v>
      </c>
      <c r="AJ5253">
        <v>100.036282505765</v>
      </c>
      <c r="AK5253">
        <v>15.1748933234236</v>
      </c>
      <c r="AL5253">
        <v>78.735250996127306</v>
      </c>
      <c r="AM5253">
        <v>97.288949560917899</v>
      </c>
      <c r="AN5253">
        <v>1.00000006142636</v>
      </c>
    </row>
    <row r="5254" spans="1:40" x14ac:dyDescent="0.25">
      <c r="A5254" t="str">
        <f>"20190312172813098"</f>
        <v>20190312172813098</v>
      </c>
      <c r="B5254" t="str">
        <f>"1552382893095358"</f>
        <v>1552382893095358</v>
      </c>
      <c r="C5254" t="s">
        <v>40</v>
      </c>
      <c r="D5254">
        <v>3.316694</v>
      </c>
      <c r="E5254">
        <v>0.48050880000000001</v>
      </c>
      <c r="F5254" t="s">
        <v>52</v>
      </c>
      <c r="G5254">
        <v>-299.12299999999999</v>
      </c>
      <c r="H5254" s="1">
        <v>-7.4145010000000001E-6</v>
      </c>
      <c r="I5254">
        <v>-51.854460000000003</v>
      </c>
      <c r="J5254">
        <v>-301.36660000000001</v>
      </c>
      <c r="K5254">
        <v>1.1119250000000001</v>
      </c>
      <c r="L5254">
        <v>-37.462829999999997</v>
      </c>
      <c r="M5254">
        <v>-2.272329E-2</v>
      </c>
      <c r="N5254">
        <v>0</v>
      </c>
      <c r="O5254">
        <v>-0.99964799999999998</v>
      </c>
      <c r="P5254">
        <v>0.1050205</v>
      </c>
      <c r="Q5254">
        <v>0.18565950000000001</v>
      </c>
      <c r="R5254">
        <v>-0.97698640000000003</v>
      </c>
      <c r="S5254">
        <v>0.4636536</v>
      </c>
      <c r="T5254">
        <v>-0.2303576</v>
      </c>
      <c r="U5254">
        <v>-3.0630489999999999</v>
      </c>
      <c r="V5254">
        <v>-0.1278861</v>
      </c>
      <c r="W5254">
        <v>0.1985587</v>
      </c>
      <c r="X5254">
        <v>0.97170959999999995</v>
      </c>
      <c r="Y5254">
        <v>-0.171685</v>
      </c>
      <c r="Z5254">
        <v>7.3988520000000002E-2</v>
      </c>
      <c r="AA5254">
        <v>0.98236950000000001</v>
      </c>
      <c r="AB5254">
        <v>24</v>
      </c>
      <c r="AC5254">
        <v>2.24360000000001</v>
      </c>
      <c r="AD5254">
        <v>-1.1119324145010001</v>
      </c>
      <c r="AE5254">
        <v>-14.391629999999999</v>
      </c>
      <c r="AF5254">
        <v>-2.5551851998809298</v>
      </c>
      <c r="AG5254">
        <v>-1.1119324145010001</v>
      </c>
      <c r="AH5254">
        <v>14.253857232520399</v>
      </c>
      <c r="AI5254">
        <v>94.390853868725799</v>
      </c>
      <c r="AJ5254">
        <v>100.163051086308</v>
      </c>
      <c r="AK5254">
        <v>14.523698258542201</v>
      </c>
      <c r="AL5254">
        <v>78.5473113824427</v>
      </c>
      <c r="AM5254">
        <v>97.497571736189599</v>
      </c>
      <c r="AN5254">
        <v>0.99999997932552898</v>
      </c>
    </row>
    <row r="5255" spans="1:40" x14ac:dyDescent="0.25">
      <c r="A5255" t="str">
        <f>"20190312172813128"</f>
        <v>20190312172813128</v>
      </c>
      <c r="B5255" t="str">
        <f>"1552382893124638"</f>
        <v>1552382893124638</v>
      </c>
      <c r="C5255" t="s">
        <v>40</v>
      </c>
      <c r="D5255">
        <v>3.3932549999999999</v>
      </c>
      <c r="E5255">
        <v>0.48074800000000001</v>
      </c>
      <c r="F5255" t="s">
        <v>52</v>
      </c>
      <c r="G5255">
        <v>-298.98849999999999</v>
      </c>
      <c r="H5255" s="1">
        <v>-7.3790799999999997E-6</v>
      </c>
      <c r="I5255">
        <v>-52.589120000000001</v>
      </c>
      <c r="J5255">
        <v>-301.37040000000002</v>
      </c>
      <c r="K5255">
        <v>1.1121939999999999</v>
      </c>
      <c r="L5255">
        <v>-37.797669999999997</v>
      </c>
      <c r="M5255">
        <v>-1.9414049999999999E-2</v>
      </c>
      <c r="N5255">
        <v>0</v>
      </c>
      <c r="O5255">
        <v>-0.99971460000000001</v>
      </c>
      <c r="P5255">
        <v>0.11128830000000001</v>
      </c>
      <c r="Q5255">
        <v>0.1887857</v>
      </c>
      <c r="R5255">
        <v>-0.97569220000000001</v>
      </c>
      <c r="S5255">
        <v>0.4813538</v>
      </c>
      <c r="T5255">
        <v>-0.22506580000000001</v>
      </c>
      <c r="U5255">
        <v>-3.0617070000000002</v>
      </c>
      <c r="V5255">
        <v>-0.1310326</v>
      </c>
      <c r="W5255">
        <v>0.2017892</v>
      </c>
      <c r="X5255">
        <v>0.9706243</v>
      </c>
      <c r="Y5255">
        <v>-0.17405399999999999</v>
      </c>
      <c r="Z5255">
        <v>7.2290140000000003E-2</v>
      </c>
      <c r="AA5255">
        <v>0.98207909999999998</v>
      </c>
      <c r="AB5255">
        <v>24</v>
      </c>
      <c r="AC5255">
        <v>2.3819000000000199</v>
      </c>
      <c r="AD5255">
        <v>-1.1122013790799901</v>
      </c>
      <c r="AE5255">
        <v>-14.7914499999999</v>
      </c>
      <c r="AF5255">
        <v>-2.6540146158005902</v>
      </c>
      <c r="AG5255">
        <v>-1.1122013790799901</v>
      </c>
      <c r="AH5255">
        <v>14.6616153646368</v>
      </c>
      <c r="AI5255">
        <v>94.268922733901704</v>
      </c>
      <c r="AJ5255">
        <v>100.260453955668</v>
      </c>
      <c r="AK5255">
        <v>14.9413436674572</v>
      </c>
      <c r="AL5255">
        <v>78.358393623878001</v>
      </c>
      <c r="AM5255">
        <v>97.688350345818407</v>
      </c>
      <c r="AN5255">
        <v>0.99999997762494397</v>
      </c>
    </row>
    <row r="5256" spans="1:40" x14ac:dyDescent="0.25">
      <c r="A5256" t="str">
        <f>"20190312172813161"</f>
        <v>20190312172813161</v>
      </c>
      <c r="B5256" t="str">
        <f>"1552382893154895"</f>
        <v>1552382893154895</v>
      </c>
      <c r="C5256" t="s">
        <v>40</v>
      </c>
      <c r="D5256">
        <v>3.3449110000000002</v>
      </c>
      <c r="E5256">
        <v>0.48096420000000001</v>
      </c>
      <c r="F5256" t="s">
        <v>52</v>
      </c>
      <c r="G5256">
        <v>-298.81790000000001</v>
      </c>
      <c r="H5256" s="1">
        <v>-7.3456889999999997E-6</v>
      </c>
      <c r="I5256">
        <v>-53.418430000000001</v>
      </c>
      <c r="J5256">
        <v>-301.3725</v>
      </c>
      <c r="K5256">
        <v>1.112425</v>
      </c>
      <c r="L5256">
        <v>-38.154719999999998</v>
      </c>
      <c r="M5256">
        <v>-1.534636E-2</v>
      </c>
      <c r="N5256">
        <v>0</v>
      </c>
      <c r="O5256">
        <v>-0.99978299999999998</v>
      </c>
      <c r="P5256">
        <v>0.1194963</v>
      </c>
      <c r="Q5256">
        <v>0.18989780000000001</v>
      </c>
      <c r="R5256">
        <v>-0.97450479999999995</v>
      </c>
      <c r="S5256">
        <v>0.5</v>
      </c>
      <c r="T5256">
        <v>-0.21786369999999999</v>
      </c>
      <c r="U5256">
        <v>-3.0598749999999999</v>
      </c>
      <c r="V5256">
        <v>-0.1353654</v>
      </c>
      <c r="W5256">
        <v>0.20298240000000001</v>
      </c>
      <c r="X5256">
        <v>0.96978059999999999</v>
      </c>
      <c r="Y5256">
        <v>-0.17599870000000001</v>
      </c>
      <c r="Z5256">
        <v>6.9991629999999999E-2</v>
      </c>
      <c r="AA5256">
        <v>0.98189899999999997</v>
      </c>
      <c r="AB5256">
        <v>24</v>
      </c>
      <c r="AC5256">
        <v>2.55459999999999</v>
      </c>
      <c r="AD5256">
        <v>-1.112432345689</v>
      </c>
      <c r="AE5256">
        <v>-15.26371</v>
      </c>
      <c r="AF5256">
        <v>-2.7742305906302098</v>
      </c>
      <c r="AG5256">
        <v>-1.112432345689</v>
      </c>
      <c r="AH5256">
        <v>15.1444547005801</v>
      </c>
      <c r="AI5256">
        <v>94.132581624304194</v>
      </c>
      <c r="AJ5256">
        <v>100.38061187200699</v>
      </c>
      <c r="AK5256">
        <v>15.4365918930198</v>
      </c>
      <c r="AL5256">
        <v>78.288584248830205</v>
      </c>
      <c r="AM5256">
        <v>97.946205818524803</v>
      </c>
      <c r="AN5256">
        <v>1.00000002918163</v>
      </c>
    </row>
    <row r="5257" spans="1:40" x14ac:dyDescent="0.25">
      <c r="A5257" t="str">
        <f>"20190312172813195"</f>
        <v>20190312172813195</v>
      </c>
      <c r="B5257" t="str">
        <f>"1552382893185150"</f>
        <v>1552382893185150</v>
      </c>
      <c r="C5257" t="s">
        <v>40</v>
      </c>
      <c r="D5257">
        <v>3.3416709999999998</v>
      </c>
      <c r="E5257">
        <v>0.48125370000000001</v>
      </c>
      <c r="F5257" t="s">
        <v>52</v>
      </c>
      <c r="G5257">
        <v>-298.69959999999998</v>
      </c>
      <c r="H5257" s="1">
        <v>-7.3460170000000003E-6</v>
      </c>
      <c r="I5257">
        <v>-53.784550000000003</v>
      </c>
      <c r="J5257">
        <v>-301.37270000000001</v>
      </c>
      <c r="K5257">
        <v>1.1126119999999999</v>
      </c>
      <c r="L5257">
        <v>-38.51773</v>
      </c>
      <c r="M5257">
        <v>-1.078661E-2</v>
      </c>
      <c r="N5257">
        <v>0</v>
      </c>
      <c r="O5257">
        <v>-0.99984019999999996</v>
      </c>
      <c r="P5257">
        <v>0.1281062</v>
      </c>
      <c r="Q5257">
        <v>0.19073390000000001</v>
      </c>
      <c r="R5257">
        <v>-0.97324710000000003</v>
      </c>
      <c r="S5257">
        <v>0.52273559999999997</v>
      </c>
      <c r="T5257">
        <v>-0.21756110000000001</v>
      </c>
      <c r="U5257">
        <v>-3.0567630000000001</v>
      </c>
      <c r="V5257">
        <v>-0.1396075</v>
      </c>
      <c r="W5257">
        <v>0.20388020000000001</v>
      </c>
      <c r="X5257">
        <v>0.96899049999999998</v>
      </c>
      <c r="Y5257">
        <v>-0.1787734</v>
      </c>
      <c r="Z5257">
        <v>6.9911100000000004E-2</v>
      </c>
      <c r="AA5257">
        <v>0.98140340000000004</v>
      </c>
      <c r="AB5257">
        <v>24</v>
      </c>
      <c r="AC5257">
        <v>2.67310000000003</v>
      </c>
      <c r="AD5257">
        <v>-1.112619346017</v>
      </c>
      <c r="AE5257">
        <v>-15.266819999999999</v>
      </c>
      <c r="AF5257">
        <v>-2.8230903147786899</v>
      </c>
      <c r="AG5257">
        <v>-1.112619346017</v>
      </c>
      <c r="AH5257">
        <v>15.1589769216138</v>
      </c>
      <c r="AI5257">
        <v>94.127088507929898</v>
      </c>
      <c r="AJ5257">
        <v>100.54946914004</v>
      </c>
      <c r="AK5257">
        <v>15.4597005806888</v>
      </c>
      <c r="AL5257">
        <v>78.236044997934599</v>
      </c>
      <c r="AM5257">
        <v>98.198484398491104</v>
      </c>
      <c r="AN5257">
        <v>0.99999998954927005</v>
      </c>
    </row>
    <row r="5258" spans="1:40" x14ac:dyDescent="0.25">
      <c r="A5258" t="str">
        <f>"20190312172813230"</f>
        <v>20190312172813230</v>
      </c>
      <c r="B5258" t="str">
        <f>"1552382893225166"</f>
        <v>1552382893225166</v>
      </c>
      <c r="C5258" t="s">
        <v>40</v>
      </c>
      <c r="D5258">
        <v>3.4195679999999999</v>
      </c>
      <c r="E5258">
        <v>0.48142109999999999</v>
      </c>
      <c r="F5258" t="s">
        <v>52</v>
      </c>
      <c r="G5258">
        <v>-298.572</v>
      </c>
      <c r="H5258" s="1">
        <v>-7.3524939999999997E-6</v>
      </c>
      <c r="I5258">
        <v>-54.125419999999998</v>
      </c>
      <c r="J5258">
        <v>-301.37090000000001</v>
      </c>
      <c r="K5258">
        <v>1.112751</v>
      </c>
      <c r="L5258">
        <v>-38.876530000000002</v>
      </c>
      <c r="M5258">
        <v>-5.9154799999999999E-3</v>
      </c>
      <c r="N5258">
        <v>0</v>
      </c>
      <c r="O5258">
        <v>-0.99987919999999997</v>
      </c>
      <c r="P5258">
        <v>0.1369525</v>
      </c>
      <c r="Q5258">
        <v>0.19157170000000001</v>
      </c>
      <c r="R5258">
        <v>-0.97187699999999999</v>
      </c>
      <c r="S5258">
        <v>0.54785159999999999</v>
      </c>
      <c r="T5258">
        <v>-0.21763869999999999</v>
      </c>
      <c r="U5258">
        <v>-3.0530089999999999</v>
      </c>
      <c r="V5258">
        <v>-0.1437831</v>
      </c>
      <c r="W5258">
        <v>0.20475489999999999</v>
      </c>
      <c r="X5258">
        <v>0.96819509999999998</v>
      </c>
      <c r="Y5258">
        <v>-0.18201239999999999</v>
      </c>
      <c r="Z5258">
        <v>6.9954530000000001E-2</v>
      </c>
      <c r="AA5258">
        <v>0.98080469999999997</v>
      </c>
      <c r="AB5258">
        <v>24</v>
      </c>
      <c r="AC5258">
        <v>2.7989000000000002</v>
      </c>
      <c r="AD5258">
        <v>-1.1127583524939999</v>
      </c>
      <c r="AE5258">
        <v>-15.248889999999999</v>
      </c>
      <c r="AF5258">
        <v>-2.8742580559022501</v>
      </c>
      <c r="AG5258">
        <v>-1.1127583524939999</v>
      </c>
      <c r="AH5258">
        <v>15.1539985307513</v>
      </c>
      <c r="AI5258">
        <v>94.126386600947299</v>
      </c>
      <c r="AJ5258">
        <v>100.739714074465</v>
      </c>
      <c r="AK5258">
        <v>15.4642575635876</v>
      </c>
      <c r="AL5258">
        <v>78.184847896445405</v>
      </c>
      <c r="AM5258">
        <v>98.447049479489294</v>
      </c>
      <c r="AN5258">
        <v>0.99999995029181299</v>
      </c>
    </row>
    <row r="5259" spans="1:40" x14ac:dyDescent="0.25">
      <c r="A5259" t="str">
        <f>"20190312172813262"</f>
        <v>20190312172813262</v>
      </c>
      <c r="B5259" t="str">
        <f>"1552382893254446"</f>
        <v>1552382893254446</v>
      </c>
      <c r="C5259" t="s">
        <v>40</v>
      </c>
      <c r="D5259">
        <v>3.4077850000000001</v>
      </c>
      <c r="E5259">
        <v>0.4848729</v>
      </c>
      <c r="F5259" t="s">
        <v>52</v>
      </c>
      <c r="G5259">
        <v>-298.40519999999998</v>
      </c>
      <c r="H5259" s="1">
        <v>-7.3614910000000001E-6</v>
      </c>
      <c r="I5259">
        <v>-54.56588</v>
      </c>
      <c r="J5259">
        <v>-301.36680000000001</v>
      </c>
      <c r="K5259">
        <v>1.1128690000000001</v>
      </c>
      <c r="L5259">
        <v>-39.230069999999998</v>
      </c>
      <c r="M5259">
        <v>-8.1673679999999895E-4</v>
      </c>
      <c r="N5259">
        <v>0</v>
      </c>
      <c r="O5259">
        <v>-0.99989510000000004</v>
      </c>
      <c r="P5259">
        <v>0.14507809999999999</v>
      </c>
      <c r="Q5259">
        <v>0.1911755</v>
      </c>
      <c r="R5259">
        <v>-0.97077530000000001</v>
      </c>
      <c r="S5259">
        <v>0.5762024</v>
      </c>
      <c r="T5259">
        <v>-0.21619530000000001</v>
      </c>
      <c r="U5259">
        <v>-3.0482480000000001</v>
      </c>
      <c r="V5259">
        <v>-0.1470099</v>
      </c>
      <c r="W5259">
        <v>0.20438709999999999</v>
      </c>
      <c r="X5259">
        <v>0.96778819999999999</v>
      </c>
      <c r="Y5259">
        <v>-0.18609139999999999</v>
      </c>
      <c r="Z5259">
        <v>6.9516339999999996E-2</v>
      </c>
      <c r="AA5259">
        <v>0.98007010000000006</v>
      </c>
      <c r="AB5259">
        <v>24</v>
      </c>
      <c r="AC5259">
        <v>2.96160000000003</v>
      </c>
      <c r="AD5259">
        <v>-1.112876361491</v>
      </c>
      <c r="AE5259">
        <v>-15.33581</v>
      </c>
      <c r="AF5259">
        <v>-2.9591032659124901</v>
      </c>
      <c r="AG5259">
        <v>-1.112876361491</v>
      </c>
      <c r="AH5259">
        <v>15.2559365025375</v>
      </c>
      <c r="AI5259">
        <v>94.096097843601498</v>
      </c>
      <c r="AJ5259">
        <v>100.977016774018</v>
      </c>
      <c r="AK5259">
        <v>15.5800636874101</v>
      </c>
      <c r="AL5259">
        <v>78.206377158961601</v>
      </c>
      <c r="AM5259">
        <v>98.637368525646906</v>
      </c>
      <c r="AN5259">
        <v>0.99999999870182998</v>
      </c>
    </row>
    <row r="5260" spans="1:40" x14ac:dyDescent="0.25">
      <c r="A5260" t="str">
        <f>"20190312172813297"</f>
        <v>20190312172813297</v>
      </c>
      <c r="B5260" t="str">
        <f>"1552382893294461"</f>
        <v>1552382893294461</v>
      </c>
      <c r="C5260" t="s">
        <v>40</v>
      </c>
      <c r="D5260">
        <v>3.3857249999999999</v>
      </c>
      <c r="E5260">
        <v>0.48645159999999998</v>
      </c>
      <c r="F5260" t="s">
        <v>52</v>
      </c>
      <c r="G5260">
        <v>-298.86759999999998</v>
      </c>
      <c r="H5260" s="1">
        <v>-7.4312860000000004E-6</v>
      </c>
      <c r="I5260">
        <v>-52.50226</v>
      </c>
      <c r="J5260">
        <v>-301.36040000000003</v>
      </c>
      <c r="K5260">
        <v>1.1129639999999901</v>
      </c>
      <c r="L5260">
        <v>-39.598970000000001</v>
      </c>
      <c r="M5260">
        <v>4.7604960000000003E-3</v>
      </c>
      <c r="N5260">
        <v>0</v>
      </c>
      <c r="O5260">
        <v>-0.99988310000000002</v>
      </c>
      <c r="P5260">
        <v>0.1540165</v>
      </c>
      <c r="Q5260">
        <v>0.19167799999999999</v>
      </c>
      <c r="R5260">
        <v>-0.96929829999999995</v>
      </c>
      <c r="S5260">
        <v>0.57522580000000001</v>
      </c>
      <c r="T5260">
        <v>-0.25614419999999999</v>
      </c>
      <c r="U5260">
        <v>-3.0547789999999999</v>
      </c>
      <c r="V5260">
        <v>-0.15059</v>
      </c>
      <c r="W5260">
        <v>0.20490050000000001</v>
      </c>
      <c r="X5260">
        <v>0.96712900000000002</v>
      </c>
      <c r="Y5260">
        <v>-0.17974499999999999</v>
      </c>
      <c r="Z5260">
        <v>8.2158330000000002E-2</v>
      </c>
      <c r="AA5260">
        <v>0.98027629999999999</v>
      </c>
      <c r="AB5260">
        <v>24</v>
      </c>
      <c r="AC5260">
        <v>2.4928000000000399</v>
      </c>
      <c r="AD5260">
        <v>-1.11297143128599</v>
      </c>
      <c r="AE5260">
        <v>-12.903289999999901</v>
      </c>
      <c r="AF5260">
        <v>-2.41402529726003</v>
      </c>
      <c r="AG5260">
        <v>-1.11297143128599</v>
      </c>
      <c r="AH5260">
        <v>12.8230423800068</v>
      </c>
      <c r="AI5260">
        <v>94.875319072490299</v>
      </c>
      <c r="AJ5260">
        <v>100.661539927974</v>
      </c>
      <c r="AK5260">
        <v>13.0956725456206</v>
      </c>
      <c r="AL5260">
        <v>78.176325916777003</v>
      </c>
      <c r="AM5260">
        <v>98.850358488379101</v>
      </c>
      <c r="AN5260">
        <v>1.00000003282062</v>
      </c>
    </row>
    <row r="5261" spans="1:40" x14ac:dyDescent="0.25">
      <c r="A5261" t="str">
        <f>"20190312172813329"</f>
        <v>20190312172813329</v>
      </c>
      <c r="B5261" t="str">
        <f>"1552382893324719"</f>
        <v>1552382893324719</v>
      </c>
      <c r="C5261" t="s">
        <v>40</v>
      </c>
      <c r="D5261">
        <v>3.3851420000000001</v>
      </c>
      <c r="E5261">
        <v>0.48701080000000002</v>
      </c>
      <c r="F5261" t="s">
        <v>52</v>
      </c>
      <c r="G5261">
        <v>-298.81900000000002</v>
      </c>
      <c r="H5261" s="1">
        <v>-7.4229870000000002E-6</v>
      </c>
      <c r="I5261">
        <v>-52.727800000000002</v>
      </c>
      <c r="J5261">
        <v>-301.35250000000002</v>
      </c>
      <c r="K5261">
        <v>1.113027</v>
      </c>
      <c r="L5261">
        <v>-39.9375</v>
      </c>
      <c r="M5261">
        <v>1.0119899999999999E-2</v>
      </c>
      <c r="N5261">
        <v>0</v>
      </c>
      <c r="O5261">
        <v>-0.99984229999999996</v>
      </c>
      <c r="P5261">
        <v>0.16167190000000001</v>
      </c>
      <c r="Q5261">
        <v>0.19202630000000001</v>
      </c>
      <c r="R5261">
        <v>-0.96798169999999994</v>
      </c>
      <c r="S5261">
        <v>0.59085080000000001</v>
      </c>
      <c r="T5261">
        <v>-0.25875340000000002</v>
      </c>
      <c r="U5261">
        <v>-3.0523069999999999</v>
      </c>
      <c r="V5261">
        <v>-0.1531005</v>
      </c>
      <c r="W5261">
        <v>0.20525379999999999</v>
      </c>
      <c r="X5261">
        <v>0.96665979999999996</v>
      </c>
      <c r="Y5261">
        <v>-0.1794453</v>
      </c>
      <c r="Z5261">
        <v>8.3013149999999994E-2</v>
      </c>
      <c r="AA5261">
        <v>0.9802592</v>
      </c>
      <c r="AB5261">
        <v>24</v>
      </c>
      <c r="AC5261">
        <v>2.5335000000000001</v>
      </c>
      <c r="AD5261">
        <v>-1.1130344229869999</v>
      </c>
      <c r="AE5261">
        <v>-12.7903</v>
      </c>
      <c r="AF5261">
        <v>-2.38652953826112</v>
      </c>
      <c r="AG5261">
        <v>-1.1130344229869999</v>
      </c>
      <c r="AH5261">
        <v>12.7225784755089</v>
      </c>
      <c r="AI5261">
        <v>94.914504831156407</v>
      </c>
      <c r="AJ5261">
        <v>100.624206179034</v>
      </c>
      <c r="AK5261">
        <v>12.9922427597867</v>
      </c>
      <c r="AL5261">
        <v>78.155643668220705</v>
      </c>
      <c r="AM5261">
        <v>98.999805060307807</v>
      </c>
      <c r="AN5261">
        <v>1.00000002722536</v>
      </c>
    </row>
    <row r="5262" spans="1:40" x14ac:dyDescent="0.25">
      <c r="A5262" t="str">
        <f>"20190312172813362"</f>
        <v>20190312172813362</v>
      </c>
      <c r="B5262" t="str">
        <f>"1552382893354974"</f>
        <v>1552382893354974</v>
      </c>
      <c r="C5262" t="s">
        <v>40</v>
      </c>
      <c r="D5262">
        <v>3.3760919999999999</v>
      </c>
      <c r="E5262">
        <v>0.48285509999999898</v>
      </c>
      <c r="F5262" t="s">
        <v>52</v>
      </c>
      <c r="G5262">
        <v>-298.72129999999999</v>
      </c>
      <c r="H5262" s="1">
        <v>-7.4217030000000003E-6</v>
      </c>
      <c r="I5262">
        <v>-53.0441199999999</v>
      </c>
      <c r="J5262">
        <v>-301.34190000000001</v>
      </c>
      <c r="K5262">
        <v>1.1131329999999999</v>
      </c>
      <c r="L5262">
        <v>-40.287350000000004</v>
      </c>
      <c r="M5262">
        <v>1.5906469999999999E-2</v>
      </c>
      <c r="N5262">
        <v>0</v>
      </c>
      <c r="O5262">
        <v>-0.9997663</v>
      </c>
      <c r="P5262">
        <v>0.168506399999999</v>
      </c>
      <c r="Q5262">
        <v>0.19349659999999999</v>
      </c>
      <c r="R5262">
        <v>-0.96652210000000005</v>
      </c>
      <c r="S5262">
        <v>0.61196899999999999</v>
      </c>
      <c r="T5262">
        <v>-0.2588724</v>
      </c>
      <c r="U5262">
        <v>-3.0483699999999998</v>
      </c>
      <c r="V5262">
        <v>-0.15439459999999999</v>
      </c>
      <c r="W5262">
        <v>0.20672460000000001</v>
      </c>
      <c r="X5262">
        <v>0.96614040000000001</v>
      </c>
      <c r="Y5262">
        <v>-0.18052380000000001</v>
      </c>
      <c r="Z5262">
        <v>8.3083169999999998E-2</v>
      </c>
      <c r="AA5262">
        <v>0.98005529999999996</v>
      </c>
      <c r="AB5262">
        <v>24</v>
      </c>
      <c r="AC5262">
        <v>2.62060000000002</v>
      </c>
      <c r="AD5262">
        <v>-1.1131404217030001</v>
      </c>
      <c r="AE5262">
        <v>-12.7567699999999</v>
      </c>
      <c r="AF5262">
        <v>-2.39979902962284</v>
      </c>
      <c r="AG5262">
        <v>-1.1131404217030001</v>
      </c>
      <c r="AH5262">
        <v>12.704031717137999</v>
      </c>
      <c r="AI5262">
        <v>94.920936976231502</v>
      </c>
      <c r="AJ5262">
        <v>100.69715781389399</v>
      </c>
      <c r="AK5262">
        <v>12.976538014858001</v>
      </c>
      <c r="AL5262">
        <v>78.069525999554997</v>
      </c>
      <c r="AM5262">
        <v>99.079413637364894</v>
      </c>
      <c r="AN5262">
        <v>1.00000001263324</v>
      </c>
    </row>
    <row r="5263" spans="1:40" x14ac:dyDescent="0.25">
      <c r="A5263" t="str">
        <f>"20190312172813396"</f>
        <v>20190312172813396</v>
      </c>
      <c r="B5263" t="str">
        <f>"1552382893385230"</f>
        <v>1552382893385230</v>
      </c>
      <c r="C5263" t="s">
        <v>40</v>
      </c>
      <c r="D5263">
        <v>3.2587100000000002</v>
      </c>
      <c r="E5263">
        <v>0.4756378</v>
      </c>
      <c r="F5263" t="s">
        <v>52</v>
      </c>
      <c r="G5263">
        <v>-298.45740000000001</v>
      </c>
      <c r="H5263" s="1">
        <v>-7.4743550000000002E-6</v>
      </c>
      <c r="I5263">
        <v>-53.399470000000001</v>
      </c>
      <c r="J5263">
        <v>-301.32900000000001</v>
      </c>
      <c r="K5263">
        <v>1.1132489999999999</v>
      </c>
      <c r="L5263">
        <v>-40.641269999999999</v>
      </c>
      <c r="M5263">
        <v>2.1997590000000001E-2</v>
      </c>
      <c r="N5263">
        <v>0</v>
      </c>
      <c r="O5263">
        <v>-0.99965020000000004</v>
      </c>
      <c r="P5263">
        <v>0.1749589</v>
      </c>
      <c r="Q5263">
        <v>0.1960527</v>
      </c>
      <c r="R5263">
        <v>-0.96485909999999997</v>
      </c>
      <c r="S5263">
        <v>0.66854859999999905</v>
      </c>
      <c r="T5263">
        <v>-0.25799319999999998</v>
      </c>
      <c r="U5263">
        <v>-3.0390009999999998</v>
      </c>
      <c r="V5263">
        <v>-0.1550356</v>
      </c>
      <c r="W5263">
        <v>0.2092735</v>
      </c>
      <c r="X5263">
        <v>0.96548880000000004</v>
      </c>
      <c r="Y5263">
        <v>-0.1925769</v>
      </c>
      <c r="Z5263">
        <v>8.2785070000000002E-2</v>
      </c>
      <c r="AA5263">
        <v>0.97778359999999997</v>
      </c>
      <c r="AB5263">
        <v>24</v>
      </c>
      <c r="AC5263">
        <v>2.8715999999999999</v>
      </c>
      <c r="AD5263">
        <v>-1.113256474355</v>
      </c>
      <c r="AE5263">
        <v>-12.758199999999899</v>
      </c>
      <c r="AF5263">
        <v>-2.5715891613106399</v>
      </c>
      <c r="AG5263">
        <v>-1.113256474355</v>
      </c>
      <c r="AH5263">
        <v>12.726063372279899</v>
      </c>
      <c r="AI5263">
        <v>94.900858994026194</v>
      </c>
      <c r="AJ5263">
        <v>101.42407264511</v>
      </c>
      <c r="AK5263">
        <v>13.030928583472001</v>
      </c>
      <c r="AL5263">
        <v>77.920219459246397</v>
      </c>
      <c r="AM5263">
        <v>99.122526121328605</v>
      </c>
      <c r="AN5263">
        <v>1.0000000289975199</v>
      </c>
    </row>
    <row r="5264" spans="1:40" x14ac:dyDescent="0.25">
      <c r="A5264" t="str">
        <f>"20190312172813430"</f>
        <v>20190312172813430</v>
      </c>
      <c r="B5264" t="str">
        <f>"1552382893425245"</f>
        <v>1552382893425245</v>
      </c>
      <c r="C5264" t="s">
        <v>40</v>
      </c>
      <c r="D5264">
        <v>3.2984290000000001</v>
      </c>
      <c r="E5264">
        <v>0.47314339999999999</v>
      </c>
      <c r="F5264" t="s">
        <v>52</v>
      </c>
      <c r="G5264">
        <v>-297.78879999999998</v>
      </c>
      <c r="H5264" s="1">
        <v>-7.5354519999999996E-6</v>
      </c>
      <c r="I5264">
        <v>-54.942880000000002</v>
      </c>
      <c r="J5264">
        <v>-301.31380000000001</v>
      </c>
      <c r="K5264">
        <v>1.1133630000000001</v>
      </c>
      <c r="L5264">
        <v>-40.990540000000003</v>
      </c>
      <c r="M5264">
        <v>2.8283610000000001E-2</v>
      </c>
      <c r="N5264">
        <v>0</v>
      </c>
      <c r="O5264">
        <v>-0.99949149999999998</v>
      </c>
      <c r="P5264">
        <v>0.18080299999999999</v>
      </c>
      <c r="Q5264">
        <v>0.1976784</v>
      </c>
      <c r="R5264">
        <v>-0.96344879999999999</v>
      </c>
      <c r="S5264">
        <v>0.74792479999999995</v>
      </c>
      <c r="T5264">
        <v>-0.23519399999999999</v>
      </c>
      <c r="U5264">
        <v>-3.0214539999999999</v>
      </c>
      <c r="V5264">
        <v>-0.1548862</v>
      </c>
      <c r="W5264">
        <v>0.21088979999999999</v>
      </c>
      <c r="X5264">
        <v>0.96516100000000005</v>
      </c>
      <c r="Y5264">
        <v>-0.2120456</v>
      </c>
      <c r="Z5264">
        <v>7.5544799999999995E-2</v>
      </c>
      <c r="AA5264">
        <v>0.97433550000000002</v>
      </c>
      <c r="AB5264">
        <v>24</v>
      </c>
      <c r="AC5264">
        <v>3.5250000000000301</v>
      </c>
      <c r="AD5264">
        <v>-1.1133705354519901</v>
      </c>
      <c r="AE5264">
        <v>-13.95234</v>
      </c>
      <c r="AF5264">
        <v>-3.1103068679815</v>
      </c>
      <c r="AG5264">
        <v>-1.1133705354519901</v>
      </c>
      <c r="AH5264">
        <v>13.9628902041924</v>
      </c>
      <c r="AI5264">
        <v>94.450372672529099</v>
      </c>
      <c r="AJ5264">
        <v>102.557906576279</v>
      </c>
      <c r="AK5264">
        <v>14.3483764104709</v>
      </c>
      <c r="AL5264">
        <v>77.825498106400502</v>
      </c>
      <c r="AM5264">
        <v>99.116926205033295</v>
      </c>
      <c r="AN5264">
        <v>0.99999999930773997</v>
      </c>
    </row>
    <row r="5265" spans="1:40" x14ac:dyDescent="0.25">
      <c r="A5265" t="str">
        <f>"20190312172813463"</f>
        <v>20190312172813463</v>
      </c>
      <c r="B5265" t="str">
        <f>"1552382893454526"</f>
        <v>1552382893454526</v>
      </c>
      <c r="C5265" t="s">
        <v>40</v>
      </c>
      <c r="D5265">
        <v>3.3810159999999998</v>
      </c>
      <c r="E5265">
        <v>0.47217209999999898</v>
      </c>
      <c r="F5265" t="s">
        <v>52</v>
      </c>
      <c r="G5265">
        <v>-297.40660000000003</v>
      </c>
      <c r="H5265" s="1">
        <v>-7.5610399999999902E-6</v>
      </c>
      <c r="I5265">
        <v>-55.907989999999998</v>
      </c>
      <c r="J5265">
        <v>-301.29610000000002</v>
      </c>
      <c r="K5265">
        <v>1.113497</v>
      </c>
      <c r="L5265">
        <v>-41.337980000000002</v>
      </c>
      <c r="M5265">
        <v>3.4842230000000002E-2</v>
      </c>
      <c r="N5265">
        <v>0</v>
      </c>
      <c r="O5265">
        <v>-0.99928399999999995</v>
      </c>
      <c r="P5265">
        <v>0.18731680000000001</v>
      </c>
      <c r="Q5265">
        <v>0.19749420000000001</v>
      </c>
      <c r="R5265">
        <v>-0.96224149999999997</v>
      </c>
      <c r="S5265">
        <v>0.78887940000000001</v>
      </c>
      <c r="T5265">
        <v>-0.22479460000000001</v>
      </c>
      <c r="U5265">
        <v>-3.0119020000000001</v>
      </c>
      <c r="V5265">
        <v>-0.15513650000000001</v>
      </c>
      <c r="W5265">
        <v>0.2106903</v>
      </c>
      <c r="X5265">
        <v>0.96516440000000003</v>
      </c>
      <c r="Y5265">
        <v>-0.21884960000000001</v>
      </c>
      <c r="Z5265">
        <v>7.2247240000000004E-2</v>
      </c>
      <c r="AA5265">
        <v>0.97308030000000001</v>
      </c>
      <c r="AB5265">
        <v>24</v>
      </c>
      <c r="AC5265">
        <v>3.8894999999999902</v>
      </c>
      <c r="AD5265">
        <v>-1.1135045610400001</v>
      </c>
      <c r="AE5265">
        <v>-14.57001</v>
      </c>
      <c r="AF5265">
        <v>-3.3611057631855101</v>
      </c>
      <c r="AG5265">
        <v>-1.1135045610400001</v>
      </c>
      <c r="AH5265">
        <v>14.617001015916699</v>
      </c>
      <c r="AI5265">
        <v>94.245921914605901</v>
      </c>
      <c r="AJ5265">
        <v>102.949769542797</v>
      </c>
      <c r="AK5265">
        <v>15.039735471679201</v>
      </c>
      <c r="AL5265">
        <v>77.837191694872004</v>
      </c>
      <c r="AM5265">
        <v>99.131379741046004</v>
      </c>
      <c r="AN5265">
        <v>1.0000000275868399</v>
      </c>
    </row>
    <row r="5266" spans="1:40" x14ac:dyDescent="0.25">
      <c r="A5266" t="str">
        <f>"20190312172813497"</f>
        <v>20190312172813497</v>
      </c>
      <c r="B5266" t="str">
        <f>"1552382893494543"</f>
        <v>1552382893494543</v>
      </c>
      <c r="C5266" t="s">
        <v>40</v>
      </c>
      <c r="D5266">
        <v>3.326505</v>
      </c>
      <c r="E5266">
        <v>0.4718253</v>
      </c>
      <c r="F5266" t="s">
        <v>52</v>
      </c>
      <c r="G5266">
        <v>-297.32100000000003</v>
      </c>
      <c r="H5266" s="1">
        <v>-7.5895909999999997E-6</v>
      </c>
      <c r="I5266">
        <v>-55.921230000000001</v>
      </c>
      <c r="J5266">
        <v>-301.27519999999998</v>
      </c>
      <c r="K5266">
        <v>1.1136410000000001</v>
      </c>
      <c r="L5266">
        <v>-41.691989999999997</v>
      </c>
      <c r="M5266">
        <v>4.1868530000000001E-2</v>
      </c>
      <c r="N5266">
        <v>0</v>
      </c>
      <c r="O5266">
        <v>-0.9990137</v>
      </c>
      <c r="P5266">
        <v>0.19369500000000001</v>
      </c>
      <c r="Q5266">
        <v>0.19867109999999999</v>
      </c>
      <c r="R5266">
        <v>-0.96073509999999995</v>
      </c>
      <c r="S5266">
        <v>0.81918329999999995</v>
      </c>
      <c r="T5266">
        <v>-0.22947290000000001</v>
      </c>
      <c r="U5266">
        <v>-3.005341</v>
      </c>
      <c r="V5266">
        <v>-0.15483469999999999</v>
      </c>
      <c r="W5266">
        <v>0.21184239999999999</v>
      </c>
      <c r="X5266">
        <v>0.96496059999999995</v>
      </c>
      <c r="Y5266">
        <v>-0.22163620000000001</v>
      </c>
      <c r="Z5266">
        <v>7.3749750000000003E-2</v>
      </c>
      <c r="AA5266">
        <v>0.97233650000000005</v>
      </c>
      <c r="AB5266">
        <v>23</v>
      </c>
      <c r="AC5266">
        <v>3.9542000000000099</v>
      </c>
      <c r="AD5266">
        <v>-1.11364858959099</v>
      </c>
      <c r="AE5266">
        <v>-14.2292399999999</v>
      </c>
      <c r="AF5266">
        <v>-3.3359403837764199</v>
      </c>
      <c r="AG5266">
        <v>-1.11364858959099</v>
      </c>
      <c r="AH5266">
        <v>14.301015392960201</v>
      </c>
      <c r="AI5266">
        <v>94.336786665694504</v>
      </c>
      <c r="AJ5266">
        <v>103.130362496139</v>
      </c>
      <c r="AK5266">
        <v>14.727109448051699</v>
      </c>
      <c r="AL5266">
        <v>77.769656188385099</v>
      </c>
      <c r="AM5266">
        <v>99.115806671639803</v>
      </c>
      <c r="AN5266">
        <v>0.99999997315710398</v>
      </c>
    </row>
    <row r="5267" spans="1:40" x14ac:dyDescent="0.25">
      <c r="A5267" t="str">
        <f>"20190312172813530"</f>
        <v>20190312172813530</v>
      </c>
      <c r="B5267" t="str">
        <f>"1552382893524798"</f>
        <v>1552382893524798</v>
      </c>
      <c r="C5267" t="s">
        <v>40</v>
      </c>
      <c r="D5267">
        <v>3.439044</v>
      </c>
      <c r="E5267">
        <v>0.4720762</v>
      </c>
      <c r="F5267" t="s">
        <v>52</v>
      </c>
      <c r="G5267">
        <v>-297.18389999999999</v>
      </c>
      <c r="H5267" s="1">
        <v>-7.603903E-6</v>
      </c>
      <c r="I5267">
        <v>-56.222050000000003</v>
      </c>
      <c r="J5267">
        <v>-301.25240000000002</v>
      </c>
      <c r="K5267">
        <v>1.1137870000000001</v>
      </c>
      <c r="L5267">
        <v>-42.033999999999999</v>
      </c>
      <c r="M5267">
        <v>4.906692E-2</v>
      </c>
      <c r="N5267">
        <v>0</v>
      </c>
      <c r="O5267">
        <v>-0.99868579999999996</v>
      </c>
      <c r="P5267">
        <v>0.1985856</v>
      </c>
      <c r="Q5267">
        <v>0.19883590000000001</v>
      </c>
      <c r="R5267">
        <v>-0.95970200000000006</v>
      </c>
      <c r="S5267">
        <v>0.844695999999999</v>
      </c>
      <c r="T5267">
        <v>-0.22992180000000001</v>
      </c>
      <c r="U5267">
        <v>-2.9998469999999999</v>
      </c>
      <c r="V5267">
        <v>-0.15287429999999999</v>
      </c>
      <c r="W5267">
        <v>0.2119897</v>
      </c>
      <c r="X5267">
        <v>0.96524080000000001</v>
      </c>
      <c r="Y5267">
        <v>-0.2227374</v>
      </c>
      <c r="Z5267">
        <v>7.3895009999999997E-2</v>
      </c>
      <c r="AA5267">
        <v>0.97207390000000005</v>
      </c>
      <c r="AB5267">
        <v>23</v>
      </c>
      <c r="AC5267">
        <v>4.0685000000000198</v>
      </c>
      <c r="AD5267">
        <v>-1.113794603903</v>
      </c>
      <c r="AE5267">
        <v>-14.18805</v>
      </c>
      <c r="AF5267">
        <v>-3.3482917785787998</v>
      </c>
      <c r="AG5267">
        <v>-1.113794603903</v>
      </c>
      <c r="AH5267">
        <v>14.289239058551701</v>
      </c>
      <c r="AI5267">
        <v>94.339901264723096</v>
      </c>
      <c r="AJ5267">
        <v>103.18776520926301</v>
      </c>
      <c r="AK5267">
        <v>14.718490042345399</v>
      </c>
      <c r="AL5267">
        <v>77.761020631968293</v>
      </c>
      <c r="AM5267">
        <v>98.999720665727807</v>
      </c>
      <c r="AN5267">
        <v>0.99999999324560995</v>
      </c>
    </row>
    <row r="5268" spans="1:40" x14ac:dyDescent="0.25">
      <c r="A5268" t="str">
        <f>"20190312172813563"</f>
        <v>20190312172813563</v>
      </c>
      <c r="B5268" t="str">
        <f>"1552382893555054"</f>
        <v>1552382893555054</v>
      </c>
      <c r="C5268" t="s">
        <v>40</v>
      </c>
      <c r="D5268">
        <v>3.641197</v>
      </c>
      <c r="E5268">
        <v>0.47273140000000002</v>
      </c>
      <c r="F5268" t="s">
        <v>52</v>
      </c>
      <c r="G5268">
        <v>-297.11419999999998</v>
      </c>
      <c r="H5268" s="1">
        <v>-7.6050029999999999E-6</v>
      </c>
      <c r="I5268">
        <v>-56.429690000000001</v>
      </c>
      <c r="J5268">
        <v>-301.22629999999998</v>
      </c>
      <c r="K5268">
        <v>1.1139589999999999</v>
      </c>
      <c r="L5268">
        <v>-42.377989999999997</v>
      </c>
      <c r="M5268">
        <v>5.675881E-2</v>
      </c>
      <c r="N5268">
        <v>0</v>
      </c>
      <c r="O5268">
        <v>-0.99827770000000005</v>
      </c>
      <c r="P5268">
        <v>0.20550479999999999</v>
      </c>
      <c r="Q5268">
        <v>0.1976639</v>
      </c>
      <c r="R5268">
        <v>-0.95848679999999997</v>
      </c>
      <c r="S5268">
        <v>0.86117549999999898</v>
      </c>
      <c r="T5268">
        <v>-0.2317842</v>
      </c>
      <c r="U5268">
        <v>-2.9957889999999998</v>
      </c>
      <c r="V5268">
        <v>-0.15247169999999999</v>
      </c>
      <c r="W5268">
        <v>0.21078350000000001</v>
      </c>
      <c r="X5268">
        <v>0.9655686</v>
      </c>
      <c r="Y5268">
        <v>-0.22050539999999999</v>
      </c>
      <c r="Z5268">
        <v>7.4505299999999997E-2</v>
      </c>
      <c r="AA5268">
        <v>0.97253599999999996</v>
      </c>
      <c r="AB5268">
        <v>23</v>
      </c>
      <c r="AC5268">
        <v>4.1120999999999901</v>
      </c>
      <c r="AD5268">
        <v>-1.1139666050029999</v>
      </c>
      <c r="AE5268">
        <v>-14.051699999999901</v>
      </c>
      <c r="AF5268">
        <v>-3.2887852775913702</v>
      </c>
      <c r="AG5268">
        <v>-1.1139666050029999</v>
      </c>
      <c r="AH5268">
        <v>14.1803763465657</v>
      </c>
      <c r="AI5268">
        <v>94.376072791890806</v>
      </c>
      <c r="AJ5268">
        <v>103.057479037071</v>
      </c>
      <c r="AK5268">
        <v>14.5993185981197</v>
      </c>
      <c r="AL5268">
        <v>77.831728863211396</v>
      </c>
      <c r="AM5268">
        <v>98.973408202763594</v>
      </c>
      <c r="AN5268">
        <v>1.00000001223954</v>
      </c>
    </row>
    <row r="5269" spans="1:40" x14ac:dyDescent="0.25">
      <c r="A5269" t="str">
        <f>"20190312172813597"</f>
        <v>20190312172813597</v>
      </c>
      <c r="B5269" t="str">
        <f>"1552382893595070"</f>
        <v>1552382893595070</v>
      </c>
      <c r="C5269" t="s">
        <v>40</v>
      </c>
      <c r="D5269">
        <v>3.4200620000000002</v>
      </c>
      <c r="E5269">
        <v>0.47337010000000002</v>
      </c>
      <c r="F5269" t="s">
        <v>52</v>
      </c>
      <c r="G5269">
        <v>-297.10129999999998</v>
      </c>
      <c r="H5269" s="1">
        <v>-7.6091690000000001E-6</v>
      </c>
      <c r="I5269">
        <v>-56.432780000000001</v>
      </c>
      <c r="J5269">
        <v>-301.19720000000001</v>
      </c>
      <c r="K5269">
        <v>1.114123</v>
      </c>
      <c r="L5269">
        <v>-42.71716</v>
      </c>
      <c r="M5269">
        <v>6.4817230000000003E-2</v>
      </c>
      <c r="N5269">
        <v>0</v>
      </c>
      <c r="O5269">
        <v>-0.99778679999999997</v>
      </c>
      <c r="P5269">
        <v>0.2137973</v>
      </c>
      <c r="Q5269">
        <v>0.19713030000000001</v>
      </c>
      <c r="R5269">
        <v>-0.95678149999999995</v>
      </c>
      <c r="S5269">
        <v>0.8777161</v>
      </c>
      <c r="T5269">
        <v>-0.23703399999999999</v>
      </c>
      <c r="U5269">
        <v>-2.990631</v>
      </c>
      <c r="V5269">
        <v>-0.1531226</v>
      </c>
      <c r="W5269">
        <v>0.21020040000000001</v>
      </c>
      <c r="X5269">
        <v>0.96559269999999997</v>
      </c>
      <c r="Y5269">
        <v>-0.217999</v>
      </c>
      <c r="Z5269">
        <v>7.6216290000000006E-2</v>
      </c>
      <c r="AA5269">
        <v>0.97296839999999996</v>
      </c>
      <c r="AB5269">
        <v>23</v>
      </c>
      <c r="AC5269">
        <v>4.0959000000000199</v>
      </c>
      <c r="AD5269">
        <v>-1.114130609169</v>
      </c>
      <c r="AE5269">
        <v>-13.715619999999999</v>
      </c>
      <c r="AF5269">
        <v>-3.17892019528461</v>
      </c>
      <c r="AG5269">
        <v>-1.114130609169</v>
      </c>
      <c r="AH5269">
        <v>13.868269542102301</v>
      </c>
      <c r="AI5269">
        <v>94.477454962018598</v>
      </c>
      <c r="AJ5269">
        <v>102.910451090062</v>
      </c>
      <c r="AK5269">
        <v>14.2715002965588</v>
      </c>
      <c r="AL5269">
        <v>77.865903555300207</v>
      </c>
      <c r="AM5269">
        <v>99.010867101656899</v>
      </c>
      <c r="AN5269">
        <v>1.0000000005420999</v>
      </c>
    </row>
    <row r="5270" spans="1:40" x14ac:dyDescent="0.25">
      <c r="A5270" t="str">
        <f>"20190312172813631"</f>
        <v>20190312172813631</v>
      </c>
      <c r="B5270" t="str">
        <f>"1552382893625326"</f>
        <v>1552382893625326</v>
      </c>
      <c r="C5270" t="s">
        <v>40</v>
      </c>
      <c r="D5270">
        <v>3.314651</v>
      </c>
      <c r="E5270">
        <v>0.4737712</v>
      </c>
      <c r="F5270" t="s">
        <v>52</v>
      </c>
      <c r="G5270">
        <v>-297.05790000000002</v>
      </c>
      <c r="H5270" s="1">
        <v>-7.6219160000000003E-6</v>
      </c>
      <c r="I5270">
        <v>-56.45514</v>
      </c>
      <c r="J5270">
        <v>-301.1644</v>
      </c>
      <c r="K5270">
        <v>1.1143289999999999</v>
      </c>
      <c r="L5270">
        <v>-43.06165</v>
      </c>
      <c r="M5270">
        <v>7.3542860000000002E-2</v>
      </c>
      <c r="N5270">
        <v>0</v>
      </c>
      <c r="O5270">
        <v>-0.99718099999999998</v>
      </c>
      <c r="P5270">
        <v>0.22372619999999999</v>
      </c>
      <c r="Q5270">
        <v>0.1983375</v>
      </c>
      <c r="R5270">
        <v>-0.95425839999999995</v>
      </c>
      <c r="S5270">
        <v>0.899231</v>
      </c>
      <c r="T5270">
        <v>-0.24203359999999999</v>
      </c>
      <c r="U5270">
        <v>-2.9844360000000001</v>
      </c>
      <c r="V5270">
        <v>-0.15484800000000001</v>
      </c>
      <c r="W5270">
        <v>0.21133399999999999</v>
      </c>
      <c r="X5270">
        <v>0.96506990000000004</v>
      </c>
      <c r="Y5270">
        <v>-0.21641560000000001</v>
      </c>
      <c r="Z5270">
        <v>7.7832830000000006E-2</v>
      </c>
      <c r="AA5270">
        <v>0.97319389999999995</v>
      </c>
      <c r="AB5270">
        <v>23</v>
      </c>
      <c r="AC5270">
        <v>4.1064999999999801</v>
      </c>
      <c r="AD5270">
        <v>-1.114336621916</v>
      </c>
      <c r="AE5270">
        <v>-13.39349</v>
      </c>
      <c r="AF5270">
        <v>-3.0907164891000098</v>
      </c>
      <c r="AG5270">
        <v>-1.114336621916</v>
      </c>
      <c r="AH5270">
        <v>13.5733661922633</v>
      </c>
      <c r="AI5270">
        <v>94.576670571693498</v>
      </c>
      <c r="AJ5270">
        <v>102.82778726453201</v>
      </c>
      <c r="AK5270">
        <v>13.9653336627599</v>
      </c>
      <c r="AL5270">
        <v>77.799459713784998</v>
      </c>
      <c r="AM5270">
        <v>99.1155613814541</v>
      </c>
      <c r="AN5270">
        <v>0.99999993727300296</v>
      </c>
    </row>
    <row r="5271" spans="1:40" x14ac:dyDescent="0.25">
      <c r="A5271" t="str">
        <f>"20190312172813664"</f>
        <v>20190312172813664</v>
      </c>
      <c r="B5271" t="str">
        <f>"1552382893654606"</f>
        <v>1552382893654606</v>
      </c>
      <c r="C5271" t="s">
        <v>40</v>
      </c>
      <c r="D5271">
        <v>3.3720650000000001</v>
      </c>
      <c r="E5271">
        <v>0.47429589999999999</v>
      </c>
      <c r="F5271" t="s">
        <v>52</v>
      </c>
      <c r="G5271">
        <v>-296.8535</v>
      </c>
      <c r="H5271" s="1">
        <v>-7.6457780000000004E-6</v>
      </c>
      <c r="I5271">
        <v>-56.880690000000001</v>
      </c>
      <c r="J5271">
        <v>-301.12900000000002</v>
      </c>
      <c r="K5271">
        <v>1.1145430000000001</v>
      </c>
      <c r="L5271">
        <v>-43.395319999999998</v>
      </c>
      <c r="M5271">
        <v>8.2532010000000003E-2</v>
      </c>
      <c r="N5271">
        <v>0</v>
      </c>
      <c r="O5271">
        <v>-0.9964771</v>
      </c>
      <c r="P5271">
        <v>0.23389699999999999</v>
      </c>
      <c r="Q5271">
        <v>0.1998394</v>
      </c>
      <c r="R5271">
        <v>-0.95150259999999998</v>
      </c>
      <c r="S5271">
        <v>0.92837519999999996</v>
      </c>
      <c r="T5271">
        <v>-0.239979</v>
      </c>
      <c r="U5271">
        <v>-2.976013</v>
      </c>
      <c r="V5271">
        <v>-0.1565946</v>
      </c>
      <c r="W5271">
        <v>0.21276229999999999</v>
      </c>
      <c r="X5271">
        <v>0.9644741</v>
      </c>
      <c r="Y5271">
        <v>-0.21709800000000001</v>
      </c>
      <c r="Z5271">
        <v>7.7187989999999998E-2</v>
      </c>
      <c r="AA5271">
        <v>0.97309330000000005</v>
      </c>
      <c r="AB5271">
        <v>23</v>
      </c>
      <c r="AC5271">
        <v>4.2755000000000196</v>
      </c>
      <c r="AD5271">
        <v>-1.1145506457779999</v>
      </c>
      <c r="AE5271">
        <v>-13.48537</v>
      </c>
      <c r="AF5271">
        <v>-3.1283946459847898</v>
      </c>
      <c r="AG5271">
        <v>-1.1145506457779999</v>
      </c>
      <c r="AH5271">
        <v>13.707178635100201</v>
      </c>
      <c r="AI5271">
        <v>94.532531594206105</v>
      </c>
      <c r="AJ5271">
        <v>102.856429978967</v>
      </c>
      <c r="AK5271">
        <v>14.1037520659425</v>
      </c>
      <c r="AL5271">
        <v>77.715720327364096</v>
      </c>
      <c r="AM5271">
        <v>99.222220655523799</v>
      </c>
      <c r="AN5271">
        <v>0.99999997731062895</v>
      </c>
    </row>
    <row r="5272" spans="1:40" x14ac:dyDescent="0.25">
      <c r="A5272" t="str">
        <f>"20190312172813701"</f>
        <v>20190312172813701</v>
      </c>
      <c r="B5272" t="str">
        <f>"1552382893694622"</f>
        <v>1552382893694622</v>
      </c>
      <c r="C5272" t="s">
        <v>40</v>
      </c>
      <c r="D5272">
        <v>3.3664990000000001</v>
      </c>
      <c r="E5272">
        <v>0.47497660000000003</v>
      </c>
      <c r="F5272" t="s">
        <v>52</v>
      </c>
      <c r="G5272">
        <v>-296.61189999999999</v>
      </c>
      <c r="H5272" s="1">
        <v>-7.6769279999999992E-6</v>
      </c>
      <c r="I5272">
        <v>-57.397889999999997</v>
      </c>
      <c r="J5272">
        <v>-301.08539999999999</v>
      </c>
      <c r="K5272">
        <v>1.1147849999999999</v>
      </c>
      <c r="L5272">
        <v>-43.765140000000002</v>
      </c>
      <c r="M5272">
        <v>9.3108540000000004E-2</v>
      </c>
      <c r="N5272">
        <v>0</v>
      </c>
      <c r="O5272">
        <v>-0.99554399999999998</v>
      </c>
      <c r="P5272">
        <v>0.24500820000000001</v>
      </c>
      <c r="Q5272">
        <v>0.2017516</v>
      </c>
      <c r="R5272">
        <v>-0.94829730000000001</v>
      </c>
      <c r="S5272">
        <v>0.95718380000000003</v>
      </c>
      <c r="T5272">
        <v>-0.23617969999999999</v>
      </c>
      <c r="U5272">
        <v>-2.9672239999999999</v>
      </c>
      <c r="V5272">
        <v>-0.1578061</v>
      </c>
      <c r="W5272">
        <v>0.21460180000000001</v>
      </c>
      <c r="X5272">
        <v>0.96386890000000003</v>
      </c>
      <c r="Y5272">
        <v>-0.21616299999999999</v>
      </c>
      <c r="Z5272">
        <v>7.5979080000000004E-2</v>
      </c>
      <c r="AA5272">
        <v>0.9733965</v>
      </c>
      <c r="AB5272">
        <v>23</v>
      </c>
      <c r="AC5272">
        <v>4.4734999999999996</v>
      </c>
      <c r="AD5272">
        <v>-1.1147926769280001</v>
      </c>
      <c r="AE5272">
        <v>-13.63275</v>
      </c>
      <c r="AF5272">
        <v>-3.1654862030744502</v>
      </c>
      <c r="AG5272">
        <v>-1.1147926769280001</v>
      </c>
      <c r="AH5272">
        <v>13.9061343894258</v>
      </c>
      <c r="AI5272">
        <v>94.469491969862403</v>
      </c>
      <c r="AJ5272">
        <v>102.82385797741</v>
      </c>
      <c r="AK5272">
        <v>14.3053709938316</v>
      </c>
      <c r="AL5272">
        <v>77.607832869273906</v>
      </c>
      <c r="AM5272">
        <v>99.298061472675997</v>
      </c>
      <c r="AN5272">
        <v>0.99999997707382904</v>
      </c>
    </row>
    <row r="5273" spans="1:40" x14ac:dyDescent="0.25">
      <c r="A5273" t="str">
        <f>"20190312172813743"</f>
        <v>20190312172813743</v>
      </c>
      <c r="B5273" t="str">
        <f>"1552382893734641"</f>
        <v>1552382893734641</v>
      </c>
      <c r="C5273" t="s">
        <v>40</v>
      </c>
      <c r="D5273">
        <v>3.4248059999999998</v>
      </c>
      <c r="E5273">
        <v>0.48341650000000003</v>
      </c>
      <c r="F5273" t="s">
        <v>52</v>
      </c>
      <c r="G5273">
        <v>-296.32150000000001</v>
      </c>
      <c r="H5273" s="1">
        <v>-7.7225789999999903E-6</v>
      </c>
      <c r="I5273">
        <v>-57.998130000000003</v>
      </c>
      <c r="J5273">
        <v>-301.03039999999999</v>
      </c>
      <c r="K5273">
        <v>1.1150530000000001</v>
      </c>
      <c r="L5273">
        <v>-44.183169999999997</v>
      </c>
      <c r="M5273">
        <v>0.1058996</v>
      </c>
      <c r="N5273">
        <v>0</v>
      </c>
      <c r="O5273">
        <v>-0.99426400000000004</v>
      </c>
      <c r="P5273">
        <v>0.25677369999999999</v>
      </c>
      <c r="Q5273">
        <v>0.20322370000000001</v>
      </c>
      <c r="R5273">
        <v>-0.94486369999999997</v>
      </c>
      <c r="S5273">
        <v>0.98977660000000001</v>
      </c>
      <c r="T5273">
        <v>-0.2316154</v>
      </c>
      <c r="U5273">
        <v>-2.9571230000000002</v>
      </c>
      <c r="V5273">
        <v>-0.15757669999999999</v>
      </c>
      <c r="W5273">
        <v>0.21601129999999999</v>
      </c>
      <c r="X5273">
        <v>0.96359159999999999</v>
      </c>
      <c r="Y5273">
        <v>-0.21429799999999999</v>
      </c>
      <c r="Z5273">
        <v>7.4506729999999993E-2</v>
      </c>
      <c r="AA5273">
        <v>0.97392259999999997</v>
      </c>
      <c r="AB5273">
        <v>23</v>
      </c>
      <c r="AC5273">
        <v>4.7088999999999697</v>
      </c>
      <c r="AD5273">
        <v>-1.1150607225789999</v>
      </c>
      <c r="AE5273">
        <v>-13.814959999999999</v>
      </c>
      <c r="AF5273">
        <v>-3.2005716142982701</v>
      </c>
      <c r="AG5273">
        <v>-1.1150607225789999</v>
      </c>
      <c r="AH5273">
        <v>14.153377068866501</v>
      </c>
      <c r="AI5273">
        <v>94.394189347420607</v>
      </c>
      <c r="AJ5273">
        <v>102.742256698605</v>
      </c>
      <c r="AK5273">
        <v>14.5535253985694</v>
      </c>
      <c r="AL5273">
        <v>77.525135634641899</v>
      </c>
      <c r="AM5273">
        <v>99.287405996982798</v>
      </c>
      <c r="AN5273">
        <v>1.00000003485056</v>
      </c>
    </row>
    <row r="5274" spans="1:40" x14ac:dyDescent="0.25">
      <c r="A5274" t="str">
        <f>"20190312172813773"</f>
        <v>20190312172813773</v>
      </c>
      <c r="B5274" t="str">
        <f>"1552382893764893"</f>
        <v>1552382893764893</v>
      </c>
      <c r="C5274" t="s">
        <v>40</v>
      </c>
      <c r="D5274">
        <v>3.4139390000000001</v>
      </c>
      <c r="E5274">
        <v>0.4843075</v>
      </c>
      <c r="F5274" t="s">
        <v>52</v>
      </c>
      <c r="G5274">
        <v>-296.98180000000002</v>
      </c>
      <c r="H5274" s="1">
        <v>-7.6328889999999993E-6</v>
      </c>
      <c r="I5274">
        <v>-56.594769999999997</v>
      </c>
      <c r="J5274">
        <v>-300.98610000000002</v>
      </c>
      <c r="K5274">
        <v>1.1152340000000001</v>
      </c>
      <c r="L5274">
        <v>-44.488190000000003</v>
      </c>
      <c r="M5274">
        <v>0.11576500000000001</v>
      </c>
      <c r="N5274">
        <v>0</v>
      </c>
      <c r="O5274">
        <v>-0.99316320000000002</v>
      </c>
      <c r="P5274">
        <v>0.26637509999999998</v>
      </c>
      <c r="Q5274">
        <v>0.20290459999999999</v>
      </c>
      <c r="R5274">
        <v>-0.94227079999999996</v>
      </c>
      <c r="S5274">
        <v>0.96853639999999996</v>
      </c>
      <c r="T5274">
        <v>-0.26675680000000002</v>
      </c>
      <c r="U5274">
        <v>-2.9692379999999998</v>
      </c>
      <c r="V5274">
        <v>-0.15790119999999999</v>
      </c>
      <c r="W5274">
        <v>0.21564949999999999</v>
      </c>
      <c r="X5274">
        <v>0.96361949999999996</v>
      </c>
      <c r="Y5274">
        <v>-0.19681409999999999</v>
      </c>
      <c r="Z5274">
        <v>8.5512099999999994E-2</v>
      </c>
      <c r="AA5274">
        <v>0.97670460000000003</v>
      </c>
      <c r="AB5274">
        <v>23</v>
      </c>
      <c r="AC5274">
        <v>4.0042999999999997</v>
      </c>
      <c r="AD5274">
        <v>-1.115241632889</v>
      </c>
      <c r="AE5274">
        <v>-12.1065799999999</v>
      </c>
      <c r="AF5274">
        <v>-2.5561432968117201</v>
      </c>
      <c r="AG5274">
        <v>-1.115241632889</v>
      </c>
      <c r="AH5274">
        <v>12.3939724846072</v>
      </c>
      <c r="AI5274">
        <v>95.036341203019006</v>
      </c>
      <c r="AJ5274">
        <v>101.653337173244</v>
      </c>
      <c r="AK5274">
        <v>12.7038650182834</v>
      </c>
      <c r="AL5274">
        <v>77.546365409903302</v>
      </c>
      <c r="AM5274">
        <v>99.305932684644006</v>
      </c>
      <c r="AN5274">
        <v>1.0000000182959601</v>
      </c>
    </row>
    <row r="5275" spans="1:40" x14ac:dyDescent="0.25">
      <c r="A5275" t="str">
        <f>"20190312172813809"</f>
        <v>20190312172813809</v>
      </c>
      <c r="B5275" t="str">
        <f>"1552382893804913"</f>
        <v>1552382893804913</v>
      </c>
      <c r="C5275" t="s">
        <v>40</v>
      </c>
      <c r="D5275">
        <v>3.4563190000000001</v>
      </c>
      <c r="E5275">
        <v>0.48488429999999999</v>
      </c>
      <c r="F5275" t="s">
        <v>52</v>
      </c>
      <c r="G5275">
        <v>-296.91640000000001</v>
      </c>
      <c r="H5275" s="1">
        <v>-7.6525750000000002E-6</v>
      </c>
      <c r="I5275">
        <v>-56.623959999999997</v>
      </c>
      <c r="J5275">
        <v>-300.92939999999999</v>
      </c>
      <c r="K5275">
        <v>1.115426</v>
      </c>
      <c r="L5275">
        <v>-44.846440000000001</v>
      </c>
      <c r="M5275">
        <v>0.12792010000000001</v>
      </c>
      <c r="N5275">
        <v>0</v>
      </c>
      <c r="O5275">
        <v>-0.99167039999999995</v>
      </c>
      <c r="P5275">
        <v>0.27920060000000002</v>
      </c>
      <c r="Q5275">
        <v>0.20136019999999999</v>
      </c>
      <c r="R5275">
        <v>-0.93888329999999998</v>
      </c>
      <c r="S5275">
        <v>0.99316409999999999</v>
      </c>
      <c r="T5275">
        <v>-0.27216600000000002</v>
      </c>
      <c r="U5275">
        <v>-2.9616389999999999</v>
      </c>
      <c r="V5275">
        <v>-0.15928999999999999</v>
      </c>
      <c r="W5275">
        <v>0.21404889999999999</v>
      </c>
      <c r="X5275">
        <v>0.96374769999999998</v>
      </c>
      <c r="Y5275">
        <v>-0.1928173</v>
      </c>
      <c r="Z5275">
        <v>8.7172050000000001E-2</v>
      </c>
      <c r="AA5275">
        <v>0.97735490000000003</v>
      </c>
      <c r="AB5275">
        <v>23</v>
      </c>
      <c r="AC5275">
        <v>4.0129999999999697</v>
      </c>
      <c r="AD5275">
        <v>-1.1154336525749999</v>
      </c>
      <c r="AE5275">
        <v>-11.7775199999999</v>
      </c>
      <c r="AF5275">
        <v>-2.4535531739188099</v>
      </c>
      <c r="AG5275">
        <v>-1.1154336525749999</v>
      </c>
      <c r="AH5275">
        <v>12.096921839873501</v>
      </c>
      <c r="AI5275">
        <v>95.163680339319598</v>
      </c>
      <c r="AJ5275">
        <v>101.46546001799101</v>
      </c>
      <c r="AK5275">
        <v>12.3935319183255</v>
      </c>
      <c r="AL5275">
        <v>77.640264802708899</v>
      </c>
      <c r="AM5275">
        <v>99.385105039221301</v>
      </c>
      <c r="AN5275">
        <v>0.99999993247324703</v>
      </c>
    </row>
    <row r="5276" spans="1:40" x14ac:dyDescent="0.25">
      <c r="A5276" t="str">
        <f>"20190312172813854"</f>
        <v>20190312172813854</v>
      </c>
      <c r="B5276" t="str">
        <f>"1552382893844926"</f>
        <v>1552382893844926</v>
      </c>
      <c r="C5276" t="s">
        <v>40</v>
      </c>
      <c r="D5276">
        <v>3.3143199999999902</v>
      </c>
      <c r="E5276">
        <v>0.45612809999999998</v>
      </c>
      <c r="F5276" t="s">
        <v>52</v>
      </c>
      <c r="G5276">
        <v>-296.8141</v>
      </c>
      <c r="H5276" s="1">
        <v>-7.689759E-6</v>
      </c>
      <c r="I5276">
        <v>-56.612670000000001</v>
      </c>
      <c r="J5276">
        <v>-300.85309999999998</v>
      </c>
      <c r="K5276">
        <v>1.1156429999999999</v>
      </c>
      <c r="L5276">
        <v>-45.282989999999998</v>
      </c>
      <c r="M5276">
        <v>0.14354339999999999</v>
      </c>
      <c r="N5276">
        <v>0</v>
      </c>
      <c r="O5276">
        <v>-0.9895292</v>
      </c>
      <c r="P5276">
        <v>0.29616439999999999</v>
      </c>
      <c r="Q5276">
        <v>0.20369570000000001</v>
      </c>
      <c r="R5276">
        <v>-0.93316410000000005</v>
      </c>
      <c r="S5276">
        <v>1.0312809999999999</v>
      </c>
      <c r="T5276">
        <v>-0.27952090000000002</v>
      </c>
      <c r="U5276">
        <v>-2.948547</v>
      </c>
      <c r="V5276">
        <v>-0.1617692</v>
      </c>
      <c r="W5276">
        <v>0.2163023</v>
      </c>
      <c r="X5276">
        <v>0.96283129999999995</v>
      </c>
      <c r="Y5276">
        <v>-0.189886</v>
      </c>
      <c r="Z5276">
        <v>8.9436959999999996E-2</v>
      </c>
      <c r="AA5276">
        <v>0.97772409999999998</v>
      </c>
      <c r="AB5276">
        <v>23</v>
      </c>
      <c r="AC5276">
        <v>4.0389999999999802</v>
      </c>
      <c r="AD5276">
        <v>-1.1156506897589999</v>
      </c>
      <c r="AE5276">
        <v>-11.3296799999999</v>
      </c>
      <c r="AF5276">
        <v>-2.35045548668506</v>
      </c>
      <c r="AG5276">
        <v>-1.1156506897589999</v>
      </c>
      <c r="AH5276">
        <v>11.691575436473901</v>
      </c>
      <c r="AI5276">
        <v>95.344561051183504</v>
      </c>
      <c r="AJ5276">
        <v>101.36712804122899</v>
      </c>
      <c r="AK5276">
        <v>11.9775729445997</v>
      </c>
      <c r="AL5276">
        <v>77.508058855433703</v>
      </c>
      <c r="AM5276">
        <v>99.537419465374796</v>
      </c>
      <c r="AN5276">
        <v>1.0000000356568</v>
      </c>
    </row>
    <row r="5277" spans="1:40" x14ac:dyDescent="0.25">
      <c r="A5277" t="str">
        <f>"20190312172813885"</f>
        <v>20190312172813885</v>
      </c>
      <c r="B5277" t="str">
        <f>"1552382893875182"</f>
        <v>1552382893875182</v>
      </c>
      <c r="C5277" t="s">
        <v>40</v>
      </c>
      <c r="D5277">
        <v>3.3288869999999999</v>
      </c>
      <c r="E5277">
        <v>0.45185110000000001</v>
      </c>
      <c r="F5277" t="s">
        <v>52</v>
      </c>
      <c r="G5277">
        <v>-294.86349999999999</v>
      </c>
      <c r="H5277" s="1">
        <v>-8.2134869999999996E-6</v>
      </c>
      <c r="I5277">
        <v>-58.390700000000002</v>
      </c>
      <c r="J5277">
        <v>-300.79520000000002</v>
      </c>
      <c r="K5277">
        <v>1.115764</v>
      </c>
      <c r="L5277">
        <v>-45.587890000000002</v>
      </c>
      <c r="M5277">
        <v>0.1549122</v>
      </c>
      <c r="N5277">
        <v>0</v>
      </c>
      <c r="O5277">
        <v>-0.98781269999999999</v>
      </c>
      <c r="P5277">
        <v>0.30843100000000001</v>
      </c>
      <c r="Q5277">
        <v>0.20399590000000001</v>
      </c>
      <c r="R5277">
        <v>-0.92911600000000005</v>
      </c>
      <c r="S5277">
        <v>1.304138</v>
      </c>
      <c r="T5277">
        <v>-0.2429135</v>
      </c>
      <c r="U5277">
        <v>-2.8539729999999999</v>
      </c>
      <c r="V5277">
        <v>-0.16346749999999999</v>
      </c>
      <c r="W5277">
        <v>0.21655460000000001</v>
      </c>
      <c r="X5277">
        <v>0.9624876</v>
      </c>
      <c r="Y5277">
        <v>-0.26841579999999998</v>
      </c>
      <c r="Z5277">
        <v>7.7892130000000004E-2</v>
      </c>
      <c r="AA5277">
        <v>0.96014880000000002</v>
      </c>
      <c r="AB5277">
        <v>23</v>
      </c>
      <c r="AC5277">
        <v>5.9317000000000304</v>
      </c>
      <c r="AD5277">
        <v>-1.1157722134870001</v>
      </c>
      <c r="AE5277">
        <v>-12.802809999999999</v>
      </c>
      <c r="AF5277">
        <v>-3.8524503660676199</v>
      </c>
      <c r="AG5277">
        <v>-1.1157722134870001</v>
      </c>
      <c r="AH5277">
        <v>13.482911420076301</v>
      </c>
      <c r="AI5277">
        <v>94.549450255834898</v>
      </c>
      <c r="AJ5277">
        <v>105.94614221299</v>
      </c>
      <c r="AK5277">
        <v>14.0668127810471</v>
      </c>
      <c r="AL5277">
        <v>77.493251092096202</v>
      </c>
      <c r="AM5277">
        <v>99.639054594287202</v>
      </c>
      <c r="AN5277">
        <v>0.999999949245583</v>
      </c>
    </row>
    <row r="5278" spans="1:40" x14ac:dyDescent="0.25">
      <c r="A5278" t="str">
        <f>"20190312172813923"</f>
        <v>20190312172813923</v>
      </c>
      <c r="B5278" t="str">
        <f>"1552382893915198"</f>
        <v>1552382893915198</v>
      </c>
      <c r="C5278" t="s">
        <v>40</v>
      </c>
      <c r="D5278">
        <v>3.2760889999999998</v>
      </c>
      <c r="E5278">
        <v>0.44899939999999999</v>
      </c>
      <c r="F5278" t="s">
        <v>52</v>
      </c>
      <c r="G5278">
        <v>-294.40120000000002</v>
      </c>
      <c r="H5278" s="1">
        <v>-8.3477839999999995E-6</v>
      </c>
      <c r="I5278">
        <v>-58.728580000000001</v>
      </c>
      <c r="J5278">
        <v>-300.72309999999999</v>
      </c>
      <c r="K5278">
        <v>1.1159220000000001</v>
      </c>
      <c r="L5278">
        <v>-45.938690000000001</v>
      </c>
      <c r="M5278">
        <v>0.16853280000000001</v>
      </c>
      <c r="N5278">
        <v>0</v>
      </c>
      <c r="O5278">
        <v>-0.9855796</v>
      </c>
      <c r="P5278">
        <v>0.32337300000000002</v>
      </c>
      <c r="Q5278">
        <v>0.20548420000000001</v>
      </c>
      <c r="R5278">
        <v>-0.9236917</v>
      </c>
      <c r="S5278">
        <v>1.3746640000000001</v>
      </c>
      <c r="T5278">
        <v>-0.23988660000000001</v>
      </c>
      <c r="U5278">
        <v>-2.8251949999999999</v>
      </c>
      <c r="V5278">
        <v>-0.16586919999999999</v>
      </c>
      <c r="W5278">
        <v>0.21797059999999999</v>
      </c>
      <c r="X5278">
        <v>0.96175690000000003</v>
      </c>
      <c r="Y5278">
        <v>-0.27840239999999999</v>
      </c>
      <c r="Z5278">
        <v>7.6868839999999994E-2</v>
      </c>
      <c r="AA5278">
        <v>0.9573836</v>
      </c>
      <c r="AB5278">
        <v>22</v>
      </c>
      <c r="AC5278">
        <v>6.3218999999999701</v>
      </c>
      <c r="AD5278">
        <v>-1.1159303477839999</v>
      </c>
      <c r="AE5278">
        <v>-12.78989</v>
      </c>
      <c r="AF5278">
        <v>-4.0509041627750797</v>
      </c>
      <c r="AG5278">
        <v>-1.1159303477839999</v>
      </c>
      <c r="AH5278">
        <v>13.589332262528499</v>
      </c>
      <c r="AI5278">
        <v>94.499677447880998</v>
      </c>
      <c r="AJ5278">
        <v>106.599025254141</v>
      </c>
      <c r="AK5278">
        <v>14.2241019547278</v>
      </c>
      <c r="AL5278">
        <v>77.410136219422995</v>
      </c>
      <c r="AM5278">
        <v>99.785244460323</v>
      </c>
      <c r="AN5278">
        <v>1.0000000543353</v>
      </c>
    </row>
    <row r="5279" spans="1:40" x14ac:dyDescent="0.25">
      <c r="A5279" t="str">
        <f>"20190312172813965"</f>
        <v>20190312172813965</v>
      </c>
      <c r="B5279" t="str">
        <f>"1552382893955214"</f>
        <v>1552382893955214</v>
      </c>
      <c r="C5279" t="s">
        <v>40</v>
      </c>
      <c r="D5279">
        <v>3.3030189999999999</v>
      </c>
      <c r="E5279">
        <v>0.44820199999999999</v>
      </c>
      <c r="F5279" t="s">
        <v>52</v>
      </c>
      <c r="G5279">
        <v>-293.67239999999998</v>
      </c>
      <c r="H5279" s="1">
        <v>-8.5288939999999992E-6</v>
      </c>
      <c r="I5279">
        <v>-59.568550000000002</v>
      </c>
      <c r="J5279">
        <v>-300.62950000000001</v>
      </c>
      <c r="K5279">
        <v>1.1161380000000001</v>
      </c>
      <c r="L5279">
        <v>-46.358249999999998</v>
      </c>
      <c r="M5279">
        <v>0.18556839999999999</v>
      </c>
      <c r="N5279">
        <v>0</v>
      </c>
      <c r="O5279">
        <v>-0.98251409999999995</v>
      </c>
      <c r="P5279">
        <v>0.34071289999999999</v>
      </c>
      <c r="Q5279">
        <v>0.20440269999999999</v>
      </c>
      <c r="R5279">
        <v>-0.91767880000000002</v>
      </c>
      <c r="S5279">
        <v>1.444763</v>
      </c>
      <c r="T5279">
        <v>-0.22866629999999999</v>
      </c>
      <c r="U5279">
        <v>-2.7929080000000002</v>
      </c>
      <c r="V5279">
        <v>-0.16739770000000001</v>
      </c>
      <c r="W5279">
        <v>0.2168255</v>
      </c>
      <c r="X5279">
        <v>0.96175089999999996</v>
      </c>
      <c r="Y5279">
        <v>-0.28539399999999998</v>
      </c>
      <c r="Z5279">
        <v>7.3236529999999994E-2</v>
      </c>
      <c r="AA5279">
        <v>0.95560800000000001</v>
      </c>
      <c r="AB5279">
        <v>22</v>
      </c>
      <c r="AC5279">
        <v>6.95710000000002</v>
      </c>
      <c r="AD5279">
        <v>-1.11614652889399</v>
      </c>
      <c r="AE5279">
        <v>-13.2103</v>
      </c>
      <c r="AF5279">
        <v>-4.3601723110303503</v>
      </c>
      <c r="AG5279">
        <v>-1.11614652889399</v>
      </c>
      <c r="AH5279">
        <v>14.1926505604022</v>
      </c>
      <c r="AI5279">
        <v>94.299125638955999</v>
      </c>
      <c r="AJ5279">
        <v>107.077658890419</v>
      </c>
      <c r="AK5279">
        <v>14.8891979497058</v>
      </c>
      <c r="AL5279">
        <v>77.477353068830396</v>
      </c>
      <c r="AM5279">
        <v>99.8737099872409</v>
      </c>
      <c r="AN5279">
        <v>1.0000000405331699</v>
      </c>
    </row>
    <row r="5280" spans="1:40" x14ac:dyDescent="0.25">
      <c r="A5280" t="str">
        <f>"20190312172814010"</f>
        <v>20190312172814010</v>
      </c>
      <c r="B5280" t="str">
        <f>"1552382894004990"</f>
        <v>1552382894004990</v>
      </c>
      <c r="C5280" t="s">
        <v>40</v>
      </c>
      <c r="D5280">
        <v>3.2418239999999998</v>
      </c>
      <c r="E5280">
        <v>0.44928299999999999</v>
      </c>
      <c r="F5280" t="s">
        <v>52</v>
      </c>
      <c r="G5280">
        <v>-293.19909999999999</v>
      </c>
      <c r="H5280" s="1">
        <v>-8.6603319999999999E-6</v>
      </c>
      <c r="I5280">
        <v>-59.975209999999997</v>
      </c>
      <c r="J5280">
        <v>-300.5258</v>
      </c>
      <c r="K5280">
        <v>1.116331</v>
      </c>
      <c r="L5280">
        <v>-46.782350000000001</v>
      </c>
      <c r="M5280">
        <v>0.20360059999999999</v>
      </c>
      <c r="N5280">
        <v>0</v>
      </c>
      <c r="O5280">
        <v>-0.97893540000000001</v>
      </c>
      <c r="P5280">
        <v>0.35819319999999999</v>
      </c>
      <c r="Q5280">
        <v>0.20532439999999999</v>
      </c>
      <c r="R5280">
        <v>-0.91079060000000001</v>
      </c>
      <c r="S5280">
        <v>1.506195</v>
      </c>
      <c r="T5280">
        <v>-0.22625319999999999</v>
      </c>
      <c r="U5280">
        <v>-2.760284</v>
      </c>
      <c r="V5280">
        <v>-0.1682622</v>
      </c>
      <c r="W5280">
        <v>0.21769640000000001</v>
      </c>
      <c r="X5280">
        <v>0.96140320000000001</v>
      </c>
      <c r="Y5280">
        <v>-0.28894170000000002</v>
      </c>
      <c r="Z5280">
        <v>7.2427530000000004E-2</v>
      </c>
      <c r="AA5280">
        <v>0.95460299999999998</v>
      </c>
      <c r="AB5280">
        <v>22</v>
      </c>
      <c r="AC5280">
        <v>7.3267000000000104</v>
      </c>
      <c r="AD5280">
        <v>-1.1163396603319999</v>
      </c>
      <c r="AE5280">
        <v>-13.1928599999999</v>
      </c>
      <c r="AF5280">
        <v>-4.4623934324954</v>
      </c>
      <c r="AG5280">
        <v>-1.1163396603319999</v>
      </c>
      <c r="AH5280">
        <v>14.329934225077601</v>
      </c>
      <c r="AI5280">
        <v>94.253809151538206</v>
      </c>
      <c r="AJ5280">
        <v>107.296777772384</v>
      </c>
      <c r="AK5280">
        <v>15.0501224007866</v>
      </c>
      <c r="AL5280">
        <v>77.426232604872396</v>
      </c>
      <c r="AM5280">
        <v>99.927207713495704</v>
      </c>
      <c r="AN5280">
        <v>1.00000000174602</v>
      </c>
    </row>
    <row r="5281" spans="1:40" x14ac:dyDescent="0.25">
      <c r="A5281" t="str">
        <f>"20190312172814041"</f>
        <v>20190312172814041</v>
      </c>
      <c r="B5281" t="str">
        <f>"1552382894035246"</f>
        <v>1552382894035246</v>
      </c>
      <c r="C5281" t="s">
        <v>40</v>
      </c>
      <c r="D5281">
        <v>3.3613010000000001</v>
      </c>
      <c r="E5281">
        <v>0.45035500000000001</v>
      </c>
      <c r="F5281" t="s">
        <v>52</v>
      </c>
      <c r="G5281">
        <v>-292.79230000000001</v>
      </c>
      <c r="H5281" s="1">
        <v>-1.067453E-5</v>
      </c>
      <c r="I5281">
        <v>-60.39958</v>
      </c>
      <c r="J5281">
        <v>-300.44970000000001</v>
      </c>
      <c r="K5281">
        <v>1.11643799999999</v>
      </c>
      <c r="L5281">
        <v>-47.071170000000002</v>
      </c>
      <c r="M5281">
        <v>0.21633520000000001</v>
      </c>
      <c r="N5281">
        <v>0</v>
      </c>
      <c r="O5281">
        <v>-0.97619959999999995</v>
      </c>
      <c r="P5281">
        <v>0.3699539</v>
      </c>
      <c r="Q5281">
        <v>0.20594660000000001</v>
      </c>
      <c r="R5281">
        <v>-0.90593610000000002</v>
      </c>
      <c r="S5281">
        <v>1.552551</v>
      </c>
      <c r="T5281">
        <v>-0.22411429999999999</v>
      </c>
      <c r="U5281">
        <v>-2.733765</v>
      </c>
      <c r="V5281">
        <v>-0.16827909999999999</v>
      </c>
      <c r="W5281">
        <v>0.21830369999999999</v>
      </c>
      <c r="X5281">
        <v>0.96126250000000002</v>
      </c>
      <c r="Y5281">
        <v>-0.29270980000000002</v>
      </c>
      <c r="Z5281">
        <v>7.1731199999999995E-2</v>
      </c>
      <c r="AA5281">
        <v>0.95350699999999999</v>
      </c>
      <c r="AB5281">
        <v>22</v>
      </c>
      <c r="AC5281">
        <v>7.6573999999999902</v>
      </c>
      <c r="AD5281">
        <v>-1.11644867452999</v>
      </c>
      <c r="AE5281">
        <v>-13.32841</v>
      </c>
      <c r="AF5281">
        <v>-4.5681840788391499</v>
      </c>
      <c r="AG5281">
        <v>-1.11644867452999</v>
      </c>
      <c r="AH5281">
        <v>14.592486260460101</v>
      </c>
      <c r="AI5281">
        <v>94.176003374390802</v>
      </c>
      <c r="AJ5281">
        <v>107.382751566366</v>
      </c>
      <c r="AK5281">
        <v>15.331517168328</v>
      </c>
      <c r="AL5281">
        <v>77.390579061073097</v>
      </c>
      <c r="AM5281">
        <v>99.929609216775006</v>
      </c>
      <c r="AN5281">
        <v>0.99999997741837399</v>
      </c>
    </row>
    <row r="5282" spans="1:40" x14ac:dyDescent="0.25">
      <c r="A5282" t="str">
        <f>"20190312172814078"</f>
        <v>20190312172814078</v>
      </c>
      <c r="B5282" t="str">
        <f>"1552382894075262"</f>
        <v>1552382894075262</v>
      </c>
      <c r="C5282" t="s">
        <v>40</v>
      </c>
      <c r="D5282">
        <v>3.3318469999999998</v>
      </c>
      <c r="E5282">
        <v>0.45140190000000002</v>
      </c>
      <c r="F5282" t="s">
        <v>52</v>
      </c>
      <c r="G5282">
        <v>-292.5025</v>
      </c>
      <c r="H5282" s="1">
        <v>-1.065701E-5</v>
      </c>
      <c r="I5282">
        <v>-60.7232699999999</v>
      </c>
      <c r="J5282">
        <v>-300.35520000000002</v>
      </c>
      <c r="K5282">
        <v>1.1165350000000001</v>
      </c>
      <c r="L5282">
        <v>-47.409149999999997</v>
      </c>
      <c r="M5282">
        <v>0.23163710000000001</v>
      </c>
      <c r="N5282">
        <v>0</v>
      </c>
      <c r="O5282">
        <v>-0.97268180000000004</v>
      </c>
      <c r="P5282">
        <v>0.38418869999999999</v>
      </c>
      <c r="Q5282">
        <v>0.20614270000000001</v>
      </c>
      <c r="R5282">
        <v>-0.89994699999999905</v>
      </c>
      <c r="S5282">
        <v>1.581207</v>
      </c>
      <c r="T5282">
        <v>-0.222133</v>
      </c>
      <c r="U5282">
        <v>-2.716278</v>
      </c>
      <c r="V5282">
        <v>-0.16840450000000001</v>
      </c>
      <c r="W5282">
        <v>0.21848799999999999</v>
      </c>
      <c r="X5282">
        <v>0.96119869999999996</v>
      </c>
      <c r="Y5282">
        <v>-0.28789930000000002</v>
      </c>
      <c r="Z5282">
        <v>7.0992040000000006E-2</v>
      </c>
      <c r="AA5282">
        <v>0.95502569999999998</v>
      </c>
      <c r="AB5282">
        <v>22</v>
      </c>
      <c r="AC5282">
        <v>7.85270000000002</v>
      </c>
      <c r="AD5282">
        <v>-1.1165456570100001</v>
      </c>
      <c r="AE5282">
        <v>-13.3141199999999</v>
      </c>
      <c r="AF5282">
        <v>-4.5310263532661699</v>
      </c>
      <c r="AG5282">
        <v>-1.1165456570100001</v>
      </c>
      <c r="AH5282">
        <v>14.6944384024647</v>
      </c>
      <c r="AI5282">
        <v>94.152998566473997</v>
      </c>
      <c r="AJ5282">
        <v>107.13713325164299</v>
      </c>
      <c r="AK5282">
        <v>15.417632567356501</v>
      </c>
      <c r="AL5282">
        <v>77.379758671727899</v>
      </c>
      <c r="AM5282">
        <v>99.937507652001102</v>
      </c>
      <c r="AN5282">
        <v>1.0000000113229699</v>
      </c>
    </row>
    <row r="5283" spans="1:40" x14ac:dyDescent="0.25">
      <c r="A5283" t="str">
        <f>"20190312172814123"</f>
        <v>20190312172814123</v>
      </c>
      <c r="B5283" t="str">
        <f>"1552382894115278"</f>
        <v>1552382894115278</v>
      </c>
      <c r="C5283" t="s">
        <v>40</v>
      </c>
      <c r="D5283">
        <v>3.1311900000000001</v>
      </c>
      <c r="E5283">
        <v>0.44025120000000001</v>
      </c>
      <c r="F5283" t="s">
        <v>52</v>
      </c>
      <c r="G5283">
        <v>-292.23329999999999</v>
      </c>
      <c r="H5283" s="1">
        <v>-1.062015E-5</v>
      </c>
      <c r="I5283">
        <v>-60.930889999999998</v>
      </c>
      <c r="J5283">
        <v>-300.23110000000003</v>
      </c>
      <c r="K5283">
        <v>1.116687</v>
      </c>
      <c r="L5283">
        <v>-47.822020000000002</v>
      </c>
      <c r="M5283">
        <v>0.25098160000000003</v>
      </c>
      <c r="N5283">
        <v>0</v>
      </c>
      <c r="O5283">
        <v>-0.96787040000000002</v>
      </c>
      <c r="P5283">
        <v>0.40223419999999999</v>
      </c>
      <c r="Q5283">
        <v>0.2074116</v>
      </c>
      <c r="R5283">
        <v>-0.89173329999999995</v>
      </c>
      <c r="S5283">
        <v>1.6180110000000001</v>
      </c>
      <c r="T5283">
        <v>-0.22243460000000001</v>
      </c>
      <c r="U5283">
        <v>-2.693756</v>
      </c>
      <c r="V5283">
        <v>-0.16877059999999999</v>
      </c>
      <c r="W5283">
        <v>0.2197279</v>
      </c>
      <c r="X5283">
        <v>0.96085180000000003</v>
      </c>
      <c r="Y5283">
        <v>-0.28191749999999999</v>
      </c>
      <c r="Z5283">
        <v>7.0908349999999995E-2</v>
      </c>
      <c r="AA5283">
        <v>0.95681479999999997</v>
      </c>
      <c r="AB5283">
        <v>22</v>
      </c>
      <c r="AC5283">
        <v>7.9978000000000398</v>
      </c>
      <c r="AD5283">
        <v>-1.1166976201500001</v>
      </c>
      <c r="AE5283">
        <v>-13.10887</v>
      </c>
      <c r="AF5283">
        <v>-4.4278563333249998</v>
      </c>
      <c r="AG5283">
        <v>-1.1166976201500001</v>
      </c>
      <c r="AH5283">
        <v>14.619404356178199</v>
      </c>
      <c r="AI5283">
        <v>94.181175041300094</v>
      </c>
      <c r="AJ5283">
        <v>106.850263802973</v>
      </c>
      <c r="AK5283">
        <v>15.316001730636399</v>
      </c>
      <c r="AL5283">
        <v>77.306948542786401</v>
      </c>
      <c r="AM5283">
        <v>99.962202501290903</v>
      </c>
      <c r="AN5283">
        <v>1.000000023513</v>
      </c>
    </row>
    <row r="5284" spans="1:40" x14ac:dyDescent="0.25">
      <c r="A5284" t="str">
        <f>"20190312172814154"</f>
        <v>20190312172814154</v>
      </c>
      <c r="B5284" t="str">
        <f>"1552382894144559"</f>
        <v>1552382894144559</v>
      </c>
      <c r="C5284" t="s">
        <v>40</v>
      </c>
      <c r="D5284">
        <v>3.2341220000000002</v>
      </c>
      <c r="E5284">
        <v>0.43308099999999999</v>
      </c>
      <c r="F5284" t="s">
        <v>52</v>
      </c>
      <c r="G5284">
        <v>-291.35230000000001</v>
      </c>
      <c r="H5284" s="1">
        <v>-1.0386780000000001E-5</v>
      </c>
      <c r="I5284">
        <v>-61.1004</v>
      </c>
      <c r="J5284">
        <v>-300.13900000000001</v>
      </c>
      <c r="K5284">
        <v>1.1167929999999999</v>
      </c>
      <c r="L5284">
        <v>-48.108800000000002</v>
      </c>
      <c r="M5284">
        <v>0.26481280000000001</v>
      </c>
      <c r="N5284">
        <v>0</v>
      </c>
      <c r="O5284">
        <v>-0.96417730000000001</v>
      </c>
      <c r="P5284">
        <v>0.41517759999999998</v>
      </c>
      <c r="Q5284">
        <v>0.20855660000000001</v>
      </c>
      <c r="R5284">
        <v>-0.88551229999999903</v>
      </c>
      <c r="S5284">
        <v>1.7546389999999901</v>
      </c>
      <c r="T5284">
        <v>-0.22068260000000001</v>
      </c>
      <c r="U5284">
        <v>-2.6240839999999999</v>
      </c>
      <c r="V5284">
        <v>-0.16915139999999901</v>
      </c>
      <c r="W5284">
        <v>0.2208493</v>
      </c>
      <c r="X5284">
        <v>0.96052769999999998</v>
      </c>
      <c r="Y5284">
        <v>-0.31443490000000002</v>
      </c>
      <c r="Z5284">
        <v>7.0239079999999995E-2</v>
      </c>
      <c r="AA5284">
        <v>0.94667690000000004</v>
      </c>
      <c r="AB5284">
        <v>22</v>
      </c>
      <c r="AC5284">
        <v>8.7866999999999909</v>
      </c>
      <c r="AD5284">
        <v>-1.11680338677999</v>
      </c>
      <c r="AE5284">
        <v>-12.991599999999901</v>
      </c>
      <c r="AF5284">
        <v>-5.0068029757218397</v>
      </c>
      <c r="AG5284">
        <v>-1.11680338677999</v>
      </c>
      <c r="AH5284">
        <v>14.779852381418101</v>
      </c>
      <c r="AI5284">
        <v>94.093541873038504</v>
      </c>
      <c r="AJ5284">
        <v>108.71425545453</v>
      </c>
      <c r="AK5284">
        <v>15.6447870633937</v>
      </c>
      <c r="AL5284">
        <v>77.241079110844097</v>
      </c>
      <c r="AM5284">
        <v>99.987529645831501</v>
      </c>
      <c r="AN5284">
        <v>1.00000003594986</v>
      </c>
    </row>
    <row r="5285" spans="1:40" x14ac:dyDescent="0.25">
      <c r="A5285" t="str">
        <f>"20190312172814177"</f>
        <v>20190312172814177</v>
      </c>
      <c r="B5285" t="str">
        <f>"1552382894165054"</f>
        <v>1552382894165054</v>
      </c>
      <c r="C5285" t="s">
        <v>40</v>
      </c>
      <c r="D5285">
        <v>3.1152139999999999</v>
      </c>
      <c r="E5285">
        <v>0.4323166</v>
      </c>
      <c r="F5285" t="s">
        <v>52</v>
      </c>
      <c r="G5285">
        <v>-289.80059999999997</v>
      </c>
      <c r="H5285" s="1">
        <v>-3.1497180000000002E-6</v>
      </c>
      <c r="I5285">
        <v>-62.529949999999999</v>
      </c>
      <c r="J5285">
        <v>-300.06740000000002</v>
      </c>
      <c r="K5285">
        <v>1.1168629999999999</v>
      </c>
      <c r="L5285">
        <v>-48.321559999999998</v>
      </c>
      <c r="M5285">
        <v>0.2752908</v>
      </c>
      <c r="N5285">
        <v>0</v>
      </c>
      <c r="O5285">
        <v>-0.96123769999999997</v>
      </c>
      <c r="P5285">
        <v>0.4250216</v>
      </c>
      <c r="Q5285">
        <v>0.20834220000000001</v>
      </c>
      <c r="R5285">
        <v>-0.88088040000000001</v>
      </c>
      <c r="S5285">
        <v>1.8428960000000001</v>
      </c>
      <c r="T5285">
        <v>-0.19907720000000001</v>
      </c>
      <c r="U5285">
        <v>-2.5706790000000002</v>
      </c>
      <c r="V5285">
        <v>-0.16942650000000001</v>
      </c>
      <c r="W5285">
        <v>0.22062180000000001</v>
      </c>
      <c r="X5285">
        <v>0.96053149999999998</v>
      </c>
      <c r="Y5285">
        <v>-0.33515470000000003</v>
      </c>
      <c r="Z5285">
        <v>6.3379909999999998E-2</v>
      </c>
      <c r="AA5285">
        <v>0.94002889999999995</v>
      </c>
      <c r="AB5285">
        <v>22</v>
      </c>
      <c r="AC5285">
        <v>10.2668</v>
      </c>
      <c r="AD5285">
        <v>-1.1168661497179999</v>
      </c>
      <c r="AE5285">
        <v>-14.20839</v>
      </c>
      <c r="AF5285">
        <v>-5.9340139807551999</v>
      </c>
      <c r="AG5285">
        <v>-1.1168661497179999</v>
      </c>
      <c r="AH5285">
        <v>16.419297665101201</v>
      </c>
      <c r="AI5285">
        <v>93.660334013735394</v>
      </c>
      <c r="AJ5285">
        <v>109.870102017338</v>
      </c>
      <c r="AK5285">
        <v>17.494377603543999</v>
      </c>
      <c r="AL5285">
        <v>77.254443604276503</v>
      </c>
      <c r="AM5285">
        <v>100.003406297441</v>
      </c>
      <c r="AN5285">
        <v>1.0000000400148601</v>
      </c>
    </row>
    <row r="5286" spans="1:40" x14ac:dyDescent="0.25">
      <c r="A5286" t="str">
        <f>"20190312172814212"</f>
        <v>20190312172814212</v>
      </c>
      <c r="B5286" t="str">
        <f>"1552382894205071"</f>
        <v>1552382894205071</v>
      </c>
      <c r="C5286" t="s">
        <v>40</v>
      </c>
      <c r="D5286">
        <v>3.2172420000000002</v>
      </c>
      <c r="E5286">
        <v>0.4322973</v>
      </c>
      <c r="F5286" t="s">
        <v>52</v>
      </c>
      <c r="G5286">
        <v>-289.2466</v>
      </c>
      <c r="H5286" s="1">
        <v>-3.3735060000000001E-6</v>
      </c>
      <c r="I5286">
        <v>-62.998420000000003</v>
      </c>
      <c r="J5286">
        <v>-299.95769999999999</v>
      </c>
      <c r="K5286">
        <v>1.1169530000000001</v>
      </c>
      <c r="L5286">
        <v>-48.632809999999999</v>
      </c>
      <c r="M5286">
        <v>0.29092760000000001</v>
      </c>
      <c r="N5286">
        <v>0</v>
      </c>
      <c r="O5286">
        <v>-0.9566209</v>
      </c>
      <c r="P5286">
        <v>0.44029269999999998</v>
      </c>
      <c r="Q5286">
        <v>0.20828820000000001</v>
      </c>
      <c r="R5286">
        <v>-0.87336049999999998</v>
      </c>
      <c r="S5286">
        <v>1.876984</v>
      </c>
      <c r="T5286">
        <v>-0.19373099999999999</v>
      </c>
      <c r="U5286">
        <v>-2.5458370000000001</v>
      </c>
      <c r="V5286">
        <v>-0.17053570000000001</v>
      </c>
      <c r="W5286">
        <v>0.2205386</v>
      </c>
      <c r="X5286">
        <v>0.96035429999999999</v>
      </c>
      <c r="Y5286">
        <v>-0.33239800000000003</v>
      </c>
      <c r="Z5286">
        <v>6.154134E-2</v>
      </c>
      <c r="AA5286">
        <v>0.9411292</v>
      </c>
      <c r="AB5286">
        <v>22</v>
      </c>
      <c r="AC5286">
        <v>10.711099999999901</v>
      </c>
      <c r="AD5286">
        <v>-1.116956373506</v>
      </c>
      <c r="AE5286">
        <v>-14.365609999999901</v>
      </c>
      <c r="AF5286">
        <v>-6.0443459165969102</v>
      </c>
      <c r="AG5286">
        <v>-1.116956373506</v>
      </c>
      <c r="AH5286">
        <v>16.7953440095039</v>
      </c>
      <c r="AI5286">
        <v>93.580618144957498</v>
      </c>
      <c r="AJ5286">
        <v>109.79290276242401</v>
      </c>
      <c r="AK5286">
        <v>17.884778150633501</v>
      </c>
      <c r="AL5286">
        <v>77.259330998681705</v>
      </c>
      <c r="AM5286">
        <v>100.069380642146</v>
      </c>
      <c r="AN5286">
        <v>1.0000000402964599</v>
      </c>
    </row>
    <row r="5287" spans="1:40" x14ac:dyDescent="0.25">
      <c r="A5287" t="str">
        <f>"20190312172814256"</f>
        <v>20190312172814256</v>
      </c>
      <c r="B5287" t="str">
        <f>"1552382894245086"</f>
        <v>1552382894245086</v>
      </c>
      <c r="C5287" t="s">
        <v>40</v>
      </c>
      <c r="D5287">
        <v>3.306943</v>
      </c>
      <c r="E5287">
        <v>0.43333430000000001</v>
      </c>
      <c r="F5287" t="s">
        <v>52</v>
      </c>
      <c r="G5287">
        <v>-288.524</v>
      </c>
      <c r="H5287" s="1">
        <v>-3.6703650000000001E-6</v>
      </c>
      <c r="I5287">
        <v>-63.586750000000002</v>
      </c>
      <c r="J5287">
        <v>-299.8091</v>
      </c>
      <c r="K5287">
        <v>1.117041</v>
      </c>
      <c r="L5287">
        <v>-49.028350000000003</v>
      </c>
      <c r="M5287">
        <v>0.311345599999999</v>
      </c>
      <c r="N5287">
        <v>0</v>
      </c>
      <c r="O5287">
        <v>-0.95017110000000005</v>
      </c>
      <c r="P5287">
        <v>0.45966780000000002</v>
      </c>
      <c r="Q5287">
        <v>0.2085332</v>
      </c>
      <c r="R5287">
        <v>-0.86326150000000001</v>
      </c>
      <c r="S5287">
        <v>1.92038</v>
      </c>
      <c r="T5287">
        <v>-0.1876014</v>
      </c>
      <c r="U5287">
        <v>-2.5116269999999998</v>
      </c>
      <c r="V5287">
        <v>-0.17147290000000001</v>
      </c>
      <c r="W5287">
        <v>0.22076229999999999</v>
      </c>
      <c r="X5287">
        <v>0.96013590000000004</v>
      </c>
      <c r="Y5287">
        <v>-0.32872200000000001</v>
      </c>
      <c r="Z5287">
        <v>5.9413790000000001E-2</v>
      </c>
      <c r="AA5287">
        <v>0.94255599999999995</v>
      </c>
      <c r="AB5287">
        <v>22</v>
      </c>
      <c r="AC5287">
        <v>11.2851</v>
      </c>
      <c r="AD5287">
        <v>-1.1170446703650001</v>
      </c>
      <c r="AE5287">
        <v>-14.558400000000001</v>
      </c>
      <c r="AF5287">
        <v>-6.1681377888986901</v>
      </c>
      <c r="AG5287">
        <v>-1.1170446703650001</v>
      </c>
      <c r="AH5287">
        <v>17.285042388062401</v>
      </c>
      <c r="AI5287">
        <v>93.483049845127397</v>
      </c>
      <c r="AJ5287">
        <v>109.638854334096</v>
      </c>
      <c r="AK5287">
        <v>18.386582143931602</v>
      </c>
      <c r="AL5287">
        <v>77.246188844228499</v>
      </c>
      <c r="AM5287">
        <v>100.12583177372299</v>
      </c>
      <c r="AN5287">
        <v>0.99999994750225296</v>
      </c>
    </row>
    <row r="5288" spans="1:40" x14ac:dyDescent="0.25">
      <c r="A5288" t="str">
        <f>"20190312172814289"</f>
        <v>20190312172814289</v>
      </c>
      <c r="B5288" t="str">
        <f>"1552382894285102"</f>
        <v>1552382894285102</v>
      </c>
      <c r="C5288" t="s">
        <v>40</v>
      </c>
      <c r="D5288">
        <v>3.2098439999999999</v>
      </c>
      <c r="E5288">
        <v>0.43470350000000002</v>
      </c>
      <c r="F5288" t="s">
        <v>52</v>
      </c>
      <c r="G5288">
        <v>-288.32670000000002</v>
      </c>
      <c r="H5288" s="1">
        <v>-3.8107709999999998E-6</v>
      </c>
      <c r="I5288">
        <v>-63.439450000000001</v>
      </c>
      <c r="J5288">
        <v>-299.69889999999998</v>
      </c>
      <c r="K5288">
        <v>1.117086</v>
      </c>
      <c r="L5288">
        <v>-49.305819999999997</v>
      </c>
      <c r="M5288">
        <v>0.32594279999999998</v>
      </c>
      <c r="N5288">
        <v>0</v>
      </c>
      <c r="O5288">
        <v>-0.94526279999999996</v>
      </c>
      <c r="P5288">
        <v>0.47304410000000002</v>
      </c>
      <c r="Q5288">
        <v>0.208062</v>
      </c>
      <c r="R5288">
        <v>-0.85611919999999897</v>
      </c>
      <c r="S5288">
        <v>1.970032</v>
      </c>
      <c r="T5288">
        <v>-0.19165090000000001</v>
      </c>
      <c r="U5288">
        <v>-2.4725039999999998</v>
      </c>
      <c r="V5288">
        <v>-0.17160410000000001</v>
      </c>
      <c r="W5288">
        <v>0.2202935</v>
      </c>
      <c r="X5288">
        <v>0.96022019999999997</v>
      </c>
      <c r="Y5288">
        <v>-0.33297379999999999</v>
      </c>
      <c r="Z5288">
        <v>6.059631E-2</v>
      </c>
      <c r="AA5288">
        <v>0.94098700000000002</v>
      </c>
      <c r="AB5288">
        <v>22</v>
      </c>
      <c r="AC5288">
        <v>11.3721999999999</v>
      </c>
      <c r="AD5288">
        <v>-1.1170898107709999</v>
      </c>
      <c r="AE5288">
        <v>-14.133629999999901</v>
      </c>
      <c r="AF5288">
        <v>-6.1204897384118304</v>
      </c>
      <c r="AG5288">
        <v>-1.1170898107709999</v>
      </c>
      <c r="AH5288">
        <v>17.0042459514063</v>
      </c>
      <c r="AI5288">
        <v>93.537099322074894</v>
      </c>
      <c r="AJ5288">
        <v>109.795777632075</v>
      </c>
      <c r="AK5288">
        <v>18.106702202754899</v>
      </c>
      <c r="AL5288">
        <v>77.273727926474905</v>
      </c>
      <c r="AM5288">
        <v>100.132547707041</v>
      </c>
      <c r="AN5288">
        <v>1.00000001288355</v>
      </c>
    </row>
    <row r="5289" spans="1:40" x14ac:dyDescent="0.25">
      <c r="A5289" t="str">
        <f>"20190312172814325"</f>
        <v>20190312172814325</v>
      </c>
      <c r="B5289" t="str">
        <f>"1552382894315359"</f>
        <v>1552382894315359</v>
      </c>
      <c r="C5289" t="s">
        <v>40</v>
      </c>
      <c r="D5289">
        <v>3.3103220000000002</v>
      </c>
      <c r="E5289">
        <v>0.43562889999999999</v>
      </c>
      <c r="F5289" t="s">
        <v>52</v>
      </c>
      <c r="G5289">
        <v>-288.2919</v>
      </c>
      <c r="H5289" s="1">
        <v>-3.857748E-6</v>
      </c>
      <c r="I5289">
        <v>-63.273850000000003</v>
      </c>
      <c r="J5289">
        <v>-299.56799999999998</v>
      </c>
      <c r="K5289">
        <v>1.1171139999999999</v>
      </c>
      <c r="L5289">
        <v>-49.618229999999997</v>
      </c>
      <c r="M5289">
        <v>0.34267500000000001</v>
      </c>
      <c r="N5289">
        <v>0</v>
      </c>
      <c r="O5289">
        <v>-0.9393262</v>
      </c>
      <c r="P5289">
        <v>0.48790230000000001</v>
      </c>
      <c r="Q5289">
        <v>0.20700440000000001</v>
      </c>
      <c r="R5289">
        <v>-0.84799840000000004</v>
      </c>
      <c r="S5289">
        <v>1.9986569999999999</v>
      </c>
      <c r="T5289">
        <v>-0.19572929999999999</v>
      </c>
      <c r="U5289">
        <v>-2.4473880000000001</v>
      </c>
      <c r="V5289">
        <v>-0.17121349999999999</v>
      </c>
      <c r="W5289">
        <v>0.219251</v>
      </c>
      <c r="X5289">
        <v>0.96052839999999995</v>
      </c>
      <c r="Y5289">
        <v>-0.32751059999999999</v>
      </c>
      <c r="Z5289">
        <v>6.1660020000000003E-2</v>
      </c>
      <c r="AA5289">
        <v>0.94283340000000004</v>
      </c>
      <c r="AB5289">
        <v>21</v>
      </c>
      <c r="AC5289">
        <v>11.2760999999999</v>
      </c>
      <c r="AD5289">
        <v>-1.1171178577480001</v>
      </c>
      <c r="AE5289">
        <v>-13.655620000000001</v>
      </c>
      <c r="AF5289">
        <v>-5.8897705898568304</v>
      </c>
      <c r="AG5289">
        <v>-1.1171178577480001</v>
      </c>
      <c r="AH5289">
        <v>16.6269631963007</v>
      </c>
      <c r="AI5289">
        <v>93.623767962882994</v>
      </c>
      <c r="AJ5289">
        <v>109.505677076645</v>
      </c>
      <c r="AK5289">
        <v>17.6746500683997</v>
      </c>
      <c r="AL5289">
        <v>77.334954727130807</v>
      </c>
      <c r="AM5289">
        <v>100.10678354060499</v>
      </c>
      <c r="AN5289">
        <v>0.99999993539490195</v>
      </c>
    </row>
    <row r="5290" spans="1:40" x14ac:dyDescent="0.25">
      <c r="A5290" t="str">
        <f>"20190312172814368"</f>
        <v>20190312172814368</v>
      </c>
      <c r="B5290" t="str">
        <f>"1552382894365135"</f>
        <v>1552382894365135</v>
      </c>
      <c r="C5290" t="s">
        <v>40</v>
      </c>
      <c r="D5290">
        <v>3.2000009999999999</v>
      </c>
      <c r="E5290">
        <v>0.43672919999999998</v>
      </c>
      <c r="F5290" t="s">
        <v>52</v>
      </c>
      <c r="G5290">
        <v>-288.25869999999998</v>
      </c>
      <c r="H5290" s="1">
        <v>-3.9151669999999999E-6</v>
      </c>
      <c r="I5290">
        <v>-63.045140000000004</v>
      </c>
      <c r="J5290">
        <v>-299.4033</v>
      </c>
      <c r="K5290">
        <v>1.1171500000000001</v>
      </c>
      <c r="L5290">
        <v>-49.990360000000003</v>
      </c>
      <c r="M5290">
        <v>0.36294530000000003</v>
      </c>
      <c r="N5290">
        <v>0</v>
      </c>
      <c r="O5290">
        <v>-0.93168110000000004</v>
      </c>
      <c r="P5290">
        <v>0.50486339999999996</v>
      </c>
      <c r="Q5290">
        <v>0.20595920000000001</v>
      </c>
      <c r="R5290">
        <v>-0.83826829999999997</v>
      </c>
      <c r="S5290">
        <v>2.0349430000000002</v>
      </c>
      <c r="T5290">
        <v>-0.20100960000000001</v>
      </c>
      <c r="U5290">
        <v>-2.415985</v>
      </c>
      <c r="V5290">
        <v>-0.16963439999999999</v>
      </c>
      <c r="W5290">
        <v>0.21824279999999999</v>
      </c>
      <c r="X5290">
        <v>0.96103810000000001</v>
      </c>
      <c r="Y5290">
        <v>-0.32129259999999998</v>
      </c>
      <c r="Z5290">
        <v>6.2991980000000003E-2</v>
      </c>
      <c r="AA5290">
        <v>0.94488260000000002</v>
      </c>
      <c r="AB5290">
        <v>21</v>
      </c>
      <c r="AC5290">
        <v>11.144600000000001</v>
      </c>
      <c r="AD5290">
        <v>-1.117153915167</v>
      </c>
      <c r="AE5290">
        <v>-13.054779999999999</v>
      </c>
      <c r="AF5290">
        <v>-5.6219085230525296</v>
      </c>
      <c r="AG5290">
        <v>-1.117153915167</v>
      </c>
      <c r="AH5290">
        <v>16.141351848787899</v>
      </c>
      <c r="AI5290">
        <v>93.739521995477602</v>
      </c>
      <c r="AJ5290">
        <v>109.202833580662</v>
      </c>
      <c r="AK5290">
        <v>17.128839068019499</v>
      </c>
      <c r="AL5290">
        <v>77.394154743575001</v>
      </c>
      <c r="AM5290">
        <v>100.01026019820399</v>
      </c>
      <c r="AN5290">
        <v>0.99999998953340496</v>
      </c>
    </row>
    <row r="5291" spans="1:40" x14ac:dyDescent="0.25">
      <c r="A5291" t="str">
        <f>"20190312172814398"</f>
        <v>20190312172814398</v>
      </c>
      <c r="B5291" t="str">
        <f>"1552382894395391"</f>
        <v>1552382894395391</v>
      </c>
      <c r="C5291" t="s">
        <v>40</v>
      </c>
      <c r="D5291">
        <v>3.1983890000000001</v>
      </c>
      <c r="E5291">
        <v>0.43752659999999999</v>
      </c>
      <c r="F5291" t="s">
        <v>52</v>
      </c>
      <c r="G5291">
        <v>-288.03039999999999</v>
      </c>
      <c r="H5291" s="1">
        <v>-4.0336940000000003E-6</v>
      </c>
      <c r="I5291">
        <v>-63.024769999999997</v>
      </c>
      <c r="J5291">
        <v>-299.28489999999999</v>
      </c>
      <c r="K5291">
        <v>1.117181</v>
      </c>
      <c r="L5291">
        <v>-50.243870000000001</v>
      </c>
      <c r="M5291">
        <v>0.3769979</v>
      </c>
      <c r="N5291">
        <v>0</v>
      </c>
      <c r="O5291">
        <v>-0.92608369999999995</v>
      </c>
      <c r="P5291">
        <v>0.51734849999999999</v>
      </c>
      <c r="Q5291">
        <v>0.20506099999999999</v>
      </c>
      <c r="R5291">
        <v>-0.83084309999999995</v>
      </c>
      <c r="S5291">
        <v>2.0755919999999999</v>
      </c>
      <c r="T5291">
        <v>-0.2038835</v>
      </c>
      <c r="U5291">
        <v>-2.3788149999999999</v>
      </c>
      <c r="V5291">
        <v>-0.16939399999999999</v>
      </c>
      <c r="W5291">
        <v>0.21735199999999999</v>
      </c>
      <c r="X5291">
        <v>0.96128239999999998</v>
      </c>
      <c r="Y5291">
        <v>-0.3234052</v>
      </c>
      <c r="Z5291">
        <v>6.3742259999999995E-2</v>
      </c>
      <c r="AA5291">
        <v>0.94411120000000004</v>
      </c>
      <c r="AB5291">
        <v>21</v>
      </c>
      <c r="AC5291">
        <v>11.2545</v>
      </c>
      <c r="AD5291">
        <v>-1.1171850336939999</v>
      </c>
      <c r="AE5291">
        <v>-12.7808999999999</v>
      </c>
      <c r="AF5291">
        <v>-5.5808957450717003</v>
      </c>
      <c r="AG5291">
        <v>-1.1171850336939999</v>
      </c>
      <c r="AH5291">
        <v>16.012138985359901</v>
      </c>
      <c r="AI5291">
        <v>93.7694257034983</v>
      </c>
      <c r="AJ5291">
        <v>109.215568727188</v>
      </c>
      <c r="AK5291">
        <v>16.993619232033801</v>
      </c>
      <c r="AL5291">
        <v>77.446449798196895</v>
      </c>
      <c r="AM5291">
        <v>99.993871084158201</v>
      </c>
      <c r="AN5291">
        <v>1.00000003584487</v>
      </c>
    </row>
    <row r="5292" spans="1:40" x14ac:dyDescent="0.25">
      <c r="A5292" t="str">
        <f>"20190312172814422"</f>
        <v>20190312172814422</v>
      </c>
      <c r="B5292" t="str">
        <f>"1552382894414910"</f>
        <v>1552382894414910</v>
      </c>
      <c r="C5292" t="s">
        <v>40</v>
      </c>
      <c r="D5292">
        <v>3.2753939999999999</v>
      </c>
      <c r="E5292">
        <v>0.43881290000000001</v>
      </c>
      <c r="F5292" t="s">
        <v>52</v>
      </c>
      <c r="G5292">
        <v>-287.93329999999997</v>
      </c>
      <c r="H5292" s="1">
        <v>-4.1006750000000003E-6</v>
      </c>
      <c r="I5292">
        <v>-62.92306</v>
      </c>
      <c r="J5292">
        <v>-299.18520000000001</v>
      </c>
      <c r="K5292">
        <v>1.1171990000000001</v>
      </c>
      <c r="L5292">
        <v>-50.449950000000001</v>
      </c>
      <c r="M5292">
        <v>0.38853989999999999</v>
      </c>
      <c r="N5292">
        <v>0</v>
      </c>
      <c r="O5292">
        <v>-0.92130069999999997</v>
      </c>
      <c r="P5292">
        <v>0.52771489999999999</v>
      </c>
      <c r="Q5292">
        <v>0.204292</v>
      </c>
      <c r="R5292">
        <v>-0.82448889999999997</v>
      </c>
      <c r="S5292">
        <v>2.1050110000000002</v>
      </c>
      <c r="T5292">
        <v>-0.20716789999999999</v>
      </c>
      <c r="U5292">
        <v>-2.3511959999999998</v>
      </c>
      <c r="V5292">
        <v>-0.169352</v>
      </c>
      <c r="W5292">
        <v>0.21658630000000001</v>
      </c>
      <c r="X5292">
        <v>0.96146259999999995</v>
      </c>
      <c r="Y5292">
        <v>-0.32360559999999899</v>
      </c>
      <c r="Z5292">
        <v>6.4605770000000007E-2</v>
      </c>
      <c r="AA5292">
        <v>0.94398389999999999</v>
      </c>
      <c r="AB5292">
        <v>21</v>
      </c>
      <c r="AC5292">
        <v>11.251899999999999</v>
      </c>
      <c r="AD5292">
        <v>-1.1172031006750001</v>
      </c>
      <c r="AE5292">
        <v>-12.473109999999901</v>
      </c>
      <c r="AF5292">
        <v>-5.49643823400298</v>
      </c>
      <c r="AG5292">
        <v>-1.1172031006750001</v>
      </c>
      <c r="AH5292">
        <v>15.7953497251159</v>
      </c>
      <c r="AI5292">
        <v>93.821736589416503</v>
      </c>
      <c r="AJ5292">
        <v>109.186785283291</v>
      </c>
      <c r="AK5292">
        <v>16.761624293817299</v>
      </c>
      <c r="AL5292">
        <v>77.491391666117593</v>
      </c>
      <c r="AM5292">
        <v>99.989608212479396</v>
      </c>
      <c r="AN5292">
        <v>1.0000000282252199</v>
      </c>
    </row>
    <row r="5293" spans="1:40" x14ac:dyDescent="0.25">
      <c r="A5293" t="str">
        <f>"20190312172814457"</f>
        <v>20190312172814457</v>
      </c>
      <c r="B5293" t="str">
        <f>"1552382894454927"</f>
        <v>1552382894454927</v>
      </c>
      <c r="C5293" t="s">
        <v>40</v>
      </c>
      <c r="D5293">
        <v>3.339985</v>
      </c>
      <c r="E5293">
        <v>0.45554060000000002</v>
      </c>
      <c r="F5293" t="s">
        <v>52</v>
      </c>
      <c r="G5293">
        <v>-288.00240000000002</v>
      </c>
      <c r="H5293" s="1">
        <v>-4.1028279999999998E-6</v>
      </c>
      <c r="I5293">
        <v>-62.715499999999999</v>
      </c>
      <c r="J5293">
        <v>-299.0412</v>
      </c>
      <c r="K5293">
        <v>1.117221</v>
      </c>
      <c r="L5293">
        <v>-50.73563</v>
      </c>
      <c r="M5293">
        <v>0.40474110000000002</v>
      </c>
      <c r="N5293">
        <v>0</v>
      </c>
      <c r="O5293">
        <v>-0.91429899999999997</v>
      </c>
      <c r="P5293">
        <v>0.54331260000000003</v>
      </c>
      <c r="Q5293">
        <v>0.20255719999999999</v>
      </c>
      <c r="R5293">
        <v>-0.81472840000000002</v>
      </c>
      <c r="S5293">
        <v>2.1252140000000002</v>
      </c>
      <c r="T5293">
        <v>-0.2123176</v>
      </c>
      <c r="U5293">
        <v>-2.330994</v>
      </c>
      <c r="V5293">
        <v>-0.1704986</v>
      </c>
      <c r="W5293">
        <v>0.21483650000000001</v>
      </c>
      <c r="X5293">
        <v>0.96165250000000002</v>
      </c>
      <c r="Y5293">
        <v>-0.3153687</v>
      </c>
      <c r="Z5293">
        <v>6.5825839999999997E-2</v>
      </c>
      <c r="AA5293">
        <v>0.94668350000000001</v>
      </c>
      <c r="AB5293">
        <v>21</v>
      </c>
      <c r="AC5293">
        <v>11.038799999999901</v>
      </c>
      <c r="AD5293">
        <v>-1.117225102828</v>
      </c>
      <c r="AE5293">
        <v>-11.979869999999901</v>
      </c>
      <c r="AF5293">
        <v>-5.2200996377291604</v>
      </c>
      <c r="AG5293">
        <v>-1.117225102828</v>
      </c>
      <c r="AH5293">
        <v>15.3507025751712</v>
      </c>
      <c r="AI5293">
        <v>93.941735390058199</v>
      </c>
      <c r="AJ5293">
        <v>108.78091301775299</v>
      </c>
      <c r="AK5293">
        <v>16.252436792972802</v>
      </c>
      <c r="AL5293">
        <v>77.594064858749306</v>
      </c>
      <c r="AM5293">
        <v>100.05392186566699</v>
      </c>
      <c r="AN5293">
        <v>1.00000001254523</v>
      </c>
    </row>
    <row r="5294" spans="1:40" x14ac:dyDescent="0.25">
      <c r="A5294" t="str">
        <f>"20190312172814486"</f>
        <v>20190312172814486</v>
      </c>
      <c r="B5294" t="str">
        <f>"1552382894475423"</f>
        <v>1552382894475423</v>
      </c>
      <c r="C5294" t="s">
        <v>40</v>
      </c>
      <c r="D5294">
        <v>3.354749</v>
      </c>
      <c r="E5294">
        <v>0.45638960000000001</v>
      </c>
      <c r="F5294" t="s">
        <v>52</v>
      </c>
      <c r="G5294">
        <v>-289.8732</v>
      </c>
      <c r="H5294" s="1">
        <v>-3.3866330000000002E-6</v>
      </c>
      <c r="I5294">
        <v>-61.271360000000001</v>
      </c>
      <c r="J5294">
        <v>-298.91809999999998</v>
      </c>
      <c r="K5294">
        <v>1.117229</v>
      </c>
      <c r="L5294">
        <v>-50.970489999999998</v>
      </c>
      <c r="M5294">
        <v>0.4182091</v>
      </c>
      <c r="N5294">
        <v>0</v>
      </c>
      <c r="O5294">
        <v>-0.90821739999999995</v>
      </c>
      <c r="P5294">
        <v>0.5557687</v>
      </c>
      <c r="Q5294">
        <v>0.20176350000000001</v>
      </c>
      <c r="R5294">
        <v>-0.80648180000000003</v>
      </c>
      <c r="S5294">
        <v>2.0620120000000002</v>
      </c>
      <c r="T5294">
        <v>-0.25127880000000002</v>
      </c>
      <c r="U5294">
        <v>-2.3696290000000002</v>
      </c>
      <c r="V5294">
        <v>-0.17097899999999999</v>
      </c>
      <c r="W5294">
        <v>0.2140396</v>
      </c>
      <c r="X5294">
        <v>0.96174490000000001</v>
      </c>
      <c r="Y5294">
        <v>-0.27861320000000001</v>
      </c>
      <c r="Z5294">
        <v>7.7200179999999993E-2</v>
      </c>
      <c r="AA5294">
        <v>0.95729549999999997</v>
      </c>
      <c r="AB5294">
        <v>21</v>
      </c>
      <c r="AC5294">
        <v>9.0448999999999806</v>
      </c>
      <c r="AD5294">
        <v>-1.1172323866329901</v>
      </c>
      <c r="AE5294">
        <v>-10.3008699999999</v>
      </c>
      <c r="AF5294">
        <v>-3.8815092525952299</v>
      </c>
      <c r="AG5294">
        <v>-1.1172323866329901</v>
      </c>
      <c r="AH5294">
        <v>13.0529790744783</v>
      </c>
      <c r="AI5294">
        <v>94.690135777075795</v>
      </c>
      <c r="AJ5294">
        <v>106.560676229791</v>
      </c>
      <c r="AK5294">
        <v>13.6636226895539</v>
      </c>
      <c r="AL5294">
        <v>77.640811278498106</v>
      </c>
      <c r="AM5294">
        <v>100.080720930075</v>
      </c>
      <c r="AN5294">
        <v>1.0000000107425799</v>
      </c>
    </row>
    <row r="5295" spans="1:40" x14ac:dyDescent="0.25">
      <c r="A5295" t="str">
        <f>"20190312172814510"</f>
        <v>20190312172814510</v>
      </c>
      <c r="B5295" t="str">
        <f>"1552382894504702"</f>
        <v>1552382894504702</v>
      </c>
      <c r="C5295" t="s">
        <v>40</v>
      </c>
      <c r="D5295">
        <v>3.3206470000000001</v>
      </c>
      <c r="E5295">
        <v>0.45667360000000001</v>
      </c>
      <c r="F5295" t="s">
        <v>52</v>
      </c>
      <c r="G5295">
        <v>-289.39510000000001</v>
      </c>
      <c r="H5295" s="1">
        <v>-3.5890529999999998E-6</v>
      </c>
      <c r="I5295">
        <v>-61.633609999999997</v>
      </c>
      <c r="J5295">
        <v>-298.81450000000001</v>
      </c>
      <c r="K5295">
        <v>1.1172359999999999</v>
      </c>
      <c r="L5295">
        <v>-51.161320000000003</v>
      </c>
      <c r="M5295">
        <v>0.42925940000000001</v>
      </c>
      <c r="N5295">
        <v>0</v>
      </c>
      <c r="O5295">
        <v>-0.90304700000000004</v>
      </c>
      <c r="P5295">
        <v>0.5660946</v>
      </c>
      <c r="Q5295">
        <v>0.20182040000000001</v>
      </c>
      <c r="R5295">
        <v>-0.799253199999999</v>
      </c>
      <c r="S5295">
        <v>2.0903930000000002</v>
      </c>
      <c r="T5295">
        <v>-0.2452443</v>
      </c>
      <c r="U5295">
        <v>-2.340668</v>
      </c>
      <c r="V5295">
        <v>-0.171625</v>
      </c>
      <c r="W5295">
        <v>0.214089</v>
      </c>
      <c r="X5295">
        <v>0.9616188</v>
      </c>
      <c r="Y5295">
        <v>-0.27933540000000001</v>
      </c>
      <c r="Z5295">
        <v>7.5160350000000001E-2</v>
      </c>
      <c r="AA5295">
        <v>0.95724739999999997</v>
      </c>
      <c r="AB5295">
        <v>21</v>
      </c>
      <c r="AC5295">
        <v>9.4193999999999907</v>
      </c>
      <c r="AD5295">
        <v>-1.117239589053</v>
      </c>
      <c r="AE5295">
        <v>-10.4722899999999</v>
      </c>
      <c r="AF5295">
        <v>-3.9862383620778301</v>
      </c>
      <c r="AG5295">
        <v>-1.117239589053</v>
      </c>
      <c r="AH5295">
        <v>13.4175546720687</v>
      </c>
      <c r="AI5295">
        <v>94.563613218150607</v>
      </c>
      <c r="AJ5295">
        <v>106.54622490749701</v>
      </c>
      <c r="AK5295">
        <v>14.0416912783539</v>
      </c>
      <c r="AL5295">
        <v>77.637913295393901</v>
      </c>
      <c r="AM5295">
        <v>100.119322238959</v>
      </c>
      <c r="AN5295">
        <v>0.999999978529719</v>
      </c>
    </row>
    <row r="5296" spans="1:40" x14ac:dyDescent="0.25">
      <c r="A5296" t="str">
        <f>"20190312172814535"</f>
        <v>20190312172814535</v>
      </c>
      <c r="B5296" t="str">
        <f>"1552382894525199"</f>
        <v>1552382894525199</v>
      </c>
      <c r="C5296" t="s">
        <v>40</v>
      </c>
      <c r="D5296">
        <v>3.3420589999999901</v>
      </c>
      <c r="E5296">
        <v>0.45768239999999999</v>
      </c>
      <c r="F5296" t="s">
        <v>52</v>
      </c>
      <c r="G5296">
        <v>-289.25729999999999</v>
      </c>
      <c r="H5296" s="1">
        <v>-3.6692829999999999E-6</v>
      </c>
      <c r="I5296">
        <v>-61.603499999999997</v>
      </c>
      <c r="J5296">
        <v>-298.69600000000003</v>
      </c>
      <c r="K5296">
        <v>1.1172329999999999</v>
      </c>
      <c r="L5296">
        <v>-51.372190000000003</v>
      </c>
      <c r="M5296">
        <v>0.44157750000000001</v>
      </c>
      <c r="N5296">
        <v>0</v>
      </c>
      <c r="O5296">
        <v>-0.89708779999999999</v>
      </c>
      <c r="P5296">
        <v>0.57643159999999904</v>
      </c>
      <c r="Q5296">
        <v>0.20214850000000001</v>
      </c>
      <c r="R5296">
        <v>-0.79174669999999903</v>
      </c>
      <c r="S5296">
        <v>2.1189879999999999</v>
      </c>
      <c r="T5296">
        <v>-0.2477115</v>
      </c>
      <c r="U5296">
        <v>-2.3152159999999999</v>
      </c>
      <c r="V5296">
        <v>-0.17100009999999999</v>
      </c>
      <c r="W5296">
        <v>0.2144337</v>
      </c>
      <c r="X5296">
        <v>0.96165339999999999</v>
      </c>
      <c r="Y5296">
        <v>-0.27784379999999997</v>
      </c>
      <c r="Z5296">
        <v>7.5548249999999997E-2</v>
      </c>
      <c r="AA5296">
        <v>0.95765089999999997</v>
      </c>
      <c r="AB5296">
        <v>21</v>
      </c>
      <c r="AC5296">
        <v>9.4386999999999794</v>
      </c>
      <c r="AD5296">
        <v>-1.117236669283</v>
      </c>
      <c r="AE5296">
        <v>-10.231309999999899</v>
      </c>
      <c r="AF5296">
        <v>-3.9246242481225999</v>
      </c>
      <c r="AG5296">
        <v>-1.117236669283</v>
      </c>
      <c r="AH5296">
        <v>13.2624872368308</v>
      </c>
      <c r="AI5296">
        <v>94.6181991349074</v>
      </c>
      <c r="AJ5296">
        <v>106.48449560583801</v>
      </c>
      <c r="AK5296">
        <v>13.8760390951901</v>
      </c>
      <c r="AL5296">
        <v>77.617694818152302</v>
      </c>
      <c r="AM5296">
        <v>100.082879042776</v>
      </c>
      <c r="AN5296">
        <v>1.00000005381362</v>
      </c>
    </row>
    <row r="5297" spans="1:40" x14ac:dyDescent="0.25">
      <c r="A5297" t="str">
        <f>"20190312172814569"</f>
        <v>20190312172814569</v>
      </c>
      <c r="B5297" t="str">
        <f>"1552382894565215"</f>
        <v>1552382894565215</v>
      </c>
      <c r="C5297" t="s">
        <v>40</v>
      </c>
      <c r="D5297">
        <v>3.2737790000000002</v>
      </c>
      <c r="E5297">
        <v>0.44561079999999997</v>
      </c>
      <c r="F5297" t="s">
        <v>52</v>
      </c>
      <c r="G5297">
        <v>-288.88529999999997</v>
      </c>
      <c r="H5297" s="1">
        <v>-3.8101600000000001E-6</v>
      </c>
      <c r="I5297">
        <v>-61.863689999999998</v>
      </c>
      <c r="J5297">
        <v>-298.54480000000001</v>
      </c>
      <c r="K5297">
        <v>1.1172219999999999</v>
      </c>
      <c r="L5297">
        <v>-51.632719999999999</v>
      </c>
      <c r="M5297">
        <v>0.4568914</v>
      </c>
      <c r="N5297">
        <v>0</v>
      </c>
      <c r="O5297">
        <v>-0.88938589999999995</v>
      </c>
      <c r="P5297">
        <v>0.58949030000000002</v>
      </c>
      <c r="Q5297">
        <v>0.2021</v>
      </c>
      <c r="R5297">
        <v>-0.78208529999999998</v>
      </c>
      <c r="S5297">
        <v>2.1427</v>
      </c>
      <c r="T5297">
        <v>-0.2440087</v>
      </c>
      <c r="U5297">
        <v>-2.291382</v>
      </c>
      <c r="V5297">
        <v>-0.17045969999999999</v>
      </c>
      <c r="W5297">
        <v>0.21440390000000001</v>
      </c>
      <c r="X5297">
        <v>0.9617559</v>
      </c>
      <c r="Y5297">
        <v>-0.27170630000000001</v>
      </c>
      <c r="Z5297">
        <v>7.3914729999999998E-2</v>
      </c>
      <c r="AA5297">
        <v>0.95953759999999999</v>
      </c>
      <c r="AB5297">
        <v>21</v>
      </c>
      <c r="AC5297">
        <v>9.6595000000000297</v>
      </c>
      <c r="AD5297">
        <v>-1.1172258101600001</v>
      </c>
      <c r="AE5297">
        <v>-10.230969999999999</v>
      </c>
      <c r="AF5297">
        <v>-3.89251569570221</v>
      </c>
      <c r="AG5297">
        <v>-1.1172258101600001</v>
      </c>
      <c r="AH5297">
        <v>13.4295954305198</v>
      </c>
      <c r="AI5297">
        <v>94.568379488450105</v>
      </c>
      <c r="AJ5297">
        <v>106.16402426350599</v>
      </c>
      <c r="AK5297">
        <v>14.026899350163401</v>
      </c>
      <c r="AL5297">
        <v>77.619441915894697</v>
      </c>
      <c r="AM5297">
        <v>100.05061616293899</v>
      </c>
      <c r="AN5297">
        <v>0.99999997642205396</v>
      </c>
    </row>
    <row r="5298" spans="1:40" x14ac:dyDescent="0.25">
      <c r="A5298" t="str">
        <f>"20190312172814603"</f>
        <v>20190312172814603</v>
      </c>
      <c r="B5298" t="str">
        <f>"1552382894595470"</f>
        <v>1552382894595470</v>
      </c>
      <c r="C5298" t="s">
        <v>40</v>
      </c>
      <c r="D5298">
        <v>3.2107559999999999</v>
      </c>
      <c r="E5298">
        <v>0.44329089999999999</v>
      </c>
      <c r="F5298" t="s">
        <v>52</v>
      </c>
      <c r="G5298">
        <v>-287.03230000000002</v>
      </c>
      <c r="H5298" s="1">
        <v>-4.5678230000000001E-6</v>
      </c>
      <c r="I5298">
        <v>-62.845799999999997</v>
      </c>
      <c r="J5298">
        <v>-298.38470000000001</v>
      </c>
      <c r="K5298">
        <v>1.117202</v>
      </c>
      <c r="L5298">
        <v>-51.896700000000003</v>
      </c>
      <c r="M5298">
        <v>0.47253440000000002</v>
      </c>
      <c r="N5298">
        <v>0</v>
      </c>
      <c r="O5298">
        <v>-0.88117409999999996</v>
      </c>
      <c r="P5298">
        <v>0.60302809999999996</v>
      </c>
      <c r="Q5298">
        <v>0.201817</v>
      </c>
      <c r="R5298">
        <v>-0.77176889999999998</v>
      </c>
      <c r="S5298">
        <v>2.2528990000000002</v>
      </c>
      <c r="T5298">
        <v>-0.21863189999999999</v>
      </c>
      <c r="U5298">
        <v>-2.1943049999999999</v>
      </c>
      <c r="V5298">
        <v>-0.17017360000000001</v>
      </c>
      <c r="W5298">
        <v>0.21413740000000001</v>
      </c>
      <c r="X5298">
        <v>0.961866</v>
      </c>
      <c r="Y5298">
        <v>-0.29982140000000002</v>
      </c>
      <c r="Z5298">
        <v>6.6171899999999895E-2</v>
      </c>
      <c r="AA5298">
        <v>0.95169760000000003</v>
      </c>
      <c r="AB5298">
        <v>21</v>
      </c>
      <c r="AC5298">
        <v>11.3523999999999</v>
      </c>
      <c r="AD5298">
        <v>-1.1172065678229901</v>
      </c>
      <c r="AE5298">
        <v>-10.9490999999999</v>
      </c>
      <c r="AF5298">
        <v>-4.8060879230477598</v>
      </c>
      <c r="AG5298">
        <v>-1.1172065678229901</v>
      </c>
      <c r="AH5298">
        <v>14.939332557707701</v>
      </c>
      <c r="AI5298">
        <v>94.071998385061207</v>
      </c>
      <c r="AJ5298">
        <v>107.833346901295</v>
      </c>
      <c r="AK5298">
        <v>15.7330953378233</v>
      </c>
      <c r="AL5298">
        <v>77.635075126735501</v>
      </c>
      <c r="AM5298">
        <v>100.03296504831501</v>
      </c>
      <c r="AN5298">
        <v>1.0000000410858501</v>
      </c>
    </row>
    <row r="5299" spans="1:40" x14ac:dyDescent="0.25">
      <c r="A5299" t="str">
        <f>"20190312172814636"</f>
        <v>20190312172814636</v>
      </c>
      <c r="B5299" t="str">
        <f>"1552382894624761"</f>
        <v>1552382894624761</v>
      </c>
      <c r="C5299" t="s">
        <v>40</v>
      </c>
      <c r="D5299">
        <v>3.2540499999999999</v>
      </c>
      <c r="E5299">
        <v>0.44326450000000001</v>
      </c>
      <c r="F5299" t="s">
        <v>52</v>
      </c>
      <c r="G5299">
        <v>-287.31020000000001</v>
      </c>
      <c r="H5299" s="1">
        <v>-4.543494E-6</v>
      </c>
      <c r="I5299">
        <v>-62.196750000000002</v>
      </c>
      <c r="J5299">
        <v>-298.22489999999999</v>
      </c>
      <c r="K5299">
        <v>1.1171770000000001</v>
      </c>
      <c r="L5299">
        <v>-52.150239999999997</v>
      </c>
      <c r="M5299">
        <v>0.48763600000000001</v>
      </c>
      <c r="N5299">
        <v>0</v>
      </c>
      <c r="O5299">
        <v>-0.87290780000000001</v>
      </c>
      <c r="P5299">
        <v>0.61505739999999998</v>
      </c>
      <c r="Q5299">
        <v>0.20164470000000001</v>
      </c>
      <c r="R5299">
        <v>-0.76226249999999995</v>
      </c>
      <c r="S5299">
        <v>2.306854</v>
      </c>
      <c r="T5299">
        <v>-0.23271810000000001</v>
      </c>
      <c r="U5299">
        <v>-2.1455380000000002</v>
      </c>
      <c r="V5299">
        <v>-0.1686511</v>
      </c>
      <c r="W5299">
        <v>0.21400420000000001</v>
      </c>
      <c r="X5299">
        <v>0.96216369999999896</v>
      </c>
      <c r="Y5299">
        <v>-0.30510039999999999</v>
      </c>
      <c r="Z5299">
        <v>6.9959999999999994E-2</v>
      </c>
      <c r="AA5299">
        <v>0.94974700000000001</v>
      </c>
      <c r="AB5299">
        <v>21</v>
      </c>
      <c r="AC5299">
        <v>10.9146999999999</v>
      </c>
      <c r="AD5299">
        <v>-1.117181543494</v>
      </c>
      <c r="AE5299">
        <v>-10.0465099999999</v>
      </c>
      <c r="AF5299">
        <v>-4.6029437756138796</v>
      </c>
      <c r="AG5299">
        <v>-1.117181543494</v>
      </c>
      <c r="AH5299">
        <v>14.014308225413</v>
      </c>
      <c r="AI5299">
        <v>94.331124489747694</v>
      </c>
      <c r="AJ5299">
        <v>108.18256027666401</v>
      </c>
      <c r="AK5299">
        <v>14.793107213816301</v>
      </c>
      <c r="AL5299">
        <v>77.642887380432796</v>
      </c>
      <c r="AM5299">
        <v>99.941986890046806</v>
      </c>
      <c r="AN5299">
        <v>0.99999998837326898</v>
      </c>
    </row>
    <row r="5300" spans="1:40" x14ac:dyDescent="0.25">
      <c r="A5300" t="str">
        <f>"20190312172814669"</f>
        <v>20190312172814669</v>
      </c>
      <c r="B5300" t="str">
        <f>"1552382894664770"</f>
        <v>1552382894664770</v>
      </c>
      <c r="C5300" t="s">
        <v>40</v>
      </c>
      <c r="D5300">
        <v>3.274006</v>
      </c>
      <c r="E5300">
        <v>0.44446910000000001</v>
      </c>
      <c r="F5300" t="s">
        <v>52</v>
      </c>
      <c r="G5300">
        <v>-286.8331</v>
      </c>
      <c r="H5300" s="1">
        <v>-4.7452290000000001E-6</v>
      </c>
      <c r="I5300">
        <v>-62.412219999999998</v>
      </c>
      <c r="J5300">
        <v>-298.05840000000001</v>
      </c>
      <c r="K5300">
        <v>1.1171359999999999</v>
      </c>
      <c r="L5300">
        <v>-52.404539999999997</v>
      </c>
      <c r="M5300">
        <v>0.50285150000000001</v>
      </c>
      <c r="N5300">
        <v>0</v>
      </c>
      <c r="O5300">
        <v>-0.86423220000000001</v>
      </c>
      <c r="P5300">
        <v>0.62784379999999995</v>
      </c>
      <c r="Q5300">
        <v>0.2009234</v>
      </c>
      <c r="R5300">
        <v>-0.75195900000000004</v>
      </c>
      <c r="S5300">
        <v>2.3402099999999999</v>
      </c>
      <c r="T5300">
        <v>-0.22950329999999999</v>
      </c>
      <c r="U5300">
        <v>-2.1081240000000001</v>
      </c>
      <c r="V5300">
        <v>-0.16791970000000001</v>
      </c>
      <c r="W5300">
        <v>0.21330830000000001</v>
      </c>
      <c r="X5300">
        <v>0.96244620000000003</v>
      </c>
      <c r="Y5300">
        <v>-0.30360579999999998</v>
      </c>
      <c r="Z5300">
        <v>6.8526409999999996E-2</v>
      </c>
      <c r="AA5300">
        <v>0.95033029999999996</v>
      </c>
      <c r="AB5300">
        <v>21</v>
      </c>
      <c r="AC5300">
        <v>11.225300000000001</v>
      </c>
      <c r="AD5300">
        <v>-1.1171407452290001</v>
      </c>
      <c r="AE5300">
        <v>-10.007679999999899</v>
      </c>
      <c r="AF5300">
        <v>-4.6438307381449802</v>
      </c>
      <c r="AG5300">
        <v>-1.1171407452290001</v>
      </c>
      <c r="AH5300">
        <v>14.2169039356823</v>
      </c>
      <c r="AI5300">
        <v>94.271750218482794</v>
      </c>
      <c r="AJ5300">
        <v>108.08918612685299</v>
      </c>
      <c r="AK5300">
        <v>14.997783999165</v>
      </c>
      <c r="AL5300">
        <v>77.683703016995295</v>
      </c>
      <c r="AM5300">
        <v>99.896877319312495</v>
      </c>
      <c r="AN5300">
        <v>1.0000000721957001</v>
      </c>
    </row>
    <row r="5301" spans="1:40" x14ac:dyDescent="0.25">
      <c r="A5301" t="str">
        <f>"20190312172814703"</f>
        <v>20190312172814703</v>
      </c>
      <c r="B5301" t="str">
        <f>"1552382894695022"</f>
        <v>1552382894695022</v>
      </c>
      <c r="C5301" t="s">
        <v>40</v>
      </c>
      <c r="D5301">
        <v>3.2304620000000002</v>
      </c>
      <c r="E5301">
        <v>0.44572990000000001</v>
      </c>
      <c r="F5301" t="s">
        <v>52</v>
      </c>
      <c r="G5301">
        <v>-286.61559999999997</v>
      </c>
      <c r="H5301" s="1">
        <v>-4.8513600000000004E-6</v>
      </c>
      <c r="I5301">
        <v>-62.431019999999997</v>
      </c>
      <c r="J5301">
        <v>-297.88740000000001</v>
      </c>
      <c r="K5301">
        <v>1.1170949999999999</v>
      </c>
      <c r="L5301">
        <v>-52.655610000000003</v>
      </c>
      <c r="M5301">
        <v>0.51794600000000002</v>
      </c>
      <c r="N5301">
        <v>0</v>
      </c>
      <c r="O5301">
        <v>-0.85527129999999996</v>
      </c>
      <c r="P5301">
        <v>0.64054880000000003</v>
      </c>
      <c r="Q5301">
        <v>0.199799</v>
      </c>
      <c r="R5301">
        <v>-0.74147030000000003</v>
      </c>
      <c r="S5301">
        <v>2.3675839999999999</v>
      </c>
      <c r="T5301">
        <v>-0.2311416</v>
      </c>
      <c r="U5301">
        <v>-2.0745239999999998</v>
      </c>
      <c r="V5301">
        <v>-0.1672052</v>
      </c>
      <c r="W5301">
        <v>0.2122096</v>
      </c>
      <c r="X5301">
        <v>0.96281329999999998</v>
      </c>
      <c r="Y5301">
        <v>-0.29993740000000002</v>
      </c>
      <c r="Z5301">
        <v>6.8495970000000003E-2</v>
      </c>
      <c r="AA5301">
        <v>0.95149669999999997</v>
      </c>
      <c r="AB5301">
        <v>21</v>
      </c>
      <c r="AC5301">
        <v>11.271800000000001</v>
      </c>
      <c r="AD5301">
        <v>-1.1170998513599999</v>
      </c>
      <c r="AE5301">
        <v>-9.7754100000000008</v>
      </c>
      <c r="AF5301">
        <v>-4.55234923143838</v>
      </c>
      <c r="AG5301">
        <v>-1.1170998513599999</v>
      </c>
      <c r="AH5301">
        <v>14.1213752509633</v>
      </c>
      <c r="AI5301">
        <v>94.305755357501397</v>
      </c>
      <c r="AJ5301">
        <v>107.86791686327101</v>
      </c>
      <c r="AK5301">
        <v>14.8790132260646</v>
      </c>
      <c r="AL5301">
        <v>77.748127691352195</v>
      </c>
      <c r="AM5301">
        <v>99.851909402232096</v>
      </c>
      <c r="AN5301">
        <v>0.99999997194804402</v>
      </c>
    </row>
    <row r="5302" spans="1:40" x14ac:dyDescent="0.25">
      <c r="A5302" t="str">
        <f>"20190312172814736"</f>
        <v>20190312172814736</v>
      </c>
      <c r="B5302" t="str">
        <f>"1552382894725280"</f>
        <v>1552382894725280</v>
      </c>
      <c r="C5302" t="s">
        <v>40</v>
      </c>
      <c r="D5302">
        <v>3.3142469999999999</v>
      </c>
      <c r="E5302">
        <v>0.44697880000000001</v>
      </c>
      <c r="F5302" t="s">
        <v>52</v>
      </c>
      <c r="G5302">
        <v>-286.6884</v>
      </c>
      <c r="H5302" s="1">
        <v>-4.8551840000000001E-6</v>
      </c>
      <c r="I5302">
        <v>-62.203760000000003</v>
      </c>
      <c r="J5302">
        <v>-297.71620000000001</v>
      </c>
      <c r="K5302">
        <v>1.1170500000000001</v>
      </c>
      <c r="L5302">
        <v>-52.897579999999998</v>
      </c>
      <c r="M5302">
        <v>0.53253409999999901</v>
      </c>
      <c r="N5302">
        <v>0</v>
      </c>
      <c r="O5302">
        <v>-0.84626520000000005</v>
      </c>
      <c r="P5302">
        <v>0.65265569999999995</v>
      </c>
      <c r="Q5302">
        <v>0.19810240000000001</v>
      </c>
      <c r="R5302">
        <v>-0.7312978</v>
      </c>
      <c r="S5302">
        <v>2.3946529999999999</v>
      </c>
      <c r="T5302">
        <v>-0.23886669999999999</v>
      </c>
      <c r="U5302">
        <v>-2.0416560000000001</v>
      </c>
      <c r="V5302">
        <v>-0.166234299999999</v>
      </c>
      <c r="W5302">
        <v>0.21054390000000001</v>
      </c>
      <c r="X5302">
        <v>0.96334699999999995</v>
      </c>
      <c r="Y5302">
        <v>-0.29633229999999999</v>
      </c>
      <c r="Z5302">
        <v>7.0208499999999993E-2</v>
      </c>
      <c r="AA5302">
        <v>0.95250089999999998</v>
      </c>
      <c r="AB5302">
        <v>21</v>
      </c>
      <c r="AC5302">
        <v>11.027799999999999</v>
      </c>
      <c r="AD5302">
        <v>-1.1170548551840001</v>
      </c>
      <c r="AE5302">
        <v>-9.3061799999999906</v>
      </c>
      <c r="AF5302">
        <v>-4.3510411969028597</v>
      </c>
      <c r="AG5302">
        <v>-1.1170548551840001</v>
      </c>
      <c r="AH5302">
        <v>13.6679344557558</v>
      </c>
      <c r="AI5302">
        <v>94.4530530650744</v>
      </c>
      <c r="AJ5302">
        <v>107.658319320513</v>
      </c>
      <c r="AK5302">
        <v>14.3872097132652</v>
      </c>
      <c r="AL5302">
        <v>77.845772045946305</v>
      </c>
      <c r="AM5302">
        <v>99.790492466266002</v>
      </c>
      <c r="AN5302">
        <v>1.0000000093663499</v>
      </c>
    </row>
    <row r="5303" spans="1:40" x14ac:dyDescent="0.25">
      <c r="A5303" t="str">
        <f>"20190312172814770"</f>
        <v>20190312172814770</v>
      </c>
      <c r="B5303" t="str">
        <f>"1552382894765295"</f>
        <v>1552382894765295</v>
      </c>
      <c r="C5303" t="s">
        <v>40</v>
      </c>
      <c r="D5303">
        <v>3.4276689999999999</v>
      </c>
      <c r="E5303">
        <v>0.45827970000000001</v>
      </c>
      <c r="F5303" t="s">
        <v>52</v>
      </c>
      <c r="G5303">
        <v>-286.73520000000002</v>
      </c>
      <c r="H5303" s="1">
        <v>-4.8664279999999996E-6</v>
      </c>
      <c r="I5303">
        <v>-62.0081699999999</v>
      </c>
      <c r="J5303">
        <v>-297.53730000000002</v>
      </c>
      <c r="K5303">
        <v>1.116995</v>
      </c>
      <c r="L5303">
        <v>-53.141820000000003</v>
      </c>
      <c r="M5303">
        <v>0.54728399999999999</v>
      </c>
      <c r="N5303">
        <v>0</v>
      </c>
      <c r="O5303">
        <v>-0.83680209999999999</v>
      </c>
      <c r="P5303">
        <v>0.66636689999999998</v>
      </c>
      <c r="Q5303">
        <v>0.1955887</v>
      </c>
      <c r="R5303">
        <v>-0.71951379999999998</v>
      </c>
      <c r="S5303">
        <v>2.4208370000000001</v>
      </c>
      <c r="T5303">
        <v>-0.24626149999999999</v>
      </c>
      <c r="U5303">
        <v>-2.0084840000000002</v>
      </c>
      <c r="V5303">
        <v>-0.16713059999999999</v>
      </c>
      <c r="W5303">
        <v>0.2080293</v>
      </c>
      <c r="X5303">
        <v>0.96373810000000004</v>
      </c>
      <c r="Y5303">
        <v>-0.29226750000000001</v>
      </c>
      <c r="Z5303">
        <v>7.1745829999999997E-2</v>
      </c>
      <c r="AA5303">
        <v>0.95364159999999998</v>
      </c>
      <c r="AB5303">
        <v>21</v>
      </c>
      <c r="AC5303">
        <v>10.8020999999999</v>
      </c>
      <c r="AD5303">
        <v>-1.1169998664280001</v>
      </c>
      <c r="AE5303">
        <v>-8.86634999999999</v>
      </c>
      <c r="AF5303">
        <v>-4.1607346464461701</v>
      </c>
      <c r="AG5303">
        <v>-1.1169998664280001</v>
      </c>
      <c r="AH5303">
        <v>13.2481752558473</v>
      </c>
      <c r="AI5303">
        <v>94.598953549886801</v>
      </c>
      <c r="AJ5303">
        <v>107.43546785995299</v>
      </c>
      <c r="AK5303">
        <v>13.9310282861454</v>
      </c>
      <c r="AL5303">
        <v>77.993110570484504</v>
      </c>
      <c r="AM5303">
        <v>99.838334979204305</v>
      </c>
      <c r="AN5303">
        <v>0.99999997625322901</v>
      </c>
    </row>
    <row r="5304" spans="1:40" x14ac:dyDescent="0.25">
      <c r="A5304" t="str">
        <f>"20190312172814803"</f>
        <v>20190312172814803</v>
      </c>
      <c r="B5304" t="str">
        <f>"1552382894794575"</f>
        <v>1552382894794575</v>
      </c>
      <c r="C5304" t="s">
        <v>40</v>
      </c>
      <c r="D5304">
        <v>3.3148140000000001</v>
      </c>
      <c r="E5304">
        <v>0.45935310000000001</v>
      </c>
      <c r="F5304" t="s">
        <v>52</v>
      </c>
      <c r="G5304">
        <v>-287.40899999999999</v>
      </c>
      <c r="H5304" s="1">
        <v>-4.5779580000000002E-6</v>
      </c>
      <c r="I5304">
        <v>-61.7239</v>
      </c>
      <c r="J5304">
        <v>-297.35820000000001</v>
      </c>
      <c r="K5304">
        <v>1.116941</v>
      </c>
      <c r="L5304">
        <v>-53.377319999999997</v>
      </c>
      <c r="M5304">
        <v>0.56154419999999905</v>
      </c>
      <c r="N5304">
        <v>0</v>
      </c>
      <c r="O5304">
        <v>-0.8273007</v>
      </c>
      <c r="P5304">
        <v>0.67879440000000002</v>
      </c>
      <c r="Q5304">
        <v>0.1952054</v>
      </c>
      <c r="R5304">
        <v>-0.70790779999999998</v>
      </c>
      <c r="S5304">
        <v>2.3914490000000002</v>
      </c>
      <c r="T5304">
        <v>-0.26374130000000001</v>
      </c>
      <c r="U5304">
        <v>-2.026367</v>
      </c>
      <c r="V5304">
        <v>-0.1673056</v>
      </c>
      <c r="W5304">
        <v>0.207652</v>
      </c>
      <c r="X5304">
        <v>0.96378920000000001</v>
      </c>
      <c r="Y5304">
        <v>-0.26558159999999997</v>
      </c>
      <c r="Z5304">
        <v>7.5793780000000005E-2</v>
      </c>
      <c r="AA5304">
        <v>0.96110450000000003</v>
      </c>
      <c r="AB5304">
        <v>20</v>
      </c>
      <c r="AC5304">
        <v>9.94920000000001</v>
      </c>
      <c r="AD5304">
        <v>-1.116945577958</v>
      </c>
      <c r="AE5304">
        <v>-8.3465799999999994</v>
      </c>
      <c r="AF5304">
        <v>-3.5184081592877798</v>
      </c>
      <c r="AG5304">
        <v>-1.116945577958</v>
      </c>
      <c r="AH5304">
        <v>12.4018169152308</v>
      </c>
      <c r="AI5304">
        <v>94.951952310520397</v>
      </c>
      <c r="AJ5304">
        <v>105.838693650295</v>
      </c>
      <c r="AK5304">
        <v>12.939545053763201</v>
      </c>
      <c r="AL5304">
        <v>78.015212013628201</v>
      </c>
      <c r="AM5304">
        <v>99.847923004806503</v>
      </c>
      <c r="AN5304">
        <v>1.0000000694659901</v>
      </c>
    </row>
    <row r="5305" spans="1:40" x14ac:dyDescent="0.25">
      <c r="A5305" t="str">
        <f>"20190312172814837"</f>
        <v>20190312172814837</v>
      </c>
      <c r="B5305" t="str">
        <f>"1552382894824831"</f>
        <v>1552382894824831</v>
      </c>
      <c r="C5305" t="s">
        <v>40</v>
      </c>
      <c r="D5305">
        <v>3.2664800000000001</v>
      </c>
      <c r="E5305">
        <v>0.4589473</v>
      </c>
      <c r="F5305" t="s">
        <v>52</v>
      </c>
      <c r="G5305">
        <v>-287.0994</v>
      </c>
      <c r="H5305" s="1">
        <v>-4.7174260000000002E-6</v>
      </c>
      <c r="I5305">
        <v>-61.815660000000001</v>
      </c>
      <c r="J5305">
        <v>-297.17419999999998</v>
      </c>
      <c r="K5305">
        <v>1.1168769999999999</v>
      </c>
      <c r="L5305">
        <v>-53.610660000000003</v>
      </c>
      <c r="M5305">
        <v>0.57569979999999998</v>
      </c>
      <c r="N5305">
        <v>0</v>
      </c>
      <c r="O5305">
        <v>-0.81751359999999995</v>
      </c>
      <c r="P5305">
        <v>0.68984990000000002</v>
      </c>
      <c r="Q5305">
        <v>0.19538510000000001</v>
      </c>
      <c r="R5305">
        <v>-0.69708819999999905</v>
      </c>
      <c r="S5305">
        <v>2.419708</v>
      </c>
      <c r="T5305">
        <v>-0.26345049999999998</v>
      </c>
      <c r="U5305">
        <v>-1.990326</v>
      </c>
      <c r="V5305">
        <v>-0.16588599999999901</v>
      </c>
      <c r="W5305">
        <v>0.20786279999999999</v>
      </c>
      <c r="X5305">
        <v>0.96398910000000004</v>
      </c>
      <c r="Y5305">
        <v>-0.26306309999999999</v>
      </c>
      <c r="Z5305">
        <v>7.5022240000000004E-2</v>
      </c>
      <c r="AA5305">
        <v>0.96185730000000003</v>
      </c>
      <c r="AB5305">
        <v>20</v>
      </c>
      <c r="AC5305">
        <v>10.0747999999999</v>
      </c>
      <c r="AD5305">
        <v>-1.116881717426</v>
      </c>
      <c r="AE5305">
        <v>-8.2050000000000001</v>
      </c>
      <c r="AF5305">
        <v>-3.4873253783165099</v>
      </c>
      <c r="AG5305">
        <v>-1.116881717426</v>
      </c>
      <c r="AH5305">
        <v>12.417516404555499</v>
      </c>
      <c r="AI5305">
        <v>94.949124404113903</v>
      </c>
      <c r="AJ5305">
        <v>105.686823755243</v>
      </c>
      <c r="AK5305">
        <v>12.946180005019899</v>
      </c>
      <c r="AL5305">
        <v>78.002864373060007</v>
      </c>
      <c r="AM5305">
        <v>99.763992239781203</v>
      </c>
      <c r="AN5305">
        <v>1.00000004676932</v>
      </c>
    </row>
    <row r="5306" spans="1:40" x14ac:dyDescent="0.25">
      <c r="A5306" t="str">
        <f>"20190312172814870"</f>
        <v>20190312172814870</v>
      </c>
      <c r="B5306" t="str">
        <f>"1552382894864846"</f>
        <v>1552382894864846</v>
      </c>
      <c r="C5306" t="s">
        <v>40</v>
      </c>
      <c r="D5306">
        <v>3.2259989999999998</v>
      </c>
      <c r="E5306">
        <v>0.44356380000000001</v>
      </c>
      <c r="F5306" t="s">
        <v>52</v>
      </c>
      <c r="G5306">
        <v>-286.73649999999998</v>
      </c>
      <c r="H5306" s="1">
        <v>-4.884583E-6</v>
      </c>
      <c r="I5306">
        <v>-61.902380000000001</v>
      </c>
      <c r="J5306">
        <v>-296.98750000000001</v>
      </c>
      <c r="K5306">
        <v>1.116822</v>
      </c>
      <c r="L5306">
        <v>-53.839570000000002</v>
      </c>
      <c r="M5306">
        <v>0.58960190000000001</v>
      </c>
      <c r="N5306">
        <v>0</v>
      </c>
      <c r="O5306">
        <v>-0.80754510000000002</v>
      </c>
      <c r="P5306">
        <v>0.70135040000000004</v>
      </c>
      <c r="Q5306">
        <v>0.19456080000000001</v>
      </c>
      <c r="R5306">
        <v>-0.68575069999999905</v>
      </c>
      <c r="S5306">
        <v>2.453522</v>
      </c>
      <c r="T5306">
        <v>-0.2625402</v>
      </c>
      <c r="U5306">
        <v>-1.9490970000000001</v>
      </c>
      <c r="V5306">
        <v>-0.16525329999999999</v>
      </c>
      <c r="W5306">
        <v>0.2070572</v>
      </c>
      <c r="X5306">
        <v>0.96427110000000005</v>
      </c>
      <c r="Y5306">
        <v>-0.2629744</v>
      </c>
      <c r="Z5306">
        <v>7.4078050000000006E-2</v>
      </c>
      <c r="AA5306">
        <v>0.9619548</v>
      </c>
      <c r="AB5306">
        <v>20</v>
      </c>
      <c r="AC5306">
        <v>10.250999999999999</v>
      </c>
      <c r="AD5306">
        <v>-1.1168268845829901</v>
      </c>
      <c r="AE5306">
        <v>-8.0628100000000096</v>
      </c>
      <c r="AF5306">
        <v>-3.4990616210531198</v>
      </c>
      <c r="AG5306">
        <v>-1.1168268845829901</v>
      </c>
      <c r="AH5306">
        <v>12.465193269270101</v>
      </c>
      <c r="AI5306">
        <v>94.930216961826403</v>
      </c>
      <c r="AJ5306">
        <v>105.679779773513</v>
      </c>
      <c r="AK5306">
        <v>12.995067439544499</v>
      </c>
      <c r="AL5306">
        <v>78.050048399531093</v>
      </c>
      <c r="AM5306">
        <v>99.724674099223805</v>
      </c>
      <c r="AN5306">
        <v>1.00000004576396</v>
      </c>
    </row>
    <row r="5307" spans="1:40" x14ac:dyDescent="0.25">
      <c r="A5307" t="str">
        <f>"20190312172814904"</f>
        <v>20190312172814904</v>
      </c>
      <c r="B5307" t="str">
        <f>"1552382894895103"</f>
        <v>1552382894895103</v>
      </c>
      <c r="C5307" t="s">
        <v>40</v>
      </c>
      <c r="D5307">
        <v>3.199751</v>
      </c>
      <c r="E5307">
        <v>0.44414009999999998</v>
      </c>
      <c r="F5307" t="s">
        <v>52</v>
      </c>
      <c r="G5307">
        <v>-286.6472</v>
      </c>
      <c r="H5307" s="1">
        <v>-5.0611149999999999E-6</v>
      </c>
      <c r="I5307">
        <v>-61.163290000000003</v>
      </c>
      <c r="J5307">
        <v>-296.79289999999997</v>
      </c>
      <c r="K5307">
        <v>1.116795</v>
      </c>
      <c r="L5307">
        <v>-54.069670000000002</v>
      </c>
      <c r="M5307">
        <v>0.60360740000000002</v>
      </c>
      <c r="N5307">
        <v>0</v>
      </c>
      <c r="O5307">
        <v>-0.79713089999999998</v>
      </c>
      <c r="P5307">
        <v>0.71219699999999997</v>
      </c>
      <c r="Q5307">
        <v>0.1949892</v>
      </c>
      <c r="R5307">
        <v>-0.67435500000000004</v>
      </c>
      <c r="S5307">
        <v>2.572845</v>
      </c>
      <c r="T5307">
        <v>-0.27788570000000001</v>
      </c>
      <c r="U5307">
        <v>-1.8222659999999999</v>
      </c>
      <c r="V5307">
        <v>-0.163853</v>
      </c>
      <c r="W5307">
        <v>0.20751249999999999</v>
      </c>
      <c r="X5307">
        <v>0.96441220000000005</v>
      </c>
      <c r="Y5307">
        <v>-0.29859249999999998</v>
      </c>
      <c r="Z5307">
        <v>7.8164339999999999E-2</v>
      </c>
      <c r="AA5307">
        <v>0.95117450000000003</v>
      </c>
      <c r="AB5307">
        <v>20</v>
      </c>
      <c r="AC5307">
        <v>10.1456999999999</v>
      </c>
      <c r="AD5307">
        <v>-1.116800061115</v>
      </c>
      <c r="AE5307">
        <v>-7.0936199999999996</v>
      </c>
      <c r="AF5307">
        <v>-3.77542128600814</v>
      </c>
      <c r="AG5307">
        <v>-1.116800061115</v>
      </c>
      <c r="AH5307">
        <v>11.684883695959</v>
      </c>
      <c r="AI5307">
        <v>95.1965870546438</v>
      </c>
      <c r="AJ5307">
        <v>107.905801753948</v>
      </c>
      <c r="AK5307">
        <v>12.330350978436901</v>
      </c>
      <c r="AL5307">
        <v>78.023382727605394</v>
      </c>
      <c r="AM5307">
        <v>99.642440041201795</v>
      </c>
      <c r="AN5307">
        <v>1.0000000673870399</v>
      </c>
    </row>
    <row r="5308" spans="1:40" x14ac:dyDescent="0.25">
      <c r="A5308" t="str">
        <f>"20190312172814938"</f>
        <v>20190312172814938</v>
      </c>
      <c r="B5308" t="str">
        <f>"1552382894935119"</f>
        <v>1552382894935119</v>
      </c>
      <c r="C5308" t="s">
        <v>40</v>
      </c>
      <c r="D5308">
        <v>3.1813280000000002</v>
      </c>
      <c r="E5308">
        <v>0.44454320000000003</v>
      </c>
      <c r="F5308" t="s">
        <v>52</v>
      </c>
      <c r="G5308">
        <v>-285.93540000000002</v>
      </c>
      <c r="H5308" s="1">
        <v>-5.355009E-6</v>
      </c>
      <c r="I5308">
        <v>-61.524439999999998</v>
      </c>
      <c r="J5308">
        <v>-296.60059999999999</v>
      </c>
      <c r="K5308">
        <v>1.116757</v>
      </c>
      <c r="L5308">
        <v>-54.289059999999999</v>
      </c>
      <c r="M5308">
        <v>0.61699329999999997</v>
      </c>
      <c r="N5308">
        <v>0</v>
      </c>
      <c r="O5308">
        <v>-0.78681579999999995</v>
      </c>
      <c r="P5308">
        <v>0.72306590000000004</v>
      </c>
      <c r="Q5308">
        <v>0.19535250000000001</v>
      </c>
      <c r="R5308">
        <v>-0.66258079999999997</v>
      </c>
      <c r="S5308">
        <v>2.5970460000000002</v>
      </c>
      <c r="T5308">
        <v>-0.2671328</v>
      </c>
      <c r="U5308">
        <v>-1.78314199999999</v>
      </c>
      <c r="V5308">
        <v>-0.16327910000000001</v>
      </c>
      <c r="W5308">
        <v>0.20788709999999999</v>
      </c>
      <c r="X5308">
        <v>0.96442879999999997</v>
      </c>
      <c r="Y5308">
        <v>-0.29659350000000001</v>
      </c>
      <c r="Z5308">
        <v>7.4463520000000005E-2</v>
      </c>
      <c r="AA5308">
        <v>0.95209630000000001</v>
      </c>
      <c r="AB5308">
        <v>20</v>
      </c>
      <c r="AC5308">
        <v>10.665199999999899</v>
      </c>
      <c r="AD5308">
        <v>-1.116762355009</v>
      </c>
      <c r="AE5308">
        <v>-7.2353800000000001</v>
      </c>
      <c r="AF5308">
        <v>-3.8985657940157701</v>
      </c>
      <c r="AG5308">
        <v>-1.116762355009</v>
      </c>
      <c r="AH5308">
        <v>12.1832630206125</v>
      </c>
      <c r="AI5308">
        <v>94.989433602801995</v>
      </c>
      <c r="AJ5308">
        <v>107.74433728780799</v>
      </c>
      <c r="AK5308">
        <v>12.840477843026701</v>
      </c>
      <c r="AL5308">
        <v>78.001440551551994</v>
      </c>
      <c r="AM5308">
        <v>99.609135624258698</v>
      </c>
      <c r="AN5308">
        <v>1.00000001055633</v>
      </c>
    </row>
    <row r="5309" spans="1:40" x14ac:dyDescent="0.25">
      <c r="A5309" t="str">
        <f>"20190312172814971"</f>
        <v>20190312172814971</v>
      </c>
      <c r="B5309" t="str">
        <f>"1552382894965375"</f>
        <v>1552382894965375</v>
      </c>
      <c r="C5309" t="s">
        <v>40</v>
      </c>
      <c r="D5309">
        <v>3.1866319999999999</v>
      </c>
      <c r="E5309">
        <v>0.44539509999999999</v>
      </c>
      <c r="F5309" t="s">
        <v>52</v>
      </c>
      <c r="G5309">
        <v>-285.32810000000001</v>
      </c>
      <c r="H5309" s="1">
        <v>-5.6150919999999996E-6</v>
      </c>
      <c r="I5309">
        <v>-61.780270000000002</v>
      </c>
      <c r="J5309">
        <v>-296.40539999999999</v>
      </c>
      <c r="K5309">
        <v>1.116714</v>
      </c>
      <c r="L5309">
        <v>-54.50461</v>
      </c>
      <c r="M5309">
        <v>0.63016219999999901</v>
      </c>
      <c r="N5309">
        <v>0</v>
      </c>
      <c r="O5309">
        <v>-0.77630949999999999</v>
      </c>
      <c r="P5309">
        <v>0.73456560000000004</v>
      </c>
      <c r="Q5309">
        <v>0.19521069999999999</v>
      </c>
      <c r="R5309">
        <v>-0.64985119999999996</v>
      </c>
      <c r="S5309">
        <v>2.6223139999999998</v>
      </c>
      <c r="T5309">
        <v>-0.25979200000000002</v>
      </c>
      <c r="U5309">
        <v>-1.7426759999999999</v>
      </c>
      <c r="V5309">
        <v>-0.16388229999999901</v>
      </c>
      <c r="W5309">
        <v>0.2077378</v>
      </c>
      <c r="X5309">
        <v>0.96435859999999995</v>
      </c>
      <c r="Y5309">
        <v>-0.29510510000000001</v>
      </c>
      <c r="Z5309">
        <v>7.1727509999999994E-2</v>
      </c>
      <c r="AA5309">
        <v>0.95276870000000002</v>
      </c>
      <c r="AB5309">
        <v>20</v>
      </c>
      <c r="AC5309">
        <v>11.0772999999999</v>
      </c>
      <c r="AD5309">
        <v>-1.116719615092</v>
      </c>
      <c r="AE5309">
        <v>-7.2756599999999896</v>
      </c>
      <c r="AF5309">
        <v>-3.9867414660474099</v>
      </c>
      <c r="AG5309">
        <v>-1.116719615092</v>
      </c>
      <c r="AH5309">
        <v>12.541127705465099</v>
      </c>
      <c r="AI5309">
        <v>94.850496546900104</v>
      </c>
      <c r="AJ5309">
        <v>107.635115943139</v>
      </c>
      <c r="AK5309">
        <v>13.2068563383047</v>
      </c>
      <c r="AL5309">
        <v>78.010185061323696</v>
      </c>
      <c r="AM5309">
        <v>99.644657871996202</v>
      </c>
      <c r="AN5309">
        <v>0.999999955598044</v>
      </c>
    </row>
    <row r="5310" spans="1:40" x14ac:dyDescent="0.25">
      <c r="A5310" t="str">
        <f>"20190312172815004"</f>
        <v>20190312172815004</v>
      </c>
      <c r="B5310" t="str">
        <f>"1552382894994655"</f>
        <v>1552382894994655</v>
      </c>
      <c r="C5310" t="s">
        <v>40</v>
      </c>
      <c r="D5310">
        <v>3.2629169999999998</v>
      </c>
      <c r="E5310">
        <v>0.45586500000000002</v>
      </c>
      <c r="F5310" t="s">
        <v>52</v>
      </c>
      <c r="G5310">
        <v>-285.03149999999999</v>
      </c>
      <c r="H5310" s="1">
        <v>-5.7573860000000002E-6</v>
      </c>
      <c r="I5310">
        <v>-61.819490000000002</v>
      </c>
      <c r="J5310">
        <v>-296.20460000000003</v>
      </c>
      <c r="K5310">
        <v>1.1166769999999999</v>
      </c>
      <c r="L5310">
        <v>-54.718780000000002</v>
      </c>
      <c r="M5310">
        <v>0.64328430000000003</v>
      </c>
      <c r="N5310">
        <v>0</v>
      </c>
      <c r="O5310">
        <v>-0.76547119999999902</v>
      </c>
      <c r="P5310">
        <v>0.74529559999999995</v>
      </c>
      <c r="Q5310">
        <v>0.195433</v>
      </c>
      <c r="R5310">
        <v>-0.63744860000000003</v>
      </c>
      <c r="S5310">
        <v>2.6470639999999999</v>
      </c>
      <c r="T5310">
        <v>-0.25989440000000003</v>
      </c>
      <c r="U5310">
        <v>-1.702393</v>
      </c>
      <c r="V5310">
        <v>-0.16356689999999999</v>
      </c>
      <c r="W5310">
        <v>0.20796729999999999</v>
      </c>
      <c r="X5310">
        <v>0.96436270000000002</v>
      </c>
      <c r="Y5310">
        <v>-0.29317880000000002</v>
      </c>
      <c r="Z5310">
        <v>7.1003529999999995E-2</v>
      </c>
      <c r="AA5310">
        <v>0.95341739999999997</v>
      </c>
      <c r="AB5310">
        <v>20</v>
      </c>
      <c r="AC5310">
        <v>11.1731</v>
      </c>
      <c r="AD5310">
        <v>-1.1166827573860001</v>
      </c>
      <c r="AE5310">
        <v>-7.1007099999999896</v>
      </c>
      <c r="AF5310">
        <v>-3.95723147927042</v>
      </c>
      <c r="AG5310">
        <v>-1.1166827573860001</v>
      </c>
      <c r="AH5310">
        <v>12.535189319141001</v>
      </c>
      <c r="AI5310">
        <v>94.8556888248836</v>
      </c>
      <c r="AJ5310">
        <v>107.520375498546</v>
      </c>
      <c r="AK5310">
        <v>13.1923323422312</v>
      </c>
      <c r="AL5310">
        <v>77.996742297751396</v>
      </c>
      <c r="AM5310">
        <v>99.626403734438597</v>
      </c>
      <c r="AN5310">
        <v>0.99999997289809395</v>
      </c>
    </row>
    <row r="5311" spans="1:40" x14ac:dyDescent="0.25">
      <c r="A5311" t="str">
        <f>"20190312172815038"</f>
        <v>20190312172815038</v>
      </c>
      <c r="B5311" t="str">
        <f>"1552382895034670"</f>
        <v>1552382895034670</v>
      </c>
      <c r="C5311" t="s">
        <v>40</v>
      </c>
      <c r="D5311">
        <v>3.2349670000000001</v>
      </c>
      <c r="E5311">
        <v>0.45631539999999998</v>
      </c>
      <c r="F5311" t="s">
        <v>52</v>
      </c>
      <c r="G5311">
        <v>-285.1816</v>
      </c>
      <c r="H5311" s="1">
        <v>-5.6582689999999999E-6</v>
      </c>
      <c r="I5311">
        <v>-61.951729999999998</v>
      </c>
      <c r="J5311">
        <v>-296.00330000000002</v>
      </c>
      <c r="K5311">
        <v>1.11663</v>
      </c>
      <c r="L5311">
        <v>-54.926180000000002</v>
      </c>
      <c r="M5311">
        <v>0.65602550000000004</v>
      </c>
      <c r="N5311">
        <v>0</v>
      </c>
      <c r="O5311">
        <v>-0.75458059999999905</v>
      </c>
      <c r="P5311">
        <v>0.75593390000000005</v>
      </c>
      <c r="Q5311">
        <v>0.1949784</v>
      </c>
      <c r="R5311">
        <v>-0.62493789999999905</v>
      </c>
      <c r="S5311">
        <v>2.6228940000000001</v>
      </c>
      <c r="T5311">
        <v>-0.26571309999999998</v>
      </c>
      <c r="U5311">
        <v>-1.721069</v>
      </c>
      <c r="V5311">
        <v>-0.16353509999999999</v>
      </c>
      <c r="W5311">
        <v>0.2075167</v>
      </c>
      <c r="X5311">
        <v>0.96446520000000002</v>
      </c>
      <c r="Y5311">
        <v>-0.26825080000000001</v>
      </c>
      <c r="Z5311">
        <v>7.1324620000000005E-2</v>
      </c>
      <c r="AA5311">
        <v>0.96070509999999998</v>
      </c>
      <c r="AB5311">
        <v>20</v>
      </c>
      <c r="AC5311">
        <v>10.8217</v>
      </c>
      <c r="AD5311">
        <v>-1.116635658269</v>
      </c>
      <c r="AE5311">
        <v>-7.02555</v>
      </c>
      <c r="AF5311">
        <v>-3.5308824359645001</v>
      </c>
      <c r="AG5311">
        <v>-1.116635658269</v>
      </c>
      <c r="AH5311">
        <v>12.3099310861263</v>
      </c>
      <c r="AI5311">
        <v>94.983255524178304</v>
      </c>
      <c r="AJ5311">
        <v>106.004586700297</v>
      </c>
      <c r="AK5311">
        <v>12.854898261561599</v>
      </c>
      <c r="AL5311">
        <v>78.023136104193895</v>
      </c>
      <c r="AM5311">
        <v>99.623563485405299</v>
      </c>
      <c r="AN5311">
        <v>1.0000000158609601</v>
      </c>
    </row>
    <row r="5312" spans="1:40" x14ac:dyDescent="0.25">
      <c r="A5312" t="str">
        <f>"20190312172815071"</f>
        <v>20190312172815071</v>
      </c>
      <c r="B5312" t="str">
        <f>"1552382895064930"</f>
        <v>1552382895064930</v>
      </c>
      <c r="C5312" t="s">
        <v>40</v>
      </c>
      <c r="D5312">
        <v>3.153419</v>
      </c>
      <c r="E5312">
        <v>0.45672410000000002</v>
      </c>
      <c r="F5312" t="s">
        <v>52</v>
      </c>
      <c r="G5312">
        <v>-285.06040000000002</v>
      </c>
      <c r="H5312" s="1">
        <v>-5.7340310000000003E-6</v>
      </c>
      <c r="I5312">
        <v>-61.869010000000003</v>
      </c>
      <c r="J5312">
        <v>-295.7987</v>
      </c>
      <c r="K5312">
        <v>1.116592</v>
      </c>
      <c r="L5312">
        <v>-55.130220000000001</v>
      </c>
      <c r="M5312">
        <v>0.66858240000000002</v>
      </c>
      <c r="N5312">
        <v>0</v>
      </c>
      <c r="O5312">
        <v>-0.74347799999999997</v>
      </c>
      <c r="P5312">
        <v>0.76608639999999995</v>
      </c>
      <c r="Q5312">
        <v>0.19480500000000001</v>
      </c>
      <c r="R5312">
        <v>-0.61250559999999998</v>
      </c>
      <c r="S5312">
        <v>2.6489259999999999</v>
      </c>
      <c r="T5312">
        <v>-0.27030149999999997</v>
      </c>
      <c r="U5312">
        <v>-1.680634</v>
      </c>
      <c r="V5312">
        <v>-0.163132</v>
      </c>
      <c r="W5312">
        <v>0.2073525</v>
      </c>
      <c r="X5312">
        <v>0.96456869999999995</v>
      </c>
      <c r="Y5312">
        <v>-0.26677199999999901</v>
      </c>
      <c r="Z5312">
        <v>7.1701440000000005E-2</v>
      </c>
      <c r="AA5312">
        <v>0.96108879999999997</v>
      </c>
      <c r="AB5312">
        <v>20</v>
      </c>
      <c r="AC5312">
        <v>10.738299999999899</v>
      </c>
      <c r="AD5312">
        <v>-1.116597734031</v>
      </c>
      <c r="AE5312">
        <v>-6.7387899999999998</v>
      </c>
      <c r="AF5312">
        <v>-3.45188972023452</v>
      </c>
      <c r="AG5312">
        <v>-1.116597734031</v>
      </c>
      <c r="AH5312">
        <v>12.0971886115648</v>
      </c>
      <c r="AI5312">
        <v>95.072249249893503</v>
      </c>
      <c r="AJ5312">
        <v>105.925908712959</v>
      </c>
      <c r="AK5312">
        <v>12.6295013933281</v>
      </c>
      <c r="AL5312">
        <v>78.032752368094194</v>
      </c>
      <c r="AM5312">
        <v>99.599273297097895</v>
      </c>
      <c r="AN5312">
        <v>0.99999994284996796</v>
      </c>
    </row>
    <row r="5313" spans="1:40" x14ac:dyDescent="0.25">
      <c r="A5313" t="str">
        <f>"20190312172815206"</f>
        <v>20190312172815206</v>
      </c>
      <c r="B5313" t="str">
        <f>"1552382895194735"</f>
        <v>1552382895194735</v>
      </c>
      <c r="C5313" t="s">
        <v>40</v>
      </c>
      <c r="D5313">
        <v>3.324964</v>
      </c>
      <c r="E5313">
        <v>0.45492850000000001</v>
      </c>
      <c r="F5313" t="s">
        <v>52</v>
      </c>
      <c r="G5313">
        <v>-285.8426</v>
      </c>
      <c r="H5313" s="1">
        <v>-5.45340699999999E-6</v>
      </c>
      <c r="I5313">
        <v>-61.234099999999998</v>
      </c>
      <c r="J5313">
        <v>-294.94799999999998</v>
      </c>
      <c r="K5313">
        <v>1.1164320000000001</v>
      </c>
      <c r="L5313">
        <v>-55.909700000000001</v>
      </c>
      <c r="M5313">
        <v>0.71686519999999898</v>
      </c>
      <c r="N5313">
        <v>0</v>
      </c>
      <c r="O5313">
        <v>-0.69704219999999995</v>
      </c>
      <c r="P5313">
        <v>0.80394429999999995</v>
      </c>
      <c r="Q5313">
        <v>0.19572690000000001</v>
      </c>
      <c r="R5313">
        <v>-0.56157319999999999</v>
      </c>
      <c r="S5313">
        <v>2.6791689999999999</v>
      </c>
      <c r="T5313">
        <v>-0.3004754</v>
      </c>
      <c r="U5313">
        <v>-1.6425479999999999</v>
      </c>
      <c r="V5313">
        <v>-0.16081519999999999</v>
      </c>
      <c r="W5313">
        <v>0.20831710000000001</v>
      </c>
      <c r="X5313">
        <v>0.96474990000000005</v>
      </c>
      <c r="Y5313">
        <v>-0.2162985</v>
      </c>
      <c r="Z5313">
        <v>7.3919589999999993E-2</v>
      </c>
      <c r="AA5313">
        <v>0.97352499999999997</v>
      </c>
      <c r="AB5313">
        <v>20</v>
      </c>
      <c r="AC5313">
        <v>9.1053999999999693</v>
      </c>
      <c r="AD5313">
        <v>-1.1164374534069901</v>
      </c>
      <c r="AE5313">
        <v>-5.32439999999999</v>
      </c>
      <c r="AF5313">
        <v>-2.5022372580531198</v>
      </c>
      <c r="AG5313">
        <v>-1.1164374534069901</v>
      </c>
      <c r="AH5313">
        <v>10.126438800040701</v>
      </c>
      <c r="AI5313">
        <v>96.109146116949702</v>
      </c>
      <c r="AJ5313">
        <v>103.87972253537001</v>
      </c>
      <c r="AK5313">
        <v>10.490585620160999</v>
      </c>
      <c r="AL5313">
        <v>77.9762512500821</v>
      </c>
      <c r="AM5313">
        <v>99.463683019175804</v>
      </c>
      <c r="AN5313">
        <v>0.99999995612672898</v>
      </c>
    </row>
    <row r="5314" spans="1:40" x14ac:dyDescent="0.25">
      <c r="A5314" t="str">
        <f>"20190312172815239"</f>
        <v>20190312172815239</v>
      </c>
      <c r="B5314" t="str">
        <f>"1552382895234755"</f>
        <v>1552382895234755</v>
      </c>
      <c r="C5314" t="s">
        <v>40</v>
      </c>
      <c r="D5314">
        <v>3.0364450000000001</v>
      </c>
      <c r="E5314">
        <v>0.45027159999999999</v>
      </c>
      <c r="F5314" t="s">
        <v>52</v>
      </c>
      <c r="G5314">
        <v>-284.983</v>
      </c>
      <c r="H5314" s="1">
        <v>-5.9085960000000004E-6</v>
      </c>
      <c r="I5314">
        <v>-61.107149999999997</v>
      </c>
      <c r="J5314">
        <v>-294.73050000000001</v>
      </c>
      <c r="K5314">
        <v>1.116395</v>
      </c>
      <c r="L5314">
        <v>-56.092649999999999</v>
      </c>
      <c r="M5314">
        <v>0.7282788</v>
      </c>
      <c r="N5314">
        <v>0</v>
      </c>
      <c r="O5314">
        <v>-0.68510879999999996</v>
      </c>
      <c r="P5314">
        <v>0.8128455</v>
      </c>
      <c r="Q5314">
        <v>0.19588659999999999</v>
      </c>
      <c r="R5314">
        <v>-0.54855350000000003</v>
      </c>
      <c r="S5314">
        <v>2.790924</v>
      </c>
      <c r="T5314">
        <v>-0.31268289999999999</v>
      </c>
      <c r="U5314">
        <v>-1.4556579999999999</v>
      </c>
      <c r="V5314">
        <v>-0.16037409999999999</v>
      </c>
      <c r="W5314">
        <v>0.2084849</v>
      </c>
      <c r="X5314">
        <v>0.96478710000000001</v>
      </c>
      <c r="Y5314">
        <v>-0.26687480000000002</v>
      </c>
      <c r="Z5314">
        <v>7.7635860000000001E-2</v>
      </c>
      <c r="AA5314">
        <v>0.96059899999999998</v>
      </c>
      <c r="AB5314">
        <v>20</v>
      </c>
      <c r="AC5314">
        <v>9.7475000000000005</v>
      </c>
      <c r="AD5314">
        <v>-1.1164009085959901</v>
      </c>
      <c r="AE5314">
        <v>-5.0144999999999902</v>
      </c>
      <c r="AF5314">
        <v>-2.9954308558701399</v>
      </c>
      <c r="AG5314">
        <v>-1.1164009085959901</v>
      </c>
      <c r="AH5314">
        <v>10.427459537033901</v>
      </c>
      <c r="AI5314">
        <v>95.875168776309707</v>
      </c>
      <c r="AJ5314">
        <v>106.02743843101899</v>
      </c>
      <c r="AK5314">
        <v>10.906459984683099</v>
      </c>
      <c r="AL5314">
        <v>77.966421437397003</v>
      </c>
      <c r="AM5314">
        <v>99.437835379538996</v>
      </c>
      <c r="AN5314">
        <v>0.999999976902614</v>
      </c>
    </row>
    <row r="5315" spans="1:40" x14ac:dyDescent="0.25">
      <c r="A5315" t="str">
        <f>"20190312172815273"</f>
        <v>20190312172815273</v>
      </c>
      <c r="B5315" t="str">
        <f>"1552382895265012"</f>
        <v>1552382895265012</v>
      </c>
      <c r="C5315" t="s">
        <v>40</v>
      </c>
      <c r="D5315">
        <v>3.264062</v>
      </c>
      <c r="E5315">
        <v>0.44895030000000002</v>
      </c>
      <c r="F5315" t="s">
        <v>52</v>
      </c>
      <c r="G5315">
        <v>-284.07940000000002</v>
      </c>
      <c r="H5315" s="1">
        <v>-6.2434619999999998E-6</v>
      </c>
      <c r="I5315">
        <v>-61.27816</v>
      </c>
      <c r="J5315">
        <v>-294.50959999999998</v>
      </c>
      <c r="K5315">
        <v>1.11635</v>
      </c>
      <c r="L5315">
        <v>-56.272460000000002</v>
      </c>
      <c r="M5315">
        <v>0.73952169999999995</v>
      </c>
      <c r="N5315">
        <v>0</v>
      </c>
      <c r="O5315">
        <v>-0.67295769999999899</v>
      </c>
      <c r="P5315">
        <v>0.82167199999999996</v>
      </c>
      <c r="Q5315">
        <v>0.19573270000000001</v>
      </c>
      <c r="R5315">
        <v>-0.53529850000000001</v>
      </c>
      <c r="S5315">
        <v>2.8318479999999999</v>
      </c>
      <c r="T5315">
        <v>-0.29682239999999999</v>
      </c>
      <c r="U5315">
        <v>-1.3786929999999999</v>
      </c>
      <c r="V5315">
        <v>-0.16004939999999901</v>
      </c>
      <c r="W5315">
        <v>0.20833850000000001</v>
      </c>
      <c r="X5315">
        <v>0.96487270000000003</v>
      </c>
      <c r="Y5315">
        <v>-0.2778986</v>
      </c>
      <c r="Z5315">
        <v>7.3089370000000001E-2</v>
      </c>
      <c r="AA5315">
        <v>0.95782579999999995</v>
      </c>
      <c r="AB5315">
        <v>19</v>
      </c>
      <c r="AC5315">
        <v>10.4301999999999</v>
      </c>
      <c r="AD5315">
        <v>-1.116356243462</v>
      </c>
      <c r="AE5315">
        <v>-5.0057</v>
      </c>
      <c r="AF5315">
        <v>-3.2870445315318699</v>
      </c>
      <c r="AG5315">
        <v>-1.116356243462</v>
      </c>
      <c r="AH5315">
        <v>10.9810438878937</v>
      </c>
      <c r="AI5315">
        <v>95.562628881102597</v>
      </c>
      <c r="AJ5315">
        <v>106.664443818229</v>
      </c>
      <c r="AK5315">
        <v>11.5166938781248</v>
      </c>
      <c r="AL5315">
        <v>77.974998566213699</v>
      </c>
      <c r="AM5315">
        <v>99.418249248396407</v>
      </c>
      <c r="AN5315">
        <v>1.0000000341139399</v>
      </c>
    </row>
    <row r="5316" spans="1:40" x14ac:dyDescent="0.25">
      <c r="A5316" t="str">
        <f>"20190312172815295"</f>
        <v>20190312172815295</v>
      </c>
      <c r="B5316" t="str">
        <f>"1552382895284527"</f>
        <v>1552382895284527</v>
      </c>
      <c r="C5316" t="s">
        <v>40</v>
      </c>
      <c r="D5316">
        <v>3.1979890000000002</v>
      </c>
      <c r="E5316">
        <v>0.44848329999999997</v>
      </c>
      <c r="F5316" t="s">
        <v>52</v>
      </c>
      <c r="G5316">
        <v>-283.33909999999997</v>
      </c>
      <c r="H5316" s="1">
        <v>-6.4726279999999996E-6</v>
      </c>
      <c r="I5316">
        <v>-61.443899999999999</v>
      </c>
      <c r="J5316">
        <v>-294.36219999999997</v>
      </c>
      <c r="K5316">
        <v>1.116323</v>
      </c>
      <c r="L5316">
        <v>-56.389040000000001</v>
      </c>
      <c r="M5316">
        <v>0.74683189999999999</v>
      </c>
      <c r="N5316">
        <v>0</v>
      </c>
      <c r="O5316">
        <v>-0.66483590000000004</v>
      </c>
      <c r="P5316">
        <v>0.82728049999999997</v>
      </c>
      <c r="Q5316">
        <v>0.1961089</v>
      </c>
      <c r="R5316">
        <v>-0.52644930000000001</v>
      </c>
      <c r="S5316">
        <v>2.8573300000000001</v>
      </c>
      <c r="T5316">
        <v>-0.28555540000000001</v>
      </c>
      <c r="U5316">
        <v>-1.3228150000000001</v>
      </c>
      <c r="V5316">
        <v>-0.15979189999999999</v>
      </c>
      <c r="W5316">
        <v>0.20871809999999999</v>
      </c>
      <c r="X5316">
        <v>0.9648333</v>
      </c>
      <c r="Y5316">
        <v>-0.28633750000000002</v>
      </c>
      <c r="Z5316">
        <v>7.0016250000000002E-2</v>
      </c>
      <c r="AA5316">
        <v>0.9555671</v>
      </c>
      <c r="AB5316">
        <v>19</v>
      </c>
      <c r="AC5316">
        <v>11.023099999999999</v>
      </c>
      <c r="AD5316">
        <v>-1.116329472628</v>
      </c>
      <c r="AE5316">
        <v>-5.0548599999999899</v>
      </c>
      <c r="AF5316">
        <v>-3.52397787496818</v>
      </c>
      <c r="AG5316">
        <v>-1.116329472628</v>
      </c>
      <c r="AH5316">
        <v>11.496993812329199</v>
      </c>
      <c r="AI5316">
        <v>95.303822294575298</v>
      </c>
      <c r="AJ5316">
        <v>107.040982144834</v>
      </c>
      <c r="AK5316">
        <v>12.076650126399301</v>
      </c>
      <c r="AL5316">
        <v>77.952759750552602</v>
      </c>
      <c r="AM5316">
        <v>99.403744416503898</v>
      </c>
      <c r="AN5316">
        <v>0.99999999668105499</v>
      </c>
    </row>
    <row r="5317" spans="1:40" x14ac:dyDescent="0.25">
      <c r="A5317" t="str">
        <f>"20190312172815317"</f>
        <v>20190312172815317</v>
      </c>
      <c r="B5317" t="str">
        <f>"1552382895314783"</f>
        <v>1552382895314783</v>
      </c>
      <c r="C5317" t="s">
        <v>40</v>
      </c>
      <c r="D5317">
        <v>3.1622469999999998</v>
      </c>
      <c r="E5317">
        <v>0.44843880000000003</v>
      </c>
      <c r="F5317" t="s">
        <v>52</v>
      </c>
      <c r="G5317">
        <v>-282.84989999999999</v>
      </c>
      <c r="H5317" s="1">
        <v>-6.6241099999999997E-6</v>
      </c>
      <c r="I5317">
        <v>-61.553100000000001</v>
      </c>
      <c r="J5317">
        <v>-294.21129999999999</v>
      </c>
      <c r="K5317">
        <v>1.116298</v>
      </c>
      <c r="L5317">
        <v>-56.505769999999998</v>
      </c>
      <c r="M5317">
        <v>0.75416419999999995</v>
      </c>
      <c r="N5317">
        <v>0</v>
      </c>
      <c r="O5317">
        <v>-0.65650710000000001</v>
      </c>
      <c r="P5317">
        <v>0.83310659999999903</v>
      </c>
      <c r="Q5317">
        <v>0.1960015</v>
      </c>
      <c r="R5317">
        <v>-0.51722049999999997</v>
      </c>
      <c r="S5317">
        <v>2.8724370000000001</v>
      </c>
      <c r="T5317">
        <v>-0.27853489999999997</v>
      </c>
      <c r="U5317">
        <v>-1.288483</v>
      </c>
      <c r="V5317">
        <v>-0.1598117</v>
      </c>
      <c r="W5317">
        <v>0.2086114</v>
      </c>
      <c r="X5317">
        <v>0.96485310000000002</v>
      </c>
      <c r="Y5317">
        <v>-0.28727589999999997</v>
      </c>
      <c r="Z5317">
        <v>6.7708889999999994E-2</v>
      </c>
      <c r="AA5317">
        <v>0.95545179999999996</v>
      </c>
      <c r="AB5317">
        <v>19</v>
      </c>
      <c r="AC5317">
        <v>11.3614</v>
      </c>
      <c r="AD5317">
        <v>-1.1163046241100001</v>
      </c>
      <c r="AE5317">
        <v>-5.0473299999999997</v>
      </c>
      <c r="AF5317">
        <v>-3.6235377529669099</v>
      </c>
      <c r="AG5317">
        <v>-1.1163046241100001</v>
      </c>
      <c r="AH5317">
        <v>11.788319338908</v>
      </c>
      <c r="AI5317">
        <v>95.172097586694306</v>
      </c>
      <c r="AJ5317">
        <v>107.08657728513199</v>
      </c>
      <c r="AK5317">
        <v>12.383078562985</v>
      </c>
      <c r="AL5317">
        <v>77.959010855529499</v>
      </c>
      <c r="AM5317">
        <v>99.404699276441505</v>
      </c>
      <c r="AN5317">
        <v>1.0000000001232301</v>
      </c>
    </row>
    <row r="5318" spans="1:40" x14ac:dyDescent="0.25">
      <c r="A5318" t="str">
        <f>"20190312172815341"</f>
        <v>20190312172815341</v>
      </c>
      <c r="B5318" t="str">
        <f>"1552382895335279"</f>
        <v>1552382895335279</v>
      </c>
      <c r="C5318" t="s">
        <v>40</v>
      </c>
      <c r="D5318">
        <v>3.228218</v>
      </c>
      <c r="E5318">
        <v>0.44881169999999998</v>
      </c>
      <c r="F5318" t="s">
        <v>52</v>
      </c>
      <c r="G5318">
        <v>-282.40910000000002</v>
      </c>
      <c r="H5318" s="1">
        <v>-6.7616770000000004E-6</v>
      </c>
      <c r="I5318">
        <v>-61.6419</v>
      </c>
      <c r="J5318">
        <v>-294.05770000000001</v>
      </c>
      <c r="K5318">
        <v>1.1162749999999999</v>
      </c>
      <c r="L5318">
        <v>-56.621830000000003</v>
      </c>
      <c r="M5318">
        <v>0.76146619999999998</v>
      </c>
      <c r="N5318">
        <v>0</v>
      </c>
      <c r="O5318">
        <v>-0.64802349999999997</v>
      </c>
      <c r="P5318">
        <v>0.83869459999999996</v>
      </c>
      <c r="Q5318">
        <v>0.1960363</v>
      </c>
      <c r="R5318">
        <v>-0.50809609999999905</v>
      </c>
      <c r="S5318">
        <v>2.8855900000000001</v>
      </c>
      <c r="T5318">
        <v>-0.27293279999999998</v>
      </c>
      <c r="U5318">
        <v>-1.255768</v>
      </c>
      <c r="V5318">
        <v>-0.1595232</v>
      </c>
      <c r="W5318">
        <v>0.20865139999999999</v>
      </c>
      <c r="X5318">
        <v>0.96489219999999998</v>
      </c>
      <c r="Y5318">
        <v>-0.28740379999999999</v>
      </c>
      <c r="Z5318">
        <v>6.5743419999999997E-2</v>
      </c>
      <c r="AA5318">
        <v>0.95555060000000003</v>
      </c>
      <c r="AB5318">
        <v>19</v>
      </c>
      <c r="AC5318">
        <v>11.648599999999901</v>
      </c>
      <c r="AD5318">
        <v>-1.116281761677</v>
      </c>
      <c r="AE5318">
        <v>-5.0200699999999898</v>
      </c>
      <c r="AF5318">
        <v>-3.6977516374540702</v>
      </c>
      <c r="AG5318">
        <v>-1.116281761677</v>
      </c>
      <c r="AH5318">
        <v>12.0313799690088</v>
      </c>
      <c r="AI5318">
        <v>95.068114931875499</v>
      </c>
      <c r="AJ5318">
        <v>107.08440605845399</v>
      </c>
      <c r="AK5318">
        <v>12.636200224055299</v>
      </c>
      <c r="AL5318">
        <v>77.956667550649897</v>
      </c>
      <c r="AM5318">
        <v>99.3876503040903</v>
      </c>
      <c r="AN5318">
        <v>1.00000000784052</v>
      </c>
    </row>
    <row r="5319" spans="1:40" x14ac:dyDescent="0.25">
      <c r="A5319" t="str">
        <f>"20190312172815362"</f>
        <v>20190312172815362</v>
      </c>
      <c r="B5319" t="str">
        <f>"1552382895354799"</f>
        <v>1552382895354799</v>
      </c>
      <c r="C5319" t="s">
        <v>40</v>
      </c>
      <c r="D5319">
        <v>3.2302240000000002</v>
      </c>
      <c r="E5319">
        <v>0.44898300000000002</v>
      </c>
      <c r="F5319" t="s">
        <v>52</v>
      </c>
      <c r="G5319">
        <v>-282.0222</v>
      </c>
      <c r="H5319" s="1">
        <v>-6.8827750000000004E-6</v>
      </c>
      <c r="I5319">
        <v>-61.716760000000001</v>
      </c>
      <c r="J5319">
        <v>-293.91149999999999</v>
      </c>
      <c r="K5319">
        <v>1.116255</v>
      </c>
      <c r="L5319">
        <v>-56.72983</v>
      </c>
      <c r="M5319">
        <v>0.76827599999999996</v>
      </c>
      <c r="N5319">
        <v>0</v>
      </c>
      <c r="O5319">
        <v>-0.6399357</v>
      </c>
      <c r="P5319">
        <v>0.8439468</v>
      </c>
      <c r="Q5319">
        <v>0.19583159999999999</v>
      </c>
      <c r="R5319">
        <v>-0.49940370000000001</v>
      </c>
      <c r="S5319">
        <v>2.896881</v>
      </c>
      <c r="T5319">
        <v>-0.26868219999999998</v>
      </c>
      <c r="U5319">
        <v>-1.226318</v>
      </c>
      <c r="V5319">
        <v>-0.159302799999999</v>
      </c>
      <c r="W5319">
        <v>0.20845230000000001</v>
      </c>
      <c r="X5319">
        <v>0.96497169999999999</v>
      </c>
      <c r="Y5319">
        <v>-0.286968099999999</v>
      </c>
      <c r="Z5319">
        <v>6.4131770000000005E-2</v>
      </c>
      <c r="AA5319">
        <v>0.95579099999999995</v>
      </c>
      <c r="AB5319">
        <v>19</v>
      </c>
      <c r="AC5319">
        <v>11.889299999999899</v>
      </c>
      <c r="AD5319">
        <v>-1.1162618827749999</v>
      </c>
      <c r="AE5319">
        <v>-4.9869299999999903</v>
      </c>
      <c r="AF5319">
        <v>-3.7493856081683501</v>
      </c>
      <c r="AG5319">
        <v>-1.1162618827749999</v>
      </c>
      <c r="AH5319">
        <v>12.235305292662201</v>
      </c>
      <c r="AI5319">
        <v>94.985240843290896</v>
      </c>
      <c r="AJ5319">
        <v>107.037153784688</v>
      </c>
      <c r="AK5319">
        <v>12.845490595314899</v>
      </c>
      <c r="AL5319">
        <v>77.968332286913693</v>
      </c>
      <c r="AM5319">
        <v>99.374151928791093</v>
      </c>
      <c r="AN5319">
        <v>1.000000062632</v>
      </c>
    </row>
    <row r="5320" spans="1:40" x14ac:dyDescent="0.25">
      <c r="A5320" t="str">
        <f>"20190312172815385"</f>
        <v>20190312172815385</v>
      </c>
      <c r="B5320" t="str">
        <f>"1552382895375295"</f>
        <v>1552382895375295</v>
      </c>
      <c r="C5320" t="s">
        <v>40</v>
      </c>
      <c r="D5320">
        <v>3.2311939999999999</v>
      </c>
      <c r="E5320">
        <v>0.44921689999999997</v>
      </c>
      <c r="F5320" t="s">
        <v>52</v>
      </c>
      <c r="G5320">
        <v>-281.75</v>
      </c>
      <c r="H5320" s="1">
        <v>-6.97143999999999E-6</v>
      </c>
      <c r="I5320">
        <v>-61.738639999999997</v>
      </c>
      <c r="J5320">
        <v>-293.75799999999998</v>
      </c>
      <c r="K5320">
        <v>1.116228</v>
      </c>
      <c r="L5320">
        <v>-56.840730000000001</v>
      </c>
      <c r="M5320">
        <v>0.77527619999999997</v>
      </c>
      <c r="N5320">
        <v>0</v>
      </c>
      <c r="O5320">
        <v>-0.63143709999999997</v>
      </c>
      <c r="P5320">
        <v>0.84891859999999997</v>
      </c>
      <c r="Q5320">
        <v>0.19620080000000001</v>
      </c>
      <c r="R5320">
        <v>-0.4907569</v>
      </c>
      <c r="S5320">
        <v>2.907959</v>
      </c>
      <c r="T5320">
        <v>-0.266910799999999</v>
      </c>
      <c r="U5320">
        <v>-1.197662</v>
      </c>
      <c r="V5320">
        <v>-0.15846769999999999</v>
      </c>
      <c r="W5320">
        <v>0.2088352</v>
      </c>
      <c r="X5320">
        <v>0.96502639999999995</v>
      </c>
      <c r="Y5320">
        <v>-0.28582229999999997</v>
      </c>
      <c r="Z5320">
        <v>6.3055719999999996E-2</v>
      </c>
      <c r="AA5320">
        <v>0.95620579999999999</v>
      </c>
      <c r="AB5320">
        <v>19</v>
      </c>
      <c r="AC5320">
        <v>12.0079999999999</v>
      </c>
      <c r="AD5320">
        <v>-1.1162349714399999</v>
      </c>
      <c r="AE5320">
        <v>-4.8979099999999898</v>
      </c>
      <c r="AF5320">
        <v>-3.7576677359563502</v>
      </c>
      <c r="AG5320">
        <v>-1.1162349714399999</v>
      </c>
      <c r="AH5320">
        <v>12.3124725458655</v>
      </c>
      <c r="AI5320">
        <v>94.955754086035796</v>
      </c>
      <c r="AJ5320">
        <v>106.97176824338</v>
      </c>
      <c r="AK5320">
        <v>12.921417395858899</v>
      </c>
      <c r="AL5320">
        <v>77.945899917278496</v>
      </c>
      <c r="AM5320">
        <v>99.325356818343295</v>
      </c>
      <c r="AN5320">
        <v>1.00000005269964</v>
      </c>
    </row>
    <row r="5321" spans="1:40" x14ac:dyDescent="0.25">
      <c r="A5321" t="str">
        <f>"20190312172815406"</f>
        <v>20190312172815406</v>
      </c>
      <c r="B5321" t="str">
        <f>"1552382895394815"</f>
        <v>1552382895394815</v>
      </c>
      <c r="C5321" t="s">
        <v>40</v>
      </c>
      <c r="D5321">
        <v>3.1798259999999998</v>
      </c>
      <c r="E5321">
        <v>0.44958720000000002</v>
      </c>
      <c r="F5321" t="s">
        <v>52</v>
      </c>
      <c r="G5321">
        <v>-281.36790000000002</v>
      </c>
      <c r="H5321" s="1">
        <v>-7.0920970000000004E-6</v>
      </c>
      <c r="I5321">
        <v>-61.803089999999997</v>
      </c>
      <c r="J5321">
        <v>-293.61</v>
      </c>
      <c r="K5321">
        <v>1.116201</v>
      </c>
      <c r="L5321">
        <v>-56.945250000000001</v>
      </c>
      <c r="M5321">
        <v>0.78188069999999998</v>
      </c>
      <c r="N5321">
        <v>0</v>
      </c>
      <c r="O5321">
        <v>-0.62324060000000003</v>
      </c>
      <c r="P5321">
        <v>0.85354799999999997</v>
      </c>
      <c r="Q5321">
        <v>0.19709260000000001</v>
      </c>
      <c r="R5321">
        <v>-0.48229749999999999</v>
      </c>
      <c r="S5321">
        <v>2.9188839999999998</v>
      </c>
      <c r="T5321">
        <v>-0.26296370000000002</v>
      </c>
      <c r="U5321">
        <v>-1.1690370000000001</v>
      </c>
      <c r="V5321">
        <v>-0.15776419999999999</v>
      </c>
      <c r="W5321">
        <v>0.2097379</v>
      </c>
      <c r="X5321">
        <v>0.96494590000000002</v>
      </c>
      <c r="Y5321">
        <v>-0.28516170000000002</v>
      </c>
      <c r="Z5321">
        <v>6.1514729999999997E-2</v>
      </c>
      <c r="AA5321">
        <v>0.9565034</v>
      </c>
      <c r="AB5321">
        <v>19</v>
      </c>
      <c r="AC5321">
        <v>12.242099999999899</v>
      </c>
      <c r="AD5321">
        <v>-1.1162080920969999</v>
      </c>
      <c r="AE5321">
        <v>-4.8578400000000004</v>
      </c>
      <c r="AF5321">
        <v>-3.8046436318433399</v>
      </c>
      <c r="AG5321">
        <v>-1.1162080920969999</v>
      </c>
      <c r="AH5321">
        <v>12.511077457017199</v>
      </c>
      <c r="AI5321">
        <v>94.878825584131306</v>
      </c>
      <c r="AJ5321">
        <v>106.91462123565501</v>
      </c>
      <c r="AK5321">
        <v>13.124339709321401</v>
      </c>
      <c r="AL5321">
        <v>77.893007771481905</v>
      </c>
      <c r="AM5321">
        <v>99.285441508488006</v>
      </c>
      <c r="AN5321">
        <v>1.0000000597124199</v>
      </c>
    </row>
    <row r="5322" spans="1:40" x14ac:dyDescent="0.25">
      <c r="A5322" t="str">
        <f>"20190312172815429"</f>
        <v>20190312172815429</v>
      </c>
      <c r="B5322" t="str">
        <f>"1552382895425071"</f>
        <v>1552382895425071</v>
      </c>
      <c r="C5322" t="s">
        <v>40</v>
      </c>
      <c r="D5322">
        <v>3.2366830000000002</v>
      </c>
      <c r="E5322">
        <v>0.4501812</v>
      </c>
      <c r="F5322" t="s">
        <v>52</v>
      </c>
      <c r="G5322">
        <v>-280.9393</v>
      </c>
      <c r="H5322" s="1">
        <v>-7.226078E-6</v>
      </c>
      <c r="I5322">
        <v>-61.887360000000001</v>
      </c>
      <c r="J5322">
        <v>-293.45249999999999</v>
      </c>
      <c r="K5322">
        <v>1.1161589999999999</v>
      </c>
      <c r="L5322">
        <v>-57.053959999999996</v>
      </c>
      <c r="M5322">
        <v>0.78875499999999998</v>
      </c>
      <c r="N5322">
        <v>0</v>
      </c>
      <c r="O5322">
        <v>-0.61451800000000001</v>
      </c>
      <c r="P5322">
        <v>0.85820849999999904</v>
      </c>
      <c r="Q5322">
        <v>0.1973867</v>
      </c>
      <c r="R5322">
        <v>-0.47383219999999998</v>
      </c>
      <c r="S5322">
        <v>2.928833</v>
      </c>
      <c r="T5322">
        <v>-0.25801069999999998</v>
      </c>
      <c r="U5322">
        <v>-1.1423650000000001</v>
      </c>
      <c r="V5322">
        <v>-0.156528799999999</v>
      </c>
      <c r="W5322">
        <v>0.21005399999999999</v>
      </c>
      <c r="X5322">
        <v>0.9650782</v>
      </c>
      <c r="Y5322">
        <v>-0.28331020000000001</v>
      </c>
      <c r="Z5322">
        <v>5.9676479999999997E-2</v>
      </c>
      <c r="AA5322">
        <v>0.95716979999999996</v>
      </c>
      <c r="AB5322">
        <v>19</v>
      </c>
      <c r="AC5322">
        <v>12.5131999999999</v>
      </c>
      <c r="AD5322">
        <v>-1.1161662260780001</v>
      </c>
      <c r="AE5322">
        <v>-4.8334000000000001</v>
      </c>
      <c r="AF5322">
        <v>-3.85100790615525</v>
      </c>
      <c r="AG5322">
        <v>-1.1161662260780001</v>
      </c>
      <c r="AH5322">
        <v>12.753260501789899</v>
      </c>
      <c r="AI5322">
        <v>94.789262814846893</v>
      </c>
      <c r="AJ5322">
        <v>106.80235321973601</v>
      </c>
      <c r="AK5322">
        <v>13.3686851396845</v>
      </c>
      <c r="AL5322">
        <v>77.874482462571706</v>
      </c>
      <c r="AM5322">
        <v>99.212740705118193</v>
      </c>
      <c r="AN5322">
        <v>0.99999994013033799</v>
      </c>
    </row>
    <row r="5323" spans="1:40" x14ac:dyDescent="0.25">
      <c r="A5323" t="str">
        <f>"20190312172815452"</f>
        <v>20190312172815452</v>
      </c>
      <c r="B5323" t="str">
        <f>"1552382895445567"</f>
        <v>1552382895445567</v>
      </c>
      <c r="C5323" t="s">
        <v>40</v>
      </c>
      <c r="D5323">
        <v>3.2564109999999999</v>
      </c>
      <c r="E5323">
        <v>0.45063439999999999</v>
      </c>
      <c r="F5323" t="s">
        <v>52</v>
      </c>
      <c r="G5323">
        <v>-280.55470000000003</v>
      </c>
      <c r="H5323" s="1">
        <v>-7.346727E-6</v>
      </c>
      <c r="I5323">
        <v>-61.959409999999998</v>
      </c>
      <c r="J5323">
        <v>-293.29750000000001</v>
      </c>
      <c r="K5323">
        <v>1.116115</v>
      </c>
      <c r="L5323">
        <v>-57.158230000000003</v>
      </c>
      <c r="M5323">
        <v>0.7953519</v>
      </c>
      <c r="N5323">
        <v>0</v>
      </c>
      <c r="O5323">
        <v>-0.60595580000000004</v>
      </c>
      <c r="P5323">
        <v>0.86256999999999995</v>
      </c>
      <c r="Q5323">
        <v>0.19756850000000001</v>
      </c>
      <c r="R5323">
        <v>-0.46576790000000001</v>
      </c>
      <c r="S5323">
        <v>2.9373170000000002</v>
      </c>
      <c r="T5323">
        <v>-0.25419320000000001</v>
      </c>
      <c r="U5323">
        <v>-1.117157</v>
      </c>
      <c r="V5323">
        <v>-0.15509220000000001</v>
      </c>
      <c r="W5323">
        <v>0.21026239999999999</v>
      </c>
      <c r="X5323">
        <v>0.96526480000000003</v>
      </c>
      <c r="Y5323">
        <v>-0.28114349999999999</v>
      </c>
      <c r="Z5323">
        <v>5.8131120000000001E-2</v>
      </c>
      <c r="AA5323">
        <v>0.95790350000000002</v>
      </c>
      <c r="AB5323">
        <v>19</v>
      </c>
      <c r="AC5323">
        <v>12.7427999999999</v>
      </c>
      <c r="AD5323">
        <v>-1.1161223467270001</v>
      </c>
      <c r="AE5323">
        <v>-4.8011799999999898</v>
      </c>
      <c r="AF5323">
        <v>-3.8773523266491199</v>
      </c>
      <c r="AG5323">
        <v>-1.1161223467270001</v>
      </c>
      <c r="AH5323">
        <v>12.958774847961701</v>
      </c>
      <c r="AI5323">
        <v>94.717036200935794</v>
      </c>
      <c r="AJ5323">
        <v>106.657535648829</v>
      </c>
      <c r="AK5323">
        <v>13.5723776737166</v>
      </c>
      <c r="AL5323">
        <v>77.862270015721293</v>
      </c>
      <c r="AM5323">
        <v>99.127882611769905</v>
      </c>
      <c r="AN5323">
        <v>1.0000000007368199</v>
      </c>
    </row>
    <row r="5324" spans="1:40" x14ac:dyDescent="0.25">
      <c r="A5324" t="str">
        <f>"20190312172815473"</f>
        <v>20190312172815473</v>
      </c>
      <c r="B5324" t="str">
        <f>"1552382895465090"</f>
        <v>1552382895465090</v>
      </c>
      <c r="C5324" t="s">
        <v>40</v>
      </c>
      <c r="D5324">
        <v>3.3770760000000002</v>
      </c>
      <c r="E5324">
        <v>0.45099289999999997</v>
      </c>
      <c r="F5324" t="s">
        <v>52</v>
      </c>
      <c r="G5324">
        <v>-280.2516</v>
      </c>
      <c r="H5324" s="1">
        <v>-7.4440319999999901E-6</v>
      </c>
      <c r="I5324">
        <v>-61.996250000000003</v>
      </c>
      <c r="J5324">
        <v>-293.14690000000002</v>
      </c>
      <c r="K5324">
        <v>1.116069</v>
      </c>
      <c r="L5324">
        <v>-57.257420000000003</v>
      </c>
      <c r="M5324">
        <v>0.80161830000000001</v>
      </c>
      <c r="N5324">
        <v>0</v>
      </c>
      <c r="O5324">
        <v>-0.59764139999999999</v>
      </c>
      <c r="P5324">
        <v>0.86719360000000001</v>
      </c>
      <c r="Q5324">
        <v>0.19650860000000001</v>
      </c>
      <c r="R5324">
        <v>-0.45755839999999998</v>
      </c>
      <c r="S5324">
        <v>2.9458009999999999</v>
      </c>
      <c r="T5324">
        <v>-0.25202350000000001</v>
      </c>
      <c r="U5324">
        <v>-1.092438</v>
      </c>
      <c r="V5324">
        <v>-0.1543081</v>
      </c>
      <c r="W5324">
        <v>0.2092222</v>
      </c>
      <c r="X5324">
        <v>0.96561640000000004</v>
      </c>
      <c r="Y5324">
        <v>-0.27918799999999999</v>
      </c>
      <c r="Z5324">
        <v>5.6991010000000002E-2</v>
      </c>
      <c r="AA5324">
        <v>0.9585437</v>
      </c>
      <c r="AB5324">
        <v>19</v>
      </c>
      <c r="AC5324">
        <v>12.895300000000001</v>
      </c>
      <c r="AD5324">
        <v>-1.1160764440319999</v>
      </c>
      <c r="AE5324">
        <v>-4.7388300000000001</v>
      </c>
      <c r="AF5324">
        <v>-3.8828623890751999</v>
      </c>
      <c r="AG5324">
        <v>-1.1160764440319999</v>
      </c>
      <c r="AH5324">
        <v>13.0844122764953</v>
      </c>
      <c r="AI5324">
        <v>94.6748751187408</v>
      </c>
      <c r="AJ5324">
        <v>106.528509483299</v>
      </c>
      <c r="AK5324">
        <v>13.6939436095932</v>
      </c>
      <c r="AL5324">
        <v>77.923224615466097</v>
      </c>
      <c r="AM5324">
        <v>99.079253838752393</v>
      </c>
      <c r="AN5324">
        <v>0.99999997532370399</v>
      </c>
    </row>
    <row r="5325" spans="1:40" x14ac:dyDescent="0.25">
      <c r="A5325" t="str">
        <f>"20190312172815496"</f>
        <v>20190312172815496</v>
      </c>
      <c r="B5325" t="str">
        <f>"1552382895484607"</f>
        <v>1552382895484607</v>
      </c>
      <c r="C5325" t="s">
        <v>40</v>
      </c>
      <c r="D5325">
        <v>3.2560880000000001</v>
      </c>
      <c r="E5325">
        <v>0.45157700000000001</v>
      </c>
      <c r="F5325" t="s">
        <v>52</v>
      </c>
      <c r="G5325">
        <v>-280.24529999999999</v>
      </c>
      <c r="H5325" s="1">
        <v>-7.4552019999999998E-6</v>
      </c>
      <c r="I5325">
        <v>-61.915619999999997</v>
      </c>
      <c r="J5325">
        <v>-292.99160000000001</v>
      </c>
      <c r="K5325">
        <v>1.116017</v>
      </c>
      <c r="L5325">
        <v>-57.357390000000002</v>
      </c>
      <c r="M5325">
        <v>0.80792310000000001</v>
      </c>
      <c r="N5325">
        <v>0</v>
      </c>
      <c r="O5325">
        <v>-0.58909089999999997</v>
      </c>
      <c r="P5325">
        <v>0.87143250000000005</v>
      </c>
      <c r="Q5325">
        <v>0.19634879999999999</v>
      </c>
      <c r="R5325">
        <v>-0.44950269999999998</v>
      </c>
      <c r="S5325">
        <v>2.9544980000000001</v>
      </c>
      <c r="T5325">
        <v>-0.2555848</v>
      </c>
      <c r="U5325">
        <v>-1.0667420000000001</v>
      </c>
      <c r="V5325">
        <v>-0.15298539999999999</v>
      </c>
      <c r="W5325">
        <v>0.20908789999999999</v>
      </c>
      <c r="X5325">
        <v>0.96585600000000005</v>
      </c>
      <c r="Y5325">
        <v>-0.27722229999999998</v>
      </c>
      <c r="Z5325">
        <v>5.7116140000000003E-2</v>
      </c>
      <c r="AA5325">
        <v>0.95910660000000003</v>
      </c>
      <c r="AB5325">
        <v>19</v>
      </c>
      <c r="AC5325">
        <v>12.7463</v>
      </c>
      <c r="AD5325">
        <v>-1.116024455202</v>
      </c>
      <c r="AE5325">
        <v>-4.5582299999999902</v>
      </c>
      <c r="AF5325">
        <v>-3.8006415056616101</v>
      </c>
      <c r="AG5325">
        <v>-1.116024455202</v>
      </c>
      <c r="AH5325">
        <v>12.8970886707046</v>
      </c>
      <c r="AI5325">
        <v>94.744899428898194</v>
      </c>
      <c r="AJ5325">
        <v>106.41971176844</v>
      </c>
      <c r="AK5325">
        <v>13.4916745669017</v>
      </c>
      <c r="AL5325">
        <v>77.931094364407201</v>
      </c>
      <c r="AM5325">
        <v>99.0005114507006</v>
      </c>
      <c r="AN5325">
        <v>1.0000000476377799</v>
      </c>
    </row>
    <row r="5326" spans="1:40" x14ac:dyDescent="0.25">
      <c r="A5326" t="str">
        <f>"20190312172815519"</f>
        <v>20190312172815519</v>
      </c>
      <c r="B5326" t="str">
        <f>"1552382895514863"</f>
        <v>1552382895514863</v>
      </c>
      <c r="C5326" t="s">
        <v>40</v>
      </c>
      <c r="D5326">
        <v>3.2913510000000001</v>
      </c>
      <c r="E5326">
        <v>0.4525014</v>
      </c>
      <c r="F5326" t="s">
        <v>52</v>
      </c>
      <c r="G5326">
        <v>-280.04349999999999</v>
      </c>
      <c r="H5326" s="1">
        <v>-7.5228469999999996E-6</v>
      </c>
      <c r="I5326">
        <v>-61.914969999999997</v>
      </c>
      <c r="J5326">
        <v>-292.83199999999999</v>
      </c>
      <c r="K5326">
        <v>1.115958</v>
      </c>
      <c r="L5326">
        <v>-57.457819999999998</v>
      </c>
      <c r="M5326">
        <v>0.81423579999999995</v>
      </c>
      <c r="N5326">
        <v>0</v>
      </c>
      <c r="O5326">
        <v>-0.58033449999999998</v>
      </c>
      <c r="P5326">
        <v>0.8757163</v>
      </c>
      <c r="Q5326">
        <v>0.1962593</v>
      </c>
      <c r="R5326">
        <v>-0.44113859999999999</v>
      </c>
      <c r="S5326">
        <v>2.9623110000000001</v>
      </c>
      <c r="T5326">
        <v>-0.25532660000000001</v>
      </c>
      <c r="U5326">
        <v>-1.042694</v>
      </c>
      <c r="V5326">
        <v>-0.1517821</v>
      </c>
      <c r="W5326">
        <v>0.20902399999999999</v>
      </c>
      <c r="X5326">
        <v>0.96605960000000002</v>
      </c>
      <c r="Y5326">
        <v>-0.27460709999999999</v>
      </c>
      <c r="Z5326">
        <v>5.6342660000000003E-2</v>
      </c>
      <c r="AA5326">
        <v>0.95990439999999999</v>
      </c>
      <c r="AB5326">
        <v>19</v>
      </c>
      <c r="AC5326">
        <v>12.788500000000001</v>
      </c>
      <c r="AD5326">
        <v>-1.115965522847</v>
      </c>
      <c r="AE5326">
        <v>-4.4571499999999897</v>
      </c>
      <c r="AF5326">
        <v>-3.7672963328215001</v>
      </c>
      <c r="AG5326">
        <v>-1.115965522847</v>
      </c>
      <c r="AH5326">
        <v>12.913317911977799</v>
      </c>
      <c r="AI5326">
        <v>94.742476169694001</v>
      </c>
      <c r="AJ5326">
        <v>106.263933654762</v>
      </c>
      <c r="AK5326">
        <v>13.4978398347024</v>
      </c>
      <c r="AL5326">
        <v>77.934837642057701</v>
      </c>
      <c r="AM5326">
        <v>98.929011968406499</v>
      </c>
      <c r="AN5326">
        <v>0.99999999460428501</v>
      </c>
    </row>
    <row r="5327" spans="1:40" x14ac:dyDescent="0.25">
      <c r="A5327" t="str">
        <f>"20190312172815542"</f>
        <v>20190312172815542</v>
      </c>
      <c r="B5327" t="str">
        <f>"1552382895535359"</f>
        <v>1552382895535359</v>
      </c>
      <c r="C5327" t="s">
        <v>40</v>
      </c>
      <c r="D5327">
        <v>3.2776290000000001</v>
      </c>
      <c r="E5327">
        <v>0.4531231</v>
      </c>
      <c r="F5327" t="s">
        <v>41</v>
      </c>
      <c r="G5327">
        <v>-279.85329999999999</v>
      </c>
      <c r="H5327" s="1">
        <v>-3.595885E-6</v>
      </c>
      <c r="I5327">
        <v>-61.919499999999999</v>
      </c>
      <c r="J5327">
        <v>-292.67020000000002</v>
      </c>
      <c r="K5327">
        <v>1.1158790000000001</v>
      </c>
      <c r="L5327">
        <v>-57.557279999999999</v>
      </c>
      <c r="M5327">
        <v>0.82044889999999904</v>
      </c>
      <c r="N5327">
        <v>0</v>
      </c>
      <c r="O5327">
        <v>-0.57151790000000002</v>
      </c>
      <c r="P5327">
        <v>0.88014309999999996</v>
      </c>
      <c r="Q5327">
        <v>0.19525880000000001</v>
      </c>
      <c r="R5327">
        <v>-0.43269200000000002</v>
      </c>
      <c r="S5327">
        <v>2.968842</v>
      </c>
      <c r="T5327">
        <v>-0.25527430000000001</v>
      </c>
      <c r="U5327">
        <v>-1.020599</v>
      </c>
      <c r="V5327">
        <v>-0.15073110000000001</v>
      </c>
      <c r="W5327">
        <v>0.20804980000000001</v>
      </c>
      <c r="X5327">
        <v>0.96643440000000003</v>
      </c>
      <c r="Y5327">
        <v>-0.2713062</v>
      </c>
      <c r="Z5327">
        <v>5.5589970000000002E-2</v>
      </c>
      <c r="AA5327">
        <v>0.96088640000000003</v>
      </c>
      <c r="AB5327">
        <v>19</v>
      </c>
      <c r="AC5327">
        <v>12.8169</v>
      </c>
      <c r="AD5327">
        <v>-1.1158825958849901</v>
      </c>
      <c r="AE5327">
        <v>-4.36221999999999</v>
      </c>
      <c r="AF5327">
        <v>-3.7212626915640099</v>
      </c>
      <c r="AG5327">
        <v>-1.1158825958849901</v>
      </c>
      <c r="AH5327">
        <v>12.922416700246201</v>
      </c>
      <c r="AI5327">
        <v>94.743556301792395</v>
      </c>
      <c r="AJ5327">
        <v>106.064790184939</v>
      </c>
      <c r="AK5327">
        <v>13.493770539112701</v>
      </c>
      <c r="AL5327">
        <v>77.991910225412695</v>
      </c>
      <c r="AM5327">
        <v>98.864785393324794</v>
      </c>
      <c r="AN5327">
        <v>1.0000000166453</v>
      </c>
    </row>
    <row r="5328" spans="1:40" x14ac:dyDescent="0.25">
      <c r="A5328" t="str">
        <f>"20190312172815563"</f>
        <v>20190312172815563</v>
      </c>
      <c r="B5328" t="str">
        <f>"1552382895554883"</f>
        <v>1552382895554883</v>
      </c>
      <c r="C5328" t="s">
        <v>40</v>
      </c>
      <c r="D5328">
        <v>3.386085</v>
      </c>
      <c r="E5328">
        <v>0.45379530000000001</v>
      </c>
      <c r="F5328" t="s">
        <v>41</v>
      </c>
      <c r="G5328">
        <v>-279.82819999999998</v>
      </c>
      <c r="H5328" s="1">
        <v>-3.578793E-6</v>
      </c>
      <c r="I5328">
        <v>-61.855730000000001</v>
      </c>
      <c r="J5328">
        <v>-292.51740000000001</v>
      </c>
      <c r="K5328">
        <v>1.1158030000000001</v>
      </c>
      <c r="L5328">
        <v>-57.649169999999998</v>
      </c>
      <c r="M5328">
        <v>0.82614339999999997</v>
      </c>
      <c r="N5328">
        <v>0</v>
      </c>
      <c r="O5328">
        <v>-0.56325530000000001</v>
      </c>
      <c r="P5328">
        <v>0.88421130000000003</v>
      </c>
      <c r="Q5328">
        <v>0.19547639999999999</v>
      </c>
      <c r="R5328">
        <v>-0.42421629999999999</v>
      </c>
      <c r="S5328">
        <v>2.9761959999999998</v>
      </c>
      <c r="T5328">
        <v>-0.25861099999999998</v>
      </c>
      <c r="U5328">
        <v>-0.99618530000000005</v>
      </c>
      <c r="V5328">
        <v>-0.1502502</v>
      </c>
      <c r="W5328">
        <v>0.208283</v>
      </c>
      <c r="X5328">
        <v>0.96645899999999996</v>
      </c>
      <c r="Y5328">
        <v>-0.26941399999999999</v>
      </c>
      <c r="Z5328">
        <v>5.564728E-2</v>
      </c>
      <c r="AA5328">
        <v>0.96141540000000003</v>
      </c>
      <c r="AB5328">
        <v>19</v>
      </c>
      <c r="AC5328">
        <v>12.6892</v>
      </c>
      <c r="AD5328">
        <v>-1.115806578793</v>
      </c>
      <c r="AE5328">
        <v>-4.2065599999999996</v>
      </c>
      <c r="AF5328">
        <v>-3.64705284041358</v>
      </c>
      <c r="AG5328">
        <v>-1.115806578793</v>
      </c>
      <c r="AH5328">
        <v>12.765017904301301</v>
      </c>
      <c r="AI5328">
        <v>94.804316005227406</v>
      </c>
      <c r="AJ5328">
        <v>105.94500112558801</v>
      </c>
      <c r="AK5328">
        <v>13.322601128877899</v>
      </c>
      <c r="AL5328">
        <v>77.978248958168393</v>
      </c>
      <c r="AM5328">
        <v>98.836728451696203</v>
      </c>
      <c r="AN5328">
        <v>0.99999996468501895</v>
      </c>
    </row>
    <row r="5329" spans="1:40" x14ac:dyDescent="0.25">
      <c r="A5329" t="str">
        <f>"20190312172815586"</f>
        <v>20190312172815586</v>
      </c>
      <c r="B5329" t="str">
        <f>"1552382895575376"</f>
        <v>1552382895575376</v>
      </c>
      <c r="C5329" t="s">
        <v>40</v>
      </c>
      <c r="D5329">
        <v>3.3207149999999999</v>
      </c>
      <c r="E5329">
        <v>0.45449479999999998</v>
      </c>
      <c r="F5329" t="s">
        <v>41</v>
      </c>
      <c r="G5329">
        <v>-279.61219999999997</v>
      </c>
      <c r="H5329" s="1">
        <v>-3.5051210000000001E-6</v>
      </c>
      <c r="I5329">
        <v>-61.85436</v>
      </c>
      <c r="J5329">
        <v>-292.35950000000003</v>
      </c>
      <c r="K5329">
        <v>1.1157060000000001</v>
      </c>
      <c r="L5329">
        <v>-57.742130000000003</v>
      </c>
      <c r="M5329">
        <v>0.83184979999999997</v>
      </c>
      <c r="N5329">
        <v>0</v>
      </c>
      <c r="O5329">
        <v>-0.5547938</v>
      </c>
      <c r="P5329">
        <v>0.88783500000000004</v>
      </c>
      <c r="Q5329">
        <v>0.19626859999999999</v>
      </c>
      <c r="R5329">
        <v>-0.41620610000000002</v>
      </c>
      <c r="S5329">
        <v>2.9834589999999999</v>
      </c>
      <c r="T5329">
        <v>-0.2579553</v>
      </c>
      <c r="U5329">
        <v>-0.97216800000000003</v>
      </c>
      <c r="V5329">
        <v>-0.1489828</v>
      </c>
      <c r="W5329">
        <v>0.20910239999999999</v>
      </c>
      <c r="X5329">
        <v>0.96647830000000001</v>
      </c>
      <c r="Y5329">
        <v>-0.26731510000000003</v>
      </c>
      <c r="Z5329">
        <v>5.4812949999999999E-2</v>
      </c>
      <c r="AA5329">
        <v>0.96204889999999998</v>
      </c>
      <c r="AB5329">
        <v>19</v>
      </c>
      <c r="AC5329">
        <v>12.747299999999999</v>
      </c>
      <c r="AD5329">
        <v>-1.11570950512099</v>
      </c>
      <c r="AE5329">
        <v>-4.1122299999999896</v>
      </c>
      <c r="AF5329">
        <v>-3.6266212637249202</v>
      </c>
      <c r="AG5329">
        <v>-1.11570950512099</v>
      </c>
      <c r="AH5329">
        <v>12.797959586150601</v>
      </c>
      <c r="AI5329">
        <v>94.794520849333594</v>
      </c>
      <c r="AJ5329">
        <v>105.82140162728901</v>
      </c>
      <c r="AK5329">
        <v>13.348593898200001</v>
      </c>
      <c r="AL5329">
        <v>77.930244168163696</v>
      </c>
      <c r="AM5329">
        <v>98.763177912514607</v>
      </c>
      <c r="AN5329">
        <v>0.99999999637624504</v>
      </c>
    </row>
    <row r="5330" spans="1:40" x14ac:dyDescent="0.25">
      <c r="A5330" t="str">
        <f>"20190312172815607"</f>
        <v>20190312172815607</v>
      </c>
      <c r="B5330" t="str">
        <f>"1552382895604656"</f>
        <v>1552382895604656</v>
      </c>
      <c r="C5330" t="s">
        <v>40</v>
      </c>
      <c r="D5330">
        <v>3.3510219999999999</v>
      </c>
      <c r="E5330">
        <v>0.45562740000000002</v>
      </c>
      <c r="F5330" t="s">
        <v>41</v>
      </c>
      <c r="G5330">
        <v>-279.31689999999998</v>
      </c>
      <c r="H5330" s="1">
        <v>-3.4092980000000001E-6</v>
      </c>
      <c r="I5330">
        <v>-61.889209999999999</v>
      </c>
      <c r="J5330">
        <v>-292.20370000000003</v>
      </c>
      <c r="K5330">
        <v>1.1155999999999999</v>
      </c>
      <c r="L5330">
        <v>-57.831879999999998</v>
      </c>
      <c r="M5330">
        <v>0.83729659999999995</v>
      </c>
      <c r="N5330">
        <v>0</v>
      </c>
      <c r="O5330">
        <v>-0.54653949999999996</v>
      </c>
      <c r="P5330">
        <v>0.89140589999999997</v>
      </c>
      <c r="Q5330">
        <v>0.19594400000000001</v>
      </c>
      <c r="R5330">
        <v>-0.40865859999999998</v>
      </c>
      <c r="S5330">
        <v>2.9898989999999999</v>
      </c>
      <c r="T5330">
        <v>-0.25576700000000002</v>
      </c>
      <c r="U5330">
        <v>-0.95068359999999996</v>
      </c>
      <c r="V5330">
        <v>-0.1476017</v>
      </c>
      <c r="W5330">
        <v>0.20881050000000001</v>
      </c>
      <c r="X5330">
        <v>0.96675330000000004</v>
      </c>
      <c r="Y5330">
        <v>-0.26473560000000002</v>
      </c>
      <c r="Z5330">
        <v>5.3654130000000001E-2</v>
      </c>
      <c r="AA5330">
        <v>0.96282730000000005</v>
      </c>
      <c r="AB5330">
        <v>19</v>
      </c>
      <c r="AC5330">
        <v>12.886799999999999</v>
      </c>
      <c r="AD5330">
        <v>-1.1156034092979901</v>
      </c>
      <c r="AE5330">
        <v>-4.0573299999999897</v>
      </c>
      <c r="AF5330">
        <v>-3.6216800871878299</v>
      </c>
      <c r="AG5330">
        <v>-1.1156034092979901</v>
      </c>
      <c r="AH5330">
        <v>12.920954330102299</v>
      </c>
      <c r="AI5330">
        <v>94.752444557705104</v>
      </c>
      <c r="AJ5330">
        <v>105.657923618168</v>
      </c>
      <c r="AK5330">
        <v>13.465221811071601</v>
      </c>
      <c r="AL5330">
        <v>77.947346564333301</v>
      </c>
      <c r="AM5330">
        <v>98.680752968396106</v>
      </c>
      <c r="AN5330">
        <v>1.0000000149070101</v>
      </c>
    </row>
    <row r="5331" spans="1:40" x14ac:dyDescent="0.25">
      <c r="A5331" t="str">
        <f>"20190312172815631"</f>
        <v>20190312172815631</v>
      </c>
      <c r="B5331" t="str">
        <f>"1552382895625151"</f>
        <v>1552382895625151</v>
      </c>
      <c r="C5331" t="s">
        <v>40</v>
      </c>
      <c r="D5331">
        <v>3.3805139999999998</v>
      </c>
      <c r="E5331">
        <v>0.45601449999999999</v>
      </c>
      <c r="F5331" t="s">
        <v>41</v>
      </c>
      <c r="G5331">
        <v>-279.24299999999999</v>
      </c>
      <c r="H5331" s="1">
        <v>-3.3814809999999998E-6</v>
      </c>
      <c r="I5331">
        <v>-61.86938</v>
      </c>
      <c r="J5331">
        <v>-292.04289999999997</v>
      </c>
      <c r="K5331">
        <v>1.1154869999999999</v>
      </c>
      <c r="L5331">
        <v>-57.922490000000003</v>
      </c>
      <c r="M5331">
        <v>0.84272320000000001</v>
      </c>
      <c r="N5331">
        <v>0</v>
      </c>
      <c r="O5331">
        <v>-0.53813529999999998</v>
      </c>
      <c r="P5331">
        <v>0.89480800000000005</v>
      </c>
      <c r="Q5331">
        <v>0.19583829999999999</v>
      </c>
      <c r="R5331">
        <v>-0.40120620000000001</v>
      </c>
      <c r="S5331">
        <v>2.9944760000000001</v>
      </c>
      <c r="T5331">
        <v>-0.25775090000000001</v>
      </c>
      <c r="U5331">
        <v>-0.93283079999999996</v>
      </c>
      <c r="V5331">
        <v>-0.1459442</v>
      </c>
      <c r="W5331">
        <v>0.2087396</v>
      </c>
      <c r="X5331">
        <v>0.9670202</v>
      </c>
      <c r="Y5331">
        <v>-0.26073469999999999</v>
      </c>
      <c r="Z5331">
        <v>5.3311049999999999E-2</v>
      </c>
      <c r="AA5331">
        <v>0.96393740000000006</v>
      </c>
      <c r="AB5331">
        <v>19</v>
      </c>
      <c r="AC5331">
        <v>12.7998999999999</v>
      </c>
      <c r="AD5331">
        <v>-1.115490381481</v>
      </c>
      <c r="AE5331">
        <v>-3.9468899999999998</v>
      </c>
      <c r="AF5331">
        <v>-3.5378122293422001</v>
      </c>
      <c r="AG5331">
        <v>-1.115490381481</v>
      </c>
      <c r="AH5331">
        <v>12.8232710318235</v>
      </c>
      <c r="AI5331">
        <v>94.793418528480899</v>
      </c>
      <c r="AJ5331">
        <v>105.42364840106001</v>
      </c>
      <c r="AK5331">
        <v>13.3490342016515</v>
      </c>
      <c r="AL5331">
        <v>77.951500170950197</v>
      </c>
      <c r="AM5331">
        <v>98.582398388986405</v>
      </c>
      <c r="AN5331">
        <v>0.99999999866491995</v>
      </c>
    </row>
    <row r="5332" spans="1:40" x14ac:dyDescent="0.25">
      <c r="A5332" t="str">
        <f>"20190312172815653"</f>
        <v>20190312172815653</v>
      </c>
      <c r="B5332" t="str">
        <f>"1552382895644675"</f>
        <v>1552382895644675</v>
      </c>
      <c r="C5332" t="s">
        <v>40</v>
      </c>
      <c r="D5332">
        <v>3.4109159999999998</v>
      </c>
      <c r="E5332">
        <v>0.47615689999999999</v>
      </c>
      <c r="F5332" t="s">
        <v>41</v>
      </c>
      <c r="G5332">
        <v>-279.08319999999998</v>
      </c>
      <c r="H5332" s="1">
        <v>-3.3249839999999999E-6</v>
      </c>
      <c r="I5332">
        <v>-61.853540000000002</v>
      </c>
      <c r="J5332">
        <v>-291.88510000000002</v>
      </c>
      <c r="K5332">
        <v>1.1153740000000001</v>
      </c>
      <c r="L5332">
        <v>-58.00958</v>
      </c>
      <c r="M5332">
        <v>0.84786450000000002</v>
      </c>
      <c r="N5332">
        <v>0</v>
      </c>
      <c r="O5332">
        <v>-0.52999859999999999</v>
      </c>
      <c r="P5332">
        <v>0.89776290000000003</v>
      </c>
      <c r="Q5332">
        <v>0.19580210000000001</v>
      </c>
      <c r="R5332">
        <v>-0.39456740000000001</v>
      </c>
      <c r="S5332">
        <v>3.0010680000000001</v>
      </c>
      <c r="T5332">
        <v>-0.25831279999999901</v>
      </c>
      <c r="U5332">
        <v>-0.91030880000000003</v>
      </c>
      <c r="V5332">
        <v>-0.14373820000000001</v>
      </c>
      <c r="W5332">
        <v>0.20874329999999999</v>
      </c>
      <c r="X5332">
        <v>0.96734980000000004</v>
      </c>
      <c r="Y5332">
        <v>-0.25867600000000002</v>
      </c>
      <c r="Z5332">
        <v>5.2744359999999997E-2</v>
      </c>
      <c r="AA5332">
        <v>0.96452309999999997</v>
      </c>
      <c r="AB5332">
        <v>19</v>
      </c>
      <c r="AC5332">
        <v>12.8019</v>
      </c>
      <c r="AD5332">
        <v>-1.115377324984</v>
      </c>
      <c r="AE5332">
        <v>-3.8439599999999898</v>
      </c>
      <c r="AF5332">
        <v>-3.5018487342842399</v>
      </c>
      <c r="AG5332">
        <v>-1.115377324984</v>
      </c>
      <c r="AH5332">
        <v>12.8038799980476</v>
      </c>
      <c r="AI5332">
        <v>94.803078471217503</v>
      </c>
      <c r="AJ5332">
        <v>105.29626768703299</v>
      </c>
      <c r="AK5332">
        <v>13.320899149055199</v>
      </c>
      <c r="AL5332">
        <v>77.951283851757296</v>
      </c>
      <c r="AM5332">
        <v>98.451722196863003</v>
      </c>
      <c r="AN5332">
        <v>1.0000000354970799</v>
      </c>
    </row>
    <row r="5333" spans="1:40" x14ac:dyDescent="0.25">
      <c r="A5333" t="str">
        <f>"20190312172815675"</f>
        <v>20190312172815675</v>
      </c>
      <c r="B5333" t="str">
        <f>"1552382895664739"</f>
        <v>1552382895664739</v>
      </c>
      <c r="C5333" t="s">
        <v>40</v>
      </c>
      <c r="D5333">
        <v>3.385942</v>
      </c>
      <c r="E5333">
        <v>0.47751900000000003</v>
      </c>
      <c r="F5333" t="s">
        <v>52</v>
      </c>
      <c r="G5333">
        <v>-280.01499999999999</v>
      </c>
      <c r="H5333" s="1">
        <v>-7.5025909999999902E-6</v>
      </c>
      <c r="I5333">
        <v>-62.179690000000001</v>
      </c>
      <c r="J5333">
        <v>-291.72160000000002</v>
      </c>
      <c r="K5333">
        <v>1.1152599999999999</v>
      </c>
      <c r="L5333">
        <v>-58.097900000000003</v>
      </c>
      <c r="M5333">
        <v>0.85301299999999902</v>
      </c>
      <c r="N5333">
        <v>0</v>
      </c>
      <c r="O5333">
        <v>-0.52167269999999999</v>
      </c>
      <c r="P5333">
        <v>0.90086900000000003</v>
      </c>
      <c r="Q5333">
        <v>0.1961714</v>
      </c>
      <c r="R5333">
        <v>-0.38723669999999999</v>
      </c>
      <c r="S5333">
        <v>2.9470519999999998</v>
      </c>
      <c r="T5333">
        <v>-0.27692329999999998</v>
      </c>
      <c r="U5333">
        <v>-1.035339</v>
      </c>
      <c r="V5333">
        <v>-0.14205770000000001</v>
      </c>
      <c r="W5333">
        <v>0.20913880000000001</v>
      </c>
      <c r="X5333">
        <v>0.9675125</v>
      </c>
      <c r="Y5333">
        <v>-0.20689540000000001</v>
      </c>
      <c r="Z5333">
        <v>5.4036269999999997E-2</v>
      </c>
      <c r="AA5333">
        <v>0.97686969999999995</v>
      </c>
      <c r="AB5333">
        <v>19</v>
      </c>
      <c r="AC5333">
        <v>11.7066</v>
      </c>
      <c r="AD5333">
        <v>-1.1152675025909999</v>
      </c>
      <c r="AE5333">
        <v>-4.08178999999999</v>
      </c>
      <c r="AF5333">
        <v>-2.6044153877856502</v>
      </c>
      <c r="AG5333">
        <v>-1.1152675025909999</v>
      </c>
      <c r="AH5333">
        <v>12.0193487266699</v>
      </c>
      <c r="AI5333">
        <v>95.181684546957001</v>
      </c>
      <c r="AJ5333">
        <v>102.226138783789</v>
      </c>
      <c r="AK5333">
        <v>12.348746694615199</v>
      </c>
      <c r="AL5333">
        <v>77.928110667053602</v>
      </c>
      <c r="AM5333">
        <v>98.352927374505697</v>
      </c>
      <c r="AN5333">
        <v>0.99999993272548704</v>
      </c>
    </row>
    <row r="5334" spans="1:40" x14ac:dyDescent="0.25">
      <c r="A5334" t="str">
        <f>"20190312172815696"</f>
        <v>20190312172815696</v>
      </c>
      <c r="B5334" t="str">
        <f>"1552382895685234"</f>
        <v>1552382895685234</v>
      </c>
      <c r="C5334" t="s">
        <v>40</v>
      </c>
      <c r="D5334">
        <v>3.4119060000000001</v>
      </c>
      <c r="E5334">
        <v>0.47863090000000003</v>
      </c>
      <c r="F5334" t="s">
        <v>41</v>
      </c>
      <c r="G5334">
        <v>-279.84780000000001</v>
      </c>
      <c r="H5334" s="1">
        <v>-3.6326140000000001E-6</v>
      </c>
      <c r="I5334">
        <v>-62.208260000000003</v>
      </c>
      <c r="J5334">
        <v>-291.56509999999997</v>
      </c>
      <c r="K5334">
        <v>1.1151819999999999</v>
      </c>
      <c r="L5334">
        <v>-58.180689999999998</v>
      </c>
      <c r="M5334">
        <v>0.85777599999999998</v>
      </c>
      <c r="N5334">
        <v>0</v>
      </c>
      <c r="O5334">
        <v>-0.51380429999999999</v>
      </c>
      <c r="P5334">
        <v>0.90384390000000003</v>
      </c>
      <c r="Q5334">
        <v>0.1958696</v>
      </c>
      <c r="R5334">
        <v>-0.38039610000000001</v>
      </c>
      <c r="S5334">
        <v>2.9513240000000001</v>
      </c>
      <c r="T5334">
        <v>-0.27720919999999999</v>
      </c>
      <c r="U5334">
        <v>-1.0216670000000001</v>
      </c>
      <c r="V5334">
        <v>-0.1404735</v>
      </c>
      <c r="W5334">
        <v>0.20885989999999999</v>
      </c>
      <c r="X5334">
        <v>0.96780409999999994</v>
      </c>
      <c r="Y5334">
        <v>-0.2024097</v>
      </c>
      <c r="Z5334">
        <v>5.3271789999999999E-2</v>
      </c>
      <c r="AA5334">
        <v>0.97785089999999997</v>
      </c>
      <c r="AB5334">
        <v>19</v>
      </c>
      <c r="AC5334">
        <v>11.7172999999999</v>
      </c>
      <c r="AD5334">
        <v>-1.1151856326139999</v>
      </c>
      <c r="AE5334">
        <v>-4.0275699999999901</v>
      </c>
      <c r="AF5334">
        <v>-2.54531589120166</v>
      </c>
      <c r="AG5334">
        <v>-1.1151856326139999</v>
      </c>
      <c r="AH5334">
        <v>12.0241602386601</v>
      </c>
      <c r="AI5334">
        <v>95.184523129290895</v>
      </c>
      <c r="AJ5334">
        <v>101.952129136539</v>
      </c>
      <c r="AK5334">
        <v>12.341098064036499</v>
      </c>
      <c r="AL5334">
        <v>77.944452387749493</v>
      </c>
      <c r="AM5334">
        <v>98.258615128452504</v>
      </c>
      <c r="AN5334">
        <v>1.0000000190035301</v>
      </c>
    </row>
    <row r="5335" spans="1:40" x14ac:dyDescent="0.25">
      <c r="A5335" t="str">
        <f>"20190312172815720"</f>
        <v>20190312172815720</v>
      </c>
      <c r="B5335" t="str">
        <f>"1552382895715490"</f>
        <v>1552382895715490</v>
      </c>
      <c r="C5335" t="s">
        <v>40</v>
      </c>
      <c r="D5335">
        <v>3.3779129999999999</v>
      </c>
      <c r="E5335">
        <v>0.47957169999999999</v>
      </c>
      <c r="F5335" t="s">
        <v>41</v>
      </c>
      <c r="G5335">
        <v>-279.83620000000002</v>
      </c>
      <c r="H5335" s="1">
        <v>-3.6247790000000001E-6</v>
      </c>
      <c r="I5335">
        <v>-62.17933</v>
      </c>
      <c r="J5335">
        <v>-291.4015</v>
      </c>
      <c r="K5335">
        <v>1.1150979999999999</v>
      </c>
      <c r="L5335">
        <v>-58.265469999999901</v>
      </c>
      <c r="M5335">
        <v>0.8625834</v>
      </c>
      <c r="N5335">
        <v>0</v>
      </c>
      <c r="O5335">
        <v>-0.50569299999999995</v>
      </c>
      <c r="P5335">
        <v>0.90699209999999997</v>
      </c>
      <c r="Q5335">
        <v>0.19558400000000001</v>
      </c>
      <c r="R5335">
        <v>-0.37297849999999999</v>
      </c>
      <c r="S5335">
        <v>2.9559630000000001</v>
      </c>
      <c r="T5335">
        <v>-0.28105350000000001</v>
      </c>
      <c r="U5335">
        <v>-1.0077510000000001</v>
      </c>
      <c r="V5335">
        <v>-0.139255399999999</v>
      </c>
      <c r="W5335">
        <v>0.20859179999999999</v>
      </c>
      <c r="X5335">
        <v>0.96803790000000001</v>
      </c>
      <c r="Y5335">
        <v>-0.19774159999999999</v>
      </c>
      <c r="Z5335">
        <v>5.3139430000000001E-2</v>
      </c>
      <c r="AA5335">
        <v>0.97881280000000004</v>
      </c>
      <c r="AB5335">
        <v>19</v>
      </c>
      <c r="AC5335">
        <v>11.565299999999899</v>
      </c>
      <c r="AD5335">
        <v>-1.115101624779</v>
      </c>
      <c r="AE5335">
        <v>-3.9138600000000099</v>
      </c>
      <c r="AF5335">
        <v>-2.4522832786294599</v>
      </c>
      <c r="AG5335">
        <v>-1.115101624779</v>
      </c>
      <c r="AH5335">
        <v>11.8576827666274</v>
      </c>
      <c r="AI5335">
        <v>95.261622638033401</v>
      </c>
      <c r="AJ5335">
        <v>101.684594637217</v>
      </c>
      <c r="AK5335">
        <v>12.159843153026401</v>
      </c>
      <c r="AL5335">
        <v>77.960158997872398</v>
      </c>
      <c r="AM5335">
        <v>98.186025931873303</v>
      </c>
      <c r="AN5335">
        <v>0.99999999064640499</v>
      </c>
    </row>
    <row r="5336" spans="1:40" x14ac:dyDescent="0.25">
      <c r="A5336" t="str">
        <f>"20190312172815742"</f>
        <v>20190312172815742</v>
      </c>
      <c r="B5336" t="str">
        <f>"1552382895735012"</f>
        <v>1552382895735012</v>
      </c>
      <c r="C5336" t="s">
        <v>40</v>
      </c>
      <c r="D5336">
        <v>3.415057</v>
      </c>
      <c r="E5336">
        <v>0.4579259</v>
      </c>
      <c r="F5336" t="s">
        <v>41</v>
      </c>
      <c r="G5336">
        <v>-279.69260000000003</v>
      </c>
      <c r="H5336" s="1">
        <v>-3.5769699999999901E-6</v>
      </c>
      <c r="I5336">
        <v>-62.187089999999998</v>
      </c>
      <c r="J5336">
        <v>-291.23579999999998</v>
      </c>
      <c r="K5336">
        <v>1.1150040000000001</v>
      </c>
      <c r="L5336">
        <v>-58.349550000000001</v>
      </c>
      <c r="M5336">
        <v>0.86727410000000005</v>
      </c>
      <c r="N5336">
        <v>0</v>
      </c>
      <c r="O5336">
        <v>-0.4976064</v>
      </c>
      <c r="P5336">
        <v>0.90983429999999998</v>
      </c>
      <c r="Q5336">
        <v>0.1964843</v>
      </c>
      <c r="R5336">
        <v>-0.36550739999999998</v>
      </c>
      <c r="S5336">
        <v>2.9606629999999998</v>
      </c>
      <c r="T5336">
        <v>-0.28196080000000001</v>
      </c>
      <c r="U5336">
        <v>-0.99160769999999998</v>
      </c>
      <c r="V5336">
        <v>-0.1380257</v>
      </c>
      <c r="W5336">
        <v>0.2095062</v>
      </c>
      <c r="X5336">
        <v>0.9680166</v>
      </c>
      <c r="Y5336">
        <v>-0.19386819999999999</v>
      </c>
      <c r="Z5336">
        <v>5.248071E-2</v>
      </c>
      <c r="AA5336">
        <v>0.97962280000000002</v>
      </c>
      <c r="AB5336">
        <v>19</v>
      </c>
      <c r="AC5336">
        <v>11.543199999999899</v>
      </c>
      <c r="AD5336">
        <v>-1.1150075769700001</v>
      </c>
      <c r="AE5336">
        <v>-3.8375400000000002</v>
      </c>
      <c r="AF5336">
        <v>-2.3959110468526399</v>
      </c>
      <c r="AG5336">
        <v>-1.1150075769700001</v>
      </c>
      <c r="AH5336">
        <v>11.8227025335897</v>
      </c>
      <c r="AI5336">
        <v>95.280946790971996</v>
      </c>
      <c r="AJ5336">
        <v>101.456039813853</v>
      </c>
      <c r="AK5336">
        <v>12.114451157146201</v>
      </c>
      <c r="AL5336">
        <v>77.906584607121701</v>
      </c>
      <c r="AM5336">
        <v>98.114882077037194</v>
      </c>
      <c r="AN5336">
        <v>1.0000000397872399</v>
      </c>
    </row>
    <row r="5337" spans="1:40" x14ac:dyDescent="0.25">
      <c r="A5337" t="str">
        <f>"20190312172815764"</f>
        <v>20190312172815764</v>
      </c>
      <c r="B5337" t="str">
        <f>"1552382895754802"</f>
        <v>1552382895754802</v>
      </c>
      <c r="C5337" t="s">
        <v>40</v>
      </c>
      <c r="D5337">
        <v>3.22085</v>
      </c>
      <c r="E5337">
        <v>0.45357969999999997</v>
      </c>
      <c r="F5337" t="s">
        <v>41</v>
      </c>
      <c r="G5337">
        <v>-277.1884</v>
      </c>
      <c r="H5337" s="1">
        <v>-2.6191390000000001E-6</v>
      </c>
      <c r="I5337">
        <v>-62.097340000000003</v>
      </c>
      <c r="J5337">
        <v>-291.0763</v>
      </c>
      <c r="K5337">
        <v>1.114905</v>
      </c>
      <c r="L5337">
        <v>-58.428959999999996</v>
      </c>
      <c r="M5337">
        <v>0.87162629999999996</v>
      </c>
      <c r="N5337">
        <v>0</v>
      </c>
      <c r="O5337">
        <v>-0.4899442</v>
      </c>
      <c r="P5337">
        <v>0.91269990000000001</v>
      </c>
      <c r="Q5337">
        <v>0.19672909999999999</v>
      </c>
      <c r="R5337">
        <v>-0.35815770000000002</v>
      </c>
      <c r="S5337">
        <v>3.0249329999999999</v>
      </c>
      <c r="T5337">
        <v>-0.24010210000000001</v>
      </c>
      <c r="U5337">
        <v>-0.80703740000000002</v>
      </c>
      <c r="V5337">
        <v>-0.13722309999999999</v>
      </c>
      <c r="W5337">
        <v>0.20976349999999999</v>
      </c>
      <c r="X5337">
        <v>0.96807489999999996</v>
      </c>
      <c r="Y5337">
        <v>-0.24672830000000001</v>
      </c>
      <c r="Z5337">
        <v>4.5878509999999997E-2</v>
      </c>
      <c r="AA5337">
        <v>0.96799809999999997</v>
      </c>
      <c r="AB5337">
        <v>18</v>
      </c>
      <c r="AC5337">
        <v>13.8879</v>
      </c>
      <c r="AD5337">
        <v>-1.1149076191389999</v>
      </c>
      <c r="AE5337">
        <v>-3.66838</v>
      </c>
      <c r="AF5337">
        <v>-3.5856391668710899</v>
      </c>
      <c r="AG5337">
        <v>-1.1149076191389999</v>
      </c>
      <c r="AH5337">
        <v>13.820644638549499</v>
      </c>
      <c r="AI5337">
        <v>94.464858339308194</v>
      </c>
      <c r="AJ5337">
        <v>104.54420131416499</v>
      </c>
      <c r="AK5337">
        <v>14.321663501817101</v>
      </c>
      <c r="AL5337">
        <v>77.891506385398799</v>
      </c>
      <c r="AM5337">
        <v>98.067838800647394</v>
      </c>
      <c r="AN5337">
        <v>0.999999958557934</v>
      </c>
    </row>
    <row r="5338" spans="1:40" x14ac:dyDescent="0.25">
      <c r="A5338" t="str">
        <f>"20190312172815787"</f>
        <v>20190312172815787</v>
      </c>
      <c r="B5338" t="str">
        <f>"1552382895775299"</f>
        <v>1552382895775299</v>
      </c>
      <c r="C5338" t="s">
        <v>40</v>
      </c>
      <c r="D5338">
        <v>3.2396259999999999</v>
      </c>
      <c r="E5338">
        <v>0.45219510000000002</v>
      </c>
      <c r="F5338" t="s">
        <v>41</v>
      </c>
      <c r="G5338">
        <v>-276.08170000000001</v>
      </c>
      <c r="H5338" s="1">
        <v>-2.152043E-6</v>
      </c>
      <c r="I5338">
        <v>-62.131900000000002</v>
      </c>
      <c r="J5338">
        <v>-290.91759999999999</v>
      </c>
      <c r="K5338">
        <v>1.1147899999999999</v>
      </c>
      <c r="L5338">
        <v>-58.506349999999998</v>
      </c>
      <c r="M5338">
        <v>0.87579390000000001</v>
      </c>
      <c r="N5338">
        <v>0</v>
      </c>
      <c r="O5338">
        <v>-0.48245559999999998</v>
      </c>
      <c r="P5338">
        <v>0.91556020000000005</v>
      </c>
      <c r="Q5338">
        <v>0.19645319999999999</v>
      </c>
      <c r="R5338">
        <v>-0.35093590000000002</v>
      </c>
      <c r="S5338">
        <v>3.040985</v>
      </c>
      <c r="T5338">
        <v>-0.22610930000000001</v>
      </c>
      <c r="U5338">
        <v>-0.75097659999999999</v>
      </c>
      <c r="V5338">
        <v>-0.13653889999999999</v>
      </c>
      <c r="W5338">
        <v>0.20950250000000001</v>
      </c>
      <c r="X5338">
        <v>0.96822819999999998</v>
      </c>
      <c r="Y5338">
        <v>-0.25665589999999999</v>
      </c>
      <c r="Z5338">
        <v>4.3018590000000002E-2</v>
      </c>
      <c r="AA5338">
        <v>0.96554499999999999</v>
      </c>
      <c r="AB5338">
        <v>18</v>
      </c>
      <c r="AC5338">
        <v>14.835899999999899</v>
      </c>
      <c r="AD5338">
        <v>-1.114792152043</v>
      </c>
      <c r="AE5338">
        <v>-3.6255500000000001</v>
      </c>
      <c r="AF5338">
        <v>-3.9617613747859899</v>
      </c>
      <c r="AG5338">
        <v>-1.114792152043</v>
      </c>
      <c r="AH5338">
        <v>14.6658511401622</v>
      </c>
      <c r="AI5338">
        <v>94.196982192196302</v>
      </c>
      <c r="AJ5338">
        <v>105.116790350918</v>
      </c>
      <c r="AK5338">
        <v>15.232383411613499</v>
      </c>
      <c r="AL5338">
        <v>77.906801022659096</v>
      </c>
      <c r="AM5338">
        <v>98.026883427450798</v>
      </c>
      <c r="AN5338">
        <v>1.0000000079973499</v>
      </c>
    </row>
    <row r="5339" spans="1:40" x14ac:dyDescent="0.25">
      <c r="A5339" t="str">
        <f>"20190312172815809"</f>
        <v>20190312172815809</v>
      </c>
      <c r="B5339" t="str">
        <f>"1552382895804582"</f>
        <v>1552382895804582</v>
      </c>
      <c r="C5339" t="s">
        <v>40</v>
      </c>
      <c r="D5339">
        <v>3.2887040000000001</v>
      </c>
      <c r="E5339">
        <v>0.45192840000000001</v>
      </c>
      <c r="F5339" t="s">
        <v>41</v>
      </c>
      <c r="G5339">
        <v>-275.65300000000002</v>
      </c>
      <c r="H5339" s="1">
        <v>-1.9589150000000002E-6</v>
      </c>
      <c r="I5339">
        <v>-62.09046</v>
      </c>
      <c r="J5339">
        <v>-290.75529999999998</v>
      </c>
      <c r="K5339">
        <v>1.114662</v>
      </c>
      <c r="L5339">
        <v>-58.584009999999999</v>
      </c>
      <c r="M5339">
        <v>0.87989309999999998</v>
      </c>
      <c r="N5339">
        <v>0</v>
      </c>
      <c r="O5339">
        <v>-0.47493930000000001</v>
      </c>
      <c r="P5339">
        <v>0.91838450000000005</v>
      </c>
      <c r="Q5339">
        <v>0.19590260000000001</v>
      </c>
      <c r="R5339">
        <v>-0.34379130000000002</v>
      </c>
      <c r="S5339">
        <v>3.049957</v>
      </c>
      <c r="T5339">
        <v>-0.22274150000000001</v>
      </c>
      <c r="U5339">
        <v>-0.71612549999999997</v>
      </c>
      <c r="V5339">
        <v>-0.1357776</v>
      </c>
      <c r="W5339">
        <v>0.2089704</v>
      </c>
      <c r="X5339">
        <v>0.96845020000000004</v>
      </c>
      <c r="Y5339">
        <v>-0.25953720000000002</v>
      </c>
      <c r="Z5339">
        <v>4.1971620000000001E-2</v>
      </c>
      <c r="AA5339">
        <v>0.96482060000000003</v>
      </c>
      <c r="AB5339">
        <v>18</v>
      </c>
      <c r="AC5339">
        <v>15.1022999999999</v>
      </c>
      <c r="AD5339">
        <v>-1.114663958915</v>
      </c>
      <c r="AE5339">
        <v>-3.5064500000000001</v>
      </c>
      <c r="AF5339">
        <v>-4.0668049763015004</v>
      </c>
      <c r="AG5339">
        <v>-1.114663958915</v>
      </c>
      <c r="AH5339">
        <v>14.878505889736299</v>
      </c>
      <c r="AI5339">
        <v>94.133395617392097</v>
      </c>
      <c r="AJ5339">
        <v>105.287482318792</v>
      </c>
      <c r="AK5339">
        <v>15.4645179675117</v>
      </c>
      <c r="AL5339">
        <v>77.937977958508398</v>
      </c>
      <c r="AM5339">
        <v>97.980900132472101</v>
      </c>
      <c r="AN5339">
        <v>0.99999998730897999</v>
      </c>
    </row>
    <row r="5340" spans="1:40" x14ac:dyDescent="0.25">
      <c r="A5340" t="str">
        <f>"20190312172815831"</f>
        <v>20190312172815831</v>
      </c>
      <c r="B5340" t="str">
        <f>"1552382895825078"</f>
        <v>1552382895825078</v>
      </c>
      <c r="C5340" t="s">
        <v>40</v>
      </c>
      <c r="D5340">
        <v>3.2268140000000001</v>
      </c>
      <c r="E5340">
        <v>0.45263750000000003</v>
      </c>
      <c r="F5340" t="s">
        <v>41</v>
      </c>
      <c r="G5340">
        <v>-275.71640000000002</v>
      </c>
      <c r="H5340" s="1">
        <v>-1.961791E-6</v>
      </c>
      <c r="I5340">
        <v>-61.98104</v>
      </c>
      <c r="J5340">
        <v>-290.58960000000002</v>
      </c>
      <c r="K5340">
        <v>1.1145240000000001</v>
      </c>
      <c r="L5340">
        <v>-58.661740000000002</v>
      </c>
      <c r="M5340">
        <v>0.88390469999999899</v>
      </c>
      <c r="N5340">
        <v>0</v>
      </c>
      <c r="O5340">
        <v>-0.46743210000000002</v>
      </c>
      <c r="P5340">
        <v>0.92110840000000005</v>
      </c>
      <c r="Q5340">
        <v>0.19560140000000001</v>
      </c>
      <c r="R5340">
        <v>-0.3365995</v>
      </c>
      <c r="S5340">
        <v>3.0564580000000001</v>
      </c>
      <c r="T5340">
        <v>-0.2265403</v>
      </c>
      <c r="U5340">
        <v>-0.69039919999999899</v>
      </c>
      <c r="V5340">
        <v>-0.13506470000000001</v>
      </c>
      <c r="W5340">
        <v>0.2086855</v>
      </c>
      <c r="X5340">
        <v>0.96861129999999995</v>
      </c>
      <c r="Y5340">
        <v>-0.25944719999999999</v>
      </c>
      <c r="Z5340">
        <v>4.2171319999999998E-2</v>
      </c>
      <c r="AA5340">
        <v>0.96483609999999997</v>
      </c>
      <c r="AB5340">
        <v>18</v>
      </c>
      <c r="AC5340">
        <v>14.873199999999899</v>
      </c>
      <c r="AD5340">
        <v>-1.1145259617909999</v>
      </c>
      <c r="AE5340">
        <v>-3.3192999999999899</v>
      </c>
      <c r="AF5340">
        <v>-3.9973265485283598</v>
      </c>
      <c r="AG5340">
        <v>-1.1145259617909999</v>
      </c>
      <c r="AH5340">
        <v>14.6214454260301</v>
      </c>
      <c r="AI5340">
        <v>94.205230520421694</v>
      </c>
      <c r="AJ5340">
        <v>105.29034453356699</v>
      </c>
      <c r="AK5340">
        <v>15.198929370237</v>
      </c>
      <c r="AL5340">
        <v>77.954669455994207</v>
      </c>
      <c r="AM5340">
        <v>97.938228506885196</v>
      </c>
      <c r="AN5340">
        <v>0.99999998079201402</v>
      </c>
    </row>
    <row r="5341" spans="1:40" x14ac:dyDescent="0.25">
      <c r="A5341" t="str">
        <f>"20190312172815854"</f>
        <v>20190312172815854</v>
      </c>
      <c r="B5341" t="str">
        <f>"1552382895844594"</f>
        <v>1552382895844594</v>
      </c>
      <c r="C5341" t="s">
        <v>40</v>
      </c>
      <c r="D5341">
        <v>3.2179329999999999</v>
      </c>
      <c r="E5341">
        <v>0.45351279999999999</v>
      </c>
      <c r="F5341" t="s">
        <v>41</v>
      </c>
      <c r="G5341">
        <v>-275.59519999999998</v>
      </c>
      <c r="H5341" s="1">
        <v>-1.9035150000000001E-6</v>
      </c>
      <c r="I5341">
        <v>-61.95288</v>
      </c>
      <c r="J5341">
        <v>-290.42919999999998</v>
      </c>
      <c r="K5341">
        <v>1.1144130000000001</v>
      </c>
      <c r="L5341">
        <v>-58.735599999999998</v>
      </c>
      <c r="M5341">
        <v>0.88764100000000001</v>
      </c>
      <c r="N5341">
        <v>0</v>
      </c>
      <c r="O5341">
        <v>-0.46029900000000001</v>
      </c>
      <c r="P5341">
        <v>0.92362529999999998</v>
      </c>
      <c r="Q5341">
        <v>0.19522200000000001</v>
      </c>
      <c r="R5341">
        <v>-0.32985589999999998</v>
      </c>
      <c r="S5341">
        <v>3.0598139999999998</v>
      </c>
      <c r="T5341">
        <v>-0.227434</v>
      </c>
      <c r="U5341">
        <v>-0.67160030000000004</v>
      </c>
      <c r="V5341">
        <v>-0.1343221</v>
      </c>
      <c r="W5341">
        <v>0.20831849999999999</v>
      </c>
      <c r="X5341">
        <v>0.96879360000000003</v>
      </c>
      <c r="Y5341">
        <v>-0.2575538</v>
      </c>
      <c r="Z5341">
        <v>4.1802779999999998E-2</v>
      </c>
      <c r="AA5341">
        <v>0.96535930000000003</v>
      </c>
      <c r="AB5341">
        <v>18</v>
      </c>
      <c r="AC5341">
        <v>14.834</v>
      </c>
      <c r="AD5341">
        <v>-1.1144149035149999</v>
      </c>
      <c r="AE5341">
        <v>-3.2172800000000001</v>
      </c>
      <c r="AF5341">
        <v>-3.9514199425216701</v>
      </c>
      <c r="AG5341">
        <v>-1.1144149035149999</v>
      </c>
      <c r="AH5341">
        <v>14.5712328080029</v>
      </c>
      <c r="AI5341">
        <v>94.221604667299303</v>
      </c>
      <c r="AJ5341">
        <v>105.172546070208</v>
      </c>
      <c r="AK5341">
        <v>15.138575417929999</v>
      </c>
      <c r="AL5341">
        <v>77.976170158919004</v>
      </c>
      <c r="AM5341">
        <v>97.893668251929498</v>
      </c>
      <c r="AN5341">
        <v>1.0000000316958</v>
      </c>
    </row>
    <row r="5342" spans="1:40" x14ac:dyDescent="0.25">
      <c r="A5342" t="str">
        <f>"20190312172815875"</f>
        <v>20190312172815875</v>
      </c>
      <c r="B5342" t="str">
        <f>"1552382895865090"</f>
        <v>1552382895865090</v>
      </c>
      <c r="C5342" t="s">
        <v>40</v>
      </c>
      <c r="D5342">
        <v>3.2133590000000001</v>
      </c>
      <c r="E5342">
        <v>0.45423210000000003</v>
      </c>
      <c r="F5342" t="s">
        <v>41</v>
      </c>
      <c r="G5342">
        <v>-275.61439999999999</v>
      </c>
      <c r="H5342" s="1">
        <v>-1.901865E-6</v>
      </c>
      <c r="I5342">
        <v>-61.908209999999997</v>
      </c>
      <c r="J5342">
        <v>-290.26819999999998</v>
      </c>
      <c r="K5342">
        <v>1.1143110000000001</v>
      </c>
      <c r="L5342">
        <v>-58.80838</v>
      </c>
      <c r="M5342">
        <v>0.89125219999999905</v>
      </c>
      <c r="N5342">
        <v>0</v>
      </c>
      <c r="O5342">
        <v>-0.45326830000000001</v>
      </c>
      <c r="P5342">
        <v>0.9262956</v>
      </c>
      <c r="Q5342">
        <v>0.19416</v>
      </c>
      <c r="R5342">
        <v>-0.32292189999999998</v>
      </c>
      <c r="S5342">
        <v>3.0625610000000001</v>
      </c>
      <c r="T5342">
        <v>-0.23037560000000001</v>
      </c>
      <c r="U5342">
        <v>-0.65585329999999997</v>
      </c>
      <c r="V5342">
        <v>-0.13397029999999999</v>
      </c>
      <c r="W5342">
        <v>0.2072629</v>
      </c>
      <c r="X5342">
        <v>0.96906859999999995</v>
      </c>
      <c r="Y5342">
        <v>-0.2548165</v>
      </c>
      <c r="Z5342">
        <v>4.1774930000000002E-2</v>
      </c>
      <c r="AA5342">
        <v>0.96608660000000002</v>
      </c>
      <c r="AB5342">
        <v>18</v>
      </c>
      <c r="AC5342">
        <v>14.653799999999899</v>
      </c>
      <c r="AD5342">
        <v>-1.114312901865</v>
      </c>
      <c r="AE5342">
        <v>-3.0998299999999901</v>
      </c>
      <c r="AF5342">
        <v>-3.8584386958265</v>
      </c>
      <c r="AG5342">
        <v>-1.114312901865</v>
      </c>
      <c r="AH5342">
        <v>14.387228061353101</v>
      </c>
      <c r="AI5342">
        <v>94.278215420942999</v>
      </c>
      <c r="AJ5342">
        <v>105.01260475501</v>
      </c>
      <c r="AK5342">
        <v>14.9372545570497</v>
      </c>
      <c r="AL5342">
        <v>78.038000174483699</v>
      </c>
      <c r="AM5342">
        <v>97.871047484628505</v>
      </c>
      <c r="AN5342">
        <v>0.99999995125222796</v>
      </c>
    </row>
    <row r="5343" spans="1:40" x14ac:dyDescent="0.25">
      <c r="A5343" t="str">
        <f>"20190312172815898"</f>
        <v>20190312172815898</v>
      </c>
      <c r="B5343" t="str">
        <f>"1552382895895346"</f>
        <v>1552382895895346</v>
      </c>
      <c r="C5343" t="s">
        <v>40</v>
      </c>
      <c r="D5343">
        <v>3.1686890000000001</v>
      </c>
      <c r="E5343">
        <v>0.45526060000000002</v>
      </c>
      <c r="F5343" t="s">
        <v>41</v>
      </c>
      <c r="G5343">
        <v>-275.61110000000002</v>
      </c>
      <c r="H5343" s="1">
        <v>-1.889365E-6</v>
      </c>
      <c r="I5343">
        <v>-61.85848</v>
      </c>
      <c r="J5343">
        <v>-290.10399999999998</v>
      </c>
      <c r="K5343">
        <v>1.114228</v>
      </c>
      <c r="L5343">
        <v>-58.88129</v>
      </c>
      <c r="M5343">
        <v>0.89479109999999995</v>
      </c>
      <c r="N5343">
        <v>0</v>
      </c>
      <c r="O5343">
        <v>-0.44624259999999899</v>
      </c>
      <c r="P5343">
        <v>0.92857149999999999</v>
      </c>
      <c r="Q5343">
        <v>0.19370419999999999</v>
      </c>
      <c r="R5343">
        <v>-0.31659779999999998</v>
      </c>
      <c r="S5343">
        <v>3.0651549999999999</v>
      </c>
      <c r="T5343">
        <v>-0.23302919999999999</v>
      </c>
      <c r="U5343">
        <v>-0.63784790000000002</v>
      </c>
      <c r="V5343">
        <v>-0.1329447</v>
      </c>
      <c r="W5343">
        <v>0.2068179</v>
      </c>
      <c r="X5343">
        <v>0.96930490000000002</v>
      </c>
      <c r="Y5343">
        <v>-0.25279099999999999</v>
      </c>
      <c r="Z5343">
        <v>4.1711900000000003E-2</v>
      </c>
      <c r="AA5343">
        <v>0.96662130000000002</v>
      </c>
      <c r="AB5343">
        <v>18</v>
      </c>
      <c r="AC5343">
        <v>14.492900000000001</v>
      </c>
      <c r="AD5343">
        <v>-1.114229889365</v>
      </c>
      <c r="AE5343">
        <v>-2.9771899999999998</v>
      </c>
      <c r="AF5343">
        <v>-3.7823468050319198</v>
      </c>
      <c r="AG5343">
        <v>-1.114229889365</v>
      </c>
      <c r="AH5343">
        <v>14.217581068186901</v>
      </c>
      <c r="AI5343">
        <v>94.331063972978697</v>
      </c>
      <c r="AJ5343">
        <v>104.897519785401</v>
      </c>
      <c r="AK5343">
        <v>14.754228784668999</v>
      </c>
      <c r="AL5343">
        <v>78.064061627499001</v>
      </c>
      <c r="AM5343">
        <v>97.809657157396103</v>
      </c>
      <c r="AN5343">
        <v>0.99999996309125405</v>
      </c>
    </row>
    <row r="5344" spans="1:40" x14ac:dyDescent="0.25">
      <c r="A5344" t="str">
        <f>"20190312172815921"</f>
        <v>20190312172815921</v>
      </c>
      <c r="B5344" t="str">
        <f>"1552382895914866"</f>
        <v>1552382895914866</v>
      </c>
      <c r="C5344" t="s">
        <v>40</v>
      </c>
      <c r="D5344">
        <v>3.3032840000000001</v>
      </c>
      <c r="E5344">
        <v>0.45589930000000001</v>
      </c>
      <c r="F5344" t="s">
        <v>41</v>
      </c>
      <c r="G5344">
        <v>-275.35239999999999</v>
      </c>
      <c r="H5344" s="1">
        <v>-1.784192E-6</v>
      </c>
      <c r="I5344">
        <v>-61.884610000000002</v>
      </c>
      <c r="J5344">
        <v>-289.93459999999999</v>
      </c>
      <c r="K5344">
        <v>1.1141380000000001</v>
      </c>
      <c r="L5344">
        <v>-58.955109999999998</v>
      </c>
      <c r="M5344">
        <v>0.89829359999999903</v>
      </c>
      <c r="N5344">
        <v>0</v>
      </c>
      <c r="O5344">
        <v>-0.4391504</v>
      </c>
      <c r="P5344">
        <v>0.93035690000000004</v>
      </c>
      <c r="Q5344">
        <v>0.1947555</v>
      </c>
      <c r="R5344">
        <v>-0.31065520000000002</v>
      </c>
      <c r="S5344">
        <v>3.0662539999999998</v>
      </c>
      <c r="T5344">
        <v>-0.2316029</v>
      </c>
      <c r="U5344">
        <v>-0.62426759999999903</v>
      </c>
      <c r="V5344">
        <v>-0.13133399999999901</v>
      </c>
      <c r="W5344">
        <v>0.20788190000000001</v>
      </c>
      <c r="X5344">
        <v>0.96929690000000002</v>
      </c>
      <c r="Y5344">
        <v>-0.2493609</v>
      </c>
      <c r="Z5344">
        <v>4.0869040000000002E-2</v>
      </c>
      <c r="AA5344">
        <v>0.96754790000000002</v>
      </c>
      <c r="AB5344">
        <v>18</v>
      </c>
      <c r="AC5344">
        <v>14.5822</v>
      </c>
      <c r="AD5344">
        <v>-1.11413978419199</v>
      </c>
      <c r="AE5344">
        <v>-2.9294999999999898</v>
      </c>
      <c r="AF5344">
        <v>-3.7515838404242001</v>
      </c>
      <c r="AG5344">
        <v>-1.11413978419199</v>
      </c>
      <c r="AH5344">
        <v>14.3068609771132</v>
      </c>
      <c r="AI5344">
        <v>94.307827335779507</v>
      </c>
      <c r="AJ5344">
        <v>104.693439457883</v>
      </c>
      <c r="AK5344">
        <v>14.832463038514399</v>
      </c>
      <c r="AL5344">
        <v>78.001744919501405</v>
      </c>
      <c r="AM5344">
        <v>97.716248434834299</v>
      </c>
      <c r="AN5344">
        <v>0.99999999212660995</v>
      </c>
    </row>
    <row r="5345" spans="1:40" x14ac:dyDescent="0.25">
      <c r="A5345" t="str">
        <f>"20190312172815944"</f>
        <v>20190312172815944</v>
      </c>
      <c r="B5345" t="str">
        <f>"1552382895935363"</f>
        <v>1552382895935363</v>
      </c>
      <c r="C5345" t="s">
        <v>40</v>
      </c>
      <c r="D5345">
        <v>3.2455820000000002</v>
      </c>
      <c r="E5345">
        <v>0.45631850000000002</v>
      </c>
      <c r="F5345" t="s">
        <v>41</v>
      </c>
      <c r="G5345">
        <v>-274.87759999999997</v>
      </c>
      <c r="H5345" s="1">
        <v>-1.5951030000000001E-6</v>
      </c>
      <c r="I5345">
        <v>-61.950279999999999</v>
      </c>
      <c r="J5345">
        <v>-289.77339999999998</v>
      </c>
      <c r="K5345">
        <v>1.114055</v>
      </c>
      <c r="L5345">
        <v>-59.024050000000003</v>
      </c>
      <c r="M5345">
        <v>0.9014934</v>
      </c>
      <c r="N5345">
        <v>0</v>
      </c>
      <c r="O5345">
        <v>-0.4325447</v>
      </c>
      <c r="P5345">
        <v>0.93233710000000003</v>
      </c>
      <c r="Q5345">
        <v>0.194802</v>
      </c>
      <c r="R5345">
        <v>-0.30463030000000002</v>
      </c>
      <c r="S5345">
        <v>3.068298</v>
      </c>
      <c r="T5345">
        <v>-0.22703809999999999</v>
      </c>
      <c r="U5345">
        <v>-0.61035159999999999</v>
      </c>
      <c r="V5345">
        <v>-0.13043469999999999</v>
      </c>
      <c r="W5345">
        <v>0.20793790000000001</v>
      </c>
      <c r="X5345">
        <v>0.96940630000000005</v>
      </c>
      <c r="Y5345">
        <v>-0.24668789999999999</v>
      </c>
      <c r="Z5345">
        <v>3.953458E-2</v>
      </c>
      <c r="AA5345">
        <v>0.96828820000000004</v>
      </c>
      <c r="AB5345">
        <v>18</v>
      </c>
      <c r="AC5345">
        <v>14.895799999999999</v>
      </c>
      <c r="AD5345">
        <v>-1.1140565951029999</v>
      </c>
      <c r="AE5345">
        <v>-2.9262299999999999</v>
      </c>
      <c r="AF5345">
        <v>-3.7851452601381701</v>
      </c>
      <c r="AG5345">
        <v>-1.1140565951029999</v>
      </c>
      <c r="AH5345">
        <v>14.617045553636</v>
      </c>
      <c r="AI5345">
        <v>94.219783724209506</v>
      </c>
      <c r="AJ5345">
        <v>104.51807581195401</v>
      </c>
      <c r="AK5345">
        <v>15.1402267966669</v>
      </c>
      <c r="AL5345">
        <v>77.998464501986206</v>
      </c>
      <c r="AM5345">
        <v>97.663187479148206</v>
      </c>
      <c r="AN5345">
        <v>0.99999997785009398</v>
      </c>
    </row>
    <row r="5346" spans="1:40" x14ac:dyDescent="0.25">
      <c r="A5346" t="str">
        <f>"20190312172815965"</f>
        <v>20190312172815965</v>
      </c>
      <c r="B5346" t="str">
        <f>"1552382895955219"</f>
        <v>1552382895955219</v>
      </c>
      <c r="C5346" t="s">
        <v>40</v>
      </c>
      <c r="D5346">
        <v>3.1637369999999998</v>
      </c>
      <c r="E5346">
        <v>0.45663009999999898</v>
      </c>
      <c r="F5346" t="s">
        <v>41</v>
      </c>
      <c r="G5346">
        <v>-274.73180000000002</v>
      </c>
      <c r="H5346" s="1">
        <v>-1.529213E-6</v>
      </c>
      <c r="I5346">
        <v>-61.935279999999999</v>
      </c>
      <c r="J5346">
        <v>-289.61239999999998</v>
      </c>
      <c r="K5346">
        <v>1.1139559999999999</v>
      </c>
      <c r="L5346">
        <v>-59.091740000000001</v>
      </c>
      <c r="M5346">
        <v>0.90457019999999999</v>
      </c>
      <c r="N5346">
        <v>0</v>
      </c>
      <c r="O5346">
        <v>-0.4260736</v>
      </c>
      <c r="P5346">
        <v>0.93389670000000002</v>
      </c>
      <c r="Q5346">
        <v>0.19531699999999999</v>
      </c>
      <c r="R5346">
        <v>-0.29948000000000002</v>
      </c>
      <c r="S5346">
        <v>3.071075</v>
      </c>
      <c r="T5346">
        <v>-0.22745850000000001</v>
      </c>
      <c r="U5346">
        <v>-0.59439090000000006</v>
      </c>
      <c r="V5346">
        <v>-0.1287421</v>
      </c>
      <c r="W5346">
        <v>0.20847099999999999</v>
      </c>
      <c r="X5346">
        <v>0.96951810000000005</v>
      </c>
      <c r="Y5346">
        <v>-0.24477199999999999</v>
      </c>
      <c r="Z5346">
        <v>3.9104300000000002E-2</v>
      </c>
      <c r="AA5346">
        <v>0.96879179999999998</v>
      </c>
      <c r="AB5346">
        <v>18</v>
      </c>
      <c r="AC5346">
        <v>14.8805999999999</v>
      </c>
      <c r="AD5346">
        <v>-1.113957529213</v>
      </c>
      <c r="AE5346">
        <v>-2.84354</v>
      </c>
      <c r="AF5346">
        <v>-3.7481878077426201</v>
      </c>
      <c r="AG5346">
        <v>-1.113957529213</v>
      </c>
      <c r="AH5346">
        <v>14.594767705629099</v>
      </c>
      <c r="AI5346">
        <v>94.228003394743297</v>
      </c>
      <c r="AJ5346">
        <v>104.40327180486</v>
      </c>
      <c r="AK5346">
        <v>15.109502228739199</v>
      </c>
      <c r="AL5346">
        <v>77.967236221215401</v>
      </c>
      <c r="AM5346">
        <v>97.564042146934597</v>
      </c>
      <c r="AN5346">
        <v>1.00000001619051</v>
      </c>
    </row>
    <row r="5347" spans="1:40" x14ac:dyDescent="0.25">
      <c r="A5347" t="str">
        <f>"20190312172815989"</f>
        <v>20190312172815989</v>
      </c>
      <c r="B5347" t="str">
        <f>"1552382895985475"</f>
        <v>1552382895985475</v>
      </c>
      <c r="C5347" t="s">
        <v>40</v>
      </c>
      <c r="D5347">
        <v>3.219992</v>
      </c>
      <c r="E5347">
        <v>0.46669650000000001</v>
      </c>
      <c r="F5347" t="s">
        <v>41</v>
      </c>
      <c r="G5347">
        <v>-274.49340000000001</v>
      </c>
      <c r="H5347" s="1">
        <v>-1.4297959999999999E-6</v>
      </c>
      <c r="I5347">
        <v>-61.948039999999999</v>
      </c>
      <c r="J5347">
        <v>-289.44240000000002</v>
      </c>
      <c r="K5347">
        <v>1.1138600000000001</v>
      </c>
      <c r="L5347">
        <v>-59.161960000000001</v>
      </c>
      <c r="M5347">
        <v>0.90769560000000005</v>
      </c>
      <c r="N5347">
        <v>0</v>
      </c>
      <c r="O5347">
        <v>-0.41937560000000002</v>
      </c>
      <c r="P5347">
        <v>0.93542309999999995</v>
      </c>
      <c r="Q5347">
        <v>0.19625770000000001</v>
      </c>
      <c r="R5347">
        <v>-0.29405290000000001</v>
      </c>
      <c r="S5347">
        <v>3.073547</v>
      </c>
      <c r="T5347">
        <v>-0.2264564</v>
      </c>
      <c r="U5347">
        <v>-0.58065800000000001</v>
      </c>
      <c r="V5347">
        <v>-0.12707189999999999</v>
      </c>
      <c r="W5347">
        <v>0.2094269</v>
      </c>
      <c r="X5347">
        <v>0.96953239999999996</v>
      </c>
      <c r="Y5347">
        <v>-0.24196480000000001</v>
      </c>
      <c r="Z5347">
        <v>3.8381940000000003E-2</v>
      </c>
      <c r="AA5347">
        <v>0.96952559999999999</v>
      </c>
      <c r="AB5347">
        <v>18</v>
      </c>
      <c r="AC5347">
        <v>14.949</v>
      </c>
      <c r="AD5347">
        <v>-1.1138614297959999</v>
      </c>
      <c r="AE5347">
        <v>-2.7860799999999899</v>
      </c>
      <c r="AF5347">
        <v>-3.72076760331848</v>
      </c>
      <c r="AG5347">
        <v>-1.1138614297959999</v>
      </c>
      <c r="AH5347">
        <v>14.660463341638801</v>
      </c>
      <c r="AI5347">
        <v>94.211801358937294</v>
      </c>
      <c r="AJ5347">
        <v>104.240763280037</v>
      </c>
      <c r="AK5347">
        <v>15.1662119276445</v>
      </c>
      <c r="AL5347">
        <v>77.911230564819903</v>
      </c>
      <c r="AM5347">
        <v>97.466917744327404</v>
      </c>
      <c r="AN5347">
        <v>0.99999998443148896</v>
      </c>
    </row>
    <row r="5348" spans="1:40" x14ac:dyDescent="0.25">
      <c r="A5348" t="str">
        <f>"20190312172816010"</f>
        <v>20190312172816010</v>
      </c>
      <c r="B5348" t="str">
        <f>"1552382896004998"</f>
        <v>1552382896004998</v>
      </c>
      <c r="C5348" t="s">
        <v>40</v>
      </c>
      <c r="D5348">
        <v>3.1700179999999998</v>
      </c>
      <c r="E5348">
        <v>0.46747549999999999</v>
      </c>
      <c r="F5348" t="s">
        <v>41</v>
      </c>
      <c r="G5348">
        <v>-273.61930000000001</v>
      </c>
      <c r="H5348" s="1">
        <v>-1.174048E-6</v>
      </c>
      <c r="I5348">
        <v>-62.484259999999999</v>
      </c>
      <c r="J5348">
        <v>-289.2824</v>
      </c>
      <c r="K5348">
        <v>1.113783</v>
      </c>
      <c r="L5348">
        <v>-59.226840000000003</v>
      </c>
      <c r="M5348">
        <v>0.91052409999999995</v>
      </c>
      <c r="N5348">
        <v>0</v>
      </c>
      <c r="O5348">
        <v>-0.41319929999999999</v>
      </c>
      <c r="P5348">
        <v>0.93686659999999999</v>
      </c>
      <c r="Q5348">
        <v>0.1971233</v>
      </c>
      <c r="R5348">
        <v>-0.28883150000000002</v>
      </c>
      <c r="S5348">
        <v>3.0508120000000001</v>
      </c>
      <c r="T5348">
        <v>-0.21476020000000001</v>
      </c>
      <c r="U5348">
        <v>-0.64056400000000002</v>
      </c>
      <c r="V5348">
        <v>-0.12577669999999999</v>
      </c>
      <c r="W5348">
        <v>0.21030289999999999</v>
      </c>
      <c r="X5348">
        <v>0.96951169999999998</v>
      </c>
      <c r="Y5348">
        <v>-0.21589179999999999</v>
      </c>
      <c r="Z5348">
        <v>3.5276120000000001E-2</v>
      </c>
      <c r="AA5348">
        <v>0.97577979999999997</v>
      </c>
      <c r="AB5348">
        <v>18</v>
      </c>
      <c r="AC5348">
        <v>15.663099999999901</v>
      </c>
      <c r="AD5348">
        <v>-1.1137841740479999</v>
      </c>
      <c r="AE5348">
        <v>-3.25741999999999</v>
      </c>
      <c r="AF5348">
        <v>-3.4894816605590901</v>
      </c>
      <c r="AG5348">
        <v>-1.1137841740479999</v>
      </c>
      <c r="AH5348">
        <v>15.5339594397699</v>
      </c>
      <c r="AI5348">
        <v>94.001700033729406</v>
      </c>
      <c r="AJ5348">
        <v>102.660514186995</v>
      </c>
      <c r="AK5348">
        <v>15.9599778609544</v>
      </c>
      <c r="AL5348">
        <v>77.859896607155406</v>
      </c>
      <c r="AM5348">
        <v>97.391812006721494</v>
      </c>
      <c r="AN5348">
        <v>1.00000001222409</v>
      </c>
    </row>
    <row r="5349" spans="1:40" x14ac:dyDescent="0.25">
      <c r="A5349" t="str">
        <f>"20190312172816032"</f>
        <v>20190312172816032</v>
      </c>
      <c r="B5349" t="str">
        <f>"1552382896025500"</f>
        <v>1552382896025500</v>
      </c>
      <c r="C5349" t="s">
        <v>40</v>
      </c>
      <c r="D5349">
        <v>3.1127180000000001</v>
      </c>
      <c r="E5349">
        <v>0.46866029999999997</v>
      </c>
      <c r="F5349" t="s">
        <v>41</v>
      </c>
      <c r="G5349">
        <v>-273.13690000000003</v>
      </c>
      <c r="H5349" s="1">
        <v>-9.8428530000000008E-7</v>
      </c>
      <c r="I5349">
        <v>-62.561450000000001</v>
      </c>
      <c r="J5349">
        <v>-289.12139999999999</v>
      </c>
      <c r="K5349">
        <v>1.113713</v>
      </c>
      <c r="L5349">
        <v>-59.291049999999998</v>
      </c>
      <c r="M5349">
        <v>0.91327899999999995</v>
      </c>
      <c r="N5349">
        <v>0</v>
      </c>
      <c r="O5349">
        <v>-0.40707470000000001</v>
      </c>
      <c r="P5349">
        <v>0.9383859</v>
      </c>
      <c r="Q5349">
        <v>0.19777890000000001</v>
      </c>
      <c r="R5349">
        <v>-0.28339950000000003</v>
      </c>
      <c r="S5349">
        <v>3.0521240000000001</v>
      </c>
      <c r="T5349">
        <v>-0.2105484</v>
      </c>
      <c r="U5349">
        <v>-0.63037109999999996</v>
      </c>
      <c r="V5349">
        <v>-0.12479510000000001</v>
      </c>
      <c r="W5349">
        <v>0.21096110000000001</v>
      </c>
      <c r="X5349">
        <v>0.96949549999999995</v>
      </c>
      <c r="Y5349">
        <v>-0.21261559999999999</v>
      </c>
      <c r="Z5349">
        <v>3.4097379999999997E-2</v>
      </c>
      <c r="AA5349">
        <v>0.97654079999999999</v>
      </c>
      <c r="AB5349">
        <v>18</v>
      </c>
      <c r="AC5349">
        <v>15.984499999999899</v>
      </c>
      <c r="AD5349">
        <v>-1.1137139842853001</v>
      </c>
      <c r="AE5349">
        <v>-3.2704</v>
      </c>
      <c r="AF5349">
        <v>-3.5041429179265999</v>
      </c>
      <c r="AG5349">
        <v>-1.1137139842853001</v>
      </c>
      <c r="AH5349">
        <v>15.8574037099546</v>
      </c>
      <c r="AI5349">
        <v>93.923123013258305</v>
      </c>
      <c r="AJ5349">
        <v>102.46087507344301</v>
      </c>
      <c r="AK5349">
        <v>16.2781027410607</v>
      </c>
      <c r="AL5349">
        <v>77.821318452591797</v>
      </c>
      <c r="AM5349">
        <v>97.334875887495798</v>
      </c>
      <c r="AN5349">
        <v>0.999999963608734</v>
      </c>
    </row>
    <row r="5350" spans="1:40" x14ac:dyDescent="0.25">
      <c r="A5350" t="str">
        <f>"20190312172816054"</f>
        <v>20190312172816054</v>
      </c>
      <c r="B5350" t="str">
        <f>"1552382896045011"</f>
        <v>1552382896045011</v>
      </c>
      <c r="C5350" t="s">
        <v>40</v>
      </c>
      <c r="D5350">
        <v>3.2538749999999999</v>
      </c>
      <c r="E5350">
        <v>0.46966269999999999</v>
      </c>
      <c r="F5350" t="s">
        <v>41</v>
      </c>
      <c r="G5350">
        <v>-272.78149999999999</v>
      </c>
      <c r="H5350" s="1">
        <v>-8.4554339999999999E-7</v>
      </c>
      <c r="I5350">
        <v>-62.623220000000003</v>
      </c>
      <c r="J5350">
        <v>-288.95209999999997</v>
      </c>
      <c r="K5350">
        <v>1.113666</v>
      </c>
      <c r="L5350">
        <v>-59.357329999999997</v>
      </c>
      <c r="M5350">
        <v>0.91608730000000005</v>
      </c>
      <c r="N5350">
        <v>0</v>
      </c>
      <c r="O5350">
        <v>-0.40071600000000002</v>
      </c>
      <c r="P5350">
        <v>0.94004739999999998</v>
      </c>
      <c r="Q5350">
        <v>0.1978683</v>
      </c>
      <c r="R5350">
        <v>-0.27777590000000002</v>
      </c>
      <c r="S5350">
        <v>3.052826</v>
      </c>
      <c r="T5350">
        <v>-0.20807790000000001</v>
      </c>
      <c r="U5350">
        <v>-0.62255859999999996</v>
      </c>
      <c r="V5350">
        <v>-0.1238278</v>
      </c>
      <c r="W5350">
        <v>0.21105019999999999</v>
      </c>
      <c r="X5350">
        <v>0.96960020000000002</v>
      </c>
      <c r="Y5350">
        <v>-0.208317</v>
      </c>
      <c r="Z5350">
        <v>3.3167969999999998E-2</v>
      </c>
      <c r="AA5350">
        <v>0.9774988</v>
      </c>
      <c r="AB5350">
        <v>18</v>
      </c>
      <c r="AC5350">
        <v>16.170599999999901</v>
      </c>
      <c r="AD5350">
        <v>-1.1136668455434</v>
      </c>
      <c r="AE5350">
        <v>-3.26588999999999</v>
      </c>
      <c r="AF5350">
        <v>-3.4725205249714</v>
      </c>
      <c r="AG5350">
        <v>-1.1136668455434</v>
      </c>
      <c r="AH5350">
        <v>16.050927981597699</v>
      </c>
      <c r="AI5350">
        <v>93.879542607496404</v>
      </c>
      <c r="AJ5350">
        <v>102.207458121412</v>
      </c>
      <c r="AK5350">
        <v>16.459980003318499</v>
      </c>
      <c r="AL5350">
        <v>77.816096623791196</v>
      </c>
      <c r="AM5350">
        <v>97.277856993719695</v>
      </c>
      <c r="AN5350">
        <v>1.0000000294064499</v>
      </c>
    </row>
    <row r="5351" spans="1:40" x14ac:dyDescent="0.25">
      <c r="A5351" t="str">
        <f>"20190312172816077"</f>
        <v>20190312172816077</v>
      </c>
      <c r="B5351" t="str">
        <f>"1552382896064534"</f>
        <v>1552382896064534</v>
      </c>
      <c r="C5351" t="s">
        <v>40</v>
      </c>
      <c r="D5351">
        <v>3.143767</v>
      </c>
      <c r="E5351">
        <v>0.47058159999999999</v>
      </c>
      <c r="F5351" t="s">
        <v>41</v>
      </c>
      <c r="G5351">
        <v>-272.67</v>
      </c>
      <c r="H5351" s="1">
        <v>-7.9648100000000002E-7</v>
      </c>
      <c r="I5351">
        <v>-62.617739999999998</v>
      </c>
      <c r="J5351">
        <v>-288.7944</v>
      </c>
      <c r="K5351">
        <v>1.1136360000000001</v>
      </c>
      <c r="L5351">
        <v>-59.417969999999997</v>
      </c>
      <c r="M5351">
        <v>0.91862679999999997</v>
      </c>
      <c r="N5351">
        <v>0</v>
      </c>
      <c r="O5351">
        <v>-0.39485979999999998</v>
      </c>
      <c r="P5351">
        <v>0.94170149999999997</v>
      </c>
      <c r="Q5351">
        <v>0.19695760000000001</v>
      </c>
      <c r="R5351">
        <v>-0.27277459999999998</v>
      </c>
      <c r="S5351">
        <v>3.0545650000000002</v>
      </c>
      <c r="T5351">
        <v>-0.20892740000000001</v>
      </c>
      <c r="U5351">
        <v>-0.61166379999999998</v>
      </c>
      <c r="V5351">
        <v>-0.12284440000000001</v>
      </c>
      <c r="W5351">
        <v>0.21014160000000001</v>
      </c>
      <c r="X5351">
        <v>0.96992250000000002</v>
      </c>
      <c r="Y5351">
        <v>-0.20553930000000001</v>
      </c>
      <c r="Z5351">
        <v>3.2845260000000001E-2</v>
      </c>
      <c r="AA5351">
        <v>0.97809760000000001</v>
      </c>
      <c r="AB5351">
        <v>18</v>
      </c>
      <c r="AC5351">
        <v>16.124399999999898</v>
      </c>
      <c r="AD5351">
        <v>-1.1136367964809999</v>
      </c>
      <c r="AE5351">
        <v>-3.19977</v>
      </c>
      <c r="AF5351">
        <v>-3.4121842364875401</v>
      </c>
      <c r="AG5351">
        <v>-1.1136367964809999</v>
      </c>
      <c r="AH5351">
        <v>16.0040119714205</v>
      </c>
      <c r="AI5351">
        <v>93.893274016596806</v>
      </c>
      <c r="AJ5351">
        <v>102.035709406233</v>
      </c>
      <c r="AK5351">
        <v>16.401572709943999</v>
      </c>
      <c r="AL5351">
        <v>77.869348858586605</v>
      </c>
      <c r="AM5351">
        <v>97.218296984269202</v>
      </c>
      <c r="AN5351">
        <v>0.99999994733408304</v>
      </c>
    </row>
    <row r="5352" spans="1:40" x14ac:dyDescent="0.25">
      <c r="A5352" t="str">
        <f>"20190312172816099"</f>
        <v>20190312172816099</v>
      </c>
      <c r="B5352" t="str">
        <f>"1552382896094790"</f>
        <v>1552382896094790</v>
      </c>
      <c r="C5352" t="s">
        <v>40</v>
      </c>
      <c r="D5352">
        <v>3.3015469999999998</v>
      </c>
      <c r="E5352">
        <v>0.47129890000000002</v>
      </c>
      <c r="F5352" t="s">
        <v>41</v>
      </c>
      <c r="G5352">
        <v>-272.7713</v>
      </c>
      <c r="H5352" s="1">
        <v>-8.3049949999999896E-7</v>
      </c>
      <c r="I5352">
        <v>-62.57535</v>
      </c>
      <c r="J5352">
        <v>-288.6275</v>
      </c>
      <c r="K5352">
        <v>1.113618</v>
      </c>
      <c r="L5352">
        <v>-59.480960000000003</v>
      </c>
      <c r="M5352">
        <v>0.92124059999999997</v>
      </c>
      <c r="N5352">
        <v>0</v>
      </c>
      <c r="O5352">
        <v>-0.38872329999999999</v>
      </c>
      <c r="P5352">
        <v>0.94336869999999995</v>
      </c>
      <c r="Q5352">
        <v>0.19663269999999999</v>
      </c>
      <c r="R5352">
        <v>-0.26719110000000001</v>
      </c>
      <c r="S5352">
        <v>3.0557560000000001</v>
      </c>
      <c r="T5352">
        <v>-0.21238099999999999</v>
      </c>
      <c r="U5352">
        <v>-0.60214230000000002</v>
      </c>
      <c r="V5352">
        <v>-0.1221299</v>
      </c>
      <c r="W5352">
        <v>0.20981340000000001</v>
      </c>
      <c r="X5352">
        <v>0.97008380000000005</v>
      </c>
      <c r="Y5352">
        <v>-0.2019937</v>
      </c>
      <c r="Z5352">
        <v>3.2879980000000003E-2</v>
      </c>
      <c r="AA5352">
        <v>0.97883469999999995</v>
      </c>
      <c r="AB5352">
        <v>18</v>
      </c>
      <c r="AC5352">
        <v>15.856199999999999</v>
      </c>
      <c r="AD5352">
        <v>-1.1136188304995001</v>
      </c>
      <c r="AE5352">
        <v>-3.0943900000000002</v>
      </c>
      <c r="AF5352">
        <v>-3.2976752181617601</v>
      </c>
      <c r="AG5352">
        <v>-1.1136188304995001</v>
      </c>
      <c r="AH5352">
        <v>15.7371197830201</v>
      </c>
      <c r="AI5352">
        <v>93.961953730124307</v>
      </c>
      <c r="AJ5352">
        <v>101.83494945442</v>
      </c>
      <c r="AK5352">
        <v>16.117436142551998</v>
      </c>
      <c r="AL5352">
        <v>77.888582483301207</v>
      </c>
      <c r="AM5352">
        <v>97.175571347917099</v>
      </c>
      <c r="AN5352">
        <v>0.99999997715800404</v>
      </c>
    </row>
    <row r="5353" spans="1:40" x14ac:dyDescent="0.25">
      <c r="A5353" t="str">
        <f>"20190312172816123"</f>
        <v>20190312172816123</v>
      </c>
      <c r="B5353" t="str">
        <f>"1552382896115283"</f>
        <v>1552382896115283</v>
      </c>
      <c r="C5353" t="s">
        <v>40</v>
      </c>
      <c r="D5353">
        <v>3.1717070000000001</v>
      </c>
      <c r="E5353">
        <v>0.47817880000000001</v>
      </c>
      <c r="F5353" t="s">
        <v>41</v>
      </c>
      <c r="G5353">
        <v>-272.89060000000001</v>
      </c>
      <c r="H5353" s="1">
        <v>-8.6891739999999997E-7</v>
      </c>
      <c r="I5353">
        <v>-62.517940000000003</v>
      </c>
      <c r="J5353">
        <v>-288.4563</v>
      </c>
      <c r="K5353">
        <v>1.1135949999999999</v>
      </c>
      <c r="L5353">
        <v>-59.544310000000003</v>
      </c>
      <c r="M5353">
        <v>0.92385300000000004</v>
      </c>
      <c r="N5353">
        <v>0</v>
      </c>
      <c r="O5353">
        <v>-0.38247419999999999</v>
      </c>
      <c r="P5353">
        <v>0.94499359999999999</v>
      </c>
      <c r="Q5353">
        <v>0.1965722</v>
      </c>
      <c r="R5353">
        <v>-0.26143250000000001</v>
      </c>
      <c r="S5353">
        <v>3.058014</v>
      </c>
      <c r="T5353">
        <v>-0.21639910000000001</v>
      </c>
      <c r="U5353">
        <v>-0.59014889999999998</v>
      </c>
      <c r="V5353">
        <v>-0.1214649</v>
      </c>
      <c r="W5353">
        <v>0.20975050000000001</v>
      </c>
      <c r="X5353">
        <v>0.97018090000000001</v>
      </c>
      <c r="Y5353">
        <v>-0.1991657</v>
      </c>
      <c r="Z5353">
        <v>3.2992729999999998E-2</v>
      </c>
      <c r="AA5353">
        <v>0.97941029999999996</v>
      </c>
      <c r="AB5353">
        <v>18</v>
      </c>
      <c r="AC5353">
        <v>15.5656999999999</v>
      </c>
      <c r="AD5353">
        <v>-1.1135958689173999</v>
      </c>
      <c r="AE5353">
        <v>-2.97363</v>
      </c>
      <c r="AF5353">
        <v>-3.19086051000225</v>
      </c>
      <c r="AG5353">
        <v>-1.1135958689173999</v>
      </c>
      <c r="AH5353">
        <v>15.4431201543215</v>
      </c>
      <c r="AI5353">
        <v>94.039399638517693</v>
      </c>
      <c r="AJ5353">
        <v>101.67418428645099</v>
      </c>
      <c r="AK5353">
        <v>15.808594075830101</v>
      </c>
      <c r="AL5353">
        <v>77.892268520612902</v>
      </c>
      <c r="AM5353">
        <v>97.1361972545605</v>
      </c>
      <c r="AN5353">
        <v>0.99999998645353405</v>
      </c>
    </row>
    <row r="5354" spans="1:40" x14ac:dyDescent="0.25">
      <c r="A5354" t="str">
        <f>"20190312172816145"</f>
        <v>20190312172816145</v>
      </c>
      <c r="B5354" t="str">
        <f>"1552382896134803"</f>
        <v>1552382896134803</v>
      </c>
      <c r="C5354" t="s">
        <v>40</v>
      </c>
      <c r="D5354">
        <v>3.198035</v>
      </c>
      <c r="E5354">
        <v>0.4788866</v>
      </c>
      <c r="F5354" t="s">
        <v>41</v>
      </c>
      <c r="G5354">
        <v>-272.54649999999998</v>
      </c>
      <c r="H5354" s="1">
        <v>-7.8635279999999999E-7</v>
      </c>
      <c r="I5354">
        <v>-62.810400000000001</v>
      </c>
      <c r="J5354">
        <v>-288.2919</v>
      </c>
      <c r="K5354">
        <v>1.113575</v>
      </c>
      <c r="L5354">
        <v>-59.603999999999999</v>
      </c>
      <c r="M5354">
        <v>0.92630020000000002</v>
      </c>
      <c r="N5354">
        <v>0</v>
      </c>
      <c r="O5354">
        <v>-0.37650939999999999</v>
      </c>
      <c r="P5354">
        <v>0.9464591</v>
      </c>
      <c r="Q5354">
        <v>0.19675290000000001</v>
      </c>
      <c r="R5354">
        <v>-0.25593759999999999</v>
      </c>
      <c r="S5354">
        <v>3.0459900000000002</v>
      </c>
      <c r="T5354">
        <v>-0.2132019</v>
      </c>
      <c r="U5354">
        <v>-0.62530520000000001</v>
      </c>
      <c r="V5354">
        <v>-0.1208166</v>
      </c>
      <c r="W5354">
        <v>0.20993039999999999</v>
      </c>
      <c r="X5354">
        <v>0.9702229</v>
      </c>
      <c r="Y5354">
        <v>-0.1813118</v>
      </c>
      <c r="Z5354">
        <v>3.1583939999999998E-2</v>
      </c>
      <c r="AA5354">
        <v>0.98291839999999997</v>
      </c>
      <c r="AB5354">
        <v>18</v>
      </c>
      <c r="AC5354">
        <v>15.7454</v>
      </c>
      <c r="AD5354">
        <v>-1.1135757863528</v>
      </c>
      <c r="AE5354">
        <v>-3.2063999999999999</v>
      </c>
      <c r="AF5354">
        <v>-2.9443698200571902</v>
      </c>
      <c r="AG5354">
        <v>-1.1135757863528</v>
      </c>
      <c r="AH5354">
        <v>15.7183637658812</v>
      </c>
      <c r="AI5354">
        <v>93.983325160448004</v>
      </c>
      <c r="AJ5354">
        <v>100.60971281785299</v>
      </c>
      <c r="AK5354">
        <v>16.030481095269099</v>
      </c>
      <c r="AL5354">
        <v>77.881725841431205</v>
      </c>
      <c r="AM5354">
        <v>97.098194342723502</v>
      </c>
      <c r="AN5354">
        <v>0.99999994968206296</v>
      </c>
    </row>
    <row r="5355" spans="1:40" x14ac:dyDescent="0.25">
      <c r="A5355" t="str">
        <f>"20190312172816166"</f>
        <v>20190312172816166</v>
      </c>
      <c r="B5355" t="str">
        <f>"1552382896155299"</f>
        <v>1552382896155299</v>
      </c>
      <c r="C5355" t="s">
        <v>40</v>
      </c>
      <c r="D5355">
        <v>3.2750059999999999</v>
      </c>
      <c r="E5355">
        <v>0.48012179999999999</v>
      </c>
      <c r="F5355" t="s">
        <v>41</v>
      </c>
      <c r="G5355">
        <v>-272.66489999999999</v>
      </c>
      <c r="H5355" s="1">
        <v>-8.2363249999999999E-7</v>
      </c>
      <c r="I5355">
        <v>-62.749650000000003</v>
      </c>
      <c r="J5355">
        <v>-288.13549999999998</v>
      </c>
      <c r="K5355">
        <v>1.113545</v>
      </c>
      <c r="L5355">
        <v>-59.659790000000001</v>
      </c>
      <c r="M5355">
        <v>0.92857369999999995</v>
      </c>
      <c r="N5355">
        <v>0</v>
      </c>
      <c r="O5355">
        <v>-0.37086669999999999</v>
      </c>
      <c r="P5355">
        <v>0.94773980000000002</v>
      </c>
      <c r="Q5355">
        <v>0.19685749999999999</v>
      </c>
      <c r="R5355">
        <v>-0.25107030000000002</v>
      </c>
      <c r="S5355">
        <v>3.04895</v>
      </c>
      <c r="T5355">
        <v>-0.21726719999999999</v>
      </c>
      <c r="U5355">
        <v>-0.61373900000000003</v>
      </c>
      <c r="V5355">
        <v>-0.1198741</v>
      </c>
      <c r="W5355">
        <v>0.21003949999999999</v>
      </c>
      <c r="X5355">
        <v>0.97031619999999996</v>
      </c>
      <c r="Y5355">
        <v>-0.17906810000000001</v>
      </c>
      <c r="Z5355">
        <v>3.1724830000000002E-2</v>
      </c>
      <c r="AA5355">
        <v>0.98332509999999995</v>
      </c>
      <c r="AB5355">
        <v>18</v>
      </c>
      <c r="AC5355">
        <v>15.4705999999999</v>
      </c>
      <c r="AD5355">
        <v>-1.1135458236325</v>
      </c>
      <c r="AE5355">
        <v>-3.0898599999999998</v>
      </c>
      <c r="AF5355">
        <v>-2.8544459019041399</v>
      </c>
      <c r="AG5355">
        <v>-1.1135458236325</v>
      </c>
      <c r="AH5355">
        <v>15.436232703741</v>
      </c>
      <c r="AI5355">
        <v>94.0575264660052</v>
      </c>
      <c r="AJ5355">
        <v>100.47670624774101</v>
      </c>
      <c r="AK5355">
        <v>15.737379889685201</v>
      </c>
      <c r="AL5355">
        <v>77.875332448950203</v>
      </c>
      <c r="AM5355">
        <v>97.042708640727497</v>
      </c>
      <c r="AN5355">
        <v>0.99999995969674904</v>
      </c>
    </row>
    <row r="5356" spans="1:40" x14ac:dyDescent="0.25">
      <c r="A5356" t="str">
        <f>"20190312172816190"</f>
        <v>20190312172816190</v>
      </c>
      <c r="B5356" t="str">
        <f>"1552382896184579"</f>
        <v>1552382896184579</v>
      </c>
      <c r="C5356" t="s">
        <v>40</v>
      </c>
      <c r="D5356">
        <v>3.2445900000000001</v>
      </c>
      <c r="E5356">
        <v>0.48563719999999999</v>
      </c>
      <c r="F5356" t="s">
        <v>41</v>
      </c>
      <c r="G5356">
        <v>-272.61349999999999</v>
      </c>
      <c r="H5356" s="1">
        <v>-8.0310089999999997E-7</v>
      </c>
      <c r="I5356">
        <v>-62.756520000000002</v>
      </c>
      <c r="J5356">
        <v>-287.96519999999998</v>
      </c>
      <c r="K5356">
        <v>1.113499</v>
      </c>
      <c r="L5356">
        <v>-59.719299999999997</v>
      </c>
      <c r="M5356">
        <v>0.93098389999999998</v>
      </c>
      <c r="N5356">
        <v>0</v>
      </c>
      <c r="O5356">
        <v>-0.36477530000000002</v>
      </c>
      <c r="P5356">
        <v>0.9493123</v>
      </c>
      <c r="Q5356">
        <v>0.19677339999999999</v>
      </c>
      <c r="R5356">
        <v>-0.24512519999999999</v>
      </c>
      <c r="S5356">
        <v>3.0496829999999999</v>
      </c>
      <c r="T5356">
        <v>-0.2187837</v>
      </c>
      <c r="U5356">
        <v>-0.608429</v>
      </c>
      <c r="V5356">
        <v>-0.11958339999999899</v>
      </c>
      <c r="W5356">
        <v>0.20995659999999999</v>
      </c>
      <c r="X5356">
        <v>0.97037010000000001</v>
      </c>
      <c r="Y5356">
        <v>-0.1743198</v>
      </c>
      <c r="Z5356">
        <v>3.1377309999999999E-2</v>
      </c>
      <c r="AA5356">
        <v>0.98418899999999998</v>
      </c>
      <c r="AB5356">
        <v>18</v>
      </c>
      <c r="AC5356">
        <v>15.3516999999999</v>
      </c>
      <c r="AD5356">
        <v>-1.11349980310089</v>
      </c>
      <c r="AE5356">
        <v>-3.0372199999999898</v>
      </c>
      <c r="AF5356">
        <v>-2.75863986093675</v>
      </c>
      <c r="AG5356">
        <v>-1.11349980310089</v>
      </c>
      <c r="AH5356">
        <v>15.3241067044135</v>
      </c>
      <c r="AI5356">
        <v>94.090471801903803</v>
      </c>
      <c r="AJ5356">
        <v>100.20506256451</v>
      </c>
      <c r="AK5356">
        <v>15.6101960904438</v>
      </c>
      <c r="AL5356">
        <v>77.8801916739218</v>
      </c>
      <c r="AM5356">
        <v>97.025414300844801</v>
      </c>
      <c r="AN5356">
        <v>1.00000004720656</v>
      </c>
    </row>
    <row r="5357" spans="1:40" x14ac:dyDescent="0.25">
      <c r="A5357" t="str">
        <f>"20190312172816212"</f>
        <v>20190312172816212</v>
      </c>
      <c r="B5357" t="str">
        <f>"1552382896205075"</f>
        <v>1552382896205075</v>
      </c>
      <c r="C5357" t="s">
        <v>40</v>
      </c>
      <c r="D5357">
        <v>3.1962790000000001</v>
      </c>
      <c r="E5357">
        <v>0.48529990000000001</v>
      </c>
      <c r="F5357" t="s">
        <v>41</v>
      </c>
      <c r="G5357">
        <v>-273.1782</v>
      </c>
      <c r="H5357" s="1">
        <v>-1.0537139999999999E-6</v>
      </c>
      <c r="I5357">
        <v>-62.794139999999999</v>
      </c>
      <c r="J5357">
        <v>-287.79919999999998</v>
      </c>
      <c r="K5357">
        <v>1.1134440000000001</v>
      </c>
      <c r="L5357">
        <v>-59.776150000000001</v>
      </c>
      <c r="M5357">
        <v>0.93326529999999996</v>
      </c>
      <c r="N5357">
        <v>0</v>
      </c>
      <c r="O5357">
        <v>-0.3588981</v>
      </c>
      <c r="P5357">
        <v>0.9508392</v>
      </c>
      <c r="Q5357">
        <v>0.19632830000000001</v>
      </c>
      <c r="R5357">
        <v>-0.23949970000000001</v>
      </c>
      <c r="S5357">
        <v>3.0442499999999999</v>
      </c>
      <c r="T5357">
        <v>-0.22923969999999999</v>
      </c>
      <c r="U5357">
        <v>-0.63302609999999904</v>
      </c>
      <c r="V5357">
        <v>-0.1192178</v>
      </c>
      <c r="W5357">
        <v>0.20951500000000001</v>
      </c>
      <c r="X5357">
        <v>0.97051050000000005</v>
      </c>
      <c r="Y5357">
        <v>-0.16004849999999901</v>
      </c>
      <c r="Z5357">
        <v>3.1958069999999998E-2</v>
      </c>
      <c r="AA5357">
        <v>0.98659169999999996</v>
      </c>
      <c r="AB5357">
        <v>18</v>
      </c>
      <c r="AC5357">
        <v>14.620999999999899</v>
      </c>
      <c r="AD5357">
        <v>-1.1134450537139999</v>
      </c>
      <c r="AE5357">
        <v>-3.0179900000000002</v>
      </c>
      <c r="AF5357">
        <v>-2.4176686104900198</v>
      </c>
      <c r="AG5357">
        <v>-1.1134450537139999</v>
      </c>
      <c r="AH5357">
        <v>14.648474293505</v>
      </c>
      <c r="AI5357">
        <v>94.288948191123794</v>
      </c>
      <c r="AJ5357">
        <v>99.371937588639298</v>
      </c>
      <c r="AK5357">
        <v>14.888340422131201</v>
      </c>
      <c r="AL5357">
        <v>77.906068776656298</v>
      </c>
      <c r="AM5357">
        <v>97.003146105197104</v>
      </c>
      <c r="AN5357">
        <v>1.0000000248360399</v>
      </c>
    </row>
    <row r="5358" spans="1:40" x14ac:dyDescent="0.25">
      <c r="A5358" t="str">
        <f>"20190312172816234"</f>
        <v>20190312172816234</v>
      </c>
      <c r="B5358" t="str">
        <f>"1552382896224595"</f>
        <v>1552382896224595</v>
      </c>
      <c r="C5358" t="s">
        <v>40</v>
      </c>
      <c r="D5358">
        <v>3.2143099999999998</v>
      </c>
      <c r="E5358">
        <v>0.4617887</v>
      </c>
      <c r="F5358" t="s">
        <v>41</v>
      </c>
      <c r="G5358">
        <v>-273.17939999999999</v>
      </c>
      <c r="H5358" s="1">
        <v>-1.0372480000000001E-6</v>
      </c>
      <c r="I5358">
        <v>-62.717840000000002</v>
      </c>
      <c r="J5358">
        <v>-287.63659999999999</v>
      </c>
      <c r="K5358">
        <v>1.1134059999999999</v>
      </c>
      <c r="L5358">
        <v>-59.830869999999997</v>
      </c>
      <c r="M5358">
        <v>0.9354401</v>
      </c>
      <c r="N5358">
        <v>0</v>
      </c>
      <c r="O5358">
        <v>-0.35319159999999999</v>
      </c>
      <c r="P5358">
        <v>0.95213329999999996</v>
      </c>
      <c r="Q5358">
        <v>0.19627649999999999</v>
      </c>
      <c r="R5358">
        <v>-0.2343462</v>
      </c>
      <c r="S5358">
        <v>3.0485530000000001</v>
      </c>
      <c r="T5358">
        <v>-0.23217679999999999</v>
      </c>
      <c r="U5358">
        <v>-0.61340329999999998</v>
      </c>
      <c r="V5358">
        <v>-0.1185271</v>
      </c>
      <c r="W5358">
        <v>0.20946890000000001</v>
      </c>
      <c r="X5358">
        <v>0.97060500000000005</v>
      </c>
      <c r="Y5358">
        <v>-0.16037360000000001</v>
      </c>
      <c r="Z5358">
        <v>3.196268E-2</v>
      </c>
      <c r="AA5358">
        <v>0.98653880000000005</v>
      </c>
      <c r="AB5358">
        <v>18</v>
      </c>
      <c r="AC5358">
        <v>14.4572</v>
      </c>
      <c r="AD5358">
        <v>-1.1134070372479901</v>
      </c>
      <c r="AE5358">
        <v>-2.8869699999999998</v>
      </c>
      <c r="AF5358">
        <v>-2.3921794172486099</v>
      </c>
      <c r="AG5358">
        <v>-1.1134070372479901</v>
      </c>
      <c r="AH5358">
        <v>14.4625173079242</v>
      </c>
      <c r="AI5358">
        <v>94.343487055603006</v>
      </c>
      <c r="AJ5358">
        <v>99.391999407753602</v>
      </c>
      <c r="AK5358">
        <v>14.701244997513299</v>
      </c>
      <c r="AL5358">
        <v>77.908769499104906</v>
      </c>
      <c r="AM5358">
        <v>96.962300861204795</v>
      </c>
      <c r="AN5358">
        <v>0.99999997976330901</v>
      </c>
    </row>
    <row r="5359" spans="1:40" x14ac:dyDescent="0.25">
      <c r="A5359" t="str">
        <f>"20190312172816255"</f>
        <v>20190312172816255</v>
      </c>
      <c r="B5359" t="str">
        <f>"1552382896245095"</f>
        <v>1552382896245095</v>
      </c>
      <c r="C5359" t="s">
        <v>40</v>
      </c>
      <c r="D5359">
        <v>3.074252</v>
      </c>
      <c r="E5359">
        <v>0.4544976</v>
      </c>
      <c r="F5359" t="s">
        <v>41</v>
      </c>
      <c r="G5359">
        <v>-272.0847</v>
      </c>
      <c r="H5359" s="1">
        <v>-3.898197E-7</v>
      </c>
      <c r="I5359">
        <v>-61.918069999999901</v>
      </c>
      <c r="J5359">
        <v>-287.47800000000001</v>
      </c>
      <c r="K5359">
        <v>1.1133649999999999</v>
      </c>
      <c r="L5359">
        <v>-59.883209999999998</v>
      </c>
      <c r="M5359">
        <v>0.93749910000000003</v>
      </c>
      <c r="N5359">
        <v>0</v>
      </c>
      <c r="O5359">
        <v>-0.3476899</v>
      </c>
      <c r="P5359">
        <v>0.95329030000000003</v>
      </c>
      <c r="Q5359">
        <v>0.19645989999999999</v>
      </c>
      <c r="R5359">
        <v>-0.22943740000000001</v>
      </c>
      <c r="S5359">
        <v>3.0942989999999999</v>
      </c>
      <c r="T5359">
        <v>-0.2215308</v>
      </c>
      <c r="U5359">
        <v>-0.41528320000000002</v>
      </c>
      <c r="V5359">
        <v>-0.11779050000000001</v>
      </c>
      <c r="W5359">
        <v>0.20965729999999999</v>
      </c>
      <c r="X5359">
        <v>0.97065400000000002</v>
      </c>
      <c r="Y5359">
        <v>-0.21854080000000001</v>
      </c>
      <c r="Z5359">
        <v>3.1989940000000001E-2</v>
      </c>
      <c r="AA5359">
        <v>0.97530329999999998</v>
      </c>
      <c r="AB5359">
        <v>18</v>
      </c>
      <c r="AC5359">
        <v>15.3933</v>
      </c>
      <c r="AD5359">
        <v>-1.1133653898197</v>
      </c>
      <c r="AE5359">
        <v>-2.0348599999999899</v>
      </c>
      <c r="AF5359">
        <v>-3.4271517229934099</v>
      </c>
      <c r="AG5359">
        <v>-1.1133653898197</v>
      </c>
      <c r="AH5359">
        <v>15.062828281459501</v>
      </c>
      <c r="AI5359">
        <v>94.122339413958699</v>
      </c>
      <c r="AJ5359">
        <v>102.817943431763</v>
      </c>
      <c r="AK5359">
        <v>15.487858059150801</v>
      </c>
      <c r="AL5359">
        <v>77.8977299228128</v>
      </c>
      <c r="AM5359">
        <v>96.919107708451094</v>
      </c>
      <c r="AN5359">
        <v>0.99999998652476896</v>
      </c>
    </row>
    <row r="5360" spans="1:40" x14ac:dyDescent="0.25">
      <c r="A5360" t="str">
        <f>"20190312172816278"</f>
        <v>20190312172816278</v>
      </c>
      <c r="B5360" t="str">
        <f>"1552382896275348"</f>
        <v>1552382896275348</v>
      </c>
      <c r="C5360" t="s">
        <v>40</v>
      </c>
      <c r="D5360">
        <v>3.039139</v>
      </c>
      <c r="E5360">
        <v>0.45244879999999998</v>
      </c>
      <c r="F5360" t="s">
        <v>41</v>
      </c>
      <c r="G5360">
        <v>-271.5446</v>
      </c>
      <c r="H5360" s="1">
        <v>-9.6459869999999996E-8</v>
      </c>
      <c r="I5360">
        <v>-61.640700000000002</v>
      </c>
      <c r="J5360">
        <v>-287.31310000000002</v>
      </c>
      <c r="K5360">
        <v>1.1133150000000001</v>
      </c>
      <c r="L5360">
        <v>-59.936680000000003</v>
      </c>
      <c r="M5360">
        <v>0.93957120000000005</v>
      </c>
      <c r="N5360">
        <v>0</v>
      </c>
      <c r="O5360">
        <v>-0.34205150000000001</v>
      </c>
      <c r="P5360">
        <v>0.954295</v>
      </c>
      <c r="Q5360">
        <v>0.19700799999999999</v>
      </c>
      <c r="R5360">
        <v>-0.22474240000000001</v>
      </c>
      <c r="S5360">
        <v>3.1092219999999999</v>
      </c>
      <c r="T5360">
        <v>-0.2172618</v>
      </c>
      <c r="U5360">
        <v>-0.3429565</v>
      </c>
      <c r="V5360">
        <v>-0.11667130000000001</v>
      </c>
      <c r="W5360">
        <v>0.21021480000000001</v>
      </c>
      <c r="X5360">
        <v>0.97066859999999999</v>
      </c>
      <c r="Y5360">
        <v>-0.235648</v>
      </c>
      <c r="Z5360">
        <v>3.1519949999999998E-2</v>
      </c>
      <c r="AA5360">
        <v>0.97132719999999995</v>
      </c>
      <c r="AB5360">
        <v>18</v>
      </c>
      <c r="AC5360">
        <v>15.7685</v>
      </c>
      <c r="AD5360">
        <v>-1.1133150964598699</v>
      </c>
      <c r="AE5360">
        <v>-1.7040200000000001</v>
      </c>
      <c r="AF5360">
        <v>-3.77438534102766</v>
      </c>
      <c r="AG5360">
        <v>-1.1133150964598699</v>
      </c>
      <c r="AH5360">
        <v>15.3245735003782</v>
      </c>
      <c r="AI5360">
        <v>94.035014078282003</v>
      </c>
      <c r="AJ5360">
        <v>103.836344976359</v>
      </c>
      <c r="AK5360">
        <v>15.821757430041099</v>
      </c>
      <c r="AL5360">
        <v>77.865059543731803</v>
      </c>
      <c r="AM5360">
        <v>96.8538912482977</v>
      </c>
      <c r="AN5360">
        <v>0.99999999270434403</v>
      </c>
    </row>
    <row r="5361" spans="1:40" x14ac:dyDescent="0.25">
      <c r="A5361" t="str">
        <f>"20190312172816300"</f>
        <v>20190312172816300</v>
      </c>
      <c r="B5361" t="str">
        <f>"1552382896294870"</f>
        <v>1552382896294870</v>
      </c>
      <c r="C5361" t="s">
        <v>40</v>
      </c>
      <c r="D5361">
        <v>3.0948889999999998</v>
      </c>
      <c r="E5361">
        <v>0.4522371</v>
      </c>
      <c r="F5361" t="s">
        <v>41</v>
      </c>
      <c r="G5361">
        <v>-270.95069999999998</v>
      </c>
      <c r="H5361" s="1">
        <v>1.7308510000000001E-7</v>
      </c>
      <c r="I5361">
        <v>-61.574350000000003</v>
      </c>
      <c r="J5361">
        <v>-287.14780000000002</v>
      </c>
      <c r="K5361">
        <v>1.1132439999999999</v>
      </c>
      <c r="L5361">
        <v>-59.989229999999999</v>
      </c>
      <c r="M5361">
        <v>0.94157389999999996</v>
      </c>
      <c r="N5361">
        <v>0</v>
      </c>
      <c r="O5361">
        <v>-0.33650069999999999</v>
      </c>
      <c r="P5361">
        <v>0.95549139999999999</v>
      </c>
      <c r="Q5361">
        <v>0.19670879999999999</v>
      </c>
      <c r="R5361">
        <v>-0.21986839999999999</v>
      </c>
      <c r="S5361">
        <v>3.1140140000000001</v>
      </c>
      <c r="T5361">
        <v>-0.2118814</v>
      </c>
      <c r="U5361">
        <v>-0.31167600000000001</v>
      </c>
      <c r="V5361">
        <v>-0.1158802</v>
      </c>
      <c r="W5361">
        <v>0.20992720000000001</v>
      </c>
      <c r="X5361">
        <v>0.97082559999999996</v>
      </c>
      <c r="Y5361">
        <v>-0.23979549999999999</v>
      </c>
      <c r="Z5361">
        <v>3.0505520000000001E-2</v>
      </c>
      <c r="AA5361">
        <v>0.97034410000000004</v>
      </c>
      <c r="AB5361">
        <v>18</v>
      </c>
      <c r="AC5361">
        <v>16.197099999999999</v>
      </c>
      <c r="AD5361">
        <v>-1.1132438269148901</v>
      </c>
      <c r="AE5361">
        <v>-1.5851199999999901</v>
      </c>
      <c r="AF5361">
        <v>-3.9398004348891802</v>
      </c>
      <c r="AG5361">
        <v>-1.1132438269148901</v>
      </c>
      <c r="AH5361">
        <v>15.7122656409757</v>
      </c>
      <c r="AI5361">
        <v>93.931433166775705</v>
      </c>
      <c r="AJ5361">
        <v>104.076508263463</v>
      </c>
      <c r="AK5361">
        <v>16.236891046549001</v>
      </c>
      <c r="AL5361">
        <v>77.881913958983603</v>
      </c>
      <c r="AM5361">
        <v>96.806764857071599</v>
      </c>
      <c r="AN5361">
        <v>0.99999999783362004</v>
      </c>
    </row>
    <row r="5362" spans="1:40" x14ac:dyDescent="0.25">
      <c r="A5362" t="str">
        <f>"20190312172816323"</f>
        <v>20190312172816323</v>
      </c>
      <c r="B5362" t="str">
        <f>"1552382896315363"</f>
        <v>1552382896315363</v>
      </c>
      <c r="C5362" t="s">
        <v>40</v>
      </c>
      <c r="D5362">
        <v>3.1704349999999999</v>
      </c>
      <c r="E5362">
        <v>0.45229140000000001</v>
      </c>
      <c r="F5362" t="s">
        <v>41</v>
      </c>
      <c r="G5362">
        <v>-271.24279999999999</v>
      </c>
      <c r="H5362" s="1">
        <v>6.6554089999999997E-8</v>
      </c>
      <c r="I5362">
        <v>-61.489919999999998</v>
      </c>
      <c r="J5362">
        <v>-286.98509999999999</v>
      </c>
      <c r="K5362">
        <v>1.1131580000000001</v>
      </c>
      <c r="L5362">
        <v>-60.040129999999998</v>
      </c>
      <c r="M5362">
        <v>0.94347080000000005</v>
      </c>
      <c r="N5362">
        <v>0</v>
      </c>
      <c r="O5362">
        <v>-0.33114519999999997</v>
      </c>
      <c r="P5362">
        <v>0.95658869999999896</v>
      </c>
      <c r="Q5362">
        <v>0.19590689999999999</v>
      </c>
      <c r="R5362">
        <v>-0.2157752</v>
      </c>
      <c r="S5362">
        <v>3.1169739999999999</v>
      </c>
      <c r="T5362">
        <v>-0.21816740000000001</v>
      </c>
      <c r="U5362">
        <v>-0.29409790000000002</v>
      </c>
      <c r="V5362">
        <v>-0.1145258</v>
      </c>
      <c r="W5362">
        <v>0.20914440000000001</v>
      </c>
      <c r="X5362">
        <v>0.9711552</v>
      </c>
      <c r="Y5362">
        <v>-0.239729</v>
      </c>
      <c r="Z5362">
        <v>3.103699E-2</v>
      </c>
      <c r="AA5362">
        <v>0.97034359999999997</v>
      </c>
      <c r="AB5362">
        <v>17</v>
      </c>
      <c r="AC5362">
        <v>15.7423</v>
      </c>
      <c r="AD5362">
        <v>-1.1131579334459001</v>
      </c>
      <c r="AE5362">
        <v>-1.4497899999999899</v>
      </c>
      <c r="AF5362">
        <v>-3.8265758150901101</v>
      </c>
      <c r="AG5362">
        <v>-1.1131579334459001</v>
      </c>
      <c r="AH5362">
        <v>15.258416903517499</v>
      </c>
      <c r="AI5362">
        <v>94.047639924081395</v>
      </c>
      <c r="AJ5362">
        <v>104.078544968811</v>
      </c>
      <c r="AK5362">
        <v>15.770259650842</v>
      </c>
      <c r="AL5362">
        <v>77.927783142487797</v>
      </c>
      <c r="AM5362">
        <v>96.725678926822596</v>
      </c>
      <c r="AN5362">
        <v>0.99999998070201901</v>
      </c>
    </row>
    <row r="5363" spans="1:40" x14ac:dyDescent="0.25">
      <c r="A5363" t="str">
        <f>"20190312172816335"</f>
        <v>20190312172816335</v>
      </c>
      <c r="B5363" t="str">
        <f>"1552382896325124"</f>
        <v>1552382896325124</v>
      </c>
      <c r="C5363" t="s">
        <v>40</v>
      </c>
      <c r="D5363">
        <v>3.2385299999999999</v>
      </c>
      <c r="E5363">
        <v>0.4524803</v>
      </c>
      <c r="F5363" t="s">
        <v>41</v>
      </c>
      <c r="G5363">
        <v>-271.42309999999998</v>
      </c>
      <c r="H5363" s="1">
        <v>-5.4990320000000002E-10</v>
      </c>
      <c r="I5363">
        <v>-61.443829999999998</v>
      </c>
      <c r="J5363">
        <v>-286.89109999999999</v>
      </c>
      <c r="K5363">
        <v>1.113105</v>
      </c>
      <c r="L5363">
        <v>-60.069090000000003</v>
      </c>
      <c r="M5363">
        <v>0.94453050000000005</v>
      </c>
      <c r="N5363">
        <v>0</v>
      </c>
      <c r="O5363">
        <v>-0.32811069999999998</v>
      </c>
      <c r="P5363">
        <v>0.95741019999999999</v>
      </c>
      <c r="Q5363">
        <v>0.19503139999999999</v>
      </c>
      <c r="R5363">
        <v>-0.21290590000000001</v>
      </c>
      <c r="S5363">
        <v>3.1183779999999999</v>
      </c>
      <c r="T5363">
        <v>-0.2230597</v>
      </c>
      <c r="U5363">
        <v>-0.28128049999999999</v>
      </c>
      <c r="V5363">
        <v>-0.11434320000000001</v>
      </c>
      <c r="W5363">
        <v>0.20827699999999999</v>
      </c>
      <c r="X5363">
        <v>0.97136310000000003</v>
      </c>
      <c r="Y5363">
        <v>-0.2405487</v>
      </c>
      <c r="Z5363">
        <v>3.1551080000000002E-2</v>
      </c>
      <c r="AA5363">
        <v>0.97012410000000004</v>
      </c>
      <c r="AB5363">
        <v>17</v>
      </c>
      <c r="AC5363">
        <v>15.468</v>
      </c>
      <c r="AD5363">
        <v>-1.1131050005498999</v>
      </c>
      <c r="AE5363">
        <v>-1.3747400000000001</v>
      </c>
      <c r="AF5363">
        <v>-3.75781324768126</v>
      </c>
      <c r="AG5363">
        <v>-1.1131050005498999</v>
      </c>
      <c r="AH5363">
        <v>14.9856176334743</v>
      </c>
      <c r="AI5363">
        <v>94.120899102132199</v>
      </c>
      <c r="AJ5363">
        <v>104.077290583645</v>
      </c>
      <c r="AK5363">
        <v>15.489638440047401</v>
      </c>
      <c r="AL5363">
        <v>77.978600555754895</v>
      </c>
      <c r="AM5363">
        <v>96.713629408231199</v>
      </c>
      <c r="AN5363">
        <v>0.999999974078424</v>
      </c>
    </row>
    <row r="5364" spans="1:40" x14ac:dyDescent="0.25">
      <c r="A5364" t="str">
        <f>"20190312172816349"</f>
        <v>20190312172816349</v>
      </c>
      <c r="B5364" t="str">
        <f>"1552382896344644"</f>
        <v>1552382896344644</v>
      </c>
      <c r="C5364" t="s">
        <v>40</v>
      </c>
      <c r="D5364">
        <v>3.1714120000000001</v>
      </c>
      <c r="E5364">
        <v>0.4528143</v>
      </c>
      <c r="F5364" t="s">
        <v>41</v>
      </c>
      <c r="G5364">
        <v>-271.57319999999999</v>
      </c>
      <c r="H5364" s="1">
        <v>-5.8049070000000002E-8</v>
      </c>
      <c r="I5364">
        <v>-61.41283</v>
      </c>
      <c r="J5364">
        <v>-286.7928</v>
      </c>
      <c r="K5364">
        <v>1.1130450000000001</v>
      </c>
      <c r="L5364">
        <v>-60.099179999999997</v>
      </c>
      <c r="M5364">
        <v>0.94561629999999997</v>
      </c>
      <c r="N5364">
        <v>0</v>
      </c>
      <c r="O5364">
        <v>-0.32496839999999999</v>
      </c>
      <c r="P5364">
        <v>0.95803870000000002</v>
      </c>
      <c r="Q5364">
        <v>0.1946724</v>
      </c>
      <c r="R5364">
        <v>-0.21039160000000001</v>
      </c>
      <c r="S5364">
        <v>3.1187740000000002</v>
      </c>
      <c r="T5364">
        <v>-0.22663179999999999</v>
      </c>
      <c r="U5364">
        <v>-0.2735901</v>
      </c>
      <c r="V5364">
        <v>-0.1136547</v>
      </c>
      <c r="W5364">
        <v>0.20792949999999999</v>
      </c>
      <c r="X5364">
        <v>0.9715184</v>
      </c>
      <c r="Y5364">
        <v>-0.239671</v>
      </c>
      <c r="Z5364">
        <v>3.1809009999999999E-2</v>
      </c>
      <c r="AA5364">
        <v>0.97033290000000005</v>
      </c>
      <c r="AB5364">
        <v>17</v>
      </c>
      <c r="AC5364">
        <v>15.2196</v>
      </c>
      <c r="AD5364">
        <v>-1.1130450580490701</v>
      </c>
      <c r="AE5364">
        <v>-1.31365</v>
      </c>
      <c r="AF5364">
        <v>-3.6845003080812999</v>
      </c>
      <c r="AG5364">
        <v>-1.1130450580490701</v>
      </c>
      <c r="AH5364">
        <v>14.7420558712053</v>
      </c>
      <c r="AI5364">
        <v>94.189333877667096</v>
      </c>
      <c r="AJ5364">
        <v>104.032535509502</v>
      </c>
      <c r="AK5364">
        <v>15.236227326055401</v>
      </c>
      <c r="AL5364">
        <v>77.998957233135997</v>
      </c>
      <c r="AM5364">
        <v>96.672512870099993</v>
      </c>
      <c r="AN5364">
        <v>1.0000000346704401</v>
      </c>
    </row>
    <row r="5365" spans="1:40" x14ac:dyDescent="0.25">
      <c r="A5365" t="str">
        <f>"20190312172816368"</f>
        <v>20190312172816368</v>
      </c>
      <c r="B5365" t="str">
        <f>"1552382896365140"</f>
        <v>1552382896365140</v>
      </c>
      <c r="C5365" t="s">
        <v>40</v>
      </c>
      <c r="D5365">
        <v>3.1705559999999999</v>
      </c>
      <c r="E5365">
        <v>0.45313740000000002</v>
      </c>
      <c r="F5365" t="s">
        <v>41</v>
      </c>
      <c r="G5365">
        <v>-271.6112</v>
      </c>
      <c r="H5365" s="1">
        <v>-7.2545160000000003E-8</v>
      </c>
      <c r="I5365">
        <v>-61.404760000000003</v>
      </c>
      <c r="J5365">
        <v>-286.65140000000002</v>
      </c>
      <c r="K5365">
        <v>1.1129519999999999</v>
      </c>
      <c r="L5365">
        <v>-60.14188</v>
      </c>
      <c r="M5365">
        <v>0.94712620000000003</v>
      </c>
      <c r="N5365">
        <v>0</v>
      </c>
      <c r="O5365">
        <v>-0.3205421</v>
      </c>
      <c r="P5365">
        <v>0.95903300000000002</v>
      </c>
      <c r="Q5365">
        <v>0.19317500000000001</v>
      </c>
      <c r="R5365">
        <v>-0.20721870000000001</v>
      </c>
      <c r="S5365">
        <v>3.1189269999999998</v>
      </c>
      <c r="T5365">
        <v>-0.2286648</v>
      </c>
      <c r="U5365">
        <v>-0.26821899999999999</v>
      </c>
      <c r="V5365">
        <v>-0.1123697</v>
      </c>
      <c r="W5365">
        <v>0.206454</v>
      </c>
      <c r="X5365">
        <v>0.97198240000000002</v>
      </c>
      <c r="Y5365">
        <v>-0.23678540000000001</v>
      </c>
      <c r="Z5365">
        <v>3.168315E-2</v>
      </c>
      <c r="AA5365">
        <v>0.9710453</v>
      </c>
      <c r="AB5365">
        <v>17</v>
      </c>
      <c r="AC5365">
        <v>15.0402</v>
      </c>
      <c r="AD5365">
        <v>-1.1129520725451501</v>
      </c>
      <c r="AE5365">
        <v>-1.26287999999998</v>
      </c>
      <c r="AF5365">
        <v>-3.6056760191250201</v>
      </c>
      <c r="AG5365">
        <v>-1.1129520725451501</v>
      </c>
      <c r="AH5365">
        <v>14.5720389000673</v>
      </c>
      <c r="AI5365">
        <v>94.240148608417599</v>
      </c>
      <c r="AJ5365">
        <v>103.898002898587</v>
      </c>
      <c r="AK5365">
        <v>15.0527033975878</v>
      </c>
      <c r="AL5365">
        <v>78.085371856628896</v>
      </c>
      <c r="AM5365">
        <v>96.594619300918197</v>
      </c>
      <c r="AN5365">
        <v>0.99999999475192403</v>
      </c>
    </row>
    <row r="5366" spans="1:40" x14ac:dyDescent="0.25">
      <c r="A5366" t="str">
        <f>"20190312172816379"</f>
        <v>20190312172816379</v>
      </c>
      <c r="B5366" t="str">
        <f>"1552382896374899"</f>
        <v>1552382896374899</v>
      </c>
      <c r="C5366" t="s">
        <v>40</v>
      </c>
      <c r="D5366">
        <v>3.2094960000000001</v>
      </c>
      <c r="E5366">
        <v>0.45338099999999998</v>
      </c>
      <c r="F5366" t="s">
        <v>41</v>
      </c>
      <c r="G5366">
        <v>-271.82380000000001</v>
      </c>
      <c r="H5366" s="1">
        <v>-1.5784850000000001E-7</v>
      </c>
      <c r="I5366">
        <v>-61.3782</v>
      </c>
      <c r="J5366">
        <v>-286.5668</v>
      </c>
      <c r="K5366">
        <v>1.1128990000000001</v>
      </c>
      <c r="L5366">
        <v>-60.167050000000003</v>
      </c>
      <c r="M5366">
        <v>0.94799699999999998</v>
      </c>
      <c r="N5366">
        <v>0</v>
      </c>
      <c r="O5366">
        <v>-0.3179574</v>
      </c>
      <c r="P5366">
        <v>0.95951580000000003</v>
      </c>
      <c r="Q5366">
        <v>0.19311339999999999</v>
      </c>
      <c r="R5366">
        <v>-0.20502790000000001</v>
      </c>
      <c r="S5366">
        <v>3.11911</v>
      </c>
      <c r="T5366">
        <v>-0.23411870000000001</v>
      </c>
      <c r="U5366">
        <v>-0.26007079999999999</v>
      </c>
      <c r="V5366">
        <v>-0.1119164</v>
      </c>
      <c r="W5366">
        <v>0.2063989</v>
      </c>
      <c r="X5366">
        <v>0.97204639999999998</v>
      </c>
      <c r="Y5366">
        <v>-0.23659640000000001</v>
      </c>
      <c r="Z5366">
        <v>3.2249720000000003E-2</v>
      </c>
      <c r="AA5366">
        <v>0.97107270000000001</v>
      </c>
      <c r="AB5366">
        <v>17</v>
      </c>
      <c r="AC5366">
        <v>14.742999999999901</v>
      </c>
      <c r="AD5366">
        <v>-1.1128991578484999</v>
      </c>
      <c r="AE5366">
        <v>-1.21114999999999</v>
      </c>
      <c r="AF5366">
        <v>-3.51991899440532</v>
      </c>
      <c r="AG5366">
        <v>-1.1128991578484999</v>
      </c>
      <c r="AH5366">
        <v>14.2820477358222</v>
      </c>
      <c r="AI5366">
        <v>94.326698086993801</v>
      </c>
      <c r="AJ5366">
        <v>103.845058538746</v>
      </c>
      <c r="AK5366">
        <v>14.751449481017699</v>
      </c>
      <c r="AL5366">
        <v>78.0885983504227</v>
      </c>
      <c r="AM5366">
        <v>96.567820815251295</v>
      </c>
      <c r="AN5366">
        <v>0.99999999513156501</v>
      </c>
    </row>
    <row r="5367" spans="1:40" x14ac:dyDescent="0.25">
      <c r="A5367" t="str">
        <f>"20190312172816391"</f>
        <v>20190312172816391</v>
      </c>
      <c r="B5367" t="str">
        <f>"1552382896384659"</f>
        <v>1552382896384659</v>
      </c>
      <c r="C5367" t="s">
        <v>40</v>
      </c>
      <c r="D5367">
        <v>3.1428970000000001</v>
      </c>
      <c r="E5367">
        <v>0.45357690000000001</v>
      </c>
      <c r="F5367" t="s">
        <v>41</v>
      </c>
      <c r="G5367">
        <v>-271.72809999999998</v>
      </c>
      <c r="H5367" s="1">
        <v>-1.171738E-7</v>
      </c>
      <c r="I5367">
        <v>-61.380040000000001</v>
      </c>
      <c r="J5367">
        <v>-286.48439999999999</v>
      </c>
      <c r="K5367">
        <v>1.1128499999999999</v>
      </c>
      <c r="L5367">
        <v>-60.191499999999998</v>
      </c>
      <c r="M5367">
        <v>0.94883419999999896</v>
      </c>
      <c r="N5367">
        <v>0</v>
      </c>
      <c r="O5367">
        <v>-0.31545129999999999</v>
      </c>
      <c r="P5367">
        <v>0.96004780000000001</v>
      </c>
      <c r="Q5367">
        <v>0.19264020000000001</v>
      </c>
      <c r="R5367">
        <v>-0.2029724</v>
      </c>
      <c r="S5367">
        <v>3.1191710000000001</v>
      </c>
      <c r="T5367">
        <v>-0.2339358</v>
      </c>
      <c r="U5367">
        <v>-0.25497439999999999</v>
      </c>
      <c r="V5367">
        <v>-0.1114329</v>
      </c>
      <c r="W5367">
        <v>0.20593420000000001</v>
      </c>
      <c r="X5367">
        <v>0.97220050000000002</v>
      </c>
      <c r="Y5367">
        <v>-0.23561840000000001</v>
      </c>
      <c r="Z5367">
        <v>3.2012579999999999E-2</v>
      </c>
      <c r="AA5367">
        <v>0.97131820000000002</v>
      </c>
      <c r="AB5367">
        <v>17</v>
      </c>
      <c r="AC5367">
        <v>14.7563</v>
      </c>
      <c r="AD5367">
        <v>-1.1128501171737999</v>
      </c>
      <c r="AE5367">
        <v>-1.1885399999999999</v>
      </c>
      <c r="AF5367">
        <v>-3.5077053417616799</v>
      </c>
      <c r="AG5367">
        <v>-1.1128501171737999</v>
      </c>
      <c r="AH5367">
        <v>14.2968873142622</v>
      </c>
      <c r="AI5367">
        <v>94.323142905985705</v>
      </c>
      <c r="AJ5367">
        <v>103.785081193341</v>
      </c>
      <c r="AK5367">
        <v>14.7629068622893</v>
      </c>
      <c r="AL5367">
        <v>78.115808299645806</v>
      </c>
      <c r="AM5367">
        <v>96.538665301651207</v>
      </c>
      <c r="AN5367">
        <v>0.99999999906615</v>
      </c>
    </row>
    <row r="5368" spans="1:40" x14ac:dyDescent="0.25">
      <c r="A5368" t="str">
        <f>"20190312172816401"</f>
        <v>20190312172816401</v>
      </c>
      <c r="B5368" t="str">
        <f>"1552382896395396"</f>
        <v>1552382896395396</v>
      </c>
      <c r="C5368" t="s">
        <v>40</v>
      </c>
      <c r="D5368">
        <v>3.2126009999999998</v>
      </c>
      <c r="E5368">
        <v>0.45382210000000001</v>
      </c>
      <c r="F5368" t="s">
        <v>41</v>
      </c>
      <c r="G5368">
        <v>-271.72059999999999</v>
      </c>
      <c r="H5368" s="1">
        <v>-1.126555E-7</v>
      </c>
      <c r="I5368">
        <v>-61.374090000000002</v>
      </c>
      <c r="J5368">
        <v>-286.40550000000002</v>
      </c>
      <c r="K5368">
        <v>1.112803</v>
      </c>
      <c r="L5368">
        <v>-60.214689999999997</v>
      </c>
      <c r="M5368">
        <v>0.94961569999999995</v>
      </c>
      <c r="N5368">
        <v>0</v>
      </c>
      <c r="O5368">
        <v>-0.31309090000000001</v>
      </c>
      <c r="P5368">
        <v>0.96048270000000002</v>
      </c>
      <c r="Q5368">
        <v>0.19261909999999999</v>
      </c>
      <c r="R5368">
        <v>-0.2009251</v>
      </c>
      <c r="S5368">
        <v>3.1191710000000001</v>
      </c>
      <c r="T5368">
        <v>-0.23511370000000001</v>
      </c>
      <c r="U5368">
        <v>-0.2498474</v>
      </c>
      <c r="V5368">
        <v>-0.111068899999999</v>
      </c>
      <c r="W5368">
        <v>0.2059174</v>
      </c>
      <c r="X5368">
        <v>0.97224569999999999</v>
      </c>
      <c r="Y5368">
        <v>-0.2347814</v>
      </c>
      <c r="Z5368">
        <v>3.1976350000000001E-2</v>
      </c>
      <c r="AA5368">
        <v>0.97152210000000006</v>
      </c>
      <c r="AB5368">
        <v>17</v>
      </c>
      <c r="AC5368">
        <v>14.684900000000001</v>
      </c>
      <c r="AD5368">
        <v>-1.1128031126555</v>
      </c>
      <c r="AE5368">
        <v>-1.15939999999999</v>
      </c>
      <c r="AF5368">
        <v>-3.4772369820970099</v>
      </c>
      <c r="AG5368">
        <v>-1.1128031126555</v>
      </c>
      <c r="AH5368">
        <v>14.2282711004236</v>
      </c>
      <c r="AI5368">
        <v>94.344686945655397</v>
      </c>
      <c r="AJ5368">
        <v>103.733285988502</v>
      </c>
      <c r="AK5368">
        <v>14.6892207521144</v>
      </c>
      <c r="AL5368">
        <v>78.1167918253864</v>
      </c>
      <c r="AM5368">
        <v>96.517190166228502</v>
      </c>
      <c r="AN5368">
        <v>0.99999998866923001</v>
      </c>
    </row>
    <row r="5369" spans="1:40" x14ac:dyDescent="0.25">
      <c r="A5369" t="str">
        <f>"20190312172816412"</f>
        <v>20190312172816412</v>
      </c>
      <c r="B5369" t="str">
        <f>"1552382896405155"</f>
        <v>1552382896405155</v>
      </c>
      <c r="C5369" t="s">
        <v>40</v>
      </c>
      <c r="D5369">
        <v>3.2104379999999999</v>
      </c>
      <c r="E5369">
        <v>0.45397130000000002</v>
      </c>
      <c r="F5369" t="s">
        <v>41</v>
      </c>
      <c r="G5369">
        <v>-271.6266</v>
      </c>
      <c r="H5369" s="1">
        <v>-7.2804989999999999E-8</v>
      </c>
      <c r="I5369">
        <v>-61.376350000000002</v>
      </c>
      <c r="J5369">
        <v>-286.32659999999998</v>
      </c>
      <c r="K5369">
        <v>1.1127609999999999</v>
      </c>
      <c r="L5369">
        <v>-60.237670000000001</v>
      </c>
      <c r="M5369">
        <v>0.95038230000000001</v>
      </c>
      <c r="N5369">
        <v>0</v>
      </c>
      <c r="O5369">
        <v>-0.31075659999999999</v>
      </c>
      <c r="P5369">
        <v>0.96087029999999995</v>
      </c>
      <c r="Q5369">
        <v>0.1926968</v>
      </c>
      <c r="R5369">
        <v>-0.198989</v>
      </c>
      <c r="S5369">
        <v>3.1192319999999998</v>
      </c>
      <c r="T5369">
        <v>-0.2348673</v>
      </c>
      <c r="U5369">
        <v>-0.24517820000000001</v>
      </c>
      <c r="V5369">
        <v>-0.1106149</v>
      </c>
      <c r="W5369">
        <v>0.20599999999999999</v>
      </c>
      <c r="X5369">
        <v>0.97228000000000003</v>
      </c>
      <c r="Y5369">
        <v>-0.2338519</v>
      </c>
      <c r="Z5369">
        <v>3.1743420000000001E-2</v>
      </c>
      <c r="AA5369">
        <v>0.97175389999999995</v>
      </c>
      <c r="AB5369">
        <v>17</v>
      </c>
      <c r="AC5369">
        <v>14.6999999999999</v>
      </c>
      <c r="AD5369">
        <v>-1.1127610728049899</v>
      </c>
      <c r="AE5369">
        <v>-1.1386799999999999</v>
      </c>
      <c r="AF5369">
        <v>-3.4665504859085901</v>
      </c>
      <c r="AG5369">
        <v>-1.1127610728049899</v>
      </c>
      <c r="AH5369">
        <v>14.244793608628401</v>
      </c>
      <c r="AI5369">
        <v>94.340532182406406</v>
      </c>
      <c r="AJ5369">
        <v>103.677385650473</v>
      </c>
      <c r="AK5369">
        <v>14.702698882481499</v>
      </c>
      <c r="AL5369">
        <v>78.111955971936794</v>
      </c>
      <c r="AM5369">
        <v>96.490551574852006</v>
      </c>
      <c r="AN5369">
        <v>1.0000000272509999</v>
      </c>
    </row>
    <row r="5370" spans="1:40" x14ac:dyDescent="0.25">
      <c r="A5370" t="str">
        <f>"20190312172816423"</f>
        <v>20190312172816423</v>
      </c>
      <c r="B5370" t="str">
        <f>"1552382896414916"</f>
        <v>1552382896414916</v>
      </c>
      <c r="C5370" t="s">
        <v>40</v>
      </c>
      <c r="D5370">
        <v>3.1893760000000002</v>
      </c>
      <c r="E5370">
        <v>0.4542639</v>
      </c>
      <c r="F5370" t="s">
        <v>41</v>
      </c>
      <c r="G5370">
        <v>-271.51010000000002</v>
      </c>
      <c r="H5370" s="1">
        <v>-2.325135E-8</v>
      </c>
      <c r="I5370">
        <v>-61.378149999999998</v>
      </c>
      <c r="J5370">
        <v>-286.24669999999998</v>
      </c>
      <c r="K5370">
        <v>1.112722</v>
      </c>
      <c r="L5370">
        <v>-60.260800000000003</v>
      </c>
      <c r="M5370">
        <v>0.95114209999999999</v>
      </c>
      <c r="N5370">
        <v>0</v>
      </c>
      <c r="O5370">
        <v>-0.30842389999999997</v>
      </c>
      <c r="P5370">
        <v>0.96123610000000004</v>
      </c>
      <c r="Q5370">
        <v>0.1928417</v>
      </c>
      <c r="R5370">
        <v>-0.19707279999999999</v>
      </c>
      <c r="S5370">
        <v>3.119415</v>
      </c>
      <c r="T5370">
        <v>-0.23427700000000001</v>
      </c>
      <c r="U5370">
        <v>-0.2401123</v>
      </c>
      <c r="V5370">
        <v>-0.1101399</v>
      </c>
      <c r="W5370">
        <v>0.20614879999999999</v>
      </c>
      <c r="X5370">
        <v>0.97230240000000001</v>
      </c>
      <c r="Y5370">
        <v>-0.2330557</v>
      </c>
      <c r="Z5370">
        <v>3.1468780000000002E-2</v>
      </c>
      <c r="AA5370">
        <v>0.97195410000000004</v>
      </c>
      <c r="AB5370">
        <v>17</v>
      </c>
      <c r="AC5370">
        <v>14.7365999999999</v>
      </c>
      <c r="AD5370">
        <v>-1.1127220232513499</v>
      </c>
      <c r="AE5370">
        <v>-1.1173499999999901</v>
      </c>
      <c r="AF5370">
        <v>-3.4630837929484</v>
      </c>
      <c r="AG5370">
        <v>-1.1127220232513499</v>
      </c>
      <c r="AH5370">
        <v>14.281719048416599</v>
      </c>
      <c r="AI5370">
        <v>94.330063757567899</v>
      </c>
      <c r="AJ5370">
        <v>103.630211311921</v>
      </c>
      <c r="AK5370">
        <v>14.737659197983699</v>
      </c>
      <c r="AL5370">
        <v>78.103243523547903</v>
      </c>
      <c r="AM5370">
        <v>96.4627686811709</v>
      </c>
      <c r="AN5370">
        <v>1.0000000411796</v>
      </c>
    </row>
    <row r="5371" spans="1:40" x14ac:dyDescent="0.25">
      <c r="A5371" t="str">
        <f>"20190312172816435"</f>
        <v>20190312172816435</v>
      </c>
      <c r="B5371" t="str">
        <f>"1552382896425652"</f>
        <v>1552382896425652</v>
      </c>
      <c r="C5371" t="s">
        <v>40</v>
      </c>
      <c r="D5371">
        <v>3.1900059999999999</v>
      </c>
      <c r="E5371">
        <v>0.4544474</v>
      </c>
      <c r="F5371" t="s">
        <v>41</v>
      </c>
      <c r="G5371">
        <v>-271.42079999999999</v>
      </c>
      <c r="H5371" s="1">
        <v>1.4045720000000001E-8</v>
      </c>
      <c r="I5371">
        <v>-61.382629999999999</v>
      </c>
      <c r="J5371">
        <v>-286.1635</v>
      </c>
      <c r="K5371">
        <v>1.112684</v>
      </c>
      <c r="L5371">
        <v>-60.284669999999998</v>
      </c>
      <c r="M5371">
        <v>0.95191400000000004</v>
      </c>
      <c r="N5371">
        <v>0</v>
      </c>
      <c r="O5371">
        <v>-0.30603340000000001</v>
      </c>
      <c r="P5371">
        <v>0.96165089999999998</v>
      </c>
      <c r="Q5371">
        <v>0.1927122</v>
      </c>
      <c r="R5371">
        <v>-0.19516639999999999</v>
      </c>
      <c r="S5371">
        <v>3.1196290000000002</v>
      </c>
      <c r="T5371">
        <v>-0.23413709999999999</v>
      </c>
      <c r="U5371">
        <v>-0.2360535</v>
      </c>
      <c r="V5371">
        <v>-0.109612</v>
      </c>
      <c r="W5371">
        <v>0.20602470000000001</v>
      </c>
      <c r="X5371">
        <v>0.97238829999999998</v>
      </c>
      <c r="Y5371">
        <v>-0.2318867</v>
      </c>
      <c r="Z5371">
        <v>3.1235829999999999E-2</v>
      </c>
      <c r="AA5371">
        <v>0.97224120000000003</v>
      </c>
      <c r="AB5371">
        <v>17</v>
      </c>
      <c r="AC5371">
        <v>14.742699999999999</v>
      </c>
      <c r="AD5371">
        <v>-1.1126839859542801</v>
      </c>
      <c r="AE5371">
        <v>-1.09796</v>
      </c>
      <c r="AF5371">
        <v>-3.4474184690552199</v>
      </c>
      <c r="AG5371">
        <v>-1.1126839859542801</v>
      </c>
      <c r="AH5371">
        <v>14.2903035854993</v>
      </c>
      <c r="AI5371">
        <v>94.328548553686403</v>
      </c>
      <c r="AJ5371">
        <v>103.562988821113</v>
      </c>
      <c r="AK5371">
        <v>14.7423043083202</v>
      </c>
      <c r="AL5371">
        <v>78.110509255366097</v>
      </c>
      <c r="AM5371">
        <v>96.431489431478795</v>
      </c>
      <c r="AN5371">
        <v>0.99999998676548996</v>
      </c>
    </row>
    <row r="5372" spans="1:40" x14ac:dyDescent="0.25">
      <c r="A5372" t="str">
        <f>"20190312172816446"</f>
        <v>20190312172816446</v>
      </c>
      <c r="B5372" t="str">
        <f>"1552382896435412"</f>
        <v>1552382896435412</v>
      </c>
      <c r="C5372" t="s">
        <v>40</v>
      </c>
      <c r="D5372">
        <v>3.2482739999999999</v>
      </c>
      <c r="E5372">
        <v>0.45470319999999997</v>
      </c>
      <c r="F5372" t="s">
        <v>41</v>
      </c>
      <c r="G5372">
        <v>-271.30720000000002</v>
      </c>
      <c r="H5372" s="1">
        <v>6.222223E-8</v>
      </c>
      <c r="I5372">
        <v>-61.385260000000002</v>
      </c>
      <c r="J5372">
        <v>-286.08069999999998</v>
      </c>
      <c r="K5372">
        <v>1.112649</v>
      </c>
      <c r="L5372">
        <v>-60.308320000000002</v>
      </c>
      <c r="M5372">
        <v>0.95266850000000003</v>
      </c>
      <c r="N5372">
        <v>0</v>
      </c>
      <c r="O5372">
        <v>-0.30367719999999998</v>
      </c>
      <c r="P5372">
        <v>0.96214409999999895</v>
      </c>
      <c r="Q5372">
        <v>0.19237360000000001</v>
      </c>
      <c r="R5372">
        <v>-0.19305810000000001</v>
      </c>
      <c r="S5372">
        <v>3.1196290000000002</v>
      </c>
      <c r="T5372">
        <v>-0.23364850000000001</v>
      </c>
      <c r="U5372">
        <v>-0.2311096</v>
      </c>
      <c r="V5372">
        <v>-0.109337</v>
      </c>
      <c r="W5372">
        <v>0.20569009999999999</v>
      </c>
      <c r="X5372">
        <v>0.97249010000000002</v>
      </c>
      <c r="Y5372">
        <v>-0.23102710000000001</v>
      </c>
      <c r="Z5372">
        <v>3.0973569999999999E-2</v>
      </c>
      <c r="AA5372">
        <v>0.97245420000000005</v>
      </c>
      <c r="AB5372">
        <v>17</v>
      </c>
      <c r="AC5372">
        <v>14.773499999999901</v>
      </c>
      <c r="AD5372">
        <v>-1.11264893777777</v>
      </c>
      <c r="AE5372">
        <v>-1.07694</v>
      </c>
      <c r="AF5372">
        <v>-3.44134267541483</v>
      </c>
      <c r="AG5372">
        <v>-1.11264893777777</v>
      </c>
      <c r="AH5372">
        <v>14.3219441989917</v>
      </c>
      <c r="AI5372">
        <v>94.319823767672901</v>
      </c>
      <c r="AJ5372">
        <v>103.511150730442</v>
      </c>
      <c r="AK5372">
        <v>14.7715575586125</v>
      </c>
      <c r="AL5372">
        <v>78.130100126151504</v>
      </c>
      <c r="AM5372">
        <v>96.414822517036995</v>
      </c>
      <c r="AN5372">
        <v>0.99999999570250997</v>
      </c>
    </row>
    <row r="5373" spans="1:40" x14ac:dyDescent="0.25">
      <c r="A5373" t="str">
        <f>"20190312172816469"</f>
        <v>20190312172816469</v>
      </c>
      <c r="B5373" t="str">
        <f>"1552382896465669"</f>
        <v>1552382896465669</v>
      </c>
      <c r="C5373" t="s">
        <v>40</v>
      </c>
      <c r="D5373">
        <v>3.1932109999999998</v>
      </c>
      <c r="E5373">
        <v>0.45517439999999998</v>
      </c>
      <c r="F5373" t="s">
        <v>41</v>
      </c>
      <c r="G5373">
        <v>-271.26319999999998</v>
      </c>
      <c r="H5373" s="1">
        <v>8.1609929999999998E-8</v>
      </c>
      <c r="I5373">
        <v>-61.382899999999999</v>
      </c>
      <c r="J5373">
        <v>-285.91050000000001</v>
      </c>
      <c r="K5373">
        <v>1.112574</v>
      </c>
      <c r="L5373">
        <v>-60.356229999999996</v>
      </c>
      <c r="M5373">
        <v>0.95416009999999996</v>
      </c>
      <c r="N5373">
        <v>0</v>
      </c>
      <c r="O5373">
        <v>-0.29895850000000002</v>
      </c>
      <c r="P5373">
        <v>0.96284630000000004</v>
      </c>
      <c r="Q5373">
        <v>0.1925587</v>
      </c>
      <c r="R5373">
        <v>-0.18933710000000001</v>
      </c>
      <c r="S5373">
        <v>3.1194459999999999</v>
      </c>
      <c r="T5373">
        <v>-0.23424039999999999</v>
      </c>
      <c r="U5373">
        <v>-0.22622680000000001</v>
      </c>
      <c r="V5373">
        <v>-0.10823290000000001</v>
      </c>
      <c r="W5373">
        <v>0.20588429999999999</v>
      </c>
      <c r="X5373">
        <v>0.97257249999999995</v>
      </c>
      <c r="Y5373">
        <v>-0.2277351</v>
      </c>
      <c r="Z5373">
        <v>3.0594980000000001E-2</v>
      </c>
      <c r="AA5373">
        <v>0.9732423</v>
      </c>
      <c r="AB5373">
        <v>17</v>
      </c>
      <c r="AC5373">
        <v>14.6473</v>
      </c>
      <c r="AD5373">
        <v>-1.11257391839007</v>
      </c>
      <c r="AE5373">
        <v>-1.02666999999999</v>
      </c>
      <c r="AF5373">
        <v>-3.3802639301428399</v>
      </c>
      <c r="AG5373">
        <v>-1.11257391839007</v>
      </c>
      <c r="AH5373">
        <v>14.2027033039033</v>
      </c>
      <c r="AI5373">
        <v>94.357901367207504</v>
      </c>
      <c r="AJ5373">
        <v>103.38741207955999</v>
      </c>
      <c r="AK5373">
        <v>14.6417480547923</v>
      </c>
      <c r="AL5373">
        <v>78.118729818035803</v>
      </c>
      <c r="AM5373">
        <v>96.350043010115797</v>
      </c>
      <c r="AN5373">
        <v>0.99999998669257495</v>
      </c>
    </row>
    <row r="5374" spans="1:40" x14ac:dyDescent="0.25">
      <c r="A5374" t="str">
        <f>"20190312172816482"</f>
        <v>20190312172816482</v>
      </c>
      <c r="B5374" t="str">
        <f>"1552382896475427"</f>
        <v>1552382896475427</v>
      </c>
      <c r="C5374" t="s">
        <v>40</v>
      </c>
      <c r="D5374">
        <v>3.2825929999999999</v>
      </c>
      <c r="E5374">
        <v>0.4554687</v>
      </c>
      <c r="F5374" t="s">
        <v>41</v>
      </c>
      <c r="G5374">
        <v>-270.98149999999998</v>
      </c>
      <c r="H5374" s="1">
        <v>1.9911169999999999E-7</v>
      </c>
      <c r="I5374">
        <v>-61.398009999999999</v>
      </c>
      <c r="J5374">
        <v>-285.81959999999998</v>
      </c>
      <c r="K5374">
        <v>1.1125339999999999</v>
      </c>
      <c r="L5374">
        <v>-60.381469999999901</v>
      </c>
      <c r="M5374">
        <v>0.95492790000000005</v>
      </c>
      <c r="N5374">
        <v>0</v>
      </c>
      <c r="O5374">
        <v>-0.29649720000000002</v>
      </c>
      <c r="P5374">
        <v>0.96318550000000003</v>
      </c>
      <c r="Q5374">
        <v>0.19297919999999999</v>
      </c>
      <c r="R5374">
        <v>-0.1871707</v>
      </c>
      <c r="S5374">
        <v>3.1194459999999999</v>
      </c>
      <c r="T5374">
        <v>-0.23247370000000001</v>
      </c>
      <c r="U5374">
        <v>-0.21768190000000001</v>
      </c>
      <c r="V5374">
        <v>-0.1078683</v>
      </c>
      <c r="W5374">
        <v>0.20630699999999999</v>
      </c>
      <c r="X5374">
        <v>0.97252349999999999</v>
      </c>
      <c r="Y5374">
        <v>-0.22790479999999999</v>
      </c>
      <c r="Z5374">
        <v>3.0200890000000001E-2</v>
      </c>
      <c r="AA5374">
        <v>0.97321489999999999</v>
      </c>
      <c r="AB5374">
        <v>17</v>
      </c>
      <c r="AC5374">
        <v>14.838099999999899</v>
      </c>
      <c r="AD5374">
        <v>-1.1125338008882999</v>
      </c>
      <c r="AE5374">
        <v>-1.01654</v>
      </c>
      <c r="AF5374">
        <v>-3.4099987173125301</v>
      </c>
      <c r="AG5374">
        <v>-1.1125338008882999</v>
      </c>
      <c r="AH5374">
        <v>14.3916515429542</v>
      </c>
      <c r="AI5374">
        <v>94.301767741668201</v>
      </c>
      <c r="AJ5374">
        <v>103.329995982803</v>
      </c>
      <c r="AK5374">
        <v>14.831906716400599</v>
      </c>
      <c r="AL5374">
        <v>78.093980352732999</v>
      </c>
      <c r="AM5374">
        <v>96.329142014512101</v>
      </c>
      <c r="AN5374">
        <v>1.00000005322306</v>
      </c>
    </row>
    <row r="5375" spans="1:40" x14ac:dyDescent="0.25">
      <c r="A5375" t="str">
        <f>"20190312172816492"</f>
        <v>20190312172816492</v>
      </c>
      <c r="B5375" t="str">
        <f>"1552382896485188"</f>
        <v>1552382896485188</v>
      </c>
      <c r="C5375" t="s">
        <v>40</v>
      </c>
      <c r="D5375">
        <v>3.2448160000000001</v>
      </c>
      <c r="E5375">
        <v>0.45564510000000003</v>
      </c>
      <c r="F5375" t="s">
        <v>41</v>
      </c>
      <c r="G5375">
        <v>-270.78230000000002</v>
      </c>
      <c r="H5375" s="1">
        <v>2.823227E-7</v>
      </c>
      <c r="I5375">
        <v>-61.407969999999999</v>
      </c>
      <c r="J5375">
        <v>-285.74160000000001</v>
      </c>
      <c r="K5375">
        <v>1.1125020000000001</v>
      </c>
      <c r="L5375">
        <v>-60.403019999999998</v>
      </c>
      <c r="M5375">
        <v>0.95557479999999995</v>
      </c>
      <c r="N5375">
        <v>0</v>
      </c>
      <c r="O5375">
        <v>-0.2944058</v>
      </c>
      <c r="P5375">
        <v>0.96330899999999997</v>
      </c>
      <c r="Q5375">
        <v>0.19378280000000001</v>
      </c>
      <c r="R5375">
        <v>-0.1856988</v>
      </c>
      <c r="S5375">
        <v>3.1195369999999998</v>
      </c>
      <c r="T5375">
        <v>-0.2307998</v>
      </c>
      <c r="U5375">
        <v>-0.21295169999999999</v>
      </c>
      <c r="V5375">
        <v>-0.1071628</v>
      </c>
      <c r="W5375">
        <v>0.20711370000000001</v>
      </c>
      <c r="X5375">
        <v>0.97243000000000002</v>
      </c>
      <c r="Y5375">
        <v>-0.22727149999999999</v>
      </c>
      <c r="Z5375">
        <v>2.9814429999999999E-2</v>
      </c>
      <c r="AA5375">
        <v>0.97337490000000004</v>
      </c>
      <c r="AB5375">
        <v>17</v>
      </c>
      <c r="AC5375">
        <v>14.959299999999899</v>
      </c>
      <c r="AD5375">
        <v>-1.1125017176773</v>
      </c>
      <c r="AE5375">
        <v>-1.00495</v>
      </c>
      <c r="AF5375">
        <v>-3.4252886334148598</v>
      </c>
      <c r="AG5375">
        <v>-1.1125017176773</v>
      </c>
      <c r="AH5375">
        <v>14.5121656770439</v>
      </c>
      <c r="AI5375">
        <v>94.266924399211902</v>
      </c>
      <c r="AJ5375">
        <v>103.280397795938</v>
      </c>
      <c r="AK5375">
        <v>14.952364860850899</v>
      </c>
      <c r="AL5375">
        <v>78.046739240262795</v>
      </c>
      <c r="AM5375">
        <v>96.288679429383805</v>
      </c>
      <c r="AN5375">
        <v>1.0000000276657599</v>
      </c>
    </row>
    <row r="5376" spans="1:40" x14ac:dyDescent="0.25">
      <c r="A5376" t="str">
        <f>"20190312172816503"</f>
        <v>20190312172816503</v>
      </c>
      <c r="B5376" t="str">
        <f>"1552382896494947"</f>
        <v>1552382896494947</v>
      </c>
      <c r="C5376" t="s">
        <v>40</v>
      </c>
      <c r="D5376">
        <v>3.2546270000000002</v>
      </c>
      <c r="E5376">
        <v>0.45585829999999999</v>
      </c>
      <c r="F5376" t="s">
        <v>41</v>
      </c>
      <c r="G5376">
        <v>-270.52910000000003</v>
      </c>
      <c r="H5376" s="1">
        <v>3.8711659999999999E-7</v>
      </c>
      <c r="I5376">
        <v>-61.425190000000001</v>
      </c>
      <c r="J5376">
        <v>-285.66329999999999</v>
      </c>
      <c r="K5376">
        <v>1.112473</v>
      </c>
      <c r="L5376">
        <v>-60.424500000000002</v>
      </c>
      <c r="M5376">
        <v>0.95621250000000002</v>
      </c>
      <c r="N5376">
        <v>0</v>
      </c>
      <c r="O5376">
        <v>-0.2923287</v>
      </c>
      <c r="P5376">
        <v>0.96347169999999904</v>
      </c>
      <c r="Q5376">
        <v>0.1943126</v>
      </c>
      <c r="R5376">
        <v>-0.18429690000000001</v>
      </c>
      <c r="S5376">
        <v>3.1197509999999999</v>
      </c>
      <c r="T5376">
        <v>-0.22814989999999999</v>
      </c>
      <c r="U5376">
        <v>-0.20962520000000001</v>
      </c>
      <c r="V5376">
        <v>-0.1064174</v>
      </c>
      <c r="W5376">
        <v>0.20764779999999999</v>
      </c>
      <c r="X5376">
        <v>0.97239790000000004</v>
      </c>
      <c r="Y5376">
        <v>-0.2262332</v>
      </c>
      <c r="Z5376">
        <v>2.9289510000000001E-2</v>
      </c>
      <c r="AA5376">
        <v>0.97363270000000002</v>
      </c>
      <c r="AB5376">
        <v>17</v>
      </c>
      <c r="AC5376">
        <v>15.1341999999999</v>
      </c>
      <c r="AD5376">
        <v>-1.1124726128833999</v>
      </c>
      <c r="AE5376">
        <v>-1.0006899999999901</v>
      </c>
      <c r="AF5376">
        <v>-3.4490829229947502</v>
      </c>
      <c r="AG5376">
        <v>-1.1124726128833999</v>
      </c>
      <c r="AH5376">
        <v>14.6865196067615</v>
      </c>
      <c r="AI5376">
        <v>94.217450418780203</v>
      </c>
      <c r="AJ5376">
        <v>103.21623549666801</v>
      </c>
      <c r="AK5376">
        <v>15.1270494969739</v>
      </c>
      <c r="AL5376">
        <v>78.015456855625999</v>
      </c>
      <c r="AM5376">
        <v>96.245488192660403</v>
      </c>
      <c r="AN5376">
        <v>0.99999997389600404</v>
      </c>
    </row>
    <row r="5377" spans="1:40" x14ac:dyDescent="0.25">
      <c r="A5377" t="str">
        <f>"20190312172816514"</f>
        <v>20190312172816514</v>
      </c>
      <c r="B5377" t="str">
        <f>"1552382896505684"</f>
        <v>1552382896505684</v>
      </c>
      <c r="C5377" t="s">
        <v>40</v>
      </c>
      <c r="D5377">
        <v>3.2518039999999999</v>
      </c>
      <c r="E5377">
        <v>0.45608900000000002</v>
      </c>
      <c r="F5377" t="s">
        <v>41</v>
      </c>
      <c r="G5377">
        <v>-270.32</v>
      </c>
      <c r="H5377" s="1">
        <v>4.7344139999999998E-7</v>
      </c>
      <c r="I5377">
        <v>-61.44041</v>
      </c>
      <c r="J5377">
        <v>-285.58519999999999</v>
      </c>
      <c r="K5377">
        <v>1.1124480000000001</v>
      </c>
      <c r="L5377">
        <v>-60.445709999999998</v>
      </c>
      <c r="M5377">
        <v>0.95683640000000003</v>
      </c>
      <c r="N5377">
        <v>0</v>
      </c>
      <c r="O5377">
        <v>-0.29028029999999999</v>
      </c>
      <c r="P5377">
        <v>0.96369150000000003</v>
      </c>
      <c r="Q5377">
        <v>0.19480140000000001</v>
      </c>
      <c r="R5377">
        <v>-0.18262339999999999</v>
      </c>
      <c r="S5377">
        <v>3.1198730000000001</v>
      </c>
      <c r="T5377">
        <v>-0.2262081</v>
      </c>
      <c r="U5377">
        <v>-0.20657349999999999</v>
      </c>
      <c r="V5377">
        <v>-0.1059809</v>
      </c>
      <c r="W5377">
        <v>0.20813799999999999</v>
      </c>
      <c r="X5377">
        <v>0.97234080000000001</v>
      </c>
      <c r="Y5377">
        <v>-0.2251291</v>
      </c>
      <c r="Z5377">
        <v>2.885911E-2</v>
      </c>
      <c r="AA5377">
        <v>0.97390149999999998</v>
      </c>
      <c r="AB5377">
        <v>17</v>
      </c>
      <c r="AC5377">
        <v>15.265199999999901</v>
      </c>
      <c r="AD5377">
        <v>-1.11244752655859</v>
      </c>
      <c r="AE5377">
        <v>-0.99470000000000103</v>
      </c>
      <c r="AF5377">
        <v>-3.4614670014365698</v>
      </c>
      <c r="AG5377">
        <v>-1.11244752655859</v>
      </c>
      <c r="AH5377">
        <v>14.8181787729749</v>
      </c>
      <c r="AI5377">
        <v>94.181174982125597</v>
      </c>
      <c r="AJ5377">
        <v>103.14829304969599</v>
      </c>
      <c r="AK5377">
        <v>15.2577100329383</v>
      </c>
      <c r="AL5377">
        <v>77.986743490453094</v>
      </c>
      <c r="AM5377">
        <v>96.2204342351951</v>
      </c>
      <c r="AN5377">
        <v>1.0000000047767199</v>
      </c>
    </row>
    <row r="5378" spans="1:40" x14ac:dyDescent="0.25">
      <c r="A5378" t="str">
        <f>"20190312172816525"</f>
        <v>20190312172816525</v>
      </c>
      <c r="B5378" t="str">
        <f>"1552382896515443"</f>
        <v>1552382896515443</v>
      </c>
      <c r="C5378" t="s">
        <v>40</v>
      </c>
      <c r="D5378">
        <v>3.3145790000000002</v>
      </c>
      <c r="E5378">
        <v>0.45608900000000002</v>
      </c>
      <c r="F5378" t="s">
        <v>41</v>
      </c>
      <c r="G5378">
        <v>-270.12389999999999</v>
      </c>
      <c r="H5378" s="1">
        <v>5.5528349999999997E-7</v>
      </c>
      <c r="I5378">
        <v>-61.450809999999997</v>
      </c>
      <c r="J5378">
        <v>-285.50049999999999</v>
      </c>
      <c r="K5378">
        <v>1.1124229999999999</v>
      </c>
      <c r="L5378">
        <v>-60.46866</v>
      </c>
      <c r="M5378">
        <v>0.95750219999999997</v>
      </c>
      <c r="N5378">
        <v>0</v>
      </c>
      <c r="O5378">
        <v>-0.28807700000000003</v>
      </c>
      <c r="P5378">
        <v>0.96392560000000005</v>
      </c>
      <c r="Q5378">
        <v>0.19515170000000001</v>
      </c>
      <c r="R5378">
        <v>-0.181007</v>
      </c>
      <c r="S5378">
        <v>3.1199650000000001</v>
      </c>
      <c r="T5378">
        <v>-0.22448219999999999</v>
      </c>
      <c r="U5378">
        <v>-0.20281979999999999</v>
      </c>
      <c r="V5378">
        <v>-0.10533670000000001</v>
      </c>
      <c r="W5378">
        <v>0.2084915</v>
      </c>
      <c r="X5378">
        <v>0.97233510000000001</v>
      </c>
      <c r="Y5378">
        <v>-0.22408330000000001</v>
      </c>
      <c r="Z5378">
        <v>2.845106E-2</v>
      </c>
      <c r="AA5378">
        <v>0.97415459999999998</v>
      </c>
      <c r="AB5378">
        <v>17</v>
      </c>
      <c r="AC5378">
        <v>15.3765999999999</v>
      </c>
      <c r="AD5378">
        <v>-1.1124224447165001</v>
      </c>
      <c r="AE5378">
        <v>-0.98214999999999697</v>
      </c>
      <c r="AF5378">
        <v>-3.4714897153311299</v>
      </c>
      <c r="AG5378">
        <v>-1.1124224447165001</v>
      </c>
      <c r="AH5378">
        <v>14.9297506904923</v>
      </c>
      <c r="AI5378">
        <v>94.150927117779403</v>
      </c>
      <c r="AJ5378">
        <v>103.08990762228601</v>
      </c>
      <c r="AK5378">
        <v>15.368349951098001</v>
      </c>
      <c r="AL5378">
        <v>77.966035514265798</v>
      </c>
      <c r="AM5378">
        <v>96.182953317309497</v>
      </c>
      <c r="AN5378">
        <v>1.0000000363155701</v>
      </c>
    </row>
    <row r="5379" spans="1:40" x14ac:dyDescent="0.25">
      <c r="A5379" t="str">
        <f>"20190312172816537"</f>
        <v>20190312172816537</v>
      </c>
      <c r="B5379" t="str">
        <f>"1552382896534964"</f>
        <v>1552382896534964</v>
      </c>
      <c r="C5379" t="s">
        <v>40</v>
      </c>
      <c r="D5379">
        <v>3.2531690000000002</v>
      </c>
      <c r="E5379">
        <v>0.46447440000000001</v>
      </c>
      <c r="F5379" t="s">
        <v>41</v>
      </c>
      <c r="G5379">
        <v>-269.95139999999998</v>
      </c>
      <c r="H5379" s="1">
        <v>-3.4644120000000001E-6</v>
      </c>
      <c r="I5379">
        <v>-61.451729999999998</v>
      </c>
      <c r="J5379">
        <v>-285.411</v>
      </c>
      <c r="K5379">
        <v>1.1124080000000001</v>
      </c>
      <c r="L5379">
        <v>-60.492649999999998</v>
      </c>
      <c r="M5379">
        <v>0.95818840000000005</v>
      </c>
      <c r="N5379">
        <v>0</v>
      </c>
      <c r="O5379">
        <v>-0.2857865</v>
      </c>
      <c r="P5379">
        <v>0.96412850000000005</v>
      </c>
      <c r="Q5379">
        <v>0.19575880000000001</v>
      </c>
      <c r="R5379">
        <v>-0.1792628</v>
      </c>
      <c r="S5379">
        <v>3.1203919999999998</v>
      </c>
      <c r="T5379">
        <v>-0.223242</v>
      </c>
      <c r="U5379">
        <v>-0.1972961</v>
      </c>
      <c r="V5379">
        <v>-0.10472140000000001</v>
      </c>
      <c r="W5379">
        <v>0.20910000000000001</v>
      </c>
      <c r="X5379">
        <v>0.97227079999999999</v>
      </c>
      <c r="Y5379">
        <v>-0.2235007</v>
      </c>
      <c r="Z5379">
        <v>2.811518E-2</v>
      </c>
      <c r="AA5379">
        <v>0.9742982</v>
      </c>
      <c r="AB5379">
        <v>17</v>
      </c>
      <c r="AC5379">
        <v>15.4596</v>
      </c>
      <c r="AD5379">
        <v>-1.112411464412</v>
      </c>
      <c r="AE5379">
        <v>-0.95908000000000704</v>
      </c>
      <c r="AF5379">
        <v>-3.4815602207466201</v>
      </c>
      <c r="AG5379">
        <v>-1.112411464412</v>
      </c>
      <c r="AH5379">
        <v>15.0113924551036</v>
      </c>
      <c r="AI5379">
        <v>94.128927597945406</v>
      </c>
      <c r="AJ5379">
        <v>103.057629149359</v>
      </c>
      <c r="AK5379">
        <v>15.4499392969028</v>
      </c>
      <c r="AL5379">
        <v>77.930384158036901</v>
      </c>
      <c r="AM5379">
        <v>96.147517754710805</v>
      </c>
      <c r="AN5379">
        <v>0.99999994507529799</v>
      </c>
    </row>
    <row r="5380" spans="1:40" x14ac:dyDescent="0.25">
      <c r="A5380" t="str">
        <f>"20190312172816558"</f>
        <v>20190312172816558</v>
      </c>
      <c r="B5380" t="str">
        <f>"1552382896555459"</f>
        <v>1552382896555459</v>
      </c>
      <c r="C5380" t="s">
        <v>40</v>
      </c>
      <c r="D5380">
        <v>3.2740670000000001</v>
      </c>
      <c r="E5380">
        <v>0.46509699999999998</v>
      </c>
      <c r="F5380" t="s">
        <v>41</v>
      </c>
      <c r="G5380">
        <v>-270.02730000000003</v>
      </c>
      <c r="H5380" s="1">
        <v>5.2659459999999996E-7</v>
      </c>
      <c r="I5380">
        <v>-61.766199999999998</v>
      </c>
      <c r="J5380">
        <v>-285.26280000000003</v>
      </c>
      <c r="K5380">
        <v>1.1123670000000001</v>
      </c>
      <c r="L5380">
        <v>-60.531950000000002</v>
      </c>
      <c r="M5380">
        <v>0.95929589999999998</v>
      </c>
      <c r="N5380">
        <v>0</v>
      </c>
      <c r="O5380">
        <v>-0.28204759999999901</v>
      </c>
      <c r="P5380">
        <v>0.96463960000000004</v>
      </c>
      <c r="Q5380">
        <v>0.19586709999999999</v>
      </c>
      <c r="R5380">
        <v>-0.17637079999999999</v>
      </c>
      <c r="S5380">
        <v>3.1094059999999999</v>
      </c>
      <c r="T5380">
        <v>-0.22484309999999999</v>
      </c>
      <c r="U5380">
        <v>-0.25741579999999997</v>
      </c>
      <c r="V5380">
        <v>-0.1038147</v>
      </c>
      <c r="W5380">
        <v>0.20921239999999999</v>
      </c>
      <c r="X5380">
        <v>0.97234390000000004</v>
      </c>
      <c r="Y5380">
        <v>-0.20073089999999999</v>
      </c>
      <c r="Z5380">
        <v>2.730175E-2</v>
      </c>
      <c r="AA5380">
        <v>0.97926590000000002</v>
      </c>
      <c r="AB5380">
        <v>17</v>
      </c>
      <c r="AC5380">
        <v>15.2355</v>
      </c>
      <c r="AD5380">
        <v>-1.1123664734054</v>
      </c>
      <c r="AE5380">
        <v>-1.2342499999999901</v>
      </c>
      <c r="AF5380">
        <v>-3.0970357706201699</v>
      </c>
      <c r="AG5380">
        <v>-1.1123664734054</v>
      </c>
      <c r="AH5380">
        <v>14.8861346685622</v>
      </c>
      <c r="AI5380">
        <v>94.184217660180096</v>
      </c>
      <c r="AJ5380">
        <v>101.75263897037701</v>
      </c>
      <c r="AK5380">
        <v>15.2455237727743</v>
      </c>
      <c r="AL5380">
        <v>77.9237990024032</v>
      </c>
      <c r="AM5380">
        <v>96.094238831179496</v>
      </c>
      <c r="AN5380">
        <v>0.99999999005853002</v>
      </c>
    </row>
    <row r="5381" spans="1:40" x14ac:dyDescent="0.25">
      <c r="A5381" t="str">
        <f>"20190312172816579"</f>
        <v>20190312172816579</v>
      </c>
      <c r="B5381" t="str">
        <f>"1552382896574983"</f>
        <v>1552382896574983</v>
      </c>
      <c r="C5381" t="s">
        <v>40</v>
      </c>
      <c r="D5381">
        <v>3.2782900000000001</v>
      </c>
      <c r="E5381">
        <v>0.46558739999999998</v>
      </c>
      <c r="F5381" t="s">
        <v>41</v>
      </c>
      <c r="G5381">
        <v>-270.05720000000002</v>
      </c>
      <c r="H5381" s="1">
        <v>5.1316410000000002E-7</v>
      </c>
      <c r="I5381">
        <v>-61.768770000000004</v>
      </c>
      <c r="J5381">
        <v>-285.10610000000003</v>
      </c>
      <c r="K5381">
        <v>1.1123099999999999</v>
      </c>
      <c r="L5381">
        <v>-60.572940000000003</v>
      </c>
      <c r="M5381">
        <v>0.96042939999999999</v>
      </c>
      <c r="N5381">
        <v>0</v>
      </c>
      <c r="O5381">
        <v>-0.27816400000000002</v>
      </c>
      <c r="P5381">
        <v>0.96530070000000001</v>
      </c>
      <c r="Q5381">
        <v>0.19503970000000001</v>
      </c>
      <c r="R5381">
        <v>-0.17365079999999999</v>
      </c>
      <c r="S5381">
        <v>3.1099239999999999</v>
      </c>
      <c r="T5381">
        <v>-0.22750690000000001</v>
      </c>
      <c r="U5381">
        <v>-0.25296020000000002</v>
      </c>
      <c r="V5381">
        <v>-0.102641899999999</v>
      </c>
      <c r="W5381">
        <v>0.20839170000000001</v>
      </c>
      <c r="X5381">
        <v>0.97264459999999997</v>
      </c>
      <c r="Y5381">
        <v>-0.1981618</v>
      </c>
      <c r="Z5381">
        <v>2.7255939999999999E-2</v>
      </c>
      <c r="AA5381">
        <v>0.9797903</v>
      </c>
      <c r="AB5381">
        <v>17</v>
      </c>
      <c r="AC5381">
        <v>15.0489</v>
      </c>
      <c r="AD5381">
        <v>-1.1123094868359</v>
      </c>
      <c r="AE5381">
        <v>-1.19582999999999</v>
      </c>
      <c r="AF5381">
        <v>-3.0214529445120899</v>
      </c>
      <c r="AG5381">
        <v>-1.1123094868359</v>
      </c>
      <c r="AH5381">
        <v>14.707677019145899</v>
      </c>
      <c r="AI5381">
        <v>94.236775442523694</v>
      </c>
      <c r="AJ5381">
        <v>101.608972827937</v>
      </c>
      <c r="AK5381">
        <v>15.0559680389511</v>
      </c>
      <c r="AL5381">
        <v>77.971881476587299</v>
      </c>
      <c r="AM5381">
        <v>96.024052072642107</v>
      </c>
      <c r="AN5381">
        <v>0.99999998908682897</v>
      </c>
    </row>
    <row r="5382" spans="1:40" x14ac:dyDescent="0.25">
      <c r="A5382" t="str">
        <f>"20190312172816591"</f>
        <v>20190312172816591</v>
      </c>
      <c r="B5382" t="str">
        <f>"1552382896584740"</f>
        <v>1552382896584740</v>
      </c>
      <c r="C5382" t="s">
        <v>40</v>
      </c>
      <c r="D5382">
        <v>3.3319839999999998</v>
      </c>
      <c r="E5382">
        <v>0.46562730000000002</v>
      </c>
      <c r="F5382" t="s">
        <v>41</v>
      </c>
      <c r="G5382">
        <v>-270.37419999999997</v>
      </c>
      <c r="H5382" s="1">
        <v>3.8270200000000001E-7</v>
      </c>
      <c r="I5382">
        <v>-61.743870000000001</v>
      </c>
      <c r="J5382">
        <v>-285.0222</v>
      </c>
      <c r="K5382">
        <v>1.112282</v>
      </c>
      <c r="L5382">
        <v>-60.594670000000001</v>
      </c>
      <c r="M5382">
        <v>0.96102259999999995</v>
      </c>
      <c r="N5382">
        <v>0</v>
      </c>
      <c r="O5382">
        <v>-0.27610810000000002</v>
      </c>
      <c r="P5382">
        <v>0.96574000000000004</v>
      </c>
      <c r="Q5382">
        <v>0.19427530000000001</v>
      </c>
      <c r="R5382">
        <v>-0.17205680000000001</v>
      </c>
      <c r="S5382">
        <v>3.110779</v>
      </c>
      <c r="T5382">
        <v>-0.23487530000000001</v>
      </c>
      <c r="U5382">
        <v>-0.24725340000000001</v>
      </c>
      <c r="V5382">
        <v>-0.10219549999999999</v>
      </c>
      <c r="W5382">
        <v>0.20763010000000001</v>
      </c>
      <c r="X5382">
        <v>0.97285449999999996</v>
      </c>
      <c r="Y5382">
        <v>-0.19779759999999999</v>
      </c>
      <c r="Z5382">
        <v>2.7969049999999999E-2</v>
      </c>
      <c r="AA5382">
        <v>0.97984380000000004</v>
      </c>
      <c r="AB5382">
        <v>17</v>
      </c>
      <c r="AC5382">
        <v>14.648</v>
      </c>
      <c r="AD5382">
        <v>-1.1122816172979999</v>
      </c>
      <c r="AE5382">
        <v>-1.1492</v>
      </c>
      <c r="AF5382">
        <v>-2.9235640677092301</v>
      </c>
      <c r="AG5382">
        <v>-1.1122816172979999</v>
      </c>
      <c r="AH5382">
        <v>14.3137732689879</v>
      </c>
      <c r="AI5382">
        <v>94.353827969877798</v>
      </c>
      <c r="AJ5382">
        <v>101.54378867960899</v>
      </c>
      <c r="AK5382">
        <v>14.651569965371401</v>
      </c>
      <c r="AL5382">
        <v>78.016494248877606</v>
      </c>
      <c r="AM5382">
        <v>95.996759579314698</v>
      </c>
      <c r="AN5382">
        <v>1.00000002840825</v>
      </c>
    </row>
    <row r="5383" spans="1:40" x14ac:dyDescent="0.25">
      <c r="A5383" t="str">
        <f>"20190312172816602"</f>
        <v>20190312172816602</v>
      </c>
      <c r="B5383" t="str">
        <f>"1552382896595475"</f>
        <v>1552382896595475</v>
      </c>
      <c r="C5383" t="s">
        <v>40</v>
      </c>
      <c r="D5383">
        <v>3.2741120000000001</v>
      </c>
      <c r="E5383">
        <v>0.46589409999999998</v>
      </c>
      <c r="F5383" t="s">
        <v>41</v>
      </c>
      <c r="G5383">
        <v>-270.62090000000001</v>
      </c>
      <c r="H5383" s="1">
        <v>2.8345940000000002E-7</v>
      </c>
      <c r="I5383">
        <v>-61.714280000000002</v>
      </c>
      <c r="J5383">
        <v>-284.94400000000002</v>
      </c>
      <c r="K5383">
        <v>1.112252</v>
      </c>
      <c r="L5383">
        <v>-60.614750000000001</v>
      </c>
      <c r="M5383">
        <v>0.96156549999999996</v>
      </c>
      <c r="N5383">
        <v>0</v>
      </c>
      <c r="O5383">
        <v>-0.27421079999999998</v>
      </c>
      <c r="P5383">
        <v>0.96615830000000003</v>
      </c>
      <c r="Q5383">
        <v>0.1934785</v>
      </c>
      <c r="R5383">
        <v>-0.1705991</v>
      </c>
      <c r="S5383">
        <v>3.1116640000000002</v>
      </c>
      <c r="T5383">
        <v>-0.2403294</v>
      </c>
      <c r="U5383">
        <v>-0.24191280000000001</v>
      </c>
      <c r="V5383">
        <v>-0.10177650000000001</v>
      </c>
      <c r="W5383">
        <v>0.20683560000000001</v>
      </c>
      <c r="X5383">
        <v>0.97306760000000003</v>
      </c>
      <c r="Y5383">
        <v>-0.1975016</v>
      </c>
      <c r="Z5383">
        <v>2.8459399999999999E-2</v>
      </c>
      <c r="AA5383">
        <v>0.97988940000000002</v>
      </c>
      <c r="AB5383">
        <v>17</v>
      </c>
      <c r="AC5383">
        <v>14.3231</v>
      </c>
      <c r="AD5383">
        <v>-1.1122517165406001</v>
      </c>
      <c r="AE5383">
        <v>-1.0995299999999999</v>
      </c>
      <c r="AF5383">
        <v>-2.8534598488890999</v>
      </c>
      <c r="AG5383">
        <v>-1.1122517165406001</v>
      </c>
      <c r="AH5383">
        <v>13.991632903371301</v>
      </c>
      <c r="AI5383">
        <v>94.453819118600407</v>
      </c>
      <c r="AJ5383">
        <v>101.526854463738</v>
      </c>
      <c r="AK5383">
        <v>14.322888266438101</v>
      </c>
      <c r="AL5383">
        <v>78.063025378473398</v>
      </c>
      <c r="AM5383">
        <v>95.971052543164305</v>
      </c>
      <c r="AN5383">
        <v>0.99999998777468502</v>
      </c>
    </row>
    <row r="5384" spans="1:40" x14ac:dyDescent="0.25">
      <c r="A5384" t="str">
        <f>"20190312172816614"</f>
        <v>20190312172816614</v>
      </c>
      <c r="B5384" t="str">
        <f>"1552382896605236"</f>
        <v>1552382896605236</v>
      </c>
      <c r="C5384" t="s">
        <v>40</v>
      </c>
      <c r="D5384">
        <v>3.3158349999999999</v>
      </c>
      <c r="E5384">
        <v>0.46617249999999999</v>
      </c>
      <c r="F5384" t="s">
        <v>41</v>
      </c>
      <c r="G5384">
        <v>-270.74869999999999</v>
      </c>
      <c r="H5384" s="1">
        <v>2.3097229999999999E-7</v>
      </c>
      <c r="I5384">
        <v>-61.703690000000002</v>
      </c>
      <c r="J5384">
        <v>-284.85930000000002</v>
      </c>
      <c r="K5384">
        <v>1.1122259999999999</v>
      </c>
      <c r="L5384">
        <v>-60.636290000000002</v>
      </c>
      <c r="M5384">
        <v>0.96214560000000005</v>
      </c>
      <c r="N5384">
        <v>0</v>
      </c>
      <c r="O5384">
        <v>-0.27216889999999999</v>
      </c>
      <c r="P5384">
        <v>0.9665707</v>
      </c>
      <c r="Q5384">
        <v>0.19261220000000001</v>
      </c>
      <c r="R5384">
        <v>-0.16923869999999999</v>
      </c>
      <c r="S5384">
        <v>3.111755</v>
      </c>
      <c r="T5384">
        <v>-0.24381800000000001</v>
      </c>
      <c r="U5384">
        <v>-0.23870849999999999</v>
      </c>
      <c r="V5384">
        <v>-0.1011155</v>
      </c>
      <c r="W5384">
        <v>0.2059734</v>
      </c>
      <c r="X5384">
        <v>0.97331939999999995</v>
      </c>
      <c r="Y5384">
        <v>-0.19639519999999999</v>
      </c>
      <c r="Z5384">
        <v>2.867515E-2</v>
      </c>
      <c r="AA5384">
        <v>0.98010549999999996</v>
      </c>
      <c r="AB5384">
        <v>17</v>
      </c>
      <c r="AC5384">
        <v>14.1106</v>
      </c>
      <c r="AD5384">
        <v>-1.1122257690277</v>
      </c>
      <c r="AE5384">
        <v>-1.0673999999999899</v>
      </c>
      <c r="AF5384">
        <v>-2.79647815492357</v>
      </c>
      <c r="AG5384">
        <v>-1.1122257690277</v>
      </c>
      <c r="AH5384">
        <v>13.783204675155</v>
      </c>
      <c r="AI5384">
        <v>94.521710774185294</v>
      </c>
      <c r="AJ5384">
        <v>101.469074788745</v>
      </c>
      <c r="AK5384">
        <v>14.107943413179299</v>
      </c>
      <c r="AL5384">
        <v>78.113513353998997</v>
      </c>
      <c r="AM5384">
        <v>95.931026458169995</v>
      </c>
      <c r="AN5384">
        <v>1.00000002013208</v>
      </c>
    </row>
    <row r="5385" spans="1:40" x14ac:dyDescent="0.25">
      <c r="A5385" t="str">
        <f>"20190312172816624"</f>
        <v>20190312172816624</v>
      </c>
      <c r="B5385" t="str">
        <f>"1552382896614996"</f>
        <v>1552382896614996</v>
      </c>
      <c r="C5385" t="s">
        <v>40</v>
      </c>
      <c r="D5385">
        <v>3.2809029999999999</v>
      </c>
      <c r="E5385">
        <v>0.46638580000000002</v>
      </c>
      <c r="F5385" t="s">
        <v>41</v>
      </c>
      <c r="G5385">
        <v>-270.86739999999998</v>
      </c>
      <c r="H5385" s="1">
        <v>1.817368E-7</v>
      </c>
      <c r="I5385">
        <v>-61.696179999999998</v>
      </c>
      <c r="J5385">
        <v>-284.77539999999999</v>
      </c>
      <c r="K5385">
        <v>1.1122019999999999</v>
      </c>
      <c r="L5385">
        <v>-60.657530000000001</v>
      </c>
      <c r="M5385">
        <v>0.96271289999999998</v>
      </c>
      <c r="N5385">
        <v>0</v>
      </c>
      <c r="O5385">
        <v>-0.2701559</v>
      </c>
      <c r="P5385">
        <v>0.96705129999999995</v>
      </c>
      <c r="Q5385">
        <v>0.19170290000000001</v>
      </c>
      <c r="R5385">
        <v>-0.16751769999999999</v>
      </c>
      <c r="S5385">
        <v>3.1117859999999999</v>
      </c>
      <c r="T5385">
        <v>-0.24735750000000001</v>
      </c>
      <c r="U5385">
        <v>-0.23571780000000001</v>
      </c>
      <c r="V5385">
        <v>-0.1008511</v>
      </c>
      <c r="W5385">
        <v>0.20506530000000001</v>
      </c>
      <c r="X5385">
        <v>0.97353849999999997</v>
      </c>
      <c r="Y5385">
        <v>-0.19525020000000001</v>
      </c>
      <c r="Z5385">
        <v>2.889216E-2</v>
      </c>
      <c r="AA5385">
        <v>0.98032779999999997</v>
      </c>
      <c r="AB5385">
        <v>17</v>
      </c>
      <c r="AC5385">
        <v>13.907999999999999</v>
      </c>
      <c r="AD5385">
        <v>-1.1122018182631901</v>
      </c>
      <c r="AE5385">
        <v>-1.0386500000000001</v>
      </c>
      <c r="AF5385">
        <v>-2.7402551870114999</v>
      </c>
      <c r="AG5385">
        <v>-1.1122018182631901</v>
      </c>
      <c r="AH5385">
        <v>13.5849797560225</v>
      </c>
      <c r="AI5385">
        <v>94.588357240747897</v>
      </c>
      <c r="AJ5385">
        <v>101.404226108752</v>
      </c>
      <c r="AK5385">
        <v>13.9031531080555</v>
      </c>
      <c r="AL5385">
        <v>78.166677921303702</v>
      </c>
      <c r="AM5385">
        <v>95.914306039995495</v>
      </c>
      <c r="AN5385">
        <v>0.99999996630877397</v>
      </c>
    </row>
    <row r="5386" spans="1:40" x14ac:dyDescent="0.25">
      <c r="A5386" t="str">
        <f>"20190312172816636"</f>
        <v>20190312172816636</v>
      </c>
      <c r="B5386" t="str">
        <f>"1552382896624756"</f>
        <v>1552382896624756</v>
      </c>
      <c r="C5386" t="s">
        <v>40</v>
      </c>
      <c r="D5386">
        <v>3.3436210000000002</v>
      </c>
      <c r="E5386">
        <v>0.46649629999999997</v>
      </c>
      <c r="F5386" t="s">
        <v>41</v>
      </c>
      <c r="G5386">
        <v>-270.98649999999998</v>
      </c>
      <c r="H5386" s="1">
        <v>1.3368010000000001E-7</v>
      </c>
      <c r="I5386">
        <v>-61.682540000000003</v>
      </c>
      <c r="J5386">
        <v>-284.69889999999998</v>
      </c>
      <c r="K5386">
        <v>1.1121780000000001</v>
      </c>
      <c r="L5386">
        <v>-60.676699999999997</v>
      </c>
      <c r="M5386">
        <v>0.96322260000000004</v>
      </c>
      <c r="N5386">
        <v>0</v>
      </c>
      <c r="O5386">
        <v>-0.2683334</v>
      </c>
      <c r="P5386">
        <v>0.96745510000000001</v>
      </c>
      <c r="Q5386">
        <v>0.19102910000000001</v>
      </c>
      <c r="R5386">
        <v>-0.16594779999999901</v>
      </c>
      <c r="S5386">
        <v>3.1118769999999998</v>
      </c>
      <c r="T5386">
        <v>-0.25100139999999999</v>
      </c>
      <c r="U5386">
        <v>-0.23132320000000001</v>
      </c>
      <c r="V5386">
        <v>-0.1006167</v>
      </c>
      <c r="W5386">
        <v>0.2043923</v>
      </c>
      <c r="X5386">
        <v>0.97370429999999997</v>
      </c>
      <c r="Y5386">
        <v>-0.19473779999999999</v>
      </c>
      <c r="Z5386">
        <v>2.915591E-2</v>
      </c>
      <c r="AA5386">
        <v>0.98042189999999996</v>
      </c>
      <c r="AB5386">
        <v>17</v>
      </c>
      <c r="AC5386">
        <v>13.712400000000001</v>
      </c>
      <c r="AD5386">
        <v>-1.11217786631989</v>
      </c>
      <c r="AE5386">
        <v>-1.0058400000000001</v>
      </c>
      <c r="AF5386">
        <v>-2.6932945989181598</v>
      </c>
      <c r="AG5386">
        <v>-1.11217786631989</v>
      </c>
      <c r="AH5386">
        <v>13.391713236970901</v>
      </c>
      <c r="AI5386">
        <v>94.654721086401594</v>
      </c>
      <c r="AJ5386">
        <v>101.37142999750201</v>
      </c>
      <c r="AK5386">
        <v>13.705063255022001</v>
      </c>
      <c r="AL5386">
        <v>78.206072790012598</v>
      </c>
      <c r="AM5386">
        <v>95.899659338944602</v>
      </c>
      <c r="AN5386">
        <v>0.99999999822833396</v>
      </c>
    </row>
    <row r="5387" spans="1:40" x14ac:dyDescent="0.25">
      <c r="A5387" t="str">
        <f>"20190312172816647"</f>
        <v>20190312172816647</v>
      </c>
      <c r="B5387" t="str">
        <f>"1552382896635491"</f>
        <v>1552382896635491</v>
      </c>
      <c r="C5387" t="s">
        <v>40</v>
      </c>
      <c r="D5387">
        <v>3.2956120000000002</v>
      </c>
      <c r="E5387">
        <v>0.4666111</v>
      </c>
      <c r="F5387" t="s">
        <v>41</v>
      </c>
      <c r="G5387">
        <v>-271.01749999999998</v>
      </c>
      <c r="H5387" s="1">
        <v>1.227863E-7</v>
      </c>
      <c r="I5387">
        <v>-61.671639999999996</v>
      </c>
      <c r="J5387">
        <v>-284.61779999999999</v>
      </c>
      <c r="K5387">
        <v>1.1121589999999999</v>
      </c>
      <c r="L5387">
        <v>-60.696930000000002</v>
      </c>
      <c r="M5387">
        <v>0.96375730000000004</v>
      </c>
      <c r="N5387">
        <v>0</v>
      </c>
      <c r="O5387">
        <v>-0.26640659999999999</v>
      </c>
      <c r="P5387">
        <v>0.96784680000000001</v>
      </c>
      <c r="Q5387">
        <v>0.19044440000000001</v>
      </c>
      <c r="R5387">
        <v>-0.16432720000000001</v>
      </c>
      <c r="S5387">
        <v>3.1120610000000002</v>
      </c>
      <c r="T5387">
        <v>-0.2529845</v>
      </c>
      <c r="U5387">
        <v>-0.2263184</v>
      </c>
      <c r="V5387">
        <v>-0.1003232</v>
      </c>
      <c r="W5387">
        <v>0.2038083</v>
      </c>
      <c r="X5387">
        <v>0.97385699999999997</v>
      </c>
      <c r="Y5387">
        <v>-0.19433310000000001</v>
      </c>
      <c r="Z5387">
        <v>2.92193E-2</v>
      </c>
      <c r="AA5387">
        <v>0.98050029999999999</v>
      </c>
      <c r="AB5387">
        <v>17</v>
      </c>
      <c r="AC5387">
        <v>13.600300000000001</v>
      </c>
      <c r="AD5387">
        <v>-1.1121588772136899</v>
      </c>
      <c r="AE5387">
        <v>-0.97471000000000096</v>
      </c>
      <c r="AF5387">
        <v>-2.6663543899198801</v>
      </c>
      <c r="AG5387">
        <v>-1.1121588772136899</v>
      </c>
      <c r="AH5387">
        <v>13.280039492778499</v>
      </c>
      <c r="AI5387">
        <v>94.693913880177405</v>
      </c>
      <c r="AJ5387">
        <v>101.35284834003301</v>
      </c>
      <c r="AK5387">
        <v>13.590650905330699</v>
      </c>
      <c r="AL5387">
        <v>78.240253184928605</v>
      </c>
      <c r="AM5387">
        <v>95.881654911235401</v>
      </c>
      <c r="AN5387">
        <v>1.0000000120280601</v>
      </c>
    </row>
    <row r="5388" spans="1:40" x14ac:dyDescent="0.25">
      <c r="A5388" t="str">
        <f>"20190312172816657"</f>
        <v>20190312172816657</v>
      </c>
      <c r="B5388" t="str">
        <f>"1552382896655012"</f>
        <v>1552382896655012</v>
      </c>
      <c r="C5388" t="s">
        <v>40</v>
      </c>
      <c r="D5388">
        <v>3.3032940000000002</v>
      </c>
      <c r="E5388">
        <v>0.46679789999999999</v>
      </c>
      <c r="F5388" t="s">
        <v>41</v>
      </c>
      <c r="G5388">
        <v>-271.0444</v>
      </c>
      <c r="H5388" s="1">
        <v>1.130969E-7</v>
      </c>
      <c r="I5388">
        <v>-61.66348</v>
      </c>
      <c r="J5388">
        <v>-284.54410000000001</v>
      </c>
      <c r="K5388">
        <v>1.1121490000000001</v>
      </c>
      <c r="L5388">
        <v>-60.715089999999996</v>
      </c>
      <c r="M5388">
        <v>0.96423669999999995</v>
      </c>
      <c r="N5388">
        <v>0</v>
      </c>
      <c r="O5388">
        <v>-0.26466620000000002</v>
      </c>
      <c r="P5388">
        <v>0.96815359999999995</v>
      </c>
      <c r="Q5388">
        <v>0.1899651</v>
      </c>
      <c r="R5388">
        <v>-0.16307049999999901</v>
      </c>
      <c r="S5388">
        <v>3.112244</v>
      </c>
      <c r="T5388">
        <v>-0.25500630000000002</v>
      </c>
      <c r="U5388">
        <v>-0.2216187</v>
      </c>
      <c r="V5388">
        <v>-9.9848549999999994E-2</v>
      </c>
      <c r="W5388">
        <v>0.2033307</v>
      </c>
      <c r="X5388">
        <v>0.97400560000000003</v>
      </c>
      <c r="Y5388">
        <v>-0.19402240000000001</v>
      </c>
      <c r="Z5388">
        <v>2.9302760000000001E-2</v>
      </c>
      <c r="AA5388">
        <v>0.98055930000000002</v>
      </c>
      <c r="AB5388">
        <v>17</v>
      </c>
      <c r="AC5388">
        <v>13.499700000000001</v>
      </c>
      <c r="AD5388">
        <v>-1.1121488869031</v>
      </c>
      <c r="AE5388">
        <v>-0.94839000000000295</v>
      </c>
      <c r="AF5388">
        <v>-2.6408713692614501</v>
      </c>
      <c r="AG5388">
        <v>-1.1121488869031</v>
      </c>
      <c r="AH5388">
        <v>13.1802211037107</v>
      </c>
      <c r="AI5388">
        <v>94.729634368547806</v>
      </c>
      <c r="AJ5388">
        <v>101.330108083067</v>
      </c>
      <c r="AK5388">
        <v>13.488117180627</v>
      </c>
      <c r="AL5388">
        <v>78.2682028504437</v>
      </c>
      <c r="AM5388">
        <v>95.853134363597803</v>
      </c>
      <c r="AN5388">
        <v>1.00000000766547</v>
      </c>
    </row>
    <row r="5389" spans="1:40" x14ac:dyDescent="0.25">
      <c r="A5389" t="str">
        <f>"20190312172816681"</f>
        <v>20190312172816681</v>
      </c>
      <c r="B5389" t="str">
        <f>"1552382896675507"</f>
        <v>1552382896675507</v>
      </c>
      <c r="C5389" t="s">
        <v>40</v>
      </c>
      <c r="D5389">
        <v>3.3826670000000001</v>
      </c>
      <c r="E5389">
        <v>0.46688780000000002</v>
      </c>
      <c r="F5389" t="s">
        <v>41</v>
      </c>
      <c r="G5389">
        <v>-271.05599999999998</v>
      </c>
      <c r="H5389" s="1">
        <v>1.084656E-7</v>
      </c>
      <c r="I5389">
        <v>-61.661810000000003</v>
      </c>
      <c r="J5389">
        <v>-284.37279999999998</v>
      </c>
      <c r="K5389">
        <v>1.112136</v>
      </c>
      <c r="L5389">
        <v>-60.756900000000002</v>
      </c>
      <c r="M5389">
        <v>0.96533389999999997</v>
      </c>
      <c r="N5389">
        <v>0</v>
      </c>
      <c r="O5389">
        <v>-0.26063639999999999</v>
      </c>
      <c r="P5389">
        <v>0.96850400000000003</v>
      </c>
      <c r="Q5389">
        <v>0.1906939</v>
      </c>
      <c r="R5389">
        <v>-0.16011339999999999</v>
      </c>
      <c r="S5389">
        <v>3.1122130000000001</v>
      </c>
      <c r="T5389">
        <v>-0.25661539999999999</v>
      </c>
      <c r="U5389">
        <v>-0.21844479999999999</v>
      </c>
      <c r="V5389">
        <v>-9.8711599999999997E-2</v>
      </c>
      <c r="W5389">
        <v>0.2040575</v>
      </c>
      <c r="X5389">
        <v>0.97396950000000004</v>
      </c>
      <c r="Y5389">
        <v>-0.19092339999999999</v>
      </c>
      <c r="Z5389">
        <v>2.9041000000000001E-2</v>
      </c>
      <c r="AA5389">
        <v>0.98117520000000003</v>
      </c>
      <c r="AB5389">
        <v>17</v>
      </c>
      <c r="AC5389">
        <v>13.316800000000001</v>
      </c>
      <c r="AD5389">
        <v>-1.11213589153439</v>
      </c>
      <c r="AE5389">
        <v>-0.904909999999994</v>
      </c>
      <c r="AF5389">
        <v>-2.57965194391016</v>
      </c>
      <c r="AG5389">
        <v>-1.11213589153439</v>
      </c>
      <c r="AH5389">
        <v>13.0020479804387</v>
      </c>
      <c r="AI5389">
        <v>94.795887237152499</v>
      </c>
      <c r="AJ5389">
        <v>101.221951498233</v>
      </c>
      <c r="AK5389">
        <v>13.302056310157001</v>
      </c>
      <c r="AL5389">
        <v>78.225668616157193</v>
      </c>
      <c r="AM5389">
        <v>95.787154164877293</v>
      </c>
      <c r="AN5389">
        <v>1.0000000151055299</v>
      </c>
    </row>
    <row r="5390" spans="1:40" x14ac:dyDescent="0.25">
      <c r="A5390" t="str">
        <f>"20190312172816692"</f>
        <v>20190312172816692</v>
      </c>
      <c r="B5390" t="str">
        <f>"1552382896685267"</f>
        <v>1552382896685267</v>
      </c>
      <c r="C5390" t="s">
        <v>40</v>
      </c>
      <c r="D5390">
        <v>3.3025720000000001</v>
      </c>
      <c r="E5390">
        <v>0.46685929999999998</v>
      </c>
      <c r="F5390" t="s">
        <v>41</v>
      </c>
      <c r="G5390">
        <v>-270.77429999999998</v>
      </c>
      <c r="H5390" s="1">
        <v>2.278475E-7</v>
      </c>
      <c r="I5390">
        <v>-61.668410000000002</v>
      </c>
      <c r="J5390">
        <v>-284.2919</v>
      </c>
      <c r="K5390">
        <v>1.112139</v>
      </c>
      <c r="L5390">
        <v>-60.776400000000002</v>
      </c>
      <c r="M5390">
        <v>0.96584329999999996</v>
      </c>
      <c r="N5390">
        <v>0</v>
      </c>
      <c r="O5390">
        <v>-0.2587429</v>
      </c>
      <c r="P5390">
        <v>0.9685802</v>
      </c>
      <c r="Q5390">
        <v>0.19150690000000001</v>
      </c>
      <c r="R5390">
        <v>-0.15867500000000001</v>
      </c>
      <c r="S5390">
        <v>3.1131899999999999</v>
      </c>
      <c r="T5390">
        <v>-0.25460929999999998</v>
      </c>
      <c r="U5390">
        <v>-0.20867920000000001</v>
      </c>
      <c r="V5390">
        <v>-9.820603E-2</v>
      </c>
      <c r="W5390">
        <v>0.2048683</v>
      </c>
      <c r="X5390">
        <v>0.9738504</v>
      </c>
      <c r="Y5390">
        <v>-0.19210949999999999</v>
      </c>
      <c r="Z5390">
        <v>2.8709709999999999E-2</v>
      </c>
      <c r="AA5390">
        <v>0.98095350000000003</v>
      </c>
      <c r="AB5390">
        <v>17</v>
      </c>
      <c r="AC5390">
        <v>13.5176</v>
      </c>
      <c r="AD5390">
        <v>-1.1121387721525</v>
      </c>
      <c r="AE5390">
        <v>-0.89200999999999198</v>
      </c>
      <c r="AF5390">
        <v>-2.6186546578906298</v>
      </c>
      <c r="AG5390">
        <v>-1.1121387721525</v>
      </c>
      <c r="AH5390">
        <v>13.1990499197183</v>
      </c>
      <c r="AI5390">
        <v>94.724650717726206</v>
      </c>
      <c r="AJ5390">
        <v>101.221604171618</v>
      </c>
      <c r="AK5390">
        <v>13.5021895872126</v>
      </c>
      <c r="AL5390">
        <v>78.178210710709095</v>
      </c>
      <c r="AM5390">
        <v>95.758413242958298</v>
      </c>
      <c r="AN5390">
        <v>1.0000000231267001</v>
      </c>
    </row>
    <row r="5391" spans="1:40" x14ac:dyDescent="0.25">
      <c r="A5391" t="str">
        <f>"20190312172816702"</f>
        <v>20190312172816702</v>
      </c>
      <c r="B5391" t="str">
        <f>"1552382896694666"</f>
        <v>1552382896694666</v>
      </c>
      <c r="C5391" t="s">
        <v>40</v>
      </c>
      <c r="D5391">
        <v>3.3047270000000002</v>
      </c>
      <c r="E5391">
        <v>0.46685929999999998</v>
      </c>
      <c r="F5391" t="s">
        <v>41</v>
      </c>
      <c r="G5391">
        <v>-270.4873</v>
      </c>
      <c r="H5391" s="1">
        <v>3.4862520000000002E-7</v>
      </c>
      <c r="I5391">
        <v>-61.679029999999997</v>
      </c>
      <c r="J5391">
        <v>-284.2124</v>
      </c>
      <c r="K5391">
        <v>1.1121399999999999</v>
      </c>
      <c r="L5391">
        <v>-60.795409999999997</v>
      </c>
      <c r="M5391">
        <v>0.96633919999999995</v>
      </c>
      <c r="N5391">
        <v>0</v>
      </c>
      <c r="O5391">
        <v>-0.25688420000000001</v>
      </c>
      <c r="P5391">
        <v>0.96849200000000002</v>
      </c>
      <c r="Q5391">
        <v>0.19293560000000001</v>
      </c>
      <c r="R5391">
        <v>-0.1574777</v>
      </c>
      <c r="S5391">
        <v>3.113556</v>
      </c>
      <c r="T5391">
        <v>-0.25083650000000002</v>
      </c>
      <c r="U5391">
        <v>-0.20358280000000001</v>
      </c>
      <c r="V5391">
        <v>-9.7466159999999996E-2</v>
      </c>
      <c r="W5391">
        <v>0.2062939</v>
      </c>
      <c r="X5391">
        <v>0.97362380000000004</v>
      </c>
      <c r="Y5391">
        <v>-0.19187799999999999</v>
      </c>
      <c r="Z5391">
        <v>2.8130869999999999E-2</v>
      </c>
      <c r="AA5391">
        <v>0.98101559999999999</v>
      </c>
      <c r="AB5391">
        <v>17</v>
      </c>
      <c r="AC5391">
        <v>13.7250999999999</v>
      </c>
      <c r="AD5391">
        <v>-1.1121396513748001</v>
      </c>
      <c r="AE5391">
        <v>-0.88362000000000696</v>
      </c>
      <c r="AF5391">
        <v>-2.6547917777111101</v>
      </c>
      <c r="AG5391">
        <v>-1.1121396513748001</v>
      </c>
      <c r="AH5391">
        <v>13.4037896943475</v>
      </c>
      <c r="AI5391">
        <v>94.653101235568201</v>
      </c>
      <c r="AJ5391">
        <v>101.203167018538</v>
      </c>
      <c r="AK5391">
        <v>13.709352725692799</v>
      </c>
      <c r="AL5391">
        <v>78.094747567129403</v>
      </c>
      <c r="AM5391">
        <v>95.716639847751395</v>
      </c>
      <c r="AN5391">
        <v>1.0000000647243901</v>
      </c>
    </row>
    <row r="5392" spans="1:40" x14ac:dyDescent="0.25">
      <c r="A5392" t="str">
        <f>"20190312172816713"</f>
        <v>20190312172816713</v>
      </c>
      <c r="B5392" t="str">
        <f>"1552382896704695"</f>
        <v>1552382896704695</v>
      </c>
      <c r="C5392" t="s">
        <v>40</v>
      </c>
      <c r="D5392">
        <v>3.245797</v>
      </c>
      <c r="E5392">
        <v>0.46550200000000003</v>
      </c>
      <c r="F5392" t="s">
        <v>41</v>
      </c>
      <c r="G5392">
        <v>-270.1422</v>
      </c>
      <c r="H5392" s="1">
        <v>4.9277539999999999E-7</v>
      </c>
      <c r="I5392">
        <v>-61.69659</v>
      </c>
      <c r="J5392">
        <v>-284.13499999999999</v>
      </c>
      <c r="K5392">
        <v>1.1121449999999999</v>
      </c>
      <c r="L5392">
        <v>-60.813720000000004</v>
      </c>
      <c r="M5392">
        <v>0.9668177</v>
      </c>
      <c r="N5392">
        <v>0</v>
      </c>
      <c r="O5392">
        <v>-0.25507819999999998</v>
      </c>
      <c r="P5392">
        <v>0.96852479999999996</v>
      </c>
      <c r="Q5392">
        <v>0.19384000000000001</v>
      </c>
      <c r="R5392">
        <v>-0.15616050000000001</v>
      </c>
      <c r="S5392">
        <v>3.1142270000000001</v>
      </c>
      <c r="T5392">
        <v>-0.24615480000000001</v>
      </c>
      <c r="U5392">
        <v>-0.1994629</v>
      </c>
      <c r="V5392">
        <v>-9.692684E-2</v>
      </c>
      <c r="W5392">
        <v>0.2071953</v>
      </c>
      <c r="X5392">
        <v>0.97348619999999997</v>
      </c>
      <c r="Y5392">
        <v>-0.19141079999999999</v>
      </c>
      <c r="Z5392">
        <v>2.744707E-2</v>
      </c>
      <c r="AA5392">
        <v>0.98112619999999895</v>
      </c>
      <c r="AB5392">
        <v>17</v>
      </c>
      <c r="AC5392">
        <v>13.9927999999999</v>
      </c>
      <c r="AD5392">
        <v>-1.1121445072245999</v>
      </c>
      <c r="AE5392">
        <v>-0.88287000000000404</v>
      </c>
      <c r="AF5392">
        <v>-2.6989717736008298</v>
      </c>
      <c r="AG5392">
        <v>-1.1121445072245999</v>
      </c>
      <c r="AH5392">
        <v>13.669048412894499</v>
      </c>
      <c r="AI5392">
        <v>94.563737848921804</v>
      </c>
      <c r="AJ5392">
        <v>101.169452268535</v>
      </c>
      <c r="AK5392">
        <v>13.9772743606791</v>
      </c>
      <c r="AL5392">
        <v>78.041960427423007</v>
      </c>
      <c r="AM5392">
        <v>95.686013467620796</v>
      </c>
      <c r="AN5392">
        <v>1.0000000431224501</v>
      </c>
    </row>
    <row r="5393" spans="1:40" x14ac:dyDescent="0.25">
      <c r="A5393" t="str">
        <f>"20190312172816725"</f>
        <v>20190312172816725</v>
      </c>
      <c r="B5393" t="str">
        <f>"1552382896715431"</f>
        <v>1552382896715431</v>
      </c>
      <c r="C5393" t="s">
        <v>40</v>
      </c>
      <c r="D5393">
        <v>3.234572</v>
      </c>
      <c r="E5393">
        <v>0.46550200000000003</v>
      </c>
      <c r="F5393" t="s">
        <v>56</v>
      </c>
      <c r="G5393">
        <v>-269.52640000000002</v>
      </c>
      <c r="H5393" s="1">
        <v>-3.360007E-6</v>
      </c>
      <c r="I5393">
        <v>-61.678600000000003</v>
      </c>
      <c r="J5393">
        <v>-284.04790000000003</v>
      </c>
      <c r="K5393">
        <v>1.1121479999999999</v>
      </c>
      <c r="L5393">
        <v>-60.834200000000003</v>
      </c>
      <c r="M5393">
        <v>0.96735150000000003</v>
      </c>
      <c r="N5393">
        <v>0</v>
      </c>
      <c r="O5393">
        <v>-0.25304579999999999</v>
      </c>
      <c r="P5393">
        <v>0.96843279999999998</v>
      </c>
      <c r="Q5393">
        <v>0.19535330000000001</v>
      </c>
      <c r="R5393">
        <v>-0.15483939999999999</v>
      </c>
      <c r="S5393">
        <v>3.1152340000000001</v>
      </c>
      <c r="T5393">
        <v>-0.23716090000000001</v>
      </c>
      <c r="U5393">
        <v>-0.18444820000000001</v>
      </c>
      <c r="V5393">
        <v>-9.6135360000000003E-2</v>
      </c>
      <c r="W5393">
        <v>0.2087051</v>
      </c>
      <c r="X5393">
        <v>0.9732421</v>
      </c>
      <c r="Y5393">
        <v>-0.19417480000000001</v>
      </c>
      <c r="Z5393">
        <v>2.640064E-2</v>
      </c>
      <c r="AA5393">
        <v>0.98061160000000003</v>
      </c>
      <c r="AB5393">
        <v>17</v>
      </c>
      <c r="AC5393">
        <v>14.5215</v>
      </c>
      <c r="AD5393">
        <v>-1.1121513600070001</v>
      </c>
      <c r="AE5393">
        <v>-0.84440000000000004</v>
      </c>
      <c r="AF5393">
        <v>-2.8414468882266601</v>
      </c>
      <c r="AG5393">
        <v>-1.1121513600070001</v>
      </c>
      <c r="AH5393">
        <v>14.1795950390041</v>
      </c>
      <c r="AI5393">
        <v>94.397637736456403</v>
      </c>
      <c r="AJ5393">
        <v>101.331408381633</v>
      </c>
      <c r="AK5393">
        <v>14.504193067397001</v>
      </c>
      <c r="AL5393">
        <v>77.953521479029504</v>
      </c>
      <c r="AM5393">
        <v>95.641288906278902</v>
      </c>
      <c r="AN5393">
        <v>1.00000000571037</v>
      </c>
    </row>
    <row r="5394" spans="1:40" x14ac:dyDescent="0.25">
      <c r="A5394" t="str">
        <f>"20190312172816737"</f>
        <v>20190312172816737</v>
      </c>
      <c r="B5394" t="str">
        <f>"1552382896734951"</f>
        <v>1552382896734951</v>
      </c>
      <c r="C5394" t="s">
        <v>40</v>
      </c>
      <c r="D5394">
        <v>3.179497</v>
      </c>
      <c r="E5394">
        <v>0.44265979999999999</v>
      </c>
      <c r="F5394" t="s">
        <v>56</v>
      </c>
      <c r="G5394">
        <v>-269.11720000000003</v>
      </c>
      <c r="H5394" s="1">
        <v>-3.2236450000000001E-6</v>
      </c>
      <c r="I5394">
        <v>-61.694870000000002</v>
      </c>
      <c r="J5394">
        <v>-283.96249999999998</v>
      </c>
      <c r="K5394">
        <v>1.1121589999999999</v>
      </c>
      <c r="L5394">
        <v>-60.854059999999997</v>
      </c>
      <c r="M5394">
        <v>0.96787020000000001</v>
      </c>
      <c r="N5394">
        <v>0</v>
      </c>
      <c r="O5394">
        <v>-0.25105529999999998</v>
      </c>
      <c r="P5394">
        <v>0.96856339999999996</v>
      </c>
      <c r="Q5394">
        <v>0.19588159999999999</v>
      </c>
      <c r="R5394">
        <v>-0.15334690000000001</v>
      </c>
      <c r="S5394">
        <v>3.115875</v>
      </c>
      <c r="T5394">
        <v>-0.23209360000000001</v>
      </c>
      <c r="U5394">
        <v>-0.17962649999999999</v>
      </c>
      <c r="V5394">
        <v>-9.5607380000000006E-2</v>
      </c>
      <c r="W5394">
        <v>0.20923159999999999</v>
      </c>
      <c r="X5394">
        <v>0.97318110000000002</v>
      </c>
      <c r="Y5394">
        <v>-0.19374189999999999</v>
      </c>
      <c r="Z5394">
        <v>2.5675119999999999E-2</v>
      </c>
      <c r="AA5394">
        <v>0.98071649999999999</v>
      </c>
      <c r="AB5394">
        <v>17</v>
      </c>
      <c r="AC5394">
        <v>14.8452999999999</v>
      </c>
      <c r="AD5394">
        <v>-1.1121622236449999</v>
      </c>
      <c r="AE5394">
        <v>-0.84080999999999695</v>
      </c>
      <c r="AF5394">
        <v>-2.8972764567401499</v>
      </c>
      <c r="AG5394">
        <v>-1.1121622236449999</v>
      </c>
      <c r="AH5394">
        <v>14.499740658320301</v>
      </c>
      <c r="AI5394">
        <v>94.301424110834304</v>
      </c>
      <c r="AJ5394">
        <v>101.299781024547</v>
      </c>
      <c r="AK5394">
        <v>14.828135244764599</v>
      </c>
      <c r="AL5394">
        <v>77.922674680461299</v>
      </c>
      <c r="AM5394">
        <v>95.6108543189317</v>
      </c>
      <c r="AN5394">
        <v>1.00000004347311</v>
      </c>
    </row>
    <row r="5395" spans="1:40" x14ac:dyDescent="0.25">
      <c r="A5395" t="str">
        <f>"20190312172816750"</f>
        <v>20190312172816750</v>
      </c>
      <c r="B5395" t="str">
        <f>"1552382896744711"</f>
        <v>1552382896744711</v>
      </c>
      <c r="C5395" t="s">
        <v>40</v>
      </c>
      <c r="D5395">
        <v>3.182366</v>
      </c>
      <c r="E5395">
        <v>0.44279099999999999</v>
      </c>
      <c r="F5395" t="s">
        <v>41</v>
      </c>
      <c r="G5395">
        <v>-264.91129999999998</v>
      </c>
      <c r="H5395" s="1">
        <v>-1.2290720000000001E-6</v>
      </c>
      <c r="I5395">
        <v>-60.822850000000003</v>
      </c>
      <c r="J5395">
        <v>-283.87439999999998</v>
      </c>
      <c r="K5395">
        <v>1.1121620000000001</v>
      </c>
      <c r="L5395">
        <v>-60.874419999999901</v>
      </c>
      <c r="M5395">
        <v>0.96840059999999994</v>
      </c>
      <c r="N5395">
        <v>0</v>
      </c>
      <c r="O5395">
        <v>-0.24900159999999999</v>
      </c>
      <c r="P5395">
        <v>0.96872000000000003</v>
      </c>
      <c r="Q5395">
        <v>0.19620070000000001</v>
      </c>
      <c r="R5395">
        <v>-0.1519433</v>
      </c>
      <c r="S5395">
        <v>3.1351930000000001</v>
      </c>
      <c r="T5395">
        <v>-0.18302489999999999</v>
      </c>
      <c r="U5395">
        <v>5.1269530000000001E-3</v>
      </c>
      <c r="V5395">
        <v>-9.4936670000000001E-2</v>
      </c>
      <c r="W5395">
        <v>0.20954999999999999</v>
      </c>
      <c r="X5395">
        <v>0.97317819999999999</v>
      </c>
      <c r="Y5395">
        <v>-0.24976719999999999</v>
      </c>
      <c r="Z5395">
        <v>2.1693779999999999E-2</v>
      </c>
      <c r="AA5395">
        <v>0.96806289999999995</v>
      </c>
      <c r="AB5395">
        <v>17</v>
      </c>
      <c r="AC5395">
        <v>18.963100000000001</v>
      </c>
      <c r="AD5395">
        <v>-1.112163229072</v>
      </c>
      <c r="AE5395">
        <v>5.1569999999990998E-2</v>
      </c>
      <c r="AF5395">
        <v>-4.7558976265413504</v>
      </c>
      <c r="AG5395">
        <v>-1.112163229072</v>
      </c>
      <c r="AH5395">
        <v>18.2899466939596</v>
      </c>
      <c r="AI5395">
        <v>93.367990535083194</v>
      </c>
      <c r="AJ5395">
        <v>104.575717031541</v>
      </c>
      <c r="AK5395">
        <v>18.9308641997698</v>
      </c>
      <c r="AL5395">
        <v>77.904017487610702</v>
      </c>
      <c r="AM5395">
        <v>95.571757801972495</v>
      </c>
      <c r="AN5395">
        <v>0.99999999138296403</v>
      </c>
    </row>
    <row r="5396" spans="1:40" x14ac:dyDescent="0.25">
      <c r="A5396" t="str">
        <f>"20190312172816764"</f>
        <v>20190312172816764</v>
      </c>
      <c r="B5396" t="str">
        <f>"1552382896755447"</f>
        <v>1552382896755447</v>
      </c>
      <c r="C5396" t="s">
        <v>40</v>
      </c>
      <c r="D5396">
        <v>3.2501829999999998</v>
      </c>
      <c r="E5396">
        <v>0.44273109999999999</v>
      </c>
      <c r="F5396" t="s">
        <v>56</v>
      </c>
      <c r="G5396">
        <v>-264.46940000000001</v>
      </c>
      <c r="H5396" s="1">
        <v>-1.038457E-6</v>
      </c>
      <c r="I5396">
        <v>-60.819000000000003</v>
      </c>
      <c r="J5396">
        <v>-283.7758</v>
      </c>
      <c r="K5396">
        <v>1.1121650000000001</v>
      </c>
      <c r="L5396">
        <v>-60.896880000000003</v>
      </c>
      <c r="M5396">
        <v>0.96898790000000001</v>
      </c>
      <c r="N5396">
        <v>0</v>
      </c>
      <c r="O5396">
        <v>-0.24670639999999999</v>
      </c>
      <c r="P5396">
        <v>0.96898669999999998</v>
      </c>
      <c r="Q5396">
        <v>0.19631560000000001</v>
      </c>
      <c r="R5396">
        <v>-0.15008350000000001</v>
      </c>
      <c r="S5396">
        <v>3.1347049999999999</v>
      </c>
      <c r="T5396">
        <v>-0.1796604</v>
      </c>
      <c r="U5396">
        <v>8.9416500000000006E-3</v>
      </c>
      <c r="V5396">
        <v>-9.4493019999999997E-2</v>
      </c>
      <c r="W5396">
        <v>0.2096633</v>
      </c>
      <c r="X5396">
        <v>0.97319699999999998</v>
      </c>
      <c r="Y5396">
        <v>-0.2486874</v>
      </c>
      <c r="Z5396">
        <v>2.1140280000000001E-2</v>
      </c>
      <c r="AA5396">
        <v>0.96835309999999997</v>
      </c>
      <c r="AB5396">
        <v>17</v>
      </c>
      <c r="AC5396">
        <v>19.3064</v>
      </c>
      <c r="AD5396">
        <v>-1.112166038457</v>
      </c>
      <c r="AE5396">
        <v>7.7880000000007499E-2</v>
      </c>
      <c r="AF5396">
        <v>-4.8229527534719496</v>
      </c>
      <c r="AG5396">
        <v>-1.112166038457</v>
      </c>
      <c r="AH5396">
        <v>18.628491776951599</v>
      </c>
      <c r="AI5396">
        <v>93.307831087476004</v>
      </c>
      <c r="AJ5396">
        <v>104.51527022229</v>
      </c>
      <c r="AK5396">
        <v>19.274814978185301</v>
      </c>
      <c r="AL5396">
        <v>77.897378689830006</v>
      </c>
      <c r="AM5396">
        <v>95.545776573304394</v>
      </c>
      <c r="AN5396">
        <v>1.0000000155023001</v>
      </c>
    </row>
    <row r="5397" spans="1:40" x14ac:dyDescent="0.25">
      <c r="A5397" t="str">
        <f>"20190312172816777"</f>
        <v>20190312172816777</v>
      </c>
      <c r="B5397" t="str">
        <f>"1552382896765206"</f>
        <v>1552382896765206</v>
      </c>
      <c r="C5397" t="s">
        <v>40</v>
      </c>
      <c r="D5397">
        <v>3.188237</v>
      </c>
      <c r="E5397">
        <v>0.44292910000000002</v>
      </c>
      <c r="F5397" t="s">
        <v>41</v>
      </c>
      <c r="G5397">
        <v>-264.41379999999998</v>
      </c>
      <c r="H5397" s="1">
        <v>-1.009476E-6</v>
      </c>
      <c r="I5397">
        <v>-60.799750000000003</v>
      </c>
      <c r="J5397">
        <v>-283.67970000000003</v>
      </c>
      <c r="K5397">
        <v>1.1121639999999999</v>
      </c>
      <c r="L5397">
        <v>-60.918579999999999</v>
      </c>
      <c r="M5397">
        <v>0.96955469999999999</v>
      </c>
      <c r="N5397">
        <v>0</v>
      </c>
      <c r="O5397">
        <v>-0.2444693</v>
      </c>
      <c r="P5397">
        <v>0.96930640000000001</v>
      </c>
      <c r="Q5397">
        <v>0.1964689</v>
      </c>
      <c r="R5397">
        <v>-0.14780109999999999</v>
      </c>
      <c r="S5397">
        <v>3.1349490000000002</v>
      </c>
      <c r="T5397">
        <v>-0.18007300000000001</v>
      </c>
      <c r="U5397">
        <v>1.5716549999999999E-2</v>
      </c>
      <c r="V5397">
        <v>-9.4532599999999994E-2</v>
      </c>
      <c r="W5397">
        <v>0.2098129</v>
      </c>
      <c r="X5397">
        <v>0.9731609</v>
      </c>
      <c r="Y5397">
        <v>-0.24854490000000001</v>
      </c>
      <c r="Z5397">
        <v>2.1058480000000001E-2</v>
      </c>
      <c r="AA5397">
        <v>0.96839140000000001</v>
      </c>
      <c r="AB5397">
        <v>17</v>
      </c>
      <c r="AC5397">
        <v>19.265899999999998</v>
      </c>
      <c r="AD5397">
        <v>-1.1121650094759901</v>
      </c>
      <c r="AE5397">
        <v>0.118830000000002</v>
      </c>
      <c r="AF5397">
        <v>-4.8095851526514402</v>
      </c>
      <c r="AG5397">
        <v>-1.1121650094759901</v>
      </c>
      <c r="AH5397">
        <v>18.5901964100435</v>
      </c>
      <c r="AI5397">
        <v>93.314775906039202</v>
      </c>
      <c r="AJ5397">
        <v>104.505296438465</v>
      </c>
      <c r="AK5397">
        <v>19.2344592570964</v>
      </c>
      <c r="AL5397">
        <v>77.888612081165704</v>
      </c>
      <c r="AM5397">
        <v>95.548289550570701</v>
      </c>
      <c r="AN5397">
        <v>1.00000000137898</v>
      </c>
    </row>
    <row r="5398" spans="1:40" x14ac:dyDescent="0.25">
      <c r="A5398" t="str">
        <f>"20190312172816792"</f>
        <v>20190312172816792</v>
      </c>
      <c r="B5398" t="str">
        <f>"1552382896784727"</f>
        <v>1552382896784727</v>
      </c>
      <c r="C5398" t="s">
        <v>40</v>
      </c>
      <c r="D5398">
        <v>3.1956169999999999</v>
      </c>
      <c r="E5398">
        <v>0.44315759999999998</v>
      </c>
      <c r="F5398" t="s">
        <v>41</v>
      </c>
      <c r="G5398">
        <v>-264.38080000000002</v>
      </c>
      <c r="H5398" s="1">
        <v>-9.9138259999999993E-7</v>
      </c>
      <c r="I5398">
        <v>-60.784939999999999</v>
      </c>
      <c r="J5398">
        <v>-283.56830000000002</v>
      </c>
      <c r="K5398">
        <v>1.1121669999999999</v>
      </c>
      <c r="L5398">
        <v>-60.943449999999999</v>
      </c>
      <c r="M5398">
        <v>0.9702054</v>
      </c>
      <c r="N5398">
        <v>0</v>
      </c>
      <c r="O5398">
        <v>-0.2418747</v>
      </c>
      <c r="P5398">
        <v>0.96958909999999998</v>
      </c>
      <c r="Q5398">
        <v>0.19664999999999999</v>
      </c>
      <c r="R5398">
        <v>-0.14569109999999999</v>
      </c>
      <c r="S5398">
        <v>3.1349179999999999</v>
      </c>
      <c r="T5398">
        <v>-0.18065980000000001</v>
      </c>
      <c r="U5398">
        <v>2.1697999999999999E-2</v>
      </c>
      <c r="V5398">
        <v>-9.4038369999999996E-2</v>
      </c>
      <c r="W5398">
        <v>0.2099925</v>
      </c>
      <c r="X5398">
        <v>0.97316999999999998</v>
      </c>
      <c r="Y5398">
        <v>-0.24780189999999999</v>
      </c>
      <c r="Z5398">
        <v>2.096052E-2</v>
      </c>
      <c r="AA5398">
        <v>0.96858390000000005</v>
      </c>
      <c r="AB5398">
        <v>17</v>
      </c>
      <c r="AC5398">
        <v>19.1875</v>
      </c>
      <c r="AD5398">
        <v>-1.1121679913825999</v>
      </c>
      <c r="AE5398">
        <v>0.15850999999999901</v>
      </c>
      <c r="AF5398">
        <v>-4.7791774466049404</v>
      </c>
      <c r="AG5398">
        <v>-1.1121679913825999</v>
      </c>
      <c r="AH5398">
        <v>18.517108845096001</v>
      </c>
      <c r="AI5398">
        <v>93.328338466454795</v>
      </c>
      <c r="AJ5398">
        <v>104.471943927174</v>
      </c>
      <c r="AK5398">
        <v>19.156220261009899</v>
      </c>
      <c r="AL5398">
        <v>77.878086744628007</v>
      </c>
      <c r="AM5398">
        <v>95.519410594945995</v>
      </c>
      <c r="AN5398">
        <v>0.99999995699425204</v>
      </c>
    </row>
    <row r="5399" spans="1:40" x14ac:dyDescent="0.25">
      <c r="A5399" t="str">
        <f>"20190312172816803"</f>
        <v>20190312172816803</v>
      </c>
      <c r="B5399" t="str">
        <f>"1552382896795463"</f>
        <v>1552382896795463</v>
      </c>
      <c r="C5399" t="s">
        <v>40</v>
      </c>
      <c r="D5399">
        <v>3.1742089999999998</v>
      </c>
      <c r="E5399">
        <v>0.44322040000000001</v>
      </c>
      <c r="F5399" t="s">
        <v>41</v>
      </c>
      <c r="G5399">
        <v>-264.2903</v>
      </c>
      <c r="H5399" s="1">
        <v>-9.4984720000000001E-7</v>
      </c>
      <c r="I5399">
        <v>-60.774669999999901</v>
      </c>
      <c r="J5399">
        <v>-283.48970000000003</v>
      </c>
      <c r="K5399">
        <v>1.112168</v>
      </c>
      <c r="L5399">
        <v>-60.960819999999998</v>
      </c>
      <c r="M5399">
        <v>0.97066010000000003</v>
      </c>
      <c r="N5399">
        <v>0</v>
      </c>
      <c r="O5399">
        <v>-0.24004329999999999</v>
      </c>
      <c r="P5399">
        <v>0.96985440000000001</v>
      </c>
      <c r="Q5399">
        <v>0.19663910000000001</v>
      </c>
      <c r="R5399">
        <v>-0.14392940000000001</v>
      </c>
      <c r="S5399">
        <v>3.1348569999999998</v>
      </c>
      <c r="T5399">
        <v>-0.1808534</v>
      </c>
      <c r="U5399">
        <v>2.7435299999999999E-2</v>
      </c>
      <c r="V5399">
        <v>-9.3969510000000006E-2</v>
      </c>
      <c r="W5399">
        <v>0.20997940000000001</v>
      </c>
      <c r="X5399">
        <v>0.97317949999999998</v>
      </c>
      <c r="Y5399">
        <v>-0.24774779999999999</v>
      </c>
      <c r="Z5399">
        <v>2.0879189999999999E-2</v>
      </c>
      <c r="AA5399">
        <v>0.96859960000000001</v>
      </c>
      <c r="AB5399">
        <v>17</v>
      </c>
      <c r="AC5399">
        <v>19.199400000000001</v>
      </c>
      <c r="AD5399">
        <v>-1.1121689498471901</v>
      </c>
      <c r="AE5399">
        <v>0.18615000000000401</v>
      </c>
      <c r="AF5399">
        <v>-4.7738329501496501</v>
      </c>
      <c r="AG5399">
        <v>-1.1121689498471901</v>
      </c>
      <c r="AH5399">
        <v>18.531073543467699</v>
      </c>
      <c r="AI5399">
        <v>93.326226240927198</v>
      </c>
      <c r="AJ5399">
        <v>104.446000539403</v>
      </c>
      <c r="AK5399">
        <v>19.168387712125099</v>
      </c>
      <c r="AL5399">
        <v>77.878854696775505</v>
      </c>
      <c r="AM5399">
        <v>95.515340404654097</v>
      </c>
      <c r="AN5399">
        <v>0.99999997822712405</v>
      </c>
    </row>
    <row r="5400" spans="1:40" x14ac:dyDescent="0.25">
      <c r="A5400" t="str">
        <f>"20190312172816814"</f>
        <v>20190312172816814</v>
      </c>
      <c r="B5400" t="str">
        <f>"1552382896805223"</f>
        <v>1552382896805223</v>
      </c>
      <c r="C5400" t="s">
        <v>40</v>
      </c>
      <c r="D5400">
        <v>3.1796570000000002</v>
      </c>
      <c r="E5400">
        <v>0.4432738</v>
      </c>
      <c r="F5400" t="s">
        <v>41</v>
      </c>
      <c r="G5400">
        <v>-264.25580000000002</v>
      </c>
      <c r="H5400" s="1">
        <v>-9.3018749999999998E-7</v>
      </c>
      <c r="I5400">
        <v>-60.756480000000003</v>
      </c>
      <c r="J5400">
        <v>-283.40910000000002</v>
      </c>
      <c r="K5400">
        <v>1.1121650000000001</v>
      </c>
      <c r="L5400">
        <v>-60.9784199999999</v>
      </c>
      <c r="M5400">
        <v>0.97112149999999997</v>
      </c>
      <c r="N5400">
        <v>0</v>
      </c>
      <c r="O5400">
        <v>-0.23816970000000001</v>
      </c>
      <c r="P5400">
        <v>0.97008450000000002</v>
      </c>
      <c r="Q5400">
        <v>0.19669829999999999</v>
      </c>
      <c r="R5400">
        <v>-0.14228979999999999</v>
      </c>
      <c r="S5400">
        <v>3.134979</v>
      </c>
      <c r="T5400">
        <v>-0.1812754</v>
      </c>
      <c r="U5400">
        <v>3.329468E-2</v>
      </c>
      <c r="V5400">
        <v>-9.3733049999999998E-2</v>
      </c>
      <c r="W5400">
        <v>0.21003720000000001</v>
      </c>
      <c r="X5400">
        <v>0.97318979999999999</v>
      </c>
      <c r="Y5400">
        <v>-0.24768780000000001</v>
      </c>
      <c r="Z5400">
        <v>2.081999E-2</v>
      </c>
      <c r="AA5400">
        <v>0.96861620000000004</v>
      </c>
      <c r="AB5400">
        <v>17</v>
      </c>
      <c r="AC5400">
        <v>19.153300000000002</v>
      </c>
      <c r="AD5400">
        <v>-1.1121659301875</v>
      </c>
      <c r="AE5400">
        <v>0.22193999999998901</v>
      </c>
      <c r="AF5400">
        <v>-4.7616870442993298</v>
      </c>
      <c r="AG5400">
        <v>-1.1121659301875</v>
      </c>
      <c r="AH5400">
        <v>18.4868364666197</v>
      </c>
      <c r="AI5400">
        <v>93.334191183771694</v>
      </c>
      <c r="AJ5400">
        <v>104.443821043263</v>
      </c>
      <c r="AK5400">
        <v>19.122596557676399</v>
      </c>
      <c r="AL5400">
        <v>77.875467097303996</v>
      </c>
      <c r="AM5400">
        <v>95.501489272923493</v>
      </c>
      <c r="AN5400">
        <v>0.99999994843508999</v>
      </c>
    </row>
    <row r="5401" spans="1:40" x14ac:dyDescent="0.25">
      <c r="A5401" t="str">
        <f>"20190312172816825"</f>
        <v>20190312172816825</v>
      </c>
      <c r="B5401" t="str">
        <f>"1552382896814983"</f>
        <v>1552382896814983</v>
      </c>
      <c r="C5401" t="s">
        <v>40</v>
      </c>
      <c r="D5401">
        <v>3.1738970000000002</v>
      </c>
      <c r="E5401">
        <v>0.44348320000000002</v>
      </c>
      <c r="F5401" t="s">
        <v>41</v>
      </c>
      <c r="G5401">
        <v>-264.0718</v>
      </c>
      <c r="H5401" s="1">
        <v>-8.4691509999999897E-7</v>
      </c>
      <c r="I5401">
        <v>-60.740220000000001</v>
      </c>
      <c r="J5401">
        <v>-283.32929999999999</v>
      </c>
      <c r="K5401">
        <v>1.1121620000000001</v>
      </c>
      <c r="L5401">
        <v>-60.995759999999997</v>
      </c>
      <c r="M5401">
        <v>0.97157559999999998</v>
      </c>
      <c r="N5401">
        <v>0</v>
      </c>
      <c r="O5401">
        <v>-0.23631089999999999</v>
      </c>
      <c r="P5401">
        <v>0.97037340000000005</v>
      </c>
      <c r="Q5401">
        <v>0.19662689999999999</v>
      </c>
      <c r="R5401">
        <v>-0.1404051</v>
      </c>
      <c r="S5401">
        <v>3.134735</v>
      </c>
      <c r="T5401">
        <v>-0.1802907</v>
      </c>
      <c r="U5401">
        <v>3.8604739999999999E-2</v>
      </c>
      <c r="V5401">
        <v>-9.376379E-2</v>
      </c>
      <c r="W5401">
        <v>0.20996400000000001</v>
      </c>
      <c r="X5401">
        <v>0.97320269999999998</v>
      </c>
      <c r="Y5401">
        <v>-0.2474874</v>
      </c>
      <c r="Z5401">
        <v>2.0598890000000002E-2</v>
      </c>
      <c r="AA5401">
        <v>0.96867219999999998</v>
      </c>
      <c r="AB5401">
        <v>17</v>
      </c>
      <c r="AC5401">
        <v>19.2575</v>
      </c>
      <c r="AD5401">
        <v>-1.1121628469150999</v>
      </c>
      <c r="AE5401">
        <v>0.25554000000000299</v>
      </c>
      <c r="AF5401">
        <v>-4.7835569254884298</v>
      </c>
      <c r="AG5401">
        <v>-1.1121628469150999</v>
      </c>
      <c r="AH5401">
        <v>18.589585717119</v>
      </c>
      <c r="AI5401">
        <v>93.315991815556302</v>
      </c>
      <c r="AJ5401">
        <v>104.43053769817401</v>
      </c>
      <c r="AK5401">
        <v>19.227376841149201</v>
      </c>
      <c r="AL5401">
        <v>77.879757591301797</v>
      </c>
      <c r="AM5401">
        <v>95.503209926913399</v>
      </c>
      <c r="AN5401">
        <v>1.0000000124492201</v>
      </c>
    </row>
    <row r="5402" spans="1:40" x14ac:dyDescent="0.25">
      <c r="A5402" t="str">
        <f>"20190312172816838"</f>
        <v>20190312172816838</v>
      </c>
      <c r="B5402" t="str">
        <f>"1552382896835479"</f>
        <v>1552382896835479</v>
      </c>
      <c r="C5402" t="s">
        <v>40</v>
      </c>
      <c r="D5402">
        <v>3.2098719999999998</v>
      </c>
      <c r="E5402">
        <v>0.44379790000000002</v>
      </c>
      <c r="F5402" t="s">
        <v>41</v>
      </c>
      <c r="G5402">
        <v>-264.03059999999999</v>
      </c>
      <c r="H5402" s="1">
        <v>-8.2625019999999896E-7</v>
      </c>
      <c r="I5402">
        <v>-60.728879999999997</v>
      </c>
      <c r="J5402">
        <v>-283.24549999999999</v>
      </c>
      <c r="K5402">
        <v>1.1121540000000001</v>
      </c>
      <c r="L5402">
        <v>-61.013730000000002</v>
      </c>
      <c r="M5402">
        <v>0.9720472</v>
      </c>
      <c r="N5402">
        <v>0</v>
      </c>
      <c r="O5402">
        <v>-0.2343643</v>
      </c>
      <c r="P5402">
        <v>0.97065279999999998</v>
      </c>
      <c r="Q5402">
        <v>0.19654820000000001</v>
      </c>
      <c r="R5402">
        <v>-0.13857159999999999</v>
      </c>
      <c r="S5402">
        <v>3.13443</v>
      </c>
      <c r="T5402">
        <v>-0.18063399999999999</v>
      </c>
      <c r="U5402">
        <v>4.3334959999999999E-2</v>
      </c>
      <c r="V5402">
        <v>-9.3654050000000003E-2</v>
      </c>
      <c r="W5402">
        <v>0.2098843</v>
      </c>
      <c r="X5402">
        <v>0.97323040000000005</v>
      </c>
      <c r="Y5402">
        <v>-0.24701039999999999</v>
      </c>
      <c r="Z5402">
        <v>2.0516989999999999E-2</v>
      </c>
      <c r="AA5402">
        <v>0.96879559999999998</v>
      </c>
      <c r="AB5402">
        <v>17</v>
      </c>
      <c r="AC5402">
        <v>19.2149</v>
      </c>
      <c r="AD5402">
        <v>-1.1121548262501999</v>
      </c>
      <c r="AE5402">
        <v>0.28484999999999799</v>
      </c>
      <c r="AF5402">
        <v>-4.76468807731358</v>
      </c>
      <c r="AG5402">
        <v>-1.1121548262501999</v>
      </c>
      <c r="AH5402">
        <v>18.550737595568599</v>
      </c>
      <c r="AI5402">
        <v>93.323278966535497</v>
      </c>
      <c r="AJ5402">
        <v>104.40483366588001</v>
      </c>
      <c r="AK5402">
        <v>19.185124606613499</v>
      </c>
      <c r="AL5402">
        <v>77.884427440866801</v>
      </c>
      <c r="AM5402">
        <v>95.496653016829598</v>
      </c>
      <c r="AN5402">
        <v>0.99999995597602498</v>
      </c>
    </row>
    <row r="5403" spans="1:40" x14ac:dyDescent="0.25">
      <c r="A5403" t="str">
        <f>"20190312172816847"</f>
        <v>20190312172816847</v>
      </c>
      <c r="B5403" t="str">
        <f>"1552382896835479"</f>
        <v>1552382896835479</v>
      </c>
      <c r="C5403" t="s">
        <v>40</v>
      </c>
      <c r="D5403">
        <v>3.2098719999999998</v>
      </c>
      <c r="E5403">
        <v>0.44379790000000002</v>
      </c>
      <c r="F5403" t="s">
        <v>41</v>
      </c>
      <c r="G5403">
        <v>-263.80399999999997</v>
      </c>
      <c r="H5403" s="1">
        <v>-7.27636199999999E-7</v>
      </c>
      <c r="I5403">
        <v>-60.723610000000001</v>
      </c>
      <c r="J5403">
        <v>-283.17259999999999</v>
      </c>
      <c r="K5403">
        <v>1.1121490000000001</v>
      </c>
      <c r="L5403">
        <v>-61.029299999999999</v>
      </c>
      <c r="M5403">
        <v>0.97245389999999998</v>
      </c>
      <c r="N5403">
        <v>0</v>
      </c>
      <c r="O5403">
        <v>-0.23267090000000001</v>
      </c>
      <c r="P5403">
        <v>0.97094939999999996</v>
      </c>
      <c r="Q5403">
        <v>0.19630010000000001</v>
      </c>
      <c r="R5403">
        <v>-0.13683480000000001</v>
      </c>
      <c r="S5403">
        <v>3.1336979999999999</v>
      </c>
      <c r="T5403">
        <v>-0.1792638</v>
      </c>
      <c r="U5403">
        <v>4.6752929999999998E-2</v>
      </c>
      <c r="V5403">
        <v>-9.3708840000000002E-2</v>
      </c>
      <c r="W5403">
        <v>0.2096353</v>
      </c>
      <c r="X5403">
        <v>0.9732788</v>
      </c>
      <c r="Y5403">
        <v>-0.2463978</v>
      </c>
      <c r="Z5403">
        <v>2.0254319999999999E-2</v>
      </c>
      <c r="AA5403">
        <v>0.96895710000000002</v>
      </c>
      <c r="AB5403">
        <v>17</v>
      </c>
      <c r="AC5403">
        <v>19.368599999999901</v>
      </c>
      <c r="AD5403">
        <v>-1.11214972763619</v>
      </c>
      <c r="AE5403">
        <v>0.30568999999999802</v>
      </c>
      <c r="AF5403">
        <v>-4.7884698083450798</v>
      </c>
      <c r="AG5403">
        <v>-1.11214972763619</v>
      </c>
      <c r="AH5403">
        <v>18.704146408707501</v>
      </c>
      <c r="AI5403">
        <v>93.296728088140895</v>
      </c>
      <c r="AJ5403">
        <v>104.359935455537</v>
      </c>
      <c r="AK5403">
        <v>19.339374679665301</v>
      </c>
      <c r="AL5403">
        <v>77.899018803225502</v>
      </c>
      <c r="AM5403">
        <v>95.499577163297104</v>
      </c>
      <c r="AN5403">
        <v>0.99999996411483705</v>
      </c>
    </row>
    <row r="5404" spans="1:40" x14ac:dyDescent="0.25">
      <c r="A5404" t="str">
        <f>"20190312172816859"</f>
        <v>20190312172816859</v>
      </c>
      <c r="B5404" t="str">
        <f>"1552382896854999"</f>
        <v>1552382896854999</v>
      </c>
      <c r="C5404" t="s">
        <v>40</v>
      </c>
      <c r="D5404">
        <v>3.1516030000000002</v>
      </c>
      <c r="E5404">
        <v>0.44439600000000001</v>
      </c>
      <c r="F5404" t="s">
        <v>41</v>
      </c>
      <c r="G5404">
        <v>-263.80130000000003</v>
      </c>
      <c r="H5404" s="1">
        <v>-7.2123369999999898E-7</v>
      </c>
      <c r="I5404">
        <v>-60.703980000000001</v>
      </c>
      <c r="J5404">
        <v>-283.09210000000002</v>
      </c>
      <c r="K5404">
        <v>1.112141</v>
      </c>
      <c r="L5404">
        <v>-61.046230000000001</v>
      </c>
      <c r="M5404">
        <v>0.97289859999999995</v>
      </c>
      <c r="N5404">
        <v>0</v>
      </c>
      <c r="O5404">
        <v>-0.23080410000000001</v>
      </c>
      <c r="P5404">
        <v>0.97120399999999996</v>
      </c>
      <c r="Q5404">
        <v>0.19604350000000001</v>
      </c>
      <c r="R5404">
        <v>-0.13538829999999999</v>
      </c>
      <c r="S5404">
        <v>3.1335449999999998</v>
      </c>
      <c r="T5404">
        <v>-0.17990339999999999</v>
      </c>
      <c r="U5404">
        <v>5.2612300000000001E-2</v>
      </c>
      <c r="V5404">
        <v>-9.3297749999999999E-2</v>
      </c>
      <c r="W5404">
        <v>0.20938029999999999</v>
      </c>
      <c r="X5404">
        <v>0.97337320000000005</v>
      </c>
      <c r="Y5404">
        <v>-0.2463476</v>
      </c>
      <c r="Z5404">
        <v>2.02215E-2</v>
      </c>
      <c r="AA5404">
        <v>0.96897060000000002</v>
      </c>
      <c r="AB5404">
        <v>17</v>
      </c>
      <c r="AC5404">
        <v>19.290799999999901</v>
      </c>
      <c r="AD5404">
        <v>-1.1121417212336999</v>
      </c>
      <c r="AE5404">
        <v>0.342249999999999</v>
      </c>
      <c r="AF5404">
        <v>-4.7699946089207996</v>
      </c>
      <c r="AG5404">
        <v>-1.1121417212336999</v>
      </c>
      <c r="AH5404">
        <v>18.6289507818428</v>
      </c>
      <c r="AI5404">
        <v>93.309948958804497</v>
      </c>
      <c r="AJ5404">
        <v>104.36217450474</v>
      </c>
      <c r="AK5404">
        <v>19.262074525075501</v>
      </c>
      <c r="AL5404">
        <v>77.913961072255105</v>
      </c>
      <c r="AM5404">
        <v>95.475070284414599</v>
      </c>
      <c r="AN5404">
        <v>0.99999998333069595</v>
      </c>
    </row>
    <row r="5405" spans="1:40" x14ac:dyDescent="0.25">
      <c r="A5405" t="str">
        <f>"20190312172816870"</f>
        <v>20190312172816870</v>
      </c>
      <c r="B5405" t="str">
        <f>"1552382896864759"</f>
        <v>1552382896864759</v>
      </c>
      <c r="C5405" t="s">
        <v>40</v>
      </c>
      <c r="D5405">
        <v>3.1833149999999999</v>
      </c>
      <c r="E5405">
        <v>0.44467230000000002</v>
      </c>
      <c r="F5405" t="s">
        <v>41</v>
      </c>
      <c r="G5405">
        <v>-264.02589999999998</v>
      </c>
      <c r="H5405" s="1">
        <v>-8.2252880000000004E-7</v>
      </c>
      <c r="I5405">
        <v>-60.722490000000001</v>
      </c>
      <c r="J5405">
        <v>-283.01029999999997</v>
      </c>
      <c r="K5405">
        <v>1.1121270000000001</v>
      </c>
      <c r="L5405">
        <v>-61.063319999999997</v>
      </c>
      <c r="M5405">
        <v>0.97334540000000003</v>
      </c>
      <c r="N5405">
        <v>0</v>
      </c>
      <c r="O5405">
        <v>-0.22891249999999999</v>
      </c>
      <c r="P5405">
        <v>0.97148049999999997</v>
      </c>
      <c r="Q5405">
        <v>0.19609409999999999</v>
      </c>
      <c r="R5405">
        <v>-0.13331579999999901</v>
      </c>
      <c r="S5405">
        <v>3.1332399999999998</v>
      </c>
      <c r="T5405">
        <v>-0.18276390000000001</v>
      </c>
      <c r="U5405">
        <v>5.3192139999999999E-2</v>
      </c>
      <c r="V5405">
        <v>-9.3477770000000002E-2</v>
      </c>
      <c r="W5405">
        <v>0.2094288</v>
      </c>
      <c r="X5405">
        <v>0.97334549999999997</v>
      </c>
      <c r="Y5405">
        <v>-0.24462539999999999</v>
      </c>
      <c r="Z5405">
        <v>2.038628E-2</v>
      </c>
      <c r="AA5405">
        <v>0.96940329999999997</v>
      </c>
      <c r="AB5405">
        <v>17</v>
      </c>
      <c r="AC5405">
        <v>18.984399999999901</v>
      </c>
      <c r="AD5405">
        <v>-1.1121278225288</v>
      </c>
      <c r="AE5405">
        <v>0.34082999999999603</v>
      </c>
      <c r="AF5405">
        <v>-4.6619808529548896</v>
      </c>
      <c r="AG5405">
        <v>-1.1121278225288</v>
      </c>
      <c r="AH5405">
        <v>18.339262737759601</v>
      </c>
      <c r="AI5405">
        <v>93.363555054025994</v>
      </c>
      <c r="AJ5405">
        <v>104.26291715575201</v>
      </c>
      <c r="AK5405">
        <v>18.955195897999499</v>
      </c>
      <c r="AL5405">
        <v>77.911119290798197</v>
      </c>
      <c r="AM5405">
        <v>95.485725330728002</v>
      </c>
      <c r="AN5405">
        <v>0.99999998906193099</v>
      </c>
    </row>
    <row r="5406" spans="1:40" x14ac:dyDescent="0.25">
      <c r="A5406" t="str">
        <f>"20190312172816881"</f>
        <v>20190312172816881</v>
      </c>
      <c r="B5406" t="str">
        <f>"1552382896875495"</f>
        <v>1552382896875495</v>
      </c>
      <c r="C5406" t="s">
        <v>40</v>
      </c>
      <c r="D5406">
        <v>3.2243650000000001</v>
      </c>
      <c r="E5406">
        <v>0.44467230000000002</v>
      </c>
      <c r="F5406" t="s">
        <v>41</v>
      </c>
      <c r="G5406">
        <v>-264.00869999999998</v>
      </c>
      <c r="H5406" s="1">
        <v>-8.1223529999999997E-7</v>
      </c>
      <c r="I5406">
        <v>-60.711590000000001</v>
      </c>
      <c r="J5406">
        <v>-282.92989999999998</v>
      </c>
      <c r="K5406">
        <v>1.1121160000000001</v>
      </c>
      <c r="L5406">
        <v>-61.07996</v>
      </c>
      <c r="M5406">
        <v>0.97378050000000005</v>
      </c>
      <c r="N5406">
        <v>0</v>
      </c>
      <c r="O5406">
        <v>-0.22705439999999999</v>
      </c>
      <c r="P5406">
        <v>0.97159050000000002</v>
      </c>
      <c r="Q5406">
        <v>0.19638739999999999</v>
      </c>
      <c r="R5406">
        <v>-0.132075</v>
      </c>
      <c r="S5406">
        <v>3.133057</v>
      </c>
      <c r="T5406">
        <v>-0.18337149999999999</v>
      </c>
      <c r="U5406">
        <v>5.7983399999999997E-2</v>
      </c>
      <c r="V5406">
        <v>-9.2844720000000006E-2</v>
      </c>
      <c r="W5406">
        <v>0.20972389999999999</v>
      </c>
      <c r="X5406">
        <v>0.9733425</v>
      </c>
      <c r="Y5406">
        <v>-0.24425640000000001</v>
      </c>
      <c r="Z5406">
        <v>2.0338100000000001E-2</v>
      </c>
      <c r="AA5406">
        <v>0.96949739999999995</v>
      </c>
      <c r="AB5406">
        <v>16</v>
      </c>
      <c r="AC5406">
        <v>18.921199999999999</v>
      </c>
      <c r="AD5406">
        <v>-1.11211681223529</v>
      </c>
      <c r="AE5406">
        <v>0.36836999999999798</v>
      </c>
      <c r="AF5406">
        <v>-4.6392927178795702</v>
      </c>
      <c r="AG5406">
        <v>-1.11211681223529</v>
      </c>
      <c r="AH5406">
        <v>18.280142666858598</v>
      </c>
      <c r="AI5406">
        <v>93.374711339395006</v>
      </c>
      <c r="AJ5406">
        <v>104.240365222904</v>
      </c>
      <c r="AK5406">
        <v>18.892417967188099</v>
      </c>
      <c r="AL5406">
        <v>77.893826678441101</v>
      </c>
      <c r="AM5406">
        <v>95.448815943856204</v>
      </c>
      <c r="AN5406">
        <v>0.99999993928466702</v>
      </c>
    </row>
    <row r="5407" spans="1:40" x14ac:dyDescent="0.25">
      <c r="A5407" t="str">
        <f>"20190312172816893"</f>
        <v>20190312172816893</v>
      </c>
      <c r="B5407" t="str">
        <f>"1552382896885255"</f>
        <v>1552382896885255</v>
      </c>
      <c r="C5407" t="s">
        <v>40</v>
      </c>
      <c r="D5407">
        <v>3.1717430000000002</v>
      </c>
      <c r="E5407">
        <v>0.4503894</v>
      </c>
      <c r="F5407" t="s">
        <v>41</v>
      </c>
      <c r="G5407">
        <v>-263.78339999999997</v>
      </c>
      <c r="H5407" s="1">
        <v>-7.1158909999999899E-7</v>
      </c>
      <c r="I5407">
        <v>-60.696629999999999</v>
      </c>
      <c r="J5407">
        <v>-282.85109999999997</v>
      </c>
      <c r="K5407">
        <v>1.112106</v>
      </c>
      <c r="L5407">
        <v>-61.096130000000002</v>
      </c>
      <c r="M5407">
        <v>0.97420200000000001</v>
      </c>
      <c r="N5407">
        <v>0</v>
      </c>
      <c r="O5407">
        <v>-0.22523950000000001</v>
      </c>
      <c r="P5407">
        <v>0.97171470000000004</v>
      </c>
      <c r="Q5407">
        <v>0.19674659999999999</v>
      </c>
      <c r="R5407">
        <v>-0.1306205</v>
      </c>
      <c r="S5407">
        <v>3.1329959999999999</v>
      </c>
      <c r="T5407">
        <v>-0.18197849999999999</v>
      </c>
      <c r="U5407">
        <v>6.2713619999999998E-2</v>
      </c>
      <c r="V5407">
        <v>-9.2467969999999997E-2</v>
      </c>
      <c r="W5407">
        <v>0.21008289999999999</v>
      </c>
      <c r="X5407">
        <v>0.97330099999999997</v>
      </c>
      <c r="Y5407">
        <v>-0.2439289</v>
      </c>
      <c r="Z5407">
        <v>2.007167E-2</v>
      </c>
      <c r="AA5407">
        <v>0.96958540000000004</v>
      </c>
      <c r="AB5407">
        <v>16</v>
      </c>
      <c r="AC5407">
        <v>19.067699999999999</v>
      </c>
      <c r="AD5407">
        <v>-1.1121067115890999</v>
      </c>
      <c r="AE5407">
        <v>0.39949999999999602</v>
      </c>
      <c r="AF5407">
        <v>-4.6685816758057301</v>
      </c>
      <c r="AG5407">
        <v>-1.1121067115890999</v>
      </c>
      <c r="AH5407">
        <v>18.4249864313215</v>
      </c>
      <c r="AI5407">
        <v>93.3485348278234</v>
      </c>
      <c r="AJ5407">
        <v>104.218537272739</v>
      </c>
      <c r="AK5407">
        <v>19.039762634970302</v>
      </c>
      <c r="AL5407">
        <v>77.872789480491406</v>
      </c>
      <c r="AM5407">
        <v>95.427067740144196</v>
      </c>
      <c r="AN5407">
        <v>0.99999999347466495</v>
      </c>
    </row>
    <row r="5408" spans="1:40" x14ac:dyDescent="0.25">
      <c r="A5408" t="str">
        <f>"20190312172816903"</f>
        <v>20190312172816903</v>
      </c>
      <c r="B5408" t="str">
        <f>"1552382896895015"</f>
        <v>1552382896895015</v>
      </c>
      <c r="C5408" t="s">
        <v>40</v>
      </c>
      <c r="D5408">
        <v>3.2009240000000001</v>
      </c>
      <c r="E5408">
        <v>0.45029380000000002</v>
      </c>
      <c r="F5408" t="s">
        <v>56</v>
      </c>
      <c r="G5408">
        <v>-265.72140000000002</v>
      </c>
      <c r="H5408" s="1">
        <v>-1.615163E-6</v>
      </c>
      <c r="I5408">
        <v>-60.967860000000002</v>
      </c>
      <c r="J5408">
        <v>-282.77269999999999</v>
      </c>
      <c r="K5408">
        <v>1.1120989999999999</v>
      </c>
      <c r="L5408">
        <v>-61.112090000000002</v>
      </c>
      <c r="M5408">
        <v>0.97461679999999995</v>
      </c>
      <c r="N5408">
        <v>0</v>
      </c>
      <c r="O5408">
        <v>-0.22343840000000001</v>
      </c>
      <c r="P5408">
        <v>0.97184090000000001</v>
      </c>
      <c r="Q5408">
        <v>0.19704579999999999</v>
      </c>
      <c r="R5408">
        <v>-0.12922239999999999</v>
      </c>
      <c r="S5408">
        <v>3.131653</v>
      </c>
      <c r="T5408">
        <v>-0.20331589999999999</v>
      </c>
      <c r="U5408">
        <v>2.34375E-2</v>
      </c>
      <c r="V5408">
        <v>-9.2051160000000007E-2</v>
      </c>
      <c r="W5408">
        <v>0.21038270000000001</v>
      </c>
      <c r="X5408">
        <v>0.97327580000000002</v>
      </c>
      <c r="Y5408">
        <v>-0.22980030000000001</v>
      </c>
      <c r="Z5408">
        <v>2.185407E-2</v>
      </c>
      <c r="AA5408">
        <v>0.97299239999999998</v>
      </c>
      <c r="AB5408">
        <v>16</v>
      </c>
      <c r="AC5408">
        <v>17.051299999999902</v>
      </c>
      <c r="AD5408">
        <v>-1.112100615163</v>
      </c>
      <c r="AE5408">
        <v>0.14423000000000699</v>
      </c>
      <c r="AF5408">
        <v>-3.93414039222775</v>
      </c>
      <c r="AG5408">
        <v>-1.112100615163</v>
      </c>
      <c r="AH5408">
        <v>16.517636949327301</v>
      </c>
      <c r="AI5408">
        <v>93.7472888319611</v>
      </c>
      <c r="AJ5408">
        <v>103.396993911713</v>
      </c>
      <c r="AK5408">
        <v>17.016067665409299</v>
      </c>
      <c r="AL5408">
        <v>77.855220111094397</v>
      </c>
      <c r="AM5408">
        <v>95.402888747969399</v>
      </c>
      <c r="AN5408">
        <v>1.0000000396911299</v>
      </c>
    </row>
    <row r="5409" spans="1:40" x14ac:dyDescent="0.25">
      <c r="A5409" t="str">
        <f>"20190312172816915"</f>
        <v>20190312172816915</v>
      </c>
      <c r="B5409" t="str">
        <f>"1552382896904775"</f>
        <v>1552382896904775</v>
      </c>
      <c r="C5409" t="s">
        <v>40</v>
      </c>
      <c r="D5409">
        <v>3.1841020000000002</v>
      </c>
      <c r="E5409">
        <v>0.45029380000000002</v>
      </c>
      <c r="F5409" t="s">
        <v>41</v>
      </c>
      <c r="G5409">
        <v>-265.07049999999998</v>
      </c>
      <c r="H5409" s="1">
        <v>-1.3300810000000001E-6</v>
      </c>
      <c r="I5409">
        <v>-60.94585</v>
      </c>
      <c r="J5409">
        <v>-282.68860000000001</v>
      </c>
      <c r="K5409">
        <v>1.112088</v>
      </c>
      <c r="L5409">
        <v>-61.12903</v>
      </c>
      <c r="M5409">
        <v>0.97505699999999995</v>
      </c>
      <c r="N5409">
        <v>0</v>
      </c>
      <c r="O5409">
        <v>-0.2215097</v>
      </c>
      <c r="P5409">
        <v>0.97198689999999999</v>
      </c>
      <c r="Q5409">
        <v>0.19730339999999999</v>
      </c>
      <c r="R5409">
        <v>-0.12772259999999999</v>
      </c>
      <c r="S5409">
        <v>3.1306759999999998</v>
      </c>
      <c r="T5409">
        <v>-0.1966774</v>
      </c>
      <c r="U5409">
        <v>2.938843E-2</v>
      </c>
      <c r="V5409">
        <v>-9.1610620000000004E-2</v>
      </c>
      <c r="W5409">
        <v>0.21064089999999999</v>
      </c>
      <c r="X5409">
        <v>0.9732615</v>
      </c>
      <c r="Y5409">
        <v>-0.22979079999999999</v>
      </c>
      <c r="Z5409">
        <v>2.103004E-2</v>
      </c>
      <c r="AA5409">
        <v>0.97301280000000001</v>
      </c>
      <c r="AB5409">
        <v>16</v>
      </c>
      <c r="AC5409">
        <v>17.618099999999998</v>
      </c>
      <c r="AD5409">
        <v>-1.112089330081</v>
      </c>
      <c r="AE5409">
        <v>0.183180000000007</v>
      </c>
      <c r="AF5409">
        <v>-4.0653973012074696</v>
      </c>
      <c r="AG5409">
        <v>-1.112089330081</v>
      </c>
      <c r="AH5409">
        <v>17.071753430650499</v>
      </c>
      <c r="AI5409">
        <v>93.625986664332999</v>
      </c>
      <c r="AJ5409">
        <v>103.394702290737</v>
      </c>
      <c r="AK5409">
        <v>17.5843385741879</v>
      </c>
      <c r="AL5409">
        <v>77.8400870017297</v>
      </c>
      <c r="AM5409">
        <v>95.377261977605698</v>
      </c>
      <c r="AN5409">
        <v>1.0000000209159201</v>
      </c>
    </row>
    <row r="5410" spans="1:40" x14ac:dyDescent="0.25">
      <c r="A5410" t="str">
        <f>"20190312172816926"</f>
        <v>20190312172816926</v>
      </c>
      <c r="B5410" t="str">
        <f>"1552382896915511"</f>
        <v>1552382896915511</v>
      </c>
      <c r="C5410" t="s">
        <v>40</v>
      </c>
      <c r="D5410">
        <v>3.1331039999999999</v>
      </c>
      <c r="E5410">
        <v>0.45061780000000001</v>
      </c>
      <c r="F5410" t="s">
        <v>41</v>
      </c>
      <c r="G5410">
        <v>-264.8877</v>
      </c>
      <c r="H5410" s="1">
        <v>-1.2478759999999999E-6</v>
      </c>
      <c r="I5410">
        <v>-60.931669999999997</v>
      </c>
      <c r="J5410">
        <v>-282.61079999999998</v>
      </c>
      <c r="K5410">
        <v>1.112079</v>
      </c>
      <c r="L5410">
        <v>-61.144530000000003</v>
      </c>
      <c r="M5410">
        <v>0.97545930000000003</v>
      </c>
      <c r="N5410">
        <v>0</v>
      </c>
      <c r="O5410">
        <v>-0.2197315</v>
      </c>
      <c r="P5410">
        <v>0.97218130000000003</v>
      </c>
      <c r="Q5410">
        <v>0.19720589999999999</v>
      </c>
      <c r="R5410">
        <v>-0.12638740000000001</v>
      </c>
      <c r="S5410">
        <v>3.1307369999999999</v>
      </c>
      <c r="T5410">
        <v>-0.19558890000000001</v>
      </c>
      <c r="U5410">
        <v>3.4698489999999999E-2</v>
      </c>
      <c r="V5410">
        <v>-9.1171169999999996E-2</v>
      </c>
      <c r="W5410">
        <v>0.21054529999999999</v>
      </c>
      <c r="X5410">
        <v>0.97332339999999995</v>
      </c>
      <c r="Y5410">
        <v>-0.22968</v>
      </c>
      <c r="Z5410">
        <v>2.080154E-2</v>
      </c>
      <c r="AA5410">
        <v>0.97304389999999996</v>
      </c>
      <c r="AB5410">
        <v>16</v>
      </c>
      <c r="AC5410">
        <v>17.723099999999899</v>
      </c>
      <c r="AD5410">
        <v>-1.1120802478759999</v>
      </c>
      <c r="AE5410">
        <v>0.21286000000000599</v>
      </c>
      <c r="AF5410">
        <v>-4.0862777996801301</v>
      </c>
      <c r="AG5410">
        <v>-1.1120802478759999</v>
      </c>
      <c r="AH5410">
        <v>17.1754767396815</v>
      </c>
      <c r="AI5410">
        <v>93.604297824970203</v>
      </c>
      <c r="AJ5410">
        <v>103.38264319784901</v>
      </c>
      <c r="AK5410">
        <v>17.689866872568999</v>
      </c>
      <c r="AL5410">
        <v>77.845689547379706</v>
      </c>
      <c r="AM5410">
        <v>95.3512793632583</v>
      </c>
      <c r="AN5410">
        <v>0.99999997328940904</v>
      </c>
    </row>
    <row r="5411" spans="1:40" x14ac:dyDescent="0.25">
      <c r="A5411" t="str">
        <f>"20190312172816937"</f>
        <v>20190312172816937</v>
      </c>
      <c r="B5411" t="str">
        <f>"1552382896935031"</f>
        <v>1552382896935031</v>
      </c>
      <c r="C5411" t="s">
        <v>40</v>
      </c>
      <c r="D5411">
        <v>3.222105</v>
      </c>
      <c r="E5411">
        <v>0.44959549999999998</v>
      </c>
      <c r="F5411" t="s">
        <v>41</v>
      </c>
      <c r="G5411">
        <v>-264.45830000000001</v>
      </c>
      <c r="H5411" s="1">
        <v>-1.0633179999999999E-6</v>
      </c>
      <c r="I5411">
        <v>-60.930269999999901</v>
      </c>
      <c r="J5411">
        <v>-282.53059999999999</v>
      </c>
      <c r="K5411">
        <v>1.112063</v>
      </c>
      <c r="L5411">
        <v>-61.160369999999901</v>
      </c>
      <c r="M5411">
        <v>0.97586890000000004</v>
      </c>
      <c r="N5411">
        <v>0</v>
      </c>
      <c r="O5411">
        <v>-0.21790470000000001</v>
      </c>
      <c r="P5411">
        <v>0.97236109999999998</v>
      </c>
      <c r="Q5411">
        <v>0.1972573</v>
      </c>
      <c r="R5411">
        <v>-0.12491430000000001</v>
      </c>
      <c r="S5411">
        <v>3.1295470000000001</v>
      </c>
      <c r="T5411">
        <v>-0.19172610000000001</v>
      </c>
      <c r="U5411">
        <v>3.6926269999999997E-2</v>
      </c>
      <c r="V5411">
        <v>-9.081554E-2</v>
      </c>
      <c r="W5411">
        <v>0.21059749999999999</v>
      </c>
      <c r="X5411">
        <v>0.97334540000000003</v>
      </c>
      <c r="Y5411">
        <v>-0.2285933</v>
      </c>
      <c r="Z5411">
        <v>2.0256360000000001E-2</v>
      </c>
      <c r="AA5411">
        <v>0.97331120000000004</v>
      </c>
      <c r="AB5411">
        <v>16</v>
      </c>
      <c r="AC5411">
        <v>18.072299999999899</v>
      </c>
      <c r="AD5411">
        <v>-1.1120640633179999</v>
      </c>
      <c r="AE5411">
        <v>0.2301</v>
      </c>
      <c r="AF5411">
        <v>-4.1472965130261601</v>
      </c>
      <c r="AG5411">
        <v>-1.1120640633179999</v>
      </c>
      <c r="AH5411">
        <v>17.521458475263199</v>
      </c>
      <c r="AI5411">
        <v>93.534219957904696</v>
      </c>
      <c r="AJ5411">
        <v>103.31672016437599</v>
      </c>
      <c r="AK5411">
        <v>18.039907481698901</v>
      </c>
      <c r="AL5411">
        <v>77.842630668500306</v>
      </c>
      <c r="AM5411">
        <v>95.330406393630398</v>
      </c>
      <c r="AN5411">
        <v>1.0000000185064499</v>
      </c>
    </row>
    <row r="5412" spans="1:40" x14ac:dyDescent="0.25">
      <c r="A5412" t="str">
        <f>"20190312172816961"</f>
        <v>20190312172816961</v>
      </c>
      <c r="B5412" t="str">
        <f>"1552382896955527"</f>
        <v>1552382896955527</v>
      </c>
      <c r="C5412" t="s">
        <v>40</v>
      </c>
      <c r="D5412">
        <v>3.1750980000000002</v>
      </c>
      <c r="E5412">
        <v>0.44947920000000002</v>
      </c>
      <c r="F5412" t="s">
        <v>41</v>
      </c>
      <c r="G5412">
        <v>-263.32470000000001</v>
      </c>
      <c r="H5412" s="1">
        <v>-5.5650739999999898E-7</v>
      </c>
      <c r="I5412">
        <v>-60.853230000000003</v>
      </c>
      <c r="J5412">
        <v>-282.36709999999999</v>
      </c>
      <c r="K5412">
        <v>1.1120410000000001</v>
      </c>
      <c r="L5412">
        <v>-61.1922</v>
      </c>
      <c r="M5412">
        <v>0.9766899</v>
      </c>
      <c r="N5412">
        <v>0</v>
      </c>
      <c r="O5412">
        <v>-0.21419550000000001</v>
      </c>
      <c r="P5412">
        <v>0.97277499999999995</v>
      </c>
      <c r="Q5412">
        <v>0.19681190000000001</v>
      </c>
      <c r="R5412">
        <v>-0.1223665</v>
      </c>
      <c r="S5412">
        <v>3.1284480000000001</v>
      </c>
      <c r="T5412">
        <v>-0.18114440000000001</v>
      </c>
      <c r="U5412">
        <v>5.0018310000000003E-2</v>
      </c>
      <c r="V5412">
        <v>-8.9671730000000005E-2</v>
      </c>
      <c r="W5412">
        <v>0.21015800000000001</v>
      </c>
      <c r="X5412">
        <v>0.97354640000000003</v>
      </c>
      <c r="Y5412">
        <v>-0.22906570000000001</v>
      </c>
      <c r="Z5412">
        <v>1.8950700000000001E-2</v>
      </c>
      <c r="AA5412">
        <v>0.97322649999999999</v>
      </c>
      <c r="AB5412">
        <v>16</v>
      </c>
      <c r="AC5412">
        <v>19.042399999999901</v>
      </c>
      <c r="AD5412">
        <v>-1.1120415565074</v>
      </c>
      <c r="AE5412">
        <v>0.338969999999996</v>
      </c>
      <c r="AF5412">
        <v>-4.3953148766239396</v>
      </c>
      <c r="AG5412">
        <v>-1.1120415565074</v>
      </c>
      <c r="AH5412">
        <v>18.4647887486482</v>
      </c>
      <c r="AI5412">
        <v>93.353011955506702</v>
      </c>
      <c r="AJ5412">
        <v>103.389375041463</v>
      </c>
      <c r="AK5412">
        <v>19.013254661427101</v>
      </c>
      <c r="AL5412">
        <v>77.868388375973197</v>
      </c>
      <c r="AM5412">
        <v>95.262569458690507</v>
      </c>
      <c r="AN5412">
        <v>0.99999999853907595</v>
      </c>
    </row>
    <row r="5413" spans="1:40" x14ac:dyDescent="0.25">
      <c r="A5413" t="str">
        <f>"20190312172816974"</f>
        <v>20190312172816974</v>
      </c>
      <c r="B5413" t="str">
        <f>"1552382896965287"</f>
        <v>1552382896965287</v>
      </c>
      <c r="C5413" t="s">
        <v>40</v>
      </c>
      <c r="D5413">
        <v>3.211328</v>
      </c>
      <c r="E5413">
        <v>0.4494592</v>
      </c>
      <c r="F5413" t="s">
        <v>41</v>
      </c>
      <c r="G5413">
        <v>-262.44189999999998</v>
      </c>
      <c r="H5413" s="1">
        <v>-1.6591529999999999E-7</v>
      </c>
      <c r="I5413">
        <v>-60.808639999999997</v>
      </c>
      <c r="J5413">
        <v>-282.27589999999998</v>
      </c>
      <c r="K5413">
        <v>1.1120289999999999</v>
      </c>
      <c r="L5413">
        <v>-61.209690000000002</v>
      </c>
      <c r="M5413">
        <v>0.97713899999999998</v>
      </c>
      <c r="N5413">
        <v>0</v>
      </c>
      <c r="O5413">
        <v>-0.21213760000000001</v>
      </c>
      <c r="P5413">
        <v>0.97293870000000005</v>
      </c>
      <c r="Q5413">
        <v>0.19693189999999999</v>
      </c>
      <c r="R5413">
        <v>-0.120864</v>
      </c>
      <c r="S5413">
        <v>3.1268009999999999</v>
      </c>
      <c r="T5413">
        <v>-0.1745092</v>
      </c>
      <c r="U5413">
        <v>6.0180659999999997E-2</v>
      </c>
      <c r="V5413">
        <v>-8.9113670000000006E-2</v>
      </c>
      <c r="W5413">
        <v>0.2102792</v>
      </c>
      <c r="X5413">
        <v>0.97357150000000003</v>
      </c>
      <c r="Y5413">
        <v>-0.2302392</v>
      </c>
      <c r="Z5413">
        <v>1.8187640000000001E-2</v>
      </c>
      <c r="AA5413">
        <v>0.9729641</v>
      </c>
      <c r="AB5413">
        <v>16</v>
      </c>
      <c r="AC5413">
        <v>19.834</v>
      </c>
      <c r="AD5413">
        <v>-1.1120291659153001</v>
      </c>
      <c r="AE5413">
        <v>0.40104999999999702</v>
      </c>
      <c r="AF5413">
        <v>-4.5854634387981896</v>
      </c>
      <c r="AG5413">
        <v>-1.1120291659153001</v>
      </c>
      <c r="AH5413">
        <v>19.236951754435101</v>
      </c>
      <c r="AI5413">
        <v>93.218437802190294</v>
      </c>
      <c r="AJ5413">
        <v>103.40725756919301</v>
      </c>
      <c r="AK5413">
        <v>19.807155187377699</v>
      </c>
      <c r="AL5413">
        <v>77.861285756614905</v>
      </c>
      <c r="AM5413">
        <v>95.229866658521502</v>
      </c>
      <c r="AN5413">
        <v>1.0000000268728699</v>
      </c>
    </row>
    <row r="5414" spans="1:40" x14ac:dyDescent="0.25">
      <c r="A5414" t="str">
        <f>"20190312172816985"</f>
        <v>20190312172816985</v>
      </c>
      <c r="B5414" t="str">
        <f>"1552382896975048"</f>
        <v>1552382896975048</v>
      </c>
      <c r="C5414" t="s">
        <v>40</v>
      </c>
      <c r="D5414">
        <v>3.1742119999999998</v>
      </c>
      <c r="E5414">
        <v>0.44934839999999998</v>
      </c>
      <c r="F5414" t="s">
        <v>41</v>
      </c>
      <c r="G5414">
        <v>-261.99520000000001</v>
      </c>
      <c r="H5414" s="1">
        <v>3.253604E-8</v>
      </c>
      <c r="I5414">
        <v>-60.783000000000001</v>
      </c>
      <c r="J5414">
        <v>-282.19400000000002</v>
      </c>
      <c r="K5414">
        <v>1.112017</v>
      </c>
      <c r="L5414">
        <v>-61.225279999999998</v>
      </c>
      <c r="M5414">
        <v>0.97753749999999995</v>
      </c>
      <c r="N5414">
        <v>0</v>
      </c>
      <c r="O5414">
        <v>-0.21029410000000001</v>
      </c>
      <c r="P5414">
        <v>0.97304219999999997</v>
      </c>
      <c r="Q5414">
        <v>0.1969804</v>
      </c>
      <c r="R5414">
        <v>-0.11994879999999999</v>
      </c>
      <c r="S5414">
        <v>3.1263429999999999</v>
      </c>
      <c r="T5414">
        <v>-0.1714232</v>
      </c>
      <c r="U5414">
        <v>6.5765379999999998E-2</v>
      </c>
      <c r="V5414">
        <v>-8.8183220000000007E-2</v>
      </c>
      <c r="W5414">
        <v>0.21033089999999999</v>
      </c>
      <c r="X5414">
        <v>0.97364499999999998</v>
      </c>
      <c r="Y5414">
        <v>-0.2301705</v>
      </c>
      <c r="Z5414">
        <v>1.7768099999999998E-2</v>
      </c>
      <c r="AA5414">
        <v>0.97298810000000002</v>
      </c>
      <c r="AB5414">
        <v>16</v>
      </c>
      <c r="AC5414">
        <v>20.198799999999999</v>
      </c>
      <c r="AD5414">
        <v>-1.1120169674639599</v>
      </c>
      <c r="AE5414">
        <v>0.442280000000003</v>
      </c>
      <c r="AF5414">
        <v>-4.6663579113621596</v>
      </c>
      <c r="AG5414">
        <v>-1.1120169674639599</v>
      </c>
      <c r="AH5414">
        <v>19.594648929396101</v>
      </c>
      <c r="AI5414">
        <v>93.159929821972497</v>
      </c>
      <c r="AJ5414">
        <v>103.39516891071401</v>
      </c>
      <c r="AK5414">
        <v>20.173292853650398</v>
      </c>
      <c r="AL5414">
        <v>77.858255186491107</v>
      </c>
      <c r="AM5414">
        <v>95.175170318232205</v>
      </c>
      <c r="AN5414">
        <v>0.999999976904689</v>
      </c>
    </row>
    <row r="5415" spans="1:40" x14ac:dyDescent="0.25">
      <c r="A5415" t="str">
        <f>"20190312172816998"</f>
        <v>20190312172816998</v>
      </c>
      <c r="B5415" t="str">
        <f>"1552382896995544"</f>
        <v>1552382896995544</v>
      </c>
      <c r="C5415" t="s">
        <v>40</v>
      </c>
      <c r="D5415">
        <v>3.1817479999999998</v>
      </c>
      <c r="E5415">
        <v>0.44944849999999997</v>
      </c>
      <c r="F5415" t="s">
        <v>41</v>
      </c>
      <c r="G5415">
        <v>-261.68079999999998</v>
      </c>
      <c r="H5415" s="1">
        <v>1.7294049999999899E-7</v>
      </c>
      <c r="I5415">
        <v>-60.7622199999999</v>
      </c>
      <c r="J5415">
        <v>-282.09899999999999</v>
      </c>
      <c r="K5415">
        <v>1.1120049999999999</v>
      </c>
      <c r="L5415">
        <v>-61.243070000000003</v>
      </c>
      <c r="M5415">
        <v>0.977993</v>
      </c>
      <c r="N5415">
        <v>0</v>
      </c>
      <c r="O5415">
        <v>-0.20816499999999999</v>
      </c>
      <c r="P5415">
        <v>0.97318700000000002</v>
      </c>
      <c r="Q5415">
        <v>0.19697290000000001</v>
      </c>
      <c r="R5415">
        <v>-0.11878080000000001</v>
      </c>
      <c r="S5415">
        <v>3.1260680000000001</v>
      </c>
      <c r="T5415">
        <v>-0.16946359999999999</v>
      </c>
      <c r="U5415">
        <v>7.0556640000000004E-2</v>
      </c>
      <c r="V5415">
        <v>-8.7224510000000005E-2</v>
      </c>
      <c r="W5415">
        <v>0.2103276</v>
      </c>
      <c r="X5415">
        <v>0.97373209999999999</v>
      </c>
      <c r="Y5415">
        <v>-0.22956299999999999</v>
      </c>
      <c r="Z5415">
        <v>1.7437049999999999E-2</v>
      </c>
      <c r="AA5415">
        <v>0.97313760000000005</v>
      </c>
      <c r="AB5415">
        <v>16</v>
      </c>
      <c r="AC5415">
        <v>20.418199999999999</v>
      </c>
      <c r="AD5415">
        <v>-1.1120048270595</v>
      </c>
      <c r="AE5415">
        <v>0.480850000000003</v>
      </c>
      <c r="AF5415">
        <v>-4.70713379112805</v>
      </c>
      <c r="AG5415">
        <v>-1.1120048270595</v>
      </c>
      <c r="AH5415">
        <v>19.811987371500599</v>
      </c>
      <c r="AI5415">
        <v>93.125689553698706</v>
      </c>
      <c r="AJ5415">
        <v>103.36510979128499</v>
      </c>
      <c r="AK5415">
        <v>20.393835021189201</v>
      </c>
      <c r="AL5415">
        <v>77.858448978552204</v>
      </c>
      <c r="AM5415">
        <v>95.118752023266694</v>
      </c>
      <c r="AN5415">
        <v>1.0000000085184499</v>
      </c>
    </row>
    <row r="5416" spans="1:40" x14ac:dyDescent="0.25">
      <c r="A5416" t="str">
        <f>"20190312172817010"</f>
        <v>20190312172817010</v>
      </c>
      <c r="B5416" t="str">
        <f>"1552382897005303"</f>
        <v>1552382897005303</v>
      </c>
      <c r="C5416" t="s">
        <v>40</v>
      </c>
      <c r="D5416">
        <v>3.196984</v>
      </c>
      <c r="E5416">
        <v>0.44939879999999999</v>
      </c>
      <c r="F5416" t="s">
        <v>56</v>
      </c>
      <c r="G5416">
        <v>-261.36970000000002</v>
      </c>
      <c r="H5416" s="1">
        <v>3.0988799999999998E-7</v>
      </c>
      <c r="I5416">
        <v>-60.7491699999999</v>
      </c>
      <c r="J5416">
        <v>-282.0206</v>
      </c>
      <c r="K5416">
        <v>1.11199</v>
      </c>
      <c r="L5416">
        <v>-61.257660000000001</v>
      </c>
      <c r="M5416">
        <v>0.97836440000000002</v>
      </c>
      <c r="N5416">
        <v>0</v>
      </c>
      <c r="O5416">
        <v>-0.2064127</v>
      </c>
      <c r="P5416">
        <v>0.97331540000000005</v>
      </c>
      <c r="Q5416">
        <v>0.19673350000000001</v>
      </c>
      <c r="R5416">
        <v>-0.11812250000000001</v>
      </c>
      <c r="S5416">
        <v>3.1256710000000001</v>
      </c>
      <c r="T5416">
        <v>-0.16767389999999999</v>
      </c>
      <c r="U5416">
        <v>7.4462890000000004E-2</v>
      </c>
      <c r="V5416">
        <v>-8.6139629999999995E-2</v>
      </c>
      <c r="W5416">
        <v>0.21009320000000001</v>
      </c>
      <c r="X5416">
        <v>0.9738793</v>
      </c>
      <c r="Y5416">
        <v>-0.22905439999999999</v>
      </c>
      <c r="Z5416">
        <v>1.7149359999999999E-2</v>
      </c>
      <c r="AA5416">
        <v>0.97326250000000003</v>
      </c>
      <c r="AB5416">
        <v>16</v>
      </c>
      <c r="AC5416">
        <v>20.650899999999901</v>
      </c>
      <c r="AD5416">
        <v>-1.1119896901119899</v>
      </c>
      <c r="AE5416">
        <v>0.508490000000001</v>
      </c>
      <c r="AF5416">
        <v>-4.7468101859288101</v>
      </c>
      <c r="AG5416">
        <v>-1.1119896901119899</v>
      </c>
      <c r="AH5416">
        <v>20.043045971037699</v>
      </c>
      <c r="AI5416">
        <v>93.090210429597406</v>
      </c>
      <c r="AJ5416">
        <v>103.323916768587</v>
      </c>
      <c r="AK5416">
        <v>20.627467605338399</v>
      </c>
      <c r="AL5416">
        <v>77.872186432522597</v>
      </c>
      <c r="AM5416">
        <v>95.0546578908057</v>
      </c>
      <c r="AN5416">
        <v>1.0000000397556299</v>
      </c>
    </row>
    <row r="5417" spans="1:40" x14ac:dyDescent="0.25">
      <c r="A5417" t="str">
        <f>"20190312172817020"</f>
        <v>20190312172817020</v>
      </c>
      <c r="B5417" t="str">
        <f>"1552382897015063"</f>
        <v>1552382897015063</v>
      </c>
      <c r="C5417" t="s">
        <v>40</v>
      </c>
      <c r="D5417">
        <v>3.213876</v>
      </c>
      <c r="E5417">
        <v>0.44939990000000002</v>
      </c>
      <c r="F5417" t="s">
        <v>56</v>
      </c>
      <c r="G5417">
        <v>-261.25630000000001</v>
      </c>
      <c r="H5417" s="1">
        <v>3.6066240000000003E-7</v>
      </c>
      <c r="I5417">
        <v>-60.741199999999999</v>
      </c>
      <c r="J5417">
        <v>-281.93920000000003</v>
      </c>
      <c r="K5417">
        <v>1.111977</v>
      </c>
      <c r="L5417">
        <v>-61.272640000000003</v>
      </c>
      <c r="M5417">
        <v>0.97874499999999998</v>
      </c>
      <c r="N5417">
        <v>0</v>
      </c>
      <c r="O5417">
        <v>-0.20460110000000001</v>
      </c>
      <c r="P5417">
        <v>0.97346279999999996</v>
      </c>
      <c r="Q5417">
        <v>0.1964891</v>
      </c>
      <c r="R5417">
        <v>-0.11731220000000001</v>
      </c>
      <c r="S5417">
        <v>3.1255190000000002</v>
      </c>
      <c r="T5417">
        <v>-0.16738029999999901</v>
      </c>
      <c r="U5417">
        <v>7.7728270000000002E-2</v>
      </c>
      <c r="V5417">
        <v>-8.5149359999999993E-2</v>
      </c>
      <c r="W5417">
        <v>0.2098535</v>
      </c>
      <c r="X5417">
        <v>0.97401800000000005</v>
      </c>
      <c r="Y5417">
        <v>-0.2282757</v>
      </c>
      <c r="Z5417">
        <v>1.700399E-2</v>
      </c>
      <c r="AA5417">
        <v>0.97344799999999998</v>
      </c>
      <c r="AB5417">
        <v>16</v>
      </c>
      <c r="AC5417">
        <v>20.6829</v>
      </c>
      <c r="AD5417">
        <v>-1.1119766393376</v>
      </c>
      <c r="AE5417">
        <v>0.53144000000000302</v>
      </c>
      <c r="AF5417">
        <v>-4.73866760933298</v>
      </c>
      <c r="AG5417">
        <v>-1.1119766393376</v>
      </c>
      <c r="AH5417">
        <v>20.078533313329999</v>
      </c>
      <c r="AI5417">
        <v>93.085291287189804</v>
      </c>
      <c r="AJ5417">
        <v>103.27919782578699</v>
      </c>
      <c r="AK5417">
        <v>20.660081383495999</v>
      </c>
      <c r="AL5417">
        <v>77.886232699643003</v>
      </c>
      <c r="AM5417">
        <v>94.996136971185294</v>
      </c>
      <c r="AN5417">
        <v>0.99999998464732898</v>
      </c>
    </row>
    <row r="5418" spans="1:40" x14ac:dyDescent="0.25">
      <c r="A5418" t="str">
        <f>"20190312172817031"</f>
        <v>20190312172817031</v>
      </c>
      <c r="B5418" t="str">
        <f>"1552382897024823"</f>
        <v>1552382897024823</v>
      </c>
      <c r="C5418" t="s">
        <v>40</v>
      </c>
      <c r="D5418">
        <v>3.187513</v>
      </c>
      <c r="E5418">
        <v>0.44945059999999898</v>
      </c>
      <c r="F5418" t="s">
        <v>41</v>
      </c>
      <c r="G5418">
        <v>-261.19060000000002</v>
      </c>
      <c r="H5418" s="1">
        <v>3.9123650000000001E-7</v>
      </c>
      <c r="I5418">
        <v>-60.732250000000001</v>
      </c>
      <c r="J5418">
        <v>-281.8623</v>
      </c>
      <c r="K5418">
        <v>1.111964</v>
      </c>
      <c r="L5418">
        <v>-61.286650000000002</v>
      </c>
      <c r="M5418">
        <v>0.97910050000000004</v>
      </c>
      <c r="N5418">
        <v>0</v>
      </c>
      <c r="O5418">
        <v>-0.2028934</v>
      </c>
      <c r="P5418">
        <v>0.97358389999999995</v>
      </c>
      <c r="Q5418">
        <v>0.1962933</v>
      </c>
      <c r="R5418">
        <v>-0.1166346</v>
      </c>
      <c r="S5418">
        <v>3.1254270000000002</v>
      </c>
      <c r="T5418">
        <v>-0.16750000000000001</v>
      </c>
      <c r="U5418">
        <v>8.1390379999999998E-2</v>
      </c>
      <c r="V5418">
        <v>-8.4127359999999998E-2</v>
      </c>
      <c r="W5418">
        <v>0.20966190000000001</v>
      </c>
      <c r="X5418">
        <v>0.97414809999999996</v>
      </c>
      <c r="Y5418">
        <v>-0.22772020000000001</v>
      </c>
      <c r="Z5418">
        <v>1.691173E-2</v>
      </c>
      <c r="AA5418">
        <v>0.9735798</v>
      </c>
      <c r="AB5418">
        <v>16</v>
      </c>
      <c r="AC5418">
        <v>20.671699999999898</v>
      </c>
      <c r="AD5418">
        <v>-1.1119636087635001</v>
      </c>
      <c r="AE5418">
        <v>0.554400000000001</v>
      </c>
      <c r="AF5418">
        <v>-4.7237716648742296</v>
      </c>
      <c r="AG5418">
        <v>-1.1119636087635001</v>
      </c>
      <c r="AH5418">
        <v>20.071130503940001</v>
      </c>
      <c r="AI5418">
        <v>93.086841544544001</v>
      </c>
      <c r="AJ5418">
        <v>103.24363785776001</v>
      </c>
      <c r="AK5418">
        <v>20.649473637729201</v>
      </c>
      <c r="AL5418">
        <v>77.897460817855304</v>
      </c>
      <c r="AM5418">
        <v>94.935813222470102</v>
      </c>
      <c r="AN5418">
        <v>1.00000002287289</v>
      </c>
    </row>
    <row r="5419" spans="1:40" x14ac:dyDescent="0.25">
      <c r="A5419" t="str">
        <f>"20190312172817043"</f>
        <v>20190312172817043</v>
      </c>
      <c r="B5419" t="str">
        <f>"1552382897035559"</f>
        <v>1552382897035559</v>
      </c>
      <c r="C5419" t="s">
        <v>40</v>
      </c>
      <c r="D5419">
        <v>3.185041</v>
      </c>
      <c r="E5419">
        <v>0.44952950000000003</v>
      </c>
      <c r="F5419" t="s">
        <v>41</v>
      </c>
      <c r="G5419">
        <v>-261.09269999999998</v>
      </c>
      <c r="H5419" s="1">
        <v>4.3425249999999998E-7</v>
      </c>
      <c r="I5419">
        <v>-60.72824</v>
      </c>
      <c r="J5419">
        <v>-281.78410000000002</v>
      </c>
      <c r="K5419">
        <v>1.1119520000000001</v>
      </c>
      <c r="L5419">
        <v>-61.300750000000001</v>
      </c>
      <c r="M5419">
        <v>0.97945760000000004</v>
      </c>
      <c r="N5419">
        <v>0</v>
      </c>
      <c r="O5419">
        <v>-0.20116319999999999</v>
      </c>
      <c r="P5419">
        <v>0.97387239999999997</v>
      </c>
      <c r="Q5419">
        <v>0.19534850000000001</v>
      </c>
      <c r="R5419">
        <v>-0.1158103</v>
      </c>
      <c r="S5419">
        <v>3.1252439999999999</v>
      </c>
      <c r="T5419">
        <v>-0.1673201</v>
      </c>
      <c r="U5419">
        <v>8.4014889999999995E-2</v>
      </c>
      <c r="V5419">
        <v>-8.3259050000000001E-2</v>
      </c>
      <c r="W5419">
        <v>0.2087232</v>
      </c>
      <c r="X5419">
        <v>0.97442419999999996</v>
      </c>
      <c r="Y5419">
        <v>-0.22682340000000001</v>
      </c>
      <c r="Z5419">
        <v>1.6779430000000001E-2</v>
      </c>
      <c r="AA5419">
        <v>0.97379139999999997</v>
      </c>
      <c r="AB5419">
        <v>16</v>
      </c>
      <c r="AC5419">
        <v>20.691400000000002</v>
      </c>
      <c r="AD5419">
        <v>-1.1119515657475001</v>
      </c>
      <c r="AE5419">
        <v>0.57251000000000096</v>
      </c>
      <c r="AF5419">
        <v>-4.70996903406723</v>
      </c>
      <c r="AG5419">
        <v>-1.1119515657475001</v>
      </c>
      <c r="AH5419">
        <v>20.0951681732674</v>
      </c>
      <c r="AI5419">
        <v>93.083786255140694</v>
      </c>
      <c r="AJ5419">
        <v>103.19105394553</v>
      </c>
      <c r="AK5419">
        <v>20.669688640575501</v>
      </c>
      <c r="AL5419">
        <v>77.952460788967699</v>
      </c>
      <c r="AM5419">
        <v>94.883739168684002</v>
      </c>
      <c r="AN5419">
        <v>0.99999998258539102</v>
      </c>
    </row>
    <row r="5420" spans="1:40" x14ac:dyDescent="0.25">
      <c r="A5420" t="str">
        <f>"20190312172817054"</f>
        <v>20190312172817054</v>
      </c>
      <c r="B5420" t="str">
        <f>"1552382897045320"</f>
        <v>1552382897045320</v>
      </c>
      <c r="C5420" t="s">
        <v>40</v>
      </c>
      <c r="D5420">
        <v>3.194372</v>
      </c>
      <c r="E5420">
        <v>0.44961370000000001</v>
      </c>
      <c r="F5420" t="s">
        <v>56</v>
      </c>
      <c r="G5420">
        <v>-261.387</v>
      </c>
      <c r="H5420" s="1">
        <v>3.0648739999999998E-7</v>
      </c>
      <c r="I5420">
        <v>-60.733980000000003</v>
      </c>
      <c r="J5420">
        <v>-281.7106</v>
      </c>
      <c r="K5420">
        <v>1.1119399999999999</v>
      </c>
      <c r="L5420">
        <v>-61.313899999999997</v>
      </c>
      <c r="M5420">
        <v>0.97978969999999999</v>
      </c>
      <c r="N5420">
        <v>0</v>
      </c>
      <c r="O5420">
        <v>-0.19953850000000001</v>
      </c>
      <c r="P5420">
        <v>0.97403899999999999</v>
      </c>
      <c r="Q5420">
        <v>0.1948413</v>
      </c>
      <c r="R5420">
        <v>-0.11526119999999999</v>
      </c>
      <c r="S5420">
        <v>3.125</v>
      </c>
      <c r="T5420">
        <v>-0.17035980000000001</v>
      </c>
      <c r="U5420">
        <v>8.6822510000000006E-2</v>
      </c>
      <c r="V5420">
        <v>-8.2203509999999994E-2</v>
      </c>
      <c r="W5420">
        <v>0.20822099999999999</v>
      </c>
      <c r="X5420">
        <v>0.97462119999999997</v>
      </c>
      <c r="Y5420">
        <v>-0.22606560000000001</v>
      </c>
      <c r="Z5420">
        <v>1.6977309999999999E-2</v>
      </c>
      <c r="AA5420">
        <v>0.9739641</v>
      </c>
      <c r="AB5420">
        <v>16</v>
      </c>
      <c r="AC5420">
        <v>20.323599999999999</v>
      </c>
      <c r="AD5420">
        <v>-1.1119396935126</v>
      </c>
      <c r="AE5420">
        <v>0.579919999999994</v>
      </c>
      <c r="AF5420">
        <v>-4.6102058524604503</v>
      </c>
      <c r="AG5420">
        <v>-1.1119396935126</v>
      </c>
      <c r="AH5420">
        <v>19.7400419555489</v>
      </c>
      <c r="AI5420">
        <v>93.139702484798406</v>
      </c>
      <c r="AJ5420">
        <v>103.145572051697</v>
      </c>
      <c r="AK5420">
        <v>20.3017157967227</v>
      </c>
      <c r="AL5420">
        <v>77.981880658557898</v>
      </c>
      <c r="AM5420">
        <v>94.821147911717901</v>
      </c>
      <c r="AN5420">
        <v>0.999999942693378</v>
      </c>
    </row>
    <row r="5421" spans="1:40" x14ac:dyDescent="0.25">
      <c r="A5421" t="str">
        <f>"20190312172817064"</f>
        <v>20190312172817064</v>
      </c>
      <c r="B5421" t="str">
        <f>"1552382897055079"</f>
        <v>1552382897055079</v>
      </c>
      <c r="C5421" t="s">
        <v>40</v>
      </c>
      <c r="D5421">
        <v>3.1998190000000002</v>
      </c>
      <c r="E5421">
        <v>0.44971270000000002</v>
      </c>
      <c r="F5421" t="s">
        <v>41</v>
      </c>
      <c r="G5421">
        <v>-261.48129999999998</v>
      </c>
      <c r="H5421" s="1">
        <v>2.6471209999999999E-7</v>
      </c>
      <c r="I5421">
        <v>-60.738939999999999</v>
      </c>
      <c r="J5421">
        <v>-281.62970000000001</v>
      </c>
      <c r="K5421">
        <v>1.1119270000000001</v>
      </c>
      <c r="L5421">
        <v>-61.328220000000002</v>
      </c>
      <c r="M5421">
        <v>0.98015110000000005</v>
      </c>
      <c r="N5421">
        <v>0</v>
      </c>
      <c r="O5421">
        <v>-0.1977563</v>
      </c>
      <c r="P5421">
        <v>0.97425050000000002</v>
      </c>
      <c r="Q5421">
        <v>0.19425210000000001</v>
      </c>
      <c r="R5421">
        <v>-0.1144651</v>
      </c>
      <c r="S5421">
        <v>3.1248469999999999</v>
      </c>
      <c r="T5421">
        <v>-0.17176329999999901</v>
      </c>
      <c r="U5421">
        <v>8.880615E-2</v>
      </c>
      <c r="V5421">
        <v>-8.1241569999999999E-2</v>
      </c>
      <c r="W5421">
        <v>0.2076366</v>
      </c>
      <c r="X5421">
        <v>0.97482659999999999</v>
      </c>
      <c r="Y5421">
        <v>-0.2249072</v>
      </c>
      <c r="Z5421">
        <v>1.6989489999999999E-2</v>
      </c>
      <c r="AA5421">
        <v>0.97423210000000005</v>
      </c>
      <c r="AB5421">
        <v>16</v>
      </c>
      <c r="AC5421">
        <v>20.148399999999999</v>
      </c>
      <c r="AD5421">
        <v>-1.1119267352878901</v>
      </c>
      <c r="AE5421">
        <v>0.58927999999999503</v>
      </c>
      <c r="AF5421">
        <v>-4.5486627167694298</v>
      </c>
      <c r="AG5421">
        <v>-1.1119267352878901</v>
      </c>
      <c r="AH5421">
        <v>19.574305098429299</v>
      </c>
      <c r="AI5421">
        <v>93.167010513818099</v>
      </c>
      <c r="AJ5421">
        <v>103.08217000805899</v>
      </c>
      <c r="AK5421">
        <v>20.126602635864099</v>
      </c>
      <c r="AL5421">
        <v>78.016113490315107</v>
      </c>
      <c r="AM5421">
        <v>94.763993077993305</v>
      </c>
      <c r="AN5421">
        <v>1.0000000252115899</v>
      </c>
    </row>
    <row r="5422" spans="1:40" x14ac:dyDescent="0.25">
      <c r="A5422" t="str">
        <f>"20190312172817074"</f>
        <v>20190312172817074</v>
      </c>
      <c r="B5422" t="str">
        <f>"1552382897064840"</f>
        <v>1552382897064840</v>
      </c>
      <c r="C5422" t="s">
        <v>40</v>
      </c>
      <c r="D5422">
        <v>3.1943540000000001</v>
      </c>
      <c r="E5422">
        <v>0.44985229999999998</v>
      </c>
      <c r="F5422" t="s">
        <v>41</v>
      </c>
      <c r="G5422">
        <v>-261.59249999999997</v>
      </c>
      <c r="H5422" s="1">
        <v>2.1621549999999999E-7</v>
      </c>
      <c r="I5422">
        <v>-60.74203</v>
      </c>
      <c r="J5422">
        <v>-281.56020000000001</v>
      </c>
      <c r="K5422">
        <v>1.1119110000000001</v>
      </c>
      <c r="L5422">
        <v>-61.340389999999999</v>
      </c>
      <c r="M5422">
        <v>0.98045890000000002</v>
      </c>
      <c r="N5422">
        <v>0</v>
      </c>
      <c r="O5422">
        <v>-0.19622500000000001</v>
      </c>
      <c r="P5422">
        <v>0.97439279999999995</v>
      </c>
      <c r="Q5422">
        <v>0.19388630000000001</v>
      </c>
      <c r="R5422">
        <v>-0.1138706</v>
      </c>
      <c r="S5422">
        <v>3.1246339999999999</v>
      </c>
      <c r="T5422">
        <v>-0.17339499999999999</v>
      </c>
      <c r="U5422">
        <v>9.1400149999999999E-2</v>
      </c>
      <c r="V5422">
        <v>-8.0320539999999996E-2</v>
      </c>
      <c r="W5422">
        <v>0.20727129999999999</v>
      </c>
      <c r="X5422">
        <v>0.97498059999999998</v>
      </c>
      <c r="Y5422">
        <v>-0.22418650000000001</v>
      </c>
      <c r="Z5422">
        <v>1.7048109999999998E-2</v>
      </c>
      <c r="AA5422">
        <v>0.97439710000000002</v>
      </c>
      <c r="AB5422">
        <v>16</v>
      </c>
      <c r="AC5422">
        <v>19.967700000000001</v>
      </c>
      <c r="AD5422">
        <v>-1.1119107837844999</v>
      </c>
      <c r="AE5422">
        <v>0.59835999999999201</v>
      </c>
      <c r="AF5422">
        <v>-4.4913564466419196</v>
      </c>
      <c r="AG5422">
        <v>-1.1119107837844999</v>
      </c>
      <c r="AH5422">
        <v>19.401895466981799</v>
      </c>
      <c r="AI5422">
        <v>93.195673182756494</v>
      </c>
      <c r="AJ5422">
        <v>103.03385227325199</v>
      </c>
      <c r="AK5422">
        <v>19.945981450747901</v>
      </c>
      <c r="AL5422">
        <v>78.037508502858998</v>
      </c>
      <c r="AM5422">
        <v>94.709487773649499</v>
      </c>
      <c r="AN5422">
        <v>0.99999997566297005</v>
      </c>
    </row>
    <row r="5423" spans="1:40" x14ac:dyDescent="0.25">
      <c r="A5423" t="str">
        <f>"20190312172817085"</f>
        <v>20190312172817085</v>
      </c>
      <c r="B5423" t="str">
        <f>"1552382897075576"</f>
        <v>1552382897075576</v>
      </c>
      <c r="C5423" t="s">
        <v>40</v>
      </c>
      <c r="D5423">
        <v>3.3489610000000001</v>
      </c>
      <c r="E5423">
        <v>0.44999820000000001</v>
      </c>
      <c r="F5423" t="s">
        <v>41</v>
      </c>
      <c r="G5423">
        <v>-261.65730000000002</v>
      </c>
      <c r="H5423" s="1">
        <v>1.8705E-7</v>
      </c>
      <c r="I5423">
        <v>-60.7470199999999</v>
      </c>
      <c r="J5423">
        <v>-281.48570000000001</v>
      </c>
      <c r="K5423">
        <v>1.1119000000000001</v>
      </c>
      <c r="L5423">
        <v>-61.353389999999997</v>
      </c>
      <c r="M5423">
        <v>0.98078540000000003</v>
      </c>
      <c r="N5423">
        <v>0</v>
      </c>
      <c r="O5423">
        <v>-0.1945868</v>
      </c>
      <c r="P5423">
        <v>0.9745066</v>
      </c>
      <c r="Q5423">
        <v>0.19349910000000001</v>
      </c>
      <c r="R5423">
        <v>-0.1135562</v>
      </c>
      <c r="S5423">
        <v>3.1244510000000001</v>
      </c>
      <c r="T5423">
        <v>-0.1745535</v>
      </c>
      <c r="U5423">
        <v>9.3139650000000004E-2</v>
      </c>
      <c r="V5423">
        <v>-7.9013239999999998E-2</v>
      </c>
      <c r="W5423">
        <v>0.2068846</v>
      </c>
      <c r="X5423">
        <v>0.97516950000000002</v>
      </c>
      <c r="Y5423">
        <v>-0.22309780000000001</v>
      </c>
      <c r="Z5423">
        <v>1.7042249999999998E-2</v>
      </c>
      <c r="AA5423">
        <v>0.97464709999999999</v>
      </c>
      <c r="AB5423">
        <v>16</v>
      </c>
      <c r="AC5423">
        <v>19.828399999999899</v>
      </c>
      <c r="AD5423">
        <v>-1.11189981295</v>
      </c>
      <c r="AE5423">
        <v>0.60637000000001195</v>
      </c>
      <c r="AF5423">
        <v>-4.4395528887365696</v>
      </c>
      <c r="AG5423">
        <v>-1.11189981295</v>
      </c>
      <c r="AH5423">
        <v>19.2707670406852</v>
      </c>
      <c r="AI5423">
        <v>93.218124551337496</v>
      </c>
      <c r="AJ5423">
        <v>102.973310233723</v>
      </c>
      <c r="AK5423">
        <v>19.8067769559383</v>
      </c>
      <c r="AL5423">
        <v>78.060155260816003</v>
      </c>
      <c r="AM5423">
        <v>94.632278851341795</v>
      </c>
      <c r="AN5423">
        <v>0.99999994177135199</v>
      </c>
    </row>
    <row r="5424" spans="1:40" x14ac:dyDescent="0.25">
      <c r="A5424" t="str">
        <f>"20190312172817096"</f>
        <v>20190312172817096</v>
      </c>
      <c r="B5424" t="str">
        <f>"1552382897085337"</f>
        <v>1552382897085337</v>
      </c>
      <c r="C5424" t="s">
        <v>40</v>
      </c>
      <c r="D5424">
        <v>3.281148</v>
      </c>
      <c r="E5424">
        <v>0.45007619999999998</v>
      </c>
      <c r="F5424" t="s">
        <v>56</v>
      </c>
      <c r="G5424">
        <v>-261.7534</v>
      </c>
      <c r="H5424" s="1">
        <v>1.42563E-7</v>
      </c>
      <c r="I5424">
        <v>-60.759320000000002</v>
      </c>
      <c r="J5424">
        <v>-281.41329999999999</v>
      </c>
      <c r="K5424">
        <v>1.1118889999999999</v>
      </c>
      <c r="L5424">
        <v>-61.365780000000001</v>
      </c>
      <c r="M5424">
        <v>0.98109979999999997</v>
      </c>
      <c r="N5424">
        <v>0</v>
      </c>
      <c r="O5424">
        <v>-0.19299759999999999</v>
      </c>
      <c r="P5424">
        <v>0.97458889999999998</v>
      </c>
      <c r="Q5424">
        <v>0.19345119999999999</v>
      </c>
      <c r="R5424">
        <v>-0.11293069999999999</v>
      </c>
      <c r="S5424">
        <v>3.1244510000000001</v>
      </c>
      <c r="T5424">
        <v>-0.17606060000000001</v>
      </c>
      <c r="U5424">
        <v>9.4055180000000002E-2</v>
      </c>
      <c r="V5424">
        <v>-7.8056329999999993E-2</v>
      </c>
      <c r="W5424">
        <v>0.20682439999999999</v>
      </c>
      <c r="X5424">
        <v>0.9752594</v>
      </c>
      <c r="Y5424">
        <v>-0.22179699999999999</v>
      </c>
      <c r="Z5424">
        <v>1.7064240000000001E-2</v>
      </c>
      <c r="AA5424">
        <v>0.97494349999999996</v>
      </c>
      <c r="AB5424">
        <v>16</v>
      </c>
      <c r="AC5424">
        <v>19.6599</v>
      </c>
      <c r="AD5424">
        <v>-1.1118888574369901</v>
      </c>
      <c r="AE5424">
        <v>0.60646000000001199</v>
      </c>
      <c r="AF5424">
        <v>-4.37575656429925</v>
      </c>
      <c r="AG5424">
        <v>-1.1118888574369901</v>
      </c>
      <c r="AH5424">
        <v>19.1120753518972</v>
      </c>
      <c r="AI5424">
        <v>93.245763380598703</v>
      </c>
      <c r="AJ5424">
        <v>102.89574708719201</v>
      </c>
      <c r="AK5424">
        <v>19.638099872388299</v>
      </c>
      <c r="AL5424">
        <v>78.063681545178696</v>
      </c>
      <c r="AM5424">
        <v>94.575998143374605</v>
      </c>
      <c r="AN5424">
        <v>1.0000000101883899</v>
      </c>
    </row>
    <row r="5425" spans="1:40" x14ac:dyDescent="0.25">
      <c r="A5425" t="str">
        <f>"20190312172817106"</f>
        <v>20190312172817106</v>
      </c>
      <c r="B5425" t="str">
        <f>"1552382897095095"</f>
        <v>1552382897095095</v>
      </c>
      <c r="C5425" t="s">
        <v>40</v>
      </c>
      <c r="D5425">
        <v>3.2147009999999998</v>
      </c>
      <c r="E5425">
        <v>0.45024370000000002</v>
      </c>
      <c r="F5425" t="s">
        <v>41</v>
      </c>
      <c r="G5425">
        <v>-261.72160000000002</v>
      </c>
      <c r="H5425" s="1">
        <v>1.564821E-7</v>
      </c>
      <c r="I5425">
        <v>-60.758310000000002</v>
      </c>
      <c r="J5425">
        <v>-281.33420000000001</v>
      </c>
      <c r="K5425">
        <v>1.1118760000000001</v>
      </c>
      <c r="L5425">
        <v>-61.379300000000001</v>
      </c>
      <c r="M5425">
        <v>0.9814406</v>
      </c>
      <c r="N5425">
        <v>0</v>
      </c>
      <c r="O5425">
        <v>-0.1912587</v>
      </c>
      <c r="P5425">
        <v>0.97470650000000003</v>
      </c>
      <c r="Q5425">
        <v>0.19323470000000001</v>
      </c>
      <c r="R5425">
        <v>-0.1122857</v>
      </c>
      <c r="S5425">
        <v>3.1244200000000002</v>
      </c>
      <c r="T5425">
        <v>-0.17641950000000001</v>
      </c>
      <c r="U5425">
        <v>9.6374509999999997E-2</v>
      </c>
      <c r="V5425">
        <v>-7.6976139999999998E-2</v>
      </c>
      <c r="W5425">
        <v>0.2065921</v>
      </c>
      <c r="X5425">
        <v>0.97539450000000005</v>
      </c>
      <c r="Y5425">
        <v>-0.22079409999999999</v>
      </c>
      <c r="Z5425">
        <v>1.6974019999999999E-2</v>
      </c>
      <c r="AA5425">
        <v>0.97517279999999995</v>
      </c>
      <c r="AB5425">
        <v>16</v>
      </c>
      <c r="AC5425">
        <v>19.612599999999901</v>
      </c>
      <c r="AD5425">
        <v>-1.1118758435178999</v>
      </c>
      <c r="AE5425">
        <v>0.62099000000000604</v>
      </c>
      <c r="AF5425">
        <v>-4.3470120243618</v>
      </c>
      <c r="AG5425">
        <v>-1.1118758435178999</v>
      </c>
      <c r="AH5425">
        <v>19.070461853348199</v>
      </c>
      <c r="AI5425">
        <v>93.253502966374896</v>
      </c>
      <c r="AJ5425">
        <v>102.84087468931099</v>
      </c>
      <c r="AK5425">
        <v>19.591204575812899</v>
      </c>
      <c r="AL5425">
        <v>78.077285351503093</v>
      </c>
      <c r="AM5425">
        <v>94.512313671218607</v>
      </c>
      <c r="AN5425">
        <v>1.0000000262709701</v>
      </c>
    </row>
    <row r="5426" spans="1:40" x14ac:dyDescent="0.25">
      <c r="A5426" t="str">
        <f>"20190312172817118"</f>
        <v>20190312172817118</v>
      </c>
      <c r="B5426" t="str">
        <f>"1552382897114615"</f>
        <v>1552382897114615</v>
      </c>
      <c r="C5426" t="s">
        <v>40</v>
      </c>
      <c r="D5426">
        <v>3.2150189999999998</v>
      </c>
      <c r="E5426">
        <v>0.45056099999999999</v>
      </c>
      <c r="F5426" t="s">
        <v>41</v>
      </c>
      <c r="G5426">
        <v>-261.69569999999999</v>
      </c>
      <c r="H5426" s="1">
        <v>1.664613E-7</v>
      </c>
      <c r="I5426">
        <v>-60.762509999999999</v>
      </c>
      <c r="J5426">
        <v>-281.25630000000001</v>
      </c>
      <c r="K5426">
        <v>1.111864</v>
      </c>
      <c r="L5426">
        <v>-61.392429999999997</v>
      </c>
      <c r="M5426">
        <v>0.98177340000000002</v>
      </c>
      <c r="N5426">
        <v>0</v>
      </c>
      <c r="O5426">
        <v>-0.18954509999999999</v>
      </c>
      <c r="P5426">
        <v>0.97484870000000001</v>
      </c>
      <c r="Q5426">
        <v>0.19291</v>
      </c>
      <c r="R5426">
        <v>-0.1116061</v>
      </c>
      <c r="S5426">
        <v>3.1242679999999998</v>
      </c>
      <c r="T5426">
        <v>-0.17688719999999999</v>
      </c>
      <c r="U5426">
        <v>9.8114010000000001E-2</v>
      </c>
      <c r="V5426">
        <v>-7.5961550000000003E-2</v>
      </c>
      <c r="W5426">
        <v>0.20623240000000001</v>
      </c>
      <c r="X5426">
        <v>0.97555009999999998</v>
      </c>
      <c r="Y5426">
        <v>-0.21963640000000001</v>
      </c>
      <c r="Z5426">
        <v>1.689131E-2</v>
      </c>
      <c r="AA5426">
        <v>0.97543559999999996</v>
      </c>
      <c r="AB5426">
        <v>16</v>
      </c>
      <c r="AC5426">
        <v>19.560600000000001</v>
      </c>
      <c r="AD5426">
        <v>-1.1118638335387001</v>
      </c>
      <c r="AE5426">
        <v>0.62992000000000503</v>
      </c>
      <c r="AF5426">
        <v>-4.3125540181370301</v>
      </c>
      <c r="AG5426">
        <v>-1.1118638335387001</v>
      </c>
      <c r="AH5426">
        <v>19.025119874885299</v>
      </c>
      <c r="AI5426">
        <v>93.262097010066796</v>
      </c>
      <c r="AJ5426">
        <v>102.771796866328</v>
      </c>
      <c r="AK5426">
        <v>19.539435754326099</v>
      </c>
      <c r="AL5426">
        <v>78.0983476557317</v>
      </c>
      <c r="AM5426">
        <v>94.452372165893493</v>
      </c>
      <c r="AN5426">
        <v>0.99999997874908597</v>
      </c>
    </row>
    <row r="5427" spans="1:40" x14ac:dyDescent="0.25">
      <c r="A5427" t="str">
        <f>"20190312172817129"</f>
        <v>20190312172817129</v>
      </c>
      <c r="B5427" t="str">
        <f>"1552382897125351"</f>
        <v>1552382897125351</v>
      </c>
      <c r="C5427" t="s">
        <v>40</v>
      </c>
      <c r="D5427">
        <v>3.2652909999999999</v>
      </c>
      <c r="E5427">
        <v>0.45056099999999999</v>
      </c>
      <c r="F5427" t="s">
        <v>41</v>
      </c>
      <c r="G5427">
        <v>-261.71589999999998</v>
      </c>
      <c r="H5427" s="1">
        <v>1.544424E-7</v>
      </c>
      <c r="I5427">
        <v>-60.775199999999998</v>
      </c>
      <c r="J5427">
        <v>-281.18169999999998</v>
      </c>
      <c r="K5427">
        <v>1.111853</v>
      </c>
      <c r="L5427">
        <v>-61.404910000000001</v>
      </c>
      <c r="M5427">
        <v>0.98208949999999995</v>
      </c>
      <c r="N5427">
        <v>0</v>
      </c>
      <c r="O5427">
        <v>-0.1879046</v>
      </c>
      <c r="P5427">
        <v>0.97503589999999996</v>
      </c>
      <c r="Q5427">
        <v>0.1923327</v>
      </c>
      <c r="R5427">
        <v>-0.11096640000000001</v>
      </c>
      <c r="S5427">
        <v>3.1238709999999998</v>
      </c>
      <c r="T5427">
        <v>-0.17775060000000001</v>
      </c>
      <c r="U5427">
        <v>9.8663329999999994E-2</v>
      </c>
      <c r="V5427">
        <v>-7.4988479999999996E-2</v>
      </c>
      <c r="W5427">
        <v>0.20561879999999999</v>
      </c>
      <c r="X5427">
        <v>0.97575489999999998</v>
      </c>
      <c r="Y5427">
        <v>-0.21818009999999999</v>
      </c>
      <c r="Z5427">
        <v>1.6842280000000001E-2</v>
      </c>
      <c r="AA5427">
        <v>0.97576320000000005</v>
      </c>
      <c r="AB5427">
        <v>16</v>
      </c>
      <c r="AC5427">
        <v>19.465800000000002</v>
      </c>
      <c r="AD5427">
        <v>-1.1118528455576</v>
      </c>
      <c r="AE5427">
        <v>0.62971000000000199</v>
      </c>
      <c r="AF5427">
        <v>-4.2626632842565</v>
      </c>
      <c r="AG5427">
        <v>-1.1118528455576</v>
      </c>
      <c r="AH5427">
        <v>18.938933630237901</v>
      </c>
      <c r="AI5427">
        <v>93.278003832624194</v>
      </c>
      <c r="AJ5427">
        <v>102.684424013724</v>
      </c>
      <c r="AK5427">
        <v>19.444529361125699</v>
      </c>
      <c r="AL5427">
        <v>78.134274523845605</v>
      </c>
      <c r="AM5427">
        <v>94.394643129023905</v>
      </c>
      <c r="AN5427">
        <v>0.99999999396007999</v>
      </c>
    </row>
    <row r="5428" spans="1:40" x14ac:dyDescent="0.25">
      <c r="A5428" t="str">
        <f>"20190312172817139"</f>
        <v>20190312172817139</v>
      </c>
      <c r="B5428" t="str">
        <f>"1552382897135111"</f>
        <v>1552382897135111</v>
      </c>
      <c r="C5428" t="s">
        <v>40</v>
      </c>
      <c r="D5428">
        <v>3.4053900000000001</v>
      </c>
      <c r="E5428">
        <v>0.45162950000000002</v>
      </c>
      <c r="F5428" t="s">
        <v>41</v>
      </c>
      <c r="G5428">
        <v>-261.79669999999999</v>
      </c>
      <c r="H5428" s="1">
        <v>1.198362E-7</v>
      </c>
      <c r="I5428">
        <v>-60.774940000000001</v>
      </c>
      <c r="J5428">
        <v>-281.10359999999997</v>
      </c>
      <c r="K5428">
        <v>1.1118410000000001</v>
      </c>
      <c r="L5428">
        <v>-61.417760000000001</v>
      </c>
      <c r="M5428">
        <v>0.98241769999999995</v>
      </c>
      <c r="N5428">
        <v>0</v>
      </c>
      <c r="O5428">
        <v>-0.1861852</v>
      </c>
      <c r="P5428">
        <v>0.97513629999999996</v>
      </c>
      <c r="Q5428">
        <v>0.19226019999999999</v>
      </c>
      <c r="R5428">
        <v>-0.11020629999999999</v>
      </c>
      <c r="S5428">
        <v>3.123688</v>
      </c>
      <c r="T5428">
        <v>-0.17916309999999999</v>
      </c>
      <c r="U5428">
        <v>0.10150149999999999</v>
      </c>
      <c r="V5428">
        <v>-7.4042800000000006E-2</v>
      </c>
      <c r="W5428">
        <v>0.20548620000000001</v>
      </c>
      <c r="X5428">
        <v>0.97585509999999998</v>
      </c>
      <c r="Y5428">
        <v>-0.21735280000000001</v>
      </c>
      <c r="Z5428">
        <v>1.6855820000000001E-2</v>
      </c>
      <c r="AA5428">
        <v>0.97594760000000003</v>
      </c>
      <c r="AB5428">
        <v>16</v>
      </c>
      <c r="AC5428">
        <v>19.306899999999899</v>
      </c>
      <c r="AD5428">
        <v>-1.1118408801638</v>
      </c>
      <c r="AE5428">
        <v>0.64281999999999295</v>
      </c>
      <c r="AF5428">
        <v>-4.2126243951791897</v>
      </c>
      <c r="AG5428">
        <v>-1.1118408801638</v>
      </c>
      <c r="AH5428">
        <v>18.787316248909001</v>
      </c>
      <c r="AI5428">
        <v>93.304961411316697</v>
      </c>
      <c r="AJ5428">
        <v>102.63822342857399</v>
      </c>
      <c r="AK5428">
        <v>19.285892415809599</v>
      </c>
      <c r="AL5428">
        <v>78.142038337772803</v>
      </c>
      <c r="AM5428">
        <v>94.338991435979196</v>
      </c>
      <c r="AN5428">
        <v>1.00000004540914</v>
      </c>
    </row>
    <row r="5429" spans="1:40" x14ac:dyDescent="0.25">
      <c r="A5429" t="str">
        <f>"20190312172817152"</f>
        <v>20190312172817152</v>
      </c>
      <c r="B5429" t="str">
        <f>"1552382897144871"</f>
        <v>1552382897144871</v>
      </c>
      <c r="C5429" t="s">
        <v>40</v>
      </c>
      <c r="D5429">
        <v>3.5077060000000002</v>
      </c>
      <c r="E5429">
        <v>0.45239590000000002</v>
      </c>
      <c r="F5429" t="s">
        <v>41</v>
      </c>
      <c r="G5429">
        <v>-261.80770000000001</v>
      </c>
      <c r="H5429" s="1">
        <v>1.017734E-7</v>
      </c>
      <c r="I5429">
        <v>-60.825009999999999</v>
      </c>
      <c r="J5429">
        <v>-281.01499999999999</v>
      </c>
      <c r="K5429">
        <v>1.1118250000000001</v>
      </c>
      <c r="L5429">
        <v>-61.432220000000001</v>
      </c>
      <c r="M5429">
        <v>0.98278699999999997</v>
      </c>
      <c r="N5429">
        <v>0</v>
      </c>
      <c r="O5429">
        <v>-0.18423239999999999</v>
      </c>
      <c r="P5429">
        <v>0.97528309999999996</v>
      </c>
      <c r="Q5429">
        <v>0.19197320000000001</v>
      </c>
      <c r="R5429">
        <v>-0.10940419999999999</v>
      </c>
      <c r="S5429">
        <v>3.1227719999999999</v>
      </c>
      <c r="T5429">
        <v>-0.1799364</v>
      </c>
      <c r="U5429">
        <v>9.5916749999999995E-2</v>
      </c>
      <c r="V5429">
        <v>-7.2914399999999893E-2</v>
      </c>
      <c r="W5429">
        <v>0.2051241</v>
      </c>
      <c r="X5429">
        <v>0.9760162</v>
      </c>
      <c r="Y5429">
        <v>-0.21368039999999999</v>
      </c>
      <c r="Z5429">
        <v>1.6716660000000001E-2</v>
      </c>
      <c r="AA5429">
        <v>0.97676059999999998</v>
      </c>
      <c r="AB5429">
        <v>16</v>
      </c>
      <c r="AC5429">
        <v>19.207299999999901</v>
      </c>
      <c r="AD5429">
        <v>-1.1118248982265999</v>
      </c>
      <c r="AE5429">
        <v>0.60720999999999403</v>
      </c>
      <c r="AF5429">
        <v>-4.1219563341533103</v>
      </c>
      <c r="AG5429">
        <v>-1.1118248982265999</v>
      </c>
      <c r="AH5429">
        <v>18.703972908080999</v>
      </c>
      <c r="AI5429">
        <v>93.322308817894907</v>
      </c>
      <c r="AJ5429">
        <v>102.42811046709799</v>
      </c>
      <c r="AK5429">
        <v>19.1850275259436</v>
      </c>
      <c r="AL5429">
        <v>78.163236333691799</v>
      </c>
      <c r="AM5429">
        <v>94.272410034507999</v>
      </c>
      <c r="AN5429">
        <v>1.0000000143953001</v>
      </c>
    </row>
    <row r="5430" spans="1:40" x14ac:dyDescent="0.25">
      <c r="A5430" t="str">
        <f>"20190312172817165"</f>
        <v>20190312172817165</v>
      </c>
      <c r="B5430" t="str">
        <f>"1552382897155608"</f>
        <v>1552382897155608</v>
      </c>
      <c r="C5430" t="s">
        <v>40</v>
      </c>
      <c r="D5430">
        <v>3.3616450000000002</v>
      </c>
      <c r="E5430">
        <v>0.45239590000000002</v>
      </c>
      <c r="F5430" t="s">
        <v>41</v>
      </c>
      <c r="G5430">
        <v>-262.06889999999999</v>
      </c>
      <c r="H5430" s="1">
        <v>-2.1125400000000001E-8</v>
      </c>
      <c r="I5430">
        <v>-60.865920000000003</v>
      </c>
      <c r="J5430">
        <v>-280.92039999999997</v>
      </c>
      <c r="K5430">
        <v>1.1118059999999901</v>
      </c>
      <c r="L5430">
        <v>-61.447479999999999</v>
      </c>
      <c r="M5430">
        <v>0.98317650000000001</v>
      </c>
      <c r="N5430">
        <v>0</v>
      </c>
      <c r="O5430">
        <v>-0.18214929999999999</v>
      </c>
      <c r="P5430">
        <v>0.97536529999999999</v>
      </c>
      <c r="Q5430">
        <v>0.19211909999999999</v>
      </c>
      <c r="R5430">
        <v>-0.1084111</v>
      </c>
      <c r="S5430">
        <v>3.122528</v>
      </c>
      <c r="T5430">
        <v>-0.18324119999999999</v>
      </c>
      <c r="U5430">
        <v>9.3322749999999996E-2</v>
      </c>
      <c r="V5430">
        <v>-7.1834330000000002E-2</v>
      </c>
      <c r="W5430">
        <v>0.205174</v>
      </c>
      <c r="X5430">
        <v>0.9760858</v>
      </c>
      <c r="Y5430">
        <v>-0.2107849</v>
      </c>
      <c r="Z5430">
        <v>1.6818909999999999E-2</v>
      </c>
      <c r="AA5430">
        <v>0.97738780000000003</v>
      </c>
      <c r="AB5430">
        <v>16</v>
      </c>
      <c r="AC5430">
        <v>18.851499999999898</v>
      </c>
      <c r="AD5430">
        <v>-1.1118060211253999</v>
      </c>
      <c r="AE5430">
        <v>0.58156000000000996</v>
      </c>
      <c r="AF5430">
        <v>-3.9920630625234499</v>
      </c>
      <c r="AG5430">
        <v>-1.1118060211253999</v>
      </c>
      <c r="AH5430">
        <v>18.3663087882695</v>
      </c>
      <c r="AI5430">
        <v>93.385321675421594</v>
      </c>
      <c r="AJ5430">
        <v>102.262948400415</v>
      </c>
      <c r="AK5430">
        <v>18.828010479863199</v>
      </c>
      <c r="AL5430">
        <v>78.160315151265706</v>
      </c>
      <c r="AM5430">
        <v>94.209053576390303</v>
      </c>
      <c r="AN5430">
        <v>1.00000001510209</v>
      </c>
    </row>
    <row r="5431" spans="1:40" x14ac:dyDescent="0.25">
      <c r="A5431" t="str">
        <f>"20190312172817178"</f>
        <v>20190312172817178</v>
      </c>
      <c r="B5431" t="str">
        <f>"1552382897174765"</f>
        <v>1552382897174765</v>
      </c>
      <c r="C5431" t="s">
        <v>40</v>
      </c>
      <c r="D5431">
        <v>3.364366</v>
      </c>
      <c r="E5431">
        <v>0.4778115</v>
      </c>
      <c r="F5431" t="s">
        <v>41</v>
      </c>
      <c r="G5431">
        <v>-261.88889999999998</v>
      </c>
      <c r="H5431" s="1">
        <v>5.887057E-8</v>
      </c>
      <c r="I5431">
        <v>-60.855369999999901</v>
      </c>
      <c r="J5431">
        <v>-280.83409999999998</v>
      </c>
      <c r="K5431">
        <v>1.1117889999999999</v>
      </c>
      <c r="L5431">
        <v>-61.461150000000004</v>
      </c>
      <c r="M5431">
        <v>0.9835294</v>
      </c>
      <c r="N5431">
        <v>0</v>
      </c>
      <c r="O5431">
        <v>-0.18024270000000001</v>
      </c>
      <c r="P5431">
        <v>0.97544839999999999</v>
      </c>
      <c r="Q5431">
        <v>0.19198309999999999</v>
      </c>
      <c r="R5431">
        <v>-0.10790279999999999</v>
      </c>
      <c r="S5431">
        <v>3.122528</v>
      </c>
      <c r="T5431">
        <v>-0.18241599999999999</v>
      </c>
      <c r="U5431">
        <v>9.713745E-2</v>
      </c>
      <c r="V5431">
        <v>-7.0451739999999999E-2</v>
      </c>
      <c r="W5431">
        <v>0.20493829999999999</v>
      </c>
      <c r="X5431">
        <v>0.97623599999999999</v>
      </c>
      <c r="Y5431">
        <v>-0.210093</v>
      </c>
      <c r="Z5431">
        <v>1.6613059999999999E-2</v>
      </c>
      <c r="AA5431">
        <v>0.97754030000000003</v>
      </c>
      <c r="AB5431">
        <v>16</v>
      </c>
      <c r="AC5431">
        <v>18.9452</v>
      </c>
      <c r="AD5431">
        <v>-1.1117889411294299</v>
      </c>
      <c r="AE5431">
        <v>0.60578000000000998</v>
      </c>
      <c r="AF5431">
        <v>-3.9971508343418898</v>
      </c>
      <c r="AG5431">
        <v>-1.1117889411294299</v>
      </c>
      <c r="AH5431">
        <v>18.462147970137</v>
      </c>
      <c r="AI5431">
        <v>93.368330685202693</v>
      </c>
      <c r="AJ5431">
        <v>102.216285242266</v>
      </c>
      <c r="AK5431">
        <v>18.922584313812202</v>
      </c>
      <c r="AL5431">
        <v>78.174112079043496</v>
      </c>
      <c r="AM5431">
        <v>94.127692091055096</v>
      </c>
      <c r="AN5431">
        <v>0.99999994108595702</v>
      </c>
    </row>
    <row r="5432" spans="1:40" x14ac:dyDescent="0.25">
      <c r="A5432" t="str">
        <f>"20190312172817191"</f>
        <v>20190312172817191</v>
      </c>
      <c r="B5432" t="str">
        <f>"1552382897185500"</f>
        <v>1552382897185500</v>
      </c>
      <c r="C5432" t="s">
        <v>40</v>
      </c>
      <c r="D5432">
        <v>3.4087960000000002</v>
      </c>
      <c r="E5432">
        <v>0.4776994</v>
      </c>
      <c r="F5432" t="s">
        <v>41</v>
      </c>
      <c r="G5432">
        <v>-267.21120000000002</v>
      </c>
      <c r="H5432" s="1">
        <v>-2.4997259999999998E-6</v>
      </c>
      <c r="I5432">
        <v>-61.890210000000003</v>
      </c>
      <c r="J5432">
        <v>-280.74549999999999</v>
      </c>
      <c r="K5432">
        <v>1.111766</v>
      </c>
      <c r="L5432">
        <v>-61.475070000000002</v>
      </c>
      <c r="M5432">
        <v>0.98388750000000003</v>
      </c>
      <c r="N5432">
        <v>0</v>
      </c>
      <c r="O5432">
        <v>-0.1782861</v>
      </c>
      <c r="P5432">
        <v>0.97548069999999998</v>
      </c>
      <c r="Q5432">
        <v>0.19214110000000001</v>
      </c>
      <c r="R5432">
        <v>-0.1073269</v>
      </c>
      <c r="S5432">
        <v>3.1146850000000001</v>
      </c>
      <c r="T5432">
        <v>-0.2541968</v>
      </c>
      <c r="U5432">
        <v>-9.8114010000000001E-2</v>
      </c>
      <c r="V5432">
        <v>-6.9078189999999998E-2</v>
      </c>
      <c r="W5432">
        <v>0.20498640000000001</v>
      </c>
      <c r="X5432">
        <v>0.97632410000000003</v>
      </c>
      <c r="Y5432">
        <v>-0.14616199999999999</v>
      </c>
      <c r="Z5432">
        <v>2.0407950000000001E-2</v>
      </c>
      <c r="AA5432">
        <v>0.98905010000000004</v>
      </c>
      <c r="AB5432">
        <v>16</v>
      </c>
      <c r="AC5432">
        <v>13.534299999999901</v>
      </c>
      <c r="AD5432">
        <v>-1.111768499726</v>
      </c>
      <c r="AE5432">
        <v>-0.41514000000000001</v>
      </c>
      <c r="AF5432">
        <v>-1.99128240207417</v>
      </c>
      <c r="AG5432">
        <v>-1.111768499726</v>
      </c>
      <c r="AH5432">
        <v>13.301771630887201</v>
      </c>
      <c r="AI5432">
        <v>94.725292658217796</v>
      </c>
      <c r="AJ5432">
        <v>98.513984659636293</v>
      </c>
      <c r="AK5432">
        <v>13.4958646748576</v>
      </c>
      <c r="AL5432">
        <v>78.171296893573697</v>
      </c>
      <c r="AM5432">
        <v>94.047123354660698</v>
      </c>
      <c r="AN5432">
        <v>0.99999998437972204</v>
      </c>
    </row>
    <row r="5433" spans="1:40" x14ac:dyDescent="0.25">
      <c r="A5433" t="str">
        <f>"20190312172817205"</f>
        <v>20190312172817205</v>
      </c>
      <c r="B5433" t="str">
        <f>"1552382897195259"</f>
        <v>1552382897195259</v>
      </c>
      <c r="C5433" t="s">
        <v>40</v>
      </c>
      <c r="D5433">
        <v>3.3306900000000002</v>
      </c>
      <c r="E5433">
        <v>0.47800290000000001</v>
      </c>
      <c r="F5433" t="s">
        <v>56</v>
      </c>
      <c r="G5433">
        <v>-267.23219999999998</v>
      </c>
      <c r="H5433" s="1">
        <v>-2.5069519999999998E-6</v>
      </c>
      <c r="I5433">
        <v>-61.883609999999997</v>
      </c>
      <c r="J5433">
        <v>-280.6352</v>
      </c>
      <c r="K5433">
        <v>1.1117269999999999</v>
      </c>
      <c r="L5433">
        <v>-61.492159999999998</v>
      </c>
      <c r="M5433">
        <v>0.98432900000000001</v>
      </c>
      <c r="N5433">
        <v>0</v>
      </c>
      <c r="O5433">
        <v>-0.17584469999999999</v>
      </c>
      <c r="P5433">
        <v>0.97541960000000005</v>
      </c>
      <c r="Q5433">
        <v>0.19227379999999999</v>
      </c>
      <c r="R5433">
        <v>-0.1076464</v>
      </c>
      <c r="S5433">
        <v>3.1155400000000002</v>
      </c>
      <c r="T5433">
        <v>-0.25632149999999998</v>
      </c>
      <c r="U5433">
        <v>-9.4207760000000001E-2</v>
      </c>
      <c r="V5433">
        <v>-6.6323989999999999E-2</v>
      </c>
      <c r="W5433">
        <v>0.20496909999999999</v>
      </c>
      <c r="X5433">
        <v>0.97651869999999996</v>
      </c>
      <c r="Y5433">
        <v>-0.14494969999999999</v>
      </c>
      <c r="Z5433">
        <v>2.032554E-2</v>
      </c>
      <c r="AA5433">
        <v>0.98923019999999995</v>
      </c>
      <c r="AB5433">
        <v>16</v>
      </c>
      <c r="AC5433">
        <v>13.403</v>
      </c>
      <c r="AD5433">
        <v>-1.1117295069519999</v>
      </c>
      <c r="AE5433">
        <v>-0.39144999999999802</v>
      </c>
      <c r="AF5433">
        <v>-1.95824211616487</v>
      </c>
      <c r="AG5433">
        <v>-1.1117295069519999</v>
      </c>
      <c r="AH5433">
        <v>13.172406832030701</v>
      </c>
      <c r="AI5433">
        <v>94.772038989753995</v>
      </c>
      <c r="AJ5433">
        <v>98.455800676229401</v>
      </c>
      <c r="AK5433">
        <v>13.363493421657299</v>
      </c>
      <c r="AL5433">
        <v>78.172309651803801</v>
      </c>
      <c r="AM5433">
        <v>93.885494059487598</v>
      </c>
      <c r="AN5433">
        <v>0.99999998752700903</v>
      </c>
    </row>
    <row r="5434" spans="1:40" x14ac:dyDescent="0.25">
      <c r="A5434" t="str">
        <f>"20190312172817219"</f>
        <v>20190312172817219</v>
      </c>
      <c r="B5434" t="str">
        <f>"1552382897214779"</f>
        <v>1552382897214779</v>
      </c>
      <c r="C5434" t="s">
        <v>40</v>
      </c>
      <c r="D5434">
        <v>3.3963410000000001</v>
      </c>
      <c r="E5434">
        <v>0.47832010000000003</v>
      </c>
      <c r="F5434" t="s">
        <v>56</v>
      </c>
      <c r="G5434">
        <v>-267.11529999999999</v>
      </c>
      <c r="H5434" s="1">
        <v>-2.4638699999999998E-6</v>
      </c>
      <c r="I5434">
        <v>-61.910179999999997</v>
      </c>
      <c r="J5434">
        <v>-280.5471</v>
      </c>
      <c r="K5434">
        <v>1.1117010000000001</v>
      </c>
      <c r="L5434">
        <v>-61.505519999999997</v>
      </c>
      <c r="M5434">
        <v>0.98467740000000004</v>
      </c>
      <c r="N5434">
        <v>0</v>
      </c>
      <c r="O5434">
        <v>-0.17389470000000001</v>
      </c>
      <c r="P5434">
        <v>0.9753984</v>
      </c>
      <c r="Q5434">
        <v>0.19252559999999999</v>
      </c>
      <c r="R5434">
        <v>-0.10738839999999999</v>
      </c>
      <c r="S5434">
        <v>3.1154790000000001</v>
      </c>
      <c r="T5434">
        <v>-0.25618279999999999</v>
      </c>
      <c r="U5434">
        <v>-9.6343990000000004E-2</v>
      </c>
      <c r="V5434">
        <v>-6.4634769999999994E-2</v>
      </c>
      <c r="W5434">
        <v>0.20508680000000001</v>
      </c>
      <c r="X5434">
        <v>0.97660729999999996</v>
      </c>
      <c r="Y5434">
        <v>-0.1423276</v>
      </c>
      <c r="Z5434">
        <v>2.0048960000000001E-2</v>
      </c>
      <c r="AA5434">
        <v>0.98961659999999996</v>
      </c>
      <c r="AB5434">
        <v>16</v>
      </c>
      <c r="AC5434">
        <v>13.431800000000001</v>
      </c>
      <c r="AD5434">
        <v>-1.1117034638700001</v>
      </c>
      <c r="AE5434">
        <v>-0.40466000000000601</v>
      </c>
      <c r="AF5434">
        <v>-1.9242552124577901</v>
      </c>
      <c r="AG5434">
        <v>-1.1117034638700001</v>
      </c>
      <c r="AH5434">
        <v>13.207104889206599</v>
      </c>
      <c r="AI5434">
        <v>94.761471754866704</v>
      </c>
      <c r="AJ5434">
        <v>98.289579643858303</v>
      </c>
      <c r="AK5434">
        <v>13.3927690291723</v>
      </c>
      <c r="AL5434">
        <v>78.165420120890502</v>
      </c>
      <c r="AM5434">
        <v>93.786482704724193</v>
      </c>
      <c r="AN5434">
        <v>1.0000000337202399</v>
      </c>
    </row>
    <row r="5435" spans="1:40" x14ac:dyDescent="0.25">
      <c r="A5435" t="str">
        <f>"20190312172817232"</f>
        <v>20190312172817232</v>
      </c>
      <c r="B5435" t="str">
        <f>"1552382897225516"</f>
        <v>1552382897225516</v>
      </c>
      <c r="C5435" t="s">
        <v>40</v>
      </c>
      <c r="D5435">
        <v>3.3388599999999999</v>
      </c>
      <c r="E5435">
        <v>0.4787148</v>
      </c>
      <c r="F5435" t="s">
        <v>56</v>
      </c>
      <c r="G5435">
        <v>-267.10910000000001</v>
      </c>
      <c r="H5435" s="1">
        <v>-2.4647260000000002E-6</v>
      </c>
      <c r="I5435">
        <v>-61.923319999999997</v>
      </c>
      <c r="J5435">
        <v>-280.46249999999998</v>
      </c>
      <c r="K5435">
        <v>1.111675</v>
      </c>
      <c r="L5435">
        <v>-61.51831</v>
      </c>
      <c r="M5435">
        <v>0.98500869999999996</v>
      </c>
      <c r="N5435">
        <v>0</v>
      </c>
      <c r="O5435">
        <v>-0.172018899999999</v>
      </c>
      <c r="P5435">
        <v>0.97539600000000004</v>
      </c>
      <c r="Q5435">
        <v>0.1927131</v>
      </c>
      <c r="R5435">
        <v>-0.10707220000000001</v>
      </c>
      <c r="S5435">
        <v>3.1159059999999998</v>
      </c>
      <c r="T5435">
        <v>-0.25777290000000003</v>
      </c>
      <c r="U5435">
        <v>-9.6893309999999996E-2</v>
      </c>
      <c r="V5435">
        <v>-6.3079510000000005E-2</v>
      </c>
      <c r="W5435">
        <v>0.20514089999999999</v>
      </c>
      <c r="X5435">
        <v>0.97669760000000005</v>
      </c>
      <c r="Y5435">
        <v>-0.14027229999999999</v>
      </c>
      <c r="Z5435">
        <v>1.9932350000000001E-2</v>
      </c>
      <c r="AA5435">
        <v>0.98991229999999997</v>
      </c>
      <c r="AB5435">
        <v>16</v>
      </c>
      <c r="AC5435">
        <v>13.353399999999899</v>
      </c>
      <c r="AD5435">
        <v>-1.1116774647259999</v>
      </c>
      <c r="AE5435">
        <v>-0.40500999999999698</v>
      </c>
      <c r="AF5435">
        <v>-1.88520397927414</v>
      </c>
      <c r="AG5435">
        <v>-1.1116774647259999</v>
      </c>
      <c r="AH5435">
        <v>13.133054241044</v>
      </c>
      <c r="AI5435">
        <v>94.789536422729995</v>
      </c>
      <c r="AJ5435">
        <v>98.168805959780101</v>
      </c>
      <c r="AK5435">
        <v>13.3141629300251</v>
      </c>
      <c r="AL5435">
        <v>78.162252768933001</v>
      </c>
      <c r="AM5435">
        <v>93.695286156102398</v>
      </c>
      <c r="AN5435">
        <v>1.0000000076402</v>
      </c>
    </row>
    <row r="5436" spans="1:40" x14ac:dyDescent="0.25">
      <c r="A5436" t="str">
        <f>"20190312172817244"</f>
        <v>20190312172817244</v>
      </c>
      <c r="B5436" t="str">
        <f>"1552382897235276"</f>
        <v>1552382897235276</v>
      </c>
      <c r="C5436" t="s">
        <v>40</v>
      </c>
      <c r="D5436">
        <v>3.350622</v>
      </c>
      <c r="E5436">
        <v>0.47902</v>
      </c>
      <c r="F5436" t="s">
        <v>56</v>
      </c>
      <c r="G5436">
        <v>-266.9787</v>
      </c>
      <c r="H5436" s="1">
        <v>-2.4144300000000001E-6</v>
      </c>
      <c r="I5436">
        <v>-61.944580000000002</v>
      </c>
      <c r="J5436">
        <v>-280.36660000000001</v>
      </c>
      <c r="K5436">
        <v>1.11165</v>
      </c>
      <c r="L5436">
        <v>-61.532559999999997</v>
      </c>
      <c r="M5436">
        <v>0.98537889999999995</v>
      </c>
      <c r="N5436">
        <v>0</v>
      </c>
      <c r="O5436">
        <v>-0.1698984</v>
      </c>
      <c r="P5436">
        <v>0.9754311</v>
      </c>
      <c r="Q5436">
        <v>0.19281999999999999</v>
      </c>
      <c r="R5436">
        <v>-0.106559</v>
      </c>
      <c r="S5436">
        <v>3.1156009999999998</v>
      </c>
      <c r="T5436">
        <v>-0.25686750000000003</v>
      </c>
      <c r="U5436">
        <v>-9.8510739999999999E-2</v>
      </c>
      <c r="V5436">
        <v>-6.1481279999999999E-2</v>
      </c>
      <c r="W5436">
        <v>0.2050891</v>
      </c>
      <c r="X5436">
        <v>0.97681039999999997</v>
      </c>
      <c r="Y5436">
        <v>-0.1376473</v>
      </c>
      <c r="Z5436">
        <v>1.958387E-2</v>
      </c>
      <c r="AA5436">
        <v>0.99028769999999999</v>
      </c>
      <c r="AB5436">
        <v>16</v>
      </c>
      <c r="AC5436">
        <v>13.3879</v>
      </c>
      <c r="AD5436">
        <v>-1.11165241443</v>
      </c>
      <c r="AE5436">
        <v>-0.41202000000000499</v>
      </c>
      <c r="AF5436">
        <v>-1.85595516419375</v>
      </c>
      <c r="AG5436">
        <v>-1.11165241443</v>
      </c>
      <c r="AH5436">
        <v>13.172502385724901</v>
      </c>
      <c r="AI5436">
        <v>94.776908742646896</v>
      </c>
      <c r="AJ5436">
        <v>98.019964016228997</v>
      </c>
      <c r="AK5436">
        <v>13.3489759818472</v>
      </c>
      <c r="AL5436">
        <v>78.165285339537306</v>
      </c>
      <c r="AM5436">
        <v>93.601494426971797</v>
      </c>
      <c r="AN5436">
        <v>1.0000000221387</v>
      </c>
    </row>
    <row r="5437" spans="1:40" x14ac:dyDescent="0.25">
      <c r="A5437" t="str">
        <f>"20190312172817255"</f>
        <v>20190312172817255</v>
      </c>
      <c r="B5437" t="str">
        <f>"1552382897245035"</f>
        <v>1552382897245035</v>
      </c>
      <c r="C5437" t="s">
        <v>40</v>
      </c>
      <c r="D5437">
        <v>3.4159069999999998</v>
      </c>
      <c r="E5437">
        <v>0.4792517</v>
      </c>
      <c r="F5437" t="s">
        <v>56</v>
      </c>
      <c r="G5437">
        <v>-266.83730000000003</v>
      </c>
      <c r="H5437" s="1">
        <v>-2.3579380000000001E-6</v>
      </c>
      <c r="I5437">
        <v>-61.960299999999997</v>
      </c>
      <c r="J5437">
        <v>-280.28339999999997</v>
      </c>
      <c r="K5437">
        <v>1.111621</v>
      </c>
      <c r="L5437">
        <v>-61.544710000000002</v>
      </c>
      <c r="M5437">
        <v>0.98569519999999999</v>
      </c>
      <c r="N5437">
        <v>0</v>
      </c>
      <c r="O5437">
        <v>-0.1680644</v>
      </c>
      <c r="P5437">
        <v>0.97533309999999995</v>
      </c>
      <c r="Q5437">
        <v>0.1933165</v>
      </c>
      <c r="R5437">
        <v>-0.10655530000000001</v>
      </c>
      <c r="S5437">
        <v>3.1154169999999999</v>
      </c>
      <c r="T5437">
        <v>-0.25598140000000003</v>
      </c>
      <c r="U5437">
        <v>-9.8510739999999999E-2</v>
      </c>
      <c r="V5437">
        <v>-5.9646079999999997E-2</v>
      </c>
      <c r="W5437">
        <v>0.20544799999999999</v>
      </c>
      <c r="X5437">
        <v>0.97684870000000001</v>
      </c>
      <c r="Y5437">
        <v>-0.1358212</v>
      </c>
      <c r="Z5437">
        <v>1.9294220000000001E-2</v>
      </c>
      <c r="AA5437">
        <v>0.99054549999999997</v>
      </c>
      <c r="AB5437">
        <v>16</v>
      </c>
      <c r="AC5437">
        <v>13.4460999999999</v>
      </c>
      <c r="AD5437">
        <v>-1.1116233579379999</v>
      </c>
      <c r="AE5437">
        <v>-0.41559000000000101</v>
      </c>
      <c r="AF5437">
        <v>-1.83776439874705</v>
      </c>
      <c r="AG5437">
        <v>-1.1116233579379999</v>
      </c>
      <c r="AH5437">
        <v>13.234296877462899</v>
      </c>
      <c r="AI5437">
        <v>94.755902712035507</v>
      </c>
      <c r="AJ5437">
        <v>97.905750903196804</v>
      </c>
      <c r="AK5437">
        <v>13.407449359070499</v>
      </c>
      <c r="AL5437">
        <v>78.144273714754505</v>
      </c>
      <c r="AM5437">
        <v>93.494124549547095</v>
      </c>
      <c r="AN5437">
        <v>0.99999995912752704</v>
      </c>
    </row>
    <row r="5438" spans="1:40" x14ac:dyDescent="0.25">
      <c r="A5438" t="str">
        <f>"20190312172817267"</f>
        <v>20190312172817267</v>
      </c>
      <c r="B5438" t="str">
        <f>"1552382897254796"</f>
        <v>1552382897254796</v>
      </c>
      <c r="C5438" t="s">
        <v>40</v>
      </c>
      <c r="D5438">
        <v>3.4236390000000001</v>
      </c>
      <c r="E5438">
        <v>0.4794254</v>
      </c>
      <c r="F5438" t="s">
        <v>41</v>
      </c>
      <c r="G5438">
        <v>-266.6336</v>
      </c>
      <c r="H5438" s="1">
        <v>-2.2761499999999998E-6</v>
      </c>
      <c r="I5438">
        <v>-61.981219999999901</v>
      </c>
      <c r="J5438">
        <v>-280.2029</v>
      </c>
      <c r="K5438">
        <v>1.1115980000000001</v>
      </c>
      <c r="L5438">
        <v>-61.556429999999999</v>
      </c>
      <c r="M5438">
        <v>0.98599820000000005</v>
      </c>
      <c r="N5438">
        <v>0</v>
      </c>
      <c r="O5438">
        <v>-0.16628970000000001</v>
      </c>
      <c r="P5438">
        <v>0.97533879999999995</v>
      </c>
      <c r="Q5438">
        <v>0.1933636</v>
      </c>
      <c r="R5438">
        <v>-0.10641979999999999</v>
      </c>
      <c r="S5438">
        <v>3.115265</v>
      </c>
      <c r="T5438">
        <v>-0.25370320000000002</v>
      </c>
      <c r="U5438">
        <v>-9.9639889999999995E-2</v>
      </c>
      <c r="V5438">
        <v>-5.8015369999999997E-2</v>
      </c>
      <c r="W5438">
        <v>0.20536119999999999</v>
      </c>
      <c r="X5438">
        <v>0.97696519999999998</v>
      </c>
      <c r="Y5438">
        <v>-0.13370770000000001</v>
      </c>
      <c r="Z5438">
        <v>1.8895350000000002E-2</v>
      </c>
      <c r="AA5438">
        <v>0.99084070000000002</v>
      </c>
      <c r="AB5438">
        <v>16</v>
      </c>
      <c r="AC5438">
        <v>13.569299999999901</v>
      </c>
      <c r="AD5438">
        <v>-1.1116002761499999</v>
      </c>
      <c r="AE5438">
        <v>-0.42478999999998701</v>
      </c>
      <c r="AF5438">
        <v>-1.8254965661417299</v>
      </c>
      <c r="AG5438">
        <v>-1.1116002761499999</v>
      </c>
      <c r="AH5438">
        <v>13.361408364011499</v>
      </c>
      <c r="AI5438">
        <v>94.712185183690707</v>
      </c>
      <c r="AJ5438">
        <v>97.779842526380705</v>
      </c>
      <c r="AK5438">
        <v>13.531272163282001</v>
      </c>
      <c r="AL5438">
        <v>78.149355880747507</v>
      </c>
      <c r="AM5438">
        <v>93.398418729244497</v>
      </c>
      <c r="AN5438">
        <v>1.0000000038163499</v>
      </c>
    </row>
    <row r="5439" spans="1:40" x14ac:dyDescent="0.25">
      <c r="A5439" t="str">
        <f>"20190312172817278"</f>
        <v>20190312172817278</v>
      </c>
      <c r="B5439" t="str">
        <f>"1552382897275292"</f>
        <v>1552382897275292</v>
      </c>
      <c r="C5439" t="s">
        <v>40</v>
      </c>
      <c r="D5439">
        <v>3.4222920000000001</v>
      </c>
      <c r="E5439">
        <v>0.47982039999999998</v>
      </c>
      <c r="F5439" t="s">
        <v>41</v>
      </c>
      <c r="G5439">
        <v>-266.46879999999999</v>
      </c>
      <c r="H5439" s="1">
        <v>-2.2097920000000002E-6</v>
      </c>
      <c r="I5439">
        <v>-61.997700000000002</v>
      </c>
      <c r="J5439">
        <v>-280.1277</v>
      </c>
      <c r="K5439">
        <v>1.1115790000000001</v>
      </c>
      <c r="L5439">
        <v>-61.567169999999997</v>
      </c>
      <c r="M5439">
        <v>0.98627580000000004</v>
      </c>
      <c r="N5439">
        <v>0</v>
      </c>
      <c r="O5439">
        <v>-0.1646444</v>
      </c>
      <c r="P5439">
        <v>0.97530349999999999</v>
      </c>
      <c r="Q5439">
        <v>0.19345409999999999</v>
      </c>
      <c r="R5439">
        <v>-0.10657899999999999</v>
      </c>
      <c r="S5439">
        <v>3.11496</v>
      </c>
      <c r="T5439">
        <v>-0.25211549999999999</v>
      </c>
      <c r="U5439">
        <v>-0.1000977</v>
      </c>
      <c r="V5439">
        <v>-5.6216059999999998E-2</v>
      </c>
      <c r="W5439">
        <v>0.2053304</v>
      </c>
      <c r="X5439">
        <v>0.97707690000000003</v>
      </c>
      <c r="Y5439">
        <v>-0.13192860000000001</v>
      </c>
      <c r="Z5439">
        <v>1.8575990000000001E-2</v>
      </c>
      <c r="AA5439">
        <v>0.9910852</v>
      </c>
      <c r="AB5439">
        <v>16</v>
      </c>
      <c r="AC5439">
        <v>13.658899999999999</v>
      </c>
      <c r="AD5439">
        <v>-1.1115812097919999</v>
      </c>
      <c r="AE5439">
        <v>-0.43053000000000402</v>
      </c>
      <c r="AF5439">
        <v>-1.81238755372116</v>
      </c>
      <c r="AG5439">
        <v>-1.1115812097919999</v>
      </c>
      <c r="AH5439">
        <v>13.4543391623357</v>
      </c>
      <c r="AI5439">
        <v>94.680893213650407</v>
      </c>
      <c r="AJ5439">
        <v>97.671934381868198</v>
      </c>
      <c r="AK5439">
        <v>13.6212922928041</v>
      </c>
      <c r="AL5439">
        <v>78.151159494010201</v>
      </c>
      <c r="AM5439">
        <v>93.2928789518445</v>
      </c>
      <c r="AN5439">
        <v>1.00000004353984</v>
      </c>
    </row>
    <row r="5440" spans="1:40" x14ac:dyDescent="0.25">
      <c r="A5440" t="str">
        <f>"20190312172817295"</f>
        <v>20190312172817295</v>
      </c>
      <c r="B5440" t="str">
        <f>"1552382897285051"</f>
        <v>1552382897285051</v>
      </c>
      <c r="C5440" t="s">
        <v>40</v>
      </c>
      <c r="D5440">
        <v>3.452016</v>
      </c>
      <c r="E5440">
        <v>0.48002600000000001</v>
      </c>
      <c r="F5440" t="s">
        <v>41</v>
      </c>
      <c r="G5440">
        <v>-266.339</v>
      </c>
      <c r="H5440" s="1">
        <v>-2.160918E-6</v>
      </c>
      <c r="I5440">
        <v>-62.023220000000002</v>
      </c>
      <c r="J5440">
        <v>-280.00400000000002</v>
      </c>
      <c r="K5440">
        <v>1.1115469999999901</v>
      </c>
      <c r="L5440">
        <v>-61.584629999999997</v>
      </c>
      <c r="M5440">
        <v>0.98672459999999995</v>
      </c>
      <c r="N5440">
        <v>0</v>
      </c>
      <c r="O5440">
        <v>-0.1619497</v>
      </c>
      <c r="P5440">
        <v>0.97513780000000005</v>
      </c>
      <c r="Q5440">
        <v>0.193774</v>
      </c>
      <c r="R5440">
        <v>-0.10750949999999999</v>
      </c>
      <c r="S5440">
        <v>3.114563</v>
      </c>
      <c r="T5440">
        <v>-0.25108219999999998</v>
      </c>
      <c r="U5440">
        <v>-0.1030273</v>
      </c>
      <c r="V5440">
        <v>-5.259233E-2</v>
      </c>
      <c r="W5440">
        <v>0.205454</v>
      </c>
      <c r="X5440">
        <v>0.97725260000000003</v>
      </c>
      <c r="Y5440">
        <v>-0.1283125</v>
      </c>
      <c r="Z5440">
        <v>1.814207E-2</v>
      </c>
      <c r="AA5440">
        <v>0.99156789999999995</v>
      </c>
      <c r="AB5440">
        <v>16</v>
      </c>
      <c r="AC5440">
        <v>13.664999999999999</v>
      </c>
      <c r="AD5440">
        <v>-1.1115491609179999</v>
      </c>
      <c r="AE5440">
        <v>-0.43858999999998999</v>
      </c>
      <c r="AF5440">
        <v>-1.7687149247856599</v>
      </c>
      <c r="AG5440">
        <v>-1.1115491609179999</v>
      </c>
      <c r="AH5440">
        <v>13.466604496670501</v>
      </c>
      <c r="AI5440">
        <v>94.678563235022906</v>
      </c>
      <c r="AJ5440">
        <v>97.482445926245603</v>
      </c>
      <c r="AK5440">
        <v>13.6276678376031</v>
      </c>
      <c r="AL5440">
        <v>78.143922598412701</v>
      </c>
      <c r="AM5440">
        <v>93.080487596901705</v>
      </c>
      <c r="AN5440">
        <v>0.99999997174879396</v>
      </c>
    </row>
    <row r="5441" spans="1:40" x14ac:dyDescent="0.25">
      <c r="A5441" t="str">
        <f>"20190312172817306"</f>
        <v>20190312172817306</v>
      </c>
      <c r="B5441" t="str">
        <f>"1552382897294811"</f>
        <v>1552382897294811</v>
      </c>
      <c r="C5441" t="s">
        <v>40</v>
      </c>
      <c r="D5441">
        <v>3.4585590000000002</v>
      </c>
      <c r="E5441">
        <v>0.4799987</v>
      </c>
      <c r="F5441" t="s">
        <v>41</v>
      </c>
      <c r="G5441">
        <v>-266.11939999999998</v>
      </c>
      <c r="H5441" s="1">
        <v>-2.076263E-6</v>
      </c>
      <c r="I5441">
        <v>-62.059119999999901</v>
      </c>
      <c r="J5441">
        <v>-279.92430000000002</v>
      </c>
      <c r="K5441">
        <v>1.1115250000000001</v>
      </c>
      <c r="L5441">
        <v>-61.595759999999999</v>
      </c>
      <c r="M5441">
        <v>0.987008</v>
      </c>
      <c r="N5441">
        <v>0</v>
      </c>
      <c r="O5441">
        <v>-0.1602219</v>
      </c>
      <c r="P5441">
        <v>0.9751263</v>
      </c>
      <c r="Q5441">
        <v>0.19381860000000001</v>
      </c>
      <c r="R5441">
        <v>-0.1075299</v>
      </c>
      <c r="S5441">
        <v>3.1143190000000001</v>
      </c>
      <c r="T5441">
        <v>-0.24932099999999999</v>
      </c>
      <c r="U5441">
        <v>-0.10644530000000001</v>
      </c>
      <c r="V5441">
        <v>-5.0851750000000001E-2</v>
      </c>
      <c r="W5441">
        <v>0.20537150000000001</v>
      </c>
      <c r="X5441">
        <v>0.97736210000000001</v>
      </c>
      <c r="Y5441">
        <v>-0.12551329999999999</v>
      </c>
      <c r="Z5441">
        <v>1.7767649999999999E-2</v>
      </c>
      <c r="AA5441">
        <v>0.99193279999999995</v>
      </c>
      <c r="AB5441">
        <v>16</v>
      </c>
      <c r="AC5441">
        <v>13.8049</v>
      </c>
      <c r="AD5441">
        <v>-1.1115270762630001</v>
      </c>
      <c r="AE5441">
        <v>-0.463359999999994</v>
      </c>
      <c r="AF5441">
        <v>-1.7433444314398501</v>
      </c>
      <c r="AG5441">
        <v>-1.1115270762630001</v>
      </c>
      <c r="AH5441">
        <v>13.6126238526201</v>
      </c>
      <c r="AI5441">
        <v>94.630429241420103</v>
      </c>
      <c r="AJ5441">
        <v>97.298041675315005</v>
      </c>
      <c r="AK5441">
        <v>13.7687425134186</v>
      </c>
      <c r="AL5441">
        <v>78.148753003872599</v>
      </c>
      <c r="AM5441">
        <v>92.978390314002993</v>
      </c>
      <c r="AN5441">
        <v>1.00000001400336</v>
      </c>
    </row>
    <row r="5442" spans="1:40" x14ac:dyDescent="0.25">
      <c r="A5442" t="str">
        <f>"20190312172817317"</f>
        <v>20190312172817317</v>
      </c>
      <c r="B5442" t="str">
        <f>"1552382897305547"</f>
        <v>1552382897305547</v>
      </c>
      <c r="C5442" t="s">
        <v>40</v>
      </c>
      <c r="D5442">
        <v>3.4037229999999998</v>
      </c>
      <c r="E5442">
        <v>0.48007379999999999</v>
      </c>
      <c r="F5442" t="s">
        <v>41</v>
      </c>
      <c r="G5442">
        <v>-266.07929999999999</v>
      </c>
      <c r="H5442" s="1">
        <v>-2.060454E-6</v>
      </c>
      <c r="I5442">
        <v>-62.064250000000001</v>
      </c>
      <c r="J5442">
        <v>-279.846</v>
      </c>
      <c r="K5442">
        <v>1.111504</v>
      </c>
      <c r="L5442">
        <v>-61.606450000000002</v>
      </c>
      <c r="M5442">
        <v>0.98728099999999996</v>
      </c>
      <c r="N5442">
        <v>0</v>
      </c>
      <c r="O5442">
        <v>-0.15854270000000001</v>
      </c>
      <c r="P5442">
        <v>0.97500889999999996</v>
      </c>
      <c r="Q5442">
        <v>0.19411619999999999</v>
      </c>
      <c r="R5442">
        <v>-0.1080595</v>
      </c>
      <c r="S5442">
        <v>3.1145939999999999</v>
      </c>
      <c r="T5442">
        <v>-0.25005260000000001</v>
      </c>
      <c r="U5442">
        <v>-0.10540769999999999</v>
      </c>
      <c r="V5442">
        <v>-4.8641660000000003E-2</v>
      </c>
      <c r="W5442">
        <v>0.20554739999999999</v>
      </c>
      <c r="X5442">
        <v>0.97743760000000002</v>
      </c>
      <c r="Y5442">
        <v>-0.124163</v>
      </c>
      <c r="Z5442">
        <v>1.7631040000000001E-2</v>
      </c>
      <c r="AA5442">
        <v>0.99210520000000002</v>
      </c>
      <c r="AB5442">
        <v>16</v>
      </c>
      <c r="AC5442">
        <v>13.7667</v>
      </c>
      <c r="AD5442">
        <v>-1.1115060604539999</v>
      </c>
      <c r="AE5442">
        <v>-0.45779999999999799</v>
      </c>
      <c r="AF5442">
        <v>-1.7195571117460799</v>
      </c>
      <c r="AG5442">
        <v>-1.1115060604539999</v>
      </c>
      <c r="AH5442">
        <v>13.5767362706111</v>
      </c>
      <c r="AI5442">
        <v>94.643347024117304</v>
      </c>
      <c r="AJ5442">
        <v>97.218344567650604</v>
      </c>
      <c r="AK5442">
        <v>13.730261838170099</v>
      </c>
      <c r="AL5442">
        <v>78.138454845777702</v>
      </c>
      <c r="AM5442">
        <v>92.848943605300704</v>
      </c>
      <c r="AN5442">
        <v>1.0000000033140299</v>
      </c>
    </row>
    <row r="5443" spans="1:40" x14ac:dyDescent="0.25">
      <c r="A5443" t="str">
        <f>"20190312172817327"</f>
        <v>20190312172817327</v>
      </c>
      <c r="B5443" t="str">
        <f>"1552382897325067"</f>
        <v>1552382897325067</v>
      </c>
      <c r="C5443" t="s">
        <v>40</v>
      </c>
      <c r="D5443">
        <v>3.449716</v>
      </c>
      <c r="E5443">
        <v>0.47994769999999998</v>
      </c>
      <c r="F5443" t="s">
        <v>41</v>
      </c>
      <c r="G5443">
        <v>-265.94150000000002</v>
      </c>
      <c r="H5443" s="1">
        <v>-2.006662E-6</v>
      </c>
      <c r="I5443">
        <v>-62.084310000000002</v>
      </c>
      <c r="J5443">
        <v>-279.76929999999999</v>
      </c>
      <c r="K5443">
        <v>1.1114820000000001</v>
      </c>
      <c r="L5443">
        <v>-61.616909999999997</v>
      </c>
      <c r="M5443">
        <v>0.98754549999999997</v>
      </c>
      <c r="N5443">
        <v>0</v>
      </c>
      <c r="O5443">
        <v>-0.15689620000000001</v>
      </c>
      <c r="P5443">
        <v>0.97498890000000005</v>
      </c>
      <c r="Q5443">
        <v>0.1941397</v>
      </c>
      <c r="R5443">
        <v>-0.1081983</v>
      </c>
      <c r="S5443">
        <v>3.1145939999999999</v>
      </c>
      <c r="T5443">
        <v>-0.2489758</v>
      </c>
      <c r="U5443">
        <v>-0.1070557</v>
      </c>
      <c r="V5443">
        <v>-4.6864000000000003E-2</v>
      </c>
      <c r="W5443">
        <v>0.20545169999999999</v>
      </c>
      <c r="X5443">
        <v>0.97754450000000004</v>
      </c>
      <c r="Y5443">
        <v>-0.1220036</v>
      </c>
      <c r="Z5443">
        <v>1.733896E-2</v>
      </c>
      <c r="AA5443">
        <v>0.99237819999999999</v>
      </c>
      <c r="AB5443">
        <v>16</v>
      </c>
      <c r="AC5443">
        <v>13.8277999999999</v>
      </c>
      <c r="AD5443">
        <v>-1.111484006662</v>
      </c>
      <c r="AE5443">
        <v>-0.46739999999999698</v>
      </c>
      <c r="AF5443">
        <v>-1.69711535232805</v>
      </c>
      <c r="AG5443">
        <v>-1.111484006662</v>
      </c>
      <c r="AH5443">
        <v>13.641819377016001</v>
      </c>
      <c r="AI5443">
        <v>94.622478382852194</v>
      </c>
      <c r="AJ5443">
        <v>97.091467287848602</v>
      </c>
      <c r="AK5443">
        <v>13.791839367223799</v>
      </c>
      <c r="AL5443">
        <v>78.144056899503795</v>
      </c>
      <c r="AM5443">
        <v>92.744688539385294</v>
      </c>
      <c r="AN5443">
        <v>0.99999994250456803</v>
      </c>
    </row>
    <row r="5444" spans="1:40" x14ac:dyDescent="0.25">
      <c r="A5444" t="str">
        <f>"20190312172817341"</f>
        <v>20190312172817341</v>
      </c>
      <c r="B5444" t="str">
        <f>"1552382897334831"</f>
        <v>1552382897334831</v>
      </c>
      <c r="C5444" t="s">
        <v>40</v>
      </c>
      <c r="D5444">
        <v>3.518459</v>
      </c>
      <c r="E5444">
        <v>0.47979630000000001</v>
      </c>
      <c r="F5444" t="s">
        <v>41</v>
      </c>
      <c r="G5444">
        <v>-265.89769999999999</v>
      </c>
      <c r="H5444" s="1">
        <v>-1.9887979999999999E-6</v>
      </c>
      <c r="I5444">
        <v>-62.08775</v>
      </c>
      <c r="J5444">
        <v>-279.67219999999998</v>
      </c>
      <c r="K5444">
        <v>1.1114569999999999</v>
      </c>
      <c r="L5444">
        <v>-61.62988</v>
      </c>
      <c r="M5444">
        <v>0.98787239999999998</v>
      </c>
      <c r="N5444">
        <v>0</v>
      </c>
      <c r="O5444">
        <v>-0.15483659999999999</v>
      </c>
      <c r="P5444">
        <v>0.97500799999999999</v>
      </c>
      <c r="Q5444">
        <v>0.1941138</v>
      </c>
      <c r="R5444">
        <v>-0.1080704</v>
      </c>
      <c r="S5444">
        <v>3.1149290000000001</v>
      </c>
      <c r="T5444">
        <v>-0.24958900000000001</v>
      </c>
      <c r="U5444">
        <v>-0.1057434</v>
      </c>
      <c r="V5444">
        <v>-4.4945079999999998E-2</v>
      </c>
      <c r="W5444">
        <v>0.2052823</v>
      </c>
      <c r="X5444">
        <v>0.97767029999999999</v>
      </c>
      <c r="Y5444">
        <v>-0.1203625</v>
      </c>
      <c r="Z5444">
        <v>1.715127E-2</v>
      </c>
      <c r="AA5444">
        <v>0.99258179999999996</v>
      </c>
      <c r="AB5444">
        <v>16</v>
      </c>
      <c r="AC5444">
        <v>13.7744999999999</v>
      </c>
      <c r="AD5444">
        <v>-1.111458988798</v>
      </c>
      <c r="AE5444">
        <v>-0.45786999999999201</v>
      </c>
      <c r="AF5444">
        <v>-1.6697326851487899</v>
      </c>
      <c r="AG5444">
        <v>-1.111458988798</v>
      </c>
      <c r="AH5444">
        <v>13.590868296443199</v>
      </c>
      <c r="AI5444">
        <v>94.640499244919795</v>
      </c>
      <c r="AJ5444">
        <v>97.004086195914198</v>
      </c>
      <c r="AK5444">
        <v>13.7380875443018</v>
      </c>
      <c r="AL5444">
        <v>78.153975474211407</v>
      </c>
      <c r="AM5444">
        <v>92.632126171073295</v>
      </c>
      <c r="AN5444">
        <v>1.0000000492057901</v>
      </c>
    </row>
    <row r="5445" spans="1:40" x14ac:dyDescent="0.25">
      <c r="A5445" t="str">
        <f>"20190312172817354"</f>
        <v>20190312172817354</v>
      </c>
      <c r="B5445" t="str">
        <f>"1552382897345563"</f>
        <v>1552382897345563</v>
      </c>
      <c r="C5445" t="s">
        <v>40</v>
      </c>
      <c r="D5445">
        <v>3.4193349999999998</v>
      </c>
      <c r="E5445">
        <v>0.4797457</v>
      </c>
      <c r="F5445" t="s">
        <v>41</v>
      </c>
      <c r="G5445">
        <v>-265.85820000000001</v>
      </c>
      <c r="H5445" s="1">
        <v>-1.9719000000000001E-6</v>
      </c>
      <c r="I5445">
        <v>-62.088009999999997</v>
      </c>
      <c r="J5445">
        <v>-279.5822</v>
      </c>
      <c r="K5445">
        <v>1.111434</v>
      </c>
      <c r="L5445">
        <v>-61.641820000000003</v>
      </c>
      <c r="M5445">
        <v>0.98817010000000005</v>
      </c>
      <c r="N5445">
        <v>0</v>
      </c>
      <c r="O5445">
        <v>-0.1529365</v>
      </c>
      <c r="P5445">
        <v>0.97497900000000004</v>
      </c>
      <c r="Q5445">
        <v>0.1942885</v>
      </c>
      <c r="R5445">
        <v>-0.1080213</v>
      </c>
      <c r="S5445">
        <v>3.1153559999999998</v>
      </c>
      <c r="T5445">
        <v>-0.25065769999999998</v>
      </c>
      <c r="U5445">
        <v>-0.10333249999999999</v>
      </c>
      <c r="V5445">
        <v>-4.3100319999999998E-2</v>
      </c>
      <c r="W5445">
        <v>0.20532900000000001</v>
      </c>
      <c r="X5445">
        <v>0.97774349999999999</v>
      </c>
      <c r="Y5445">
        <v>-0.11922729999999999</v>
      </c>
      <c r="Z5445">
        <v>1.70259E-2</v>
      </c>
      <c r="AA5445">
        <v>0.99272099999999996</v>
      </c>
      <c r="AB5445">
        <v>16</v>
      </c>
      <c r="AC5445">
        <v>13.723999999999901</v>
      </c>
      <c r="AD5445">
        <v>-1.1114359719</v>
      </c>
      <c r="AE5445">
        <v>-0.44619000000000097</v>
      </c>
      <c r="AF5445">
        <v>-1.64730440966081</v>
      </c>
      <c r="AG5445">
        <v>-1.1114359719</v>
      </c>
      <c r="AH5445">
        <v>13.542050765591201</v>
      </c>
      <c r="AI5445">
        <v>94.657735889557401</v>
      </c>
      <c r="AJ5445">
        <v>96.935592325657893</v>
      </c>
      <c r="AK5445">
        <v>13.687075680201801</v>
      </c>
      <c r="AL5445">
        <v>78.151240856641394</v>
      </c>
      <c r="AM5445">
        <v>92.5240451731771</v>
      </c>
      <c r="AN5445">
        <v>0.99999999380867599</v>
      </c>
    </row>
    <row r="5446" spans="1:40" x14ac:dyDescent="0.25">
      <c r="A5446" t="str">
        <f>"20190312172817366"</f>
        <v>20190312172817366</v>
      </c>
      <c r="B5446" t="str">
        <f>"1552382897355324"</f>
        <v>1552382897355324</v>
      </c>
      <c r="C5446" t="s">
        <v>40</v>
      </c>
      <c r="D5446">
        <v>3.4341089999999999</v>
      </c>
      <c r="E5446">
        <v>0.4797014</v>
      </c>
      <c r="F5446" t="s">
        <v>41</v>
      </c>
      <c r="G5446">
        <v>-265.7568</v>
      </c>
      <c r="H5446" s="1">
        <v>-1.9305180000000001E-6</v>
      </c>
      <c r="I5446">
        <v>-62.095950000000002</v>
      </c>
      <c r="J5446">
        <v>-279.49099999999999</v>
      </c>
      <c r="K5446">
        <v>1.1114120000000001</v>
      </c>
      <c r="L5446">
        <v>-61.653689999999997</v>
      </c>
      <c r="M5446">
        <v>0.98846509999999999</v>
      </c>
      <c r="N5446">
        <v>0</v>
      </c>
      <c r="O5446">
        <v>-0.15102679999999999</v>
      </c>
      <c r="P5446">
        <v>0.97500779999999998</v>
      </c>
      <c r="Q5446">
        <v>0.1942035</v>
      </c>
      <c r="R5446">
        <v>-0.1079116</v>
      </c>
      <c r="S5446">
        <v>3.1156009999999998</v>
      </c>
      <c r="T5446">
        <v>-0.25046679999999999</v>
      </c>
      <c r="U5446">
        <v>-0.102356</v>
      </c>
      <c r="V5446">
        <v>-4.131365E-2</v>
      </c>
      <c r="W5446">
        <v>0.2051222</v>
      </c>
      <c r="X5446">
        <v>0.97786399999999996</v>
      </c>
      <c r="Y5446">
        <v>-0.11763469999999999</v>
      </c>
      <c r="Z5446">
        <v>1.6796200000000001E-2</v>
      </c>
      <c r="AA5446">
        <v>0.99291490000000004</v>
      </c>
      <c r="AB5446">
        <v>16</v>
      </c>
      <c r="AC5446">
        <v>13.7341999999999</v>
      </c>
      <c r="AD5446">
        <v>-1.111413930518</v>
      </c>
      <c r="AE5446">
        <v>-0.44225999999999699</v>
      </c>
      <c r="AF5446">
        <v>-1.6265377736952</v>
      </c>
      <c r="AG5446">
        <v>-1.111413930518</v>
      </c>
      <c r="AH5446">
        <v>13.5547692270671</v>
      </c>
      <c r="AI5446">
        <v>94.6542011294015</v>
      </c>
      <c r="AJ5446">
        <v>96.8426295120139</v>
      </c>
      <c r="AK5446">
        <v>13.697176163474399</v>
      </c>
      <c r="AL5446">
        <v>78.163347010307007</v>
      </c>
      <c r="AM5446">
        <v>92.419243259291605</v>
      </c>
      <c r="AN5446">
        <v>0.99999996855258</v>
      </c>
    </row>
    <row r="5447" spans="1:40" x14ac:dyDescent="0.25">
      <c r="A5447" t="str">
        <f>"20190312172817384"</f>
        <v>20190312172817384</v>
      </c>
      <c r="B5447" t="str">
        <f>"1552382897375351"</f>
        <v>1552382897375351</v>
      </c>
      <c r="C5447" t="s">
        <v>40</v>
      </c>
      <c r="D5447">
        <v>3.3441380000000001</v>
      </c>
      <c r="E5447">
        <v>0.47963939999999999</v>
      </c>
      <c r="F5447" t="s">
        <v>41</v>
      </c>
      <c r="G5447">
        <v>-265.71570000000003</v>
      </c>
      <c r="H5447" s="1">
        <v>-1.914546E-6</v>
      </c>
      <c r="I5447">
        <v>-62.102240000000002</v>
      </c>
      <c r="J5447">
        <v>-279.36700000000002</v>
      </c>
      <c r="K5447">
        <v>1.11138</v>
      </c>
      <c r="L5447">
        <v>-61.669559999999997</v>
      </c>
      <c r="M5447">
        <v>0.9888557</v>
      </c>
      <c r="N5447">
        <v>0</v>
      </c>
      <c r="O5447">
        <v>-0.1484615</v>
      </c>
      <c r="P5447">
        <v>0.97485829999999996</v>
      </c>
      <c r="Q5447">
        <v>0.19412299999999999</v>
      </c>
      <c r="R5447">
        <v>-0.1093976</v>
      </c>
      <c r="S5447">
        <v>3.1157530000000002</v>
      </c>
      <c r="T5447">
        <v>-0.25138290000000002</v>
      </c>
      <c r="U5447">
        <v>-0.1014709</v>
      </c>
      <c r="V5447">
        <v>-3.7271029999999997E-2</v>
      </c>
      <c r="W5447">
        <v>0.20489769999999999</v>
      </c>
      <c r="X5447">
        <v>0.97807350000000004</v>
      </c>
      <c r="Y5447">
        <v>-0.1153503</v>
      </c>
      <c r="Z5447">
        <v>1.6560180000000001E-2</v>
      </c>
      <c r="AA5447">
        <v>0.99318680000000004</v>
      </c>
      <c r="AB5447">
        <v>16</v>
      </c>
      <c r="AC5447">
        <v>13.6512999999999</v>
      </c>
      <c r="AD5447">
        <v>-1.111381914546</v>
      </c>
      <c r="AE5447">
        <v>-0.43268000000000401</v>
      </c>
      <c r="AF5447">
        <v>-1.5884158371042501</v>
      </c>
      <c r="AG5447">
        <v>-1.111381914546</v>
      </c>
      <c r="AH5447">
        <v>13.475018356269199</v>
      </c>
      <c r="AI5447">
        <v>94.682648643032806</v>
      </c>
      <c r="AJ5447">
        <v>96.722919741546505</v>
      </c>
      <c r="AK5447">
        <v>13.6137560699954</v>
      </c>
      <c r="AL5447">
        <v>78.176489240226303</v>
      </c>
      <c r="AM5447">
        <v>92.182289949550594</v>
      </c>
      <c r="AN5447">
        <v>0.9999999842724</v>
      </c>
    </row>
    <row r="5448" spans="1:40" x14ac:dyDescent="0.25">
      <c r="A5448" t="str">
        <f>"20190312172817395"</f>
        <v>20190312172817395</v>
      </c>
      <c r="B5448" t="str">
        <f>"1552382897385111"</f>
        <v>1552382897385111</v>
      </c>
      <c r="C5448" t="s">
        <v>40</v>
      </c>
      <c r="D5448">
        <v>3.4257650000000002</v>
      </c>
      <c r="E5448">
        <v>0.4796144</v>
      </c>
      <c r="F5448" t="s">
        <v>41</v>
      </c>
      <c r="G5448">
        <v>-265.62569999999999</v>
      </c>
      <c r="H5448" s="1">
        <v>-1.88432E-6</v>
      </c>
      <c r="I5448">
        <v>-62.133699999999997</v>
      </c>
      <c r="J5448">
        <v>-279.2826</v>
      </c>
      <c r="K5448">
        <v>1.111362</v>
      </c>
      <c r="L5448">
        <v>-61.680210000000002</v>
      </c>
      <c r="M5448">
        <v>0.9891143</v>
      </c>
      <c r="N5448">
        <v>0</v>
      </c>
      <c r="O5448">
        <v>-0.14673559999999999</v>
      </c>
      <c r="P5448">
        <v>0.97488399999999997</v>
      </c>
      <c r="Q5448">
        <v>0.19387260000000001</v>
      </c>
      <c r="R5448">
        <v>-0.1096126</v>
      </c>
      <c r="S5448">
        <v>3.115723</v>
      </c>
      <c r="T5448">
        <v>-0.25199579999999999</v>
      </c>
      <c r="U5448">
        <v>-0.1052551</v>
      </c>
      <c r="V5448">
        <v>-3.5344130000000001E-2</v>
      </c>
      <c r="W5448">
        <v>0.20455509999999999</v>
      </c>
      <c r="X5448">
        <v>0.97821670000000005</v>
      </c>
      <c r="Y5448">
        <v>-0.1124221</v>
      </c>
      <c r="Z5448">
        <v>1.634379E-2</v>
      </c>
      <c r="AA5448">
        <v>0.99352609999999997</v>
      </c>
      <c r="AB5448">
        <v>16</v>
      </c>
      <c r="AC5448">
        <v>13.6569</v>
      </c>
      <c r="AD5448">
        <v>-1.11136388432</v>
      </c>
      <c r="AE5448">
        <v>-0.453490000000002</v>
      </c>
      <c r="AF5448">
        <v>-1.5452725473079401</v>
      </c>
      <c r="AG5448">
        <v>-1.11136388432</v>
      </c>
      <c r="AH5448">
        <v>13.4863909517418</v>
      </c>
      <c r="AI5448">
        <v>94.680404131304996</v>
      </c>
      <c r="AJ5448">
        <v>96.536452988031598</v>
      </c>
      <c r="AK5448">
        <v>13.6200491126889</v>
      </c>
      <c r="AL5448">
        <v>78.196543181323094</v>
      </c>
      <c r="AM5448">
        <v>92.069264357931104</v>
      </c>
      <c r="AN5448">
        <v>0.99999995431017696</v>
      </c>
    </row>
    <row r="5449" spans="1:40" x14ac:dyDescent="0.25">
      <c r="A5449" t="str">
        <f>"20190312172817406"</f>
        <v>20190312172817406</v>
      </c>
      <c r="B5449" t="str">
        <f>"1552382897394871"</f>
        <v>1552382897394871</v>
      </c>
      <c r="C5449" t="s">
        <v>40</v>
      </c>
      <c r="D5449">
        <v>3.5038040000000001</v>
      </c>
      <c r="E5449">
        <v>0.47968759999999999</v>
      </c>
      <c r="F5449" t="s">
        <v>41</v>
      </c>
      <c r="G5449">
        <v>-265.59399999999999</v>
      </c>
      <c r="H5449" s="1">
        <v>-1.8735219999999999E-6</v>
      </c>
      <c r="I5449">
        <v>-62.144309999999997</v>
      </c>
      <c r="J5449">
        <v>-279.20060000000001</v>
      </c>
      <c r="K5449">
        <v>1.1113409999999999</v>
      </c>
      <c r="L5449">
        <v>-61.690489999999997</v>
      </c>
      <c r="M5449">
        <v>0.98936120000000005</v>
      </c>
      <c r="N5449">
        <v>0</v>
      </c>
      <c r="O5449">
        <v>-0.14506849999999999</v>
      </c>
      <c r="P5449">
        <v>0.97489979999999998</v>
      </c>
      <c r="Q5449">
        <v>0.19372120000000001</v>
      </c>
      <c r="R5449">
        <v>-0.1097388</v>
      </c>
      <c r="S5449">
        <v>3.115723</v>
      </c>
      <c r="T5449">
        <v>-0.25296160000000001</v>
      </c>
      <c r="U5449">
        <v>-0.10565190000000001</v>
      </c>
      <c r="V5449">
        <v>-3.356253E-2</v>
      </c>
      <c r="W5449">
        <v>0.204318</v>
      </c>
      <c r="X5449">
        <v>0.97832909999999995</v>
      </c>
      <c r="Y5449">
        <v>-0.11062569999999999</v>
      </c>
      <c r="Z5449">
        <v>1.619953E-2</v>
      </c>
      <c r="AA5449">
        <v>0.99373009999999995</v>
      </c>
      <c r="AB5449">
        <v>16</v>
      </c>
      <c r="AC5449">
        <v>13.6066</v>
      </c>
      <c r="AD5449">
        <v>-1.1113428735219999</v>
      </c>
      <c r="AE5449">
        <v>-0.45381999999999301</v>
      </c>
      <c r="AF5449">
        <v>-1.5148935443891101</v>
      </c>
      <c r="AG5449">
        <v>-1.1113428735219999</v>
      </c>
      <c r="AH5449">
        <v>13.4389330218045</v>
      </c>
      <c r="AI5449">
        <v>94.697743947386599</v>
      </c>
      <c r="AJ5449">
        <v>96.431473983610502</v>
      </c>
      <c r="AK5449">
        <v>13.5696317635339</v>
      </c>
      <c r="AL5449">
        <v>78.210422358546396</v>
      </c>
      <c r="AM5449">
        <v>91.964816810374401</v>
      </c>
      <c r="AN5449">
        <v>1.0000000582254001</v>
      </c>
    </row>
    <row r="5450" spans="1:40" x14ac:dyDescent="0.25">
      <c r="A5450" t="str">
        <f>"20190312172817417"</f>
        <v>20190312172817417</v>
      </c>
      <c r="B5450" t="str">
        <f>"1552382897415367"</f>
        <v>1552382897415367</v>
      </c>
      <c r="C5450" t="s">
        <v>40</v>
      </c>
      <c r="D5450">
        <v>3.4953449999999999</v>
      </c>
      <c r="E5450">
        <v>0.47980089999999997</v>
      </c>
      <c r="F5450" t="s">
        <v>41</v>
      </c>
      <c r="G5450">
        <v>-265.5437</v>
      </c>
      <c r="H5450" s="1">
        <v>-1.8557620000000001E-6</v>
      </c>
      <c r="I5450">
        <v>-62.1586199999999</v>
      </c>
      <c r="J5450">
        <v>-279.12380000000002</v>
      </c>
      <c r="K5450">
        <v>1.111324</v>
      </c>
      <c r="L5450">
        <v>-61.699919999999999</v>
      </c>
      <c r="M5450">
        <v>0.98958579999999996</v>
      </c>
      <c r="N5450">
        <v>0</v>
      </c>
      <c r="O5450">
        <v>-0.14353589999999999</v>
      </c>
      <c r="P5450">
        <v>0.97492239999999997</v>
      </c>
      <c r="Q5450">
        <v>0.19339500000000001</v>
      </c>
      <c r="R5450">
        <v>-0.1101143</v>
      </c>
      <c r="S5450">
        <v>3.1156009999999998</v>
      </c>
      <c r="T5450">
        <v>-0.25353500000000001</v>
      </c>
      <c r="U5450">
        <v>-0.1068115</v>
      </c>
      <c r="V5450">
        <v>-3.1667420000000002E-2</v>
      </c>
      <c r="W5450">
        <v>0.2039194</v>
      </c>
      <c r="X5450">
        <v>0.9784754</v>
      </c>
      <c r="Y5450">
        <v>-0.10872279999999999</v>
      </c>
      <c r="Z5450">
        <v>1.6035959999999998E-2</v>
      </c>
      <c r="AA5450">
        <v>0.99394269999999996</v>
      </c>
      <c r="AB5450">
        <v>16</v>
      </c>
      <c r="AC5450">
        <v>13.5801</v>
      </c>
      <c r="AD5450">
        <v>-1.1113258557619901</v>
      </c>
      <c r="AE5450">
        <v>-0.458699999999993</v>
      </c>
      <c r="AF5450">
        <v>-1.4854599334491001</v>
      </c>
      <c r="AG5450">
        <v>-1.1113258557619901</v>
      </c>
      <c r="AH5450">
        <v>13.4155658012372</v>
      </c>
      <c r="AI5450">
        <v>94.706850805044496</v>
      </c>
      <c r="AJ5450">
        <v>96.318428402528994</v>
      </c>
      <c r="AK5450">
        <v>13.5432286453006</v>
      </c>
      <c r="AL5450">
        <v>78.233751262882905</v>
      </c>
      <c r="AM5450">
        <v>91.853676057803796</v>
      </c>
      <c r="AN5450">
        <v>1.0000000277954799</v>
      </c>
    </row>
    <row r="5451" spans="1:40" x14ac:dyDescent="0.25">
      <c r="A5451" t="str">
        <f>"20190312172817429"</f>
        <v>20190312172817429</v>
      </c>
      <c r="B5451" t="str">
        <f>"1552382897425127"</f>
        <v>1552382897425127</v>
      </c>
      <c r="C5451" t="s">
        <v>40</v>
      </c>
      <c r="D5451">
        <v>3.4375949999999902</v>
      </c>
      <c r="E5451">
        <v>0.4798482</v>
      </c>
      <c r="F5451" t="s">
        <v>56</v>
      </c>
      <c r="G5451">
        <v>-265.53100000000001</v>
      </c>
      <c r="H5451" s="1">
        <v>-1.854745E-6</v>
      </c>
      <c r="I5451">
        <v>-62.175199999999997</v>
      </c>
      <c r="J5451">
        <v>-279.04259999999999</v>
      </c>
      <c r="K5451">
        <v>1.111302</v>
      </c>
      <c r="L5451">
        <v>-61.709870000000002</v>
      </c>
      <c r="M5451">
        <v>0.98981980000000003</v>
      </c>
      <c r="N5451">
        <v>0</v>
      </c>
      <c r="O5451">
        <v>-0.14191860000000001</v>
      </c>
      <c r="P5451">
        <v>0.97491450000000002</v>
      </c>
      <c r="Q5451">
        <v>0.1932354</v>
      </c>
      <c r="R5451">
        <v>-0.110462</v>
      </c>
      <c r="S5451">
        <v>3.1153870000000001</v>
      </c>
      <c r="T5451">
        <v>-0.25470910000000002</v>
      </c>
      <c r="U5451">
        <v>-0.1089478</v>
      </c>
      <c r="V5451">
        <v>-2.9711120000000001E-2</v>
      </c>
      <c r="W5451">
        <v>0.20368269999999999</v>
      </c>
      <c r="X5451">
        <v>0.97858599999999996</v>
      </c>
      <c r="Y5451">
        <v>-0.10642020000000001</v>
      </c>
      <c r="Z5451">
        <v>1.5886009999999999E-2</v>
      </c>
      <c r="AA5451">
        <v>0.99419429999999998</v>
      </c>
      <c r="AB5451">
        <v>16</v>
      </c>
      <c r="AC5451">
        <v>13.5115999999999</v>
      </c>
      <c r="AD5451">
        <v>-1.111303854745</v>
      </c>
      <c r="AE5451">
        <v>-0.46533000000000102</v>
      </c>
      <c r="AF5451">
        <v>-1.44726016509646</v>
      </c>
      <c r="AG5451">
        <v>-1.111303854745</v>
      </c>
      <c r="AH5451">
        <v>13.3506599866908</v>
      </c>
      <c r="AI5451">
        <v>94.7307211566891</v>
      </c>
      <c r="AJ5451">
        <v>96.186911794223406</v>
      </c>
      <c r="AK5451">
        <v>13.4747794164978</v>
      </c>
      <c r="AL5451">
        <v>78.247603292906703</v>
      </c>
      <c r="AM5451">
        <v>91.739038775282793</v>
      </c>
      <c r="AN5451">
        <v>0.99999997616347103</v>
      </c>
    </row>
    <row r="5452" spans="1:40" x14ac:dyDescent="0.25">
      <c r="A5452" t="str">
        <f>"20190312172817439"</f>
        <v>20190312172817439</v>
      </c>
      <c r="B5452" t="str">
        <f>"1552382897434886"</f>
        <v>1552382897434886</v>
      </c>
      <c r="C5452" t="s">
        <v>40</v>
      </c>
      <c r="D5452">
        <v>3.3769879999999999</v>
      </c>
      <c r="E5452">
        <v>0.47987079999999999</v>
      </c>
      <c r="F5452" t="s">
        <v>41</v>
      </c>
      <c r="G5452">
        <v>-265.47719999999998</v>
      </c>
      <c r="H5452" s="1">
        <v>-1.835914E-6</v>
      </c>
      <c r="I5452">
        <v>-62.191249999999997</v>
      </c>
      <c r="J5452">
        <v>-278.95609999999999</v>
      </c>
      <c r="K5452">
        <v>1.111278</v>
      </c>
      <c r="L5452">
        <v>-61.72025</v>
      </c>
      <c r="M5452">
        <v>0.99006110000000003</v>
      </c>
      <c r="N5452">
        <v>0</v>
      </c>
      <c r="O5452">
        <v>-0.14023250000000001</v>
      </c>
      <c r="P5452">
        <v>0.97494800000000004</v>
      </c>
      <c r="Q5452">
        <v>0.19313939999999999</v>
      </c>
      <c r="R5452">
        <v>-0.1103345</v>
      </c>
      <c r="S5452">
        <v>3.1152950000000001</v>
      </c>
      <c r="T5452">
        <v>-0.25521100000000002</v>
      </c>
      <c r="U5452">
        <v>-0.1105652</v>
      </c>
      <c r="V5452">
        <v>-2.8161519999999999E-2</v>
      </c>
      <c r="W5452">
        <v>0.20350760000000001</v>
      </c>
      <c r="X5452">
        <v>0.97866830000000005</v>
      </c>
      <c r="Y5452">
        <v>-0.1042194</v>
      </c>
      <c r="Z5452">
        <v>1.5690799999999901E-2</v>
      </c>
      <c r="AA5452">
        <v>0.99443049999999999</v>
      </c>
      <c r="AB5452">
        <v>17</v>
      </c>
      <c r="AC5452">
        <v>13.478899999999999</v>
      </c>
      <c r="AD5452">
        <v>-1.1112798359139999</v>
      </c>
      <c r="AE5452">
        <v>-0.47099999999999598</v>
      </c>
      <c r="AF5452">
        <v>-1.4143401329881</v>
      </c>
      <c r="AG5452">
        <v>-1.1112798359139999</v>
      </c>
      <c r="AH5452">
        <v>13.321308828208601</v>
      </c>
      <c r="AI5452">
        <v>94.742112591662206</v>
      </c>
      <c r="AJ5452">
        <v>96.060461257421295</v>
      </c>
      <c r="AK5452">
        <v>13.4421936372751</v>
      </c>
      <c r="AL5452">
        <v>78.257851025004101</v>
      </c>
      <c r="AM5452">
        <v>91.648251112981598</v>
      </c>
      <c r="AN5452">
        <v>1.00000002794567</v>
      </c>
    </row>
    <row r="5453" spans="1:40" x14ac:dyDescent="0.25">
      <c r="A5453" t="str">
        <f>"20190312172817451"</f>
        <v>20190312172817451</v>
      </c>
      <c r="B5453" t="str">
        <f>"1552382897444648"</f>
        <v>1552382897444648</v>
      </c>
      <c r="C5453" t="s">
        <v>40</v>
      </c>
      <c r="D5453">
        <v>3.3512300000000002</v>
      </c>
      <c r="E5453">
        <v>0.47988229999999998</v>
      </c>
      <c r="F5453" t="s">
        <v>56</v>
      </c>
      <c r="G5453">
        <v>-265.40050000000002</v>
      </c>
      <c r="H5453" s="1">
        <v>-1.805932E-6</v>
      </c>
      <c r="I5453">
        <v>-62.20223</v>
      </c>
      <c r="J5453">
        <v>-278.87599999999998</v>
      </c>
      <c r="K5453">
        <v>1.111254</v>
      </c>
      <c r="L5453">
        <v>-61.729799999999997</v>
      </c>
      <c r="M5453">
        <v>0.99028039999999995</v>
      </c>
      <c r="N5453">
        <v>0</v>
      </c>
      <c r="O5453">
        <v>-0.1386812</v>
      </c>
      <c r="P5453">
        <v>0.97489729999999997</v>
      </c>
      <c r="Q5453">
        <v>0.193408</v>
      </c>
      <c r="R5453">
        <v>-0.11031150000000001</v>
      </c>
      <c r="S5453">
        <v>3.1151430000000002</v>
      </c>
      <c r="T5453">
        <v>-0.25537660000000001</v>
      </c>
      <c r="U5453">
        <v>-0.1107788</v>
      </c>
      <c r="V5453">
        <v>-2.663252E-2</v>
      </c>
      <c r="W5453">
        <v>0.20370369999999999</v>
      </c>
      <c r="X5453">
        <v>0.97867029999999999</v>
      </c>
      <c r="Y5453">
        <v>-0.1026007</v>
      </c>
      <c r="Z5453">
        <v>1.550962E-2</v>
      </c>
      <c r="AA5453">
        <v>0.99460170000000003</v>
      </c>
      <c r="AB5453">
        <v>17</v>
      </c>
      <c r="AC5453">
        <v>13.475499999999901</v>
      </c>
      <c r="AD5453">
        <v>-1.1112558059319999</v>
      </c>
      <c r="AE5453">
        <v>-0.47243000000000901</v>
      </c>
      <c r="AF5453">
        <v>-1.3915871635689501</v>
      </c>
      <c r="AG5453">
        <v>-1.1112558059319999</v>
      </c>
      <c r="AH5453">
        <v>13.3203203097887</v>
      </c>
      <c r="AI5453">
        <v>94.743196978489706</v>
      </c>
      <c r="AJ5453">
        <v>95.964112272251896</v>
      </c>
      <c r="AK5453">
        <v>13.4388369085795</v>
      </c>
      <c r="AL5453">
        <v>78.246374865828798</v>
      </c>
      <c r="AM5453">
        <v>91.558803293953602</v>
      </c>
      <c r="AN5453">
        <v>1.00000002230866</v>
      </c>
    </row>
    <row r="5454" spans="1:40" x14ac:dyDescent="0.25">
      <c r="A5454" t="str">
        <f>"20190312172817462"</f>
        <v>20190312172817462</v>
      </c>
      <c r="B5454" t="str">
        <f>"1552382897455383"</f>
        <v>1552382897455383</v>
      </c>
      <c r="C5454" t="s">
        <v>40</v>
      </c>
      <c r="D5454">
        <v>3.4006639999999999</v>
      </c>
      <c r="E5454">
        <v>0.47988330000000001</v>
      </c>
      <c r="F5454" t="s">
        <v>56</v>
      </c>
      <c r="G5454">
        <v>-265.27269999999999</v>
      </c>
      <c r="H5454" s="1">
        <v>-1.754459E-6</v>
      </c>
      <c r="I5454">
        <v>-62.21481</v>
      </c>
      <c r="J5454">
        <v>-278.79180000000002</v>
      </c>
      <c r="K5454">
        <v>1.1112280000000001</v>
      </c>
      <c r="L5454">
        <v>-61.739690000000003</v>
      </c>
      <c r="M5454">
        <v>0.99050510000000003</v>
      </c>
      <c r="N5454">
        <v>0</v>
      </c>
      <c r="O5454">
        <v>-0.1370739</v>
      </c>
      <c r="P5454">
        <v>0.9748561</v>
      </c>
      <c r="Q5454">
        <v>0.19372819999999999</v>
      </c>
      <c r="R5454">
        <v>-0.1101149</v>
      </c>
      <c r="S5454">
        <v>3.115173</v>
      </c>
      <c r="T5454">
        <v>-0.25447799999999998</v>
      </c>
      <c r="U5454">
        <v>-0.111084</v>
      </c>
      <c r="V5454">
        <v>-2.522137E-2</v>
      </c>
      <c r="W5454">
        <v>0.2039502</v>
      </c>
      <c r="X5454">
        <v>0.97865639999999998</v>
      </c>
      <c r="Y5454">
        <v>-0.10090590000000001</v>
      </c>
      <c r="Z5454">
        <v>1.5256E-2</v>
      </c>
      <c r="AA5454">
        <v>0.99477899999999997</v>
      </c>
      <c r="AB5454">
        <v>17</v>
      </c>
      <c r="AC5454">
        <v>13.5191</v>
      </c>
      <c r="AD5454">
        <v>-1.111229754459</v>
      </c>
      <c r="AE5454">
        <v>-0.47511999999999599</v>
      </c>
      <c r="AF5454">
        <v>-1.3733161352567</v>
      </c>
      <c r="AG5454">
        <v>-1.111229754459</v>
      </c>
      <c r="AH5454">
        <v>13.366410080394401</v>
      </c>
      <c r="AI5454">
        <v>94.727638662546795</v>
      </c>
      <c r="AJ5454">
        <v>95.866203699643705</v>
      </c>
      <c r="AK5454">
        <v>13.482646150211799</v>
      </c>
      <c r="AL5454">
        <v>78.231949238992797</v>
      </c>
      <c r="AM5454">
        <v>91.476267112642105</v>
      </c>
      <c r="AN5454">
        <v>1.00000007542283</v>
      </c>
    </row>
    <row r="5455" spans="1:40" x14ac:dyDescent="0.25">
      <c r="A5455" t="str">
        <f>"20190312172817473"</f>
        <v>20190312172817473</v>
      </c>
      <c r="B5455" t="str">
        <f>"1552382897464673"</f>
        <v>1552382897464673</v>
      </c>
      <c r="C5455" t="s">
        <v>40</v>
      </c>
      <c r="D5455">
        <v>3.3755320000000002</v>
      </c>
      <c r="E5455">
        <v>0.47990250000000001</v>
      </c>
      <c r="F5455" t="s">
        <v>41</v>
      </c>
      <c r="G5455">
        <v>-265.12520000000001</v>
      </c>
      <c r="H5455" s="1">
        <v>-1.6938350000000001E-6</v>
      </c>
      <c r="I5455">
        <v>-62.224800000000002</v>
      </c>
      <c r="J5455">
        <v>-278.71409999999997</v>
      </c>
      <c r="K5455">
        <v>1.111205</v>
      </c>
      <c r="L5455">
        <v>-61.748750000000001</v>
      </c>
      <c r="M5455">
        <v>0.99070760000000002</v>
      </c>
      <c r="N5455">
        <v>0</v>
      </c>
      <c r="O5455">
        <v>-0.1356079</v>
      </c>
      <c r="P5455">
        <v>0.97481580000000001</v>
      </c>
      <c r="Q5455">
        <v>0.19411</v>
      </c>
      <c r="R5455">
        <v>-0.1097976</v>
      </c>
      <c r="S5455">
        <v>3.1152340000000001</v>
      </c>
      <c r="T5455">
        <v>-0.25329879999999999</v>
      </c>
      <c r="U5455">
        <v>-0.11059570000000001</v>
      </c>
      <c r="V5455">
        <v>-2.407082E-2</v>
      </c>
      <c r="W5455">
        <v>0.20426530000000001</v>
      </c>
      <c r="X5455">
        <v>0.97861960000000003</v>
      </c>
      <c r="Y5455">
        <v>-9.9606130000000001E-2</v>
      </c>
      <c r="Z5455">
        <v>1.501458E-2</v>
      </c>
      <c r="AA5455">
        <v>0.99491359999999995</v>
      </c>
      <c r="AB5455">
        <v>17</v>
      </c>
      <c r="AC5455">
        <v>13.588899999999899</v>
      </c>
      <c r="AD5455">
        <v>-1.111206693835</v>
      </c>
      <c r="AE5455">
        <v>-0.47604999999999997</v>
      </c>
      <c r="AF5455">
        <v>-1.3621134635193599</v>
      </c>
      <c r="AG5455">
        <v>-1.111206693835</v>
      </c>
      <c r="AH5455">
        <v>13.438170805307101</v>
      </c>
      <c r="AI5455">
        <v>94.703062752444396</v>
      </c>
      <c r="AJ5455">
        <v>95.787819848746096</v>
      </c>
      <c r="AK5455">
        <v>13.5526590747547</v>
      </c>
      <c r="AL5455">
        <v>78.213506433688394</v>
      </c>
      <c r="AM5455">
        <v>91.409003424184903</v>
      </c>
      <c r="AN5455">
        <v>1.0000000193318599</v>
      </c>
    </row>
    <row r="5456" spans="1:40" x14ac:dyDescent="0.25">
      <c r="A5456" t="str">
        <f>"20190312172817484"</f>
        <v>20190312172817484</v>
      </c>
      <c r="B5456" t="str">
        <f>"1552382897475409"</f>
        <v>1552382897475409</v>
      </c>
      <c r="C5456" t="s">
        <v>40</v>
      </c>
      <c r="D5456">
        <v>3.4940150000000001</v>
      </c>
      <c r="E5456">
        <v>0.47994290000000001</v>
      </c>
      <c r="F5456" t="s">
        <v>41</v>
      </c>
      <c r="G5456">
        <v>-264.97480000000002</v>
      </c>
      <c r="H5456" s="1">
        <v>-1.6312609999999999E-6</v>
      </c>
      <c r="I5456">
        <v>-62.232129999999998</v>
      </c>
      <c r="J5456">
        <v>-278.63069999999999</v>
      </c>
      <c r="K5456">
        <v>1.1111799999999901</v>
      </c>
      <c r="L5456">
        <v>-61.758360000000003</v>
      </c>
      <c r="M5456">
        <v>0.99091989999999996</v>
      </c>
      <c r="N5456">
        <v>0</v>
      </c>
      <c r="O5456">
        <v>-0.13405359999999999</v>
      </c>
      <c r="P5456">
        <v>0.97477250000000004</v>
      </c>
      <c r="Q5456">
        <v>0.19452120000000001</v>
      </c>
      <c r="R5456">
        <v>-0.10945390000000001</v>
      </c>
      <c r="S5456">
        <v>3.115326</v>
      </c>
      <c r="T5456">
        <v>-0.25196099999999999</v>
      </c>
      <c r="U5456">
        <v>-0.1096191</v>
      </c>
      <c r="V5456">
        <v>-2.285819E-2</v>
      </c>
      <c r="W5456">
        <v>0.2046084</v>
      </c>
      <c r="X5456">
        <v>0.97857700000000003</v>
      </c>
      <c r="Y5456">
        <v>-9.8374870000000003E-2</v>
      </c>
      <c r="Z5456">
        <v>1.4761089999999999E-2</v>
      </c>
      <c r="AA5456">
        <v>0.99503989999999998</v>
      </c>
      <c r="AB5456">
        <v>17</v>
      </c>
      <c r="AC5456">
        <v>13.6558999999999</v>
      </c>
      <c r="AD5456">
        <v>-1.1111816312609999</v>
      </c>
      <c r="AE5456">
        <v>-0.47377000000000802</v>
      </c>
      <c r="AF5456">
        <v>-1.35228469036344</v>
      </c>
      <c r="AG5456">
        <v>-1.1111816312609999</v>
      </c>
      <c r="AH5456">
        <v>13.5068213011716</v>
      </c>
      <c r="AI5456">
        <v>94.679737499612699</v>
      </c>
      <c r="AJ5456">
        <v>95.717323793057403</v>
      </c>
      <c r="AK5456">
        <v>13.6197511050395</v>
      </c>
      <c r="AL5456">
        <v>78.193424111175801</v>
      </c>
      <c r="AM5456">
        <v>91.338105938449402</v>
      </c>
      <c r="AN5456">
        <v>1.00000001956481</v>
      </c>
    </row>
    <row r="5457" spans="1:40" x14ac:dyDescent="0.25">
      <c r="A5457" t="str">
        <f>"20190312172817495"</f>
        <v>20190312172817495</v>
      </c>
      <c r="B5457" t="str">
        <f>"1552382897485169"</f>
        <v>1552382897485169</v>
      </c>
      <c r="C5457" t="s">
        <v>40</v>
      </c>
      <c r="D5457">
        <v>3.3854579999999999</v>
      </c>
      <c r="E5457">
        <v>0.47998059999999998</v>
      </c>
      <c r="F5457" t="s">
        <v>41</v>
      </c>
      <c r="G5457">
        <v>-264.81790000000001</v>
      </c>
      <c r="H5457" s="1">
        <v>-1.5659769999999999E-6</v>
      </c>
      <c r="I5457">
        <v>-62.239710000000002</v>
      </c>
      <c r="J5457">
        <v>-278.54809999999998</v>
      </c>
      <c r="K5457">
        <v>1.111159</v>
      </c>
      <c r="L5457">
        <v>-61.767760000000003</v>
      </c>
      <c r="M5457">
        <v>0.99112389999999995</v>
      </c>
      <c r="N5457">
        <v>0</v>
      </c>
      <c r="O5457">
        <v>-0.13254279999999999</v>
      </c>
      <c r="P5457">
        <v>0.97484579999999998</v>
      </c>
      <c r="Q5457">
        <v>0.19442400000000001</v>
      </c>
      <c r="R5457">
        <v>-0.108973</v>
      </c>
      <c r="S5457">
        <v>3.1154169999999999</v>
      </c>
      <c r="T5457">
        <v>-0.25062180000000001</v>
      </c>
      <c r="U5457">
        <v>-0.1085815</v>
      </c>
      <c r="V5457">
        <v>-2.1838429999999999E-2</v>
      </c>
      <c r="W5457">
        <v>0.2044483</v>
      </c>
      <c r="X5457">
        <v>0.9786338</v>
      </c>
      <c r="Y5457">
        <v>-9.7206390000000004E-2</v>
      </c>
      <c r="Z5457">
        <v>1.451534E-2</v>
      </c>
      <c r="AA5457">
        <v>0.9951584</v>
      </c>
      <c r="AB5457">
        <v>17</v>
      </c>
      <c r="AC5457">
        <v>13.7301999999999</v>
      </c>
      <c r="AD5457">
        <v>-1.1111605659770001</v>
      </c>
      <c r="AE5457">
        <v>-0.47194999999999898</v>
      </c>
      <c r="AF5457">
        <v>-1.34336197321323</v>
      </c>
      <c r="AG5457">
        <v>-1.1111605659770001</v>
      </c>
      <c r="AH5457">
        <v>13.5827527657218</v>
      </c>
      <c r="AI5457">
        <v>94.654159269347005</v>
      </c>
      <c r="AJ5457">
        <v>95.648300838696102</v>
      </c>
      <c r="AK5457">
        <v>13.694176568497401</v>
      </c>
      <c r="AL5457">
        <v>78.202795862464498</v>
      </c>
      <c r="AM5457">
        <v>91.278355844270195</v>
      </c>
      <c r="AN5457">
        <v>1.0000000694500899</v>
      </c>
    </row>
    <row r="5458" spans="1:40" x14ac:dyDescent="0.25">
      <c r="A5458" t="str">
        <f>"20190312172817506"</f>
        <v>20190312172817506</v>
      </c>
      <c r="B5458" t="str">
        <f>"1552382897494929"</f>
        <v>1552382897494929</v>
      </c>
      <c r="C5458" t="s">
        <v>40</v>
      </c>
      <c r="D5458">
        <v>3.3783539999999999</v>
      </c>
      <c r="E5458">
        <v>0.48001369999999999</v>
      </c>
      <c r="F5458" t="s">
        <v>41</v>
      </c>
      <c r="G5458">
        <v>-264.75020000000001</v>
      </c>
      <c r="H5458" s="1">
        <v>-1.537518E-6</v>
      </c>
      <c r="I5458">
        <v>-62.241959999999999</v>
      </c>
      <c r="J5458">
        <v>-278.46570000000003</v>
      </c>
      <c r="K5458">
        <v>1.1111310000000001</v>
      </c>
      <c r="L5458">
        <v>-61.777070000000002</v>
      </c>
      <c r="M5458">
        <v>0.99132359999999997</v>
      </c>
      <c r="N5458">
        <v>0</v>
      </c>
      <c r="O5458">
        <v>-0.13104560000000001</v>
      </c>
      <c r="P5458">
        <v>0.97492210000000001</v>
      </c>
      <c r="Q5458">
        <v>0.19451009999999999</v>
      </c>
      <c r="R5458">
        <v>-0.1081343</v>
      </c>
      <c r="S5458">
        <v>3.1154790000000001</v>
      </c>
      <c r="T5458">
        <v>-0.25089159999999999</v>
      </c>
      <c r="U5458">
        <v>-0.10708620000000001</v>
      </c>
      <c r="V5458">
        <v>-2.1188269999999999E-2</v>
      </c>
      <c r="W5458">
        <v>0.2044716</v>
      </c>
      <c r="X5458">
        <v>0.97864320000000005</v>
      </c>
      <c r="Y5458">
        <v>-9.6187220000000004E-2</v>
      </c>
      <c r="Z5458">
        <v>1.437045E-2</v>
      </c>
      <c r="AA5458">
        <v>0.99525949999999996</v>
      </c>
      <c r="AB5458">
        <v>17</v>
      </c>
      <c r="AC5458">
        <v>13.7155</v>
      </c>
      <c r="AD5458">
        <v>-1.1111325375179999</v>
      </c>
      <c r="AE5458">
        <v>-0.46489000000000302</v>
      </c>
      <c r="AF5458">
        <v>-1.3278644884381601</v>
      </c>
      <c r="AG5458">
        <v>-1.1111325375179999</v>
      </c>
      <c r="AH5458">
        <v>13.5691811879305</v>
      </c>
      <c r="AI5458">
        <v>94.659148245243799</v>
      </c>
      <c r="AJ5458">
        <v>95.589103439946797</v>
      </c>
      <c r="AK5458">
        <v>13.679200185919999</v>
      </c>
      <c r="AL5458">
        <v>78.201431773238596</v>
      </c>
      <c r="AM5458">
        <v>91.2402975996187</v>
      </c>
      <c r="AN5458">
        <v>1.00000004544919</v>
      </c>
    </row>
    <row r="5459" spans="1:40" x14ac:dyDescent="0.25">
      <c r="A5459" t="str">
        <f>"20190312172817518"</f>
        <v>20190312172817518</v>
      </c>
      <c r="B5459" t="str">
        <f>"1552382897515425"</f>
        <v>1552382897515425</v>
      </c>
      <c r="C5459" t="s">
        <v>40</v>
      </c>
      <c r="D5459">
        <v>3.2983220000000002</v>
      </c>
      <c r="E5459">
        <v>0.47961979999999999</v>
      </c>
      <c r="F5459" t="s">
        <v>41</v>
      </c>
      <c r="G5459">
        <v>-264.64429999999999</v>
      </c>
      <c r="H5459" s="1">
        <v>-1.4916560000000001E-6</v>
      </c>
      <c r="I5459">
        <v>-62.240290000000002</v>
      </c>
      <c r="J5459">
        <v>-278.3886</v>
      </c>
      <c r="K5459">
        <v>1.111105</v>
      </c>
      <c r="L5459">
        <v>-61.785640000000001</v>
      </c>
      <c r="M5459">
        <v>0.99150349999999998</v>
      </c>
      <c r="N5459">
        <v>0</v>
      </c>
      <c r="O5459">
        <v>-0.1296812</v>
      </c>
      <c r="P5459">
        <v>0.97501919999999997</v>
      </c>
      <c r="Q5459">
        <v>0.19446720000000001</v>
      </c>
      <c r="R5459">
        <v>-0.1073318</v>
      </c>
      <c r="S5459">
        <v>3.11557</v>
      </c>
      <c r="T5459">
        <v>-0.2504673</v>
      </c>
      <c r="U5459">
        <v>-0.1044312</v>
      </c>
      <c r="V5459">
        <v>-2.0637119999999998E-2</v>
      </c>
      <c r="W5459">
        <v>0.20437169999999999</v>
      </c>
      <c r="X5459">
        <v>0.97867579999999998</v>
      </c>
      <c r="Y5459">
        <v>-9.5674079999999995E-2</v>
      </c>
      <c r="Z5459">
        <v>1.4216909999999999E-2</v>
      </c>
      <c r="AA5459">
        <v>0.99531119999999995</v>
      </c>
      <c r="AB5459">
        <v>17</v>
      </c>
      <c r="AC5459">
        <v>13.744300000000001</v>
      </c>
      <c r="AD5459">
        <v>-1.1111064916560001</v>
      </c>
      <c r="AE5459">
        <v>-0.45465</v>
      </c>
      <c r="AF5459">
        <v>-1.3230223211255501</v>
      </c>
      <c r="AG5459">
        <v>-1.1111064916560001</v>
      </c>
      <c r="AH5459">
        <v>13.5984173792487</v>
      </c>
      <c r="AI5459">
        <v>94.649320113162801</v>
      </c>
      <c r="AJ5459">
        <v>95.556952819291993</v>
      </c>
      <c r="AK5459">
        <v>13.7077314285862</v>
      </c>
      <c r="AL5459">
        <v>78.207278579937906</v>
      </c>
      <c r="AM5459">
        <v>91.208004396177799</v>
      </c>
      <c r="AN5459">
        <v>1.0000000019942099</v>
      </c>
    </row>
    <row r="5460" spans="1:40" x14ac:dyDescent="0.25">
      <c r="A5460" t="str">
        <f>"20190312172817529"</f>
        <v>20190312172817529</v>
      </c>
      <c r="B5460" t="str">
        <f>"1552382897525185"</f>
        <v>1552382897525185</v>
      </c>
      <c r="C5460" t="s">
        <v>40</v>
      </c>
      <c r="D5460">
        <v>3.3413879999999998</v>
      </c>
      <c r="E5460">
        <v>0.47937790000000002</v>
      </c>
      <c r="F5460" t="s">
        <v>41</v>
      </c>
      <c r="G5460">
        <v>-264.42630000000003</v>
      </c>
      <c r="H5460" s="1">
        <v>-1.3947479999999901E-6</v>
      </c>
      <c r="I5460">
        <v>-62.227469999999997</v>
      </c>
      <c r="J5460">
        <v>-278.30529999999999</v>
      </c>
      <c r="K5460">
        <v>1.111073</v>
      </c>
      <c r="L5460">
        <v>-61.79486</v>
      </c>
      <c r="M5460">
        <v>0.99169499999999999</v>
      </c>
      <c r="N5460">
        <v>0</v>
      </c>
      <c r="O5460">
        <v>-0.12821569999999999</v>
      </c>
      <c r="P5460">
        <v>0.97510469999999905</v>
      </c>
      <c r="Q5460">
        <v>0.19444320000000001</v>
      </c>
      <c r="R5460">
        <v>-0.10659689999999999</v>
      </c>
      <c r="S5460">
        <v>3.1154480000000002</v>
      </c>
      <c r="T5460">
        <v>-0.24792539999999999</v>
      </c>
      <c r="U5460">
        <v>-9.8602289999999995E-2</v>
      </c>
      <c r="V5460">
        <v>-1.9916469999999999E-2</v>
      </c>
      <c r="W5460">
        <v>0.2042872</v>
      </c>
      <c r="X5460">
        <v>0.97870840000000003</v>
      </c>
      <c r="Y5460">
        <v>-9.6079540000000005E-2</v>
      </c>
      <c r="Z5460">
        <v>1.39749E-2</v>
      </c>
      <c r="AA5460">
        <v>0.99527560000000004</v>
      </c>
      <c r="AB5460">
        <v>17</v>
      </c>
      <c r="AC5460">
        <v>13.8789999999999</v>
      </c>
      <c r="AD5460">
        <v>-1.111074394748</v>
      </c>
      <c r="AE5460">
        <v>-0.432609999999996</v>
      </c>
      <c r="AF5460">
        <v>-1.34196534001116</v>
      </c>
      <c r="AG5460">
        <v>-1.111074394748</v>
      </c>
      <c r="AH5460">
        <v>13.7319867218357</v>
      </c>
      <c r="AI5460">
        <v>94.603967917383301</v>
      </c>
      <c r="AJ5460">
        <v>95.581535627290194</v>
      </c>
      <c r="AK5460">
        <v>13.8420669198327</v>
      </c>
      <c r="AL5460">
        <v>78.2122247431967</v>
      </c>
      <c r="AM5460">
        <v>91.165793809805507</v>
      </c>
      <c r="AN5460">
        <v>1.00000002904583</v>
      </c>
    </row>
    <row r="5461" spans="1:40" x14ac:dyDescent="0.25">
      <c r="A5461" t="str">
        <f>"20190312172817540"</f>
        <v>20190312172817540</v>
      </c>
      <c r="B5461" t="str">
        <f>"1552382897534945"</f>
        <v>1552382897534945</v>
      </c>
      <c r="C5461" t="s">
        <v>40</v>
      </c>
      <c r="D5461">
        <v>3.3539819999999998</v>
      </c>
      <c r="E5461">
        <v>0.47911609999999999</v>
      </c>
      <c r="F5461" t="s">
        <v>41</v>
      </c>
      <c r="G5461">
        <v>-264.1816</v>
      </c>
      <c r="H5461" s="1">
        <v>-1.288322E-6</v>
      </c>
      <c r="I5461">
        <v>-62.222059999999999</v>
      </c>
      <c r="J5461">
        <v>-278.21440000000001</v>
      </c>
      <c r="K5461">
        <v>1.11104</v>
      </c>
      <c r="L5461">
        <v>-61.804780000000001</v>
      </c>
      <c r="M5461">
        <v>0.99189590000000005</v>
      </c>
      <c r="N5461">
        <v>0</v>
      </c>
      <c r="O5461">
        <v>-0.12665689999999999</v>
      </c>
      <c r="P5461">
        <v>0.97520879999999999</v>
      </c>
      <c r="Q5461">
        <v>0.19447300000000001</v>
      </c>
      <c r="R5461">
        <v>-0.1055857</v>
      </c>
      <c r="S5461">
        <v>3.1151430000000002</v>
      </c>
      <c r="T5461">
        <v>-0.24505969999999999</v>
      </c>
      <c r="U5461">
        <v>-9.4238279999999994E-2</v>
      </c>
      <c r="V5461">
        <v>-1.9380399999999999E-2</v>
      </c>
      <c r="W5461">
        <v>0.2042504</v>
      </c>
      <c r="X5461">
        <v>0.97872680000000001</v>
      </c>
      <c r="Y5461">
        <v>-9.5926269999999994E-2</v>
      </c>
      <c r="Z5461">
        <v>1.3688179999999999E-2</v>
      </c>
      <c r="AA5461">
        <v>0.99529429999999997</v>
      </c>
      <c r="AB5461">
        <v>17</v>
      </c>
      <c r="AC5461">
        <v>14.0328</v>
      </c>
      <c r="AD5461">
        <v>-1.111041288322</v>
      </c>
      <c r="AE5461">
        <v>-0.41727999999999099</v>
      </c>
      <c r="AF5461">
        <v>-1.35503449228581</v>
      </c>
      <c r="AG5461">
        <v>-1.111041288322</v>
      </c>
      <c r="AH5461">
        <v>13.885663684798701</v>
      </c>
      <c r="AI5461">
        <v>94.553156274763495</v>
      </c>
      <c r="AJ5461">
        <v>95.573569500025002</v>
      </c>
      <c r="AK5461">
        <v>13.9957917670627</v>
      </c>
      <c r="AL5461">
        <v>78.214378145542199</v>
      </c>
      <c r="AM5461">
        <v>91.134402395294302</v>
      </c>
      <c r="AN5461">
        <v>0.99999998742127905</v>
      </c>
    </row>
    <row r="5462" spans="1:40" x14ac:dyDescent="0.25">
      <c r="A5462" t="str">
        <f>"20190312172817554"</f>
        <v>20190312172817554</v>
      </c>
      <c r="B5462" t="str">
        <f>"1552382897544704"</f>
        <v>1552382897544704</v>
      </c>
      <c r="C5462" t="s">
        <v>40</v>
      </c>
      <c r="D5462">
        <v>3.3746640000000001</v>
      </c>
      <c r="E5462">
        <v>0.47886709999999899</v>
      </c>
      <c r="F5462" t="s">
        <v>41</v>
      </c>
      <c r="G5462">
        <v>-263.88639999999998</v>
      </c>
      <c r="H5462" s="1">
        <v>-1.1593470000000001E-6</v>
      </c>
      <c r="I5462">
        <v>-62.213360000000002</v>
      </c>
      <c r="J5462">
        <v>-278.12439999999998</v>
      </c>
      <c r="K5462">
        <v>1.111011</v>
      </c>
      <c r="L5462">
        <v>-61.814480000000003</v>
      </c>
      <c r="M5462">
        <v>0.99209020000000003</v>
      </c>
      <c r="N5462">
        <v>0</v>
      </c>
      <c r="O5462">
        <v>-0.125131399999999</v>
      </c>
      <c r="P5462">
        <v>0.97538389999999997</v>
      </c>
      <c r="Q5462">
        <v>0.1943705</v>
      </c>
      <c r="R5462">
        <v>-0.104147699999999</v>
      </c>
      <c r="S5462">
        <v>3.1148069999999999</v>
      </c>
      <c r="T5462">
        <v>-0.24153169999999999</v>
      </c>
      <c r="U5462">
        <v>-8.8836670000000006E-2</v>
      </c>
      <c r="V5462">
        <v>-1.9309690000000001E-2</v>
      </c>
      <c r="W5462">
        <v>0.2040814</v>
      </c>
      <c r="X5462">
        <v>0.97876350000000001</v>
      </c>
      <c r="Y5462">
        <v>-9.6140020000000007E-2</v>
      </c>
      <c r="Z5462">
        <v>1.3384760000000001E-2</v>
      </c>
      <c r="AA5462">
        <v>0.99527779999999999</v>
      </c>
      <c r="AB5462">
        <v>17</v>
      </c>
      <c r="AC5462">
        <v>14.238</v>
      </c>
      <c r="AD5462">
        <v>-1.1110121593469999</v>
      </c>
      <c r="AE5462">
        <v>-0.39887999999999102</v>
      </c>
      <c r="AF5462">
        <v>-1.37758325337654</v>
      </c>
      <c r="AG5462">
        <v>-1.1110121593469999</v>
      </c>
      <c r="AH5462">
        <v>14.0902684870117</v>
      </c>
      <c r="AI5462">
        <v>94.487115484952298</v>
      </c>
      <c r="AJ5462">
        <v>95.583971055912997</v>
      </c>
      <c r="AK5462">
        <v>14.200977067592101</v>
      </c>
      <c r="AL5462">
        <v>78.224270054093907</v>
      </c>
      <c r="AM5462">
        <v>91.130222198325697</v>
      </c>
      <c r="AN5462">
        <v>1.0000000354430501</v>
      </c>
    </row>
    <row r="5463" spans="1:40" x14ac:dyDescent="0.25">
      <c r="A5463" t="str">
        <f>"20190312172817565"</f>
        <v>20190312172817565</v>
      </c>
      <c r="B5463" t="str">
        <f>"1552382897555441"</f>
        <v>1552382897555441</v>
      </c>
      <c r="C5463" t="s">
        <v>40</v>
      </c>
      <c r="D5463">
        <v>3.3537859999999999</v>
      </c>
      <c r="E5463">
        <v>0.47865970000000002</v>
      </c>
      <c r="F5463" t="s">
        <v>41</v>
      </c>
      <c r="G5463">
        <v>-263.62329999999997</v>
      </c>
      <c r="H5463" s="1">
        <v>-1.042019E-6</v>
      </c>
      <c r="I5463">
        <v>-62.1965</v>
      </c>
      <c r="J5463">
        <v>-278.03399999999999</v>
      </c>
      <c r="K5463">
        <v>1.110981</v>
      </c>
      <c r="L5463">
        <v>-61.824159999999999</v>
      </c>
      <c r="M5463">
        <v>0.99227989999999999</v>
      </c>
      <c r="N5463">
        <v>0</v>
      </c>
      <c r="O5463">
        <v>-0.1236236</v>
      </c>
      <c r="P5463">
        <v>0.97555480000000006</v>
      </c>
      <c r="Q5463">
        <v>0.19422210000000001</v>
      </c>
      <c r="R5463">
        <v>-0.10281510000000001</v>
      </c>
      <c r="S5463">
        <v>3.1145019999999999</v>
      </c>
      <c r="T5463">
        <v>-0.2386209</v>
      </c>
      <c r="U5463">
        <v>-8.2061770000000006E-2</v>
      </c>
      <c r="V5463">
        <v>-1.9152820000000001E-2</v>
      </c>
      <c r="W5463">
        <v>0.2038671</v>
      </c>
      <c r="X5463">
        <v>0.97881119999999999</v>
      </c>
      <c r="Y5463">
        <v>-9.6806030000000001E-2</v>
      </c>
      <c r="Z5463">
        <v>1.313683E-2</v>
      </c>
      <c r="AA5463">
        <v>0.99521649999999995</v>
      </c>
      <c r="AB5463">
        <v>17</v>
      </c>
      <c r="AC5463">
        <v>14.4107</v>
      </c>
      <c r="AD5463">
        <v>-1.110982042019</v>
      </c>
      <c r="AE5463">
        <v>-0.372340000000001</v>
      </c>
      <c r="AF5463">
        <v>-1.40376840900808</v>
      </c>
      <c r="AG5463">
        <v>-1.110982042019</v>
      </c>
      <c r="AH5463">
        <v>14.2614727144542</v>
      </c>
      <c r="AI5463">
        <v>94.433061317690303</v>
      </c>
      <c r="AJ5463">
        <v>95.621561980005694</v>
      </c>
      <c r="AK5463">
        <v>14.3733938521471</v>
      </c>
      <c r="AL5463">
        <v>78.236811741370502</v>
      </c>
      <c r="AM5463">
        <v>91.120988121045698</v>
      </c>
      <c r="AN5463">
        <v>0.99999999511090099</v>
      </c>
    </row>
    <row r="5464" spans="1:40" x14ac:dyDescent="0.25">
      <c r="A5464" t="str">
        <f>"20190312172817578"</f>
        <v>20190312172817578</v>
      </c>
      <c r="B5464" t="str">
        <f>"1552382897575467"</f>
        <v>1552382897575467</v>
      </c>
      <c r="C5464" t="s">
        <v>40</v>
      </c>
      <c r="D5464">
        <v>3.3595299999999999</v>
      </c>
      <c r="E5464">
        <v>0.47829729999999998</v>
      </c>
      <c r="F5464" t="s">
        <v>56</v>
      </c>
      <c r="G5464">
        <v>-263.3698</v>
      </c>
      <c r="H5464" s="1">
        <v>-9.2973709999999997E-7</v>
      </c>
      <c r="I5464">
        <v>-62.183199999999999</v>
      </c>
      <c r="J5464">
        <v>-277.94560000000001</v>
      </c>
      <c r="K5464">
        <v>1.1109549999999999</v>
      </c>
      <c r="L5464">
        <v>-61.833440000000003</v>
      </c>
      <c r="M5464">
        <v>0.99245939999999999</v>
      </c>
      <c r="N5464">
        <v>0</v>
      </c>
      <c r="O5464">
        <v>-0.122179</v>
      </c>
      <c r="P5464">
        <v>0.97579939999999998</v>
      </c>
      <c r="Q5464">
        <v>0.19379540000000001</v>
      </c>
      <c r="R5464">
        <v>-0.1012873</v>
      </c>
      <c r="S5464">
        <v>3.1141359999999998</v>
      </c>
      <c r="T5464">
        <v>-0.2359327</v>
      </c>
      <c r="U5464">
        <v>-7.6263429999999993E-2</v>
      </c>
      <c r="V5464">
        <v>-1.9261239999999999E-2</v>
      </c>
      <c r="W5464">
        <v>0.20337740000000001</v>
      </c>
      <c r="X5464">
        <v>0.97891090000000003</v>
      </c>
      <c r="Y5464">
        <v>-9.7223030000000002E-2</v>
      </c>
      <c r="Z5464">
        <v>1.289856E-2</v>
      </c>
      <c r="AA5464">
        <v>0.99517909999999998</v>
      </c>
      <c r="AB5464">
        <v>17</v>
      </c>
      <c r="AC5464">
        <v>14.575799999999999</v>
      </c>
      <c r="AD5464">
        <v>-1.1109559297370999</v>
      </c>
      <c r="AE5464">
        <v>-0.34975999999999602</v>
      </c>
      <c r="AF5464">
        <v>-1.4255267023095299</v>
      </c>
      <c r="AG5464">
        <v>-1.1109559297370999</v>
      </c>
      <c r="AH5464">
        <v>14.4255688875165</v>
      </c>
      <c r="AI5464">
        <v>94.382562893174807</v>
      </c>
      <c r="AJ5464">
        <v>95.643614195903993</v>
      </c>
      <c r="AK5464">
        <v>14.5383419682335</v>
      </c>
      <c r="AL5464">
        <v>78.265469423252796</v>
      </c>
      <c r="AM5464">
        <v>91.127217374240004</v>
      </c>
      <c r="AN5464">
        <v>0.99999995616795201</v>
      </c>
    </row>
    <row r="5465" spans="1:40" x14ac:dyDescent="0.25">
      <c r="A5465" t="str">
        <f>"20190312172817591"</f>
        <v>20190312172817591</v>
      </c>
      <c r="B5465" t="str">
        <f>"1552382897585227"</f>
        <v>1552382897585227</v>
      </c>
      <c r="C5465" t="s">
        <v>40</v>
      </c>
      <c r="D5465">
        <v>3.3670559999999998</v>
      </c>
      <c r="E5465">
        <v>0.4781533</v>
      </c>
      <c r="F5465" t="s">
        <v>56</v>
      </c>
      <c r="G5465">
        <v>-263.00490000000002</v>
      </c>
      <c r="H5465" s="1">
        <v>-7.6767809999999899E-7</v>
      </c>
      <c r="I5465">
        <v>-62.16245</v>
      </c>
      <c r="J5465">
        <v>-277.84559999999999</v>
      </c>
      <c r="K5465">
        <v>1.110924</v>
      </c>
      <c r="L5465">
        <v>-61.843870000000003</v>
      </c>
      <c r="M5465">
        <v>0.99265780000000003</v>
      </c>
      <c r="N5465">
        <v>0</v>
      </c>
      <c r="O5465">
        <v>-0.1205618</v>
      </c>
      <c r="P5465">
        <v>0.97598309999999999</v>
      </c>
      <c r="Q5465">
        <v>0.19370589999999999</v>
      </c>
      <c r="R5465">
        <v>-9.9674170000000006E-2</v>
      </c>
      <c r="S5465">
        <v>3.113251</v>
      </c>
      <c r="T5465">
        <v>-0.23149539999999999</v>
      </c>
      <c r="U5465">
        <v>-6.8572999999999995E-2</v>
      </c>
      <c r="V5465">
        <v>-1.9277300000000001E-2</v>
      </c>
      <c r="W5465">
        <v>0.2032168</v>
      </c>
      <c r="X5465">
        <v>0.97894400000000004</v>
      </c>
      <c r="Y5465">
        <v>-9.8076410000000003E-2</v>
      </c>
      <c r="Z5465">
        <v>1.2573279999999999E-2</v>
      </c>
      <c r="AA5465">
        <v>0.99509950000000003</v>
      </c>
      <c r="AB5465">
        <v>17</v>
      </c>
      <c r="AC5465">
        <v>14.840699999999901</v>
      </c>
      <c r="AD5465">
        <v>-1.1109247676781</v>
      </c>
      <c r="AE5465">
        <v>-0.31858000000000403</v>
      </c>
      <c r="AF5465">
        <v>-1.4648463014252899</v>
      </c>
      <c r="AG5465">
        <v>-1.1109247676781</v>
      </c>
      <c r="AH5465">
        <v>14.688579604434601</v>
      </c>
      <c r="AI5465">
        <v>94.303884427821004</v>
      </c>
      <c r="AJ5465">
        <v>95.695099364008001</v>
      </c>
      <c r="AK5465">
        <v>14.803185445101001</v>
      </c>
      <c r="AL5465">
        <v>78.274868125165995</v>
      </c>
      <c r="AM5465">
        <v>91.128118868675799</v>
      </c>
      <c r="AN5465">
        <v>1.0000000186167599</v>
      </c>
    </row>
    <row r="5466" spans="1:40" x14ac:dyDescent="0.25">
      <c r="A5466" t="str">
        <f>"20190312172817601"</f>
        <v>20190312172817601</v>
      </c>
      <c r="B5466" t="str">
        <f>"1552382897594989"</f>
        <v>1552382897594989</v>
      </c>
      <c r="C5466" t="s">
        <v>40</v>
      </c>
      <c r="D5466">
        <v>3.31704</v>
      </c>
      <c r="E5466">
        <v>0.47802899999999998</v>
      </c>
      <c r="F5466" t="s">
        <v>56</v>
      </c>
      <c r="G5466">
        <v>-262.74630000000002</v>
      </c>
      <c r="H5466" s="1">
        <v>-6.5234599999999998E-7</v>
      </c>
      <c r="I5466">
        <v>-62.146070000000002</v>
      </c>
      <c r="J5466">
        <v>-277.76190000000003</v>
      </c>
      <c r="K5466">
        <v>1.1109119999999999</v>
      </c>
      <c r="L5466">
        <v>-61.852510000000002</v>
      </c>
      <c r="M5466">
        <v>0.9928188</v>
      </c>
      <c r="N5466">
        <v>0</v>
      </c>
      <c r="O5466">
        <v>-0.1192349</v>
      </c>
      <c r="P5466">
        <v>0.97620589999999996</v>
      </c>
      <c r="Q5466">
        <v>0.1933581</v>
      </c>
      <c r="R5466">
        <v>-9.8157540000000001E-2</v>
      </c>
      <c r="S5466">
        <v>3.1129150000000001</v>
      </c>
      <c r="T5466">
        <v>-0.2290316</v>
      </c>
      <c r="U5466">
        <v>-6.231689E-2</v>
      </c>
      <c r="V5466">
        <v>-1.9491370000000001E-2</v>
      </c>
      <c r="W5466">
        <v>0.20280960000000001</v>
      </c>
      <c r="X5466">
        <v>0.97902420000000001</v>
      </c>
      <c r="Y5466">
        <v>-9.8757159999999997E-2</v>
      </c>
      <c r="Z5466">
        <v>1.23698E-2</v>
      </c>
      <c r="AA5466">
        <v>0.99503470000000005</v>
      </c>
      <c r="AB5466">
        <v>17</v>
      </c>
      <c r="AC5466">
        <v>15.015599999999999</v>
      </c>
      <c r="AD5466">
        <v>-1.110912652346</v>
      </c>
      <c r="AE5466">
        <v>-0.29355999999999899</v>
      </c>
      <c r="AF5466">
        <v>-1.49084483749008</v>
      </c>
      <c r="AG5466">
        <v>-1.110912652346</v>
      </c>
      <c r="AH5466">
        <v>14.8621552795063</v>
      </c>
      <c r="AI5466">
        <v>94.253513219872403</v>
      </c>
      <c r="AJ5466">
        <v>95.728262556844399</v>
      </c>
      <c r="AK5466">
        <v>14.9779973562145</v>
      </c>
      <c r="AL5466">
        <v>78.298695106290197</v>
      </c>
      <c r="AM5466">
        <v>91.140549663829404</v>
      </c>
      <c r="AN5466">
        <v>1.00000001577113</v>
      </c>
    </row>
    <row r="5467" spans="1:40" x14ac:dyDescent="0.25">
      <c r="A5467" t="str">
        <f>"20190312172817612"</f>
        <v>20190312172817612</v>
      </c>
      <c r="B5467" t="str">
        <f>"1552382897604747"</f>
        <v>1552382897604747</v>
      </c>
      <c r="C5467" t="s">
        <v>40</v>
      </c>
      <c r="D5467">
        <v>3.3395570000000001</v>
      </c>
      <c r="E5467">
        <v>0.4779215</v>
      </c>
      <c r="F5467" t="s">
        <v>56</v>
      </c>
      <c r="G5467">
        <v>-262.5874</v>
      </c>
      <c r="H5467" s="1">
        <v>-5.7950389999999998E-7</v>
      </c>
      <c r="I5467">
        <v>-62.128430000000002</v>
      </c>
      <c r="J5467">
        <v>-277.68470000000002</v>
      </c>
      <c r="K5467">
        <v>1.1108929999999999</v>
      </c>
      <c r="L5467">
        <v>-61.860349999999997</v>
      </c>
      <c r="M5467">
        <v>0.99296410000000002</v>
      </c>
      <c r="N5467">
        <v>0</v>
      </c>
      <c r="O5467">
        <v>-0.11802360000000001</v>
      </c>
      <c r="P5467">
        <v>0.97637799999999997</v>
      </c>
      <c r="Q5467">
        <v>0.19316179999999999</v>
      </c>
      <c r="R5467">
        <v>-9.6824560000000004E-2</v>
      </c>
      <c r="S5467">
        <v>3.112549</v>
      </c>
      <c r="T5467">
        <v>-0.22786770000000001</v>
      </c>
      <c r="U5467">
        <v>-5.6610109999999998E-2</v>
      </c>
      <c r="V5467">
        <v>-1.9632469999999999E-2</v>
      </c>
      <c r="W5467">
        <v>0.20255699999999999</v>
      </c>
      <c r="X5467">
        <v>0.97907359999999999</v>
      </c>
      <c r="Y5467">
        <v>-9.9371760000000003E-2</v>
      </c>
      <c r="Z5467">
        <v>1.224342E-2</v>
      </c>
      <c r="AA5467">
        <v>0.99497500000000005</v>
      </c>
      <c r="AB5467">
        <v>17</v>
      </c>
      <c r="AC5467">
        <v>15.097300000000001</v>
      </c>
      <c r="AD5467">
        <v>-1.1108935795038899</v>
      </c>
      <c r="AE5467">
        <v>-0.26808000000000398</v>
      </c>
      <c r="AF5467">
        <v>-1.50755430089378</v>
      </c>
      <c r="AG5467">
        <v>-1.1108935795038899</v>
      </c>
      <c r="AH5467">
        <v>14.9425346059272</v>
      </c>
      <c r="AI5467">
        <v>94.230400607239503</v>
      </c>
      <c r="AJ5467">
        <v>95.761084568733907</v>
      </c>
      <c r="AK5467">
        <v>15.059420472397299</v>
      </c>
      <c r="AL5467">
        <v>78.313473921510607</v>
      </c>
      <c r="AM5467">
        <v>91.148746065175203</v>
      </c>
      <c r="AN5467">
        <v>0.99999994317212804</v>
      </c>
    </row>
    <row r="5468" spans="1:40" x14ac:dyDescent="0.25">
      <c r="A5468" t="str">
        <f>"20190312172817623"</f>
        <v>20190312172817623</v>
      </c>
      <c r="B5468" t="str">
        <f>"1552382897615484"</f>
        <v>1552382897615484</v>
      </c>
      <c r="C5468" t="s">
        <v>40</v>
      </c>
      <c r="D5468">
        <v>3.3445830000000001</v>
      </c>
      <c r="E5468">
        <v>0.47781030000000002</v>
      </c>
      <c r="F5468" t="s">
        <v>41</v>
      </c>
      <c r="G5468">
        <v>-262.41090000000003</v>
      </c>
      <c r="H5468" s="1">
        <v>-4.9956660000000002E-7</v>
      </c>
      <c r="I5468">
        <v>-62.112499999999997</v>
      </c>
      <c r="J5468">
        <v>-277.60309999999998</v>
      </c>
      <c r="K5468">
        <v>1.1108720000000001</v>
      </c>
      <c r="L5468">
        <v>-61.868589999999998</v>
      </c>
      <c r="M5468">
        <v>0.99311419999999995</v>
      </c>
      <c r="N5468">
        <v>0</v>
      </c>
      <c r="O5468">
        <v>-0.11675820000000001</v>
      </c>
      <c r="P5468">
        <v>0.97650269999999995</v>
      </c>
      <c r="Q5468">
        <v>0.1931194</v>
      </c>
      <c r="R5468">
        <v>-9.5642199999999997E-2</v>
      </c>
      <c r="S5468">
        <v>3.1122740000000002</v>
      </c>
      <c r="T5468">
        <v>-0.2263628</v>
      </c>
      <c r="U5468">
        <v>-5.1391600000000003E-2</v>
      </c>
      <c r="V5468">
        <v>-1.95666E-2</v>
      </c>
      <c r="W5468">
        <v>0.20245379999999999</v>
      </c>
      <c r="X5468">
        <v>0.97909630000000003</v>
      </c>
      <c r="Y5468">
        <v>-9.9779770000000004E-2</v>
      </c>
      <c r="Z5468">
        <v>1.208767E-2</v>
      </c>
      <c r="AA5468">
        <v>0.99493609999999999</v>
      </c>
      <c r="AB5468">
        <v>17</v>
      </c>
      <c r="AC5468">
        <v>15.1921999999999</v>
      </c>
      <c r="AD5468">
        <v>-1.1108724995665999</v>
      </c>
      <c r="AE5468">
        <v>-0.24390999999999199</v>
      </c>
      <c r="AF5468">
        <v>-1.5235100002208799</v>
      </c>
      <c r="AG5468">
        <v>-1.1108724995665999</v>
      </c>
      <c r="AH5468">
        <v>15.036386658032299</v>
      </c>
      <c r="AI5468">
        <v>94.203830488662504</v>
      </c>
      <c r="AJ5468">
        <v>95.785552819565794</v>
      </c>
      <c r="AK5468">
        <v>15.154142805217299</v>
      </c>
      <c r="AL5468">
        <v>78.319512369556406</v>
      </c>
      <c r="AM5468">
        <v>91.144866333627107</v>
      </c>
      <c r="AN5468">
        <v>0.99999997882184399</v>
      </c>
    </row>
    <row r="5469" spans="1:40" x14ac:dyDescent="0.25">
      <c r="A5469" t="str">
        <f>"20190312172817633"</f>
        <v>20190312172817633</v>
      </c>
      <c r="B5469" t="str">
        <f>"1552382897625243"</f>
        <v>1552382897625243</v>
      </c>
      <c r="C5469" t="s">
        <v>40</v>
      </c>
      <c r="D5469">
        <v>3.3378160000000001</v>
      </c>
      <c r="E5469">
        <v>0.47772680000000001</v>
      </c>
      <c r="F5469" t="s">
        <v>41</v>
      </c>
      <c r="G5469">
        <v>-262.20359999999999</v>
      </c>
      <c r="H5469" s="1">
        <v>-4.07325E-7</v>
      </c>
      <c r="I5469">
        <v>-62.100180000000002</v>
      </c>
      <c r="J5469">
        <v>-277.53019999999998</v>
      </c>
      <c r="K5469">
        <v>1.11086</v>
      </c>
      <c r="L5469">
        <v>-61.875889999999998</v>
      </c>
      <c r="M5469">
        <v>0.99324579999999996</v>
      </c>
      <c r="N5469">
        <v>0</v>
      </c>
      <c r="O5469">
        <v>-0.11563950000000001</v>
      </c>
      <c r="P5469">
        <v>0.97663460000000002</v>
      </c>
      <c r="Q5469">
        <v>0.19296440000000001</v>
      </c>
      <c r="R5469">
        <v>-9.4603919999999994E-2</v>
      </c>
      <c r="S5469">
        <v>3.1120000000000001</v>
      </c>
      <c r="T5469">
        <v>-0.22448989999999999</v>
      </c>
      <c r="U5469">
        <v>-4.6813960000000002E-2</v>
      </c>
      <c r="V5469">
        <v>-1.9504440000000001E-2</v>
      </c>
      <c r="W5469">
        <v>0.20224410000000001</v>
      </c>
      <c r="X5469">
        <v>0.97914089999999998</v>
      </c>
      <c r="Y5469">
        <v>-0.1001319</v>
      </c>
      <c r="Z5469">
        <v>1.192182E-2</v>
      </c>
      <c r="AA5469">
        <v>0.99490270000000003</v>
      </c>
      <c r="AB5469">
        <v>17</v>
      </c>
      <c r="AC5469">
        <v>15.3265999999999</v>
      </c>
      <c r="AD5469">
        <v>-1.1108604073249999</v>
      </c>
      <c r="AE5469">
        <v>-0.22428999999999599</v>
      </c>
      <c r="AF5469">
        <v>-1.54155877257499</v>
      </c>
      <c r="AG5469">
        <v>-1.1108604073249999</v>
      </c>
      <c r="AH5469">
        <v>15.170031531277701</v>
      </c>
      <c r="AI5469">
        <v>94.166757514994401</v>
      </c>
      <c r="AJ5469">
        <v>95.802404345229405</v>
      </c>
      <c r="AK5469">
        <v>15.2885666742774</v>
      </c>
      <c r="AL5469">
        <v>78.331781349704301</v>
      </c>
      <c r="AM5469">
        <v>91.141178267958907</v>
      </c>
      <c r="AN5469">
        <v>1.00000000060866</v>
      </c>
    </row>
    <row r="5470" spans="1:40" x14ac:dyDescent="0.25">
      <c r="A5470" t="str">
        <f>"20190312172817643"</f>
        <v>20190312172817643</v>
      </c>
      <c r="B5470" t="str">
        <f>"1552382897635004"</f>
        <v>1552382897635004</v>
      </c>
      <c r="C5470" t="s">
        <v>40</v>
      </c>
      <c r="D5470">
        <v>3.333081</v>
      </c>
      <c r="E5470">
        <v>0.47765489999999999</v>
      </c>
      <c r="F5470" t="s">
        <v>41</v>
      </c>
      <c r="G5470">
        <v>-262.04739999999998</v>
      </c>
      <c r="H5470" s="1">
        <v>-3.3767560000000002E-7</v>
      </c>
      <c r="I5470">
        <v>-62.090220000000002</v>
      </c>
      <c r="J5470">
        <v>-277.4434</v>
      </c>
      <c r="K5470">
        <v>1.1108420000000001</v>
      </c>
      <c r="L5470">
        <v>-61.88449</v>
      </c>
      <c r="M5470">
        <v>0.99339880000000003</v>
      </c>
      <c r="N5470">
        <v>0</v>
      </c>
      <c r="O5470">
        <v>-0.11432199999999999</v>
      </c>
      <c r="P5470">
        <v>0.97682740000000001</v>
      </c>
      <c r="Q5470">
        <v>0.1926602</v>
      </c>
      <c r="R5470">
        <v>-9.3223360000000005E-2</v>
      </c>
      <c r="S5470">
        <v>3.1117249999999999</v>
      </c>
      <c r="T5470">
        <v>-0.22326080000000001</v>
      </c>
      <c r="U5470">
        <v>-4.3090820000000002E-2</v>
      </c>
      <c r="V5470">
        <v>-1.959234E-2</v>
      </c>
      <c r="W5470">
        <v>0.20187289999999999</v>
      </c>
      <c r="X5470">
        <v>0.97921570000000002</v>
      </c>
      <c r="Y5470">
        <v>-0.10001060000000001</v>
      </c>
      <c r="Z5470">
        <v>1.1759749999999999E-2</v>
      </c>
      <c r="AA5470">
        <v>0.99491689999999999</v>
      </c>
      <c r="AB5470">
        <v>17</v>
      </c>
      <c r="AC5470">
        <v>15.396000000000001</v>
      </c>
      <c r="AD5470">
        <v>-1.1108423376756</v>
      </c>
      <c r="AE5470">
        <v>-0.205729999999995</v>
      </c>
      <c r="AF5470">
        <v>-1.5477432161274201</v>
      </c>
      <c r="AG5470">
        <v>-1.1108423376756</v>
      </c>
      <c r="AH5470">
        <v>15.2392527888214</v>
      </c>
      <c r="AI5470">
        <v>94.147853001400307</v>
      </c>
      <c r="AJ5470">
        <v>95.799242207825401</v>
      </c>
      <c r="AK5470">
        <v>15.357874375181</v>
      </c>
      <c r="AL5470">
        <v>78.353496960719298</v>
      </c>
      <c r="AM5470">
        <v>91.146232266904804</v>
      </c>
      <c r="AN5470">
        <v>0.99999995733378699</v>
      </c>
    </row>
    <row r="5471" spans="1:40" x14ac:dyDescent="0.25">
      <c r="A5471" t="str">
        <f>"20190312172817654"</f>
        <v>20190312172817654</v>
      </c>
      <c r="B5471" t="str">
        <f>"1552382897644764"</f>
        <v>1552382897644764</v>
      </c>
      <c r="C5471" t="s">
        <v>40</v>
      </c>
      <c r="D5471">
        <v>3.3555419999999998</v>
      </c>
      <c r="E5471">
        <v>0.47758400000000001</v>
      </c>
      <c r="F5471" t="s">
        <v>56</v>
      </c>
      <c r="G5471">
        <v>-261.91359999999997</v>
      </c>
      <c r="H5471" s="1">
        <v>-2.767309E-7</v>
      </c>
      <c r="I5471">
        <v>-62.076949999999997</v>
      </c>
      <c r="J5471">
        <v>-277.3691</v>
      </c>
      <c r="K5471">
        <v>1.1108290000000001</v>
      </c>
      <c r="L5471">
        <v>-61.891750000000002</v>
      </c>
      <c r="M5471">
        <v>0.9935271</v>
      </c>
      <c r="N5471">
        <v>0</v>
      </c>
      <c r="O5471">
        <v>-0.11320810000000001</v>
      </c>
      <c r="P5471">
        <v>0.97700609999999999</v>
      </c>
      <c r="Q5471">
        <v>0.19226509999999999</v>
      </c>
      <c r="R5471">
        <v>-9.2159439999999995E-2</v>
      </c>
      <c r="S5471">
        <v>3.111389</v>
      </c>
      <c r="T5471">
        <v>-0.2225568</v>
      </c>
      <c r="U5471">
        <v>-3.8574219999999999E-2</v>
      </c>
      <c r="V5471">
        <v>-1.9566190000000001E-2</v>
      </c>
      <c r="W5471">
        <v>0.2014203</v>
      </c>
      <c r="X5471">
        <v>0.9793094</v>
      </c>
      <c r="Y5471">
        <v>-0.1003428</v>
      </c>
      <c r="Z5471">
        <v>1.1657010000000001E-2</v>
      </c>
      <c r="AA5471">
        <v>0.99488460000000001</v>
      </c>
      <c r="AB5471">
        <v>17</v>
      </c>
      <c r="AC5471">
        <v>15.455500000000001</v>
      </c>
      <c r="AD5471">
        <v>-1.1108292767309</v>
      </c>
      <c r="AE5471">
        <v>-0.18519999999999401</v>
      </c>
      <c r="AF5471">
        <v>-1.5577098363016399</v>
      </c>
      <c r="AG5471">
        <v>-1.1108292767309</v>
      </c>
      <c r="AH5471">
        <v>15.2980856615993</v>
      </c>
      <c r="AI5471">
        <v>94.131800136303397</v>
      </c>
      <c r="AJ5471">
        <v>95.8140380782596</v>
      </c>
      <c r="AK5471">
        <v>15.417257425553499</v>
      </c>
      <c r="AL5471">
        <v>78.379972651645403</v>
      </c>
      <c r="AM5471">
        <v>91.144593296323393</v>
      </c>
      <c r="AN5471">
        <v>0.99999993698578105</v>
      </c>
    </row>
    <row r="5472" spans="1:40" x14ac:dyDescent="0.25">
      <c r="A5472" t="str">
        <f>"20190312172817663"</f>
        <v>20190312172817663</v>
      </c>
      <c r="B5472" t="str">
        <f>"1552382897655499"</f>
        <v>1552382897655499</v>
      </c>
      <c r="C5472" t="s">
        <v>40</v>
      </c>
      <c r="D5472">
        <v>3.3057859999999999</v>
      </c>
      <c r="E5472">
        <v>0.47752080000000002</v>
      </c>
      <c r="F5472" t="s">
        <v>56</v>
      </c>
      <c r="G5472">
        <v>-261.82650000000001</v>
      </c>
      <c r="H5472" s="1">
        <v>-2.3671289999999999E-7</v>
      </c>
      <c r="I5472">
        <v>-62.066859999999998</v>
      </c>
      <c r="J5472">
        <v>-277.29590000000002</v>
      </c>
      <c r="K5472">
        <v>1.1108100000000001</v>
      </c>
      <c r="L5472">
        <v>-61.898829999999997</v>
      </c>
      <c r="M5472">
        <v>0.99365139999999996</v>
      </c>
      <c r="N5472">
        <v>0</v>
      </c>
      <c r="O5472">
        <v>-0.1121167</v>
      </c>
      <c r="P5472">
        <v>0.97718269999999996</v>
      </c>
      <c r="Q5472">
        <v>0.19188259999999999</v>
      </c>
      <c r="R5472">
        <v>-9.1078480000000003E-2</v>
      </c>
      <c r="S5472">
        <v>3.1110530000000001</v>
      </c>
      <c r="T5472">
        <v>-0.2223473</v>
      </c>
      <c r="U5472">
        <v>-3.5064699999999997E-2</v>
      </c>
      <c r="V5472">
        <v>-1.9579200000000001E-2</v>
      </c>
      <c r="W5472">
        <v>0.2009803</v>
      </c>
      <c r="X5472">
        <v>0.97939960000000004</v>
      </c>
      <c r="Y5472">
        <v>-0.1003744</v>
      </c>
      <c r="Z5472">
        <v>1.1571150000000001E-2</v>
      </c>
      <c r="AA5472">
        <v>0.9948825</v>
      </c>
      <c r="AB5472">
        <v>17</v>
      </c>
      <c r="AC5472">
        <v>15.4694</v>
      </c>
      <c r="AD5472">
        <v>-1.1108102367129</v>
      </c>
      <c r="AE5472">
        <v>-0.16802999999999399</v>
      </c>
      <c r="AF5472">
        <v>-1.5594429106346399</v>
      </c>
      <c r="AG5472">
        <v>-1.1108102367129</v>
      </c>
      <c r="AH5472">
        <v>15.3117557358225</v>
      </c>
      <c r="AI5472">
        <v>94.128044343530604</v>
      </c>
      <c r="AJ5472">
        <v>95.815301484915693</v>
      </c>
      <c r="AK5472">
        <v>15.4309956025854</v>
      </c>
      <c r="AL5472">
        <v>78.405709859541005</v>
      </c>
      <c r="AM5472">
        <v>91.145248703631196</v>
      </c>
      <c r="AN5472">
        <v>1.00000000127044</v>
      </c>
    </row>
    <row r="5473" spans="1:40" x14ac:dyDescent="0.25">
      <c r="A5473" t="str">
        <f>"20190312172817675"</f>
        <v>20190312172817675</v>
      </c>
      <c r="B5473" t="str">
        <f>"1552382897665259"</f>
        <v>1552382897665259</v>
      </c>
      <c r="C5473" t="s">
        <v>40</v>
      </c>
      <c r="D5473">
        <v>3.4003519999999998</v>
      </c>
      <c r="E5473">
        <v>0.47743920000000001</v>
      </c>
      <c r="F5473" t="s">
        <v>56</v>
      </c>
      <c r="G5473">
        <v>-261.7328</v>
      </c>
      <c r="H5473" s="1">
        <v>-1.934308E-7</v>
      </c>
      <c r="I5473">
        <v>-62.055419999999998</v>
      </c>
      <c r="J5473">
        <v>-277.20710000000003</v>
      </c>
      <c r="K5473">
        <v>1.1107929999999999</v>
      </c>
      <c r="L5473">
        <v>-61.907350000000001</v>
      </c>
      <c r="M5473">
        <v>0.99379870000000003</v>
      </c>
      <c r="N5473">
        <v>0</v>
      </c>
      <c r="O5473">
        <v>-0.1108084</v>
      </c>
      <c r="P5473">
        <v>0.9772864</v>
      </c>
      <c r="Q5473">
        <v>0.1919708</v>
      </c>
      <c r="R5473">
        <v>-8.9770230000000006E-2</v>
      </c>
      <c r="S5473">
        <v>3.1107179999999999</v>
      </c>
      <c r="T5473">
        <v>-0.2220259</v>
      </c>
      <c r="U5473">
        <v>-3.1311039999999998E-2</v>
      </c>
      <c r="V5473">
        <v>-1.9597340000000001E-2</v>
      </c>
      <c r="W5473">
        <v>0.20099810000000001</v>
      </c>
      <c r="X5473">
        <v>0.97939560000000003</v>
      </c>
      <c r="Y5473">
        <v>-0.1002686</v>
      </c>
      <c r="Z5473">
        <v>1.145934E-2</v>
      </c>
      <c r="AA5473">
        <v>0.99489439999999996</v>
      </c>
      <c r="AB5473">
        <v>17</v>
      </c>
      <c r="AC5473">
        <v>15.474299999999999</v>
      </c>
      <c r="AD5473">
        <v>-1.1107931934308</v>
      </c>
      <c r="AE5473">
        <v>-0.14806999999999701</v>
      </c>
      <c r="AF5473">
        <v>-1.5595623806157499</v>
      </c>
      <c r="AG5473">
        <v>-1.1107931934308</v>
      </c>
      <c r="AH5473">
        <v>15.3164901007151</v>
      </c>
      <c r="AI5473">
        <v>94.126719480611797</v>
      </c>
      <c r="AJ5473">
        <v>95.813958601116198</v>
      </c>
      <c r="AK5473">
        <v>15.435704238644499</v>
      </c>
      <c r="AL5473">
        <v>78.404668929646405</v>
      </c>
      <c r="AM5473">
        <v>91.146314166481901</v>
      </c>
      <c r="AN5473">
        <v>1.0000000166190199</v>
      </c>
    </row>
    <row r="5474" spans="1:40" x14ac:dyDescent="0.25">
      <c r="A5474" t="str">
        <f>"20190312172817685"</f>
        <v>20190312172817685</v>
      </c>
      <c r="B5474" t="str">
        <f>"1552382897675019"</f>
        <v>1552382897675019</v>
      </c>
      <c r="C5474" t="s">
        <v>40</v>
      </c>
      <c r="D5474">
        <v>3.365875</v>
      </c>
      <c r="E5474">
        <v>0.47739680000000001</v>
      </c>
      <c r="F5474" t="s">
        <v>41</v>
      </c>
      <c r="G5474">
        <v>-261.51159999999999</v>
      </c>
      <c r="H5474" s="1">
        <v>-9.4882810000000002E-8</v>
      </c>
      <c r="I5474">
        <v>-62.041559999999997</v>
      </c>
      <c r="J5474">
        <v>-277.1266</v>
      </c>
      <c r="K5474">
        <v>1.1107750000000001</v>
      </c>
      <c r="L5474">
        <v>-61.91498</v>
      </c>
      <c r="M5474">
        <v>0.99393019999999999</v>
      </c>
      <c r="N5474">
        <v>0</v>
      </c>
      <c r="O5474">
        <v>-0.1096289</v>
      </c>
      <c r="P5474">
        <v>0.97729010000000005</v>
      </c>
      <c r="Q5474">
        <v>0.19237599999999999</v>
      </c>
      <c r="R5474">
        <v>-8.885875E-2</v>
      </c>
      <c r="S5474">
        <v>3.110535</v>
      </c>
      <c r="T5474">
        <v>-0.220137</v>
      </c>
      <c r="U5474">
        <v>-2.6611329999999999E-2</v>
      </c>
      <c r="V5474">
        <v>-1.9338169999999998E-2</v>
      </c>
      <c r="W5474">
        <v>0.2013395</v>
      </c>
      <c r="X5474">
        <v>0.97933060000000005</v>
      </c>
      <c r="Y5474">
        <v>-0.1006013</v>
      </c>
      <c r="Z5474">
        <v>1.1291789999999999E-2</v>
      </c>
      <c r="AA5474">
        <v>0.99486269999999999</v>
      </c>
      <c r="AB5474">
        <v>17</v>
      </c>
      <c r="AC5474">
        <v>15.615</v>
      </c>
      <c r="AD5474">
        <v>-1.1107750948828099</v>
      </c>
      <c r="AE5474">
        <v>-0.12657999999998901</v>
      </c>
      <c r="AF5474">
        <v>-1.57812529836675</v>
      </c>
      <c r="AG5474">
        <v>-1.1107750948828099</v>
      </c>
      <c r="AH5474">
        <v>15.4565432357651</v>
      </c>
      <c r="AI5474">
        <v>94.0892734615622</v>
      </c>
      <c r="AJ5474">
        <v>95.829742922365099</v>
      </c>
      <c r="AK5474">
        <v>15.5765538412009</v>
      </c>
      <c r="AL5474">
        <v>78.384699621229302</v>
      </c>
      <c r="AM5474">
        <v>91.131233466459904</v>
      </c>
      <c r="AN5474">
        <v>0.99999999158777897</v>
      </c>
    </row>
    <row r="5475" spans="1:40" x14ac:dyDescent="0.25">
      <c r="A5475" t="str">
        <f>"20190312172817696"</f>
        <v>20190312172817696</v>
      </c>
      <c r="B5475" t="str">
        <f>"1552382897684779"</f>
        <v>1552382897684779</v>
      </c>
      <c r="C5475" t="s">
        <v>40</v>
      </c>
      <c r="D5475">
        <v>3.366133</v>
      </c>
      <c r="E5475">
        <v>0.47735149999999998</v>
      </c>
      <c r="F5475" t="s">
        <v>56</v>
      </c>
      <c r="G5475">
        <v>-261.23809999999997</v>
      </c>
      <c r="H5475" s="1">
        <v>2.4364680000000001E-8</v>
      </c>
      <c r="I5475">
        <v>-62.034480000000002</v>
      </c>
      <c r="J5475">
        <v>-277.04660000000001</v>
      </c>
      <c r="K5475">
        <v>1.1107670000000001</v>
      </c>
      <c r="L5475">
        <v>-61.922449999999998</v>
      </c>
      <c r="M5475">
        <v>0.99405770000000004</v>
      </c>
      <c r="N5475">
        <v>0</v>
      </c>
      <c r="O5475">
        <v>-0.10847179999999999</v>
      </c>
      <c r="P5475">
        <v>0.97736829999999997</v>
      </c>
      <c r="Q5475">
        <v>0.19237119999999999</v>
      </c>
      <c r="R5475">
        <v>-8.8003819999999996E-2</v>
      </c>
      <c r="S5475">
        <v>3.110382</v>
      </c>
      <c r="T5475">
        <v>-0.21744759999999999</v>
      </c>
      <c r="U5475">
        <v>-2.3406980000000001E-2</v>
      </c>
      <c r="V5475">
        <v>-1.90531E-2</v>
      </c>
      <c r="W5475">
        <v>0.2012737</v>
      </c>
      <c r="X5475">
        <v>0.97934969999999999</v>
      </c>
      <c r="Y5475">
        <v>-0.1004834</v>
      </c>
      <c r="Z5475">
        <v>1.107035E-2</v>
      </c>
      <c r="AA5475">
        <v>0.99487720000000002</v>
      </c>
      <c r="AB5475">
        <v>17</v>
      </c>
      <c r="AC5475">
        <v>15.8085</v>
      </c>
      <c r="AD5475">
        <v>-1.11076697563532</v>
      </c>
      <c r="AE5475">
        <v>-0.112030000000004</v>
      </c>
      <c r="AF5475">
        <v>-1.59560172168425</v>
      </c>
      <c r="AG5475">
        <v>-1.11076697563532</v>
      </c>
      <c r="AH5475">
        <v>15.6501062306601</v>
      </c>
      <c r="AI5475">
        <v>94.038895064048702</v>
      </c>
      <c r="AJ5475">
        <v>95.821458136758494</v>
      </c>
      <c r="AK5475">
        <v>15.770401807162299</v>
      </c>
      <c r="AL5475">
        <v>78.388548326985998</v>
      </c>
      <c r="AM5475">
        <v>91.114540107333198</v>
      </c>
      <c r="AN5475">
        <v>0.99999997891069403</v>
      </c>
    </row>
    <row r="5476" spans="1:40" x14ac:dyDescent="0.25">
      <c r="A5476" t="str">
        <f>"20190312172817708"</f>
        <v>20190312172817708</v>
      </c>
      <c r="B5476" t="str">
        <f>"1552382897705275"</f>
        <v>1552382897705275</v>
      </c>
      <c r="C5476" t="s">
        <v>40</v>
      </c>
      <c r="D5476">
        <v>3.3990100000000001</v>
      </c>
      <c r="E5476">
        <v>0.4773037</v>
      </c>
      <c r="F5476" t="s">
        <v>56</v>
      </c>
      <c r="G5476">
        <v>-261.03789999999998</v>
      </c>
      <c r="H5476" s="1">
        <v>1.124691E-7</v>
      </c>
      <c r="I5476">
        <v>-62.026060000000001</v>
      </c>
      <c r="J5476">
        <v>-276.95940000000002</v>
      </c>
      <c r="K5476">
        <v>1.110754</v>
      </c>
      <c r="L5476">
        <v>-61.930570000000003</v>
      </c>
      <c r="M5476">
        <v>0.99419489999999999</v>
      </c>
      <c r="N5476">
        <v>0</v>
      </c>
      <c r="O5476">
        <v>-0.10721269999999999</v>
      </c>
      <c r="P5476">
        <v>0.97734739999999998</v>
      </c>
      <c r="Q5476">
        <v>0.19290679999999999</v>
      </c>
      <c r="R5476">
        <v>-8.7057549999999997E-2</v>
      </c>
      <c r="S5476">
        <v>3.1101380000000001</v>
      </c>
      <c r="T5476">
        <v>-0.21579709999999999</v>
      </c>
      <c r="U5476">
        <v>-2.0141599999999999E-2</v>
      </c>
      <c r="V5476">
        <v>-1.8748649999999999E-2</v>
      </c>
      <c r="W5476">
        <v>0.2017417</v>
      </c>
      <c r="X5476">
        <v>0.97925930000000005</v>
      </c>
      <c r="Y5476">
        <v>-0.1002782</v>
      </c>
      <c r="Z5476">
        <v>1.089355E-2</v>
      </c>
      <c r="AA5476">
        <v>0.9948998</v>
      </c>
      <c r="AB5476">
        <v>17</v>
      </c>
      <c r="AC5476">
        <v>15.9215</v>
      </c>
      <c r="AD5476">
        <v>-1.1107538875309</v>
      </c>
      <c r="AE5476">
        <v>-9.5490000000005099E-2</v>
      </c>
      <c r="AF5476">
        <v>-1.6043093725776301</v>
      </c>
      <c r="AG5476">
        <v>-1.1107538875309</v>
      </c>
      <c r="AH5476">
        <v>15.763242730933699</v>
      </c>
      <c r="AI5476">
        <v>94.010027049218607</v>
      </c>
      <c r="AJ5476">
        <v>95.8112876425688</v>
      </c>
      <c r="AK5476">
        <v>15.8835576668434</v>
      </c>
      <c r="AL5476">
        <v>78.361172596561502</v>
      </c>
      <c r="AM5476">
        <v>91.096836446069602</v>
      </c>
      <c r="AN5476">
        <v>1.0000000010161001</v>
      </c>
    </row>
    <row r="5477" spans="1:40" x14ac:dyDescent="0.25">
      <c r="A5477" t="str">
        <f>"20190312172817718"</f>
        <v>20190312172817718</v>
      </c>
      <c r="B5477" t="str">
        <f>"1552382897715035"</f>
        <v>1552382897715035</v>
      </c>
      <c r="C5477" t="s">
        <v>40</v>
      </c>
      <c r="D5477">
        <v>3.3608600000000002</v>
      </c>
      <c r="E5477">
        <v>0.47728579999999998</v>
      </c>
      <c r="F5477" t="s">
        <v>41</v>
      </c>
      <c r="G5477">
        <v>-260.60230000000001</v>
      </c>
      <c r="H5477" s="1">
        <v>3.0164930000000001E-7</v>
      </c>
      <c r="I5477">
        <v>-62.01735</v>
      </c>
      <c r="J5477">
        <v>-276.87419999999997</v>
      </c>
      <c r="K5477">
        <v>1.1107450000000001</v>
      </c>
      <c r="L5477">
        <v>-61.938319999999997</v>
      </c>
      <c r="M5477">
        <v>0.99432549999999997</v>
      </c>
      <c r="N5477">
        <v>0</v>
      </c>
      <c r="O5477">
        <v>-0.1059991</v>
      </c>
      <c r="P5477">
        <v>0.97736650000000003</v>
      </c>
      <c r="Q5477">
        <v>0.19316369999999999</v>
      </c>
      <c r="R5477">
        <v>-8.6273030000000001E-2</v>
      </c>
      <c r="S5477">
        <v>3.1097410000000001</v>
      </c>
      <c r="T5477">
        <v>-0.2111721</v>
      </c>
      <c r="U5477">
        <v>-1.6510009999999999E-2</v>
      </c>
      <c r="V5477">
        <v>-1.8333720000000001E-2</v>
      </c>
      <c r="W5477">
        <v>0.2019359</v>
      </c>
      <c r="X5477">
        <v>0.97922710000000002</v>
      </c>
      <c r="Y5477">
        <v>-0.10024859999999999</v>
      </c>
      <c r="Z5477">
        <v>1.0579170000000001E-2</v>
      </c>
      <c r="AA5477">
        <v>0.99490619999999996</v>
      </c>
      <c r="AB5477">
        <v>17</v>
      </c>
      <c r="AC5477">
        <v>16.271899999999899</v>
      </c>
      <c r="AD5477">
        <v>-1.1107446983506899</v>
      </c>
      <c r="AE5477">
        <v>-7.9030000000003001E-2</v>
      </c>
      <c r="AF5477">
        <v>-1.63865651735014</v>
      </c>
      <c r="AG5477">
        <v>-1.1107446983506899</v>
      </c>
      <c r="AH5477">
        <v>16.113516444201601</v>
      </c>
      <c r="AI5477">
        <v>93.923132230778407</v>
      </c>
      <c r="AJ5477">
        <v>95.806705184412095</v>
      </c>
      <c r="AK5477">
        <v>16.234665415841601</v>
      </c>
      <c r="AL5477">
        <v>78.349811610948294</v>
      </c>
      <c r="AM5477">
        <v>91.072603142343894</v>
      </c>
      <c r="AN5477">
        <v>0.99999997318612799</v>
      </c>
    </row>
    <row r="5478" spans="1:40" x14ac:dyDescent="0.25">
      <c r="A5478" t="str">
        <f>"20190312172817731"</f>
        <v>20190312172817731</v>
      </c>
      <c r="B5478" t="str">
        <f>"1552382897724795"</f>
        <v>1552382897724795</v>
      </c>
      <c r="C5478" t="s">
        <v>40</v>
      </c>
      <c r="D5478">
        <v>3.3772340000000001</v>
      </c>
      <c r="E5478">
        <v>0.47727609999999898</v>
      </c>
      <c r="F5478" t="s">
        <v>41</v>
      </c>
      <c r="G5478">
        <v>-260.34160000000003</v>
      </c>
      <c r="H5478" s="1">
        <v>4.1538639999999998E-7</v>
      </c>
      <c r="I5478">
        <v>-62.010300000000001</v>
      </c>
      <c r="J5478">
        <v>-276.78410000000002</v>
      </c>
      <c r="K5478">
        <v>1.110738</v>
      </c>
      <c r="L5478">
        <v>-61.946469999999998</v>
      </c>
      <c r="M5478">
        <v>0.9944617</v>
      </c>
      <c r="N5478">
        <v>0</v>
      </c>
      <c r="O5478">
        <v>-0.1047203</v>
      </c>
      <c r="P5478">
        <v>0.97743089999999999</v>
      </c>
      <c r="Q5478">
        <v>0.1933079</v>
      </c>
      <c r="R5478">
        <v>-8.5212739999999995E-2</v>
      </c>
      <c r="S5478">
        <v>3.1095579999999998</v>
      </c>
      <c r="T5478">
        <v>-0.20891580000000001</v>
      </c>
      <c r="U5478">
        <v>-1.3549800000000001E-2</v>
      </c>
      <c r="V5478">
        <v>-1.8133110000000001E-2</v>
      </c>
      <c r="W5478">
        <v>0.20201340000000001</v>
      </c>
      <c r="X5478">
        <v>0.97921480000000005</v>
      </c>
      <c r="Y5478">
        <v>-9.9929359999999995E-2</v>
      </c>
      <c r="Z5478">
        <v>1.037095E-2</v>
      </c>
      <c r="AA5478">
        <v>0.99494050000000001</v>
      </c>
      <c r="AB5478">
        <v>17</v>
      </c>
      <c r="AC5478">
        <v>16.4424999999999</v>
      </c>
      <c r="AD5478">
        <v>-1.1107375846136001</v>
      </c>
      <c r="AE5478">
        <v>-6.3830000000002898E-2</v>
      </c>
      <c r="AF5478">
        <v>-1.6509193692781501</v>
      </c>
      <c r="AG5478">
        <v>-1.1107375846136001</v>
      </c>
      <c r="AH5478">
        <v>16.2844606120062</v>
      </c>
      <c r="AI5478">
        <v>93.882173746900193</v>
      </c>
      <c r="AJ5478">
        <v>95.788870336809197</v>
      </c>
      <c r="AK5478">
        <v>16.405576191335399</v>
      </c>
      <c r="AL5478">
        <v>78.345277167094096</v>
      </c>
      <c r="AM5478">
        <v>91.060882595957906</v>
      </c>
      <c r="AN5478">
        <v>0.99999992399843296</v>
      </c>
    </row>
    <row r="5479" spans="1:40" x14ac:dyDescent="0.25">
      <c r="A5479" t="str">
        <f>"20190312172817742"</f>
        <v>20190312172817742</v>
      </c>
      <c r="B5479" t="str">
        <f>"1552382897735531"</f>
        <v>1552382897735531</v>
      </c>
      <c r="C5479" t="s">
        <v>40</v>
      </c>
      <c r="D5479">
        <v>3.4008850000000002</v>
      </c>
      <c r="E5479">
        <v>0.47726150000000001</v>
      </c>
      <c r="F5479" t="s">
        <v>41</v>
      </c>
      <c r="G5479">
        <v>-260.12720000000002</v>
      </c>
      <c r="H5479" s="1">
        <v>5.0993489999999995E-7</v>
      </c>
      <c r="I5479">
        <v>-62.000520000000002</v>
      </c>
      <c r="J5479">
        <v>-276.69670000000002</v>
      </c>
      <c r="K5479">
        <v>1.1107290000000001</v>
      </c>
      <c r="L5479">
        <v>-61.954279999999997</v>
      </c>
      <c r="M5479">
        <v>0.99459140000000001</v>
      </c>
      <c r="N5479">
        <v>0</v>
      </c>
      <c r="O5479">
        <v>-0.1034861</v>
      </c>
      <c r="P5479">
        <v>0.97752589999999995</v>
      </c>
      <c r="Q5479">
        <v>0.1932739</v>
      </c>
      <c r="R5479">
        <v>-8.4194320000000003E-2</v>
      </c>
      <c r="S5479">
        <v>3.1094059999999999</v>
      </c>
      <c r="T5479">
        <v>-0.20734540000000001</v>
      </c>
      <c r="U5479">
        <v>-1.010132E-2</v>
      </c>
      <c r="V5479">
        <v>-1.793877E-2</v>
      </c>
      <c r="W5479">
        <v>0.20191629999999999</v>
      </c>
      <c r="X5479">
        <v>0.97923850000000001</v>
      </c>
      <c r="Y5479">
        <v>-9.9807610000000005E-2</v>
      </c>
      <c r="Z5479">
        <v>1.0207859999999999E-2</v>
      </c>
      <c r="AA5479">
        <v>0.99495440000000002</v>
      </c>
      <c r="AB5479">
        <v>17</v>
      </c>
      <c r="AC5479">
        <v>16.569500000000001</v>
      </c>
      <c r="AD5479">
        <v>-1.1107284900651</v>
      </c>
      <c r="AE5479">
        <v>-4.6239999999990199E-2</v>
      </c>
      <c r="AF5479">
        <v>-1.6613232817771</v>
      </c>
      <c r="AG5479">
        <v>-1.1107284900651</v>
      </c>
      <c r="AH5479">
        <v>16.411568181213099</v>
      </c>
      <c r="AI5479">
        <v>93.852224000256399</v>
      </c>
      <c r="AJ5479">
        <v>95.780292350883897</v>
      </c>
      <c r="AK5479">
        <v>16.532794167708701</v>
      </c>
      <c r="AL5479">
        <v>78.350958730802802</v>
      </c>
      <c r="AM5479">
        <v>91.049489842433402</v>
      </c>
      <c r="AN5479">
        <v>1.00000001577852</v>
      </c>
    </row>
    <row r="5480" spans="1:40" x14ac:dyDescent="0.25">
      <c r="A5480" t="str">
        <f>"20190312172817754"</f>
        <v>20190312172817754</v>
      </c>
      <c r="B5480" t="str">
        <f>"1552382897745292"</f>
        <v>1552382897745292</v>
      </c>
      <c r="C5480" t="s">
        <v>40</v>
      </c>
      <c r="D5480">
        <v>3.3850560000000001</v>
      </c>
      <c r="E5480">
        <v>0.47725289999999998</v>
      </c>
      <c r="F5480" t="s">
        <v>57</v>
      </c>
      <c r="G5480">
        <v>-259.95679999999999</v>
      </c>
      <c r="H5480" s="1">
        <v>-3.626396E-6</v>
      </c>
      <c r="I5480">
        <v>-61.991909999999997</v>
      </c>
      <c r="J5480">
        <v>-276.60809999999998</v>
      </c>
      <c r="K5480">
        <v>1.110722</v>
      </c>
      <c r="L5480">
        <v>-61.962069999999997</v>
      </c>
      <c r="M5480">
        <v>0.99472079999999996</v>
      </c>
      <c r="N5480">
        <v>0</v>
      </c>
      <c r="O5480">
        <v>-0.10224220000000001</v>
      </c>
      <c r="P5480">
        <v>0.97759470000000004</v>
      </c>
      <c r="Q5480">
        <v>0.1933561</v>
      </c>
      <c r="R5480">
        <v>-8.320118E-2</v>
      </c>
      <c r="S5480">
        <v>3.1091920000000002</v>
      </c>
      <c r="T5480">
        <v>-0.20630180000000001</v>
      </c>
      <c r="U5480">
        <v>-6.9885249999999998E-3</v>
      </c>
      <c r="V5480">
        <v>-1.770803E-2</v>
      </c>
      <c r="W5480">
        <v>0.2019359</v>
      </c>
      <c r="X5480">
        <v>0.97923859999999996</v>
      </c>
      <c r="Y5480">
        <v>-9.9566840000000004E-2</v>
      </c>
      <c r="Z5480">
        <v>1.00673E-2</v>
      </c>
      <c r="AA5480">
        <v>0.99497990000000003</v>
      </c>
      <c r="AB5480">
        <v>17</v>
      </c>
      <c r="AC5480">
        <v>16.6512999999999</v>
      </c>
      <c r="AD5480">
        <v>-1.1107256263959999</v>
      </c>
      <c r="AE5480">
        <v>-2.9839999999999998E-2</v>
      </c>
      <c r="AF5480">
        <v>-1.6654370920889501</v>
      </c>
      <c r="AG5480">
        <v>-1.1107256263959999</v>
      </c>
      <c r="AH5480">
        <v>16.4936942431437</v>
      </c>
      <c r="AI5480">
        <v>93.833187709452005</v>
      </c>
      <c r="AJ5480">
        <v>95.765851007603601</v>
      </c>
      <c r="AK5480">
        <v>16.614732676487801</v>
      </c>
      <c r="AL5480">
        <v>78.349811441974595</v>
      </c>
      <c r="AM5480">
        <v>91.035993484418995</v>
      </c>
      <c r="AN5480">
        <v>0.99999995888262405</v>
      </c>
    </row>
    <row r="5481" spans="1:40" x14ac:dyDescent="0.25">
      <c r="A5481" t="str">
        <f>"20190312172817765"</f>
        <v>20190312172817765</v>
      </c>
      <c r="B5481" t="str">
        <f>"1552382897755051"</f>
        <v>1552382897755051</v>
      </c>
      <c r="C5481" t="s">
        <v>40</v>
      </c>
      <c r="D5481">
        <v>3.3857490000000001</v>
      </c>
      <c r="E5481">
        <v>0.47726370000000001</v>
      </c>
      <c r="F5481" t="s">
        <v>57</v>
      </c>
      <c r="G5481">
        <v>-259.76139999999998</v>
      </c>
      <c r="H5481" s="1">
        <v>-3.5588070000000001E-6</v>
      </c>
      <c r="I5481">
        <v>-61.983559999999997</v>
      </c>
      <c r="J5481">
        <v>-276.51490000000001</v>
      </c>
      <c r="K5481">
        <v>1.110716</v>
      </c>
      <c r="L5481">
        <v>-61.970149999999997</v>
      </c>
      <c r="M5481">
        <v>0.99485460000000003</v>
      </c>
      <c r="N5481">
        <v>0</v>
      </c>
      <c r="O5481">
        <v>-0.10093729999999999</v>
      </c>
      <c r="P5481">
        <v>0.97769689999999998</v>
      </c>
      <c r="Q5481">
        <v>0.1933348</v>
      </c>
      <c r="R5481">
        <v>-8.2041030000000001E-2</v>
      </c>
      <c r="S5481">
        <v>3.108978</v>
      </c>
      <c r="T5481">
        <v>-0.2049793</v>
      </c>
      <c r="U5481">
        <v>-3.9672850000000001E-3</v>
      </c>
      <c r="V5481">
        <v>-1.7586939999999999E-2</v>
      </c>
      <c r="W5481">
        <v>0.2018491</v>
      </c>
      <c r="X5481">
        <v>0.97925870000000004</v>
      </c>
      <c r="Y5481">
        <v>-9.9237439999999996E-2</v>
      </c>
      <c r="Z5481">
        <v>9.9072259999999999E-3</v>
      </c>
      <c r="AA5481">
        <v>0.99501450000000002</v>
      </c>
      <c r="AB5481">
        <v>17</v>
      </c>
      <c r="AC5481">
        <v>16.753499999999999</v>
      </c>
      <c r="AD5481">
        <v>-1.110719558807</v>
      </c>
      <c r="AE5481">
        <v>-1.34100000000003E-2</v>
      </c>
      <c r="AF5481">
        <v>-1.6704335927166101</v>
      </c>
      <c r="AG5481">
        <v>-1.110719558807</v>
      </c>
      <c r="AH5481">
        <v>16.596336064016601</v>
      </c>
      <c r="AI5481">
        <v>93.809652823830305</v>
      </c>
      <c r="AJ5481">
        <v>95.747506550565404</v>
      </c>
      <c r="AK5481">
        <v>16.717129450828899</v>
      </c>
      <c r="AL5481">
        <v>78.354889536461101</v>
      </c>
      <c r="AM5481">
        <v>91.028889628834406</v>
      </c>
      <c r="AN5481">
        <v>0.99999998057753103</v>
      </c>
    </row>
    <row r="5482" spans="1:40" x14ac:dyDescent="0.25">
      <c r="A5482" t="str">
        <f>"20190312172817778"</f>
        <v>20190312172817778</v>
      </c>
      <c r="B5482" t="str">
        <f>"1552382897765320"</f>
        <v>1552382897765320</v>
      </c>
      <c r="C5482" t="s">
        <v>40</v>
      </c>
      <c r="D5482">
        <v>3.3409610000000001</v>
      </c>
      <c r="E5482">
        <v>0.47728080000000001</v>
      </c>
      <c r="F5482" t="s">
        <v>57</v>
      </c>
      <c r="G5482">
        <v>-259.5942</v>
      </c>
      <c r="H5482" s="1">
        <v>-3.500446E-6</v>
      </c>
      <c r="I5482">
        <v>-61.972810000000003</v>
      </c>
      <c r="J5482">
        <v>-276.4248</v>
      </c>
      <c r="K5482">
        <v>1.1107100000000001</v>
      </c>
      <c r="L5482">
        <v>-61.977870000000003</v>
      </c>
      <c r="M5482">
        <v>0.99498149999999996</v>
      </c>
      <c r="N5482">
        <v>0</v>
      </c>
      <c r="O5482">
        <v>-9.9684339999999996E-2</v>
      </c>
      <c r="P5482">
        <v>0.97778430000000005</v>
      </c>
      <c r="Q5482">
        <v>0.1932615</v>
      </c>
      <c r="R5482">
        <v>-8.1165940000000006E-2</v>
      </c>
      <c r="S5482">
        <v>3.1087039999999999</v>
      </c>
      <c r="T5482">
        <v>-0.20406369999999999</v>
      </c>
      <c r="U5482">
        <v>-4.8828130000000002E-4</v>
      </c>
      <c r="V5482">
        <v>-1.7233020000000002E-2</v>
      </c>
      <c r="W5482">
        <v>0.20171359999999999</v>
      </c>
      <c r="X5482">
        <v>0.97929290000000002</v>
      </c>
      <c r="Y5482">
        <v>-9.9104490000000003E-2</v>
      </c>
      <c r="Z5482">
        <v>9.7778220000000002E-3</v>
      </c>
      <c r="AA5482">
        <v>0.99502900000000005</v>
      </c>
      <c r="AB5482">
        <v>17</v>
      </c>
      <c r="AC5482">
        <v>16.8306</v>
      </c>
      <c r="AD5482">
        <v>-1.110713500446</v>
      </c>
      <c r="AE5482">
        <v>5.0600000000002804E-3</v>
      </c>
      <c r="AF5482">
        <v>-1.6755475480666</v>
      </c>
      <c r="AG5482">
        <v>-1.110713500446</v>
      </c>
      <c r="AH5482">
        <v>16.6736414448884</v>
      </c>
      <c r="AI5482">
        <v>93.792081057818095</v>
      </c>
      <c r="AJ5482">
        <v>95.738434060709295</v>
      </c>
      <c r="AK5482">
        <v>16.794387845307298</v>
      </c>
      <c r="AL5482">
        <v>78.362816020517599</v>
      </c>
      <c r="AM5482">
        <v>91.008153345112206</v>
      </c>
      <c r="AN5482">
        <v>0.99999996869684404</v>
      </c>
    </row>
    <row r="5483" spans="1:40" x14ac:dyDescent="0.25">
      <c r="A5483" t="str">
        <f>"20190312172817790"</f>
        <v>20190312172817790</v>
      </c>
      <c r="B5483" t="str">
        <f>"1552382897784839"</f>
        <v>1552382897784839</v>
      </c>
      <c r="C5483" t="s">
        <v>40</v>
      </c>
      <c r="D5483">
        <v>3.364379</v>
      </c>
      <c r="E5483">
        <v>0.4773193</v>
      </c>
      <c r="F5483" t="s">
        <v>57</v>
      </c>
      <c r="G5483">
        <v>-259.4402</v>
      </c>
      <c r="H5483" s="1">
        <v>-3.4472109999999999E-6</v>
      </c>
      <c r="I5483">
        <v>-61.966540000000002</v>
      </c>
      <c r="J5483">
        <v>-276.32769999999999</v>
      </c>
      <c r="K5483">
        <v>1.1107070000000001</v>
      </c>
      <c r="L5483">
        <v>-61.986080000000001</v>
      </c>
      <c r="M5483">
        <v>0.99511629999999995</v>
      </c>
      <c r="N5483">
        <v>0</v>
      </c>
      <c r="O5483">
        <v>-9.8335279999999997E-2</v>
      </c>
      <c r="P5483">
        <v>0.97786329999999999</v>
      </c>
      <c r="Q5483">
        <v>0.19323319999999999</v>
      </c>
      <c r="R5483">
        <v>-8.027753E-2</v>
      </c>
      <c r="S5483">
        <v>3.1085210000000001</v>
      </c>
      <c r="T5483">
        <v>-0.2032824</v>
      </c>
      <c r="U5483">
        <v>2.0751950000000002E-3</v>
      </c>
      <c r="V5483">
        <v>-1.679721E-2</v>
      </c>
      <c r="W5483">
        <v>0.20161879999999999</v>
      </c>
      <c r="X5483">
        <v>0.97931999999999997</v>
      </c>
      <c r="Y5483">
        <v>-9.8583119999999996E-2</v>
      </c>
      <c r="Z5483">
        <v>9.6362659999999992E-3</v>
      </c>
      <c r="AA5483">
        <v>0.99508209999999997</v>
      </c>
      <c r="AB5483">
        <v>17</v>
      </c>
      <c r="AC5483">
        <v>16.8874999999999</v>
      </c>
      <c r="AD5483">
        <v>-1.1107104472110001</v>
      </c>
      <c r="AE5483">
        <v>1.95399999999992E-2</v>
      </c>
      <c r="AF5483">
        <v>-1.6729068200622199</v>
      </c>
      <c r="AG5483">
        <v>-1.1107104472110001</v>
      </c>
      <c r="AH5483">
        <v>16.731347335684799</v>
      </c>
      <c r="AI5483">
        <v>93.779218527245405</v>
      </c>
      <c r="AJ5483">
        <v>95.709820383980201</v>
      </c>
      <c r="AK5483">
        <v>16.8514177027774</v>
      </c>
      <c r="AL5483">
        <v>78.368361667810206</v>
      </c>
      <c r="AM5483">
        <v>90.982635788926302</v>
      </c>
      <c r="AN5483">
        <v>0.99999997458861101</v>
      </c>
    </row>
    <row r="5484" spans="1:40" x14ac:dyDescent="0.25">
      <c r="A5484" t="str">
        <f>"20190312172817800"</f>
        <v>20190312172817800</v>
      </c>
      <c r="B5484" t="str">
        <f>"1552382897795575"</f>
        <v>1552382897795575</v>
      </c>
      <c r="C5484" t="s">
        <v>40</v>
      </c>
      <c r="D5484">
        <v>3.408547</v>
      </c>
      <c r="E5484">
        <v>0.47734169999999998</v>
      </c>
      <c r="F5484" t="s">
        <v>57</v>
      </c>
      <c r="G5484">
        <v>-259.2045</v>
      </c>
      <c r="H5484" s="1">
        <v>-3.3662920000000001E-6</v>
      </c>
      <c r="I5484">
        <v>-61.961199999999998</v>
      </c>
      <c r="J5484">
        <v>-276.23950000000002</v>
      </c>
      <c r="K5484">
        <v>1.110703</v>
      </c>
      <c r="L5484">
        <v>-61.993409999999997</v>
      </c>
      <c r="M5484">
        <v>0.99523649999999997</v>
      </c>
      <c r="N5484">
        <v>0</v>
      </c>
      <c r="O5484">
        <v>-9.7116179999999996E-2</v>
      </c>
      <c r="P5484">
        <v>0.97798070000000004</v>
      </c>
      <c r="Q5484">
        <v>0.1930501</v>
      </c>
      <c r="R5484">
        <v>-7.9281969999999993E-2</v>
      </c>
      <c r="S5484">
        <v>3.1080930000000002</v>
      </c>
      <c r="T5484">
        <v>-0.20160929999999999</v>
      </c>
      <c r="U5484">
        <v>4.5166019999999998E-3</v>
      </c>
      <c r="V5484">
        <v>-1.6600529999999999E-2</v>
      </c>
      <c r="W5484">
        <v>0.20137360000000001</v>
      </c>
      <c r="X5484">
        <v>0.97937379999999996</v>
      </c>
      <c r="Y5484">
        <v>-9.8156010000000002E-2</v>
      </c>
      <c r="Z5484">
        <v>9.4659340000000005E-3</v>
      </c>
      <c r="AA5484">
        <v>0.99512599999999996</v>
      </c>
      <c r="AB5484">
        <v>18</v>
      </c>
      <c r="AC5484">
        <v>17.035</v>
      </c>
      <c r="AD5484">
        <v>-1.110706366292</v>
      </c>
      <c r="AE5484">
        <v>3.22099999999991E-2</v>
      </c>
      <c r="AF5484">
        <v>-1.6793527633538301</v>
      </c>
      <c r="AG5484">
        <v>-1.110706366292</v>
      </c>
      <c r="AH5484">
        <v>16.879583660813001</v>
      </c>
      <c r="AI5484">
        <v>93.746293718083393</v>
      </c>
      <c r="AJ5484">
        <v>95.681670179479397</v>
      </c>
      <c r="AK5484">
        <v>16.999242303652601</v>
      </c>
      <c r="AL5484">
        <v>78.382704753151401</v>
      </c>
      <c r="AM5484">
        <v>90.9710789000777</v>
      </c>
      <c r="AN5484">
        <v>0.99999997224984005</v>
      </c>
    </row>
    <row r="5485" spans="1:40" x14ac:dyDescent="0.25">
      <c r="A5485" t="str">
        <f>"20190312172817811"</f>
        <v>20190312172817811</v>
      </c>
      <c r="B5485" t="str">
        <f>"1552382897805337"</f>
        <v>1552382897805337</v>
      </c>
      <c r="C5485" t="s">
        <v>40</v>
      </c>
      <c r="D5485">
        <v>3.393081</v>
      </c>
      <c r="E5485">
        <v>0.47737010000000002</v>
      </c>
      <c r="F5485" t="s">
        <v>57</v>
      </c>
      <c r="G5485">
        <v>-259.08319999999998</v>
      </c>
      <c r="H5485" s="1">
        <v>-3.3237710000000001E-6</v>
      </c>
      <c r="I5485">
        <v>-61.951970000000003</v>
      </c>
      <c r="J5485">
        <v>-276.16590000000002</v>
      </c>
      <c r="K5485">
        <v>1.110698</v>
      </c>
      <c r="L5485">
        <v>-61.999450000000003</v>
      </c>
      <c r="M5485">
        <v>0.99533579999999999</v>
      </c>
      <c r="N5485">
        <v>0</v>
      </c>
      <c r="O5485">
        <v>-9.609856E-2</v>
      </c>
      <c r="P5485">
        <v>0.97806230000000005</v>
      </c>
      <c r="Q5485">
        <v>0.19292129999999999</v>
      </c>
      <c r="R5485">
        <v>-7.8585509999999997E-2</v>
      </c>
      <c r="S5485">
        <v>3.1078489999999999</v>
      </c>
      <c r="T5485">
        <v>-0.20120299999999999</v>
      </c>
      <c r="U5485">
        <v>7.5073240000000001E-3</v>
      </c>
      <c r="V5485">
        <v>-1.63004E-2</v>
      </c>
      <c r="W5485">
        <v>0.20119190000000001</v>
      </c>
      <c r="X5485">
        <v>0.97941619999999996</v>
      </c>
      <c r="Y5485">
        <v>-9.8100039999999999E-2</v>
      </c>
      <c r="Z5485">
        <v>9.3803059999999997E-3</v>
      </c>
      <c r="AA5485">
        <v>0.99513229999999997</v>
      </c>
      <c r="AB5485">
        <v>18</v>
      </c>
      <c r="AC5485">
        <v>17.082699999999999</v>
      </c>
      <c r="AD5485">
        <v>-1.1107013237709999</v>
      </c>
      <c r="AE5485">
        <v>4.7480000000007197E-2</v>
      </c>
      <c r="AF5485">
        <v>-1.68183211794806</v>
      </c>
      <c r="AG5485">
        <v>-1.1107013237709999</v>
      </c>
      <c r="AH5485">
        <v>16.927509487418401</v>
      </c>
      <c r="AI5485">
        <v>93.735749817240304</v>
      </c>
      <c r="AJ5485">
        <v>95.673998958624196</v>
      </c>
      <c r="AK5485">
        <v>17.047075824029999</v>
      </c>
      <c r="AL5485">
        <v>78.393333109614204</v>
      </c>
      <c r="AM5485">
        <v>90.953484236901204</v>
      </c>
      <c r="AN5485">
        <v>0.99999998824410496</v>
      </c>
    </row>
    <row r="5486" spans="1:40" x14ac:dyDescent="0.25">
      <c r="A5486" t="str">
        <f>"20190312172817821"</f>
        <v>20190312172817821</v>
      </c>
      <c r="B5486" t="str">
        <f>"1552382897815095"</f>
        <v>1552382897815095</v>
      </c>
      <c r="C5486" t="s">
        <v>40</v>
      </c>
      <c r="D5486">
        <v>3.3812899999999999</v>
      </c>
      <c r="E5486">
        <v>0.47741129999999998</v>
      </c>
      <c r="F5486" t="s">
        <v>57</v>
      </c>
      <c r="G5486">
        <v>-258.98099999999999</v>
      </c>
      <c r="H5486" s="1">
        <v>-3.2883200000000001E-6</v>
      </c>
      <c r="I5486">
        <v>-61.946969999999901</v>
      </c>
      <c r="J5486">
        <v>-276.0754</v>
      </c>
      <c r="K5486">
        <v>1.1106910000000001</v>
      </c>
      <c r="L5486">
        <v>-62.006770000000003</v>
      </c>
      <c r="M5486">
        <v>0.99545589999999995</v>
      </c>
      <c r="N5486">
        <v>0</v>
      </c>
      <c r="O5486">
        <v>-9.4851909999999998E-2</v>
      </c>
      <c r="P5486">
        <v>0.9781358</v>
      </c>
      <c r="Q5486">
        <v>0.19291530000000001</v>
      </c>
      <c r="R5486">
        <v>-7.7680520000000003E-2</v>
      </c>
      <c r="S5486">
        <v>3.1076969999999999</v>
      </c>
      <c r="T5486">
        <v>-0.20085810000000001</v>
      </c>
      <c r="U5486">
        <v>9.4909669999999995E-3</v>
      </c>
      <c r="V5486">
        <v>-1.5983069999999999E-2</v>
      </c>
      <c r="W5486">
        <v>0.20111950000000001</v>
      </c>
      <c r="X5486">
        <v>0.97943630000000004</v>
      </c>
      <c r="Y5486">
        <v>-9.7494159999999996E-2</v>
      </c>
      <c r="Z5486">
        <v>9.2649759999999994E-3</v>
      </c>
      <c r="AA5486">
        <v>0.99519290000000005</v>
      </c>
      <c r="AB5486">
        <v>18</v>
      </c>
      <c r="AC5486">
        <v>17.0944</v>
      </c>
      <c r="AD5486">
        <v>-1.1106942883199999</v>
      </c>
      <c r="AE5486">
        <v>5.9800000000002698E-2</v>
      </c>
      <c r="AF5486">
        <v>-1.6739573885288099</v>
      </c>
      <c r="AG5486">
        <v>-1.1106942883199999</v>
      </c>
      <c r="AH5486">
        <v>16.940135972450701</v>
      </c>
      <c r="AI5486">
        <v>93.733146481593195</v>
      </c>
      <c r="AJ5486">
        <v>95.643421811711804</v>
      </c>
      <c r="AK5486">
        <v>17.0588388205597</v>
      </c>
      <c r="AL5486">
        <v>78.397567892308899</v>
      </c>
      <c r="AM5486">
        <v>90.9349063119856</v>
      </c>
      <c r="AN5486">
        <v>0.99999998878228202</v>
      </c>
    </row>
    <row r="5487" spans="1:40" x14ac:dyDescent="0.25">
      <c r="A5487" t="str">
        <f>"20190312172817832"</f>
        <v>20190312172817832</v>
      </c>
      <c r="B5487" t="str">
        <f>"1552382897824856"</f>
        <v>1552382897824856</v>
      </c>
      <c r="C5487" t="s">
        <v>40</v>
      </c>
      <c r="D5487">
        <v>3.354514</v>
      </c>
      <c r="E5487">
        <v>0.47744409999999998</v>
      </c>
      <c r="F5487" t="s">
        <v>57</v>
      </c>
      <c r="G5487">
        <v>-258.83339999999998</v>
      </c>
      <c r="H5487" s="1">
        <v>-3.237164E-6</v>
      </c>
      <c r="I5487">
        <v>-61.939889999999998</v>
      </c>
      <c r="J5487">
        <v>-275.9984</v>
      </c>
      <c r="K5487">
        <v>1.1106879999999999</v>
      </c>
      <c r="L5487">
        <v>-62.012909999999998</v>
      </c>
      <c r="M5487">
        <v>0.99555680000000002</v>
      </c>
      <c r="N5487">
        <v>0</v>
      </c>
      <c r="O5487">
        <v>-9.3792559999999997E-2</v>
      </c>
      <c r="P5487">
        <v>0.97816429999999999</v>
      </c>
      <c r="Q5487">
        <v>0.1928848</v>
      </c>
      <c r="R5487">
        <v>-7.7396240000000005E-2</v>
      </c>
      <c r="S5487">
        <v>3.1074830000000002</v>
      </c>
      <c r="T5487">
        <v>-0.20017840000000001</v>
      </c>
      <c r="U5487">
        <v>1.205444E-2</v>
      </c>
      <c r="V5487">
        <v>-1.5228159999999999E-2</v>
      </c>
      <c r="W5487">
        <v>0.20103119999999999</v>
      </c>
      <c r="X5487">
        <v>0.97946639999999996</v>
      </c>
      <c r="Y5487">
        <v>-9.7261559999999997E-2</v>
      </c>
      <c r="Z5487">
        <v>9.1589299999999992E-3</v>
      </c>
      <c r="AA5487">
        <v>0.99521669999999995</v>
      </c>
      <c r="AB5487">
        <v>18</v>
      </c>
      <c r="AC5487">
        <v>17.164999999999999</v>
      </c>
      <c r="AD5487">
        <v>-1.1106912371640001</v>
      </c>
      <c r="AE5487">
        <v>7.3019999999992494E-2</v>
      </c>
      <c r="AF5487">
        <v>-1.6756875066720101</v>
      </c>
      <c r="AG5487">
        <v>-1.1106912371640001</v>
      </c>
      <c r="AH5487">
        <v>17.011254141600499</v>
      </c>
      <c r="AI5487">
        <v>93.717685963274306</v>
      </c>
      <c r="AJ5487">
        <v>95.625751254992096</v>
      </c>
      <c r="AK5487">
        <v>17.1296331284254</v>
      </c>
      <c r="AL5487">
        <v>78.402731956227598</v>
      </c>
      <c r="AM5487">
        <v>90.890728876911894</v>
      </c>
      <c r="AN5487">
        <v>0.99999993447969004</v>
      </c>
    </row>
    <row r="5488" spans="1:40" x14ac:dyDescent="0.25">
      <c r="A5488" t="str">
        <f>"20190312172817842"</f>
        <v>20190312172817842</v>
      </c>
      <c r="B5488" t="str">
        <f>"1552382897835592"</f>
        <v>1552382897835592</v>
      </c>
      <c r="C5488" t="s">
        <v>40</v>
      </c>
      <c r="D5488">
        <v>3.3427500000000001</v>
      </c>
      <c r="E5488">
        <v>0.4774738</v>
      </c>
      <c r="F5488" t="s">
        <v>57</v>
      </c>
      <c r="G5488">
        <v>-258.69850000000002</v>
      </c>
      <c r="H5488" s="1">
        <v>-3.1915989999999998E-6</v>
      </c>
      <c r="I5488">
        <v>-61.942570000000003</v>
      </c>
      <c r="J5488">
        <v>-275.91489999999999</v>
      </c>
      <c r="K5488">
        <v>1.1106830000000001</v>
      </c>
      <c r="L5488">
        <v>-62.019500000000001</v>
      </c>
      <c r="M5488">
        <v>0.99566489999999996</v>
      </c>
      <c r="N5488">
        <v>0</v>
      </c>
      <c r="O5488">
        <v>-9.2642939999999993E-2</v>
      </c>
      <c r="P5488">
        <v>0.97821570000000002</v>
      </c>
      <c r="Q5488">
        <v>0.19278000000000001</v>
      </c>
      <c r="R5488">
        <v>-7.7005009999999999E-2</v>
      </c>
      <c r="S5488">
        <v>3.1073</v>
      </c>
      <c r="T5488">
        <v>-0.1994947</v>
      </c>
      <c r="U5488">
        <v>1.2634279999999999E-2</v>
      </c>
      <c r="V5488">
        <v>-1.44926E-2</v>
      </c>
      <c r="W5488">
        <v>0.2008617</v>
      </c>
      <c r="X5488">
        <v>0.97951239999999995</v>
      </c>
      <c r="Y5488">
        <v>-9.6305210000000002E-2</v>
      </c>
      <c r="Z5488">
        <v>9.0240909999999997E-3</v>
      </c>
      <c r="AA5488">
        <v>0.99531099999999995</v>
      </c>
      <c r="AB5488">
        <v>18</v>
      </c>
      <c r="AC5488">
        <v>17.216399999999901</v>
      </c>
      <c r="AD5488">
        <v>-1.1106861915989901</v>
      </c>
      <c r="AE5488">
        <v>7.69300000000043E-2</v>
      </c>
      <c r="AF5488">
        <v>-1.6647035346537</v>
      </c>
      <c r="AG5488">
        <v>-1.1106861915989901</v>
      </c>
      <c r="AH5488">
        <v>17.0642075480221</v>
      </c>
      <c r="AI5488">
        <v>93.706505405788704</v>
      </c>
      <c r="AJ5488">
        <v>95.571874510703097</v>
      </c>
      <c r="AK5488">
        <v>17.181153654992801</v>
      </c>
      <c r="AL5488">
        <v>78.412646580283607</v>
      </c>
      <c r="AM5488">
        <v>90.847670973244405</v>
      </c>
      <c r="AN5488">
        <v>0.99999999986770405</v>
      </c>
    </row>
    <row r="5489" spans="1:40" x14ac:dyDescent="0.25">
      <c r="A5489" t="str">
        <f>"20190312172817854"</f>
        <v>20190312172817854</v>
      </c>
      <c r="B5489" t="str">
        <f>"1552382897845352"</f>
        <v>1552382897845352</v>
      </c>
      <c r="C5489" t="s">
        <v>40</v>
      </c>
      <c r="D5489">
        <v>3.3402859999999999</v>
      </c>
      <c r="E5489">
        <v>0.47752319999999998</v>
      </c>
      <c r="F5489" t="s">
        <v>57</v>
      </c>
      <c r="G5489">
        <v>-258.58109999999999</v>
      </c>
      <c r="H5489" s="1">
        <v>-3.1518489999999999E-6</v>
      </c>
      <c r="I5489">
        <v>-61.943910000000002</v>
      </c>
      <c r="J5489">
        <v>-275.82929999999999</v>
      </c>
      <c r="K5489">
        <v>1.110681</v>
      </c>
      <c r="L5489">
        <v>-62.026119999999999</v>
      </c>
      <c r="M5489">
        <v>0.9957743</v>
      </c>
      <c r="N5489">
        <v>0</v>
      </c>
      <c r="O5489">
        <v>-9.1466140000000001E-2</v>
      </c>
      <c r="P5489">
        <v>0.97827109999999995</v>
      </c>
      <c r="Q5489">
        <v>0.19266059999999999</v>
      </c>
      <c r="R5489">
        <v>-7.6602470000000006E-2</v>
      </c>
      <c r="S5489">
        <v>3.1071170000000001</v>
      </c>
      <c r="T5489">
        <v>-0.19909370000000001</v>
      </c>
      <c r="U5489">
        <v>1.3549800000000001E-2</v>
      </c>
      <c r="V5489">
        <v>-1.37420999999999E-2</v>
      </c>
      <c r="W5489">
        <v>0.20067199999999999</v>
      </c>
      <c r="X5489">
        <v>0.97956209999999999</v>
      </c>
      <c r="Y5489">
        <v>-9.5427999999999999E-2</v>
      </c>
      <c r="Z5489">
        <v>8.9033559999999994E-3</v>
      </c>
      <c r="AA5489">
        <v>0.99539650000000002</v>
      </c>
      <c r="AB5489">
        <v>18</v>
      </c>
      <c r="AC5489">
        <v>17.248199999999901</v>
      </c>
      <c r="AD5489">
        <v>-1.110684151849</v>
      </c>
      <c r="AE5489">
        <v>8.2210000000003405E-2</v>
      </c>
      <c r="AF5489">
        <v>-1.6526919626932499</v>
      </c>
      <c r="AG5489">
        <v>-1.110684151849</v>
      </c>
      <c r="AH5489">
        <v>17.0974791623199</v>
      </c>
      <c r="AI5489">
        <v>93.699622547626205</v>
      </c>
      <c r="AJ5489">
        <v>95.521222745122401</v>
      </c>
      <c r="AK5489">
        <v>17.213041675272901</v>
      </c>
      <c r="AL5489">
        <v>78.4237415214686</v>
      </c>
      <c r="AM5489">
        <v>90.803739430714302</v>
      </c>
      <c r="AN5489">
        <v>1.00000000232641</v>
      </c>
    </row>
    <row r="5490" spans="1:40" x14ac:dyDescent="0.25">
      <c r="A5490" t="str">
        <f>"20190312172817863"</f>
        <v>20190312172817863</v>
      </c>
      <c r="B5490" t="str">
        <f>"1552382897855111"</f>
        <v>1552382897855111</v>
      </c>
      <c r="C5490" t="s">
        <v>40</v>
      </c>
      <c r="D5490">
        <v>3.3480050000000001</v>
      </c>
      <c r="E5490">
        <v>0.47758289999999998</v>
      </c>
      <c r="F5490" t="s">
        <v>57</v>
      </c>
      <c r="G5490">
        <v>-258.47969999999998</v>
      </c>
      <c r="H5490" s="1">
        <v>-3.1174999999999998E-6</v>
      </c>
      <c r="I5490">
        <v>-61.945180000000001</v>
      </c>
      <c r="J5490">
        <v>-275.73869999999999</v>
      </c>
      <c r="K5490">
        <v>1.1106689999999999</v>
      </c>
      <c r="L5490">
        <v>-62.033050000000003</v>
      </c>
      <c r="M5490">
        <v>0.99588869999999896</v>
      </c>
      <c r="N5490">
        <v>0</v>
      </c>
      <c r="O5490">
        <v>-9.0222430000000006E-2</v>
      </c>
      <c r="P5490">
        <v>0.97830349999999999</v>
      </c>
      <c r="Q5490">
        <v>0.19270599999999999</v>
      </c>
      <c r="R5490">
        <v>-7.6072539999999994E-2</v>
      </c>
      <c r="S5490">
        <v>3.1069339999999999</v>
      </c>
      <c r="T5490">
        <v>-0.19889989999999999</v>
      </c>
      <c r="U5490">
        <v>1.4495849999999999E-2</v>
      </c>
      <c r="V5490">
        <v>-1.305135E-2</v>
      </c>
      <c r="W5490">
        <v>0.20064019999999999</v>
      </c>
      <c r="X5490">
        <v>0.97957799999999995</v>
      </c>
      <c r="Y5490">
        <v>-9.4493209999999994E-2</v>
      </c>
      <c r="Z5490">
        <v>8.786047E-3</v>
      </c>
      <c r="AA5490">
        <v>0.99548669999999995</v>
      </c>
      <c r="AB5490">
        <v>18</v>
      </c>
      <c r="AC5490">
        <v>17.259</v>
      </c>
      <c r="AD5490">
        <v>-1.1106721175000001</v>
      </c>
      <c r="AE5490">
        <v>8.7869999999995202E-2</v>
      </c>
      <c r="AF5490">
        <v>-1.63792857838771</v>
      </c>
      <c r="AG5490">
        <v>-1.1106721175000001</v>
      </c>
      <c r="AH5490">
        <v>17.109823160492599</v>
      </c>
      <c r="AI5490">
        <v>93.697248611990801</v>
      </c>
      <c r="AJ5490">
        <v>95.468278738115899</v>
      </c>
      <c r="AK5490">
        <v>17.223891870417098</v>
      </c>
      <c r="AL5490">
        <v>78.4256006549261</v>
      </c>
      <c r="AM5490">
        <v>90.763331790902001</v>
      </c>
      <c r="AN5490">
        <v>0.99999994283842897</v>
      </c>
    </row>
    <row r="5491" spans="1:40" x14ac:dyDescent="0.25">
      <c r="A5491" t="str">
        <f>"20190312172817875"</f>
        <v>20190312172817875</v>
      </c>
      <c r="B5491" t="str">
        <f>"1552382897864872"</f>
        <v>1552382897864872</v>
      </c>
      <c r="C5491" t="s">
        <v>40</v>
      </c>
      <c r="D5491">
        <v>3.3403860000000001</v>
      </c>
      <c r="E5491">
        <v>0.4776378</v>
      </c>
      <c r="F5491" t="s">
        <v>57</v>
      </c>
      <c r="G5491">
        <v>-258.32049999999998</v>
      </c>
      <c r="H5491" s="1">
        <v>-3.0530370000000002E-6</v>
      </c>
      <c r="I5491">
        <v>-61.945959999999999</v>
      </c>
      <c r="J5491">
        <v>-275.65230000000003</v>
      </c>
      <c r="K5491">
        <v>1.110663</v>
      </c>
      <c r="L5491">
        <v>-62.039520000000003</v>
      </c>
      <c r="M5491">
        <v>0.99599590000000005</v>
      </c>
      <c r="N5491">
        <v>0</v>
      </c>
      <c r="O5491">
        <v>-8.9038110000000004E-2</v>
      </c>
      <c r="P5491">
        <v>0.97834949999999998</v>
      </c>
      <c r="Q5491">
        <v>0.19254070000000001</v>
      </c>
      <c r="R5491">
        <v>-7.5900029999999993E-2</v>
      </c>
      <c r="S5491">
        <v>3.1067499999999999</v>
      </c>
      <c r="T5491">
        <v>-0.19810259999999999</v>
      </c>
      <c r="U5491">
        <v>1.5533450000000001E-2</v>
      </c>
      <c r="V5491">
        <v>-1.2063569999999999E-2</v>
      </c>
      <c r="W5491">
        <v>0.2003992</v>
      </c>
      <c r="X5491">
        <v>0.97964010000000001</v>
      </c>
      <c r="Y5491">
        <v>-9.3649140000000006E-2</v>
      </c>
      <c r="Z5491">
        <v>8.6493190000000008E-3</v>
      </c>
      <c r="AA5491">
        <v>0.99556770000000006</v>
      </c>
      <c r="AB5491">
        <v>18</v>
      </c>
      <c r="AC5491">
        <v>17.331800000000001</v>
      </c>
      <c r="AD5491">
        <v>-1.1106660530370001</v>
      </c>
      <c r="AE5491">
        <v>9.3559999999996493E-2</v>
      </c>
      <c r="AF5491">
        <v>-1.6297363326395899</v>
      </c>
      <c r="AG5491">
        <v>-1.1106660530370001</v>
      </c>
      <c r="AH5491">
        <v>17.184061224385299</v>
      </c>
      <c r="AI5491">
        <v>93.681608489779705</v>
      </c>
      <c r="AJ5491">
        <v>95.417726920202099</v>
      </c>
      <c r="AK5491">
        <v>17.296866183176601</v>
      </c>
      <c r="AL5491">
        <v>78.439696427905005</v>
      </c>
      <c r="AM5491">
        <v>90.705521050249004</v>
      </c>
      <c r="AN5491">
        <v>1.00000004730489</v>
      </c>
    </row>
    <row r="5492" spans="1:40" x14ac:dyDescent="0.25">
      <c r="A5492" t="str">
        <f>"20190312172817886"</f>
        <v>20190312172817886</v>
      </c>
      <c r="B5492" t="str">
        <f>"1552382897874631"</f>
        <v>1552382897874631</v>
      </c>
      <c r="C5492" t="s">
        <v>40</v>
      </c>
      <c r="D5492">
        <v>3.3677510000000002</v>
      </c>
      <c r="E5492">
        <v>0.47768939999999999</v>
      </c>
      <c r="F5492" t="s">
        <v>57</v>
      </c>
      <c r="G5492">
        <v>-258.22460000000001</v>
      </c>
      <c r="H5492" s="1">
        <v>-3.0134350000000001E-6</v>
      </c>
      <c r="I5492">
        <v>-61.952889999999996</v>
      </c>
      <c r="J5492">
        <v>-275.5643</v>
      </c>
      <c r="K5492">
        <v>1.1106549999999999</v>
      </c>
      <c r="L5492">
        <v>-62.046080000000003</v>
      </c>
      <c r="M5492">
        <v>0.99610359999999998</v>
      </c>
      <c r="N5492">
        <v>0</v>
      </c>
      <c r="O5492">
        <v>-8.7829939999999995E-2</v>
      </c>
      <c r="P5492">
        <v>0.97839129999999996</v>
      </c>
      <c r="Q5492">
        <v>0.19256390000000001</v>
      </c>
      <c r="R5492">
        <v>-7.5298539999999997E-2</v>
      </c>
      <c r="S5492">
        <v>3.1065369999999999</v>
      </c>
      <c r="T5492">
        <v>-0.19797899999999999</v>
      </c>
      <c r="U5492">
        <v>1.544189E-2</v>
      </c>
      <c r="V5492">
        <v>-1.1479799999999899E-2</v>
      </c>
      <c r="W5492">
        <v>0.2003413</v>
      </c>
      <c r="X5492">
        <v>0.9796589</v>
      </c>
      <c r="Y5492">
        <v>-9.2417799999999994E-2</v>
      </c>
      <c r="Z5492">
        <v>8.5286249999999997E-3</v>
      </c>
      <c r="AA5492">
        <v>0.99568380000000001</v>
      </c>
      <c r="AB5492">
        <v>18</v>
      </c>
      <c r="AC5492">
        <v>17.339699999999901</v>
      </c>
      <c r="AD5492">
        <v>-1.1106580134349999</v>
      </c>
      <c r="AE5492">
        <v>9.3189999999999801E-2</v>
      </c>
      <c r="AF5492">
        <v>-1.60922094573299</v>
      </c>
      <c r="AG5492">
        <v>-1.1106580134349999</v>
      </c>
      <c r="AH5492">
        <v>17.193960159563499</v>
      </c>
      <c r="AI5492">
        <v>93.679895772620696</v>
      </c>
      <c r="AJ5492">
        <v>95.346863690155104</v>
      </c>
      <c r="AK5492">
        <v>17.304780242570299</v>
      </c>
      <c r="AL5492">
        <v>78.443081866622194</v>
      </c>
      <c r="AM5492">
        <v>90.671370398441496</v>
      </c>
      <c r="AN5492">
        <v>0.999999991321469</v>
      </c>
    </row>
    <row r="5493" spans="1:40" x14ac:dyDescent="0.25">
      <c r="A5493" t="str">
        <f>"20190312172817897"</f>
        <v>20190312172817897</v>
      </c>
      <c r="B5493" t="str">
        <f>"1552382897895127"</f>
        <v>1552382897895127</v>
      </c>
      <c r="C5493" t="s">
        <v>40</v>
      </c>
      <c r="D5493">
        <v>3.4309810000000001</v>
      </c>
      <c r="E5493">
        <v>0.47781109999999999</v>
      </c>
      <c r="F5493" t="s">
        <v>57</v>
      </c>
      <c r="G5493">
        <v>-258.0652</v>
      </c>
      <c r="H5493" s="1">
        <v>-2.944739E-6</v>
      </c>
      <c r="I5493">
        <v>-61.951529999999998</v>
      </c>
      <c r="J5493">
        <v>-275.47840000000002</v>
      </c>
      <c r="K5493">
        <v>1.110646</v>
      </c>
      <c r="L5493">
        <v>-62.052309999999999</v>
      </c>
      <c r="M5493">
        <v>0.99620750000000002</v>
      </c>
      <c r="N5493">
        <v>0</v>
      </c>
      <c r="O5493">
        <v>-8.6654430000000005E-2</v>
      </c>
      <c r="P5493">
        <v>0.97841789999999995</v>
      </c>
      <c r="Q5493">
        <v>0.1923994</v>
      </c>
      <c r="R5493">
        <v>-7.5373519999999999E-2</v>
      </c>
      <c r="S5493">
        <v>3.1063540000000001</v>
      </c>
      <c r="T5493">
        <v>-0.1971581</v>
      </c>
      <c r="U5493">
        <v>1.6784670000000002E-2</v>
      </c>
      <c r="V5493">
        <v>-1.0251740000000001E-2</v>
      </c>
      <c r="W5493">
        <v>0.20009550000000001</v>
      </c>
      <c r="X5493">
        <v>0.97972269999999995</v>
      </c>
      <c r="Y5493">
        <v>-9.1680239999999996E-2</v>
      </c>
      <c r="Z5493">
        <v>8.3961319999999902E-3</v>
      </c>
      <c r="AA5493">
        <v>0.99575309999999995</v>
      </c>
      <c r="AB5493">
        <v>18</v>
      </c>
      <c r="AC5493">
        <v>17.4132</v>
      </c>
      <c r="AD5493">
        <v>-1.110648944739</v>
      </c>
      <c r="AE5493">
        <v>0.100779999999993</v>
      </c>
      <c r="AF5493">
        <v>-1.6028578633914901</v>
      </c>
      <c r="AG5493">
        <v>-1.110648944739</v>
      </c>
      <c r="AH5493">
        <v>17.2687124096933</v>
      </c>
      <c r="AI5493">
        <v>93.664241220460895</v>
      </c>
      <c r="AJ5493">
        <v>95.302920639617696</v>
      </c>
      <c r="AK5493">
        <v>17.378467213692399</v>
      </c>
      <c r="AL5493">
        <v>78.457455608905207</v>
      </c>
      <c r="AM5493">
        <v>90.599516575353405</v>
      </c>
      <c r="AN5493">
        <v>0.999999938094281</v>
      </c>
    </row>
    <row r="5494" spans="1:40" x14ac:dyDescent="0.25">
      <c r="A5494" t="str">
        <f>"20190312172817909"</f>
        <v>20190312172817909</v>
      </c>
      <c r="B5494" t="str">
        <f>"1552382897904888"</f>
        <v>1552382897904888</v>
      </c>
      <c r="C5494" t="s">
        <v>40</v>
      </c>
      <c r="D5494">
        <v>3.6087609999999999</v>
      </c>
      <c r="E5494">
        <v>0.47781109999999999</v>
      </c>
      <c r="F5494" t="s">
        <v>57</v>
      </c>
      <c r="G5494">
        <v>-257.91919999999999</v>
      </c>
      <c r="H5494" s="1">
        <v>-2.8850220000000001E-6</v>
      </c>
      <c r="I5494">
        <v>-61.964660000000002</v>
      </c>
      <c r="J5494">
        <v>-275.38600000000002</v>
      </c>
      <c r="K5494">
        <v>1.110636</v>
      </c>
      <c r="L5494">
        <v>-62.058929999999997</v>
      </c>
      <c r="M5494">
        <v>0.99631729999999996</v>
      </c>
      <c r="N5494">
        <v>0</v>
      </c>
      <c r="O5494">
        <v>-8.538975E-2</v>
      </c>
      <c r="P5494">
        <v>0.9785161</v>
      </c>
      <c r="Q5494">
        <v>0.19198760000000001</v>
      </c>
      <c r="R5494">
        <v>-7.514875E-2</v>
      </c>
      <c r="S5494">
        <v>3.105988</v>
      </c>
      <c r="T5494">
        <v>-0.19645879999999999</v>
      </c>
      <c r="U5494">
        <v>1.550293E-2</v>
      </c>
      <c r="V5494">
        <v>-9.240814E-3</v>
      </c>
      <c r="W5494">
        <v>0.19959470000000001</v>
      </c>
      <c r="X5494">
        <v>0.97983500000000001</v>
      </c>
      <c r="Y5494">
        <v>-9.001402E-2</v>
      </c>
      <c r="Z5494">
        <v>8.2350340000000005E-3</v>
      </c>
      <c r="AA5494">
        <v>0.99590650000000003</v>
      </c>
      <c r="AB5494">
        <v>18</v>
      </c>
      <c r="AC5494">
        <v>17.4667999999999</v>
      </c>
      <c r="AD5494">
        <v>-1.1106388850219999</v>
      </c>
      <c r="AE5494">
        <v>9.4270000000008694E-2</v>
      </c>
      <c r="AF5494">
        <v>-1.57907219310475</v>
      </c>
      <c r="AG5494">
        <v>-1.1106388850219999</v>
      </c>
      <c r="AH5494">
        <v>17.324905881691201</v>
      </c>
      <c r="AI5494">
        <v>93.652911641110705</v>
      </c>
      <c r="AJ5494">
        <v>95.207813587142397</v>
      </c>
      <c r="AK5494">
        <v>17.432135598756101</v>
      </c>
      <c r="AL5494">
        <v>78.486741175101599</v>
      </c>
      <c r="AM5494">
        <v>90.540339899023095</v>
      </c>
      <c r="AN5494">
        <v>1.0000000320682301</v>
      </c>
    </row>
    <row r="5495" spans="1:40" x14ac:dyDescent="0.25">
      <c r="A5495" t="str">
        <f>"20190312172817920"</f>
        <v>20190312172817920</v>
      </c>
      <c r="B5495" t="str">
        <f>"1552382897915627"</f>
        <v>1552382897915627</v>
      </c>
      <c r="C5495" t="s">
        <v>40</v>
      </c>
      <c r="D5495">
        <v>3.7960370000000001</v>
      </c>
      <c r="E5495">
        <v>0.51653959999999999</v>
      </c>
      <c r="F5495" t="s">
        <v>57</v>
      </c>
      <c r="G5495">
        <v>-257.93720000000002</v>
      </c>
      <c r="H5495" s="1">
        <v>-2.893187E-6</v>
      </c>
      <c r="I5495">
        <v>-61.96669</v>
      </c>
      <c r="J5495">
        <v>-275.29360000000003</v>
      </c>
      <c r="K5495">
        <v>1.1106240000000001</v>
      </c>
      <c r="L5495">
        <v>-62.065429999999999</v>
      </c>
      <c r="M5495">
        <v>0.99642540000000002</v>
      </c>
      <c r="N5495">
        <v>0</v>
      </c>
      <c r="O5495">
        <v>-8.412828E-2</v>
      </c>
      <c r="P5495">
        <v>0.97852620000000001</v>
      </c>
      <c r="Q5495">
        <v>0.1919457</v>
      </c>
      <c r="R5495">
        <v>-7.512083E-2</v>
      </c>
      <c r="S5495">
        <v>3.105896</v>
      </c>
      <c r="T5495">
        <v>-0.19769329999999999</v>
      </c>
      <c r="U5495">
        <v>1.6418459999999999E-2</v>
      </c>
      <c r="V5495">
        <v>-8.0299949999999998E-3</v>
      </c>
      <c r="W5495">
        <v>0.19945869999999999</v>
      </c>
      <c r="X5495">
        <v>0.97987340000000001</v>
      </c>
      <c r="Y5495">
        <v>-8.9046810000000004E-2</v>
      </c>
      <c r="Z5495">
        <v>8.1761719999999902E-3</v>
      </c>
      <c r="AA5495">
        <v>0.99599389999999999</v>
      </c>
      <c r="AB5495">
        <v>18</v>
      </c>
      <c r="AC5495">
        <v>17.356400000000001</v>
      </c>
      <c r="AD5495">
        <v>-1.110626893187</v>
      </c>
      <c r="AE5495">
        <v>9.8740000000006406E-2</v>
      </c>
      <c r="AF5495">
        <v>-1.5522413057406601</v>
      </c>
      <c r="AG5495">
        <v>-1.110626893187</v>
      </c>
      <c r="AH5495">
        <v>17.2160681533922</v>
      </c>
      <c r="AI5495">
        <v>93.676225951550194</v>
      </c>
      <c r="AJ5495">
        <v>95.151992126278799</v>
      </c>
      <c r="AK5495">
        <v>17.321545769052001</v>
      </c>
      <c r="AL5495">
        <v>78.494693705603098</v>
      </c>
      <c r="AM5495">
        <v>90.469524455033294</v>
      </c>
      <c r="AN5495">
        <v>1.0000000669264699</v>
      </c>
    </row>
    <row r="5496" spans="1:40" x14ac:dyDescent="0.25">
      <c r="A5496" t="str">
        <f>"20190312172817932"</f>
        <v>20190312172817932</v>
      </c>
      <c r="B5496" t="str">
        <f>"1552382897925384"</f>
        <v>1552382897925384</v>
      </c>
      <c r="C5496" t="s">
        <v>40</v>
      </c>
      <c r="D5496">
        <v>3.571018</v>
      </c>
      <c r="E5496">
        <v>0.51653959999999999</v>
      </c>
      <c r="F5496" t="s">
        <v>44</v>
      </c>
      <c r="G5496">
        <v>-274.51650000000001</v>
      </c>
      <c r="H5496">
        <v>1.0263930000000001</v>
      </c>
      <c r="I5496">
        <v>-62.135779999999997</v>
      </c>
      <c r="J5496">
        <v>-275.20350000000002</v>
      </c>
      <c r="K5496">
        <v>1.110608</v>
      </c>
      <c r="L5496">
        <v>-62.071689999999997</v>
      </c>
      <c r="M5496">
        <v>0.9965292</v>
      </c>
      <c r="N5496">
        <v>0</v>
      </c>
      <c r="O5496">
        <v>-8.2899600000000004E-2</v>
      </c>
      <c r="P5496">
        <v>0.97854870000000005</v>
      </c>
      <c r="Q5496">
        <v>0.19174640000000001</v>
      </c>
      <c r="R5496">
        <v>-7.5340799999999999E-2</v>
      </c>
      <c r="S5496">
        <v>3.1104129999999999</v>
      </c>
      <c r="T5496">
        <v>-0.33721630000000002</v>
      </c>
      <c r="U5496">
        <v>-0.28103640000000002</v>
      </c>
      <c r="V5496">
        <v>-6.60437E-3</v>
      </c>
      <c r="W5496">
        <v>0.1991685</v>
      </c>
      <c r="X5496">
        <v>0.97994300000000001</v>
      </c>
      <c r="Y5496">
        <v>7.5477850000000004E-3</v>
      </c>
      <c r="Z5496">
        <v>8.5203499999999995E-3</v>
      </c>
      <c r="AA5496">
        <v>0.99993520000000002</v>
      </c>
      <c r="AB5496">
        <v>18</v>
      </c>
      <c r="AC5496">
        <v>0.68700000000001105</v>
      </c>
      <c r="AD5496">
        <v>-8.4214999999999901E-2</v>
      </c>
      <c r="AE5496">
        <v>-6.4090000000000202E-2</v>
      </c>
      <c r="AF5496">
        <v>6.8142168902077501E-3</v>
      </c>
      <c r="AG5496">
        <v>-8.4214999999999901E-2</v>
      </c>
      <c r="AH5496">
        <v>0.67982096173002404</v>
      </c>
      <c r="AI5496">
        <v>97.061371168264898</v>
      </c>
      <c r="AJ5496">
        <v>89.425712333530697</v>
      </c>
      <c r="AK5496">
        <v>0.68505119500980505</v>
      </c>
      <c r="AL5496">
        <v>78.511660559406906</v>
      </c>
      <c r="AM5496">
        <v>90.386141641197</v>
      </c>
      <c r="AN5496">
        <v>0.99999999617217294</v>
      </c>
    </row>
    <row r="5497" spans="1:40" x14ac:dyDescent="0.25">
      <c r="A5497" t="str">
        <f>"20190312172817942"</f>
        <v>20190312172817942</v>
      </c>
      <c r="B5497" t="str">
        <f>"1552382897935143"</f>
        <v>1552382897935143</v>
      </c>
      <c r="C5497" t="s">
        <v>40</v>
      </c>
      <c r="D5497">
        <v>3.4435910000000001</v>
      </c>
      <c r="E5497">
        <v>0.56290669999999898</v>
      </c>
      <c r="F5497" t="s">
        <v>44</v>
      </c>
      <c r="G5497">
        <v>-274.35840000000002</v>
      </c>
      <c r="H5497">
        <v>1.0188919999999999</v>
      </c>
      <c r="I5497">
        <v>-62.148490000000002</v>
      </c>
      <c r="J5497">
        <v>-275.11059999999998</v>
      </c>
      <c r="K5497">
        <v>1.110595</v>
      </c>
      <c r="L5497">
        <v>-62.078000000000003</v>
      </c>
      <c r="M5497">
        <v>0.99663409999999997</v>
      </c>
      <c r="N5497">
        <v>0</v>
      </c>
      <c r="O5497">
        <v>-8.1636829999999994E-2</v>
      </c>
      <c r="P5497">
        <v>0.97857380000000005</v>
      </c>
      <c r="Q5497">
        <v>0.1915182</v>
      </c>
      <c r="R5497">
        <v>-7.5595540000000003E-2</v>
      </c>
      <c r="S5497">
        <v>3.1103519999999998</v>
      </c>
      <c r="T5497">
        <v>-0.33787790000000001</v>
      </c>
      <c r="U5497">
        <v>-0.2814026</v>
      </c>
      <c r="V5497">
        <v>-5.1108300000000002E-3</v>
      </c>
      <c r="W5497">
        <v>0.1988461</v>
      </c>
      <c r="X5497">
        <v>0.98001740000000004</v>
      </c>
      <c r="Y5497">
        <v>8.9198569999999998E-3</v>
      </c>
      <c r="Z5497">
        <v>8.3270169999999904E-3</v>
      </c>
      <c r="AA5497">
        <v>0.99992559999999997</v>
      </c>
      <c r="AB5497">
        <v>18</v>
      </c>
      <c r="AC5497">
        <v>0.75219999999995901</v>
      </c>
      <c r="AD5497">
        <v>-9.1703000000000007E-2</v>
      </c>
      <c r="AE5497">
        <v>-7.0489999999999498E-2</v>
      </c>
      <c r="AF5497">
        <v>8.7173255259059106E-3</v>
      </c>
      <c r="AG5497">
        <v>-9.1703000000000007E-2</v>
      </c>
      <c r="AH5497">
        <v>0.74447520931364697</v>
      </c>
      <c r="AI5497">
        <v>97.021732466297294</v>
      </c>
      <c r="AJ5497">
        <v>89.329133959320103</v>
      </c>
      <c r="AK5497">
        <v>0.75015249733365796</v>
      </c>
      <c r="AL5497">
        <v>78.530509763467506</v>
      </c>
      <c r="AM5497">
        <v>90.298797076661103</v>
      </c>
      <c r="AN5497">
        <v>0.99999999818562901</v>
      </c>
    </row>
    <row r="5498" spans="1:40" x14ac:dyDescent="0.25">
      <c r="A5498" t="str">
        <f>"20190312172817954"</f>
        <v>20190312172817954</v>
      </c>
      <c r="B5498" t="str">
        <f>"1552382897944904"</f>
        <v>1552382897944904</v>
      </c>
      <c r="C5498" t="s">
        <v>40</v>
      </c>
      <c r="D5498">
        <v>3.4618009999999999</v>
      </c>
      <c r="E5498">
        <v>0.57070399999999999</v>
      </c>
      <c r="F5498" t="s">
        <v>44</v>
      </c>
      <c r="G5498">
        <v>-274.38249999999999</v>
      </c>
      <c r="H5498">
        <v>0.98376010000000003</v>
      </c>
      <c r="I5498">
        <v>-62.226390000000002</v>
      </c>
      <c r="J5498">
        <v>-275.0163</v>
      </c>
      <c r="K5498">
        <v>1.1105830000000001</v>
      </c>
      <c r="L5498">
        <v>-62.084290000000003</v>
      </c>
      <c r="M5498">
        <v>0.99673889999999998</v>
      </c>
      <c r="N5498">
        <v>0</v>
      </c>
      <c r="O5498">
        <v>-8.0357860000000003E-2</v>
      </c>
      <c r="P5498">
        <v>0.97853060000000003</v>
      </c>
      <c r="Q5498">
        <v>0.19161239999999999</v>
      </c>
      <c r="R5498">
        <v>-7.5913389999999997E-2</v>
      </c>
      <c r="S5498">
        <v>3.1231689999999999</v>
      </c>
      <c r="T5498">
        <v>-0.54438699999999995</v>
      </c>
      <c r="U5498">
        <v>-0.63513180000000002</v>
      </c>
      <c r="V5498">
        <v>-3.5341270000000002E-3</v>
      </c>
      <c r="W5498">
        <v>0.1988442</v>
      </c>
      <c r="X5498">
        <v>0.98002480000000003</v>
      </c>
      <c r="Y5498">
        <v>0.11932570000000001</v>
      </c>
      <c r="Z5498">
        <v>3.5064129999999999E-3</v>
      </c>
      <c r="AA5498">
        <v>0.99284899999999998</v>
      </c>
      <c r="AB5498">
        <v>18</v>
      </c>
      <c r="AC5498">
        <v>0.63380000000000702</v>
      </c>
      <c r="AD5498">
        <v>-0.12682289999999999</v>
      </c>
      <c r="AE5498">
        <v>-0.142099999999999</v>
      </c>
      <c r="AF5498">
        <v>8.7377133665269904E-2</v>
      </c>
      <c r="AG5498">
        <v>-0.12682289999999999</v>
      </c>
      <c r="AH5498">
        <v>0.619550062110375</v>
      </c>
      <c r="AI5498">
        <v>101.45836681494001</v>
      </c>
      <c r="AJ5498">
        <v>81.972337308195904</v>
      </c>
      <c r="AK5498">
        <v>0.63840511504289899</v>
      </c>
      <c r="AL5498">
        <v>78.530621530490706</v>
      </c>
      <c r="AM5498">
        <v>90.2066168974645</v>
      </c>
      <c r="AN5498">
        <v>1.00000005727116</v>
      </c>
    </row>
    <row r="5499" spans="1:40" x14ac:dyDescent="0.25">
      <c r="A5499" t="str">
        <f>"20190312172817966"</f>
        <v>20190312172817966</v>
      </c>
      <c r="B5499" t="str">
        <f>"1552382897955640"</f>
        <v>1552382897955640</v>
      </c>
      <c r="C5499" t="s">
        <v>40</v>
      </c>
      <c r="D5499">
        <v>3.4366840000000001</v>
      </c>
      <c r="E5499">
        <v>0.57512739999999996</v>
      </c>
      <c r="F5499" t="s">
        <v>44</v>
      </c>
      <c r="G5499">
        <v>-274.22949999999997</v>
      </c>
      <c r="H5499">
        <v>0.96584519999999996</v>
      </c>
      <c r="I5499">
        <v>-62.259459999999997</v>
      </c>
      <c r="J5499">
        <v>-274.92140000000001</v>
      </c>
      <c r="K5499">
        <v>1.1105750000000001</v>
      </c>
      <c r="L5499">
        <v>-62.090519999999998</v>
      </c>
      <c r="M5499">
        <v>0.99684209999999995</v>
      </c>
      <c r="N5499">
        <v>0</v>
      </c>
      <c r="O5499">
        <v>-7.9073649999999995E-2</v>
      </c>
      <c r="P5499">
        <v>0.9785374</v>
      </c>
      <c r="Q5499">
        <v>0.19155720000000001</v>
      </c>
      <c r="R5499">
        <v>-7.5964149999999994E-2</v>
      </c>
      <c r="S5499">
        <v>3.12439</v>
      </c>
      <c r="T5499">
        <v>-0.57477259999999997</v>
      </c>
      <c r="U5499">
        <v>-0.69564820000000005</v>
      </c>
      <c r="V5499">
        <v>-2.2210469999999999E-3</v>
      </c>
      <c r="W5499">
        <v>0.19869329999999999</v>
      </c>
      <c r="X5499">
        <v>0.98005920000000002</v>
      </c>
      <c r="Y5499">
        <v>0.13851449999999901</v>
      </c>
      <c r="Z5499">
        <v>1.7281950000000001E-3</v>
      </c>
      <c r="AA5499">
        <v>0.99035890000000004</v>
      </c>
      <c r="AB5499">
        <v>18</v>
      </c>
      <c r="AC5499">
        <v>0.69190000000003204</v>
      </c>
      <c r="AD5499">
        <v>-0.14472979999999999</v>
      </c>
      <c r="AE5499">
        <v>-0.16893999999999901</v>
      </c>
      <c r="AF5499">
        <v>0.109189664908446</v>
      </c>
      <c r="AG5499">
        <v>-0.14472979999999999</v>
      </c>
      <c r="AH5499">
        <v>0.67521074999588504</v>
      </c>
      <c r="AI5499">
        <v>101.947481594376</v>
      </c>
      <c r="AJ5499">
        <v>80.814108078991097</v>
      </c>
      <c r="AK5499">
        <v>0.69912706630544996</v>
      </c>
      <c r="AL5499">
        <v>78.539442804475897</v>
      </c>
      <c r="AM5499">
        <v>90.129845627023897</v>
      </c>
      <c r="AN5499">
        <v>0.999999998009653</v>
      </c>
    </row>
    <row r="5500" spans="1:40" x14ac:dyDescent="0.25">
      <c r="A5500" t="str">
        <f>"20190312172817978"</f>
        <v>20190312172817978</v>
      </c>
      <c r="B5500" t="str">
        <f>"1552382897975159"</f>
        <v>1552382897975159</v>
      </c>
      <c r="C5500" t="s">
        <v>40</v>
      </c>
      <c r="D5500">
        <v>3.4437380000000002</v>
      </c>
      <c r="E5500">
        <v>0.58036149999999997</v>
      </c>
      <c r="F5500" t="s">
        <v>44</v>
      </c>
      <c r="G5500">
        <v>-274.2235</v>
      </c>
      <c r="H5500">
        <v>0.97756430000000005</v>
      </c>
      <c r="I5500">
        <v>-62.253300000000003</v>
      </c>
      <c r="J5500">
        <v>-274.83049999999997</v>
      </c>
      <c r="K5500">
        <v>1.110562</v>
      </c>
      <c r="L5500">
        <v>-62.096339999999998</v>
      </c>
      <c r="M5500">
        <v>0.99693940000000003</v>
      </c>
      <c r="N5500">
        <v>0</v>
      </c>
      <c r="O5500">
        <v>-7.7847620000000006E-2</v>
      </c>
      <c r="P5500">
        <v>0.97858719999999999</v>
      </c>
      <c r="Q5500">
        <v>0.1913387</v>
      </c>
      <c r="R5500">
        <v>-7.5873289999999996E-2</v>
      </c>
      <c r="S5500">
        <v>3.1258539999999999</v>
      </c>
      <c r="T5500">
        <v>-0.59575129999999998</v>
      </c>
      <c r="U5500">
        <v>-0.72912600000000005</v>
      </c>
      <c r="V5500">
        <v>-1.1093399999999999E-3</v>
      </c>
      <c r="W5500">
        <v>0.198382</v>
      </c>
      <c r="X5500">
        <v>0.98012410000000005</v>
      </c>
      <c r="Y5500">
        <v>0.1494357</v>
      </c>
      <c r="Z5500">
        <v>5.4070629999999995E-4</v>
      </c>
      <c r="AA5500">
        <v>0.98877130000000002</v>
      </c>
      <c r="AB5500">
        <v>18</v>
      </c>
      <c r="AC5500">
        <v>0.60699999999997001</v>
      </c>
      <c r="AD5500">
        <v>-0.1329977</v>
      </c>
      <c r="AE5500">
        <v>-0.15695999999999799</v>
      </c>
      <c r="AF5500">
        <v>0.10452539847799899</v>
      </c>
      <c r="AG5500">
        <v>-0.1329977</v>
      </c>
      <c r="AH5500">
        <v>0.59079214085309195</v>
      </c>
      <c r="AI5500">
        <v>102.49891897380201</v>
      </c>
      <c r="AJ5500">
        <v>79.966819722662706</v>
      </c>
      <c r="AK5500">
        <v>0.61453177365052003</v>
      </c>
      <c r="AL5500">
        <v>78.557640695505796</v>
      </c>
      <c r="AM5500">
        <v>90.064849413358502</v>
      </c>
      <c r="AN5500">
        <v>0.99999994998002095</v>
      </c>
    </row>
    <row r="5501" spans="1:40" x14ac:dyDescent="0.25">
      <c r="A5501" t="str">
        <f>"20190312172817990"</f>
        <v>20190312172817990</v>
      </c>
      <c r="B5501" t="str">
        <f>"1552382897984920"</f>
        <v>1552382897984920</v>
      </c>
      <c r="C5501" t="s">
        <v>40</v>
      </c>
      <c r="D5501">
        <v>3.485751</v>
      </c>
      <c r="E5501">
        <v>0.58233080000000004</v>
      </c>
      <c r="F5501" t="s">
        <v>44</v>
      </c>
      <c r="G5501">
        <v>-274.06909999999999</v>
      </c>
      <c r="H5501">
        <v>0.95955069999999998</v>
      </c>
      <c r="I5501">
        <v>-62.283709999999999</v>
      </c>
      <c r="J5501">
        <v>-274.72620000000001</v>
      </c>
      <c r="K5501">
        <v>1.110549</v>
      </c>
      <c r="L5501">
        <v>-62.1029699999999</v>
      </c>
      <c r="M5501">
        <v>0.99704890000000002</v>
      </c>
      <c r="N5501">
        <v>0</v>
      </c>
      <c r="O5501">
        <v>-7.6444070000000003E-2</v>
      </c>
      <c r="P5501">
        <v>0.97863979999999995</v>
      </c>
      <c r="Q5501">
        <v>0.19114249999999999</v>
      </c>
      <c r="R5501">
        <v>-7.5690809999999997E-2</v>
      </c>
      <c r="S5501">
        <v>3.1274109999999999</v>
      </c>
      <c r="T5501">
        <v>-0.62048049999999999</v>
      </c>
      <c r="U5501">
        <v>-0.76855469999999904</v>
      </c>
      <c r="V5501" s="1">
        <v>8.528586E-5</v>
      </c>
      <c r="W5501">
        <v>0.1980787</v>
      </c>
      <c r="X5501">
        <v>0.98018609999999995</v>
      </c>
      <c r="Y5501">
        <v>0.16214110000000001</v>
      </c>
      <c r="Z5501">
        <v>-9.4045049999999996E-4</v>
      </c>
      <c r="AA5501">
        <v>0.98676710000000001</v>
      </c>
      <c r="AB5501">
        <v>18</v>
      </c>
      <c r="AC5501">
        <v>0.65710000000001401</v>
      </c>
      <c r="AD5501">
        <v>-0.1509983</v>
      </c>
      <c r="AE5501">
        <v>-0.18074000000000701</v>
      </c>
      <c r="AF5501">
        <v>0.12389618782845201</v>
      </c>
      <c r="AG5501">
        <v>-0.1509983</v>
      </c>
      <c r="AH5501">
        <v>0.63768879550022595</v>
      </c>
      <c r="AI5501">
        <v>103.08565671048</v>
      </c>
      <c r="AJ5501">
        <v>79.005017912626101</v>
      </c>
      <c r="AK5501">
        <v>0.66693159459411</v>
      </c>
      <c r="AL5501">
        <v>78.575370744521507</v>
      </c>
      <c r="AM5501">
        <v>89.995014701985795</v>
      </c>
      <c r="AN5501">
        <v>0.99999998465028805</v>
      </c>
    </row>
    <row r="5502" spans="1:40" x14ac:dyDescent="0.25">
      <c r="A5502" t="str">
        <f>"20190312172818003"</f>
        <v>20190312172818003</v>
      </c>
      <c r="B5502" t="str">
        <f>"1552382897994679"</f>
        <v>1552382897994679</v>
      </c>
      <c r="C5502" t="s">
        <v>40</v>
      </c>
      <c r="D5502">
        <v>3.4309590000000001</v>
      </c>
      <c r="E5502">
        <v>0.58339359999999996</v>
      </c>
      <c r="F5502" t="s">
        <v>44</v>
      </c>
      <c r="G5502">
        <v>-273.9101</v>
      </c>
      <c r="H5502">
        <v>0.94646379999999997</v>
      </c>
      <c r="I5502">
        <v>-62.307259999999999</v>
      </c>
      <c r="J5502">
        <v>-274.62029999999999</v>
      </c>
      <c r="K5502">
        <v>1.110535</v>
      </c>
      <c r="L5502">
        <v>-62.109470000000002</v>
      </c>
      <c r="M5502">
        <v>0.99715739999999997</v>
      </c>
      <c r="N5502">
        <v>0</v>
      </c>
      <c r="O5502">
        <v>-7.5025980000000006E-2</v>
      </c>
      <c r="P5502">
        <v>0.97868980000000005</v>
      </c>
      <c r="Q5502">
        <v>0.1910162</v>
      </c>
      <c r="R5502">
        <v>-7.5361330000000004E-2</v>
      </c>
      <c r="S5502">
        <v>3.1278079999999999</v>
      </c>
      <c r="T5502">
        <v>-0.6290249</v>
      </c>
      <c r="U5502">
        <v>-0.78274540000000004</v>
      </c>
      <c r="V5502">
        <v>1.148165E-3</v>
      </c>
      <c r="W5502">
        <v>0.1978413</v>
      </c>
      <c r="X5502">
        <v>0.98023340000000003</v>
      </c>
      <c r="Y5502">
        <v>0.1675614</v>
      </c>
      <c r="Z5502">
        <v>-1.7611370000000001E-3</v>
      </c>
      <c r="AA5502">
        <v>0.98585999999999996</v>
      </c>
      <c r="AB5502">
        <v>18</v>
      </c>
      <c r="AC5502">
        <v>0.71019999999998595</v>
      </c>
      <c r="AD5502">
        <v>-0.164071199999999</v>
      </c>
      <c r="AE5502">
        <v>-0.19779000000000399</v>
      </c>
      <c r="AF5502">
        <v>0.13715462445475901</v>
      </c>
      <c r="AG5502">
        <v>-0.164071199999999</v>
      </c>
      <c r="AH5502">
        <v>0.68891652970916595</v>
      </c>
      <c r="AI5502">
        <v>103.147117416797</v>
      </c>
      <c r="AJ5502">
        <v>78.7403514857929</v>
      </c>
      <c r="AK5502">
        <v>0.72134370073168697</v>
      </c>
      <c r="AL5502">
        <v>78.589247654394498</v>
      </c>
      <c r="AM5502">
        <v>89.932888454321898</v>
      </c>
      <c r="AN5502">
        <v>1.0000000083720499</v>
      </c>
    </row>
    <row r="5503" spans="1:40" x14ac:dyDescent="0.25">
      <c r="A5503" t="str">
        <f>"20190312172818016"</f>
        <v>20190312172818016</v>
      </c>
      <c r="B5503" t="str">
        <f>"1552382898005416"</f>
        <v>1552382898005416</v>
      </c>
      <c r="C5503" t="s">
        <v>40</v>
      </c>
      <c r="D5503">
        <v>3.450367</v>
      </c>
      <c r="E5503">
        <v>0.58438829999999997</v>
      </c>
      <c r="F5503" t="s">
        <v>44</v>
      </c>
      <c r="G5503">
        <v>-273.90129999999999</v>
      </c>
      <c r="H5503">
        <v>0.9648331</v>
      </c>
      <c r="I5503">
        <v>-62.291089999999997</v>
      </c>
      <c r="J5503">
        <v>-274.51119999999997</v>
      </c>
      <c r="K5503">
        <v>1.1105179999999999</v>
      </c>
      <c r="L5503">
        <v>-62.116030000000002</v>
      </c>
      <c r="M5503">
        <v>0.99726649999999994</v>
      </c>
      <c r="N5503">
        <v>0</v>
      </c>
      <c r="O5503">
        <v>-7.357226E-2</v>
      </c>
      <c r="P5503">
        <v>0.97878299999999996</v>
      </c>
      <c r="Q5503">
        <v>0.1907247</v>
      </c>
      <c r="R5503">
        <v>-7.4888830000000003E-2</v>
      </c>
      <c r="S5503">
        <v>3.1282649999999999</v>
      </c>
      <c r="T5503">
        <v>-0.63407969999999902</v>
      </c>
      <c r="U5503">
        <v>-0.78988649999999905</v>
      </c>
      <c r="V5503">
        <v>2.1007930000000001E-3</v>
      </c>
      <c r="W5503">
        <v>0.1974341</v>
      </c>
      <c r="X5503">
        <v>0.98031389999999996</v>
      </c>
      <c r="Y5503">
        <v>0.17096149999999999</v>
      </c>
      <c r="Z5503">
        <v>-2.39602E-3</v>
      </c>
      <c r="AA5503">
        <v>0.98527480000000001</v>
      </c>
      <c r="AB5503">
        <v>18</v>
      </c>
      <c r="AC5503">
        <v>0.60989999999998101</v>
      </c>
      <c r="AD5503">
        <v>-0.14568490000000001</v>
      </c>
      <c r="AE5503">
        <v>-0.17506000000000099</v>
      </c>
      <c r="AF5503">
        <v>0.123217442128657</v>
      </c>
      <c r="AG5503">
        <v>-0.14568490000000001</v>
      </c>
      <c r="AH5503">
        <v>0.59002410944690298</v>
      </c>
      <c r="AI5503">
        <v>103.58775419664499</v>
      </c>
      <c r="AJ5503">
        <v>78.204188684059801</v>
      </c>
      <c r="AK5503">
        <v>0.62010892419102404</v>
      </c>
      <c r="AL5503">
        <v>78.613047739803704</v>
      </c>
      <c r="AM5503">
        <v>89.877216483133097</v>
      </c>
      <c r="AN5503">
        <v>0.99999998985362404</v>
      </c>
    </row>
    <row r="5504" spans="1:40" x14ac:dyDescent="0.25">
      <c r="A5504" t="str">
        <f>"20190312172818026"</f>
        <v>20190312172818026</v>
      </c>
      <c r="B5504" t="str">
        <f>"1552382898015176"</f>
        <v>1552382898015176</v>
      </c>
      <c r="C5504" t="s">
        <v>40</v>
      </c>
      <c r="D5504">
        <v>3.4171130000000001</v>
      </c>
      <c r="E5504">
        <v>0.58512629999999999</v>
      </c>
      <c r="F5504" t="s">
        <v>44</v>
      </c>
      <c r="G5504">
        <v>-273.74079999999998</v>
      </c>
      <c r="H5504">
        <v>0.95324609999999999</v>
      </c>
      <c r="I5504">
        <v>-62.312159999999999</v>
      </c>
      <c r="J5504">
        <v>-274.4212</v>
      </c>
      <c r="K5504">
        <v>1.1105069999999999</v>
      </c>
      <c r="L5504">
        <v>-62.121400000000001</v>
      </c>
      <c r="M5504">
        <v>0.99735469999999904</v>
      </c>
      <c r="N5504">
        <v>0</v>
      </c>
      <c r="O5504">
        <v>-7.2376060000000006E-2</v>
      </c>
      <c r="P5504">
        <v>0.97879400000000005</v>
      </c>
      <c r="Q5504">
        <v>0.1906207</v>
      </c>
      <c r="R5504">
        <v>-7.5011629999999996E-2</v>
      </c>
      <c r="S5504">
        <v>3.1286010000000002</v>
      </c>
      <c r="T5504">
        <v>-0.63879280000000005</v>
      </c>
      <c r="U5504">
        <v>-0.79562379999999999</v>
      </c>
      <c r="V5504">
        <v>3.3994239999999998E-3</v>
      </c>
      <c r="W5504">
        <v>0.19723640000000001</v>
      </c>
      <c r="X5504">
        <v>0.9803501</v>
      </c>
      <c r="Y5504">
        <v>0.1737127</v>
      </c>
      <c r="Z5504">
        <v>-2.9232540000000001E-3</v>
      </c>
      <c r="AA5504">
        <v>0.98479209999999995</v>
      </c>
      <c r="AB5504">
        <v>19</v>
      </c>
      <c r="AC5504">
        <v>0.68040000000001999</v>
      </c>
      <c r="AD5504">
        <v>-0.15726089999999901</v>
      </c>
      <c r="AE5504">
        <v>-0.19075999999999699</v>
      </c>
      <c r="AF5504">
        <v>0.134359355964315</v>
      </c>
      <c r="AG5504">
        <v>-0.15726089999999901</v>
      </c>
      <c r="AH5504">
        <v>0.65974636459750602</v>
      </c>
      <c r="AI5504">
        <v>103.146950350843</v>
      </c>
      <c r="AJ5504">
        <v>78.488955740068803</v>
      </c>
      <c r="AK5504">
        <v>0.69141065424505899</v>
      </c>
      <c r="AL5504">
        <v>78.6246028568968</v>
      </c>
      <c r="AM5504">
        <v>89.801324172524104</v>
      </c>
      <c r="AN5504">
        <v>1.00000003606925</v>
      </c>
    </row>
    <row r="5505" spans="1:40" x14ac:dyDescent="0.25">
      <c r="A5505" t="str">
        <f>"20190312172818037"</f>
        <v>20190312172818037</v>
      </c>
      <c r="B5505" t="str">
        <f>"1552382898034698"</f>
        <v>1552382898034698</v>
      </c>
      <c r="C5505" t="s">
        <v>40</v>
      </c>
      <c r="D5505">
        <v>3.4769239999999999</v>
      </c>
      <c r="E5505">
        <v>0.58565259999999997</v>
      </c>
      <c r="F5505" t="s">
        <v>44</v>
      </c>
      <c r="G5505">
        <v>-273.7328</v>
      </c>
      <c r="H5505">
        <v>0.96941219999999995</v>
      </c>
      <c r="I5505">
        <v>-62.297919999999998</v>
      </c>
      <c r="J5505">
        <v>-274.33569999999997</v>
      </c>
      <c r="K5505">
        <v>1.11049</v>
      </c>
      <c r="L5505">
        <v>-62.126309999999997</v>
      </c>
      <c r="M5505">
        <v>0.99743660000000001</v>
      </c>
      <c r="N5505">
        <v>0</v>
      </c>
      <c r="O5505">
        <v>-7.1249019999999996E-2</v>
      </c>
      <c r="P5505">
        <v>0.97882539999999996</v>
      </c>
      <c r="Q5505">
        <v>0.19044920000000001</v>
      </c>
      <c r="R5505">
        <v>-7.5033550000000004E-2</v>
      </c>
      <c r="S5505">
        <v>3.1285099999999999</v>
      </c>
      <c r="T5505">
        <v>-0.64136700000000002</v>
      </c>
      <c r="U5505">
        <v>-0.8013306</v>
      </c>
      <c r="V5505">
        <v>4.5287950000000004E-3</v>
      </c>
      <c r="W5505">
        <v>0.1969737</v>
      </c>
      <c r="X5505">
        <v>0.98039829999999994</v>
      </c>
      <c r="Y5505">
        <v>0.17642849999999999</v>
      </c>
      <c r="Z5505">
        <v>-3.429461E-3</v>
      </c>
      <c r="AA5505">
        <v>0.9843075</v>
      </c>
      <c r="AB5505">
        <v>19</v>
      </c>
      <c r="AC5505">
        <v>0.60289999999997601</v>
      </c>
      <c r="AD5505">
        <v>-0.1410778</v>
      </c>
      <c r="AE5505">
        <v>-0.17161000000000101</v>
      </c>
      <c r="AF5505">
        <v>0.122035576031372</v>
      </c>
      <c r="AG5505">
        <v>-0.1410778</v>
      </c>
      <c r="AH5505">
        <v>0.58401379649830698</v>
      </c>
      <c r="AI5505">
        <v>103.303724515624</v>
      </c>
      <c r="AJ5505">
        <v>78.197298596426705</v>
      </c>
      <c r="AK5505">
        <v>0.61308053465308698</v>
      </c>
      <c r="AL5505">
        <v>78.639955084462798</v>
      </c>
      <c r="AM5505">
        <v>89.735333084344205</v>
      </c>
      <c r="AN5505">
        <v>0.99999998755936503</v>
      </c>
    </row>
    <row r="5506" spans="1:40" x14ac:dyDescent="0.25">
      <c r="A5506" t="str">
        <f>"20190312172818047"</f>
        <v>20190312172818047</v>
      </c>
      <c r="B5506" t="str">
        <f>"1552382898045432"</f>
        <v>1552382898045432</v>
      </c>
      <c r="C5506" t="s">
        <v>40</v>
      </c>
      <c r="D5506">
        <v>3.457503</v>
      </c>
      <c r="E5506">
        <v>0.58542629999999996</v>
      </c>
      <c r="F5506" t="s">
        <v>44</v>
      </c>
      <c r="G5506">
        <v>-273.57369999999997</v>
      </c>
      <c r="H5506">
        <v>0.95260630000000002</v>
      </c>
      <c r="I5506">
        <v>-62.322180000000003</v>
      </c>
      <c r="J5506">
        <v>-274.25040000000001</v>
      </c>
      <c r="K5506">
        <v>1.110474</v>
      </c>
      <c r="L5506">
        <v>-62.131230000000002</v>
      </c>
      <c r="M5506">
        <v>0.99751690000000004</v>
      </c>
      <c r="N5506">
        <v>0</v>
      </c>
      <c r="O5506">
        <v>-7.0124130000000007E-2</v>
      </c>
      <c r="P5506">
        <v>0.97882089999999999</v>
      </c>
      <c r="Q5506">
        <v>0.1905501</v>
      </c>
      <c r="R5506">
        <v>-7.4836819999999998E-2</v>
      </c>
      <c r="S5506">
        <v>3.1293950000000001</v>
      </c>
      <c r="T5506">
        <v>-0.64836559999999999</v>
      </c>
      <c r="U5506">
        <v>-0.80435179999999995</v>
      </c>
      <c r="V5506">
        <v>5.4392470000000004E-3</v>
      </c>
      <c r="W5506">
        <v>0.19698209999999999</v>
      </c>
      <c r="X5506">
        <v>0.98039200000000004</v>
      </c>
      <c r="Y5506">
        <v>0.17826110000000001</v>
      </c>
      <c r="Z5506">
        <v>-3.8754739999999998E-3</v>
      </c>
      <c r="AA5506">
        <v>0.98397559999999995</v>
      </c>
      <c r="AB5506">
        <v>19</v>
      </c>
      <c r="AC5506">
        <v>0.67670000000003905</v>
      </c>
      <c r="AD5506">
        <v>-0.157867699999999</v>
      </c>
      <c r="AE5506">
        <v>-0.19095000000000001</v>
      </c>
      <c r="AF5506">
        <v>0.13616190572918099</v>
      </c>
      <c r="AG5506">
        <v>-0.157867699999999</v>
      </c>
      <c r="AH5506">
        <v>0.65538618645080005</v>
      </c>
      <c r="AI5506">
        <v>103.27022128778999</v>
      </c>
      <c r="AJ5506">
        <v>78.263292357944195</v>
      </c>
      <c r="AK5506">
        <v>0.68774510442867998</v>
      </c>
      <c r="AL5506">
        <v>78.639464364424896</v>
      </c>
      <c r="AM5506">
        <v>89.682124395821305</v>
      </c>
      <c r="AN5506">
        <v>1.00000000339616</v>
      </c>
    </row>
    <row r="5507" spans="1:40" x14ac:dyDescent="0.25">
      <c r="A5507" t="str">
        <f>"20190312172818058"</f>
        <v>20190312172818058</v>
      </c>
      <c r="B5507" t="str">
        <f>"1552382898055192"</f>
        <v>1552382898055192</v>
      </c>
      <c r="C5507" t="s">
        <v>40</v>
      </c>
      <c r="D5507">
        <v>3.4867590000000002</v>
      </c>
      <c r="E5507">
        <v>0.58510740000000006</v>
      </c>
      <c r="F5507" t="s">
        <v>44</v>
      </c>
      <c r="G5507">
        <v>-273.56610000000001</v>
      </c>
      <c r="H5507">
        <v>0.96807370000000004</v>
      </c>
      <c r="I5507">
        <v>-62.306429999999999</v>
      </c>
      <c r="J5507">
        <v>-274.16489999999999</v>
      </c>
      <c r="K5507">
        <v>1.1104590000000001</v>
      </c>
      <c r="L5507">
        <v>-62.135959999999997</v>
      </c>
      <c r="M5507">
        <v>0.99759540000000002</v>
      </c>
      <c r="N5507">
        <v>0</v>
      </c>
      <c r="O5507">
        <v>-6.9008890000000003E-2</v>
      </c>
      <c r="P5507">
        <v>0.9788289</v>
      </c>
      <c r="Q5507">
        <v>0.19067290000000001</v>
      </c>
      <c r="R5507">
        <v>-7.4417929999999993E-2</v>
      </c>
      <c r="S5507">
        <v>3.1304020000000001</v>
      </c>
      <c r="T5507">
        <v>-0.65142849999999997</v>
      </c>
      <c r="U5507">
        <v>-0.80148319999999995</v>
      </c>
      <c r="V5507">
        <v>6.1182099999999998E-3</v>
      </c>
      <c r="W5507">
        <v>0.1970083</v>
      </c>
      <c r="X5507">
        <v>0.98038270000000005</v>
      </c>
      <c r="Y5507">
        <v>0.17839379999999999</v>
      </c>
      <c r="Z5507">
        <v>-4.1306930000000004E-3</v>
      </c>
      <c r="AA5507">
        <v>0.98395049999999995</v>
      </c>
      <c r="AB5507">
        <v>19</v>
      </c>
      <c r="AC5507">
        <v>0.59879999999998201</v>
      </c>
      <c r="AD5507">
        <v>-0.14238529999999999</v>
      </c>
      <c r="AE5507">
        <v>-0.170470000000008</v>
      </c>
      <c r="AF5507">
        <v>0.122341451539728</v>
      </c>
      <c r="AG5507">
        <v>-0.14238529999999999</v>
      </c>
      <c r="AH5507">
        <v>0.57886074899482698</v>
      </c>
      <c r="AI5507">
        <v>103.53142177729499</v>
      </c>
      <c r="AJ5507">
        <v>78.066231499776407</v>
      </c>
      <c r="AK5507">
        <v>0.60853986816624395</v>
      </c>
      <c r="AL5507">
        <v>78.6379328337526</v>
      </c>
      <c r="AM5507">
        <v>89.642442629262703</v>
      </c>
      <c r="AN5507">
        <v>0.99999997061089096</v>
      </c>
    </row>
    <row r="5508" spans="1:40" x14ac:dyDescent="0.25">
      <c r="A5508" t="str">
        <f>"20190312172818067"</f>
        <v>20190312172818067</v>
      </c>
      <c r="B5508" t="str">
        <f>"1552382898064952"</f>
        <v>1552382898064952</v>
      </c>
      <c r="C5508" t="s">
        <v>40</v>
      </c>
      <c r="D5508">
        <v>3.407403</v>
      </c>
      <c r="E5508">
        <v>0.58534629999999999</v>
      </c>
      <c r="F5508" t="s">
        <v>44</v>
      </c>
      <c r="G5508">
        <v>-273.40539999999999</v>
      </c>
      <c r="H5508">
        <v>0.95197549999999997</v>
      </c>
      <c r="I5508">
        <v>-62.329529999999998</v>
      </c>
      <c r="J5508">
        <v>-274.07819999999998</v>
      </c>
      <c r="K5508">
        <v>1.110436</v>
      </c>
      <c r="L5508">
        <v>-62.140779999999999</v>
      </c>
      <c r="M5508">
        <v>0.99767360000000005</v>
      </c>
      <c r="N5508">
        <v>0</v>
      </c>
      <c r="O5508">
        <v>-6.7876850000000002E-2</v>
      </c>
      <c r="P5508">
        <v>0.97888180000000002</v>
      </c>
      <c r="Q5508">
        <v>0.1906168</v>
      </c>
      <c r="R5508">
        <v>-7.3861700000000002E-2</v>
      </c>
      <c r="S5508">
        <v>3.1316220000000001</v>
      </c>
      <c r="T5508">
        <v>-0.65366440000000003</v>
      </c>
      <c r="U5508">
        <v>-0.79742429999999997</v>
      </c>
      <c r="V5508">
        <v>6.6739679999999997E-3</v>
      </c>
      <c r="W5508">
        <v>0.1968531</v>
      </c>
      <c r="X5508">
        <v>0.98041029999999996</v>
      </c>
      <c r="Y5508">
        <v>0.1781875</v>
      </c>
      <c r="Z5508">
        <v>-4.3513909999999996E-3</v>
      </c>
      <c r="AA5508">
        <v>0.9839869</v>
      </c>
      <c r="AB5508">
        <v>19</v>
      </c>
      <c r="AC5508">
        <v>0.67279999999999496</v>
      </c>
      <c r="AD5508">
        <v>-0.1584605</v>
      </c>
      <c r="AE5508">
        <v>-0.188749999999998</v>
      </c>
      <c r="AF5508">
        <v>0.13566951474981201</v>
      </c>
      <c r="AG5508">
        <v>-0.1584605</v>
      </c>
      <c r="AH5508">
        <v>0.65060352077834904</v>
      </c>
      <c r="AI5508">
        <v>103.41067075925</v>
      </c>
      <c r="AJ5508">
        <v>78.220982724222097</v>
      </c>
      <c r="AK5508">
        <v>0.68322828435441996</v>
      </c>
      <c r="AL5508">
        <v>78.647003326414307</v>
      </c>
      <c r="AM5508">
        <v>89.609975239383402</v>
      </c>
      <c r="AN5508">
        <v>1.0000000205872801</v>
      </c>
    </row>
    <row r="5509" spans="1:40" x14ac:dyDescent="0.25">
      <c r="A5509" t="str">
        <f>"20190312172818077"</f>
        <v>20190312172818077</v>
      </c>
      <c r="B5509" t="str">
        <f>"1552382898074712"</f>
        <v>1552382898074712</v>
      </c>
      <c r="C5509" t="s">
        <v>40</v>
      </c>
      <c r="D5509">
        <v>3.4376370000000001</v>
      </c>
      <c r="E5509">
        <v>0.58562199999999998</v>
      </c>
      <c r="F5509" t="s">
        <v>44</v>
      </c>
      <c r="G5509">
        <v>-273.24290000000002</v>
      </c>
      <c r="H5509">
        <v>0.93605660000000002</v>
      </c>
      <c r="I5509">
        <v>-62.353470000000002</v>
      </c>
      <c r="J5509">
        <v>-273.99770000000001</v>
      </c>
      <c r="K5509">
        <v>1.1104179999999999</v>
      </c>
      <c r="L5509">
        <v>-62.145049999999998</v>
      </c>
      <c r="M5509">
        <v>0.99774419999999997</v>
      </c>
      <c r="N5509">
        <v>0</v>
      </c>
      <c r="O5509">
        <v>-6.6839949999999995E-2</v>
      </c>
      <c r="P5509">
        <v>0.97893319999999995</v>
      </c>
      <c r="Q5509">
        <v>0.1905241</v>
      </c>
      <c r="R5509">
        <v>-7.3418109999999995E-2</v>
      </c>
      <c r="S5509">
        <v>3.1319270000000001</v>
      </c>
      <c r="T5509">
        <v>-0.65388459999999904</v>
      </c>
      <c r="U5509">
        <v>-0.79727169999999903</v>
      </c>
      <c r="V5509">
        <v>7.2489959999999997E-3</v>
      </c>
      <c r="W5509">
        <v>0.19666510000000001</v>
      </c>
      <c r="X5509">
        <v>0.98044390000000003</v>
      </c>
      <c r="Y5509">
        <v>0.17910129999999999</v>
      </c>
      <c r="Z5509">
        <v>-4.6550649999999999E-3</v>
      </c>
      <c r="AA5509">
        <v>0.98381960000000002</v>
      </c>
      <c r="AB5509">
        <v>19</v>
      </c>
      <c r="AC5509">
        <v>0.75479999999998804</v>
      </c>
      <c r="AD5509">
        <v>-0.1743614</v>
      </c>
      <c r="AE5509">
        <v>-0.208419999999996</v>
      </c>
      <c r="AF5509">
        <v>0.15006173198127601</v>
      </c>
      <c r="AG5509">
        <v>-0.1743614</v>
      </c>
      <c r="AH5509">
        <v>0.73080799188299395</v>
      </c>
      <c r="AI5509">
        <v>103.154543293778</v>
      </c>
      <c r="AJ5509">
        <v>78.396359239685296</v>
      </c>
      <c r="AK5509">
        <v>0.76615973674895999</v>
      </c>
      <c r="AL5509">
        <v>78.657989175036803</v>
      </c>
      <c r="AM5509">
        <v>89.576386462692895</v>
      </c>
      <c r="AN5509">
        <v>0.999999975274113</v>
      </c>
    </row>
    <row r="5510" spans="1:40" x14ac:dyDescent="0.25">
      <c r="A5510" t="str">
        <f>"20190312172818088"</f>
        <v>20190312172818088</v>
      </c>
      <c r="B5510" t="str">
        <f>"1552382898085448"</f>
        <v>1552382898085448</v>
      </c>
      <c r="C5510" t="s">
        <v>40</v>
      </c>
      <c r="D5510">
        <v>3.5277620000000001</v>
      </c>
      <c r="E5510">
        <v>0.58597779999999999</v>
      </c>
      <c r="F5510" t="s">
        <v>44</v>
      </c>
      <c r="G5510">
        <v>-273.23610000000002</v>
      </c>
      <c r="H5510">
        <v>0.95117070000000004</v>
      </c>
      <c r="I5510">
        <v>-62.339100000000002</v>
      </c>
      <c r="J5510">
        <v>-273.9076</v>
      </c>
      <c r="K5510">
        <v>1.110398</v>
      </c>
      <c r="L5510">
        <v>-62.149900000000002</v>
      </c>
      <c r="M5510">
        <v>0.99782210000000005</v>
      </c>
      <c r="N5510">
        <v>0</v>
      </c>
      <c r="O5510">
        <v>-6.5677630000000001E-2</v>
      </c>
      <c r="P5510">
        <v>0.97895379999999999</v>
      </c>
      <c r="Q5510">
        <v>0.19071009999999999</v>
      </c>
      <c r="R5510">
        <v>-7.2657269999999996E-2</v>
      </c>
      <c r="S5510">
        <v>3.1322329999999998</v>
      </c>
      <c r="T5510">
        <v>-0.65494919999999901</v>
      </c>
      <c r="U5510">
        <v>-0.79769899999999905</v>
      </c>
      <c r="V5510">
        <v>7.6321289999999996E-3</v>
      </c>
      <c r="W5510">
        <v>0.19674320000000001</v>
      </c>
      <c r="X5510">
        <v>0.9804254</v>
      </c>
      <c r="Y5510">
        <v>0.18029529999999999</v>
      </c>
      <c r="Z5510">
        <v>-5.0190390000000003E-3</v>
      </c>
      <c r="AA5510">
        <v>0.98359969999999997</v>
      </c>
      <c r="AB5510">
        <v>19</v>
      </c>
      <c r="AC5510">
        <v>0.67149999999998</v>
      </c>
      <c r="AD5510">
        <v>-0.15922729999999899</v>
      </c>
      <c r="AE5510">
        <v>-0.18919999999999901</v>
      </c>
      <c r="AF5510">
        <v>0.137524297018155</v>
      </c>
      <c r="AG5510">
        <v>-0.15922729999999899</v>
      </c>
      <c r="AH5510">
        <v>0.64868562316710798</v>
      </c>
      <c r="AI5510">
        <v>103.502474206147</v>
      </c>
      <c r="AJ5510">
        <v>78.030264703094403</v>
      </c>
      <c r="AK5510">
        <v>0.681952566561141</v>
      </c>
      <c r="AL5510">
        <v>78.653426073300395</v>
      </c>
      <c r="AM5510">
        <v>89.553989576670205</v>
      </c>
      <c r="AN5510">
        <v>1.00000005055223</v>
      </c>
    </row>
    <row r="5511" spans="1:40" x14ac:dyDescent="0.25">
      <c r="A5511" t="str">
        <f>"20190312172818099"</f>
        <v>20190312172818099</v>
      </c>
      <c r="B5511" t="str">
        <f>"1552382898095208"</f>
        <v>1552382898095208</v>
      </c>
      <c r="C5511" t="s">
        <v>40</v>
      </c>
      <c r="D5511">
        <v>3.4191229999999999</v>
      </c>
      <c r="E5511">
        <v>0.58615930000000005</v>
      </c>
      <c r="F5511" t="s">
        <v>44</v>
      </c>
      <c r="G5511">
        <v>-273.072</v>
      </c>
      <c r="H5511">
        <v>0.9356833</v>
      </c>
      <c r="I5511">
        <v>-62.3628199999999</v>
      </c>
      <c r="J5511">
        <v>-273.81779999999998</v>
      </c>
      <c r="K5511">
        <v>1.1103809999999901</v>
      </c>
      <c r="L5511">
        <v>-62.154510000000002</v>
      </c>
      <c r="M5511">
        <v>0.99789749999999999</v>
      </c>
      <c r="N5511">
        <v>0</v>
      </c>
      <c r="O5511">
        <v>-6.4533670000000001E-2</v>
      </c>
      <c r="P5511">
        <v>0.97900279999999995</v>
      </c>
      <c r="Q5511">
        <v>0.19071469999999999</v>
      </c>
      <c r="R5511">
        <v>-7.1985999999999994E-2</v>
      </c>
      <c r="S5511">
        <v>3.1329959999999999</v>
      </c>
      <c r="T5511">
        <v>-0.65529910000000002</v>
      </c>
      <c r="U5511">
        <v>-0.79751590000000006</v>
      </c>
      <c r="V5511">
        <v>8.0849119999999997E-3</v>
      </c>
      <c r="W5511">
        <v>0.19663800000000001</v>
      </c>
      <c r="X5511">
        <v>0.98044279999999995</v>
      </c>
      <c r="Y5511">
        <v>0.1812667</v>
      </c>
      <c r="Z5511">
        <v>-5.3513190000000002E-3</v>
      </c>
      <c r="AA5511">
        <v>0.98341940000000005</v>
      </c>
      <c r="AB5511">
        <v>19</v>
      </c>
      <c r="AC5511">
        <v>0.74579999999997404</v>
      </c>
      <c r="AD5511">
        <v>-0.17469769999999901</v>
      </c>
      <c r="AE5511">
        <v>-0.208309999999997</v>
      </c>
      <c r="AF5511">
        <v>0.15200867737117399</v>
      </c>
      <c r="AG5511">
        <v>-0.17469769999999901</v>
      </c>
      <c r="AH5511">
        <v>0.72099122366124502</v>
      </c>
      <c r="AI5511">
        <v>103.337980556236</v>
      </c>
      <c r="AJ5511">
        <v>78.094522006579496</v>
      </c>
      <c r="AK5511">
        <v>0.757267633652702</v>
      </c>
      <c r="AL5511">
        <v>78.659572827331004</v>
      </c>
      <c r="AM5511">
        <v>89.527539152797601</v>
      </c>
      <c r="AN5511">
        <v>0.99999997645894301</v>
      </c>
    </row>
    <row r="5512" spans="1:40" x14ac:dyDescent="0.25">
      <c r="A5512" t="str">
        <f>"20190312172818110"</f>
        <v>20190312172818110</v>
      </c>
      <c r="B5512" t="str">
        <f>"1552382898104971"</f>
        <v>1552382898104971</v>
      </c>
      <c r="C5512" t="s">
        <v>40</v>
      </c>
      <c r="D5512">
        <v>3.4202159999999999</v>
      </c>
      <c r="E5512">
        <v>0.58682559999999995</v>
      </c>
      <c r="F5512" t="s">
        <v>44</v>
      </c>
      <c r="G5512">
        <v>-273.06439999999998</v>
      </c>
      <c r="H5512">
        <v>0.95276179999999999</v>
      </c>
      <c r="I5512">
        <v>-62.3461199999999</v>
      </c>
      <c r="J5512">
        <v>-273.71980000000002</v>
      </c>
      <c r="K5512">
        <v>1.11036</v>
      </c>
      <c r="L5512">
        <v>-62.159480000000002</v>
      </c>
      <c r="M5512">
        <v>0.99797800000000003</v>
      </c>
      <c r="N5512">
        <v>0</v>
      </c>
      <c r="O5512">
        <v>-6.3288259999999999E-2</v>
      </c>
      <c r="P5512">
        <v>0.97901959999999999</v>
      </c>
      <c r="Q5512">
        <v>0.1909228</v>
      </c>
      <c r="R5512">
        <v>-7.1201550000000002E-2</v>
      </c>
      <c r="S5512">
        <v>3.1335139999999999</v>
      </c>
      <c r="T5512">
        <v>-0.65572699999999995</v>
      </c>
      <c r="U5512">
        <v>-0.79598999999999998</v>
      </c>
      <c r="V5512">
        <v>8.5260900000000001E-3</v>
      </c>
      <c r="W5512">
        <v>0.1967264</v>
      </c>
      <c r="X5512">
        <v>0.9804214</v>
      </c>
      <c r="Y5512">
        <v>0.1819626</v>
      </c>
      <c r="Z5512">
        <v>-5.6776329999999996E-3</v>
      </c>
      <c r="AA5512">
        <v>0.98328910000000003</v>
      </c>
      <c r="AB5512">
        <v>19</v>
      </c>
      <c r="AC5512">
        <v>0.65540000000004195</v>
      </c>
      <c r="AD5512">
        <v>-0.15759819999999999</v>
      </c>
      <c r="AE5512">
        <v>-0.18663999999998901</v>
      </c>
      <c r="AF5512">
        <v>0.137435364549301</v>
      </c>
      <c r="AG5512">
        <v>-0.15759819999999999</v>
      </c>
      <c r="AH5512">
        <v>0.63209147808087895</v>
      </c>
      <c r="AI5512">
        <v>103.692532102014</v>
      </c>
      <c r="AJ5512">
        <v>77.733133954523893</v>
      </c>
      <c r="AK5512">
        <v>0.66578172754627996</v>
      </c>
      <c r="AL5512">
        <v>78.654407778131997</v>
      </c>
      <c r="AM5512">
        <v>89.501748270122604</v>
      </c>
      <c r="AN5512">
        <v>1.0000000461228</v>
      </c>
    </row>
    <row r="5513" spans="1:40" x14ac:dyDescent="0.25">
      <c r="A5513" t="str">
        <f>"20190312172818121"</f>
        <v>20190312172818121</v>
      </c>
      <c r="B5513" t="str">
        <f>"1552382898114728"</f>
        <v>1552382898114728</v>
      </c>
      <c r="C5513" t="s">
        <v>40</v>
      </c>
      <c r="D5513">
        <v>3.4677570000000002</v>
      </c>
      <c r="E5513">
        <v>0.58749229999999997</v>
      </c>
      <c r="F5513" t="s">
        <v>44</v>
      </c>
      <c r="G5513">
        <v>-272.89870000000002</v>
      </c>
      <c r="H5513">
        <v>0.9381602</v>
      </c>
      <c r="I5513">
        <v>-62.368510000000001</v>
      </c>
      <c r="J5513">
        <v>-273.62299999999999</v>
      </c>
      <c r="K5513">
        <v>1.110344</v>
      </c>
      <c r="L5513">
        <v>-62.164279999999998</v>
      </c>
      <c r="M5513">
        <v>0.99805520000000003</v>
      </c>
      <c r="N5513">
        <v>0</v>
      </c>
      <c r="O5513">
        <v>-6.2070149999999998E-2</v>
      </c>
      <c r="P5513">
        <v>0.97906660000000001</v>
      </c>
      <c r="Q5513">
        <v>0.19110160000000001</v>
      </c>
      <c r="R5513">
        <v>-7.0062330000000006E-2</v>
      </c>
      <c r="S5513">
        <v>3.134369</v>
      </c>
      <c r="T5513">
        <v>-0.65717040000000004</v>
      </c>
      <c r="U5513">
        <v>-0.7983093</v>
      </c>
      <c r="V5513">
        <v>8.5844379999999998E-3</v>
      </c>
      <c r="W5513">
        <v>0.19678570000000001</v>
      </c>
      <c r="X5513">
        <v>0.98040890000000003</v>
      </c>
      <c r="Y5513">
        <v>0.18371219999999999</v>
      </c>
      <c r="Z5513">
        <v>-6.1141329999999999E-3</v>
      </c>
      <c r="AA5513">
        <v>0.98296110000000003</v>
      </c>
      <c r="AB5513">
        <v>19</v>
      </c>
      <c r="AC5513">
        <v>0.72429999999997097</v>
      </c>
      <c r="AD5513">
        <v>-0.1721838</v>
      </c>
      <c r="AE5513">
        <v>-0.204229999999995</v>
      </c>
      <c r="AF5513">
        <v>0.150974419868459</v>
      </c>
      <c r="AG5513">
        <v>-0.1721838</v>
      </c>
      <c r="AH5513">
        <v>0.69898766306857096</v>
      </c>
      <c r="AI5513">
        <v>103.538020661118</v>
      </c>
      <c r="AJ5513">
        <v>77.811908380390093</v>
      </c>
      <c r="AK5513">
        <v>0.73554353342213596</v>
      </c>
      <c r="AL5513">
        <v>78.650941382708496</v>
      </c>
      <c r="AM5513">
        <v>89.498332279684504</v>
      </c>
      <c r="AN5513">
        <v>0.99999995774973705</v>
      </c>
    </row>
    <row r="5514" spans="1:40" x14ac:dyDescent="0.25">
      <c r="A5514" t="str">
        <f>"20190312172818132"</f>
        <v>20190312172818132</v>
      </c>
      <c r="B5514" t="str">
        <f>"1552382898125464"</f>
        <v>1552382898125464</v>
      </c>
      <c r="C5514" t="s">
        <v>40</v>
      </c>
      <c r="D5514">
        <v>3.4614280000000002</v>
      </c>
      <c r="E5514">
        <v>0.58787690000000004</v>
      </c>
      <c r="F5514" t="s">
        <v>44</v>
      </c>
      <c r="G5514">
        <v>-272.89049999999997</v>
      </c>
      <c r="H5514">
        <v>0.95659039999999995</v>
      </c>
      <c r="I5514">
        <v>-62.351030000000002</v>
      </c>
      <c r="J5514">
        <v>-273.53059999999999</v>
      </c>
      <c r="K5514">
        <v>1.110331</v>
      </c>
      <c r="L5514">
        <v>-62.168759999999999</v>
      </c>
      <c r="M5514">
        <v>0.99812719999999999</v>
      </c>
      <c r="N5514">
        <v>0</v>
      </c>
      <c r="O5514">
        <v>-6.0911890000000003E-2</v>
      </c>
      <c r="P5514">
        <v>0.97913410000000001</v>
      </c>
      <c r="Q5514">
        <v>0.19106999999999999</v>
      </c>
      <c r="R5514">
        <v>-6.9200120000000004E-2</v>
      </c>
      <c r="S5514">
        <v>3.1353149999999999</v>
      </c>
      <c r="T5514">
        <v>-0.65790209999999905</v>
      </c>
      <c r="U5514">
        <v>-0.79977419999999899</v>
      </c>
      <c r="V5514">
        <v>8.8592140000000007E-3</v>
      </c>
      <c r="W5514">
        <v>0.1966417</v>
      </c>
      <c r="X5514">
        <v>0.98043539999999996</v>
      </c>
      <c r="Y5514">
        <v>0.18515570000000001</v>
      </c>
      <c r="Z5514">
        <v>-6.5017950000000003E-3</v>
      </c>
      <c r="AA5514">
        <v>0.98268770000000005</v>
      </c>
      <c r="AB5514">
        <v>19</v>
      </c>
      <c r="AC5514">
        <v>0.64010000000001799</v>
      </c>
      <c r="AD5514">
        <v>-0.15374059999999901</v>
      </c>
      <c r="AE5514">
        <v>-0.18227000000000201</v>
      </c>
      <c r="AF5514">
        <v>0.13570015455845799</v>
      </c>
      <c r="AG5514">
        <v>-0.15374059999999901</v>
      </c>
      <c r="AH5514">
        <v>0.61708580417284498</v>
      </c>
      <c r="AI5514">
        <v>103.67577358701701</v>
      </c>
      <c r="AJ5514">
        <v>77.597782177762994</v>
      </c>
      <c r="AK5514">
        <v>0.65026578700343496</v>
      </c>
      <c r="AL5514">
        <v>78.659356982125004</v>
      </c>
      <c r="AM5514">
        <v>89.482289442281996</v>
      </c>
      <c r="AN5514">
        <v>1.0000000087123699</v>
      </c>
    </row>
    <row r="5515" spans="1:40" x14ac:dyDescent="0.25">
      <c r="A5515" t="str">
        <f>"20190312172818144"</f>
        <v>20190312172818144</v>
      </c>
      <c r="B5515" t="str">
        <f>"1552382898135223"</f>
        <v>1552382898135223</v>
      </c>
      <c r="C5515" t="s">
        <v>40</v>
      </c>
      <c r="D5515">
        <v>3.4749880000000002</v>
      </c>
      <c r="E5515">
        <v>0.5882056</v>
      </c>
      <c r="F5515" t="s">
        <v>44</v>
      </c>
      <c r="G5515">
        <v>-272.72399999999999</v>
      </c>
      <c r="H5515">
        <v>0.94082259999999995</v>
      </c>
      <c r="I5515">
        <v>-62.37473</v>
      </c>
      <c r="J5515">
        <v>-273.4323</v>
      </c>
      <c r="K5515">
        <v>1.1103130000000001</v>
      </c>
      <c r="L5515">
        <v>-62.173430000000003</v>
      </c>
      <c r="M5515">
        <v>0.99820169999999997</v>
      </c>
      <c r="N5515">
        <v>0</v>
      </c>
      <c r="O5515">
        <v>-5.9689739999999998E-2</v>
      </c>
      <c r="P5515">
        <v>0.97921320000000001</v>
      </c>
      <c r="Q5515">
        <v>0.19108729999999999</v>
      </c>
      <c r="R5515">
        <v>-6.8026959999999997E-2</v>
      </c>
      <c r="S5515">
        <v>3.136047</v>
      </c>
      <c r="T5515">
        <v>-0.65928149999999996</v>
      </c>
      <c r="U5515">
        <v>-0.79986569999999901</v>
      </c>
      <c r="V5515">
        <v>8.8852269999999903E-3</v>
      </c>
      <c r="W5515">
        <v>0.19654079999999999</v>
      </c>
      <c r="X5515">
        <v>0.98045539999999998</v>
      </c>
      <c r="Y5515">
        <v>0.18627279999999999</v>
      </c>
      <c r="Z5515">
        <v>-6.8770749999999999E-3</v>
      </c>
      <c r="AA5515">
        <v>0.98247399999999996</v>
      </c>
      <c r="AB5515">
        <v>19</v>
      </c>
      <c r="AC5515">
        <v>0.70830000000000803</v>
      </c>
      <c r="AD5515">
        <v>-0.16949039999999899</v>
      </c>
      <c r="AE5515">
        <v>-0.201300000000003</v>
      </c>
      <c r="AF5515">
        <v>0.15067901605963099</v>
      </c>
      <c r="AG5515">
        <v>-0.16949039999999899</v>
      </c>
      <c r="AH5515">
        <v>0.68287329240304995</v>
      </c>
      <c r="AI5515">
        <v>103.62414666244</v>
      </c>
      <c r="AJ5515">
        <v>77.556821422507099</v>
      </c>
      <c r="AK5515">
        <v>0.71954645093297498</v>
      </c>
      <c r="AL5515">
        <v>78.665253229384803</v>
      </c>
      <c r="AM5515">
        <v>89.480779981036505</v>
      </c>
      <c r="AN5515">
        <v>1.00000001235632</v>
      </c>
    </row>
    <row r="5516" spans="1:40" x14ac:dyDescent="0.25">
      <c r="A5516" t="str">
        <f>"20190312172818154"</f>
        <v>20190312172818154</v>
      </c>
      <c r="B5516" t="str">
        <f>"1552382898144984"</f>
        <v>1552382898144984</v>
      </c>
      <c r="C5516" t="s">
        <v>40</v>
      </c>
      <c r="D5516">
        <v>3.4400040000000001</v>
      </c>
      <c r="E5516">
        <v>0.58898600000000001</v>
      </c>
      <c r="F5516" t="s">
        <v>44</v>
      </c>
      <c r="G5516">
        <v>-272.71570000000003</v>
      </c>
      <c r="H5516">
        <v>0.95954629999999996</v>
      </c>
      <c r="I5516">
        <v>-62.35604</v>
      </c>
      <c r="J5516">
        <v>-273.33210000000003</v>
      </c>
      <c r="K5516">
        <v>1.110295</v>
      </c>
      <c r="L5516">
        <v>-62.178069999999998</v>
      </c>
      <c r="M5516">
        <v>0.99827529999999998</v>
      </c>
      <c r="N5516">
        <v>0</v>
      </c>
      <c r="O5516">
        <v>-5.8456750000000002E-2</v>
      </c>
      <c r="P5516">
        <v>0.97925980000000001</v>
      </c>
      <c r="Q5516">
        <v>0.1911976</v>
      </c>
      <c r="R5516">
        <v>-6.703974E-2</v>
      </c>
      <c r="S5516">
        <v>3.137054</v>
      </c>
      <c r="T5516">
        <v>-0.66024269999999996</v>
      </c>
      <c r="U5516">
        <v>-0.7983093</v>
      </c>
      <c r="V5516">
        <v>9.1093049999999998E-3</v>
      </c>
      <c r="W5516">
        <v>0.19653509999999999</v>
      </c>
      <c r="X5516">
        <v>0.98045439999999995</v>
      </c>
      <c r="Y5516">
        <v>0.18690770000000001</v>
      </c>
      <c r="Z5516">
        <v>-7.2017749999999997E-3</v>
      </c>
      <c r="AA5516">
        <v>0.98235110000000003</v>
      </c>
      <c r="AB5516">
        <v>19</v>
      </c>
      <c r="AC5516">
        <v>0.61639999999999795</v>
      </c>
      <c r="AD5516">
        <v>-0.15074870000000001</v>
      </c>
      <c r="AE5516">
        <v>-0.17797000000000099</v>
      </c>
      <c r="AF5516">
        <v>0.134222141829478</v>
      </c>
      <c r="AG5516">
        <v>-0.15074870000000001</v>
      </c>
      <c r="AH5516">
        <v>0.593010209589382</v>
      </c>
      <c r="AI5516">
        <v>103.92497834551</v>
      </c>
      <c r="AJ5516">
        <v>77.246541290550098</v>
      </c>
      <c r="AK5516">
        <v>0.62641987722790604</v>
      </c>
      <c r="AL5516">
        <v>78.665585339723805</v>
      </c>
      <c r="AM5516">
        <v>89.467685887366301</v>
      </c>
      <c r="AN5516">
        <v>0.99999992772447299</v>
      </c>
    </row>
    <row r="5517" spans="1:40" x14ac:dyDescent="0.25">
      <c r="A5517" t="str">
        <f>"20190312172818166"</f>
        <v>20190312172818166</v>
      </c>
      <c r="B5517" t="str">
        <f>"1552382898154744"</f>
        <v>1552382898154744</v>
      </c>
      <c r="C5517" t="s">
        <v>40</v>
      </c>
      <c r="D5517">
        <v>3.4206810000000001</v>
      </c>
      <c r="E5517">
        <v>0.58969439999999995</v>
      </c>
      <c r="F5517" t="s">
        <v>44</v>
      </c>
      <c r="G5517">
        <v>-272.54759999999999</v>
      </c>
      <c r="H5517">
        <v>0.94445539999999994</v>
      </c>
      <c r="I5517">
        <v>-62.378309999999999</v>
      </c>
      <c r="J5517">
        <v>-273.23239999999998</v>
      </c>
      <c r="K5517">
        <v>1.110279</v>
      </c>
      <c r="L5517">
        <v>-62.182619999999901</v>
      </c>
      <c r="M5517">
        <v>0.99834670000000003</v>
      </c>
      <c r="N5517">
        <v>0</v>
      </c>
      <c r="O5517">
        <v>-5.7237000000000003E-2</v>
      </c>
      <c r="P5517">
        <v>0.97931299999999999</v>
      </c>
      <c r="Q5517">
        <v>0.19137380000000001</v>
      </c>
      <c r="R5517">
        <v>-6.5747139999999996E-2</v>
      </c>
      <c r="S5517">
        <v>3.138306</v>
      </c>
      <c r="T5517">
        <v>-0.66354169999999901</v>
      </c>
      <c r="U5517">
        <v>-0.80075069999999904</v>
      </c>
      <c r="V5517">
        <v>9.0149749999999997E-3</v>
      </c>
      <c r="W5517">
        <v>0.19659689999999999</v>
      </c>
      <c r="X5517">
        <v>0.98044290000000001</v>
      </c>
      <c r="Y5517">
        <v>0.18864629999999999</v>
      </c>
      <c r="Z5517">
        <v>-7.6626519999999998E-3</v>
      </c>
      <c r="AA5517">
        <v>0.98201519999999998</v>
      </c>
      <c r="AB5517">
        <v>19</v>
      </c>
      <c r="AC5517">
        <v>0.68479999999999497</v>
      </c>
      <c r="AD5517">
        <v>-0.16582359999999899</v>
      </c>
      <c r="AE5517">
        <v>-0.195690000000006</v>
      </c>
      <c r="AF5517">
        <v>0.14814205080189799</v>
      </c>
      <c r="AG5517">
        <v>-0.16582359999999899</v>
      </c>
      <c r="AH5517">
        <v>0.659146279065559</v>
      </c>
      <c r="AI5517">
        <v>103.790652553919</v>
      </c>
      <c r="AJ5517">
        <v>77.333339959904805</v>
      </c>
      <c r="AK5517">
        <v>0.69564168272087001</v>
      </c>
      <c r="AL5517">
        <v>78.661974209649898</v>
      </c>
      <c r="AM5517">
        <v>89.473191692880704</v>
      </c>
      <c r="AN5517">
        <v>0.999999945512133</v>
      </c>
    </row>
    <row r="5518" spans="1:40" x14ac:dyDescent="0.25">
      <c r="A5518" t="str">
        <f>"20190312172818178"</f>
        <v>20190312172818178</v>
      </c>
      <c r="B5518" t="str">
        <f>"1552382898175240"</f>
        <v>1552382898175240</v>
      </c>
      <c r="C5518" t="s">
        <v>40</v>
      </c>
      <c r="D5518">
        <v>3.4238469999999999</v>
      </c>
      <c r="E5518">
        <v>0.59088169999999995</v>
      </c>
      <c r="F5518" t="s">
        <v>44</v>
      </c>
      <c r="G5518">
        <v>-272.53919999999999</v>
      </c>
      <c r="H5518">
        <v>0.96317169999999996</v>
      </c>
      <c r="I5518">
        <v>-62.359690000000001</v>
      </c>
      <c r="J5518">
        <v>-273.13499999999999</v>
      </c>
      <c r="K5518">
        <v>1.1102650000000001</v>
      </c>
      <c r="L5518">
        <v>-62.186889999999998</v>
      </c>
      <c r="M5518">
        <v>0.99841400000000002</v>
      </c>
      <c r="N5518">
        <v>0</v>
      </c>
      <c r="O5518">
        <v>-5.6059829999999998E-2</v>
      </c>
      <c r="P5518">
        <v>0.9794079</v>
      </c>
      <c r="Q5518">
        <v>0.1912961</v>
      </c>
      <c r="R5518">
        <v>-6.4546060000000002E-2</v>
      </c>
      <c r="S5518">
        <v>3.1397710000000001</v>
      </c>
      <c r="T5518">
        <v>-0.66639780000000004</v>
      </c>
      <c r="U5518">
        <v>-0.80163569999999995</v>
      </c>
      <c r="V5518">
        <v>8.9683100000000002E-3</v>
      </c>
      <c r="W5518">
        <v>0.19641359999999999</v>
      </c>
      <c r="X5518">
        <v>0.98048009999999997</v>
      </c>
      <c r="Y5518">
        <v>0.18988250000000001</v>
      </c>
      <c r="Z5518">
        <v>-8.0612410000000002E-3</v>
      </c>
      <c r="AA5518">
        <v>0.98177369999999997</v>
      </c>
      <c r="AB5518">
        <v>19</v>
      </c>
      <c r="AC5518">
        <v>0.595799999999997</v>
      </c>
      <c r="AD5518">
        <v>-0.14709330000000001</v>
      </c>
      <c r="AE5518">
        <v>-0.17279999999999501</v>
      </c>
      <c r="AF5518">
        <v>0.13172166372314201</v>
      </c>
      <c r="AG5518">
        <v>-0.14709330000000001</v>
      </c>
      <c r="AH5518">
        <v>0.57237033219976596</v>
      </c>
      <c r="AI5518">
        <v>104.06014969973501</v>
      </c>
      <c r="AJ5518">
        <v>77.039963800236706</v>
      </c>
      <c r="AK5518">
        <v>0.60547075303548104</v>
      </c>
      <c r="AL5518">
        <v>78.672685756538002</v>
      </c>
      <c r="AM5518">
        <v>89.475938386947007</v>
      </c>
      <c r="AN5518">
        <v>0.999999979672612</v>
      </c>
    </row>
    <row r="5519" spans="1:40" x14ac:dyDescent="0.25">
      <c r="A5519" t="str">
        <f>"20190312172818191"</f>
        <v>20190312172818191</v>
      </c>
      <c r="B5519" t="str">
        <f>"1552382898185000"</f>
        <v>1552382898185000</v>
      </c>
      <c r="C5519" t="s">
        <v>40</v>
      </c>
      <c r="D5519">
        <v>3.424058</v>
      </c>
      <c r="E5519">
        <v>0.59138119999999905</v>
      </c>
      <c r="F5519" t="s">
        <v>44</v>
      </c>
      <c r="G5519">
        <v>-272.37060000000002</v>
      </c>
      <c r="H5519">
        <v>0.94671519999999998</v>
      </c>
      <c r="I5519">
        <v>-62.383360000000003</v>
      </c>
      <c r="J5519">
        <v>-273.0179</v>
      </c>
      <c r="K5519">
        <v>1.1102479999999999</v>
      </c>
      <c r="L5519">
        <v>-62.191929999999999</v>
      </c>
      <c r="M5519">
        <v>0.99849259999999995</v>
      </c>
      <c r="N5519">
        <v>0</v>
      </c>
      <c r="O5519">
        <v>-5.465304E-2</v>
      </c>
      <c r="P5519">
        <v>0.97949129999999995</v>
      </c>
      <c r="Q5519">
        <v>0.19132170000000001</v>
      </c>
      <c r="R5519">
        <v>-6.318986E-2</v>
      </c>
      <c r="S5519">
        <v>3.141235</v>
      </c>
      <c r="T5519">
        <v>-0.67235109999999998</v>
      </c>
      <c r="U5519">
        <v>-0.80654910000000002</v>
      </c>
      <c r="V5519">
        <v>8.9929899999999993E-3</v>
      </c>
      <c r="W5519">
        <v>0.19631589999999999</v>
      </c>
      <c r="X5519">
        <v>0.98049940000000002</v>
      </c>
      <c r="Y5519">
        <v>0.19246550000000001</v>
      </c>
      <c r="Z5519">
        <v>-8.6876509999999994E-3</v>
      </c>
      <c r="AA5519">
        <v>0.98126530000000001</v>
      </c>
      <c r="AB5519">
        <v>20</v>
      </c>
      <c r="AC5519">
        <v>0.64729999999997201</v>
      </c>
      <c r="AD5519">
        <v>-0.16353279999999901</v>
      </c>
      <c r="AE5519">
        <v>-0.191429999999989</v>
      </c>
      <c r="AF5519">
        <v>0.14713097893558799</v>
      </c>
      <c r="AG5519">
        <v>-0.16353279999999901</v>
      </c>
      <c r="AH5519">
        <v>0.62038284421305701</v>
      </c>
      <c r="AI5519">
        <v>104.38543383598</v>
      </c>
      <c r="AJ5519">
        <v>76.658137371112502</v>
      </c>
      <c r="AK5519">
        <v>0.65822896854534396</v>
      </c>
      <c r="AL5519">
        <v>78.678394246352198</v>
      </c>
      <c r="AM5519">
        <v>89.474506639620301</v>
      </c>
      <c r="AN5519">
        <v>0.99999993993115299</v>
      </c>
    </row>
    <row r="5520" spans="1:40" x14ac:dyDescent="0.25">
      <c r="A5520" t="str">
        <f>"20190312172818204"</f>
        <v>20190312172818204</v>
      </c>
      <c r="B5520" t="str">
        <f>"1552382898194759"</f>
        <v>1552382898194759</v>
      </c>
      <c r="C5520" t="s">
        <v>40</v>
      </c>
      <c r="D5520">
        <v>3.4042750000000002</v>
      </c>
      <c r="E5520">
        <v>0.5918158</v>
      </c>
      <c r="F5520" t="s">
        <v>44</v>
      </c>
      <c r="G5520">
        <v>-272.19869999999997</v>
      </c>
      <c r="H5520">
        <v>0.93437539999999997</v>
      </c>
      <c r="I5520">
        <v>-62.402090000000001</v>
      </c>
      <c r="J5520">
        <v>-272.90359999999998</v>
      </c>
      <c r="K5520">
        <v>1.110231</v>
      </c>
      <c r="L5520">
        <v>-62.196689999999997</v>
      </c>
      <c r="M5520">
        <v>0.99856650000000002</v>
      </c>
      <c r="N5520">
        <v>0</v>
      </c>
      <c r="O5520">
        <v>-5.3295740000000001E-2</v>
      </c>
      <c r="P5520">
        <v>0.97959379999999996</v>
      </c>
      <c r="Q5520">
        <v>0.19123680000000001</v>
      </c>
      <c r="R5520">
        <v>-6.1844929999999999E-2</v>
      </c>
      <c r="S5520">
        <v>3.142639</v>
      </c>
      <c r="T5520">
        <v>-0.674786</v>
      </c>
      <c r="U5520">
        <v>-0.80575559999999902</v>
      </c>
      <c r="V5520">
        <v>8.9797049999999993E-3</v>
      </c>
      <c r="W5520">
        <v>0.19611709999999999</v>
      </c>
      <c r="X5520">
        <v>0.98053939999999995</v>
      </c>
      <c r="Y5520">
        <v>0.1933928</v>
      </c>
      <c r="Z5520">
        <v>-9.0943650000000001E-3</v>
      </c>
      <c r="AA5520">
        <v>0.98107929999999999</v>
      </c>
      <c r="AB5520">
        <v>20</v>
      </c>
      <c r="AC5520">
        <v>0.70490000000000896</v>
      </c>
      <c r="AD5520">
        <v>-0.175855599999999</v>
      </c>
      <c r="AE5520">
        <v>-0.205399999999997</v>
      </c>
      <c r="AF5520">
        <v>0.158449612823962</v>
      </c>
      <c r="AG5520">
        <v>-0.175855599999999</v>
      </c>
      <c r="AH5520">
        <v>0.67606138966027296</v>
      </c>
      <c r="AI5520">
        <v>104.21164236637399</v>
      </c>
      <c r="AJ5520">
        <v>76.809572083501607</v>
      </c>
      <c r="AK5520">
        <v>0.71630333968564097</v>
      </c>
      <c r="AL5520">
        <v>78.690011532347498</v>
      </c>
      <c r="AM5520">
        <v>89.475304291463402</v>
      </c>
      <c r="AN5520">
        <v>1.0000000334833199</v>
      </c>
    </row>
    <row r="5521" spans="1:40" x14ac:dyDescent="0.25">
      <c r="A5521" t="str">
        <f>"20190312172818224"</f>
        <v>20190312172818224</v>
      </c>
      <c r="B5521" t="str">
        <f>"1552382898215255"</f>
        <v>1552382898215255</v>
      </c>
      <c r="C5521" t="s">
        <v>40</v>
      </c>
      <c r="D5521">
        <v>3.4017179999999998</v>
      </c>
      <c r="E5521">
        <v>0.59262159999999997</v>
      </c>
      <c r="F5521" t="s">
        <v>44</v>
      </c>
      <c r="G5521">
        <v>-272.1891</v>
      </c>
      <c r="H5521">
        <v>0.95640440000000004</v>
      </c>
      <c r="I5521">
        <v>-62.379669999999997</v>
      </c>
      <c r="J5521">
        <v>-272.73239999999998</v>
      </c>
      <c r="K5521">
        <v>1.1102110000000001</v>
      </c>
      <c r="L5521">
        <v>-62.20355</v>
      </c>
      <c r="M5521">
        <v>0.99867260000000002</v>
      </c>
      <c r="N5521">
        <v>0</v>
      </c>
      <c r="O5521">
        <v>-5.128622E-2</v>
      </c>
      <c r="P5521">
        <v>0.97976510000000006</v>
      </c>
      <c r="Q5521">
        <v>0.19105349999999999</v>
      </c>
      <c r="R5521">
        <v>-5.966138E-2</v>
      </c>
      <c r="S5521">
        <v>3.1438600000000001</v>
      </c>
      <c r="T5521">
        <v>-0.67704609999999998</v>
      </c>
      <c r="U5521">
        <v>-0.80462650000000002</v>
      </c>
      <c r="V5521">
        <v>8.7666089999999999E-3</v>
      </c>
      <c r="W5521">
        <v>0.1957749</v>
      </c>
      <c r="X5521">
        <v>0.98060970000000003</v>
      </c>
      <c r="Y5521">
        <v>0.19485079999999999</v>
      </c>
      <c r="Z5521">
        <v>-9.6934940000000004E-3</v>
      </c>
      <c r="AA5521">
        <v>0.98078500000000002</v>
      </c>
      <c r="AB5521">
        <v>20</v>
      </c>
      <c r="AC5521">
        <v>0.54329999999998702</v>
      </c>
      <c r="AD5521">
        <v>-0.15380659999999999</v>
      </c>
      <c r="AE5521">
        <v>-0.176119999999997</v>
      </c>
      <c r="AF5521">
        <v>0.138014862644847</v>
      </c>
      <c r="AG5521">
        <v>-0.15380659999999999</v>
      </c>
      <c r="AH5521">
        <v>0.51431781515003105</v>
      </c>
      <c r="AI5521">
        <v>106.110368278217</v>
      </c>
      <c r="AJ5521">
        <v>74.978817308415799</v>
      </c>
      <c r="AK5521">
        <v>0.55428096439904695</v>
      </c>
      <c r="AL5521">
        <v>78.710005636692699</v>
      </c>
      <c r="AM5521">
        <v>89.487791814102806</v>
      </c>
      <c r="AN5521">
        <v>1.0000000243187199</v>
      </c>
    </row>
    <row r="5522" spans="1:40" x14ac:dyDescent="0.25">
      <c r="A5522" t="str">
        <f>"20190312172818235"</f>
        <v>20190312172818235</v>
      </c>
      <c r="B5522" t="str">
        <f>"1552382898225016"</f>
        <v>1552382898225016</v>
      </c>
      <c r="C5522" t="s">
        <v>40</v>
      </c>
      <c r="D5522">
        <v>3.382336</v>
      </c>
      <c r="E5522">
        <v>0.59298719999999905</v>
      </c>
      <c r="F5522" t="s">
        <v>44</v>
      </c>
      <c r="G5522">
        <v>-272.01139999999998</v>
      </c>
      <c r="H5522">
        <v>0.95426339999999998</v>
      </c>
      <c r="I5522">
        <v>-62.38805</v>
      </c>
      <c r="J5522">
        <v>-272.6232</v>
      </c>
      <c r="K5522">
        <v>1.110196</v>
      </c>
      <c r="L5522">
        <v>-62.20776</v>
      </c>
      <c r="M5522">
        <v>0.9987374</v>
      </c>
      <c r="N5522">
        <v>0</v>
      </c>
      <c r="O5522">
        <v>-5.0017760000000001E-2</v>
      </c>
      <c r="P5522">
        <v>0.97983810000000005</v>
      </c>
      <c r="Q5522">
        <v>0.19105510000000001</v>
      </c>
      <c r="R5522">
        <v>-5.8444160000000002E-2</v>
      </c>
      <c r="S5522">
        <v>3.1456599999999999</v>
      </c>
      <c r="T5522">
        <v>-0.68050149999999998</v>
      </c>
      <c r="U5522">
        <v>-0.80450440000000001</v>
      </c>
      <c r="V5522">
        <v>8.7942269999999999E-3</v>
      </c>
      <c r="W5522">
        <v>0.1956823</v>
      </c>
      <c r="X5522">
        <v>0.9806279</v>
      </c>
      <c r="Y5522">
        <v>0.19584789999999999</v>
      </c>
      <c r="Z5522">
        <v>-1.0107659999999999E-2</v>
      </c>
      <c r="AA5522">
        <v>0.98058219999999996</v>
      </c>
      <c r="AB5522">
        <v>20</v>
      </c>
      <c r="AC5522">
        <v>0.611800000000016</v>
      </c>
      <c r="AD5522">
        <v>-0.15593259999999901</v>
      </c>
      <c r="AE5522">
        <v>-0.18028999999999901</v>
      </c>
      <c r="AF5522">
        <v>0.14103345224785199</v>
      </c>
      <c r="AG5522">
        <v>-0.15593259999999901</v>
      </c>
      <c r="AH5522">
        <v>0.58508124865356403</v>
      </c>
      <c r="AI5522">
        <v>104.52555183921299</v>
      </c>
      <c r="AJ5522">
        <v>76.447431664056893</v>
      </c>
      <c r="AK5522">
        <v>0.62171173217313602</v>
      </c>
      <c r="AL5522">
        <v>78.715415473100407</v>
      </c>
      <c r="AM5522">
        <v>89.4861877945835</v>
      </c>
      <c r="AN5522">
        <v>0.99999998961011305</v>
      </c>
    </row>
    <row r="5523" spans="1:40" x14ac:dyDescent="0.25">
      <c r="A5523" t="str">
        <f>"20190312172818246"</f>
        <v>20190312172818246</v>
      </c>
      <c r="B5523" t="str">
        <f>"1552382898234776"</f>
        <v>1552382898234776</v>
      </c>
      <c r="C5523" t="s">
        <v>40</v>
      </c>
      <c r="D5523">
        <v>3.4565019999999902</v>
      </c>
      <c r="E5523">
        <v>0.5934914</v>
      </c>
      <c r="F5523" t="s">
        <v>44</v>
      </c>
      <c r="G5523">
        <v>-271.83760000000001</v>
      </c>
      <c r="H5523">
        <v>0.94010199999999999</v>
      </c>
      <c r="I5523">
        <v>-62.408470000000001</v>
      </c>
      <c r="J5523">
        <v>-272.51929999999999</v>
      </c>
      <c r="K5523">
        <v>1.1101840000000001</v>
      </c>
      <c r="L5523">
        <v>-62.2117</v>
      </c>
      <c r="M5523">
        <v>0.99879720000000005</v>
      </c>
      <c r="N5523">
        <v>0</v>
      </c>
      <c r="O5523">
        <v>-4.8817739999999998E-2</v>
      </c>
      <c r="P5523">
        <v>0.97992489999999999</v>
      </c>
      <c r="Q5523">
        <v>0.19098219999999999</v>
      </c>
      <c r="R5523">
        <v>-5.721064E-2</v>
      </c>
      <c r="S5523">
        <v>3.1466370000000001</v>
      </c>
      <c r="T5523">
        <v>-0.68140210000000001</v>
      </c>
      <c r="U5523">
        <v>-0.80386349999999995</v>
      </c>
      <c r="V5523">
        <v>8.7380489999999995E-3</v>
      </c>
      <c r="W5523">
        <v>0.19552230000000001</v>
      </c>
      <c r="X5523">
        <v>0.98066030000000004</v>
      </c>
      <c r="Y5523">
        <v>0.1967132</v>
      </c>
      <c r="Z5523">
        <v>-1.0461150000000001E-2</v>
      </c>
      <c r="AA5523">
        <v>0.98040530000000004</v>
      </c>
      <c r="AB5523">
        <v>20</v>
      </c>
      <c r="AC5523">
        <v>0.68169999999997799</v>
      </c>
      <c r="AD5523">
        <v>-0.17008200000000001</v>
      </c>
      <c r="AE5523">
        <v>-0.19676999999999301</v>
      </c>
      <c r="AF5523">
        <v>0.154384844747573</v>
      </c>
      <c r="AG5523">
        <v>-0.17008200000000001</v>
      </c>
      <c r="AH5523">
        <v>0.65297256935827597</v>
      </c>
      <c r="AI5523">
        <v>104.224004969539</v>
      </c>
      <c r="AJ5523">
        <v>76.697617465552995</v>
      </c>
      <c r="AK5523">
        <v>0.69219631850081498</v>
      </c>
      <c r="AL5523">
        <v>78.724763186046999</v>
      </c>
      <c r="AM5523">
        <v>89.489486747080804</v>
      </c>
      <c r="AN5523">
        <v>0.999999973646852</v>
      </c>
    </row>
    <row r="5524" spans="1:40" x14ac:dyDescent="0.25">
      <c r="A5524" t="str">
        <f>"20190312172818258"</f>
        <v>20190312172818258</v>
      </c>
      <c r="B5524" t="str">
        <f>"1552382898255272"</f>
        <v>1552382898255272</v>
      </c>
      <c r="C5524" t="s">
        <v>40</v>
      </c>
      <c r="D5524">
        <v>3.415565</v>
      </c>
      <c r="E5524">
        <v>0.59425589999999995</v>
      </c>
      <c r="F5524" t="s">
        <v>44</v>
      </c>
      <c r="G5524">
        <v>-271.82889999999998</v>
      </c>
      <c r="H5524">
        <v>0.96035979999999999</v>
      </c>
      <c r="I5524">
        <v>-62.388080000000002</v>
      </c>
      <c r="J5524">
        <v>-272.42140000000001</v>
      </c>
      <c r="K5524">
        <v>1.1101749999999999</v>
      </c>
      <c r="L5524">
        <v>-62.215240000000001</v>
      </c>
      <c r="M5524">
        <v>0.99885139999999994</v>
      </c>
      <c r="N5524">
        <v>0</v>
      </c>
      <c r="O5524">
        <v>-4.7701649999999998E-2</v>
      </c>
      <c r="P5524">
        <v>0.97996939999999999</v>
      </c>
      <c r="Q5524">
        <v>0.1910963</v>
      </c>
      <c r="R5524">
        <v>-5.6053150000000003E-2</v>
      </c>
      <c r="S5524">
        <v>3.147675</v>
      </c>
      <c r="T5524">
        <v>-0.68315239999999999</v>
      </c>
      <c r="U5524">
        <v>-0.80404659999999994</v>
      </c>
      <c r="V5524">
        <v>8.6766059999999999E-3</v>
      </c>
      <c r="W5524">
        <v>0.1955616</v>
      </c>
      <c r="X5524">
        <v>0.980653</v>
      </c>
      <c r="Y5524">
        <v>0.19772319999999999</v>
      </c>
      <c r="Z5524">
        <v>-1.0825639999999999E-2</v>
      </c>
      <c r="AA5524">
        <v>0.98019809999999996</v>
      </c>
      <c r="AB5524">
        <v>20</v>
      </c>
      <c r="AC5524">
        <v>0.592500000000029</v>
      </c>
      <c r="AD5524">
        <v>-0.14981519999999901</v>
      </c>
      <c r="AE5524">
        <v>-0.17283999999999999</v>
      </c>
      <c r="AF5524">
        <v>0.136346136241428</v>
      </c>
      <c r="AG5524">
        <v>-0.14981519999999901</v>
      </c>
      <c r="AH5524">
        <v>0.56668118050483196</v>
      </c>
      <c r="AI5524">
        <v>104.415117846846</v>
      </c>
      <c r="AJ5524">
        <v>76.471513257870299</v>
      </c>
      <c r="AK5524">
        <v>0.60179932149958104</v>
      </c>
      <c r="AL5524">
        <v>78.7224670345867</v>
      </c>
      <c r="AM5524">
        <v>89.4930725419607</v>
      </c>
      <c r="AN5524">
        <v>0.99999996464761898</v>
      </c>
    </row>
    <row r="5525" spans="1:40" x14ac:dyDescent="0.25">
      <c r="A5525" t="str">
        <f>"20190312172818268"</f>
        <v>20190312172818268</v>
      </c>
      <c r="B5525" t="str">
        <f>"1552382898265032"</f>
        <v>1552382898265032</v>
      </c>
      <c r="C5525" t="s">
        <v>40</v>
      </c>
      <c r="D5525">
        <v>3.426949</v>
      </c>
      <c r="E5525">
        <v>0.59467109999999901</v>
      </c>
      <c r="F5525" t="s">
        <v>44</v>
      </c>
      <c r="G5525">
        <v>-271.65499999999997</v>
      </c>
      <c r="H5525">
        <v>0.94343440000000001</v>
      </c>
      <c r="I5525">
        <v>-62.411670000000001</v>
      </c>
      <c r="J5525">
        <v>-272.32560000000001</v>
      </c>
      <c r="K5525">
        <v>1.11016</v>
      </c>
      <c r="L5525">
        <v>-62.218690000000002</v>
      </c>
      <c r="M5525">
        <v>0.99890330000000005</v>
      </c>
      <c r="N5525">
        <v>0</v>
      </c>
      <c r="O5525">
        <v>-4.6612269999999997E-2</v>
      </c>
      <c r="P5525">
        <v>0.97998510000000005</v>
      </c>
      <c r="Q5525">
        <v>0.19130430000000001</v>
      </c>
      <c r="R5525">
        <v>-5.5068859999999997E-2</v>
      </c>
      <c r="S5525">
        <v>3.1488339999999999</v>
      </c>
      <c r="T5525">
        <v>-0.68525550000000002</v>
      </c>
      <c r="U5525">
        <v>-0.80636600000000003</v>
      </c>
      <c r="V5525">
        <v>8.7626730000000003E-3</v>
      </c>
      <c r="W5525">
        <v>0.1956967</v>
      </c>
      <c r="X5525">
        <v>0.98062530000000003</v>
      </c>
      <c r="Y5525">
        <v>0.1993067</v>
      </c>
      <c r="Z5525">
        <v>-1.125111E-2</v>
      </c>
      <c r="AA5525">
        <v>0.97987259999999998</v>
      </c>
      <c r="AB5525">
        <v>20</v>
      </c>
      <c r="AC5525">
        <v>0.67060000000003495</v>
      </c>
      <c r="AD5525">
        <v>-0.166725599999999</v>
      </c>
      <c r="AE5525">
        <v>-0.19297999999999099</v>
      </c>
      <c r="AF5525">
        <v>0.15278970263535599</v>
      </c>
      <c r="AG5525">
        <v>-0.166725599999999</v>
      </c>
      <c r="AH5525">
        <v>0.64220590506057595</v>
      </c>
      <c r="AI5525">
        <v>104.174444209806</v>
      </c>
      <c r="AJ5525">
        <v>76.617335903452499</v>
      </c>
      <c r="AK5525">
        <v>0.68086014967938502</v>
      </c>
      <c r="AL5525">
        <v>78.714574048178093</v>
      </c>
      <c r="AM5525">
        <v>89.488029915441203</v>
      </c>
      <c r="AN5525">
        <v>0.99999998091454201</v>
      </c>
    </row>
    <row r="5526" spans="1:40" x14ac:dyDescent="0.25">
      <c r="A5526" t="str">
        <f>"20190312172818278"</f>
        <v>20190312172818278</v>
      </c>
      <c r="B5526" t="str">
        <f>"1552382898274792"</f>
        <v>1552382898274792</v>
      </c>
      <c r="C5526" t="s">
        <v>40</v>
      </c>
      <c r="D5526">
        <v>3.4252180000000001</v>
      </c>
      <c r="E5526">
        <v>0.59497609999999901</v>
      </c>
      <c r="F5526" t="s">
        <v>44</v>
      </c>
      <c r="G5526">
        <v>-271.47980000000001</v>
      </c>
      <c r="H5526">
        <v>0.92607740000000005</v>
      </c>
      <c r="I5526">
        <v>-62.435380000000002</v>
      </c>
      <c r="J5526">
        <v>-272.23090000000002</v>
      </c>
      <c r="K5526">
        <v>1.11015</v>
      </c>
      <c r="L5526">
        <v>-62.221890000000002</v>
      </c>
      <c r="M5526">
        <v>0.99895239999999996</v>
      </c>
      <c r="N5526">
        <v>0</v>
      </c>
      <c r="O5526">
        <v>-4.5551500000000002E-2</v>
      </c>
      <c r="P5526">
        <v>0.98000549999999997</v>
      </c>
      <c r="Q5526">
        <v>0.19145789999999999</v>
      </c>
      <c r="R5526">
        <v>-5.4158560000000001E-2</v>
      </c>
      <c r="S5526">
        <v>3.1498409999999999</v>
      </c>
      <c r="T5526">
        <v>-0.68573509999999904</v>
      </c>
      <c r="U5526">
        <v>-0.80639649999999996</v>
      </c>
      <c r="V5526">
        <v>8.8952069999999901E-3</v>
      </c>
      <c r="W5526">
        <v>0.19578509999999999</v>
      </c>
      <c r="X5526">
        <v>0.98060650000000005</v>
      </c>
      <c r="Y5526">
        <v>0.20023369999999999</v>
      </c>
      <c r="Z5526">
        <v>-1.1577530000000001E-2</v>
      </c>
      <c r="AA5526">
        <v>0.97967979999999999</v>
      </c>
      <c r="AB5526">
        <v>20</v>
      </c>
      <c r="AC5526">
        <v>0.75110000000000798</v>
      </c>
      <c r="AD5526">
        <v>-0.1840726</v>
      </c>
      <c r="AE5526">
        <v>-0.21349000000000001</v>
      </c>
      <c r="AF5526">
        <v>0.16962807974038499</v>
      </c>
      <c r="AG5526">
        <v>-0.1840726</v>
      </c>
      <c r="AH5526">
        <v>0.72003290744458603</v>
      </c>
      <c r="AI5526">
        <v>103.97328793655799</v>
      </c>
      <c r="AJ5526">
        <v>76.7437548745947</v>
      </c>
      <c r="AK5526">
        <v>0.76230164325565697</v>
      </c>
      <c r="AL5526">
        <v>78.709409625610206</v>
      </c>
      <c r="AM5526">
        <v>89.480276909688698</v>
      </c>
      <c r="AN5526">
        <v>1.00000001896591</v>
      </c>
    </row>
    <row r="5527" spans="1:40" x14ac:dyDescent="0.25">
      <c r="A5527" t="str">
        <f>"20190312172818289"</f>
        <v>20190312172818289</v>
      </c>
      <c r="B5527" t="str">
        <f>"1552382898285528"</f>
        <v>1552382898285528</v>
      </c>
      <c r="C5527" t="s">
        <v>40</v>
      </c>
      <c r="D5527">
        <v>3.4698630000000001</v>
      </c>
      <c r="E5527">
        <v>0.59530909999999904</v>
      </c>
      <c r="F5527" t="s">
        <v>44</v>
      </c>
      <c r="G5527">
        <v>-271.47190000000001</v>
      </c>
      <c r="H5527">
        <v>0.94480249999999999</v>
      </c>
      <c r="I5527">
        <v>-62.416110000000003</v>
      </c>
      <c r="J5527">
        <v>-272.13869999999997</v>
      </c>
      <c r="K5527">
        <v>1.110144</v>
      </c>
      <c r="L5527">
        <v>-62.22504</v>
      </c>
      <c r="M5527">
        <v>0.99899919999999998</v>
      </c>
      <c r="N5527">
        <v>0</v>
      </c>
      <c r="O5527">
        <v>-4.4520299999999999E-2</v>
      </c>
      <c r="P5527">
        <v>0.98006789999999999</v>
      </c>
      <c r="Q5527">
        <v>0.1914198</v>
      </c>
      <c r="R5527">
        <v>-5.3158919999999998E-2</v>
      </c>
      <c r="S5527">
        <v>3.1507869999999998</v>
      </c>
      <c r="T5527">
        <v>-0.68648219999999904</v>
      </c>
      <c r="U5527">
        <v>-0.80557250000000002</v>
      </c>
      <c r="V5527">
        <v>8.9077459999999994E-3</v>
      </c>
      <c r="W5527">
        <v>0.1956832</v>
      </c>
      <c r="X5527">
        <v>0.98062669999999996</v>
      </c>
      <c r="Y5527">
        <v>0.20089019999999999</v>
      </c>
      <c r="Z5527">
        <v>-1.187441E-2</v>
      </c>
      <c r="AA5527">
        <v>0.97954180000000002</v>
      </c>
      <c r="AB5527">
        <v>20</v>
      </c>
      <c r="AC5527">
        <v>0.66679999999996598</v>
      </c>
      <c r="AD5527">
        <v>-0.1653415</v>
      </c>
      <c r="AE5527">
        <v>-0.19106999999999599</v>
      </c>
      <c r="AF5527">
        <v>0.152527519937323</v>
      </c>
      <c r="AG5527">
        <v>-0.1653415</v>
      </c>
      <c r="AH5527">
        <v>0.63837305019318502</v>
      </c>
      <c r="AI5527">
        <v>104.139391001734</v>
      </c>
      <c r="AJ5527">
        <v>76.562159430248599</v>
      </c>
      <c r="AK5527">
        <v>0.67684755091041904</v>
      </c>
      <c r="AL5527">
        <v>78.715362937396193</v>
      </c>
      <c r="AM5527">
        <v>89.4795550501306</v>
      </c>
      <c r="AN5527">
        <v>0.99999999372696502</v>
      </c>
    </row>
    <row r="5528" spans="1:40" x14ac:dyDescent="0.25">
      <c r="A5528" t="str">
        <f>"20190312172818300"</f>
        <v>20190312172818300</v>
      </c>
      <c r="B5528" t="str">
        <f>"1552382898295288"</f>
        <v>1552382898295288</v>
      </c>
      <c r="C5528" t="s">
        <v>40</v>
      </c>
      <c r="D5528">
        <v>3.3836930000000001</v>
      </c>
      <c r="E5528">
        <v>0.59555179999999996</v>
      </c>
      <c r="F5528" t="s">
        <v>44</v>
      </c>
      <c r="G5528">
        <v>-271.29590000000002</v>
      </c>
      <c r="H5528">
        <v>0.92624720000000005</v>
      </c>
      <c r="I5528">
        <v>-62.440530000000003</v>
      </c>
      <c r="J5528">
        <v>-272.03750000000002</v>
      </c>
      <c r="K5528">
        <v>1.110133</v>
      </c>
      <c r="L5528">
        <v>-62.228299999999997</v>
      </c>
      <c r="M5528">
        <v>0.99904859999999895</v>
      </c>
      <c r="N5528">
        <v>0</v>
      </c>
      <c r="O5528">
        <v>-4.3406140000000003E-2</v>
      </c>
      <c r="P5528">
        <v>0.98017710000000002</v>
      </c>
      <c r="Q5528">
        <v>0.19122149999999999</v>
      </c>
      <c r="R5528">
        <v>-5.1845479999999999E-2</v>
      </c>
      <c r="S5528">
        <v>3.151764</v>
      </c>
      <c r="T5528">
        <v>-0.68795309999999998</v>
      </c>
      <c r="U5528">
        <v>-0.80487059999999999</v>
      </c>
      <c r="V5528">
        <v>8.68694699999999E-3</v>
      </c>
      <c r="W5528">
        <v>0.19542039999999999</v>
      </c>
      <c r="X5528">
        <v>0.98068109999999997</v>
      </c>
      <c r="Y5528">
        <v>0.20164989999999999</v>
      </c>
      <c r="Z5528">
        <v>-1.221268E-2</v>
      </c>
      <c r="AA5528">
        <v>0.97938150000000002</v>
      </c>
      <c r="AB5528">
        <v>20</v>
      </c>
      <c r="AC5528">
        <v>0.74160000000000503</v>
      </c>
      <c r="AD5528">
        <v>-0.18388579999999999</v>
      </c>
      <c r="AE5528">
        <v>-0.212230000000005</v>
      </c>
      <c r="AF5528">
        <v>0.17016913750451099</v>
      </c>
      <c r="AG5528">
        <v>-0.18388579999999999</v>
      </c>
      <c r="AH5528">
        <v>0.70977722257733999</v>
      </c>
      <c r="AI5528">
        <v>104.14058936446099</v>
      </c>
      <c r="AJ5528">
        <v>76.517807614154606</v>
      </c>
      <c r="AK5528">
        <v>0.75269863058881104</v>
      </c>
      <c r="AL5528">
        <v>78.730716858847103</v>
      </c>
      <c r="AM5528">
        <v>89.492482946315207</v>
      </c>
      <c r="AN5528">
        <v>1.00000000784077</v>
      </c>
    </row>
    <row r="5529" spans="1:40" x14ac:dyDescent="0.25">
      <c r="A5529" t="str">
        <f>"20190312172818311"</f>
        <v>20190312172818311</v>
      </c>
      <c r="B5529" t="str">
        <f>"1552382898305048"</f>
        <v>1552382898305048</v>
      </c>
      <c r="C5529" t="s">
        <v>40</v>
      </c>
      <c r="D5529">
        <v>3.331121</v>
      </c>
      <c r="E5529">
        <v>0.59582419999999903</v>
      </c>
      <c r="F5529" t="s">
        <v>44</v>
      </c>
      <c r="G5529">
        <v>-271.28739999999999</v>
      </c>
      <c r="H5529">
        <v>0.94621540000000004</v>
      </c>
      <c r="I5529">
        <v>-62.419559999999997</v>
      </c>
      <c r="J5529">
        <v>-271.93150000000003</v>
      </c>
      <c r="K5529">
        <v>1.1101219999999901</v>
      </c>
      <c r="L5529">
        <v>-62.231659999999998</v>
      </c>
      <c r="M5529">
        <v>0.9990985</v>
      </c>
      <c r="N5529">
        <v>0</v>
      </c>
      <c r="O5529">
        <v>-4.2243700000000002E-2</v>
      </c>
      <c r="P5529">
        <v>0.98026979999999997</v>
      </c>
      <c r="Q5529">
        <v>0.19108720000000001</v>
      </c>
      <c r="R5529">
        <v>-5.0567960000000002E-2</v>
      </c>
      <c r="S5529">
        <v>3.1527099999999999</v>
      </c>
      <c r="T5529">
        <v>-0.68921069999999995</v>
      </c>
      <c r="U5529">
        <v>-0.80267330000000003</v>
      </c>
      <c r="V5529">
        <v>8.5506469999999998E-3</v>
      </c>
      <c r="W5529">
        <v>0.1952198</v>
      </c>
      <c r="X5529">
        <v>0.98072219999999999</v>
      </c>
      <c r="Y5529">
        <v>0.2020315</v>
      </c>
      <c r="Z5529">
        <v>-1.251911E-2</v>
      </c>
      <c r="AA5529">
        <v>0.97929900000000003</v>
      </c>
      <c r="AB5529">
        <v>20</v>
      </c>
      <c r="AC5529">
        <v>0.64410000000003698</v>
      </c>
      <c r="AD5529">
        <v>-0.16390659999999899</v>
      </c>
      <c r="AE5529">
        <v>-0.18789999999999901</v>
      </c>
      <c r="AF5529">
        <v>0.151482657476985</v>
      </c>
      <c r="AG5529">
        <v>-0.16390659999999899</v>
      </c>
      <c r="AH5529">
        <v>0.614774120860484</v>
      </c>
      <c r="AI5529">
        <v>104.513549212794</v>
      </c>
      <c r="AJ5529">
        <v>76.157848625131606</v>
      </c>
      <c r="AK5529">
        <v>0.65403332386020696</v>
      </c>
      <c r="AL5529">
        <v>78.7424355500833</v>
      </c>
      <c r="AM5529">
        <v>89.500466521581799</v>
      </c>
      <c r="AN5529">
        <v>0.99999995872449798</v>
      </c>
    </row>
    <row r="5530" spans="1:40" x14ac:dyDescent="0.25">
      <c r="A5530" t="str">
        <f>"20190312172818322"</f>
        <v>20190312172818322</v>
      </c>
      <c r="B5530" t="str">
        <f>"1552382898314809"</f>
        <v>1552382898314809</v>
      </c>
      <c r="C5530" t="s">
        <v>40</v>
      </c>
      <c r="D5530">
        <v>3.4044530000000002</v>
      </c>
      <c r="E5530">
        <v>0.59559980000000001</v>
      </c>
      <c r="F5530" t="s">
        <v>44</v>
      </c>
      <c r="G5530">
        <v>-271.10899999999998</v>
      </c>
      <c r="H5530">
        <v>0.93018080000000003</v>
      </c>
      <c r="I5530">
        <v>-62.440669999999997</v>
      </c>
      <c r="J5530">
        <v>-271.827</v>
      </c>
      <c r="K5530">
        <v>1.1101110000000001</v>
      </c>
      <c r="L5530">
        <v>-62.234859999999998</v>
      </c>
      <c r="M5530">
        <v>0.99914599999999998</v>
      </c>
      <c r="N5530">
        <v>0</v>
      </c>
      <c r="O5530">
        <v>-4.1113450000000003E-2</v>
      </c>
      <c r="P5530">
        <v>0.98041610000000001</v>
      </c>
      <c r="Q5530">
        <v>0.19074369999999999</v>
      </c>
      <c r="R5530">
        <v>-4.900036E-2</v>
      </c>
      <c r="S5530">
        <v>3.1535639999999998</v>
      </c>
      <c r="T5530">
        <v>-0.68999299999999997</v>
      </c>
      <c r="U5530">
        <v>-0.80130000000000001</v>
      </c>
      <c r="V5530">
        <v>8.0917929999999999E-3</v>
      </c>
      <c r="W5530">
        <v>0.19481480000000001</v>
      </c>
      <c r="X5530">
        <v>0.98080659999999997</v>
      </c>
      <c r="Y5530">
        <v>0.20262939999999999</v>
      </c>
      <c r="Z5530">
        <v>-1.283401E-2</v>
      </c>
      <c r="AA5530">
        <v>0.97917140000000003</v>
      </c>
      <c r="AB5530">
        <v>21</v>
      </c>
      <c r="AC5530">
        <v>0.71799999999996</v>
      </c>
      <c r="AD5530">
        <v>-0.17993019999999901</v>
      </c>
      <c r="AE5530">
        <v>-0.20580999999999899</v>
      </c>
      <c r="AF5530">
        <v>0.16645650524088401</v>
      </c>
      <c r="AG5530">
        <v>-0.17993019999999901</v>
      </c>
      <c r="AH5530">
        <v>0.68604227914879901</v>
      </c>
      <c r="AI5530">
        <v>104.29896780211099</v>
      </c>
      <c r="AJ5530">
        <v>76.361707967985595</v>
      </c>
      <c r="AK5530">
        <v>0.72851674914769604</v>
      </c>
      <c r="AL5530">
        <v>78.766094330510299</v>
      </c>
      <c r="AM5530">
        <v>89.527312449613007</v>
      </c>
      <c r="AN5530">
        <v>0.999999935008275</v>
      </c>
    </row>
    <row r="5531" spans="1:40" x14ac:dyDescent="0.25">
      <c r="A5531" t="str">
        <f>"20190312172818334"</f>
        <v>20190312172818334</v>
      </c>
      <c r="B5531" t="str">
        <f>"1552382898325543"</f>
        <v>1552382898325543</v>
      </c>
      <c r="C5531" t="s">
        <v>40</v>
      </c>
      <c r="D5531">
        <v>3.4084089999999998</v>
      </c>
      <c r="E5531">
        <v>0.59559980000000001</v>
      </c>
      <c r="F5531" t="s">
        <v>44</v>
      </c>
      <c r="G5531">
        <v>-271.1003</v>
      </c>
      <c r="H5531">
        <v>0.95109319999999997</v>
      </c>
      <c r="I5531">
        <v>-62.41818</v>
      </c>
      <c r="J5531">
        <v>-271.72730000000001</v>
      </c>
      <c r="K5531">
        <v>1.110098</v>
      </c>
      <c r="L5531">
        <v>-62.237789999999997</v>
      </c>
      <c r="M5531">
        <v>0.99918960000000001</v>
      </c>
      <c r="N5531">
        <v>0</v>
      </c>
      <c r="O5531">
        <v>-4.0047100000000002E-2</v>
      </c>
      <c r="P5531">
        <v>0.98044260000000005</v>
      </c>
      <c r="Q5531">
        <v>0.1909421</v>
      </c>
      <c r="R5531">
        <v>-4.7681809999999998E-2</v>
      </c>
      <c r="S5531">
        <v>3.1544490000000001</v>
      </c>
      <c r="T5531">
        <v>-0.69025950000000003</v>
      </c>
      <c r="U5531">
        <v>-0.79556269999999996</v>
      </c>
      <c r="V5531">
        <v>7.8223249999999998E-3</v>
      </c>
      <c r="W5531">
        <v>0.19495560000000001</v>
      </c>
      <c r="X5531">
        <v>0.98078089999999996</v>
      </c>
      <c r="Y5531">
        <v>0.2019233</v>
      </c>
      <c r="Z5531">
        <v>-1.298936E-2</v>
      </c>
      <c r="AA5531">
        <v>0.97931520000000005</v>
      </c>
      <c r="AB5531">
        <v>21</v>
      </c>
      <c r="AC5531">
        <v>0.62700000000000899</v>
      </c>
      <c r="AD5531">
        <v>-0.1590048</v>
      </c>
      <c r="AE5531">
        <v>-0.18039000000000199</v>
      </c>
      <c r="AF5531">
        <v>0.14643791068457901</v>
      </c>
      <c r="AG5531">
        <v>-0.1590048</v>
      </c>
      <c r="AH5531">
        <v>0.59819172966674605</v>
      </c>
      <c r="AI5531">
        <v>104.47678976610101</v>
      </c>
      <c r="AJ5531">
        <v>76.244458099341898</v>
      </c>
      <c r="AK5531">
        <v>0.63605026023923505</v>
      </c>
      <c r="AL5531">
        <v>78.757870396077095</v>
      </c>
      <c r="AM5531">
        <v>89.543040952622405</v>
      </c>
      <c r="AN5531">
        <v>1.00000002427228</v>
      </c>
    </row>
    <row r="5532" spans="1:40" x14ac:dyDescent="0.25">
      <c r="A5532" t="str">
        <f>"20190312172818344"</f>
        <v>20190312172818344</v>
      </c>
      <c r="B5532" t="str">
        <f>"1552382898335304"</f>
        <v>1552382898335304</v>
      </c>
      <c r="C5532" t="s">
        <v>40</v>
      </c>
      <c r="D5532">
        <v>3.408995</v>
      </c>
      <c r="E5532">
        <v>0.53808809999999996</v>
      </c>
      <c r="F5532" t="s">
        <v>44</v>
      </c>
      <c r="G5532">
        <v>-270.92099999999999</v>
      </c>
      <c r="H5532">
        <v>0.93403650000000005</v>
      </c>
      <c r="I5532">
        <v>-62.440489999999997</v>
      </c>
      <c r="J5532">
        <v>-271.62240000000003</v>
      </c>
      <c r="K5532">
        <v>1.110085</v>
      </c>
      <c r="L5532">
        <v>-62.240810000000003</v>
      </c>
      <c r="M5532">
        <v>0.9992337</v>
      </c>
      <c r="N5532">
        <v>0</v>
      </c>
      <c r="O5532">
        <v>-3.8936760000000001E-2</v>
      </c>
      <c r="P5532">
        <v>0.98046750000000005</v>
      </c>
      <c r="Q5532">
        <v>0.19114159999999999</v>
      </c>
      <c r="R5532">
        <v>-4.6351950000000003E-2</v>
      </c>
      <c r="S5532">
        <v>3.1554570000000002</v>
      </c>
      <c r="T5532">
        <v>-0.68908139999999996</v>
      </c>
      <c r="U5532">
        <v>-0.79260249999999999</v>
      </c>
      <c r="V5532">
        <v>7.5858189999999997E-3</v>
      </c>
      <c r="W5532">
        <v>0.1950963</v>
      </c>
      <c r="X5532">
        <v>0.98075469999999998</v>
      </c>
      <c r="Y5532">
        <v>0.20205819999999999</v>
      </c>
      <c r="Z5532">
        <v>-1.321486E-2</v>
      </c>
      <c r="AA5532">
        <v>0.9792843</v>
      </c>
      <c r="AB5532">
        <v>21</v>
      </c>
      <c r="AC5532">
        <v>0.701400000000035</v>
      </c>
      <c r="AD5532">
        <v>-0.1760485</v>
      </c>
      <c r="AE5532">
        <v>-0.19968000000000699</v>
      </c>
      <c r="AF5532">
        <v>0.16273461859630201</v>
      </c>
      <c r="AG5532">
        <v>-0.1760485</v>
      </c>
      <c r="AH5532">
        <v>0.66962037123302298</v>
      </c>
      <c r="AI5532">
        <v>104.330935939261</v>
      </c>
      <c r="AJ5532">
        <v>76.340489021961602</v>
      </c>
      <c r="AK5532">
        <v>0.71124332827253001</v>
      </c>
      <c r="AL5532">
        <v>78.749650163686894</v>
      </c>
      <c r="AM5532">
        <v>89.556844595516196</v>
      </c>
      <c r="AN5532">
        <v>0.99999994624783795</v>
      </c>
    </row>
    <row r="5533" spans="1:40" x14ac:dyDescent="0.25">
      <c r="A5533" t="str">
        <f>"20190312172818356"</f>
        <v>20190312172818356</v>
      </c>
      <c r="B5533" t="str">
        <f>"1552382898345064"</f>
        <v>1552382898345064</v>
      </c>
      <c r="C5533" t="s">
        <v>40</v>
      </c>
      <c r="D5533">
        <v>3.3401200000000002</v>
      </c>
      <c r="E5533">
        <v>0.52798619999999996</v>
      </c>
      <c r="F5533" t="s">
        <v>44</v>
      </c>
      <c r="G5533">
        <v>-270.88490000000002</v>
      </c>
      <c r="H5533">
        <v>1.0084770000000001</v>
      </c>
      <c r="I5533">
        <v>-62.323990000000002</v>
      </c>
      <c r="J5533">
        <v>-271.51330000000002</v>
      </c>
      <c r="K5533">
        <v>1.110069</v>
      </c>
      <c r="L5533">
        <v>-62.2438</v>
      </c>
      <c r="M5533">
        <v>0.99927739999999998</v>
      </c>
      <c r="N5533">
        <v>0</v>
      </c>
      <c r="O5533">
        <v>-3.7803299999999998E-2</v>
      </c>
      <c r="P5533">
        <v>0.98047600000000001</v>
      </c>
      <c r="Q5533">
        <v>0.19139220000000001</v>
      </c>
      <c r="R5533">
        <v>-4.5120430000000003E-2</v>
      </c>
      <c r="S5533">
        <v>3.1271059999999999</v>
      </c>
      <c r="T5533">
        <v>-0.43095040000000001</v>
      </c>
      <c r="U5533">
        <v>-0.35202030000000001</v>
      </c>
      <c r="V5533">
        <v>7.4715149999999998E-3</v>
      </c>
      <c r="W5533">
        <v>0.19528799999999999</v>
      </c>
      <c r="X5533">
        <v>0.98071750000000002</v>
      </c>
      <c r="Y5533">
        <v>7.3881290000000002E-2</v>
      </c>
      <c r="Z5533">
        <v>1.143436E-4</v>
      </c>
      <c r="AA5533">
        <v>0.99726700000000001</v>
      </c>
      <c r="AB5533">
        <v>21</v>
      </c>
      <c r="AC5533">
        <v>0.62839999999999896</v>
      </c>
      <c r="AD5533">
        <v>-0.101591999999999</v>
      </c>
      <c r="AE5533">
        <v>-8.0190000000001704E-2</v>
      </c>
      <c r="AF5533">
        <v>5.4963371054527498E-2</v>
      </c>
      <c r="AG5533">
        <v>-0.101591999999999</v>
      </c>
      <c r="AH5533">
        <v>0.61516176115430499</v>
      </c>
      <c r="AI5533">
        <v>99.341022296362695</v>
      </c>
      <c r="AJ5533">
        <v>84.894303706377499</v>
      </c>
      <c r="AK5533">
        <v>0.62591205373290504</v>
      </c>
      <c r="AL5533">
        <v>78.738451998070502</v>
      </c>
      <c r="AM5533">
        <v>89.563505296607104</v>
      </c>
      <c r="AN5533">
        <v>1.0000000206433199</v>
      </c>
    </row>
    <row r="5534" spans="1:40" x14ac:dyDescent="0.25">
      <c r="A5534" t="str">
        <f>"20190312172818366"</f>
        <v>20190312172818366</v>
      </c>
      <c r="B5534" t="str">
        <f>"1552382898354824"</f>
        <v>1552382898354824</v>
      </c>
      <c r="C5534" t="s">
        <v>40</v>
      </c>
      <c r="D5534">
        <v>3.3210899999999999</v>
      </c>
      <c r="E5534">
        <v>0.52052489999999996</v>
      </c>
      <c r="F5534" t="s">
        <v>44</v>
      </c>
      <c r="G5534">
        <v>-270.6952</v>
      </c>
      <c r="H5534">
        <v>1.011849</v>
      </c>
      <c r="I5534">
        <v>-62.315350000000002</v>
      </c>
      <c r="J5534">
        <v>-271.41289999999998</v>
      </c>
      <c r="K5534">
        <v>1.1100559999999999</v>
      </c>
      <c r="L5534">
        <v>-62.246549999999999</v>
      </c>
      <c r="M5534">
        <v>0.99931630000000005</v>
      </c>
      <c r="N5534">
        <v>0</v>
      </c>
      <c r="O5534">
        <v>-3.6767840000000003E-2</v>
      </c>
      <c r="P5534">
        <v>0.98046330000000004</v>
      </c>
      <c r="Q5534">
        <v>0.19172510000000001</v>
      </c>
      <c r="R5534">
        <v>-4.3969460000000002E-2</v>
      </c>
      <c r="S5534">
        <v>3.1202700000000001</v>
      </c>
      <c r="T5534">
        <v>-0.37454409999999999</v>
      </c>
      <c r="U5534">
        <v>-0.27282709999999999</v>
      </c>
      <c r="V5534">
        <v>7.3420459999999996E-3</v>
      </c>
      <c r="W5534">
        <v>0.1955673</v>
      </c>
      <c r="X5534">
        <v>0.98066279999999995</v>
      </c>
      <c r="Y5534">
        <v>5.0320869999999997E-2</v>
      </c>
      <c r="Z5534">
        <v>1.38324E-3</v>
      </c>
      <c r="AA5534">
        <v>0.99873210000000001</v>
      </c>
      <c r="AB5534">
        <v>21</v>
      </c>
      <c r="AC5534">
        <v>0.71769999999997902</v>
      </c>
      <c r="AD5534">
        <v>-9.8206999999999905E-2</v>
      </c>
      <c r="AE5534">
        <v>-6.8800000000002998E-2</v>
      </c>
      <c r="AF5534">
        <v>4.1593299596497803E-2</v>
      </c>
      <c r="AG5534">
        <v>-9.8206999999999905E-2</v>
      </c>
      <c r="AH5534">
        <v>0.70663381156442895</v>
      </c>
      <c r="AI5534">
        <v>97.898708940295194</v>
      </c>
      <c r="AJ5534">
        <v>86.631389590914495</v>
      </c>
      <c r="AK5534">
        <v>0.71463694353594398</v>
      </c>
      <c r="AL5534">
        <v>78.722134432428206</v>
      </c>
      <c r="AM5534">
        <v>89.571044818644097</v>
      </c>
      <c r="AN5534">
        <v>1.0000000008862899</v>
      </c>
    </row>
    <row r="5535" spans="1:40" x14ac:dyDescent="0.25">
      <c r="A5535" t="str">
        <f>"20190312172818378"</f>
        <v>20190312172818378</v>
      </c>
      <c r="B5535" t="str">
        <f>"1552382898375320"</f>
        <v>1552382898375320</v>
      </c>
      <c r="C5535" t="s">
        <v>40</v>
      </c>
      <c r="D5535">
        <v>3.338619</v>
      </c>
      <c r="E5535">
        <v>0.51253459999999995</v>
      </c>
      <c r="F5535" t="s">
        <v>44</v>
      </c>
      <c r="G5535">
        <v>-270.6848</v>
      </c>
      <c r="H5535">
        <v>1.0312730000000001</v>
      </c>
      <c r="I5535">
        <v>-62.296250000000001</v>
      </c>
      <c r="J5535">
        <v>-271.30689999999998</v>
      </c>
      <c r="K5535">
        <v>1.1100350000000001</v>
      </c>
      <c r="L5535">
        <v>-62.249270000000003</v>
      </c>
      <c r="M5535">
        <v>0.99935499999999999</v>
      </c>
      <c r="N5535">
        <v>0</v>
      </c>
      <c r="O5535">
        <v>-3.5705199999999999E-2</v>
      </c>
      <c r="P5535">
        <v>0.98051290000000002</v>
      </c>
      <c r="Q5535">
        <v>0.19176689999999999</v>
      </c>
      <c r="R5535">
        <v>-4.2660219999999999E-2</v>
      </c>
      <c r="S5535">
        <v>3.1161799999999999</v>
      </c>
      <c r="T5535">
        <v>-0.33717079999999999</v>
      </c>
      <c r="U5535">
        <v>-0.212677</v>
      </c>
      <c r="V5535">
        <v>7.0815670000000004E-3</v>
      </c>
      <c r="W5535">
        <v>0.1955546</v>
      </c>
      <c r="X5535">
        <v>0.98066719999999996</v>
      </c>
      <c r="Y5535">
        <v>3.2443720000000002E-2</v>
      </c>
      <c r="Z5535">
        <v>2.0977890000000001E-3</v>
      </c>
      <c r="AA5535">
        <v>0.99947140000000001</v>
      </c>
      <c r="AB5535">
        <v>21</v>
      </c>
      <c r="AC5535">
        <v>0.622099999999989</v>
      </c>
      <c r="AD5535">
        <v>-7.8762000000000207E-2</v>
      </c>
      <c r="AE5535">
        <v>-4.69800000000049E-2</v>
      </c>
      <c r="AF5535">
        <v>2.4349582951628802E-2</v>
      </c>
      <c r="AG5535">
        <v>-7.8762000000000207E-2</v>
      </c>
      <c r="AH5535">
        <v>0.61360097867970498</v>
      </c>
      <c r="AI5535">
        <v>97.308815525633406</v>
      </c>
      <c r="AJ5535">
        <v>87.727518777477499</v>
      </c>
      <c r="AK5535">
        <v>0.619114299520379</v>
      </c>
      <c r="AL5535">
        <v>78.722875875852694</v>
      </c>
      <c r="AM5535">
        <v>89.586264484924499</v>
      </c>
      <c r="AN5535">
        <v>0.99999995366408601</v>
      </c>
    </row>
    <row r="5536" spans="1:40" x14ac:dyDescent="0.25">
      <c r="A5536" t="str">
        <f>"20190312172818390"</f>
        <v>20190312172818390</v>
      </c>
      <c r="B5536" t="str">
        <f>"1552382898385080"</f>
        <v>1552382898385080</v>
      </c>
      <c r="C5536" t="s">
        <v>40</v>
      </c>
      <c r="D5536">
        <v>3.338117</v>
      </c>
      <c r="E5536">
        <v>0.51022609999999902</v>
      </c>
      <c r="F5536" t="s">
        <v>44</v>
      </c>
      <c r="G5536">
        <v>-270.49419999999998</v>
      </c>
      <c r="H5536">
        <v>1.0335540000000001</v>
      </c>
      <c r="I5536">
        <v>-62.288369999999901</v>
      </c>
      <c r="J5536">
        <v>-271.19600000000003</v>
      </c>
      <c r="K5536">
        <v>1.1100110000000001</v>
      </c>
      <c r="L5536">
        <v>-62.252079999999999</v>
      </c>
      <c r="M5536">
        <v>0.99939389999999995</v>
      </c>
      <c r="N5536">
        <v>0</v>
      </c>
      <c r="O5536">
        <v>-3.4604889999999999E-2</v>
      </c>
      <c r="P5536">
        <v>0.98055680000000001</v>
      </c>
      <c r="Q5536">
        <v>0.19180420000000001</v>
      </c>
      <c r="R5536">
        <v>-4.14664E-2</v>
      </c>
      <c r="S5536">
        <v>3.110474</v>
      </c>
      <c r="T5536">
        <v>-0.29289789999999999</v>
      </c>
      <c r="U5536">
        <v>-0.14880370000000001</v>
      </c>
      <c r="V5536">
        <v>6.9742429999999998E-3</v>
      </c>
      <c r="W5536">
        <v>0.1955364</v>
      </c>
      <c r="X5536">
        <v>0.98067159999999998</v>
      </c>
      <c r="Y5536">
        <v>1.328471E-2</v>
      </c>
      <c r="Z5536">
        <v>2.6246569999999999E-3</v>
      </c>
      <c r="AA5536">
        <v>0.99990829999999997</v>
      </c>
      <c r="AB5536">
        <v>21</v>
      </c>
      <c r="AC5536">
        <v>0.70179999999999099</v>
      </c>
      <c r="AD5536">
        <v>-7.6456999999999997E-2</v>
      </c>
      <c r="AE5536">
        <v>-3.6289999999986798E-2</v>
      </c>
      <c r="AF5536">
        <v>1.18422005102156E-2</v>
      </c>
      <c r="AG5536">
        <v>-7.6456999999999997E-2</v>
      </c>
      <c r="AH5536">
        <v>0.69441556786323599</v>
      </c>
      <c r="AI5536">
        <v>96.282203865732797</v>
      </c>
      <c r="AJ5536">
        <v>89.023002395929893</v>
      </c>
      <c r="AK5536">
        <v>0.69871230950423702</v>
      </c>
      <c r="AL5536">
        <v>78.723939206741406</v>
      </c>
      <c r="AM5536">
        <v>89.592536428371105</v>
      </c>
      <c r="AN5536">
        <v>0.99999995541846998</v>
      </c>
    </row>
    <row r="5537" spans="1:40" x14ac:dyDescent="0.25">
      <c r="A5537" t="str">
        <f>"20190312172818401"</f>
        <v>20190312172818401</v>
      </c>
      <c r="B5537" t="str">
        <f>"1552382898394841"</f>
        <v>1552382898394841</v>
      </c>
      <c r="C5537" t="s">
        <v>40</v>
      </c>
      <c r="D5537">
        <v>3.3449740000000001</v>
      </c>
      <c r="E5537">
        <v>0.50872700000000004</v>
      </c>
      <c r="F5537" t="s">
        <v>44</v>
      </c>
      <c r="G5537">
        <v>-270.30549999999999</v>
      </c>
      <c r="H5537">
        <v>1.0300879999999999</v>
      </c>
      <c r="I5537">
        <v>-62.288789999999999</v>
      </c>
      <c r="J5537">
        <v>-271.0874</v>
      </c>
      <c r="K5537">
        <v>1.1099889999999999</v>
      </c>
      <c r="L5537">
        <v>-62.254669999999997</v>
      </c>
      <c r="M5537">
        <v>0.99942980000000003</v>
      </c>
      <c r="N5537">
        <v>0</v>
      </c>
      <c r="O5537">
        <v>-3.3559659999999998E-2</v>
      </c>
      <c r="P5537">
        <v>0.98060670000000005</v>
      </c>
      <c r="Q5537">
        <v>0.19182730000000001</v>
      </c>
      <c r="R5537">
        <v>-4.016405E-2</v>
      </c>
      <c r="S5537">
        <v>3.1087039999999999</v>
      </c>
      <c r="T5537">
        <v>-0.27903539999999999</v>
      </c>
      <c r="U5537">
        <v>-0.12823490000000001</v>
      </c>
      <c r="V5537">
        <v>6.7055409999999998E-3</v>
      </c>
      <c r="W5537">
        <v>0.1955083</v>
      </c>
      <c r="X5537">
        <v>0.98067910000000003</v>
      </c>
      <c r="Y5537">
        <v>7.7640850000000004E-3</v>
      </c>
      <c r="Z5537">
        <v>2.6564570000000001E-3</v>
      </c>
      <c r="AA5537">
        <v>0.99996629999999997</v>
      </c>
      <c r="AB5537">
        <v>21</v>
      </c>
      <c r="AC5537">
        <v>0.78190000000000703</v>
      </c>
      <c r="AD5537">
        <v>-7.9901E-2</v>
      </c>
      <c r="AE5537">
        <v>-3.4120000000008498E-2</v>
      </c>
      <c r="AF5537">
        <v>7.7792212916105103E-3</v>
      </c>
      <c r="AG5537">
        <v>-7.9901E-2</v>
      </c>
      <c r="AH5537">
        <v>0.77453199350819302</v>
      </c>
      <c r="AI5537">
        <v>95.889524025403702</v>
      </c>
      <c r="AJ5537">
        <v>89.424553711160996</v>
      </c>
      <c r="AK5537">
        <v>0.77868125382127895</v>
      </c>
      <c r="AL5537">
        <v>78.725581166867499</v>
      </c>
      <c r="AM5537">
        <v>89.608237586309301</v>
      </c>
      <c r="AN5537">
        <v>0.999999978412901</v>
      </c>
    </row>
    <row r="5538" spans="1:40" x14ac:dyDescent="0.25">
      <c r="A5538" t="str">
        <f>"20190312172818413"</f>
        <v>20190312172818413</v>
      </c>
      <c r="B5538" t="str">
        <f>"1552382898405575"</f>
        <v>1552382898405575</v>
      </c>
      <c r="C5538" t="s">
        <v>40</v>
      </c>
      <c r="D5538">
        <v>3.3212039999999998</v>
      </c>
      <c r="E5538">
        <v>0.50756939999999995</v>
      </c>
      <c r="F5538" t="s">
        <v>44</v>
      </c>
      <c r="G5538">
        <v>-270.29880000000003</v>
      </c>
      <c r="H5538">
        <v>1.04165</v>
      </c>
      <c r="I5538">
        <v>-62.283380000000001</v>
      </c>
      <c r="J5538">
        <v>-270.97800000000001</v>
      </c>
      <c r="K5538">
        <v>1.1099619999999999</v>
      </c>
      <c r="L5538">
        <v>-62.25723</v>
      </c>
      <c r="M5538">
        <v>0.99946420000000002</v>
      </c>
      <c r="N5538">
        <v>0</v>
      </c>
      <c r="O5538">
        <v>-3.2524209999999998E-2</v>
      </c>
      <c r="P5538">
        <v>0.98067959999999998</v>
      </c>
      <c r="Q5538">
        <v>0.19168379999999999</v>
      </c>
      <c r="R5538">
        <v>-3.9049699999999903E-2</v>
      </c>
      <c r="S5538">
        <v>3.107361</v>
      </c>
      <c r="T5538">
        <v>-0.269256</v>
      </c>
      <c r="U5538">
        <v>-0.1131897</v>
      </c>
      <c r="V5538">
        <v>6.6155569999999898E-3</v>
      </c>
      <c r="W5538">
        <v>0.19531570000000001</v>
      </c>
      <c r="X5538">
        <v>0.98071810000000004</v>
      </c>
      <c r="Y5538">
        <v>3.9867740000000002E-3</v>
      </c>
      <c r="Z5538">
        <v>2.6389400000000002E-3</v>
      </c>
      <c r="AA5538">
        <v>0.99998860000000001</v>
      </c>
      <c r="AB5538">
        <v>21</v>
      </c>
      <c r="AC5538">
        <v>0.67919999999998004</v>
      </c>
      <c r="AD5538">
        <v>-6.8312000000000095E-2</v>
      </c>
      <c r="AE5538">
        <v>-2.61500000000012E-2</v>
      </c>
      <c r="AF5538">
        <v>4.0051178278830701E-3</v>
      </c>
      <c r="AG5538">
        <v>-6.8312000000000095E-2</v>
      </c>
      <c r="AH5538">
        <v>0.67289441153385199</v>
      </c>
      <c r="AI5538">
        <v>95.796685146704505</v>
      </c>
      <c r="AJ5538">
        <v>89.658975265340899</v>
      </c>
      <c r="AK5538">
        <v>0.67636488627537705</v>
      </c>
      <c r="AL5538">
        <v>78.736833392494503</v>
      </c>
      <c r="AM5538">
        <v>89.613509992197194</v>
      </c>
      <c r="AN5538">
        <v>0.99999998996425998</v>
      </c>
    </row>
    <row r="5539" spans="1:40" x14ac:dyDescent="0.25">
      <c r="A5539" t="str">
        <f>"20190312172818427"</f>
        <v>20190312172818427</v>
      </c>
      <c r="B5539" t="str">
        <f>"1552382898415336"</f>
        <v>1552382898415336</v>
      </c>
      <c r="C5539" t="s">
        <v>40</v>
      </c>
      <c r="D5539">
        <v>3.3164709999999999</v>
      </c>
      <c r="E5539">
        <v>0.50673500000000005</v>
      </c>
      <c r="F5539" t="s">
        <v>44</v>
      </c>
      <c r="G5539">
        <v>-270.1105</v>
      </c>
      <c r="H5539">
        <v>1.036432</v>
      </c>
      <c r="I5539">
        <v>-62.285690000000002</v>
      </c>
      <c r="J5539">
        <v>-270.84500000000003</v>
      </c>
      <c r="K5539">
        <v>1.1099289999999999</v>
      </c>
      <c r="L5539">
        <v>-62.260219999999997</v>
      </c>
      <c r="M5539">
        <v>0.99950369999999999</v>
      </c>
      <c r="N5539">
        <v>0</v>
      </c>
      <c r="O5539">
        <v>-3.1292540000000001E-2</v>
      </c>
      <c r="P5539">
        <v>0.98067890000000002</v>
      </c>
      <c r="Q5539">
        <v>0.1919679</v>
      </c>
      <c r="R5539">
        <v>-3.7649450000000001E-2</v>
      </c>
      <c r="S5539">
        <v>3.1065670000000001</v>
      </c>
      <c r="T5539">
        <v>-0.26339279999999998</v>
      </c>
      <c r="U5539">
        <v>-0.10134890000000001</v>
      </c>
      <c r="V5539">
        <v>6.4359769999999998E-3</v>
      </c>
      <c r="W5539">
        <v>0.19554340000000001</v>
      </c>
      <c r="X5539">
        <v>0.98067389999999999</v>
      </c>
      <c r="Y5539">
        <v>1.4216560000000001E-3</v>
      </c>
      <c r="Z5539">
        <v>2.5869220000000002E-3</v>
      </c>
      <c r="AA5539">
        <v>0.99999559999999998</v>
      </c>
      <c r="AB5539">
        <v>21</v>
      </c>
      <c r="AC5539">
        <v>0.73450000000002502</v>
      </c>
      <c r="AD5539">
        <v>-7.3497000000000104E-2</v>
      </c>
      <c r="AE5539">
        <v>-2.5470000000005599E-2</v>
      </c>
      <c r="AF5539">
        <v>2.4485177667032498E-3</v>
      </c>
      <c r="AG5539">
        <v>-7.3497000000000104E-2</v>
      </c>
      <c r="AH5539">
        <v>0.72766014741004803</v>
      </c>
      <c r="AI5539">
        <v>95.767542740105</v>
      </c>
      <c r="AJ5539">
        <v>89.807205046047301</v>
      </c>
      <c r="AK5539">
        <v>0.73136659369776202</v>
      </c>
      <c r="AL5539">
        <v>78.723530415077903</v>
      </c>
      <c r="AM5539">
        <v>89.623984053070004</v>
      </c>
      <c r="AN5539">
        <v>0.99999997061235602</v>
      </c>
    </row>
    <row r="5540" spans="1:40" x14ac:dyDescent="0.25">
      <c r="A5540" t="str">
        <f>"20190312172818437"</f>
        <v>20190312172818437</v>
      </c>
      <c r="B5540" t="str">
        <f>"1552382898425096"</f>
        <v>1552382898425096</v>
      </c>
      <c r="C5540" t="s">
        <v>40</v>
      </c>
      <c r="D5540">
        <v>3.3408120000000001</v>
      </c>
      <c r="E5540">
        <v>0.50602970000000003</v>
      </c>
      <c r="F5540" t="s">
        <v>44</v>
      </c>
      <c r="G5540">
        <v>-270.09539999999998</v>
      </c>
      <c r="H5540">
        <v>1.047812</v>
      </c>
      <c r="I5540">
        <v>-62.28228</v>
      </c>
      <c r="J5540">
        <v>-270.7473</v>
      </c>
      <c r="K5540">
        <v>1.1099079999999999</v>
      </c>
      <c r="L5540">
        <v>-62.262360000000001</v>
      </c>
      <c r="M5540">
        <v>0.9995309</v>
      </c>
      <c r="N5540">
        <v>0</v>
      </c>
      <c r="O5540">
        <v>-3.0421719999999999E-2</v>
      </c>
      <c r="P5540">
        <v>0.9806821</v>
      </c>
      <c r="Q5540">
        <v>0.19210250000000001</v>
      </c>
      <c r="R5540">
        <v>-3.6870050000000001E-2</v>
      </c>
      <c r="S5540">
        <v>3.1060180000000002</v>
      </c>
      <c r="T5540">
        <v>-0.25745420000000002</v>
      </c>
      <c r="U5540">
        <v>-9.0728760000000006E-2</v>
      </c>
      <c r="V5540">
        <v>6.5204579999999998E-3</v>
      </c>
      <c r="W5540">
        <v>0.1956407</v>
      </c>
      <c r="X5540">
        <v>0.98065389999999997</v>
      </c>
      <c r="Y5540">
        <v>-1.1162559999999999E-3</v>
      </c>
      <c r="Z5540">
        <v>2.562389E-3</v>
      </c>
      <c r="AA5540">
        <v>0.99999610000000005</v>
      </c>
      <c r="AB5540">
        <v>21</v>
      </c>
      <c r="AC5540">
        <v>0.65190000000001103</v>
      </c>
      <c r="AD5540">
        <v>-6.20959999999997E-2</v>
      </c>
      <c r="AE5540">
        <v>-1.9920000000006099E-2</v>
      </c>
      <c r="AF5540" s="1">
        <v>7.8029428072074595E-5</v>
      </c>
      <c r="AG5540">
        <v>-6.20959999999997E-2</v>
      </c>
      <c r="AH5540">
        <v>0.64634525632325202</v>
      </c>
      <c r="AI5540">
        <v>95.487705979795393</v>
      </c>
      <c r="AJ5540">
        <v>89.993083020504997</v>
      </c>
      <c r="AK5540">
        <v>0.64932126846127702</v>
      </c>
      <c r="AL5540">
        <v>78.717845339245798</v>
      </c>
      <c r="AM5540">
        <v>89.619040704937206</v>
      </c>
      <c r="AN5540">
        <v>0.99999993572711199</v>
      </c>
    </row>
    <row r="5541" spans="1:40" x14ac:dyDescent="0.25">
      <c r="A5541" t="str">
        <f>"20190312172818447"</f>
        <v>20190312172818447</v>
      </c>
      <c r="B5541" t="str">
        <f>"1552382898434857"</f>
        <v>1552382898434857</v>
      </c>
      <c r="C5541" t="s">
        <v>40</v>
      </c>
      <c r="D5541">
        <v>3.3325450000000001</v>
      </c>
      <c r="E5541">
        <v>0.50544619999999996</v>
      </c>
      <c r="F5541" t="s">
        <v>44</v>
      </c>
      <c r="G5541">
        <v>-269.91289999999998</v>
      </c>
      <c r="H5541">
        <v>1.041974</v>
      </c>
      <c r="I5541">
        <v>-62.284889999999997</v>
      </c>
      <c r="J5541">
        <v>-270.64550000000003</v>
      </c>
      <c r="K5541">
        <v>1.1098809999999999</v>
      </c>
      <c r="L5541">
        <v>-62.264530000000001</v>
      </c>
      <c r="M5541">
        <v>0.99955799999999995</v>
      </c>
      <c r="N5541">
        <v>0</v>
      </c>
      <c r="O5541">
        <v>-2.9519429999999999E-2</v>
      </c>
      <c r="P5541">
        <v>0.98067170000000004</v>
      </c>
      <c r="Q5541">
        <v>0.19227559999999999</v>
      </c>
      <c r="R5541">
        <v>-3.6240090000000003E-2</v>
      </c>
      <c r="S5541">
        <v>3.1054689999999998</v>
      </c>
      <c r="T5541">
        <v>-0.25290620000000003</v>
      </c>
      <c r="U5541">
        <v>-8.3129880000000003E-2</v>
      </c>
      <c r="V5541">
        <v>6.7859449999999998E-3</v>
      </c>
      <c r="W5541">
        <v>0.19577530000000001</v>
      </c>
      <c r="X5541">
        <v>0.98062530000000003</v>
      </c>
      <c r="Y5541">
        <v>-2.6550240000000002E-3</v>
      </c>
      <c r="Z5541">
        <v>2.507062E-3</v>
      </c>
      <c r="AA5541">
        <v>0.99999329999999997</v>
      </c>
      <c r="AB5541">
        <v>22</v>
      </c>
      <c r="AC5541">
        <v>0.73260000000004699</v>
      </c>
      <c r="AD5541">
        <v>-6.7906999999999898E-2</v>
      </c>
      <c r="AE5541">
        <v>-2.03599999999966E-2</v>
      </c>
      <c r="AF5541">
        <v>-1.2640887545265901E-3</v>
      </c>
      <c r="AG5541">
        <v>-6.7906999999999898E-2</v>
      </c>
      <c r="AH5541">
        <v>0.726643238597668</v>
      </c>
      <c r="AI5541">
        <v>95.338948694933507</v>
      </c>
      <c r="AJ5541">
        <v>90.099673228422503</v>
      </c>
      <c r="AK5541">
        <v>0.72981049236708495</v>
      </c>
      <c r="AL5541">
        <v>78.709981965887295</v>
      </c>
      <c r="AM5541">
        <v>89.603518487152897</v>
      </c>
      <c r="AN5541">
        <v>0.99999999806986095</v>
      </c>
    </row>
    <row r="5542" spans="1:40" x14ac:dyDescent="0.25">
      <c r="A5542" t="str">
        <f>"20190312172818458"</f>
        <v>20190312172818458</v>
      </c>
      <c r="B5542" t="str">
        <f>"1552382898455352"</f>
        <v>1552382898455352</v>
      </c>
      <c r="C5542" t="s">
        <v>40</v>
      </c>
      <c r="D5542">
        <v>3.3367200000000001</v>
      </c>
      <c r="E5542">
        <v>0.50469419999999998</v>
      </c>
      <c r="F5542" t="s">
        <v>57</v>
      </c>
      <c r="G5542">
        <v>-256.78070000000002</v>
      </c>
      <c r="H5542" s="1">
        <v>-2.5392160000000002E-6</v>
      </c>
      <c r="I5542">
        <v>-62.605879999999999</v>
      </c>
      <c r="J5542">
        <v>-270.54649999999998</v>
      </c>
      <c r="K5542">
        <v>1.1098539999999999</v>
      </c>
      <c r="L5542">
        <v>-62.266509999999997</v>
      </c>
      <c r="M5542">
        <v>0.99958239999999998</v>
      </c>
      <c r="N5542">
        <v>0</v>
      </c>
      <c r="O5542">
        <v>-2.8682949999999999E-2</v>
      </c>
      <c r="P5542">
        <v>0.98067110000000002</v>
      </c>
      <c r="Q5542">
        <v>0.19239600000000001</v>
      </c>
      <c r="R5542">
        <v>-3.561189E-2</v>
      </c>
      <c r="S5542">
        <v>3.1050420000000001</v>
      </c>
      <c r="T5542">
        <v>-0.24856039999999999</v>
      </c>
      <c r="U5542">
        <v>-7.6446529999999999E-2</v>
      </c>
      <c r="V5542">
        <v>6.988981E-3</v>
      </c>
      <c r="W5542">
        <v>0.19586139999999999</v>
      </c>
      <c r="X5542">
        <v>0.98060670000000005</v>
      </c>
      <c r="Y5542">
        <v>-3.9675439999999999E-3</v>
      </c>
      <c r="Z5542">
        <v>2.4501750000000002E-3</v>
      </c>
      <c r="AA5542">
        <v>0.99998920000000002</v>
      </c>
      <c r="AB5542">
        <v>22</v>
      </c>
      <c r="AC5542">
        <v>13.765799999999899</v>
      </c>
      <c r="AD5542">
        <v>-1.109856539216</v>
      </c>
      <c r="AE5542">
        <v>-0.339370000000009</v>
      </c>
      <c r="AF5542">
        <v>-5.5256850681637201E-2</v>
      </c>
      <c r="AG5542">
        <v>-1.109856539216</v>
      </c>
      <c r="AH5542">
        <v>13.6809943021634</v>
      </c>
      <c r="AI5542">
        <v>94.637866925527902</v>
      </c>
      <c r="AJ5542">
        <v>90.231413525054904</v>
      </c>
      <c r="AK5542">
        <v>13.726049684924501</v>
      </c>
      <c r="AL5542">
        <v>78.704951624950596</v>
      </c>
      <c r="AM5542">
        <v>89.591648380297499</v>
      </c>
      <c r="AN5542">
        <v>1.00000001697513</v>
      </c>
    </row>
    <row r="5543" spans="1:40" x14ac:dyDescent="0.25">
      <c r="A5543" t="str">
        <f>"20190312172818469"</f>
        <v>20190312172818469</v>
      </c>
      <c r="B5543" t="str">
        <f>"1552382898465112"</f>
        <v>1552382898465112</v>
      </c>
      <c r="C5543" t="s">
        <v>40</v>
      </c>
      <c r="D5543">
        <v>3.3361770000000002</v>
      </c>
      <c r="E5543">
        <v>0.5044478</v>
      </c>
      <c r="F5543" t="s">
        <v>44</v>
      </c>
      <c r="G5543">
        <v>-269.71550000000002</v>
      </c>
      <c r="H5543">
        <v>1.04494</v>
      </c>
      <c r="I5543">
        <v>-62.285060000000001</v>
      </c>
      <c r="J5543">
        <v>-270.44549999999998</v>
      </c>
      <c r="K5543">
        <v>1.109826</v>
      </c>
      <c r="L5543">
        <v>-62.268520000000002</v>
      </c>
      <c r="M5543">
        <v>0.99960669999999996</v>
      </c>
      <c r="N5543">
        <v>0</v>
      </c>
      <c r="O5543">
        <v>-2.7832160000000002E-2</v>
      </c>
      <c r="P5543">
        <v>0.9807032</v>
      </c>
      <c r="Q5543">
        <v>0.19240750000000001</v>
      </c>
      <c r="R5543">
        <v>-3.465418E-2</v>
      </c>
      <c r="S5543">
        <v>3.1042480000000001</v>
      </c>
      <c r="T5543">
        <v>-0.2425078</v>
      </c>
      <c r="U5543">
        <v>-6.8969730000000007E-2</v>
      </c>
      <c r="V5543">
        <v>6.8762490000000001E-3</v>
      </c>
      <c r="W5543">
        <v>0.19583800000000001</v>
      </c>
      <c r="X5543">
        <v>0.98061220000000004</v>
      </c>
      <c r="Y5543">
        <v>-5.5201579999999998E-3</v>
      </c>
      <c r="Z5543">
        <v>2.3856110000000002E-3</v>
      </c>
      <c r="AA5543">
        <v>0.99998189999999998</v>
      </c>
      <c r="AB5543">
        <v>22</v>
      </c>
      <c r="AC5543">
        <v>0.72999999999996101</v>
      </c>
      <c r="AD5543">
        <v>-6.4885999999999999E-2</v>
      </c>
      <c r="AE5543">
        <v>-1.6539999999999101E-2</v>
      </c>
      <c r="AF5543">
        <v>-3.7543581345913998E-3</v>
      </c>
      <c r="AG5543">
        <v>-6.4885999999999999E-2</v>
      </c>
      <c r="AH5543">
        <v>0.72445689150928005</v>
      </c>
      <c r="AI5543">
        <v>95.117973287671603</v>
      </c>
      <c r="AJ5543">
        <v>90.296921670244402</v>
      </c>
      <c r="AK5543">
        <v>0.72736653473767399</v>
      </c>
      <c r="AL5543">
        <v>78.706319154591199</v>
      </c>
      <c r="AM5543">
        <v>89.5982371121695</v>
      </c>
      <c r="AN5543">
        <v>1.0000000459165701</v>
      </c>
    </row>
    <row r="5544" spans="1:40" x14ac:dyDescent="0.25">
      <c r="A5544" t="str">
        <f>"20190312172818478"</f>
        <v>20190312172818478</v>
      </c>
      <c r="B5544" t="str">
        <f>"1552382898474872"</f>
        <v>1552382898474872</v>
      </c>
      <c r="C5544" t="s">
        <v>40</v>
      </c>
      <c r="D5544">
        <v>3.3299349999999999</v>
      </c>
      <c r="E5544">
        <v>0.50423569999999995</v>
      </c>
      <c r="F5544" t="s">
        <v>44</v>
      </c>
      <c r="G5544">
        <v>-269.52519999999998</v>
      </c>
      <c r="H5544">
        <v>1.0384040000000001</v>
      </c>
      <c r="I5544">
        <v>-62.287719999999901</v>
      </c>
      <c r="J5544">
        <v>-270.34390000000002</v>
      </c>
      <c r="K5544">
        <v>1.109796</v>
      </c>
      <c r="L5544">
        <v>-62.270449999999997</v>
      </c>
      <c r="M5544">
        <v>0.99962899999999999</v>
      </c>
      <c r="N5544">
        <v>0</v>
      </c>
      <c r="O5544">
        <v>-2.7023579999999998E-2</v>
      </c>
      <c r="P5544">
        <v>0.98074479999999997</v>
      </c>
      <c r="Q5544">
        <v>0.19233739999999999</v>
      </c>
      <c r="R5544">
        <v>-3.3857680000000001E-2</v>
      </c>
      <c r="S5544">
        <v>3.104034</v>
      </c>
      <c r="T5544">
        <v>-0.24095829999999999</v>
      </c>
      <c r="U5544">
        <v>-6.4208979999999999E-2</v>
      </c>
      <c r="V5544">
        <v>6.8843309999999996E-3</v>
      </c>
      <c r="W5544">
        <v>0.19573650000000001</v>
      </c>
      <c r="X5544">
        <v>0.98063239999999996</v>
      </c>
      <c r="Y5544">
        <v>-6.2442679999999999E-3</v>
      </c>
      <c r="Z5544">
        <v>2.3360469999999999E-3</v>
      </c>
      <c r="AA5544">
        <v>0.99997780000000003</v>
      </c>
      <c r="AB5544">
        <v>22</v>
      </c>
      <c r="AC5544">
        <v>0.81870000000003496</v>
      </c>
      <c r="AD5544">
        <v>-7.13919999999999E-2</v>
      </c>
      <c r="AE5544">
        <v>-1.7269999999996299E-2</v>
      </c>
      <c r="AF5544">
        <v>-4.8239744675868702E-3</v>
      </c>
      <c r="AG5544">
        <v>-7.13919999999999E-2</v>
      </c>
      <c r="AH5544">
        <v>0.81269064778946498</v>
      </c>
      <c r="AI5544">
        <v>95.020256130209702</v>
      </c>
      <c r="AJ5544">
        <v>90.340092668916995</v>
      </c>
      <c r="AK5544">
        <v>0.81583465077068396</v>
      </c>
      <c r="AL5544">
        <v>78.712249354394203</v>
      </c>
      <c r="AM5544">
        <v>89.597773200971304</v>
      </c>
      <c r="AN5544">
        <v>1.0000000376876601</v>
      </c>
    </row>
    <row r="5545" spans="1:40" x14ac:dyDescent="0.25">
      <c r="A5545" t="str">
        <f>"20190312172818490"</f>
        <v>20190312172818490</v>
      </c>
      <c r="B5545" t="str">
        <f>"1552382898485608"</f>
        <v>1552382898485608</v>
      </c>
      <c r="C5545" t="s">
        <v>40</v>
      </c>
      <c r="D5545">
        <v>3.3020839999999998</v>
      </c>
      <c r="E5545">
        <v>0.50408850000000005</v>
      </c>
      <c r="F5545" t="s">
        <v>44</v>
      </c>
      <c r="G5545">
        <v>-269.5147</v>
      </c>
      <c r="H5545">
        <v>1.045736</v>
      </c>
      <c r="I5545">
        <v>-62.286740000000002</v>
      </c>
      <c r="J5545">
        <v>-270.23140000000001</v>
      </c>
      <c r="K5545">
        <v>1.109764</v>
      </c>
      <c r="L5545">
        <v>-62.272550000000003</v>
      </c>
      <c r="M5545">
        <v>0.9996526</v>
      </c>
      <c r="N5545">
        <v>0</v>
      </c>
      <c r="O5545">
        <v>-2.6136679999999999E-2</v>
      </c>
      <c r="P5545">
        <v>0.98074260000000002</v>
      </c>
      <c r="Q5545">
        <v>0.1924729</v>
      </c>
      <c r="R5545">
        <v>-3.3142249999999998E-2</v>
      </c>
      <c r="S5545">
        <v>3.1038510000000001</v>
      </c>
      <c r="T5545">
        <v>-0.2398537</v>
      </c>
      <c r="U5545">
        <v>-6.0394290000000003E-2</v>
      </c>
      <c r="V5545">
        <v>7.0520269999999998E-3</v>
      </c>
      <c r="W5545">
        <v>0.1958385</v>
      </c>
      <c r="X5545">
        <v>0.9806108</v>
      </c>
      <c r="Y5545">
        <v>-6.5868630000000001E-3</v>
      </c>
      <c r="Z5545">
        <v>2.270359E-3</v>
      </c>
      <c r="AA5545">
        <v>0.99997570000000002</v>
      </c>
      <c r="AB5545">
        <v>22</v>
      </c>
      <c r="AC5545">
        <v>0.716700000000003</v>
      </c>
      <c r="AD5545">
        <v>-6.4027999999999904E-2</v>
      </c>
      <c r="AE5545">
        <v>-1.41899999999992E-2</v>
      </c>
      <c r="AF5545">
        <v>-4.5111246090164103E-3</v>
      </c>
      <c r="AG5545">
        <v>-6.4027999999999904E-2</v>
      </c>
      <c r="AH5545">
        <v>0.71115245377542202</v>
      </c>
      <c r="AI5545">
        <v>95.144601996531605</v>
      </c>
      <c r="AJ5545">
        <v>90.363445183733404</v>
      </c>
      <c r="AK5545">
        <v>0.71404323926499103</v>
      </c>
      <c r="AL5545">
        <v>78.706289359809603</v>
      </c>
      <c r="AM5545">
        <v>89.587966582800902</v>
      </c>
      <c r="AN5545">
        <v>0.99999999512184901</v>
      </c>
    </row>
    <row r="5546" spans="1:40" x14ac:dyDescent="0.25">
      <c r="A5546" t="str">
        <f>"20190312172818501"</f>
        <v>20190312172818501</v>
      </c>
      <c r="B5546" t="str">
        <f>"1552382898495368"</f>
        <v>1552382898495368</v>
      </c>
      <c r="C5546" t="s">
        <v>40</v>
      </c>
      <c r="D5546">
        <v>3.3055029999999999</v>
      </c>
      <c r="E5546">
        <v>0.50396099999999999</v>
      </c>
      <c r="F5546" t="s">
        <v>44</v>
      </c>
      <c r="G5546">
        <v>-269.32650000000001</v>
      </c>
      <c r="H5546">
        <v>1.040311</v>
      </c>
      <c r="I5546">
        <v>-62.28951</v>
      </c>
      <c r="J5546">
        <v>-270.12020000000001</v>
      </c>
      <c r="K5546">
        <v>1.109731</v>
      </c>
      <c r="L5546">
        <v>-62.274540000000002</v>
      </c>
      <c r="M5546">
        <v>0.99967430000000002</v>
      </c>
      <c r="N5546">
        <v>0</v>
      </c>
      <c r="O5546">
        <v>-2.5299729999999999E-2</v>
      </c>
      <c r="P5546">
        <v>0.98075120000000005</v>
      </c>
      <c r="Q5546">
        <v>0.19255620000000001</v>
      </c>
      <c r="R5546">
        <v>-3.2393180000000001E-2</v>
      </c>
      <c r="S5546">
        <v>3.103729</v>
      </c>
      <c r="T5546">
        <v>-0.23826600000000001</v>
      </c>
      <c r="U5546">
        <v>-5.725098E-2</v>
      </c>
      <c r="V5546">
        <v>7.136926E-3</v>
      </c>
      <c r="W5546">
        <v>0.1958918</v>
      </c>
      <c r="X5546">
        <v>0.98059949999999996</v>
      </c>
      <c r="Y5546">
        <v>-6.7644589999999996E-3</v>
      </c>
      <c r="Z5546">
        <v>2.1981689999999998E-3</v>
      </c>
      <c r="AA5546">
        <v>0.99997469999999999</v>
      </c>
      <c r="AB5546">
        <v>22</v>
      </c>
      <c r="AC5546">
        <v>0.79370000000000096</v>
      </c>
      <c r="AD5546">
        <v>-6.9419999999999996E-2</v>
      </c>
      <c r="AE5546">
        <v>-1.4969999999998099E-2</v>
      </c>
      <c r="AF5546">
        <v>-5.0764793091261197E-3</v>
      </c>
      <c r="AG5546">
        <v>-6.9419999999999996E-2</v>
      </c>
      <c r="AH5546">
        <v>0.78780022177888598</v>
      </c>
      <c r="AI5546">
        <v>95.035723197549999</v>
      </c>
      <c r="AJ5546">
        <v>90.369201233273301</v>
      </c>
      <c r="AK5546">
        <v>0.79086920314109999</v>
      </c>
      <c r="AL5546">
        <v>78.703174730246204</v>
      </c>
      <c r="AM5546">
        <v>89.583001502155696</v>
      </c>
      <c r="AN5546">
        <v>0.99999995621010795</v>
      </c>
    </row>
    <row r="5547" spans="1:40" x14ac:dyDescent="0.25">
      <c r="A5547" t="str">
        <f>"20190312172818512"</f>
        <v>20190312172818512</v>
      </c>
      <c r="B5547" t="str">
        <f>"1552382898505128"</f>
        <v>1552382898505128</v>
      </c>
      <c r="C5547" t="s">
        <v>40</v>
      </c>
      <c r="D5547">
        <v>3.3082829999999999</v>
      </c>
      <c r="E5547">
        <v>0.50386850000000005</v>
      </c>
      <c r="F5547" t="s">
        <v>57</v>
      </c>
      <c r="G5547">
        <v>-255.60910000000001</v>
      </c>
      <c r="H5547" s="1">
        <v>-2.0188949999999999E-6</v>
      </c>
      <c r="I5547">
        <v>-62.526229999999998</v>
      </c>
      <c r="J5547">
        <v>-270.00639999999999</v>
      </c>
      <c r="K5547">
        <v>1.1097030000000001</v>
      </c>
      <c r="L5547">
        <v>-62.27655</v>
      </c>
      <c r="M5547">
        <v>0.99969509999999995</v>
      </c>
      <c r="N5547">
        <v>0</v>
      </c>
      <c r="O5547">
        <v>-2.4464099999999999E-2</v>
      </c>
      <c r="P5547">
        <v>0.98077139999999996</v>
      </c>
      <c r="Q5547">
        <v>0.19254389999999999</v>
      </c>
      <c r="R5547">
        <v>-3.1847550000000002E-2</v>
      </c>
      <c r="S5547">
        <v>3.1036990000000002</v>
      </c>
      <c r="T5547">
        <v>-0.2373557</v>
      </c>
      <c r="U5547">
        <v>-5.3833010000000001E-2</v>
      </c>
      <c r="V5547">
        <v>7.423636E-3</v>
      </c>
      <c r="W5547">
        <v>0.1958511</v>
      </c>
      <c r="X5547">
        <v>0.98060550000000002</v>
      </c>
      <c r="Y5547">
        <v>-7.0316450000000004E-3</v>
      </c>
      <c r="Z5547">
        <v>2.1362600000000001E-3</v>
      </c>
      <c r="AA5547">
        <v>0.999973</v>
      </c>
      <c r="AB5547">
        <v>22</v>
      </c>
      <c r="AC5547">
        <v>14.3972999999999</v>
      </c>
      <c r="AD5547">
        <v>-1.109705018895</v>
      </c>
      <c r="AE5547">
        <v>-0.24968000000000401</v>
      </c>
      <c r="AF5547">
        <v>-0.102007852470492</v>
      </c>
      <c r="AG5547">
        <v>-1.109705018895</v>
      </c>
      <c r="AH5547">
        <v>14.3140860687376</v>
      </c>
      <c r="AI5547">
        <v>94.432898312157803</v>
      </c>
      <c r="AJ5547">
        <v>90.408305529113704</v>
      </c>
      <c r="AK5547">
        <v>14.35739916608</v>
      </c>
      <c r="AL5547">
        <v>78.705552719745</v>
      </c>
      <c r="AM5547">
        <v>89.566252804023307</v>
      </c>
      <c r="AN5547">
        <v>0.99999995518645901</v>
      </c>
    </row>
    <row r="5548" spans="1:40" x14ac:dyDescent="0.25">
      <c r="A5548" t="str">
        <f>"20190312172818523"</f>
        <v>20190312172818523</v>
      </c>
      <c r="B5548" t="str">
        <f>"1552382898514888"</f>
        <v>1552382898514888</v>
      </c>
      <c r="C5548" t="s">
        <v>40</v>
      </c>
      <c r="D5548">
        <v>3.2897029999999998</v>
      </c>
      <c r="E5548">
        <v>0.50378909999999999</v>
      </c>
      <c r="F5548" t="s">
        <v>44</v>
      </c>
      <c r="G5548">
        <v>-269.12599999999998</v>
      </c>
      <c r="H5548">
        <v>1.0426690000000001</v>
      </c>
      <c r="I5548">
        <v>-62.291240000000002</v>
      </c>
      <c r="J5548">
        <v>-269.90030000000002</v>
      </c>
      <c r="K5548">
        <v>1.109674</v>
      </c>
      <c r="L5548">
        <v>-62.278320000000001</v>
      </c>
      <c r="M5548">
        <v>0.99971319999999997</v>
      </c>
      <c r="N5548">
        <v>0</v>
      </c>
      <c r="O5548">
        <v>-2.3710950000000001E-2</v>
      </c>
      <c r="P5548">
        <v>0.98074329999999998</v>
      </c>
      <c r="Q5548">
        <v>0.1927797</v>
      </c>
      <c r="R5548">
        <v>-3.1280370000000002E-2</v>
      </c>
      <c r="S5548">
        <v>3.1035159999999999</v>
      </c>
      <c r="T5548">
        <v>-0.2362707</v>
      </c>
      <c r="U5548">
        <v>-5.1452640000000001E-2</v>
      </c>
      <c r="V5548">
        <v>7.6076590000000001E-3</v>
      </c>
      <c r="W5548">
        <v>0.1960615</v>
      </c>
      <c r="X5548">
        <v>0.98056209999999999</v>
      </c>
      <c r="Y5548">
        <v>-7.0469850000000004E-3</v>
      </c>
      <c r="Z5548">
        <v>2.070016E-3</v>
      </c>
      <c r="AA5548">
        <v>0.999973</v>
      </c>
      <c r="AB5548">
        <v>22</v>
      </c>
      <c r="AC5548">
        <v>0.77430000000003896</v>
      </c>
      <c r="AD5548">
        <v>-6.7004999999999898E-2</v>
      </c>
      <c r="AE5548">
        <v>-1.2920000000008199E-2</v>
      </c>
      <c r="AF5548">
        <v>-5.40267802537328E-3</v>
      </c>
      <c r="AG5548">
        <v>-6.7004999999999898E-2</v>
      </c>
      <c r="AH5548">
        <v>0.76863432468663195</v>
      </c>
      <c r="AI5548">
        <v>94.981990401244502</v>
      </c>
      <c r="AJ5548">
        <v>90.402721477895696</v>
      </c>
      <c r="AK5548">
        <v>0.77156826272295598</v>
      </c>
      <c r="AL5548">
        <v>78.693259980211593</v>
      </c>
      <c r="AM5548">
        <v>89.555481486491203</v>
      </c>
      <c r="AN5548">
        <v>1.0000000101070601</v>
      </c>
    </row>
    <row r="5549" spans="1:40" x14ac:dyDescent="0.25">
      <c r="A5549" t="str">
        <f>"20190312172818534"</f>
        <v>20190312172818534</v>
      </c>
      <c r="B5549" t="str">
        <f>"1552382898524648"</f>
        <v>1552382898524648</v>
      </c>
      <c r="C5549" t="s">
        <v>40</v>
      </c>
      <c r="D5549">
        <v>3.277107</v>
      </c>
      <c r="E5549">
        <v>0.50375829999999999</v>
      </c>
      <c r="F5549" t="s">
        <v>57</v>
      </c>
      <c r="G5549">
        <v>-255.2088</v>
      </c>
      <c r="H5549" s="1">
        <v>-1.843831E-6</v>
      </c>
      <c r="I5549">
        <v>-62.511200000000002</v>
      </c>
      <c r="J5549">
        <v>-269.78789999999998</v>
      </c>
      <c r="K5549">
        <v>1.1096429999999999</v>
      </c>
      <c r="L5549">
        <v>-62.280180000000001</v>
      </c>
      <c r="M5549">
        <v>0.99973129999999999</v>
      </c>
      <c r="N5549">
        <v>0</v>
      </c>
      <c r="O5549">
        <v>-2.2944220000000001E-2</v>
      </c>
      <c r="P5549">
        <v>0.98079170000000004</v>
      </c>
      <c r="Q5549">
        <v>0.1926398</v>
      </c>
      <c r="R5549">
        <v>-3.061848E-2</v>
      </c>
      <c r="S5549">
        <v>3.1034549999999999</v>
      </c>
      <c r="T5549">
        <v>-0.23441039999999999</v>
      </c>
      <c r="U5549">
        <v>-4.9194340000000003E-2</v>
      </c>
      <c r="V5549">
        <v>7.7101130000000002E-3</v>
      </c>
      <c r="W5549">
        <v>0.19589690000000001</v>
      </c>
      <c r="X5549">
        <v>0.98059419999999997</v>
      </c>
      <c r="Y5549">
        <v>-7.0108649999999998E-3</v>
      </c>
      <c r="Z5549">
        <v>1.9946489999999998E-3</v>
      </c>
      <c r="AA5549">
        <v>0.99997340000000001</v>
      </c>
      <c r="AB5549">
        <v>22</v>
      </c>
      <c r="AC5549">
        <v>14.579099999999899</v>
      </c>
      <c r="AD5549">
        <v>-1.109644843831</v>
      </c>
      <c r="AE5549">
        <v>-0.23102</v>
      </c>
      <c r="AF5549">
        <v>-0.102952458678173</v>
      </c>
      <c r="AG5549">
        <v>-1.109644843831</v>
      </c>
      <c r="AH5549">
        <v>14.496604230274301</v>
      </c>
      <c r="AI5549">
        <v>94.377068926990702</v>
      </c>
      <c r="AJ5549">
        <v>90.406898202666</v>
      </c>
      <c r="AK5549">
        <v>14.539375677703401</v>
      </c>
      <c r="AL5549">
        <v>78.702877400346594</v>
      </c>
      <c r="AM5549">
        <v>89.549510050764596</v>
      </c>
      <c r="AN5549">
        <v>1.0000000131728599</v>
      </c>
    </row>
    <row r="5550" spans="1:40" x14ac:dyDescent="0.25">
      <c r="A5550" t="str">
        <f>"20190312172818546"</f>
        <v>20190312172818546</v>
      </c>
      <c r="B5550" t="str">
        <f>"1552382898535384"</f>
        <v>1552382898535384</v>
      </c>
      <c r="C5550" t="s">
        <v>40</v>
      </c>
      <c r="D5550">
        <v>3.2667700000000002</v>
      </c>
      <c r="E5550">
        <v>0.50374160000000001</v>
      </c>
      <c r="F5550" t="s">
        <v>44</v>
      </c>
      <c r="G5550">
        <v>-268.92450000000002</v>
      </c>
      <c r="H5550">
        <v>1.0446390000000001</v>
      </c>
      <c r="I5550">
        <v>-62.293500000000002</v>
      </c>
      <c r="J5550">
        <v>-269.6746</v>
      </c>
      <c r="K5550">
        <v>1.1096109999999999</v>
      </c>
      <c r="L5550">
        <v>-62.281979999999997</v>
      </c>
      <c r="M5550">
        <v>0.99974830000000003</v>
      </c>
      <c r="N5550">
        <v>0</v>
      </c>
      <c r="O5550">
        <v>-2.219109E-2</v>
      </c>
      <c r="P5550">
        <v>0.98077789999999998</v>
      </c>
      <c r="Q5550">
        <v>0.1927912</v>
      </c>
      <c r="R5550">
        <v>-3.0106770000000001E-2</v>
      </c>
      <c r="S5550">
        <v>3.10318</v>
      </c>
      <c r="T5550">
        <v>-0.23363020000000001</v>
      </c>
      <c r="U5550">
        <v>-4.6844480000000001E-2</v>
      </c>
      <c r="V5550">
        <v>7.9503679999999993E-3</v>
      </c>
      <c r="W5550">
        <v>0.19602359999999999</v>
      </c>
      <c r="X5550">
        <v>0.98056690000000002</v>
      </c>
      <c r="Y5550">
        <v>-7.015851E-3</v>
      </c>
      <c r="Z5550">
        <v>1.9318040000000001E-3</v>
      </c>
      <c r="AA5550">
        <v>0.99997349999999996</v>
      </c>
      <c r="AB5550">
        <v>22</v>
      </c>
      <c r="AC5550">
        <v>0.75009999999997401</v>
      </c>
      <c r="AD5550">
        <v>-6.4972000000000196E-2</v>
      </c>
      <c r="AE5550">
        <v>-1.15199999999973E-2</v>
      </c>
      <c r="AF5550">
        <v>-5.0902825684505304E-3</v>
      </c>
      <c r="AG5550">
        <v>-6.4972000000000196E-2</v>
      </c>
      <c r="AH5550">
        <v>0.74458588376962798</v>
      </c>
      <c r="AI5550">
        <v>94.986838774848295</v>
      </c>
      <c r="AJ5550">
        <v>90.391690429020301</v>
      </c>
      <c r="AK5550">
        <v>0.74743254549800298</v>
      </c>
      <c r="AL5550">
        <v>78.695473804342896</v>
      </c>
      <c r="AM5550">
        <v>89.535459997094193</v>
      </c>
      <c r="AN5550">
        <v>0.99999995274195097</v>
      </c>
    </row>
    <row r="5551" spans="1:40" x14ac:dyDescent="0.25">
      <c r="A5551" t="str">
        <f>"20190312172818556"</f>
        <v>20190312172818556</v>
      </c>
      <c r="B5551" t="str">
        <f>"1552382898545145"</f>
        <v>1552382898545145</v>
      </c>
      <c r="C5551" t="s">
        <v>40</v>
      </c>
      <c r="D5551">
        <v>3.2751670000000002</v>
      </c>
      <c r="E5551">
        <v>0.50371069999999996</v>
      </c>
      <c r="F5551" t="s">
        <v>57</v>
      </c>
      <c r="G5551">
        <v>-254.8672</v>
      </c>
      <c r="H5551" s="1">
        <v>-1.6939739999999999E-6</v>
      </c>
      <c r="I5551">
        <v>-62.496490000000001</v>
      </c>
      <c r="J5551">
        <v>-269.56630000000001</v>
      </c>
      <c r="K5551">
        <v>1.1095790000000001</v>
      </c>
      <c r="L5551">
        <v>-62.283630000000002</v>
      </c>
      <c r="M5551">
        <v>0.99976330000000002</v>
      </c>
      <c r="N5551">
        <v>0</v>
      </c>
      <c r="O5551">
        <v>-2.1514490000000001E-2</v>
      </c>
      <c r="P5551">
        <v>0.98072110000000001</v>
      </c>
      <c r="Q5551">
        <v>0.1931398</v>
      </c>
      <c r="R5551">
        <v>-2.9719570000000001E-2</v>
      </c>
      <c r="S5551">
        <v>3.1030880000000001</v>
      </c>
      <c r="T5551">
        <v>-0.23253409999999999</v>
      </c>
      <c r="U5551">
        <v>-4.4952390000000002E-2</v>
      </c>
      <c r="V5551">
        <v>8.2406210000000001E-3</v>
      </c>
      <c r="W5551">
        <v>0.1963519</v>
      </c>
      <c r="X5551">
        <v>0.98049889999999995</v>
      </c>
      <c r="Y5551">
        <v>-6.9510930000000002E-3</v>
      </c>
      <c r="Z5551">
        <v>1.8697939999999999E-3</v>
      </c>
      <c r="AA5551">
        <v>0.99997409999999998</v>
      </c>
      <c r="AB5551">
        <v>22</v>
      </c>
      <c r="AC5551">
        <v>14.6991</v>
      </c>
      <c r="AD5551">
        <v>-1.1095806939740001</v>
      </c>
      <c r="AE5551">
        <v>-0.21285999999999899</v>
      </c>
      <c r="AF5551">
        <v>-0.10284863808109</v>
      </c>
      <c r="AG5551">
        <v>-1.1095806939740001</v>
      </c>
      <c r="AH5551">
        <v>14.617004374292</v>
      </c>
      <c r="AI5551">
        <v>94.340905437415003</v>
      </c>
      <c r="AJ5551">
        <v>90.403139760706395</v>
      </c>
      <c r="AK5551">
        <v>14.6594189529076</v>
      </c>
      <c r="AL5551">
        <v>78.676291743343398</v>
      </c>
      <c r="AM5551">
        <v>89.518467907149997</v>
      </c>
      <c r="AN5551">
        <v>1.00000003468464</v>
      </c>
    </row>
    <row r="5552" spans="1:40" x14ac:dyDescent="0.25">
      <c r="A5552" t="str">
        <f>"20190312172818567"</f>
        <v>20190312172818567</v>
      </c>
      <c r="B5552" t="str">
        <f>"1552382898554904"</f>
        <v>1552382898554904</v>
      </c>
      <c r="C5552" t="s">
        <v>40</v>
      </c>
      <c r="D5552">
        <v>3.2572239999999999</v>
      </c>
      <c r="E5552">
        <v>0.50372870000000003</v>
      </c>
      <c r="F5552" t="s">
        <v>57</v>
      </c>
      <c r="G5552">
        <v>-254.62350000000001</v>
      </c>
      <c r="H5552" s="1">
        <v>-1.58871E-6</v>
      </c>
      <c r="I5552">
        <v>-62.493189999999998</v>
      </c>
      <c r="J5552">
        <v>-269.45569999999998</v>
      </c>
      <c r="K5552">
        <v>1.1095459999999999</v>
      </c>
      <c r="L5552">
        <v>-62.285310000000003</v>
      </c>
      <c r="M5552">
        <v>0.9997779</v>
      </c>
      <c r="N5552">
        <v>0</v>
      </c>
      <c r="O5552">
        <v>-2.0832050000000001E-2</v>
      </c>
      <c r="P5552">
        <v>0.98066260000000005</v>
      </c>
      <c r="Q5552">
        <v>0.19347919999999999</v>
      </c>
      <c r="R5552">
        <v>-2.9443779999999999E-2</v>
      </c>
      <c r="S5552">
        <v>3.103027</v>
      </c>
      <c r="T5552">
        <v>-0.23041510000000001</v>
      </c>
      <c r="U5552">
        <v>-4.3518069999999999E-2</v>
      </c>
      <c r="V5552">
        <v>8.6484100000000005E-3</v>
      </c>
      <c r="W5552">
        <v>0.1966707</v>
      </c>
      <c r="X5552">
        <v>0.98043139999999995</v>
      </c>
      <c r="Y5552">
        <v>-6.7342679999999999E-3</v>
      </c>
      <c r="Z5552">
        <v>1.794218E-3</v>
      </c>
      <c r="AA5552">
        <v>0.99997570000000002</v>
      </c>
      <c r="AB5552">
        <v>22</v>
      </c>
      <c r="AC5552">
        <v>14.832199999999901</v>
      </c>
      <c r="AD5552">
        <v>-1.1095475887099999</v>
      </c>
      <c r="AE5552">
        <v>-0.20788000000001</v>
      </c>
      <c r="AF5552">
        <v>-0.100589027282564</v>
      </c>
      <c r="AG5552">
        <v>-1.1095475887099999</v>
      </c>
      <c r="AH5552">
        <v>14.750782071524201</v>
      </c>
      <c r="AI5552">
        <v>94.3015639521564</v>
      </c>
      <c r="AJ5552">
        <v>90.390707243037198</v>
      </c>
      <c r="AK5552">
        <v>14.7927950613</v>
      </c>
      <c r="AL5552">
        <v>78.657661575844102</v>
      </c>
      <c r="AM5552">
        <v>89.494605598158799</v>
      </c>
      <c r="AN5552">
        <v>0.99999994466998698</v>
      </c>
    </row>
    <row r="5553" spans="1:40" x14ac:dyDescent="0.25">
      <c r="A5553" t="str">
        <f>"20190312172818579"</f>
        <v>20190312172818579</v>
      </c>
      <c r="B5553" t="str">
        <f>"1552382898575400"</f>
        <v>1552382898575400</v>
      </c>
      <c r="C5553" t="s">
        <v>40</v>
      </c>
      <c r="D5553">
        <v>3.266486</v>
      </c>
      <c r="E5553">
        <v>0.50373519999999905</v>
      </c>
      <c r="F5553" t="s">
        <v>57</v>
      </c>
      <c r="G5553">
        <v>-254.37989999999999</v>
      </c>
      <c r="H5553" s="1">
        <v>-1.484134E-6</v>
      </c>
      <c r="I5553">
        <v>-62.492890000000003</v>
      </c>
      <c r="J5553">
        <v>-269.34179999999998</v>
      </c>
      <c r="K5553">
        <v>1.1095120000000001</v>
      </c>
      <c r="L5553">
        <v>-62.286960000000001</v>
      </c>
      <c r="M5553">
        <v>0.99979110000000004</v>
      </c>
      <c r="N5553">
        <v>0</v>
      </c>
      <c r="O5553">
        <v>-2.018549E-2</v>
      </c>
      <c r="P5553">
        <v>0.98065020000000003</v>
      </c>
      <c r="Q5553">
        <v>0.19360250000000001</v>
      </c>
      <c r="R5553">
        <v>-2.9038330000000001E-2</v>
      </c>
      <c r="S5553">
        <v>3.1029659999999999</v>
      </c>
      <c r="T5553">
        <v>-0.2283723</v>
      </c>
      <c r="U5553">
        <v>-4.2724610000000003E-2</v>
      </c>
      <c r="V5553">
        <v>8.8925050000000002E-3</v>
      </c>
      <c r="W5553">
        <v>0.1967759</v>
      </c>
      <c r="X5553">
        <v>0.98040819999999995</v>
      </c>
      <c r="Y5553">
        <v>-6.3470999999999996E-3</v>
      </c>
      <c r="Z5553">
        <v>1.7166579999999901E-3</v>
      </c>
      <c r="AA5553">
        <v>0.99997840000000005</v>
      </c>
      <c r="AB5553">
        <v>22</v>
      </c>
      <c r="AC5553">
        <v>14.961899999999901</v>
      </c>
      <c r="AD5553">
        <v>-1.109513484134</v>
      </c>
      <c r="AE5553">
        <v>-0.205930000000002</v>
      </c>
      <c r="AF5553">
        <v>-9.5601175853134296E-2</v>
      </c>
      <c r="AG5553">
        <v>-1.109513484134</v>
      </c>
      <c r="AH5553">
        <v>14.881190667426701</v>
      </c>
      <c r="AI5553">
        <v>94.263888152920202</v>
      </c>
      <c r="AJ5553">
        <v>90.368079991817794</v>
      </c>
      <c r="AK5553">
        <v>14.9228011926919</v>
      </c>
      <c r="AL5553">
        <v>78.651514967868593</v>
      </c>
      <c r="AM5553">
        <v>89.480329688748697</v>
      </c>
      <c r="AN5553">
        <v>1.0000000350466101</v>
      </c>
    </row>
    <row r="5554" spans="1:40" x14ac:dyDescent="0.25">
      <c r="A5554" t="str">
        <f>"20190312172818591"</f>
        <v>20190312172818591</v>
      </c>
      <c r="B5554" t="str">
        <f>"1552382898585159"</f>
        <v>1552382898585159</v>
      </c>
      <c r="C5554" t="s">
        <v>40</v>
      </c>
      <c r="D5554">
        <v>3.2180529999999998</v>
      </c>
      <c r="E5554">
        <v>0.50377079999999996</v>
      </c>
      <c r="F5554" t="s">
        <v>57</v>
      </c>
      <c r="G5554">
        <v>-254.17009999999999</v>
      </c>
      <c r="H5554" s="1">
        <v>-1.3933569999999999E-6</v>
      </c>
      <c r="I5554">
        <v>-62.489310000000003</v>
      </c>
      <c r="J5554">
        <v>-269.21440000000001</v>
      </c>
      <c r="K5554">
        <v>1.1094710000000001</v>
      </c>
      <c r="L5554">
        <v>-62.288789999999999</v>
      </c>
      <c r="M5554">
        <v>0.99980519999999995</v>
      </c>
      <c r="N5554">
        <v>0</v>
      </c>
      <c r="O5554">
        <v>-1.9481499999999999E-2</v>
      </c>
      <c r="P5554">
        <v>0.98060950000000002</v>
      </c>
      <c r="Q5554">
        <v>0.19384029999999999</v>
      </c>
      <c r="R5554">
        <v>-2.8830959999999999E-2</v>
      </c>
      <c r="S5554">
        <v>3.1026919999999998</v>
      </c>
      <c r="T5554">
        <v>-0.22690189999999999</v>
      </c>
      <c r="U5554">
        <v>-4.1381840000000003E-2</v>
      </c>
      <c r="V5554">
        <v>9.3931810000000004E-3</v>
      </c>
      <c r="W5554">
        <v>0.19699420000000001</v>
      </c>
      <c r="X5554">
        <v>0.98035969999999995</v>
      </c>
      <c r="Y5554">
        <v>-6.0779429999999997E-3</v>
      </c>
      <c r="Z5554">
        <v>1.6445609999999999E-3</v>
      </c>
      <c r="AA5554">
        <v>0.99998019999999999</v>
      </c>
      <c r="AB5554">
        <v>23</v>
      </c>
      <c r="AC5554">
        <v>15.0443</v>
      </c>
      <c r="AD5554">
        <v>-1.1094723933570001</v>
      </c>
      <c r="AE5554">
        <v>-0.20051999999999001</v>
      </c>
      <c r="AF5554">
        <v>-9.2104225040594498E-2</v>
      </c>
      <c r="AG5554">
        <v>-1.1094723933570001</v>
      </c>
      <c r="AH5554">
        <v>14.963982260727001</v>
      </c>
      <c r="AI5554">
        <v>94.240234204597897</v>
      </c>
      <c r="AJ5554">
        <v>90.352654570025393</v>
      </c>
      <c r="AK5554">
        <v>15.005338292729199</v>
      </c>
      <c r="AL5554">
        <v>78.638757697645801</v>
      </c>
      <c r="AM5554">
        <v>89.451045203755797</v>
      </c>
      <c r="AN5554">
        <v>1.0000000440335099</v>
      </c>
    </row>
    <row r="5555" spans="1:40" x14ac:dyDescent="0.25">
      <c r="A5555" t="str">
        <f>"20190312172818603"</f>
        <v>20190312172818603</v>
      </c>
      <c r="B5555" t="str">
        <f>"1552382898594920"</f>
        <v>1552382898594920</v>
      </c>
      <c r="C5555" t="s">
        <v>40</v>
      </c>
      <c r="D5555">
        <v>3.2191540000000001</v>
      </c>
      <c r="E5555">
        <v>0.50378529999999999</v>
      </c>
      <c r="F5555" t="s">
        <v>44</v>
      </c>
      <c r="G5555">
        <v>-268.31740000000002</v>
      </c>
      <c r="H5555">
        <v>1.0442260000000001</v>
      </c>
      <c r="I5555">
        <v>-62.300629999999998</v>
      </c>
      <c r="J5555">
        <v>-269.09620000000001</v>
      </c>
      <c r="K5555">
        <v>1.1094379999999999</v>
      </c>
      <c r="L5555">
        <v>-62.290410000000001</v>
      </c>
      <c r="M5555">
        <v>0.99981699999999996</v>
      </c>
      <c r="N5555">
        <v>0</v>
      </c>
      <c r="O5555">
        <v>-1.8869529999999999E-2</v>
      </c>
      <c r="P5555">
        <v>0.98061600000000004</v>
      </c>
      <c r="Q5555">
        <v>0.19386100000000001</v>
      </c>
      <c r="R5555">
        <v>-2.8462640000000001E-2</v>
      </c>
      <c r="S5555">
        <v>3.102722</v>
      </c>
      <c r="T5555">
        <v>-0.22569939999999999</v>
      </c>
      <c r="U5555">
        <v>-4.0801999999999998E-2</v>
      </c>
      <c r="V5555">
        <v>9.6417680000000002E-3</v>
      </c>
      <c r="W5555">
        <v>0.19699839999999999</v>
      </c>
      <c r="X5555">
        <v>0.98035640000000002</v>
      </c>
      <c r="Y5555">
        <v>-5.6562959999999999E-3</v>
      </c>
      <c r="Z5555">
        <v>1.5760940000000001E-3</v>
      </c>
      <c r="AA5555">
        <v>0.99998279999999995</v>
      </c>
      <c r="AB5555">
        <v>23</v>
      </c>
      <c r="AC5555">
        <v>0.77879999999998895</v>
      </c>
      <c r="AD5555">
        <v>-6.5211999999999798E-2</v>
      </c>
      <c r="AE5555">
        <v>-1.0220000000010899E-2</v>
      </c>
      <c r="AF5555">
        <v>-4.4463130067466002E-3</v>
      </c>
      <c r="AG5555">
        <v>-6.5211999999999798E-2</v>
      </c>
      <c r="AH5555">
        <v>0.77343229474669795</v>
      </c>
      <c r="AI5555">
        <v>94.819419455368006</v>
      </c>
      <c r="AJ5555">
        <v>90.329378751080696</v>
      </c>
      <c r="AK5555">
        <v>0.77618933849963201</v>
      </c>
      <c r="AL5555">
        <v>78.638511763443702</v>
      </c>
      <c r="AM5555">
        <v>89.436516349709706</v>
      </c>
      <c r="AN5555">
        <v>1.00000000215684</v>
      </c>
    </row>
    <row r="5556" spans="1:40" x14ac:dyDescent="0.25">
      <c r="A5556" t="str">
        <f>"20190312172818615"</f>
        <v>20190312172818615</v>
      </c>
      <c r="B5556" t="str">
        <f>"1552382898605656"</f>
        <v>1552382898605656</v>
      </c>
      <c r="C5556" t="s">
        <v>40</v>
      </c>
      <c r="D5556">
        <v>3.1898520000000001</v>
      </c>
      <c r="E5556">
        <v>0.50381299999999996</v>
      </c>
      <c r="F5556" t="s">
        <v>57</v>
      </c>
      <c r="G5556">
        <v>-253.80160000000001</v>
      </c>
      <c r="H5556" s="1">
        <v>-1.234732E-6</v>
      </c>
      <c r="I5556">
        <v>-62.487029999999997</v>
      </c>
      <c r="J5556">
        <v>-268.97730000000001</v>
      </c>
      <c r="K5556">
        <v>1.1094029999999999</v>
      </c>
      <c r="L5556">
        <v>-62.291989999999998</v>
      </c>
      <c r="M5556">
        <v>0.99982789999999999</v>
      </c>
      <c r="N5556">
        <v>0</v>
      </c>
      <c r="O5556">
        <v>-1.8286650000000002E-2</v>
      </c>
      <c r="P5556">
        <v>0.98067870000000001</v>
      </c>
      <c r="Q5556">
        <v>0.1935521</v>
      </c>
      <c r="R5556">
        <v>-2.8408940000000001E-2</v>
      </c>
      <c r="S5556">
        <v>3.1026310000000001</v>
      </c>
      <c r="T5556">
        <v>-0.22505839999999999</v>
      </c>
      <c r="U5556">
        <v>-3.988647E-2</v>
      </c>
      <c r="V5556">
        <v>1.0175299999999899E-2</v>
      </c>
      <c r="W5556">
        <v>0.19667399999999999</v>
      </c>
      <c r="X5556">
        <v>0.98041610000000001</v>
      </c>
      <c r="Y5556">
        <v>-5.3706049999999996E-3</v>
      </c>
      <c r="Z5556">
        <v>1.519116E-3</v>
      </c>
      <c r="AA5556">
        <v>0.9999844</v>
      </c>
      <c r="AB5556">
        <v>23</v>
      </c>
      <c r="AC5556">
        <v>15.175700000000001</v>
      </c>
      <c r="AD5556">
        <v>-1.1094042347319999</v>
      </c>
      <c r="AE5556">
        <v>-0.19503999999999799</v>
      </c>
      <c r="AF5556">
        <v>-8.2068168049869203E-2</v>
      </c>
      <c r="AG5556">
        <v>-1.1094042347319999</v>
      </c>
      <c r="AH5556">
        <v>15.096066045599899</v>
      </c>
      <c r="AI5556">
        <v>94.203027761925</v>
      </c>
      <c r="AJ5556">
        <v>90.3114793831123</v>
      </c>
      <c r="AK5556">
        <v>15.136998480325101</v>
      </c>
      <c r="AL5556">
        <v>78.657468956402994</v>
      </c>
      <c r="AM5556">
        <v>89.405374091591995</v>
      </c>
      <c r="AN5556">
        <v>0.99999996407264902</v>
      </c>
    </row>
    <row r="5557" spans="1:40" x14ac:dyDescent="0.25">
      <c r="A5557" t="str">
        <f>"20190312172818626"</f>
        <v>20190312172818626</v>
      </c>
      <c r="B5557" t="str">
        <f>"1552382898615417"</f>
        <v>1552382898615417</v>
      </c>
      <c r="C5557" t="s">
        <v>40</v>
      </c>
      <c r="D5557">
        <v>3.2126739999999998</v>
      </c>
      <c r="E5557">
        <v>0.50384390000000001</v>
      </c>
      <c r="F5557" t="s">
        <v>44</v>
      </c>
      <c r="G5557">
        <v>-268.10809999999998</v>
      </c>
      <c r="H5557">
        <v>1.0461689999999999</v>
      </c>
      <c r="I5557">
        <v>-62.3033</v>
      </c>
      <c r="J5557">
        <v>-268.85669999999999</v>
      </c>
      <c r="K5557">
        <v>1.1093649999999999</v>
      </c>
      <c r="L5557">
        <v>-62.293610000000001</v>
      </c>
      <c r="M5557">
        <v>0.99983820000000001</v>
      </c>
      <c r="N5557">
        <v>0</v>
      </c>
      <c r="O5557">
        <v>-1.7717480000000001E-2</v>
      </c>
      <c r="P5557">
        <v>0.98068429999999995</v>
      </c>
      <c r="Q5557">
        <v>0.1935936</v>
      </c>
      <c r="R5557">
        <v>-2.7928560000000002E-2</v>
      </c>
      <c r="S5557">
        <v>3.102509</v>
      </c>
      <c r="T5557">
        <v>-0.22574559999999999</v>
      </c>
      <c r="U5557">
        <v>-3.9916989999999999E-2</v>
      </c>
      <c r="V5557">
        <v>1.026962E-2</v>
      </c>
      <c r="W5557">
        <v>0.19669970000000001</v>
      </c>
      <c r="X5557">
        <v>0.98041</v>
      </c>
      <c r="Y5557">
        <v>-4.7936510000000003E-3</v>
      </c>
      <c r="Z5557">
        <v>1.4614889999999901E-3</v>
      </c>
      <c r="AA5557">
        <v>0.99998739999999997</v>
      </c>
      <c r="AB5557">
        <v>23</v>
      </c>
      <c r="AC5557">
        <v>0.74860000000001004</v>
      </c>
      <c r="AD5557">
        <v>-6.3195999999999794E-2</v>
      </c>
      <c r="AE5557">
        <v>-9.6899999999990796E-3</v>
      </c>
      <c r="AF5557">
        <v>-3.5495984803150401E-3</v>
      </c>
      <c r="AG5557">
        <v>-6.3195999999999794E-2</v>
      </c>
      <c r="AH5557">
        <v>0.74335748741833796</v>
      </c>
      <c r="AI5557">
        <v>94.859219979128</v>
      </c>
      <c r="AJ5557">
        <v>90.273590391683499</v>
      </c>
      <c r="AK5557">
        <v>0.74604737662314402</v>
      </c>
      <c r="AL5557">
        <v>78.655967561166506</v>
      </c>
      <c r="AM5557">
        <v>89.399858870998401</v>
      </c>
      <c r="AN5557">
        <v>1.00000000258751</v>
      </c>
    </row>
    <row r="5558" spans="1:40" x14ac:dyDescent="0.25">
      <c r="A5558" t="str">
        <f>"20190312172818636"</f>
        <v>20190312172818636</v>
      </c>
      <c r="B5558" t="str">
        <f>"1552382898625176"</f>
        <v>1552382898625176</v>
      </c>
      <c r="C5558" t="s">
        <v>40</v>
      </c>
      <c r="D5558">
        <v>3.2617289999999999</v>
      </c>
      <c r="E5558">
        <v>0.50384390000000001</v>
      </c>
      <c r="F5558" t="s">
        <v>57</v>
      </c>
      <c r="G5558">
        <v>-253.58670000000001</v>
      </c>
      <c r="H5558" s="1">
        <v>-1.1416870000000001E-6</v>
      </c>
      <c r="I5558">
        <v>-62.483170000000001</v>
      </c>
      <c r="J5558">
        <v>-268.75720000000001</v>
      </c>
      <c r="K5558">
        <v>1.1093329999999999</v>
      </c>
      <c r="L5558">
        <v>-62.294890000000002</v>
      </c>
      <c r="M5558">
        <v>0.99984569999999995</v>
      </c>
      <c r="N5558">
        <v>0</v>
      </c>
      <c r="O5558">
        <v>-1.7287420000000001E-2</v>
      </c>
      <c r="P5558">
        <v>0.9806994</v>
      </c>
      <c r="Q5558">
        <v>0.1935482</v>
      </c>
      <c r="R5558">
        <v>-2.7717869999999999E-2</v>
      </c>
      <c r="S5558">
        <v>3.1024780000000001</v>
      </c>
      <c r="T5558">
        <v>-0.2253947</v>
      </c>
      <c r="U5558">
        <v>-3.8513180000000001E-2</v>
      </c>
      <c r="V5558">
        <v>1.0493850000000001E-2</v>
      </c>
      <c r="W5558">
        <v>0.19664309999999999</v>
      </c>
      <c r="X5558">
        <v>0.98041900000000004</v>
      </c>
      <c r="Y5558">
        <v>-4.8170620000000004E-3</v>
      </c>
      <c r="Z5558">
        <v>1.4288969999999999E-3</v>
      </c>
      <c r="AA5558">
        <v>0.99998739999999997</v>
      </c>
      <c r="AB5558">
        <v>23</v>
      </c>
      <c r="AC5558">
        <v>15.170500000000001</v>
      </c>
      <c r="AD5558">
        <v>-1.109334141687</v>
      </c>
      <c r="AE5558">
        <v>-0.18827999999999101</v>
      </c>
      <c r="AF5558">
        <v>-7.3614646151637195E-2</v>
      </c>
      <c r="AG5558">
        <v>-1.109334141687</v>
      </c>
      <c r="AH5558">
        <v>15.090806946338001</v>
      </c>
      <c r="AI5558">
        <v>94.2042346230009</v>
      </c>
      <c r="AJ5558">
        <v>90.279493011519406</v>
      </c>
      <c r="AK5558">
        <v>15.131704981451501</v>
      </c>
      <c r="AL5558">
        <v>78.6592753304258</v>
      </c>
      <c r="AM5558">
        <v>89.386761826463498</v>
      </c>
      <c r="AN5558">
        <v>1.00000002261321</v>
      </c>
    </row>
    <row r="5559" spans="1:40" x14ac:dyDescent="0.25">
      <c r="A5559" t="str">
        <f>"20190312172818646"</f>
        <v>20190312172818646</v>
      </c>
      <c r="B5559" t="str">
        <f>"1552382898634936"</f>
        <v>1552382898634936</v>
      </c>
      <c r="C5559" t="s">
        <v>40</v>
      </c>
      <c r="D5559">
        <v>3.1834820000000001</v>
      </c>
      <c r="E5559">
        <v>0.49022710000000003</v>
      </c>
      <c r="F5559" t="s">
        <v>44</v>
      </c>
      <c r="G5559">
        <v>-267.89589999999998</v>
      </c>
      <c r="H5559">
        <v>1.046719</v>
      </c>
      <c r="I5559">
        <v>-62.305610000000001</v>
      </c>
      <c r="J5559">
        <v>-268.6508</v>
      </c>
      <c r="K5559">
        <v>1.1093010000000001</v>
      </c>
      <c r="L5559">
        <v>-62.296230000000001</v>
      </c>
      <c r="M5559">
        <v>0.9998534</v>
      </c>
      <c r="N5559">
        <v>0</v>
      </c>
      <c r="O5559">
        <v>-1.6834370000000001E-2</v>
      </c>
      <c r="P5559">
        <v>0.98062150000000003</v>
      </c>
      <c r="Q5559">
        <v>0.193964</v>
      </c>
      <c r="R5559">
        <v>-2.7556939999999999E-2</v>
      </c>
      <c r="S5559">
        <v>3.1024479999999999</v>
      </c>
      <c r="T5559">
        <v>-0.22553300000000001</v>
      </c>
      <c r="U5559">
        <v>-3.771973E-2</v>
      </c>
      <c r="V5559">
        <v>1.079252E-2</v>
      </c>
      <c r="W5559">
        <v>0.1970471</v>
      </c>
      <c r="X5559">
        <v>0.98033459999999994</v>
      </c>
      <c r="Y5559">
        <v>-4.6211689999999996E-3</v>
      </c>
      <c r="Z5559">
        <v>1.3897919999999999E-3</v>
      </c>
      <c r="AA5559">
        <v>0.9999884</v>
      </c>
      <c r="AB5559">
        <v>23</v>
      </c>
      <c r="AC5559">
        <v>0.75490000000002</v>
      </c>
      <c r="AD5559">
        <v>-6.2582000000000096E-2</v>
      </c>
      <c r="AE5559">
        <v>-9.3799999999930501E-3</v>
      </c>
      <c r="AF5559">
        <v>-3.30693363800472E-3</v>
      </c>
      <c r="AG5559">
        <v>-6.2582000000000096E-2</v>
      </c>
      <c r="AH5559">
        <v>0.74979867219232299</v>
      </c>
      <c r="AI5559">
        <v>94.7710914218478</v>
      </c>
      <c r="AJ5559">
        <v>90.252697316080997</v>
      </c>
      <c r="AK5559">
        <v>0.75241311216342899</v>
      </c>
      <c r="AL5559">
        <v>78.635665452282694</v>
      </c>
      <c r="AM5559">
        <v>89.369255286443504</v>
      </c>
      <c r="AN5559">
        <v>0.99999998303175996</v>
      </c>
    </row>
    <row r="5560" spans="1:40" x14ac:dyDescent="0.25">
      <c r="A5560" t="str">
        <f>"20190312172818657"</f>
        <v>20190312172818657</v>
      </c>
      <c r="B5560" t="str">
        <f>"1552382898645672"</f>
        <v>1552382898645672</v>
      </c>
      <c r="C5560" t="s">
        <v>40</v>
      </c>
      <c r="D5560">
        <v>3.291004</v>
      </c>
      <c r="E5560">
        <v>0.4881762</v>
      </c>
      <c r="F5560" t="s">
        <v>58</v>
      </c>
      <c r="G5560">
        <v>-245.61689999999999</v>
      </c>
      <c r="H5560" s="1">
        <v>-1.7769169999999999E-6</v>
      </c>
      <c r="I5560">
        <v>-61.812379999999997</v>
      </c>
      <c r="J5560">
        <v>-268.541</v>
      </c>
      <c r="K5560">
        <v>1.1092690000000001</v>
      </c>
      <c r="L5560">
        <v>-62.297640000000001</v>
      </c>
      <c r="M5560">
        <v>0.99986050000000004</v>
      </c>
      <c r="N5560">
        <v>0</v>
      </c>
      <c r="O5560">
        <v>-1.6411829999999999E-2</v>
      </c>
      <c r="P5560">
        <v>0.98068460000000002</v>
      </c>
      <c r="Q5560">
        <v>0.19369700000000001</v>
      </c>
      <c r="R5560">
        <v>-2.7187449999999998E-2</v>
      </c>
      <c r="S5560">
        <v>3.0905149999999999</v>
      </c>
      <c r="T5560">
        <v>-0.14883759999999999</v>
      </c>
      <c r="U5560">
        <v>6.4910889999999999E-2</v>
      </c>
      <c r="V5560">
        <v>1.085149E-2</v>
      </c>
      <c r="W5560">
        <v>0.19676940000000001</v>
      </c>
      <c r="X5560">
        <v>0.98038979999999998</v>
      </c>
      <c r="Y5560">
        <v>-3.7341810000000003E-2</v>
      </c>
      <c r="Z5560">
        <v>1.6884129999999999E-3</v>
      </c>
      <c r="AA5560">
        <v>0.99930110000000005</v>
      </c>
      <c r="AB5560">
        <v>23</v>
      </c>
      <c r="AC5560">
        <v>22.924099999999999</v>
      </c>
      <c r="AD5560">
        <v>-1.109270776917</v>
      </c>
      <c r="AE5560">
        <v>0.48525999999999597</v>
      </c>
      <c r="AF5560">
        <v>-0.85941149310252996</v>
      </c>
      <c r="AG5560">
        <v>-1.109270776917</v>
      </c>
      <c r="AH5560">
        <v>22.859547225253401</v>
      </c>
      <c r="AI5560">
        <v>92.776168523903493</v>
      </c>
      <c r="AJ5560">
        <v>92.153037922002795</v>
      </c>
      <c r="AK5560">
        <v>22.902575600019102</v>
      </c>
      <c r="AL5560">
        <v>78.651895055178599</v>
      </c>
      <c r="AM5560">
        <v>89.365844901941102</v>
      </c>
      <c r="AN5560">
        <v>1.0000000557777999</v>
      </c>
    </row>
    <row r="5561" spans="1:40" x14ac:dyDescent="0.25">
      <c r="A5561" t="str">
        <f>"20190312172818668"</f>
        <v>20190312172818668</v>
      </c>
      <c r="B5561" t="str">
        <f>"1552382898665193"</f>
        <v>1552382898665193</v>
      </c>
      <c r="C5561" t="s">
        <v>40</v>
      </c>
      <c r="D5561">
        <v>3.2203189999999999</v>
      </c>
      <c r="E5561">
        <v>0.48638559999999997</v>
      </c>
      <c r="F5561" t="s">
        <v>58</v>
      </c>
      <c r="G5561">
        <v>-243.4402</v>
      </c>
      <c r="H5561" s="1">
        <v>-7.9595399999999998E-7</v>
      </c>
      <c r="I5561">
        <v>-61.635069999999899</v>
      </c>
      <c r="J5561">
        <v>-268.42509999999999</v>
      </c>
      <c r="K5561">
        <v>1.109227</v>
      </c>
      <c r="L5561">
        <v>-62.299069999999901</v>
      </c>
      <c r="M5561">
        <v>0.99986759999999997</v>
      </c>
      <c r="N5561">
        <v>0</v>
      </c>
      <c r="O5561">
        <v>-1.5975349999999999E-2</v>
      </c>
      <c r="P5561">
        <v>0.9806551</v>
      </c>
      <c r="Q5561">
        <v>0.193879</v>
      </c>
      <c r="R5561">
        <v>-2.6955449999999999E-2</v>
      </c>
      <c r="S5561">
        <v>3.0883180000000001</v>
      </c>
      <c r="T5561">
        <v>-0.13648080000000001</v>
      </c>
      <c r="U5561">
        <v>8.151245E-2</v>
      </c>
      <c r="V5561">
        <v>1.1063730000000001E-2</v>
      </c>
      <c r="W5561">
        <v>0.19694049999999999</v>
      </c>
      <c r="X5561">
        <v>0.98035300000000003</v>
      </c>
      <c r="Y5561">
        <v>-4.2294279999999997E-2</v>
      </c>
      <c r="Z5561">
        <v>1.6394720000000001E-3</v>
      </c>
      <c r="AA5561">
        <v>0.99910379999999999</v>
      </c>
      <c r="AB5561">
        <v>23</v>
      </c>
      <c r="AC5561">
        <v>24.9848999999999</v>
      </c>
      <c r="AD5561">
        <v>-1.109227795954</v>
      </c>
      <c r="AE5561">
        <v>0.66400000000000103</v>
      </c>
      <c r="AF5561">
        <v>-1.06097000153929</v>
      </c>
      <c r="AG5561">
        <v>-1.109227795954</v>
      </c>
      <c r="AH5561">
        <v>24.922017276836598</v>
      </c>
      <c r="AI5561">
        <v>92.546132414466697</v>
      </c>
      <c r="AJ5561">
        <v>92.437700727221397</v>
      </c>
      <c r="AK5561">
        <v>24.969240853386498</v>
      </c>
      <c r="AL5561">
        <v>78.641895287138695</v>
      </c>
      <c r="AM5561">
        <v>89.353418488004394</v>
      </c>
      <c r="AN5561">
        <v>0.99999998563538095</v>
      </c>
    </row>
    <row r="5562" spans="1:40" x14ac:dyDescent="0.25">
      <c r="A5562" t="str">
        <f>"20190312172818678"</f>
        <v>20190312172818678</v>
      </c>
      <c r="B5562" t="str">
        <f>"1552382898674956"</f>
        <v>1552382898674956</v>
      </c>
      <c r="C5562" t="s">
        <v>40</v>
      </c>
      <c r="D5562">
        <v>3.1930000000000001</v>
      </c>
      <c r="E5562">
        <v>0.4859966</v>
      </c>
      <c r="F5562" t="s">
        <v>58</v>
      </c>
      <c r="G5562">
        <v>-240.9391</v>
      </c>
      <c r="H5562" s="1">
        <v>3.265422E-7</v>
      </c>
      <c r="I5562">
        <v>-61.448900000000002</v>
      </c>
      <c r="J5562">
        <v>-268.30810000000002</v>
      </c>
      <c r="K5562">
        <v>1.109191</v>
      </c>
      <c r="L5562">
        <v>-62.300510000000003</v>
      </c>
      <c r="M5562">
        <v>0.99987369999999998</v>
      </c>
      <c r="N5562">
        <v>0</v>
      </c>
      <c r="O5562">
        <v>-1.5588350000000001E-2</v>
      </c>
      <c r="P5562">
        <v>0.98066070000000005</v>
      </c>
      <c r="Q5562">
        <v>0.19388059999999999</v>
      </c>
      <c r="R5562">
        <v>-2.6738560000000001E-2</v>
      </c>
      <c r="S5562">
        <v>3.0864259999999999</v>
      </c>
      <c r="T5562">
        <v>-0.1245559</v>
      </c>
      <c r="U5562">
        <v>9.5458979999999999E-2</v>
      </c>
      <c r="V5562">
        <v>1.124233E-2</v>
      </c>
      <c r="W5562">
        <v>0.19693350000000001</v>
      </c>
      <c r="X5562">
        <v>0.98035240000000001</v>
      </c>
      <c r="Y5562">
        <v>-4.644065E-2</v>
      </c>
      <c r="Z5562">
        <v>1.5651759999999999E-3</v>
      </c>
      <c r="AA5562">
        <v>0.99891980000000002</v>
      </c>
      <c r="AB5562">
        <v>23</v>
      </c>
      <c r="AC5562">
        <v>27.369</v>
      </c>
      <c r="AD5562">
        <v>-1.1091906734578001</v>
      </c>
      <c r="AE5562">
        <v>0.85160999999999298</v>
      </c>
      <c r="AF5562">
        <v>-1.2760522834483601</v>
      </c>
      <c r="AG5562">
        <v>-1.1091906734578001</v>
      </c>
      <c r="AH5562">
        <v>27.307591002261599</v>
      </c>
      <c r="AI5562">
        <v>92.323451753279002</v>
      </c>
      <c r="AJ5562">
        <v>92.675419598819005</v>
      </c>
      <c r="AK5562">
        <v>27.359881939200299</v>
      </c>
      <c r="AL5562">
        <v>78.6423046585696</v>
      </c>
      <c r="AM5562">
        <v>89.342981333098507</v>
      </c>
      <c r="AN5562">
        <v>1.0000000107959099</v>
      </c>
    </row>
    <row r="5563" spans="1:40" x14ac:dyDescent="0.25">
      <c r="A5563" t="str">
        <f>"20190312172818691"</f>
        <v>20190312172818691</v>
      </c>
      <c r="B5563" t="str">
        <f>"1552382898685691"</f>
        <v>1552382898685691</v>
      </c>
      <c r="C5563" t="s">
        <v>40</v>
      </c>
      <c r="D5563">
        <v>3.2232639999999999</v>
      </c>
      <c r="E5563">
        <v>0.4859135</v>
      </c>
      <c r="F5563" t="s">
        <v>58</v>
      </c>
      <c r="G5563">
        <v>-240.65479999999999</v>
      </c>
      <c r="H5563" s="1">
        <v>4.5836119999999999E-7</v>
      </c>
      <c r="I5563">
        <v>-61.411790000000003</v>
      </c>
      <c r="J5563">
        <v>-268.18060000000003</v>
      </c>
      <c r="K5563">
        <v>1.109151</v>
      </c>
      <c r="L5563">
        <v>-62.302030000000002</v>
      </c>
      <c r="M5563">
        <v>0.99987990000000004</v>
      </c>
      <c r="N5563">
        <v>0</v>
      </c>
      <c r="O5563">
        <v>-1.5184080000000001E-2</v>
      </c>
      <c r="P5563">
        <v>0.98065639999999998</v>
      </c>
      <c r="Q5563">
        <v>0.19394259999999999</v>
      </c>
      <c r="R5563">
        <v>-2.6450419999999999E-2</v>
      </c>
      <c r="S5563">
        <v>3.0863339999999999</v>
      </c>
      <c r="T5563">
        <v>-0.1237949</v>
      </c>
      <c r="U5563">
        <v>9.9182129999999993E-2</v>
      </c>
      <c r="V5563">
        <v>1.136765E-2</v>
      </c>
      <c r="W5563">
        <v>0.1969872</v>
      </c>
      <c r="X5563">
        <v>0.98034010000000005</v>
      </c>
      <c r="Y5563">
        <v>-4.7241779999999997E-2</v>
      </c>
      <c r="Z5563">
        <v>1.555489E-3</v>
      </c>
      <c r="AA5563">
        <v>0.9988823</v>
      </c>
      <c r="AB5563">
        <v>23</v>
      </c>
      <c r="AC5563">
        <v>27.5258</v>
      </c>
      <c r="AD5563">
        <v>-1.1091505416387999</v>
      </c>
      <c r="AE5563">
        <v>0.89023999999999803</v>
      </c>
      <c r="AF5563">
        <v>-1.30597505643404</v>
      </c>
      <c r="AG5563">
        <v>-1.1091505416387999</v>
      </c>
      <c r="AH5563">
        <v>27.464561992779799</v>
      </c>
      <c r="AI5563">
        <v>92.310013964529702</v>
      </c>
      <c r="AJ5563">
        <v>92.722436923860201</v>
      </c>
      <c r="AK5563">
        <v>27.517956886863701</v>
      </c>
      <c r="AL5563">
        <v>78.639165655979099</v>
      </c>
      <c r="AM5563">
        <v>89.335649762158397</v>
      </c>
      <c r="AN5563">
        <v>0.99999994604918396</v>
      </c>
    </row>
    <row r="5564" spans="1:40" x14ac:dyDescent="0.25">
      <c r="A5564" t="str">
        <f>"20190312172818702"</f>
        <v>20190312172818702</v>
      </c>
      <c r="B5564" t="str">
        <f>"1552382898695448"</f>
        <v>1552382898695448</v>
      </c>
      <c r="C5564" t="s">
        <v>40</v>
      </c>
      <c r="D5564">
        <v>3.2300339999999998</v>
      </c>
      <c r="E5564">
        <v>0.48590879999999997</v>
      </c>
      <c r="F5564" t="s">
        <v>58</v>
      </c>
      <c r="G5564">
        <v>-240.21860000000001</v>
      </c>
      <c r="H5564" s="1">
        <v>6.5152289999999998E-7</v>
      </c>
      <c r="I5564">
        <v>-61.389220000000002</v>
      </c>
      <c r="J5564">
        <v>-268.06959999999998</v>
      </c>
      <c r="K5564">
        <v>1.109118</v>
      </c>
      <c r="L5564">
        <v>-62.30341</v>
      </c>
      <c r="M5564">
        <v>0.99988480000000002</v>
      </c>
      <c r="N5564">
        <v>0</v>
      </c>
      <c r="O5564">
        <v>-1.486634E-2</v>
      </c>
      <c r="P5564">
        <v>0.98069660000000003</v>
      </c>
      <c r="Q5564">
        <v>0.19377420000000001</v>
      </c>
      <c r="R5564">
        <v>-2.6194700000000001E-2</v>
      </c>
      <c r="S5564">
        <v>3.08609</v>
      </c>
      <c r="T5564">
        <v>-0.122414</v>
      </c>
      <c r="U5564">
        <v>0.10073849999999999</v>
      </c>
      <c r="V5564">
        <v>1.143807E-2</v>
      </c>
      <c r="W5564">
        <v>0.1968133</v>
      </c>
      <c r="X5564">
        <v>0.98037430000000003</v>
      </c>
      <c r="Y5564">
        <v>-4.7431340000000002E-2</v>
      </c>
      <c r="Z5564">
        <v>1.5294219999999999E-3</v>
      </c>
      <c r="AA5564">
        <v>0.99887340000000002</v>
      </c>
      <c r="AB5564">
        <v>23</v>
      </c>
      <c r="AC5564">
        <v>27.8509999999999</v>
      </c>
      <c r="AD5564">
        <v>-1.1091173484771</v>
      </c>
      <c r="AE5564">
        <v>0.91419000000000405</v>
      </c>
      <c r="AF5564">
        <v>-1.3260326684308299</v>
      </c>
      <c r="AG5564">
        <v>-1.1091173484771</v>
      </c>
      <c r="AH5564">
        <v>27.790306459636898</v>
      </c>
      <c r="AI5564">
        <v>92.282879858527394</v>
      </c>
      <c r="AJ5564">
        <v>92.731833626394007</v>
      </c>
      <c r="AK5564">
        <v>27.8440233632098</v>
      </c>
      <c r="AL5564">
        <v>78.649329380203895</v>
      </c>
      <c r="AM5564">
        <v>89.331557953257104</v>
      </c>
      <c r="AN5564">
        <v>1.0000000363013499</v>
      </c>
    </row>
    <row r="5565" spans="1:40" x14ac:dyDescent="0.25">
      <c r="A5565" t="str">
        <f>"20190312172818713"</f>
        <v>20190312172818713</v>
      </c>
      <c r="B5565" t="str">
        <f>"1552382898705208"</f>
        <v>1552382898705208</v>
      </c>
      <c r="C5565" t="s">
        <v>40</v>
      </c>
      <c r="D5565">
        <v>3.2629969999999999</v>
      </c>
      <c r="E5565">
        <v>0.48542259999999998</v>
      </c>
      <c r="F5565" t="s">
        <v>58</v>
      </c>
      <c r="G5565">
        <v>-240.17089999999999</v>
      </c>
      <c r="H5565" s="1">
        <v>6.7281809999999995E-7</v>
      </c>
      <c r="I5565">
        <v>-61.386009999999999</v>
      </c>
      <c r="J5565">
        <v>-267.95100000000002</v>
      </c>
      <c r="K5565">
        <v>1.1090819999999999</v>
      </c>
      <c r="L5565">
        <v>-62.304810000000003</v>
      </c>
      <c r="M5565">
        <v>0.99988929999999998</v>
      </c>
      <c r="N5565">
        <v>0</v>
      </c>
      <c r="O5565">
        <v>-1.455243E-2</v>
      </c>
      <c r="P5565">
        <v>0.98064980000000002</v>
      </c>
      <c r="Q5565">
        <v>0.19405040000000001</v>
      </c>
      <c r="R5565">
        <v>-2.5902189999999999E-2</v>
      </c>
      <c r="S5565">
        <v>3.0859990000000002</v>
      </c>
      <c r="T5565">
        <v>-0.1226846</v>
      </c>
      <c r="U5565">
        <v>0.1014709</v>
      </c>
      <c r="V5565">
        <v>1.1469389999999999E-2</v>
      </c>
      <c r="W5565">
        <v>0.19708490000000001</v>
      </c>
      <c r="X5565">
        <v>0.9803193</v>
      </c>
      <c r="Y5565">
        <v>-4.7355620000000001E-2</v>
      </c>
      <c r="Z5565">
        <v>1.518864E-3</v>
      </c>
      <c r="AA5565">
        <v>0.99887689999999996</v>
      </c>
      <c r="AB5565">
        <v>23</v>
      </c>
      <c r="AC5565">
        <v>27.780099999999901</v>
      </c>
      <c r="AD5565">
        <v>-1.10908132718189</v>
      </c>
      <c r="AE5565">
        <v>0.91879999999999695</v>
      </c>
      <c r="AF5565">
        <v>-1.3208695850032199</v>
      </c>
      <c r="AG5565">
        <v>-1.10908132718189</v>
      </c>
      <c r="AH5565">
        <v>27.719653552902699</v>
      </c>
      <c r="AI5565">
        <v>92.288625148629194</v>
      </c>
      <c r="AJ5565">
        <v>92.728138356145195</v>
      </c>
      <c r="AK5565">
        <v>27.773259638433601</v>
      </c>
      <c r="AL5565">
        <v>78.633456171003203</v>
      </c>
      <c r="AM5565">
        <v>89.329690174198205</v>
      </c>
      <c r="AN5565">
        <v>0.99999996733373497</v>
      </c>
    </row>
    <row r="5566" spans="1:40" x14ac:dyDescent="0.25">
      <c r="A5566" t="str">
        <f>"20190312172818724"</f>
        <v>20190312172818724</v>
      </c>
      <c r="B5566" t="str">
        <f>"1552382898714969"</f>
        <v>1552382898714969</v>
      </c>
      <c r="C5566" t="s">
        <v>40</v>
      </c>
      <c r="D5566">
        <v>3.228653</v>
      </c>
      <c r="E5566">
        <v>0.48520449999999998</v>
      </c>
      <c r="F5566" t="s">
        <v>59</v>
      </c>
      <c r="G5566">
        <v>-238.75649999999999</v>
      </c>
      <c r="H5566" s="1">
        <v>-2.9884979999999998E-6</v>
      </c>
      <c r="I5566">
        <v>-61.303829999999998</v>
      </c>
      <c r="J5566">
        <v>-267.82409999999999</v>
      </c>
      <c r="K5566">
        <v>1.1090469999999999</v>
      </c>
      <c r="L5566">
        <v>-62.306339999999999</v>
      </c>
      <c r="M5566">
        <v>0.9998939</v>
      </c>
      <c r="N5566">
        <v>0</v>
      </c>
      <c r="O5566">
        <v>-1.42452E-2</v>
      </c>
      <c r="P5566">
        <v>0.98067519999999997</v>
      </c>
      <c r="Q5566">
        <v>0.19391459999999999</v>
      </c>
      <c r="R5566">
        <v>-2.5951809999999999E-2</v>
      </c>
      <c r="S5566">
        <v>3.085175</v>
      </c>
      <c r="T5566">
        <v>-0.1172044</v>
      </c>
      <c r="U5566">
        <v>0.1057739</v>
      </c>
      <c r="V5566">
        <v>1.1836849999999999E-2</v>
      </c>
      <c r="W5566">
        <v>0.19694610000000001</v>
      </c>
      <c r="X5566">
        <v>0.98034290000000002</v>
      </c>
      <c r="Y5566">
        <v>-4.8452710000000003E-2</v>
      </c>
      <c r="Z5566">
        <v>1.460584E-3</v>
      </c>
      <c r="AA5566">
        <v>0.99882439999999995</v>
      </c>
      <c r="AB5566">
        <v>24</v>
      </c>
      <c r="AC5566">
        <v>29.067599999999999</v>
      </c>
      <c r="AD5566">
        <v>-1.1090499884980001</v>
      </c>
      <c r="AE5566">
        <v>1.00251</v>
      </c>
      <c r="AF5566">
        <v>-1.4144273770934199</v>
      </c>
      <c r="AG5566">
        <v>-1.1090499884980001</v>
      </c>
      <c r="AH5566">
        <v>29.008191298020801</v>
      </c>
      <c r="AI5566">
        <v>92.186887691304605</v>
      </c>
      <c r="AJ5566">
        <v>92.791507580439102</v>
      </c>
      <c r="AK5566">
        <v>29.063822168885899</v>
      </c>
      <c r="AL5566">
        <v>78.641568640631704</v>
      </c>
      <c r="AM5566">
        <v>89.308233279246096</v>
      </c>
      <c r="AN5566">
        <v>1.0000000394517701</v>
      </c>
    </row>
    <row r="5567" spans="1:40" x14ac:dyDescent="0.25">
      <c r="A5567" t="str">
        <f>"20190312172818736"</f>
        <v>20190312172818736</v>
      </c>
      <c r="B5567" t="str">
        <f>"1552382898725704"</f>
        <v>1552382898725704</v>
      </c>
      <c r="C5567" t="s">
        <v>40</v>
      </c>
      <c r="D5567">
        <v>3.1970909999999999</v>
      </c>
      <c r="E5567">
        <v>0.48525550000000001</v>
      </c>
      <c r="F5567" t="s">
        <v>59</v>
      </c>
      <c r="G5567">
        <v>-237.99359999999999</v>
      </c>
      <c r="H5567" s="1">
        <v>-2.6523999999999998E-6</v>
      </c>
      <c r="I5567">
        <v>-61.270679999999999</v>
      </c>
      <c r="J5567">
        <v>-267.71179999999998</v>
      </c>
      <c r="K5567">
        <v>1.1090150000000001</v>
      </c>
      <c r="L5567">
        <v>-62.307650000000002</v>
      </c>
      <c r="M5567">
        <v>0.99989709999999998</v>
      </c>
      <c r="N5567">
        <v>0</v>
      </c>
      <c r="O5567">
        <v>-1.4012E-2</v>
      </c>
      <c r="P5567">
        <v>0.98063080000000002</v>
      </c>
      <c r="Q5567">
        <v>0.19416420000000001</v>
      </c>
      <c r="R5567">
        <v>-2.5765099999999999E-2</v>
      </c>
      <c r="S5567">
        <v>3.084625</v>
      </c>
      <c r="T5567">
        <v>-0.1146814</v>
      </c>
      <c r="U5567">
        <v>0.10708620000000001</v>
      </c>
      <c r="V5567">
        <v>1.1894480000000001E-2</v>
      </c>
      <c r="W5567">
        <v>0.19719429999999999</v>
      </c>
      <c r="X5567">
        <v>0.98029230000000001</v>
      </c>
      <c r="Y5567">
        <v>-4.8652189999999998E-2</v>
      </c>
      <c r="Z5567">
        <v>1.4244489999999999E-3</v>
      </c>
      <c r="AA5567">
        <v>0.9988148</v>
      </c>
      <c r="AB5567">
        <v>24</v>
      </c>
      <c r="AC5567">
        <v>29.7182</v>
      </c>
      <c r="AD5567">
        <v>-1.1090176523999999</v>
      </c>
      <c r="AE5567">
        <v>1.03696999999999</v>
      </c>
      <c r="AF5567">
        <v>-1.45126298653362</v>
      </c>
      <c r="AG5567">
        <v>-1.1090176523999999</v>
      </c>
      <c r="AH5567">
        <v>29.6594982448085</v>
      </c>
      <c r="AI5567">
        <v>92.138829761185406</v>
      </c>
      <c r="AJ5567">
        <v>92.801294131588307</v>
      </c>
      <c r="AK5567">
        <v>29.7156847564248</v>
      </c>
      <c r="AL5567">
        <v>78.6270632857603</v>
      </c>
      <c r="AM5567">
        <v>89.3048297310783</v>
      </c>
      <c r="AN5567">
        <v>1.0000000320231199</v>
      </c>
    </row>
    <row r="5568" spans="1:40" x14ac:dyDescent="0.25">
      <c r="A5568" t="str">
        <f>"20190312172818746"</f>
        <v>20190312172818746</v>
      </c>
      <c r="B5568" t="str">
        <f>"1552382898735464"</f>
        <v>1552382898735464</v>
      </c>
      <c r="C5568" t="s">
        <v>40</v>
      </c>
      <c r="D5568">
        <v>3.2016770000000001</v>
      </c>
      <c r="E5568">
        <v>0.4853189</v>
      </c>
      <c r="F5568" t="s">
        <v>59</v>
      </c>
      <c r="G5568">
        <v>-237.73840000000001</v>
      </c>
      <c r="H5568" s="1">
        <v>-2.5412459999999999E-6</v>
      </c>
      <c r="I5568">
        <v>-61.2643699999999</v>
      </c>
      <c r="J5568">
        <v>-267.5958</v>
      </c>
      <c r="K5568">
        <v>1.108984</v>
      </c>
      <c r="L5568">
        <v>-62.309019999999997</v>
      </c>
      <c r="M5568">
        <v>0.99990029999999996</v>
      </c>
      <c r="N5568">
        <v>0</v>
      </c>
      <c r="O5568">
        <v>-1.3784050000000001E-2</v>
      </c>
      <c r="P5568">
        <v>0.98061529999999997</v>
      </c>
      <c r="Q5568">
        <v>0.19425410000000001</v>
      </c>
      <c r="R5568">
        <v>-2.5671780000000002E-2</v>
      </c>
      <c r="S5568">
        <v>3.084686</v>
      </c>
      <c r="T5568">
        <v>-0.1141337</v>
      </c>
      <c r="U5568">
        <v>0.10736080000000001</v>
      </c>
      <c r="V5568">
        <v>1.204071E-2</v>
      </c>
      <c r="W5568">
        <v>0.19728309999999999</v>
      </c>
      <c r="X5568">
        <v>0.98027260000000005</v>
      </c>
      <c r="Y5568">
        <v>-4.8513290000000001E-2</v>
      </c>
      <c r="Z5568">
        <v>1.406624E-3</v>
      </c>
      <c r="AA5568">
        <v>0.99882159999999998</v>
      </c>
      <c r="AB5568">
        <v>24</v>
      </c>
      <c r="AC5568">
        <v>29.857399999999899</v>
      </c>
      <c r="AD5568">
        <v>-1.1089865412459901</v>
      </c>
      <c r="AE5568">
        <v>1.0446500000000001</v>
      </c>
      <c r="AF5568">
        <v>-1.45410497013023</v>
      </c>
      <c r="AG5568">
        <v>-1.1089865412459901</v>
      </c>
      <c r="AH5568">
        <v>29.799103666512899</v>
      </c>
      <c r="AI5568">
        <v>92.128773041156606</v>
      </c>
      <c r="AJ5568">
        <v>92.7936425699762</v>
      </c>
      <c r="AK5568">
        <v>29.855164573996401</v>
      </c>
      <c r="AL5568">
        <v>78.621872930339606</v>
      </c>
      <c r="AM5568">
        <v>89.296270064350296</v>
      </c>
      <c r="AN5568">
        <v>0.99999998527683698</v>
      </c>
    </row>
    <row r="5569" spans="1:40" x14ac:dyDescent="0.25">
      <c r="A5569" t="str">
        <f>"20190312172818757"</f>
        <v>20190312172818757</v>
      </c>
      <c r="B5569" t="str">
        <f>"1552382898754985"</f>
        <v>1552382898754985</v>
      </c>
      <c r="C5569" t="s">
        <v>40</v>
      </c>
      <c r="D5569">
        <v>3.1885140000000001</v>
      </c>
      <c r="E5569">
        <v>0.48547479999999998</v>
      </c>
      <c r="F5569" t="s">
        <v>59</v>
      </c>
      <c r="G5569">
        <v>-237.81280000000001</v>
      </c>
      <c r="H5569" s="1">
        <v>-2.576138E-6</v>
      </c>
      <c r="I5569">
        <v>-61.275680000000001</v>
      </c>
      <c r="J5569">
        <v>-267.47919999999999</v>
      </c>
      <c r="K5569">
        <v>1.108948</v>
      </c>
      <c r="L5569">
        <v>-62.310389999999998</v>
      </c>
      <c r="M5569">
        <v>0.99990279999999998</v>
      </c>
      <c r="N5569">
        <v>0</v>
      </c>
      <c r="O5569">
        <v>-1.360607E-2</v>
      </c>
      <c r="P5569">
        <v>0.98053630000000003</v>
      </c>
      <c r="Q5569">
        <v>0.19465689999999999</v>
      </c>
      <c r="R5569">
        <v>-2.5646680000000002E-2</v>
      </c>
      <c r="S5569">
        <v>3.0848689999999999</v>
      </c>
      <c r="T5569">
        <v>-0.1148667</v>
      </c>
      <c r="U5569">
        <v>0.1070251</v>
      </c>
      <c r="V5569">
        <v>1.220804E-2</v>
      </c>
      <c r="W5569">
        <v>0.19768659999999999</v>
      </c>
      <c r="X5569">
        <v>0.98018930000000004</v>
      </c>
      <c r="Y5569">
        <v>-4.8224650000000001E-2</v>
      </c>
      <c r="Z5569">
        <v>1.4035759999999999E-3</v>
      </c>
      <c r="AA5569">
        <v>0.99883549999999999</v>
      </c>
      <c r="AB5569">
        <v>24</v>
      </c>
      <c r="AC5569">
        <v>29.6663999999999</v>
      </c>
      <c r="AD5569">
        <v>-1.1089505761380001</v>
      </c>
      <c r="AE5569">
        <v>1.03471</v>
      </c>
      <c r="AF5569">
        <v>-1.43625474071101</v>
      </c>
      <c r="AG5569">
        <v>-1.1089505761380001</v>
      </c>
      <c r="AH5569">
        <v>29.608253623163101</v>
      </c>
      <c r="AI5569">
        <v>92.142442562654495</v>
      </c>
      <c r="AJ5569">
        <v>92.777160748484604</v>
      </c>
      <c r="AK5569">
        <v>29.663804234691199</v>
      </c>
      <c r="AL5569">
        <v>78.598290332875095</v>
      </c>
      <c r="AM5569">
        <v>89.286430688515097</v>
      </c>
      <c r="AN5569">
        <v>1.0000000459473399</v>
      </c>
    </row>
    <row r="5570" spans="1:40" x14ac:dyDescent="0.25">
      <c r="A5570" t="str">
        <f>"20190312172818769"</f>
        <v>20190312172818769</v>
      </c>
      <c r="B5570" t="str">
        <f>"1552382898765720"</f>
        <v>1552382898765720</v>
      </c>
      <c r="C5570" t="s">
        <v>40</v>
      </c>
      <c r="D5570">
        <v>3.2152449999999999</v>
      </c>
      <c r="E5570">
        <v>0.48556860000000002</v>
      </c>
      <c r="F5570" t="s">
        <v>59</v>
      </c>
      <c r="G5570">
        <v>-237.75409999999999</v>
      </c>
      <c r="H5570" s="1">
        <v>-2.5564210000000002E-6</v>
      </c>
      <c r="I5570">
        <v>-61.296219999999998</v>
      </c>
      <c r="J5570">
        <v>-267.35660000000001</v>
      </c>
      <c r="K5570">
        <v>1.1089089999999999</v>
      </c>
      <c r="L5570">
        <v>-62.311889999999998</v>
      </c>
      <c r="M5570">
        <v>0.99990500000000004</v>
      </c>
      <c r="N5570">
        <v>0</v>
      </c>
      <c r="O5570">
        <v>-1.343083E-2</v>
      </c>
      <c r="P5570">
        <v>0.98047609999999996</v>
      </c>
      <c r="Q5570">
        <v>0.19498979999999999</v>
      </c>
      <c r="R5570">
        <v>-2.5409959999999999E-2</v>
      </c>
      <c r="S5570">
        <v>3.0852050000000002</v>
      </c>
      <c r="T5570">
        <v>-0.11509900000000001</v>
      </c>
      <c r="U5570">
        <v>0.1052551</v>
      </c>
      <c r="V5570">
        <v>1.2161979999999999E-2</v>
      </c>
      <c r="W5570">
        <v>0.19802069999999999</v>
      </c>
      <c r="X5570">
        <v>0.98012239999999995</v>
      </c>
      <c r="Y5570">
        <v>-4.7473939999999999E-2</v>
      </c>
      <c r="Z5570">
        <v>1.3857450000000001E-3</v>
      </c>
      <c r="AA5570">
        <v>0.99887150000000002</v>
      </c>
      <c r="AB5570">
        <v>24</v>
      </c>
      <c r="AC5570">
        <v>29.602499999999999</v>
      </c>
      <c r="AD5570">
        <v>-1.1089115564209999</v>
      </c>
      <c r="AE5570">
        <v>1.0156700000000001</v>
      </c>
      <c r="AF5570">
        <v>-1.4111885113768601</v>
      </c>
      <c r="AG5570">
        <v>-1.1089115564209999</v>
      </c>
      <c r="AH5570">
        <v>29.544778389099701</v>
      </c>
      <c r="AI5570">
        <v>92.147042359552501</v>
      </c>
      <c r="AJ5570">
        <v>92.734619976219506</v>
      </c>
      <c r="AK5570">
        <v>29.5992410023571</v>
      </c>
      <c r="AL5570">
        <v>78.578761408554698</v>
      </c>
      <c r="AM5570">
        <v>89.289074136855504</v>
      </c>
      <c r="AN5570">
        <v>1.0000000151838799</v>
      </c>
    </row>
    <row r="5571" spans="1:40" x14ac:dyDescent="0.25">
      <c r="A5571" t="str">
        <f>"20190312172818780"</f>
        <v>20190312172818780</v>
      </c>
      <c r="B5571" t="str">
        <f>"1552382898775480"</f>
        <v>1552382898775480</v>
      </c>
      <c r="C5571" t="s">
        <v>40</v>
      </c>
      <c r="D5571">
        <v>3.2260529999999998</v>
      </c>
      <c r="E5571">
        <v>0.4856704</v>
      </c>
      <c r="F5571" t="s">
        <v>59</v>
      </c>
      <c r="G5571">
        <v>-237.43049999999999</v>
      </c>
      <c r="H5571" s="1">
        <v>-2.4168159999999999E-6</v>
      </c>
      <c r="I5571">
        <v>-61.293230000000001</v>
      </c>
      <c r="J5571">
        <v>-267.23140000000001</v>
      </c>
      <c r="K5571">
        <v>1.108868</v>
      </c>
      <c r="L5571">
        <v>-62.313420000000001</v>
      </c>
      <c r="M5571">
        <v>0.99990670000000004</v>
      </c>
      <c r="N5571">
        <v>0</v>
      </c>
      <c r="O5571">
        <v>-1.330783E-2</v>
      </c>
      <c r="P5571">
        <v>0.98037200000000002</v>
      </c>
      <c r="Q5571">
        <v>0.19548860000000001</v>
      </c>
      <c r="R5571">
        <v>-2.5597390000000001E-2</v>
      </c>
      <c r="S5571">
        <v>3.0852050000000002</v>
      </c>
      <c r="T5571">
        <v>-0.1143223</v>
      </c>
      <c r="U5571">
        <v>0.10501099999999999</v>
      </c>
      <c r="V5571">
        <v>1.2490950000000001E-2</v>
      </c>
      <c r="W5571">
        <v>0.19852220000000001</v>
      </c>
      <c r="X5571">
        <v>0.98001680000000002</v>
      </c>
      <c r="Y5571">
        <v>-4.7272910000000001E-2</v>
      </c>
      <c r="Z5571">
        <v>1.368125E-3</v>
      </c>
      <c r="AA5571">
        <v>0.99888109999999997</v>
      </c>
      <c r="AB5571">
        <v>24</v>
      </c>
      <c r="AC5571">
        <v>29.800899999999999</v>
      </c>
      <c r="AD5571">
        <v>-1.108870416816</v>
      </c>
      <c r="AE5571">
        <v>1.0201899999999899</v>
      </c>
      <c r="AF5571">
        <v>-1.41473040565562</v>
      </c>
      <c r="AG5571">
        <v>-1.108870416816</v>
      </c>
      <c r="AH5571">
        <v>29.743551754754499</v>
      </c>
      <c r="AI5571">
        <v>92.132648400757006</v>
      </c>
      <c r="AJ5571">
        <v>92.723179712399897</v>
      </c>
      <c r="AK5571">
        <v>29.797817482321399</v>
      </c>
      <c r="AL5571">
        <v>78.549445488946105</v>
      </c>
      <c r="AM5571">
        <v>89.269767654482905</v>
      </c>
      <c r="AN5571">
        <v>1.0000000080034901</v>
      </c>
    </row>
    <row r="5572" spans="1:40" x14ac:dyDescent="0.25">
      <c r="A5572" t="str">
        <f>"20190312172818792"</f>
        <v>20190312172818792</v>
      </c>
      <c r="B5572" t="str">
        <f>"1552382898785240"</f>
        <v>1552382898785240</v>
      </c>
      <c r="C5572" t="s">
        <v>40</v>
      </c>
      <c r="D5572">
        <v>3.2206139999999999</v>
      </c>
      <c r="E5572">
        <v>0.48575940000000001</v>
      </c>
      <c r="F5572" t="s">
        <v>59</v>
      </c>
      <c r="G5572">
        <v>-237.05250000000001</v>
      </c>
      <c r="H5572" s="1">
        <v>-2.2560410000000002E-6</v>
      </c>
      <c r="I5572">
        <v>-61.298450000000003</v>
      </c>
      <c r="J5572">
        <v>-267.10640000000001</v>
      </c>
      <c r="K5572">
        <v>1.1088290000000001</v>
      </c>
      <c r="L5572">
        <v>-62.31494</v>
      </c>
      <c r="M5572">
        <v>0.99990809999999997</v>
      </c>
      <c r="N5572">
        <v>0</v>
      </c>
      <c r="O5572">
        <v>-1.3203909999999999E-2</v>
      </c>
      <c r="P5572">
        <v>0.9802942</v>
      </c>
      <c r="Q5572">
        <v>0.19588069999999999</v>
      </c>
      <c r="R5572">
        <v>-2.5579330000000001E-2</v>
      </c>
      <c r="S5572">
        <v>3.085388</v>
      </c>
      <c r="T5572">
        <v>-0.1133668</v>
      </c>
      <c r="U5572">
        <v>0.1037598</v>
      </c>
      <c r="V5572">
        <v>1.2594960000000001E-2</v>
      </c>
      <c r="W5572">
        <v>0.1989176</v>
      </c>
      <c r="X5572">
        <v>0.97993529999999995</v>
      </c>
      <c r="Y5572">
        <v>-4.6763560000000003E-2</v>
      </c>
      <c r="Z5572">
        <v>1.343459E-3</v>
      </c>
      <c r="AA5572">
        <v>0.99890509999999999</v>
      </c>
      <c r="AB5572">
        <v>24</v>
      </c>
      <c r="AC5572">
        <v>30.053899999999999</v>
      </c>
      <c r="AD5572">
        <v>-1.1088312560410001</v>
      </c>
      <c r="AE5572">
        <v>1.0164899999999899</v>
      </c>
      <c r="AF5572">
        <v>-1.41131333477557</v>
      </c>
      <c r="AG5572">
        <v>-1.1088312560410001</v>
      </c>
      <c r="AH5572">
        <v>29.997072263424201</v>
      </c>
      <c r="AI5572">
        <v>92.114617570805294</v>
      </c>
      <c r="AJ5572">
        <v>92.693686631795899</v>
      </c>
      <c r="AK5572">
        <v>30.0507180689644</v>
      </c>
      <c r="AL5572">
        <v>78.526329845329798</v>
      </c>
      <c r="AM5572">
        <v>89.263626570138996</v>
      </c>
      <c r="AN5572">
        <v>1.00000001839662</v>
      </c>
    </row>
    <row r="5573" spans="1:40" x14ac:dyDescent="0.25">
      <c r="A5573" t="str">
        <f>"20190312172818805"</f>
        <v>20190312172818805</v>
      </c>
      <c r="B5573" t="str">
        <f>"1552382898795001"</f>
        <v>1552382898795001</v>
      </c>
      <c r="C5573" t="s">
        <v>40</v>
      </c>
      <c r="D5573">
        <v>3.351156</v>
      </c>
      <c r="E5573">
        <v>0.4858632</v>
      </c>
      <c r="F5573" t="s">
        <v>59</v>
      </c>
      <c r="G5573">
        <v>-236.79339999999999</v>
      </c>
      <c r="H5573" s="1">
        <v>-2.1460240000000001E-6</v>
      </c>
      <c r="I5573">
        <v>-61.302729999999997</v>
      </c>
      <c r="J5573">
        <v>-266.95830000000001</v>
      </c>
      <c r="K5573">
        <v>1.108786</v>
      </c>
      <c r="L5573">
        <v>-62.316769999999998</v>
      </c>
      <c r="M5573">
        <v>0.9999091</v>
      </c>
      <c r="N5573">
        <v>0</v>
      </c>
      <c r="O5573">
        <v>-1.3118609999999999E-2</v>
      </c>
      <c r="P5573">
        <v>0.98024869999999997</v>
      </c>
      <c r="Q5573">
        <v>0.19609879999999999</v>
      </c>
      <c r="R5573">
        <v>-2.5647139999999999E-2</v>
      </c>
      <c r="S5573">
        <v>3.0855709999999998</v>
      </c>
      <c r="T5573">
        <v>-0.1128683</v>
      </c>
      <c r="U5573">
        <v>0.1030273</v>
      </c>
      <c r="V5573">
        <v>1.2768760000000001E-2</v>
      </c>
      <c r="W5573">
        <v>0.1991405</v>
      </c>
      <c r="X5573">
        <v>0.97988779999999998</v>
      </c>
      <c r="Y5573">
        <v>-4.6440149999999999E-2</v>
      </c>
      <c r="Z5573">
        <v>1.328451E-3</v>
      </c>
      <c r="AA5573">
        <v>0.99892020000000004</v>
      </c>
      <c r="AB5573">
        <v>24</v>
      </c>
      <c r="AC5573">
        <v>30.164899999999999</v>
      </c>
      <c r="AD5573">
        <v>-1.1087881460240001</v>
      </c>
      <c r="AE5573">
        <v>1.0140399999999901</v>
      </c>
      <c r="AF5573">
        <v>-1.4077762899144901</v>
      </c>
      <c r="AG5573">
        <v>-1.1087881460240001</v>
      </c>
      <c r="AH5573">
        <v>30.108367299079401</v>
      </c>
      <c r="AI5573">
        <v>92.106754849559096</v>
      </c>
      <c r="AJ5573">
        <v>92.677027828170395</v>
      </c>
      <c r="AK5573">
        <v>30.1616482747791</v>
      </c>
      <c r="AL5573">
        <v>78.513298148525095</v>
      </c>
      <c r="AM5573">
        <v>89.253430185758305</v>
      </c>
      <c r="AN5573">
        <v>1.00000004028051</v>
      </c>
    </row>
    <row r="5574" spans="1:40" x14ac:dyDescent="0.25">
      <c r="A5574" t="str">
        <f>"20190312172818818"</f>
        <v>20190312172818818</v>
      </c>
      <c r="B5574" t="str">
        <f>"1552382898805738"</f>
        <v>1552382898805738</v>
      </c>
      <c r="C5574" t="s">
        <v>40</v>
      </c>
      <c r="D5574">
        <v>3.243417</v>
      </c>
      <c r="E5574">
        <v>0.48599179999999997</v>
      </c>
      <c r="F5574" t="s">
        <v>59</v>
      </c>
      <c r="G5574">
        <v>-236.68700000000001</v>
      </c>
      <c r="H5574" s="1">
        <v>-2.1043450000000001E-6</v>
      </c>
      <c r="I5574">
        <v>-61.317680000000003</v>
      </c>
      <c r="J5574">
        <v>-266.83159999999998</v>
      </c>
      <c r="K5574">
        <v>1.1087530000000001</v>
      </c>
      <c r="L5574">
        <v>-62.318390000000001</v>
      </c>
      <c r="M5574">
        <v>0.99990970000000001</v>
      </c>
      <c r="N5574">
        <v>0</v>
      </c>
      <c r="O5574">
        <v>-1.3080349999999999E-2</v>
      </c>
      <c r="P5574">
        <v>0.98022290000000001</v>
      </c>
      <c r="Q5574">
        <v>0.1961878</v>
      </c>
      <c r="R5574">
        <v>-2.596095E-2</v>
      </c>
      <c r="S5574">
        <v>3.0857239999999999</v>
      </c>
      <c r="T5574">
        <v>-0.113025</v>
      </c>
      <c r="U5574">
        <v>0.1018372</v>
      </c>
      <c r="V5574">
        <v>1.313635E-2</v>
      </c>
      <c r="W5574">
        <v>0.19923350000000001</v>
      </c>
      <c r="X5574">
        <v>0.97986399999999996</v>
      </c>
      <c r="Y5574">
        <v>-4.6015609999999998E-2</v>
      </c>
      <c r="Z5574">
        <v>1.321065E-3</v>
      </c>
      <c r="AA5574">
        <v>0.99893989999999999</v>
      </c>
      <c r="AB5574">
        <v>24</v>
      </c>
      <c r="AC5574">
        <v>30.144599999999901</v>
      </c>
      <c r="AD5574">
        <v>-1.1087551043449999</v>
      </c>
      <c r="AE5574">
        <v>1.00070999999999</v>
      </c>
      <c r="AF5574">
        <v>-1.39304565948252</v>
      </c>
      <c r="AG5574">
        <v>-1.1087551043449999</v>
      </c>
      <c r="AH5574">
        <v>30.088271013690601</v>
      </c>
      <c r="AI5574">
        <v>92.108142759144201</v>
      </c>
      <c r="AJ5574">
        <v>92.650822980502895</v>
      </c>
      <c r="AK5574">
        <v>30.1409018890296</v>
      </c>
      <c r="AL5574">
        <v>78.507860269917302</v>
      </c>
      <c r="AM5574">
        <v>89.231921647647894</v>
      </c>
      <c r="AN5574">
        <v>1.0000000048547799</v>
      </c>
    </row>
    <row r="5575" spans="1:40" x14ac:dyDescent="0.25">
      <c r="A5575" t="str">
        <f>"20190312172818835"</f>
        <v>20190312172818835</v>
      </c>
      <c r="B5575" t="str">
        <f>"1552382898825257"</f>
        <v>1552382898825257</v>
      </c>
      <c r="C5575" t="s">
        <v>40</v>
      </c>
      <c r="D5575">
        <v>3.248173</v>
      </c>
      <c r="E5575">
        <v>0.48613879999999998</v>
      </c>
      <c r="F5575" t="s">
        <v>59</v>
      </c>
      <c r="G5575">
        <v>-236.64590000000001</v>
      </c>
      <c r="H5575" s="1">
        <v>-2.0935509999999999E-6</v>
      </c>
      <c r="I5575">
        <v>-61.343350000000001</v>
      </c>
      <c r="J5575">
        <v>-266.62639999999999</v>
      </c>
      <c r="K5575">
        <v>1.1087</v>
      </c>
      <c r="L5575">
        <v>-62.321010000000001</v>
      </c>
      <c r="M5575">
        <v>0.99990990000000002</v>
      </c>
      <c r="N5575">
        <v>0</v>
      </c>
      <c r="O5575">
        <v>-1.3059329999999999E-2</v>
      </c>
      <c r="P5575">
        <v>0.97999449999999999</v>
      </c>
      <c r="Q5575">
        <v>0.1972083</v>
      </c>
      <c r="R5575">
        <v>-2.683493E-2</v>
      </c>
      <c r="S5575">
        <v>3.0858460000000001</v>
      </c>
      <c r="T5575">
        <v>-0.1133463</v>
      </c>
      <c r="U5575">
        <v>9.9670410000000001E-2</v>
      </c>
      <c r="V5575">
        <v>1.405751E-2</v>
      </c>
      <c r="W5575">
        <v>0.20026050000000001</v>
      </c>
      <c r="X5575">
        <v>0.97964189999999995</v>
      </c>
      <c r="Y5575">
        <v>-4.5292909999999999E-2</v>
      </c>
      <c r="Z5575">
        <v>1.3107450000000001E-3</v>
      </c>
      <c r="AA5575">
        <v>0.99897290000000005</v>
      </c>
      <c r="AB5575">
        <v>24</v>
      </c>
      <c r="AC5575">
        <v>29.9804999999999</v>
      </c>
      <c r="AD5575">
        <v>-1.1087020935509999</v>
      </c>
      <c r="AE5575">
        <v>0.97765999999999997</v>
      </c>
      <c r="AF5575">
        <v>-1.36723594388494</v>
      </c>
      <c r="AG5575">
        <v>-1.1087020935509999</v>
      </c>
      <c r="AH5575">
        <v>29.924295366468598</v>
      </c>
      <c r="AI5575">
        <v>92.119642124297997</v>
      </c>
      <c r="AJ5575">
        <v>92.616015028236205</v>
      </c>
      <c r="AK5575">
        <v>29.9760238797301</v>
      </c>
      <c r="AL5575">
        <v>78.447808010169496</v>
      </c>
      <c r="AM5575">
        <v>89.177882533140803</v>
      </c>
      <c r="AN5575">
        <v>1.00000006684162</v>
      </c>
    </row>
    <row r="5576" spans="1:40" x14ac:dyDescent="0.25">
      <c r="A5576" t="str">
        <f>"20190312172818846"</f>
        <v>20190312172818846</v>
      </c>
      <c r="B5576" t="str">
        <f>"1552382898835017"</f>
        <v>1552382898835017</v>
      </c>
      <c r="C5576" t="s">
        <v>40</v>
      </c>
      <c r="D5576">
        <v>3.243277</v>
      </c>
      <c r="E5576">
        <v>0.48623300000000003</v>
      </c>
      <c r="F5576" t="s">
        <v>59</v>
      </c>
      <c r="G5576">
        <v>-236.00450000000001</v>
      </c>
      <c r="H5576" s="1">
        <v>-1.8237940000000001E-6</v>
      </c>
      <c r="I5576">
        <v>-61.36354</v>
      </c>
      <c r="J5576">
        <v>-266.5025</v>
      </c>
      <c r="K5576">
        <v>1.108673</v>
      </c>
      <c r="L5576">
        <v>-62.322659999999999</v>
      </c>
      <c r="M5576">
        <v>0.99990979999999996</v>
      </c>
      <c r="N5576">
        <v>0</v>
      </c>
      <c r="O5576">
        <v>-1.3068629999999999E-2</v>
      </c>
      <c r="P5576">
        <v>0.97988969999999997</v>
      </c>
      <c r="Q5576">
        <v>0.1976041</v>
      </c>
      <c r="R5576">
        <v>-2.7730149999999999E-2</v>
      </c>
      <c r="S5576">
        <v>3.0863339999999999</v>
      </c>
      <c r="T5576">
        <v>-0.1117445</v>
      </c>
      <c r="U5576">
        <v>9.6496579999999998E-2</v>
      </c>
      <c r="V5576">
        <v>1.4958030000000001E-2</v>
      </c>
      <c r="W5576">
        <v>0.20066030000000001</v>
      </c>
      <c r="X5576">
        <v>0.97954669999999999</v>
      </c>
      <c r="Y5576">
        <v>-4.4272590000000001E-2</v>
      </c>
      <c r="Z5576">
        <v>1.273925E-3</v>
      </c>
      <c r="AA5576">
        <v>0.99901870000000004</v>
      </c>
      <c r="AB5576">
        <v>24</v>
      </c>
      <c r="AC5576">
        <v>30.497999999999902</v>
      </c>
      <c r="AD5576">
        <v>-1.1086748237940001</v>
      </c>
      <c r="AE5576">
        <v>0.95911999999999797</v>
      </c>
      <c r="AF5576">
        <v>-1.3558171476993199</v>
      </c>
      <c r="AG5576">
        <v>-1.1086748237940001</v>
      </c>
      <c r="AH5576">
        <v>30.442670955815402</v>
      </c>
      <c r="AI5576">
        <v>92.083637969027905</v>
      </c>
      <c r="AJ5576">
        <v>92.550081752846793</v>
      </c>
      <c r="AK5576">
        <v>30.4930092796194</v>
      </c>
      <c r="AL5576">
        <v>78.4244259852927</v>
      </c>
      <c r="AM5576">
        <v>89.125140860764404</v>
      </c>
      <c r="AN5576">
        <v>1.0000000180692299</v>
      </c>
    </row>
    <row r="5577" spans="1:40" x14ac:dyDescent="0.25">
      <c r="A5577" t="str">
        <f>"20190312172818859"</f>
        <v>20190312172818859</v>
      </c>
      <c r="B5577" t="str">
        <f>"1552382898855513"</f>
        <v>1552382898855513</v>
      </c>
      <c r="C5577" t="s">
        <v>40</v>
      </c>
      <c r="D5577">
        <v>3.263633</v>
      </c>
      <c r="E5577">
        <v>0.48631849999999999</v>
      </c>
      <c r="F5577" t="s">
        <v>59</v>
      </c>
      <c r="G5577">
        <v>-235.68389999999999</v>
      </c>
      <c r="H5577" s="1">
        <v>-1.6927760000000001E-6</v>
      </c>
      <c r="I5577">
        <v>-61.388060000000003</v>
      </c>
      <c r="J5577">
        <v>-266.3793</v>
      </c>
      <c r="K5577">
        <v>1.1086499999999999</v>
      </c>
      <c r="L5577">
        <v>-62.324309999999997</v>
      </c>
      <c r="M5577">
        <v>0.9999093</v>
      </c>
      <c r="N5577">
        <v>0</v>
      </c>
      <c r="O5577">
        <v>-1.3110449999999999E-2</v>
      </c>
      <c r="P5577">
        <v>0.97975299999999999</v>
      </c>
      <c r="Q5577">
        <v>0.19815459999999999</v>
      </c>
      <c r="R5577">
        <v>-2.8621779999999999E-2</v>
      </c>
      <c r="S5577">
        <v>3.0865779999999998</v>
      </c>
      <c r="T5577">
        <v>-0.11103739999999999</v>
      </c>
      <c r="U5577">
        <v>9.3597410000000006E-2</v>
      </c>
      <c r="V5577">
        <v>1.582093E-2</v>
      </c>
      <c r="W5577">
        <v>0.20121520000000001</v>
      </c>
      <c r="X5577">
        <v>0.97941929999999999</v>
      </c>
      <c r="Y5577">
        <v>-4.3375440000000001E-2</v>
      </c>
      <c r="Z5577">
        <v>1.2511620000000001E-3</v>
      </c>
      <c r="AA5577">
        <v>0.99905809999999995</v>
      </c>
      <c r="AB5577">
        <v>24</v>
      </c>
      <c r="AC5577">
        <v>30.695399999999999</v>
      </c>
      <c r="AD5577">
        <v>-1.108651692776</v>
      </c>
      <c r="AE5577">
        <v>0.93625000000000103</v>
      </c>
      <c r="AF5577">
        <v>-1.3368596419429899</v>
      </c>
      <c r="AG5577">
        <v>-1.108651692776</v>
      </c>
      <c r="AH5577">
        <v>30.640553710271501</v>
      </c>
      <c r="AI5577">
        <v>92.070232496397793</v>
      </c>
      <c r="AJ5577">
        <v>92.498253398555804</v>
      </c>
      <c r="AK5577">
        <v>30.689734993156598</v>
      </c>
      <c r="AL5577">
        <v>78.391970524763806</v>
      </c>
      <c r="AM5577">
        <v>89.074560112438903</v>
      </c>
      <c r="AN5577">
        <v>1.00000001187479</v>
      </c>
    </row>
    <row r="5578" spans="1:40" x14ac:dyDescent="0.25">
      <c r="A5578" t="str">
        <f>"20190312172818870"</f>
        <v>20190312172818870</v>
      </c>
      <c r="B5578" t="str">
        <f>"1552382898865272"</f>
        <v>1552382898865272</v>
      </c>
      <c r="C5578" t="s">
        <v>40</v>
      </c>
      <c r="D5578">
        <v>3.2542719999999998</v>
      </c>
      <c r="E5578">
        <v>0.48639070000000001</v>
      </c>
      <c r="F5578" t="s">
        <v>59</v>
      </c>
      <c r="G5578">
        <v>-235.39789999999999</v>
      </c>
      <c r="H5578" s="1">
        <v>-1.5761560000000001E-6</v>
      </c>
      <c r="I5578">
        <v>-61.410919999999997</v>
      </c>
      <c r="J5578">
        <v>-266.24740000000003</v>
      </c>
      <c r="K5578">
        <v>1.1086240000000001</v>
      </c>
      <c r="L5578">
        <v>-62.326079999999997</v>
      </c>
      <c r="M5578">
        <v>0.99990849999999998</v>
      </c>
      <c r="N5578">
        <v>0</v>
      </c>
      <c r="O5578">
        <v>-1.3163360000000001E-2</v>
      </c>
      <c r="P5578">
        <v>0.97972369999999998</v>
      </c>
      <c r="Q5578">
        <v>0.198153</v>
      </c>
      <c r="R5578">
        <v>-2.961517E-2</v>
      </c>
      <c r="S5578">
        <v>3.0869749999999998</v>
      </c>
      <c r="T5578">
        <v>-0.11046549999999999</v>
      </c>
      <c r="U5578">
        <v>9.1003420000000002E-2</v>
      </c>
      <c r="V5578">
        <v>1.67736E-2</v>
      </c>
      <c r="W5578">
        <v>0.2012195</v>
      </c>
      <c r="X5578">
        <v>0.97940249999999995</v>
      </c>
      <c r="Y5578">
        <v>-4.2586499999999999E-2</v>
      </c>
      <c r="Z5578">
        <v>1.2323620000000001E-3</v>
      </c>
      <c r="AA5578">
        <v>0.99909199999999998</v>
      </c>
      <c r="AB5578">
        <v>25</v>
      </c>
      <c r="AC5578">
        <v>30.849499999999999</v>
      </c>
      <c r="AD5578">
        <v>-1.108625576156</v>
      </c>
      <c r="AE5578">
        <v>0.91516000000000697</v>
      </c>
      <c r="AF5578">
        <v>-1.3194632498702701</v>
      </c>
      <c r="AG5578">
        <v>-1.108625576156</v>
      </c>
      <c r="AH5578">
        <v>30.795045589201301</v>
      </c>
      <c r="AI5578">
        <v>92.059876706172801</v>
      </c>
      <c r="AJ5578">
        <v>92.453429183911993</v>
      </c>
      <c r="AK5578">
        <v>30.843230485421799</v>
      </c>
      <c r="AL5578">
        <v>78.391718267615303</v>
      </c>
      <c r="AM5578">
        <v>89.018827764303694</v>
      </c>
      <c r="AN5578">
        <v>0.99999994892172805</v>
      </c>
    </row>
    <row r="5579" spans="1:40" x14ac:dyDescent="0.25">
      <c r="A5579" t="str">
        <f>"20190312172818880"</f>
        <v>20190312172818880</v>
      </c>
      <c r="B5579" t="str">
        <f>"1552382898875032"</f>
        <v>1552382898875032</v>
      </c>
      <c r="C5579" t="s">
        <v>40</v>
      </c>
      <c r="D5579">
        <v>3.2665459999999999</v>
      </c>
      <c r="E5579">
        <v>0.4864407</v>
      </c>
      <c r="F5579" t="s">
        <v>59</v>
      </c>
      <c r="G5579">
        <v>-235.47450000000001</v>
      </c>
      <c r="H5579" s="1">
        <v>-1.6190979999999901E-6</v>
      </c>
      <c r="I5579">
        <v>-61.448740000000001</v>
      </c>
      <c r="J5579">
        <v>-266.12729999999999</v>
      </c>
      <c r="K5579">
        <v>1.1086039999999999</v>
      </c>
      <c r="L5579">
        <v>-62.327730000000003</v>
      </c>
      <c r="M5579">
        <v>0.99990760000000001</v>
      </c>
      <c r="N5579">
        <v>0</v>
      </c>
      <c r="O5579">
        <v>-1.323294E-2</v>
      </c>
      <c r="P5579">
        <v>0.97971680000000005</v>
      </c>
      <c r="Q5579">
        <v>0.19802610000000001</v>
      </c>
      <c r="R5579">
        <v>-3.0674090000000001E-2</v>
      </c>
      <c r="S5579">
        <v>3.0872799999999998</v>
      </c>
      <c r="T5579">
        <v>-0.1112225</v>
      </c>
      <c r="U5579">
        <v>8.8012699999999999E-2</v>
      </c>
      <c r="V5579">
        <v>1.7772469999999999E-2</v>
      </c>
      <c r="W5579">
        <v>0.20109850000000001</v>
      </c>
      <c r="X5579">
        <v>0.9794098</v>
      </c>
      <c r="Y5579">
        <v>-4.1686130000000002E-2</v>
      </c>
      <c r="Z5579">
        <v>1.226991E-3</v>
      </c>
      <c r="AA5579">
        <v>0.99912999999999996</v>
      </c>
      <c r="AB5579">
        <v>25</v>
      </c>
      <c r="AC5579">
        <v>30.6527999999999</v>
      </c>
      <c r="AD5579">
        <v>-1.108605619098</v>
      </c>
      <c r="AE5579">
        <v>0.87899000000000105</v>
      </c>
      <c r="AF5579">
        <v>-1.28286502988468</v>
      </c>
      <c r="AG5579">
        <v>-1.108605619098</v>
      </c>
      <c r="AH5579">
        <v>30.598493853145499</v>
      </c>
      <c r="AI5579">
        <v>92.073140384935996</v>
      </c>
      <c r="AJ5579">
        <v>92.400762947935604</v>
      </c>
      <c r="AK5579">
        <v>30.6454331864403</v>
      </c>
      <c r="AL5579">
        <v>78.398796470892293</v>
      </c>
      <c r="AM5579">
        <v>88.960419043165402</v>
      </c>
      <c r="AN5579">
        <v>1.0000000118640899</v>
      </c>
    </row>
    <row r="5580" spans="1:40" x14ac:dyDescent="0.25">
      <c r="A5580" t="str">
        <f>"20190312172818892"</f>
        <v>20190312172818892</v>
      </c>
      <c r="B5580" t="str">
        <f>"1552382898884793"</f>
        <v>1552382898884793</v>
      </c>
      <c r="C5580" t="s">
        <v>40</v>
      </c>
      <c r="D5580">
        <v>3.253406</v>
      </c>
      <c r="E5580">
        <v>0.48650330000000003</v>
      </c>
      <c r="F5580" t="s">
        <v>59</v>
      </c>
      <c r="G5580">
        <v>-235.6754</v>
      </c>
      <c r="H5580" s="1">
        <v>-1.7159130000000001E-6</v>
      </c>
      <c r="I5580">
        <v>-61.488790000000002</v>
      </c>
      <c r="J5580">
        <v>-266.00479999999999</v>
      </c>
      <c r="K5580">
        <v>1.1085849999999999</v>
      </c>
      <c r="L5580">
        <v>-62.329439999999998</v>
      </c>
      <c r="M5580">
        <v>0.99990650000000003</v>
      </c>
      <c r="N5580">
        <v>0</v>
      </c>
      <c r="O5580">
        <v>-1.3311099999999999E-2</v>
      </c>
      <c r="P5580">
        <v>0.97969580000000001</v>
      </c>
      <c r="Q5580">
        <v>0.197965</v>
      </c>
      <c r="R5580">
        <v>-3.1717160000000001E-2</v>
      </c>
      <c r="S5580">
        <v>3.087494</v>
      </c>
      <c r="T5580">
        <v>-0.11240070000000001</v>
      </c>
      <c r="U5580">
        <v>8.5052489999999994E-2</v>
      </c>
      <c r="V5580">
        <v>1.8746490000000001E-2</v>
      </c>
      <c r="W5580">
        <v>0.20104379999999999</v>
      </c>
      <c r="X5580">
        <v>0.97940280000000002</v>
      </c>
      <c r="Y5580">
        <v>-4.080483E-2</v>
      </c>
      <c r="Z5580">
        <v>1.2267199999999999E-3</v>
      </c>
      <c r="AA5580">
        <v>0.99916640000000001</v>
      </c>
      <c r="AB5580">
        <v>25</v>
      </c>
      <c r="AC5580">
        <v>30.3294</v>
      </c>
      <c r="AD5580">
        <v>-1.1085867159129901</v>
      </c>
      <c r="AE5580">
        <v>0.84065000000000301</v>
      </c>
      <c r="AF5580">
        <v>-1.2426362686345001</v>
      </c>
      <c r="AG5580">
        <v>-1.1085867159129901</v>
      </c>
      <c r="AH5580">
        <v>30.2751058808132</v>
      </c>
      <c r="AI5580">
        <v>92.095305982527705</v>
      </c>
      <c r="AJ5580">
        <v>92.350375669345993</v>
      </c>
      <c r="AK5580">
        <v>30.320869801133298</v>
      </c>
      <c r="AL5580">
        <v>78.401995077602294</v>
      </c>
      <c r="AM5580">
        <v>88.903450536100607</v>
      </c>
      <c r="AN5580">
        <v>0.99999994252679802</v>
      </c>
    </row>
    <row r="5581" spans="1:40" x14ac:dyDescent="0.25">
      <c r="A5581" t="str">
        <f>"20190312172818902"</f>
        <v>20190312172818902</v>
      </c>
      <c r="B5581" t="str">
        <f>"1552382898895528"</f>
        <v>1552382898895528</v>
      </c>
      <c r="C5581" t="s">
        <v>40</v>
      </c>
      <c r="D5581">
        <v>3.3288920000000002</v>
      </c>
      <c r="E5581">
        <v>0.48656329999999998</v>
      </c>
      <c r="F5581" t="s">
        <v>59</v>
      </c>
      <c r="G5581">
        <v>-235.82640000000001</v>
      </c>
      <c r="H5581" s="1">
        <v>-1.7910389999999999E-6</v>
      </c>
      <c r="I5581">
        <v>-61.527630000000002</v>
      </c>
      <c r="J5581">
        <v>-265.88479999999998</v>
      </c>
      <c r="K5581">
        <v>1.1085659999999999</v>
      </c>
      <c r="L5581">
        <v>-62.331119999999999</v>
      </c>
      <c r="M5581">
        <v>0.9999053</v>
      </c>
      <c r="N5581">
        <v>0</v>
      </c>
      <c r="O5581">
        <v>-1.339914E-2</v>
      </c>
      <c r="P5581">
        <v>0.97976209999999997</v>
      </c>
      <c r="Q5581">
        <v>0.1974902</v>
      </c>
      <c r="R5581">
        <v>-3.2617920000000002E-2</v>
      </c>
      <c r="S5581">
        <v>3.0877080000000001</v>
      </c>
      <c r="T5581">
        <v>-0.11342530000000001</v>
      </c>
      <c r="U5581">
        <v>8.203125E-2</v>
      </c>
      <c r="V5581">
        <v>1.956575E-2</v>
      </c>
      <c r="W5581">
        <v>0.20057630000000001</v>
      </c>
      <c r="X5581">
        <v>0.97948270000000004</v>
      </c>
      <c r="Y5581">
        <v>-3.9913829999999997E-2</v>
      </c>
      <c r="Z5581">
        <v>1.2247009999999999E-3</v>
      </c>
      <c r="AA5581">
        <v>0.99920240000000005</v>
      </c>
      <c r="AB5581">
        <v>25</v>
      </c>
      <c r="AC5581">
        <v>30.058399999999899</v>
      </c>
      <c r="AD5581">
        <v>-1.1085677910389999</v>
      </c>
      <c r="AE5581">
        <v>0.80348999999999604</v>
      </c>
      <c r="AF5581">
        <v>-1.2045393552324599</v>
      </c>
      <c r="AG5581">
        <v>-1.1085677910389999</v>
      </c>
      <c r="AH5581">
        <v>30.0041538552037</v>
      </c>
      <c r="AI5581">
        <v>92.1142514229185</v>
      </c>
      <c r="AJ5581">
        <v>92.298947696145504</v>
      </c>
      <c r="AK5581">
        <v>30.048778447257501</v>
      </c>
      <c r="AL5581">
        <v>78.429338674609795</v>
      </c>
      <c r="AM5581">
        <v>88.855634890810705</v>
      </c>
      <c r="AN5581">
        <v>1.0000000151470201</v>
      </c>
    </row>
    <row r="5582" spans="1:40" x14ac:dyDescent="0.25">
      <c r="A5582" t="str">
        <f>"20190312172818915"</f>
        <v>20190312172818915</v>
      </c>
      <c r="B5582" t="str">
        <f>"1552382898905289"</f>
        <v>1552382898905289</v>
      </c>
      <c r="C5582" t="s">
        <v>40</v>
      </c>
      <c r="D5582">
        <v>3.2600980000000002</v>
      </c>
      <c r="E5582">
        <v>0.48662709999999998</v>
      </c>
      <c r="F5582" t="s">
        <v>59</v>
      </c>
      <c r="G5582">
        <v>-236.3056</v>
      </c>
      <c r="H5582" s="1">
        <v>-2.0072780000000001E-6</v>
      </c>
      <c r="I5582">
        <v>-61.567790000000002</v>
      </c>
      <c r="J5582">
        <v>-265.7525</v>
      </c>
      <c r="K5582">
        <v>1.108552</v>
      </c>
      <c r="L5582">
        <v>-62.333010000000002</v>
      </c>
      <c r="M5582">
        <v>0.99990400000000002</v>
      </c>
      <c r="N5582">
        <v>0</v>
      </c>
      <c r="O5582">
        <v>-1.3503390000000001E-2</v>
      </c>
      <c r="P5582">
        <v>0.97979959999999999</v>
      </c>
      <c r="Q5582">
        <v>0.19719519999999999</v>
      </c>
      <c r="R5582">
        <v>-3.3274650000000003E-2</v>
      </c>
      <c r="S5582">
        <v>3.087952</v>
      </c>
      <c r="T5582">
        <v>-0.1157299</v>
      </c>
      <c r="U5582">
        <v>7.9681399999999999E-2</v>
      </c>
      <c r="V5582">
        <v>2.012456E-2</v>
      </c>
      <c r="W5582">
        <v>0.20028899999999999</v>
      </c>
      <c r="X5582">
        <v>0.97953020000000002</v>
      </c>
      <c r="Y5582">
        <v>-3.925497E-2</v>
      </c>
      <c r="Z5582">
        <v>1.241046E-3</v>
      </c>
      <c r="AA5582">
        <v>0.99922849999999996</v>
      </c>
      <c r="AB5582">
        <v>25</v>
      </c>
      <c r="AC5582">
        <v>29.446899999999999</v>
      </c>
      <c r="AD5582">
        <v>-1.108554007278</v>
      </c>
      <c r="AE5582">
        <v>0.76521999999999202</v>
      </c>
      <c r="AF5582">
        <v>-1.16114065294714</v>
      </c>
      <c r="AG5582">
        <v>-1.108554007278</v>
      </c>
      <c r="AH5582">
        <v>29.392255121009399</v>
      </c>
      <c r="AI5582">
        <v>92.158253610339401</v>
      </c>
      <c r="AJ5582">
        <v>92.262292629564698</v>
      </c>
      <c r="AK5582">
        <v>29.4360629280052</v>
      </c>
      <c r="AL5582">
        <v>78.446141081365596</v>
      </c>
      <c r="AM5582">
        <v>88.823017239790801</v>
      </c>
      <c r="AN5582">
        <v>1.0000000470741099</v>
      </c>
    </row>
    <row r="5583" spans="1:40" x14ac:dyDescent="0.25">
      <c r="A5583" t="str">
        <f>"20190312172818925"</f>
        <v>20190312172818925</v>
      </c>
      <c r="B5583" t="str">
        <f>"1552382898915049"</f>
        <v>1552382898915049</v>
      </c>
      <c r="C5583" t="s">
        <v>40</v>
      </c>
      <c r="D5583">
        <v>3.29698</v>
      </c>
      <c r="E5583">
        <v>0.48670079999999999</v>
      </c>
      <c r="F5583" t="s">
        <v>59</v>
      </c>
      <c r="G5583">
        <v>-236.6233</v>
      </c>
      <c r="H5583" s="1">
        <v>-2.1523199999999998E-6</v>
      </c>
      <c r="I5583">
        <v>-61.600630000000002</v>
      </c>
      <c r="J5583">
        <v>-265.62650000000002</v>
      </c>
      <c r="K5583">
        <v>1.108541</v>
      </c>
      <c r="L5583">
        <v>-62.334809999999997</v>
      </c>
      <c r="M5583">
        <v>0.99990239999999997</v>
      </c>
      <c r="N5583">
        <v>0</v>
      </c>
      <c r="O5583">
        <v>-1.3607269999999999E-2</v>
      </c>
      <c r="P5583">
        <v>0.97987749999999996</v>
      </c>
      <c r="Q5583">
        <v>0.19668189999999999</v>
      </c>
      <c r="R5583">
        <v>-3.401096E-2</v>
      </c>
      <c r="S5583">
        <v>3.088165</v>
      </c>
      <c r="T5583">
        <v>-0.1175245</v>
      </c>
      <c r="U5583">
        <v>7.7636720000000006E-2</v>
      </c>
      <c r="V5583">
        <v>2.0761229999999999E-2</v>
      </c>
      <c r="W5583">
        <v>0.19978389999999999</v>
      </c>
      <c r="X5583">
        <v>0.97962000000000005</v>
      </c>
      <c r="Y5583">
        <v>-3.8695019999999997E-2</v>
      </c>
      <c r="Z5583">
        <v>1.2535020000000001E-3</v>
      </c>
      <c r="AA5583">
        <v>0.99925030000000004</v>
      </c>
      <c r="AB5583">
        <v>25</v>
      </c>
      <c r="AC5583">
        <v>29.0032</v>
      </c>
      <c r="AD5583">
        <v>-1.10854315232</v>
      </c>
      <c r="AE5583">
        <v>0.73417999999999495</v>
      </c>
      <c r="AF5583">
        <v>-1.1271228472444501</v>
      </c>
      <c r="AG5583">
        <v>-1.10854315232</v>
      </c>
      <c r="AH5583">
        <v>28.9482617875919</v>
      </c>
      <c r="AI5583">
        <v>92.191351112750795</v>
      </c>
      <c r="AJ5583">
        <v>92.229728965309604</v>
      </c>
      <c r="AK5583">
        <v>28.991397592325299</v>
      </c>
      <c r="AL5583">
        <v>78.475677500578598</v>
      </c>
      <c r="AM5583">
        <v>88.785903909575097</v>
      </c>
      <c r="AN5583">
        <v>0.99999998988516103</v>
      </c>
    </row>
    <row r="5584" spans="1:40" x14ac:dyDescent="0.25">
      <c r="A5584" t="str">
        <f>"20190312172818936"</f>
        <v>20190312172818936</v>
      </c>
      <c r="B5584" t="str">
        <f>"1552382898924809"</f>
        <v>1552382898924809</v>
      </c>
      <c r="C5584" t="s">
        <v>40</v>
      </c>
      <c r="D5584">
        <v>3.2557160000000001</v>
      </c>
      <c r="E5584">
        <v>0.48672070000000001</v>
      </c>
      <c r="F5584" t="s">
        <v>59</v>
      </c>
      <c r="G5584">
        <v>-237.0266</v>
      </c>
      <c r="H5584" s="1">
        <v>-2.3352940000000002E-6</v>
      </c>
      <c r="I5584">
        <v>-61.638100000000001</v>
      </c>
      <c r="J5584">
        <v>-265.5068</v>
      </c>
      <c r="K5584">
        <v>1.1085370000000001</v>
      </c>
      <c r="L5584">
        <v>-62.336550000000003</v>
      </c>
      <c r="M5584">
        <v>0.99990089999999998</v>
      </c>
      <c r="N5584">
        <v>0</v>
      </c>
      <c r="O5584">
        <v>-1.371066E-2</v>
      </c>
      <c r="P5584">
        <v>0.97998430000000003</v>
      </c>
      <c r="Q5584">
        <v>0.1960837</v>
      </c>
      <c r="R5584">
        <v>-3.4378649999999997E-2</v>
      </c>
      <c r="S5584">
        <v>3.0882869999999998</v>
      </c>
      <c r="T5584">
        <v>-0.1197029</v>
      </c>
      <c r="U5584">
        <v>7.5225829999999994E-2</v>
      </c>
      <c r="V5584">
        <v>2.102801E-2</v>
      </c>
      <c r="W5584">
        <v>0.19919329999999999</v>
      </c>
      <c r="X5584">
        <v>0.97973460000000001</v>
      </c>
      <c r="Y5584">
        <v>-3.8016759999999997E-2</v>
      </c>
      <c r="Z5584">
        <v>1.2675480000000001E-3</v>
      </c>
      <c r="AA5584">
        <v>0.99927630000000001</v>
      </c>
      <c r="AB5584">
        <v>25</v>
      </c>
      <c r="AC5584">
        <v>28.4802</v>
      </c>
      <c r="AD5584">
        <v>-1.1085393352940001</v>
      </c>
      <c r="AE5584">
        <v>0.69845000000000101</v>
      </c>
      <c r="AF5584">
        <v>-1.0872225147416501</v>
      </c>
      <c r="AG5584">
        <v>-1.1085393352940001</v>
      </c>
      <c r="AH5584">
        <v>28.424908501824799</v>
      </c>
      <c r="AI5584">
        <v>92.231708701089502</v>
      </c>
      <c r="AJ5584">
        <v>92.190434849229604</v>
      </c>
      <c r="AK5584">
        <v>28.467285356906999</v>
      </c>
      <c r="AL5584">
        <v>78.510210815193105</v>
      </c>
      <c r="AM5584">
        <v>88.770451433914999</v>
      </c>
      <c r="AN5584">
        <v>1.0000000172032999</v>
      </c>
    </row>
    <row r="5585" spans="1:40" x14ac:dyDescent="0.25">
      <c r="A5585" t="str">
        <f>"20190312172818947"</f>
        <v>20190312172818947</v>
      </c>
      <c r="B5585" t="str">
        <f>"1552382898935545"</f>
        <v>1552382898935545</v>
      </c>
      <c r="C5585" t="s">
        <v>40</v>
      </c>
      <c r="D5585">
        <v>3.2843789999999999</v>
      </c>
      <c r="E5585">
        <v>0.48670720000000001</v>
      </c>
      <c r="F5585" t="s">
        <v>59</v>
      </c>
      <c r="G5585">
        <v>-237.4785</v>
      </c>
      <c r="H5585" s="1">
        <v>-2.53568E-6</v>
      </c>
      <c r="I5585">
        <v>-61.66263</v>
      </c>
      <c r="J5585">
        <v>-265.38229999999999</v>
      </c>
      <c r="K5585">
        <v>1.1085320000000001</v>
      </c>
      <c r="L5585">
        <v>-62.338349999999998</v>
      </c>
      <c r="M5585">
        <v>0.99989939999999999</v>
      </c>
      <c r="N5585">
        <v>0</v>
      </c>
      <c r="O5585">
        <v>-1.3819410000000001E-2</v>
      </c>
      <c r="P5585">
        <v>0.98003359999999995</v>
      </c>
      <c r="Q5585">
        <v>0.19578719999999999</v>
      </c>
      <c r="R5585">
        <v>-3.466019E-2</v>
      </c>
      <c r="S5585">
        <v>3.0883180000000001</v>
      </c>
      <c r="T5585">
        <v>-0.1221449</v>
      </c>
      <c r="U5585">
        <v>7.4249270000000006E-2</v>
      </c>
      <c r="V5585">
        <v>2.1204049999999999E-2</v>
      </c>
      <c r="W5585">
        <v>0.198904</v>
      </c>
      <c r="X5585">
        <v>0.97978960000000004</v>
      </c>
      <c r="Y5585">
        <v>-3.7807880000000002E-2</v>
      </c>
      <c r="Z5585">
        <v>1.293549E-3</v>
      </c>
      <c r="AA5585">
        <v>0.99928419999999896</v>
      </c>
      <c r="AB5585">
        <v>25</v>
      </c>
      <c r="AC5585">
        <v>27.903799999999901</v>
      </c>
      <c r="AD5585">
        <v>-1.1085345356799901</v>
      </c>
      <c r="AE5585">
        <v>0.67571999999999099</v>
      </c>
      <c r="AF5585">
        <v>-1.0596001768204999</v>
      </c>
      <c r="AG5585">
        <v>-1.1085345356799901</v>
      </c>
      <c r="AH5585">
        <v>27.8478725293864</v>
      </c>
      <c r="AI5585">
        <v>92.277911161684301</v>
      </c>
      <c r="AJ5585">
        <v>92.179029837818106</v>
      </c>
      <c r="AK5585">
        <v>27.8900628497762</v>
      </c>
      <c r="AL5585">
        <v>78.527125167940895</v>
      </c>
      <c r="AM5585">
        <v>88.760230809057703</v>
      </c>
      <c r="AN5585">
        <v>1.0000000366102799</v>
      </c>
    </row>
    <row r="5586" spans="1:40" x14ac:dyDescent="0.25">
      <c r="A5586" t="str">
        <f>"20190312172818958"</f>
        <v>20190312172818958</v>
      </c>
      <c r="B5586" t="str">
        <f>"1552382898955065"</f>
        <v>1552382898955065</v>
      </c>
      <c r="C5586" t="s">
        <v>40</v>
      </c>
      <c r="D5586">
        <v>3.2951609999999998</v>
      </c>
      <c r="E5586">
        <v>0.48667660000000001</v>
      </c>
      <c r="F5586" t="s">
        <v>59</v>
      </c>
      <c r="G5586">
        <v>-237.733</v>
      </c>
      <c r="H5586" s="1">
        <v>-2.6494520000000002E-6</v>
      </c>
      <c r="I5586">
        <v>-61.679859999999998</v>
      </c>
      <c r="J5586">
        <v>-265.25229999999999</v>
      </c>
      <c r="K5586">
        <v>1.1085290000000001</v>
      </c>
      <c r="L5586">
        <v>-62.340269999999997</v>
      </c>
      <c r="M5586">
        <v>0.99989790000000001</v>
      </c>
      <c r="N5586">
        <v>0</v>
      </c>
      <c r="O5586">
        <v>-1.393518E-2</v>
      </c>
      <c r="P5586">
        <v>0.98002639999999996</v>
      </c>
      <c r="Q5586">
        <v>0.19574530000000001</v>
      </c>
      <c r="R5586">
        <v>-3.5105009999999999E-2</v>
      </c>
      <c r="S5586">
        <v>3.0884399999999999</v>
      </c>
      <c r="T5586">
        <v>-0.1238239</v>
      </c>
      <c r="U5586">
        <v>7.3547360000000006E-2</v>
      </c>
      <c r="V5586">
        <v>2.1535530000000001E-2</v>
      </c>
      <c r="W5586">
        <v>0.19886989999999999</v>
      </c>
      <c r="X5586">
        <v>0.97978929999999997</v>
      </c>
      <c r="Y5586">
        <v>-3.7694539999999999E-2</v>
      </c>
      <c r="Z5586">
        <v>1.3136350000000001E-3</v>
      </c>
      <c r="AA5586">
        <v>0.99928839999999997</v>
      </c>
      <c r="AB5586">
        <v>25</v>
      </c>
      <c r="AC5586">
        <v>27.519299999999902</v>
      </c>
      <c r="AD5586">
        <v>-1.1085316494519999</v>
      </c>
      <c r="AE5586">
        <v>0.66040999999999805</v>
      </c>
      <c r="AF5586">
        <v>-1.0421441419278701</v>
      </c>
      <c r="AG5586">
        <v>-1.1085316494519999</v>
      </c>
      <c r="AH5586">
        <v>27.462888234164701</v>
      </c>
      <c r="AI5586">
        <v>92.309812305310004</v>
      </c>
      <c r="AJ5586">
        <v>92.173180917461806</v>
      </c>
      <c r="AK5586">
        <v>27.5050020358591</v>
      </c>
      <c r="AL5586">
        <v>78.529118870731807</v>
      </c>
      <c r="AM5586">
        <v>88.740855473774204</v>
      </c>
      <c r="AN5586">
        <v>1.0000000442864301</v>
      </c>
    </row>
    <row r="5587" spans="1:40" x14ac:dyDescent="0.25">
      <c r="A5587" t="str">
        <f>"20190312172818970"</f>
        <v>20190312172818970</v>
      </c>
      <c r="B5587" t="str">
        <f>"1552382898964828"</f>
        <v>1552382898964828</v>
      </c>
      <c r="C5587" t="s">
        <v>40</v>
      </c>
      <c r="D5587">
        <v>3.2694450000000002</v>
      </c>
      <c r="E5587">
        <v>0.4866238</v>
      </c>
      <c r="F5587" t="s">
        <v>59</v>
      </c>
      <c r="G5587">
        <v>-237.90860000000001</v>
      </c>
      <c r="H5587" s="1">
        <v>-2.729467E-6</v>
      </c>
      <c r="I5587">
        <v>-61.697490000000002</v>
      </c>
      <c r="J5587">
        <v>-265.12040000000002</v>
      </c>
      <c r="K5587">
        <v>1.1085290000000001</v>
      </c>
      <c r="L5587">
        <v>-62.342219999999998</v>
      </c>
      <c r="M5587">
        <v>0.99989620000000001</v>
      </c>
      <c r="N5587">
        <v>0</v>
      </c>
      <c r="O5587">
        <v>-1.405285E-2</v>
      </c>
      <c r="P5587">
        <v>0.98001530000000003</v>
      </c>
      <c r="Q5587">
        <v>0.19575310000000001</v>
      </c>
      <c r="R5587">
        <v>-3.5367179999999998E-2</v>
      </c>
      <c r="S5587">
        <v>3.0887760000000002</v>
      </c>
      <c r="T5587">
        <v>-0.12522069999999999</v>
      </c>
      <c r="U5587">
        <v>7.2601319999999997E-2</v>
      </c>
      <c r="V5587">
        <v>2.1682659999999999E-2</v>
      </c>
      <c r="W5587">
        <v>0.1988858</v>
      </c>
      <c r="X5587">
        <v>0.97978279999999995</v>
      </c>
      <c r="Y5587">
        <v>-3.7502790000000001E-2</v>
      </c>
      <c r="Z5587">
        <v>1.3291850000000001E-3</v>
      </c>
      <c r="AA5587">
        <v>0.99929570000000001</v>
      </c>
      <c r="AB5587">
        <v>25</v>
      </c>
      <c r="AC5587">
        <v>27.2118</v>
      </c>
      <c r="AD5587">
        <v>-1.1085317294670001</v>
      </c>
      <c r="AE5587">
        <v>0.64472999999999503</v>
      </c>
      <c r="AF5587">
        <v>-1.0253709449164199</v>
      </c>
      <c r="AG5587">
        <v>-1.1085317294670001</v>
      </c>
      <c r="AH5587">
        <v>27.155013647157102</v>
      </c>
      <c r="AI5587">
        <v>92.335988048724303</v>
      </c>
      <c r="AJ5587">
        <v>92.162456272140204</v>
      </c>
      <c r="AK5587">
        <v>27.1969666387118</v>
      </c>
      <c r="AL5587">
        <v>78.528188983850299</v>
      </c>
      <c r="AM5587">
        <v>88.732247431954605</v>
      </c>
      <c r="AN5587">
        <v>1.0000000171810699</v>
      </c>
    </row>
    <row r="5588" spans="1:40" x14ac:dyDescent="0.25">
      <c r="A5588" t="str">
        <f>"20190312172818981"</f>
        <v>20190312172818981</v>
      </c>
      <c r="B5588" t="str">
        <f>"1552382898975560"</f>
        <v>1552382898975560</v>
      </c>
      <c r="C5588" t="s">
        <v>40</v>
      </c>
      <c r="D5588">
        <v>3.2780290000000001</v>
      </c>
      <c r="E5588">
        <v>0.48659459999999999</v>
      </c>
      <c r="F5588" t="s">
        <v>59</v>
      </c>
      <c r="G5588">
        <v>-237.80860000000001</v>
      </c>
      <c r="H5588" s="1">
        <v>-2.6875819999999998E-6</v>
      </c>
      <c r="I5588">
        <v>-61.70129</v>
      </c>
      <c r="J5588">
        <v>-264.99259999999998</v>
      </c>
      <c r="K5588">
        <v>1.1085309999999999</v>
      </c>
      <c r="L5588">
        <v>-62.344119999999997</v>
      </c>
      <c r="M5588">
        <v>0.99989459999999997</v>
      </c>
      <c r="N5588">
        <v>0</v>
      </c>
      <c r="O5588">
        <v>-1.4166700000000001E-2</v>
      </c>
      <c r="P5588">
        <v>0.97994939999999997</v>
      </c>
      <c r="Q5588">
        <v>0.1959881</v>
      </c>
      <c r="R5588">
        <v>-3.588947E-2</v>
      </c>
      <c r="S5588">
        <v>3.0888369999999998</v>
      </c>
      <c r="T5588">
        <v>-0.12536949999999999</v>
      </c>
      <c r="U5588">
        <v>7.2479249999999995E-2</v>
      </c>
      <c r="V5588">
        <v>2.2093620000000001E-2</v>
      </c>
      <c r="W5588">
        <v>0.19912879999999999</v>
      </c>
      <c r="X5588">
        <v>0.97972420000000005</v>
      </c>
      <c r="Y5588">
        <v>-3.757638E-2</v>
      </c>
      <c r="Z5588">
        <v>1.3368500000000001E-3</v>
      </c>
      <c r="AA5588">
        <v>0.99929290000000004</v>
      </c>
      <c r="AB5588">
        <v>25</v>
      </c>
      <c r="AC5588">
        <v>27.183999999999902</v>
      </c>
      <c r="AD5588">
        <v>-1.108533687582</v>
      </c>
      <c r="AE5588">
        <v>0.64282999999999602</v>
      </c>
      <c r="AF5588">
        <v>-1.02616952297341</v>
      </c>
      <c r="AG5588">
        <v>-1.108533687582</v>
      </c>
      <c r="AH5588">
        <v>27.127080235237202</v>
      </c>
      <c r="AI5588">
        <v>92.338388906655197</v>
      </c>
      <c r="AJ5588">
        <v>92.166365176754297</v>
      </c>
      <c r="AK5588">
        <v>27.1691065903055</v>
      </c>
      <c r="AL5588">
        <v>78.513981246211202</v>
      </c>
      <c r="AM5588">
        <v>88.708150045600803</v>
      </c>
      <c r="AN5588">
        <v>0.99999995754989102</v>
      </c>
    </row>
    <row r="5589" spans="1:40" x14ac:dyDescent="0.25">
      <c r="A5589" t="str">
        <f>"20190312172818994"</f>
        <v>20190312172818994</v>
      </c>
      <c r="B5589" t="str">
        <f>"1552382898985320"</f>
        <v>1552382898985320</v>
      </c>
      <c r="C5589" t="s">
        <v>40</v>
      </c>
      <c r="D5589">
        <v>3.2983319999999998</v>
      </c>
      <c r="E5589">
        <v>0.48656480000000002</v>
      </c>
      <c r="F5589" t="s">
        <v>59</v>
      </c>
      <c r="G5589">
        <v>-237.63460000000001</v>
      </c>
      <c r="H5589" s="1">
        <v>-2.6163639999999999E-6</v>
      </c>
      <c r="I5589">
        <v>-61.714039999999997</v>
      </c>
      <c r="J5589">
        <v>-264.85340000000002</v>
      </c>
      <c r="K5589">
        <v>1.108533</v>
      </c>
      <c r="L5589">
        <v>-62.346220000000002</v>
      </c>
      <c r="M5589">
        <v>0.99989280000000003</v>
      </c>
      <c r="N5589">
        <v>0</v>
      </c>
      <c r="O5589">
        <v>-1.4290219999999999E-2</v>
      </c>
      <c r="P5589">
        <v>0.97990730000000004</v>
      </c>
      <c r="Q5589">
        <v>0.19614029999999999</v>
      </c>
      <c r="R5589">
        <v>-3.6209640000000001E-2</v>
      </c>
      <c r="S5589">
        <v>3.0890499999999999</v>
      </c>
      <c r="T5589">
        <v>-0.12516730000000001</v>
      </c>
      <c r="U5589">
        <v>7.1136469999999993E-2</v>
      </c>
      <c r="V5589">
        <v>2.2292409999999999E-2</v>
      </c>
      <c r="W5589">
        <v>0.199291</v>
      </c>
      <c r="X5589">
        <v>0.97968679999999997</v>
      </c>
      <c r="Y5589">
        <v>-3.7264360000000003E-2</v>
      </c>
      <c r="Z5589">
        <v>1.3332929999999999E-3</v>
      </c>
      <c r="AA5589">
        <v>0.99930450000000004</v>
      </c>
      <c r="AB5589">
        <v>25</v>
      </c>
      <c r="AC5589">
        <v>27.218800000000002</v>
      </c>
      <c r="AD5589">
        <v>-1.1085356163640001</v>
      </c>
      <c r="AE5589">
        <v>0.63217999999999097</v>
      </c>
      <c r="AF5589">
        <v>-1.01939014125049</v>
      </c>
      <c r="AG5589">
        <v>-1.1085356163640001</v>
      </c>
      <c r="AH5589">
        <v>27.1619580355393</v>
      </c>
      <c r="AI5589">
        <v>92.3354198132253</v>
      </c>
      <c r="AJ5589">
        <v>92.149305795919304</v>
      </c>
      <c r="AK5589">
        <v>27.203675703794499</v>
      </c>
      <c r="AL5589">
        <v>78.504498754586294</v>
      </c>
      <c r="AM5589">
        <v>88.696480719335298</v>
      </c>
      <c r="AN5589">
        <v>1.00000004015942</v>
      </c>
    </row>
    <row r="5590" spans="1:40" x14ac:dyDescent="0.25">
      <c r="A5590" t="str">
        <f>"20190312172819004"</f>
        <v>20190312172819004</v>
      </c>
      <c r="B5590" t="str">
        <f>"1552382898995081"</f>
        <v>1552382898995081</v>
      </c>
      <c r="C5590" t="s">
        <v>40</v>
      </c>
      <c r="D5590">
        <v>3.2774290000000001</v>
      </c>
      <c r="E5590">
        <v>0.4865601</v>
      </c>
      <c r="F5590" t="s">
        <v>59</v>
      </c>
      <c r="G5590">
        <v>-237.49770000000001</v>
      </c>
      <c r="H5590" s="1">
        <v>-2.5593359999999999E-6</v>
      </c>
      <c r="I5590">
        <v>-61.72054</v>
      </c>
      <c r="J5590">
        <v>-264.71899999999999</v>
      </c>
      <c r="K5590">
        <v>1.1085389999999999</v>
      </c>
      <c r="L5590">
        <v>-62.3482699999999</v>
      </c>
      <c r="M5590">
        <v>0.99989099999999997</v>
      </c>
      <c r="N5590">
        <v>0</v>
      </c>
      <c r="O5590">
        <v>-1.440872E-2</v>
      </c>
      <c r="P5590">
        <v>0.97985909999999998</v>
      </c>
      <c r="Q5590">
        <v>0.19627849999999999</v>
      </c>
      <c r="R5590">
        <v>-3.6755820000000002E-2</v>
      </c>
      <c r="S5590">
        <v>3.0891419999999998</v>
      </c>
      <c r="T5590">
        <v>-0.12518109999999999</v>
      </c>
      <c r="U5590">
        <v>7.064819E-2</v>
      </c>
      <c r="V5590">
        <v>2.2721990000000001E-2</v>
      </c>
      <c r="W5590">
        <v>0.19943859999999999</v>
      </c>
      <c r="X5590">
        <v>0.97964689999999999</v>
      </c>
      <c r="Y5590">
        <v>-3.7224170000000001E-2</v>
      </c>
      <c r="Z5590">
        <v>1.3373879999999999E-3</v>
      </c>
      <c r="AA5590">
        <v>0.99930600000000003</v>
      </c>
      <c r="AB5590">
        <v>26</v>
      </c>
      <c r="AC5590">
        <v>27.2212999999999</v>
      </c>
      <c r="AD5590">
        <v>-1.108541559336</v>
      </c>
      <c r="AE5590">
        <v>0.62772999999999202</v>
      </c>
      <c r="AF5590">
        <v>-1.0182032798563301</v>
      </c>
      <c r="AG5590">
        <v>-1.108541559336</v>
      </c>
      <c r="AH5590">
        <v>27.164404080035599</v>
      </c>
      <c r="AI5590">
        <v>92.335226368830803</v>
      </c>
      <c r="AJ5590">
        <v>92.146612602362296</v>
      </c>
      <c r="AK5590">
        <v>27.206073794859499</v>
      </c>
      <c r="AL5590">
        <v>78.495868723578099</v>
      </c>
      <c r="AM5590">
        <v>88.671316419767294</v>
      </c>
      <c r="AN5590">
        <v>1.00000004633956</v>
      </c>
    </row>
    <row r="5591" spans="1:40" x14ac:dyDescent="0.25">
      <c r="A5591" t="str">
        <f>"20190312172819015"</f>
        <v>20190312172819015</v>
      </c>
      <c r="B5591" t="str">
        <f>"1552382899004840"</f>
        <v>1552382899004840</v>
      </c>
      <c r="C5591" t="s">
        <v>40</v>
      </c>
      <c r="D5591">
        <v>3.350724</v>
      </c>
      <c r="E5591">
        <v>0.48646440000000002</v>
      </c>
      <c r="F5591" t="s">
        <v>59</v>
      </c>
      <c r="G5591">
        <v>-237.3948</v>
      </c>
      <c r="H5591" s="1">
        <v>-2.5196649999999999E-6</v>
      </c>
      <c r="I5591">
        <v>-61.737380000000002</v>
      </c>
      <c r="J5591">
        <v>-264.6001</v>
      </c>
      <c r="K5591">
        <v>1.1085400000000001</v>
      </c>
      <c r="L5591">
        <v>-62.350099999999998</v>
      </c>
      <c r="M5591">
        <v>0.99988960000000005</v>
      </c>
      <c r="N5591">
        <v>0</v>
      </c>
      <c r="O5591">
        <v>-1.451208E-2</v>
      </c>
      <c r="P5591">
        <v>0.97972190000000003</v>
      </c>
      <c r="Q5591">
        <v>0.19689029999999999</v>
      </c>
      <c r="R5591">
        <v>-3.71405E-2</v>
      </c>
      <c r="S5591">
        <v>3.0893549999999999</v>
      </c>
      <c r="T5591">
        <v>-0.125335</v>
      </c>
      <c r="U5591">
        <v>6.9061280000000003E-2</v>
      </c>
      <c r="V5591">
        <v>2.3006599999999999E-2</v>
      </c>
      <c r="W5591">
        <v>0.2000586</v>
      </c>
      <c r="X5591">
        <v>0.97951379999999999</v>
      </c>
      <c r="Y5591">
        <v>-3.6812989999999997E-2</v>
      </c>
      <c r="Z5591">
        <v>1.334801E-3</v>
      </c>
      <c r="AA5591">
        <v>0.99932129999999997</v>
      </c>
      <c r="AB5591">
        <v>26</v>
      </c>
      <c r="AC5591">
        <v>27.205299999999902</v>
      </c>
      <c r="AD5591">
        <v>-1.1085425196649901</v>
      </c>
      <c r="AE5591">
        <v>0.61271999999999505</v>
      </c>
      <c r="AF5591">
        <v>-1.0057938618361599</v>
      </c>
      <c r="AG5591">
        <v>-1.1085425196649901</v>
      </c>
      <c r="AH5591">
        <v>27.148490270467502</v>
      </c>
      <c r="AI5591">
        <v>92.336633522860097</v>
      </c>
      <c r="AJ5591">
        <v>92.121716489714103</v>
      </c>
      <c r="AK5591">
        <v>27.189722539520002</v>
      </c>
      <c r="AL5591">
        <v>78.459614362895394</v>
      </c>
      <c r="AM5591">
        <v>88.654496998023902</v>
      </c>
      <c r="AN5591">
        <v>1.0000000157339799</v>
      </c>
    </row>
    <row r="5592" spans="1:40" x14ac:dyDescent="0.25">
      <c r="A5592" t="str">
        <f>"20190312172819027"</f>
        <v>20190312172819027</v>
      </c>
      <c r="B5592" t="str">
        <f>"1552382899015576"</f>
        <v>1552382899015576</v>
      </c>
      <c r="C5592" t="s">
        <v>40</v>
      </c>
      <c r="D5592">
        <v>3.3042539999999998</v>
      </c>
      <c r="E5592">
        <v>0.48642010000000002</v>
      </c>
      <c r="F5592" t="s">
        <v>59</v>
      </c>
      <c r="G5592">
        <v>-236.6978</v>
      </c>
      <c r="H5592" s="1">
        <v>-2.218254E-6</v>
      </c>
      <c r="I5592">
        <v>-61.728230000000003</v>
      </c>
      <c r="J5592">
        <v>-264.45769999999999</v>
      </c>
      <c r="K5592">
        <v>1.1085430000000001</v>
      </c>
      <c r="L5592">
        <v>-62.352290000000004</v>
      </c>
      <c r="M5592">
        <v>0.99988779999999999</v>
      </c>
      <c r="N5592">
        <v>0</v>
      </c>
      <c r="O5592">
        <v>-1.463559E-2</v>
      </c>
      <c r="P5592">
        <v>0.97963049999999996</v>
      </c>
      <c r="Q5592">
        <v>0.19724710000000001</v>
      </c>
      <c r="R5592">
        <v>-3.7655550000000003E-2</v>
      </c>
      <c r="S5592">
        <v>3.0893860000000002</v>
      </c>
      <c r="T5592">
        <v>-0.12273969999999999</v>
      </c>
      <c r="U5592">
        <v>6.8847660000000005E-2</v>
      </c>
      <c r="V5592">
        <v>2.3401109999999999E-2</v>
      </c>
      <c r="W5592">
        <v>0.20042489999999999</v>
      </c>
      <c r="X5592">
        <v>0.97942949999999995</v>
      </c>
      <c r="Y5592">
        <v>-3.6868720000000001E-2</v>
      </c>
      <c r="Z5592">
        <v>1.313182E-3</v>
      </c>
      <c r="AA5592">
        <v>0.99931930000000002</v>
      </c>
      <c r="AB5592">
        <v>26</v>
      </c>
      <c r="AC5592">
        <v>27.759899999999899</v>
      </c>
      <c r="AD5592">
        <v>-1.1085452182539901</v>
      </c>
      <c r="AE5592">
        <v>0.62405999999999995</v>
      </c>
      <c r="AF5592">
        <v>-1.0286382322603</v>
      </c>
      <c r="AG5592">
        <v>-1.1085452182539901</v>
      </c>
      <c r="AH5592">
        <v>27.703637320538601</v>
      </c>
      <c r="AI5592">
        <v>92.289859197130497</v>
      </c>
      <c r="AJ5592">
        <v>92.126419966769603</v>
      </c>
      <c r="AK5592">
        <v>27.744882229011498</v>
      </c>
      <c r="AL5592">
        <v>78.438192280731101</v>
      </c>
      <c r="AM5592">
        <v>88.631315684701306</v>
      </c>
      <c r="AN5592">
        <v>0.99999994897974398</v>
      </c>
    </row>
    <row r="5593" spans="1:40" x14ac:dyDescent="0.25">
      <c r="A5593" t="str">
        <f>"20190312172819039"</f>
        <v>20190312172819039</v>
      </c>
      <c r="B5593" t="str">
        <f>"1552382899035097"</f>
        <v>1552382899035097</v>
      </c>
      <c r="C5593" t="s">
        <v>40</v>
      </c>
      <c r="D5593">
        <v>3.3392620000000002</v>
      </c>
      <c r="E5593">
        <v>0.48634369999999999</v>
      </c>
      <c r="F5593" t="s">
        <v>59</v>
      </c>
      <c r="G5593">
        <v>-236.33369999999999</v>
      </c>
      <c r="H5593" s="1">
        <v>-2.063777E-6</v>
      </c>
      <c r="I5593">
        <v>-61.734679999999997</v>
      </c>
      <c r="J5593">
        <v>-264.33420000000001</v>
      </c>
      <c r="K5593">
        <v>1.1085449999999999</v>
      </c>
      <c r="L5593">
        <v>-62.354190000000003</v>
      </c>
      <c r="M5593">
        <v>0.99988600000000005</v>
      </c>
      <c r="N5593">
        <v>0</v>
      </c>
      <c r="O5593">
        <v>-1.4740380000000001E-2</v>
      </c>
      <c r="P5593">
        <v>0.97957019999999995</v>
      </c>
      <c r="Q5593">
        <v>0.19746939999999999</v>
      </c>
      <c r="R5593">
        <v>-3.8056729999999997E-2</v>
      </c>
      <c r="S5593">
        <v>3.0895389999999998</v>
      </c>
      <c r="T5593">
        <v>-0.1217782</v>
      </c>
      <c r="U5593">
        <v>6.7840579999999998E-2</v>
      </c>
      <c r="V5593">
        <v>2.3699649999999999E-2</v>
      </c>
      <c r="W5593">
        <v>0.20065469999999999</v>
      </c>
      <c r="X5593">
        <v>0.97937529999999995</v>
      </c>
      <c r="Y5593">
        <v>-3.66475E-2</v>
      </c>
      <c r="Z5593">
        <v>1.302615E-3</v>
      </c>
      <c r="AA5593">
        <v>0.99932739999999998</v>
      </c>
      <c r="AB5593">
        <v>26</v>
      </c>
      <c r="AC5593">
        <v>28.000499999999999</v>
      </c>
      <c r="AD5593">
        <v>-1.1085470637770001</v>
      </c>
      <c r="AE5593">
        <v>0.61950999999999801</v>
      </c>
      <c r="AF5593">
        <v>-1.0305684015810701</v>
      </c>
      <c r="AG5593">
        <v>-1.1085470637770001</v>
      </c>
      <c r="AH5593">
        <v>27.944547446477898</v>
      </c>
      <c r="AI5593">
        <v>92.270163861781299</v>
      </c>
      <c r="AJ5593">
        <v>92.112056833469694</v>
      </c>
      <c r="AK5593">
        <v>27.985508389368199</v>
      </c>
      <c r="AL5593">
        <v>78.424753057842693</v>
      </c>
      <c r="AM5593">
        <v>88.613784763237604</v>
      </c>
      <c r="AN5593">
        <v>0.99999998014615099</v>
      </c>
    </row>
    <row r="5594" spans="1:40" x14ac:dyDescent="0.25">
      <c r="A5594" t="str">
        <f>"20190312172819048"</f>
        <v>20190312172819048</v>
      </c>
      <c r="B5594" t="str">
        <f>"1552382899044857"</f>
        <v>1552382899044857</v>
      </c>
      <c r="C5594" t="s">
        <v>40</v>
      </c>
      <c r="D5594">
        <v>3.3215979999999998</v>
      </c>
      <c r="E5594">
        <v>0.4863362</v>
      </c>
      <c r="F5594" t="s">
        <v>59</v>
      </c>
      <c r="G5594">
        <v>-236.13390000000001</v>
      </c>
      <c r="H5594" s="1">
        <v>-1.9793729999999999E-6</v>
      </c>
      <c r="I5594">
        <v>-61.739660000000001</v>
      </c>
      <c r="J5594">
        <v>-264.22309999999999</v>
      </c>
      <c r="K5594">
        <v>1.108549</v>
      </c>
      <c r="L5594">
        <v>-62.355899999999998</v>
      </c>
      <c r="M5594">
        <v>0.99988480000000002</v>
      </c>
      <c r="N5594">
        <v>0</v>
      </c>
      <c r="O5594">
        <v>-1.483492E-2</v>
      </c>
      <c r="P5594">
        <v>0.97955270000000005</v>
      </c>
      <c r="Q5594">
        <v>0.19752839999999999</v>
      </c>
      <c r="R5594">
        <v>-3.820378E-2</v>
      </c>
      <c r="S5594">
        <v>3.089661</v>
      </c>
      <c r="T5594">
        <v>-0.12145400000000001</v>
      </c>
      <c r="U5594">
        <v>6.7321779999999998E-2</v>
      </c>
      <c r="V5594">
        <v>2.3753449999999999E-2</v>
      </c>
      <c r="W5594">
        <v>0.20072110000000001</v>
      </c>
      <c r="X5594">
        <v>0.97936040000000002</v>
      </c>
      <c r="Y5594">
        <v>-3.6573599999999998E-2</v>
      </c>
      <c r="Z5594">
        <v>1.301363E-3</v>
      </c>
      <c r="AA5594">
        <v>0.9993301</v>
      </c>
      <c r="AB5594">
        <v>26</v>
      </c>
      <c r="AC5594">
        <v>28.089199999999899</v>
      </c>
      <c r="AD5594">
        <v>-1.108550979373</v>
      </c>
      <c r="AE5594">
        <v>0.61623999999999701</v>
      </c>
      <c r="AF5594">
        <v>-1.0312699224731501</v>
      </c>
      <c r="AG5594">
        <v>-1.108550979373</v>
      </c>
      <c r="AH5594">
        <v>28.033325659850799</v>
      </c>
      <c r="AI5594">
        <v>92.262997624458393</v>
      </c>
      <c r="AJ5594">
        <v>92.106806092796404</v>
      </c>
      <c r="AK5594">
        <v>28.074182988612801</v>
      </c>
      <c r="AL5594">
        <v>78.420869722657699</v>
      </c>
      <c r="AM5594">
        <v>88.610618052253798</v>
      </c>
      <c r="AN5594">
        <v>0.99999998973013604</v>
      </c>
    </row>
    <row r="5595" spans="1:40" x14ac:dyDescent="0.25">
      <c r="A5595" t="str">
        <f>"20190312172819059"</f>
        <v>20190312172819059</v>
      </c>
      <c r="B5595" t="str">
        <f>"1552382899055592"</f>
        <v>1552382899055592</v>
      </c>
      <c r="C5595" t="s">
        <v>40</v>
      </c>
      <c r="D5595">
        <v>3.2980269999999998</v>
      </c>
      <c r="E5595">
        <v>0.48632880000000001</v>
      </c>
      <c r="F5595" t="s">
        <v>59</v>
      </c>
      <c r="G5595">
        <v>-236.11269999999999</v>
      </c>
      <c r="H5595" s="1">
        <v>-1.9723729999999998E-6</v>
      </c>
      <c r="I5595">
        <v>-61.747520000000002</v>
      </c>
      <c r="J5595">
        <v>-264.0838</v>
      </c>
      <c r="K5595">
        <v>1.1085499999999999</v>
      </c>
      <c r="L5595">
        <v>-62.3581199999999</v>
      </c>
      <c r="M5595">
        <v>0.99988290000000002</v>
      </c>
      <c r="N5595">
        <v>0</v>
      </c>
      <c r="O5595">
        <v>-1.495116E-2</v>
      </c>
      <c r="P5595">
        <v>0.97952649999999997</v>
      </c>
      <c r="Q5595">
        <v>0.1976514</v>
      </c>
      <c r="R5595">
        <v>-3.8235890000000002E-2</v>
      </c>
      <c r="S5595">
        <v>3.0898129999999999</v>
      </c>
      <c r="T5595">
        <v>-0.1218489</v>
      </c>
      <c r="U5595">
        <v>6.6864010000000001E-2</v>
      </c>
      <c r="V5595">
        <v>2.367153E-2</v>
      </c>
      <c r="W5595">
        <v>0.20085330000000001</v>
      </c>
      <c r="X5595">
        <v>0.97933530000000002</v>
      </c>
      <c r="Y5595">
        <v>-3.6540400000000001E-2</v>
      </c>
      <c r="Z5595">
        <v>1.3094560000000001E-3</v>
      </c>
      <c r="AA5595">
        <v>0.99933130000000003</v>
      </c>
      <c r="AB5595">
        <v>26</v>
      </c>
      <c r="AC5595">
        <v>27.9711</v>
      </c>
      <c r="AD5595">
        <v>-1.108551972373</v>
      </c>
      <c r="AE5595">
        <v>0.61059999999999703</v>
      </c>
      <c r="AF5595">
        <v>-1.0271218367453601</v>
      </c>
      <c r="AG5595">
        <v>-1.108551972373</v>
      </c>
      <c r="AH5595">
        <v>27.915019060344001</v>
      </c>
      <c r="AI5595">
        <v>92.272579820267296</v>
      </c>
      <c r="AJ5595">
        <v>92.107224428481999</v>
      </c>
      <c r="AK5595">
        <v>27.9558966209696</v>
      </c>
      <c r="AL5595">
        <v>78.413137992029306</v>
      </c>
      <c r="AM5595">
        <v>88.615372358905901</v>
      </c>
      <c r="AN5595">
        <v>1.0000000096397601</v>
      </c>
    </row>
    <row r="5596" spans="1:40" x14ac:dyDescent="0.25">
      <c r="A5596" t="str">
        <f>"20190312172819071"</f>
        <v>20190312172819071</v>
      </c>
      <c r="B5596" t="str">
        <f>"1552382899065353"</f>
        <v>1552382899065353</v>
      </c>
      <c r="C5596" t="s">
        <v>40</v>
      </c>
      <c r="D5596">
        <v>3.4375309999999999</v>
      </c>
      <c r="E5596">
        <v>0.486319</v>
      </c>
      <c r="F5596" t="s">
        <v>59</v>
      </c>
      <c r="G5596">
        <v>-236.03450000000001</v>
      </c>
      <c r="H5596" s="1">
        <v>-1.9398360000000002E-6</v>
      </c>
      <c r="I5596">
        <v>-61.751370000000001</v>
      </c>
      <c r="J5596">
        <v>-263.9479</v>
      </c>
      <c r="K5596">
        <v>1.108552</v>
      </c>
      <c r="L5596">
        <v>-62.360259999999997</v>
      </c>
      <c r="M5596">
        <v>0.99988109999999997</v>
      </c>
      <c r="N5596">
        <v>0</v>
      </c>
      <c r="O5596">
        <v>-1.5064060000000001E-2</v>
      </c>
      <c r="P5596">
        <v>0.97957249999999996</v>
      </c>
      <c r="Q5596">
        <v>0.19742670000000001</v>
      </c>
      <c r="R5596">
        <v>-3.8215579999999999E-2</v>
      </c>
      <c r="S5596">
        <v>3.0899350000000001</v>
      </c>
      <c r="T5596">
        <v>-0.1221188</v>
      </c>
      <c r="U5596">
        <v>6.6833500000000004E-2</v>
      </c>
      <c r="V5596">
        <v>2.3539250000000001E-2</v>
      </c>
      <c r="W5596">
        <v>0.20063839999999999</v>
      </c>
      <c r="X5596">
        <v>0.97938250000000004</v>
      </c>
      <c r="Y5596">
        <v>-3.6642180000000003E-2</v>
      </c>
      <c r="Z5596">
        <v>1.3187730000000001E-3</v>
      </c>
      <c r="AA5596">
        <v>0.99932759999999998</v>
      </c>
      <c r="AB5596">
        <v>26</v>
      </c>
      <c r="AC5596">
        <v>27.913399999999999</v>
      </c>
      <c r="AD5596">
        <v>-1.108553939836</v>
      </c>
      <c r="AE5596">
        <v>0.60889000000000204</v>
      </c>
      <c r="AF5596">
        <v>-1.02769221400727</v>
      </c>
      <c r="AG5596">
        <v>-1.108553939836</v>
      </c>
      <c r="AH5596">
        <v>27.857144708605599</v>
      </c>
      <c r="AI5596">
        <v>92.277292157039696</v>
      </c>
      <c r="AJ5596">
        <v>92.112769856139707</v>
      </c>
      <c r="AK5596">
        <v>27.898128152986299</v>
      </c>
      <c r="AL5596">
        <v>78.425706276992301</v>
      </c>
      <c r="AM5596">
        <v>88.623173207284196</v>
      </c>
      <c r="AN5596">
        <v>0.99999997257568496</v>
      </c>
    </row>
    <row r="5597" spans="1:40" x14ac:dyDescent="0.25">
      <c r="A5597" t="str">
        <f>"20190312172819081"</f>
        <v>20190312172819081</v>
      </c>
      <c r="B5597" t="str">
        <f>"1552382899075112"</f>
        <v>1552382899075112</v>
      </c>
      <c r="C5597" t="s">
        <v>40</v>
      </c>
      <c r="D5597">
        <v>3.3060290000000001</v>
      </c>
      <c r="E5597">
        <v>0.48631550000000001</v>
      </c>
      <c r="F5597" t="s">
        <v>59</v>
      </c>
      <c r="G5597">
        <v>-236.21899999999999</v>
      </c>
      <c r="H5597" s="1">
        <v>-2.0215609999999998E-6</v>
      </c>
      <c r="I5597">
        <v>-61.761000000000003</v>
      </c>
      <c r="J5597">
        <v>-263.82339999999999</v>
      </c>
      <c r="K5597">
        <v>1.108554</v>
      </c>
      <c r="L5597">
        <v>-62.362209999999997</v>
      </c>
      <c r="M5597">
        <v>0.99987969999999904</v>
      </c>
      <c r="N5597">
        <v>0</v>
      </c>
      <c r="O5597">
        <v>-1.5166829999999999E-2</v>
      </c>
      <c r="P5597">
        <v>0.97954300000000005</v>
      </c>
      <c r="Q5597">
        <v>0.1975229</v>
      </c>
      <c r="R5597">
        <v>-3.848211E-2</v>
      </c>
      <c r="S5597">
        <v>3.0900270000000001</v>
      </c>
      <c r="T5597">
        <v>-0.12353409999999999</v>
      </c>
      <c r="U5597">
        <v>6.6772460000000006E-2</v>
      </c>
      <c r="V5597">
        <v>2.370514E-2</v>
      </c>
      <c r="W5597">
        <v>0.20074259999999999</v>
      </c>
      <c r="X5597">
        <v>0.97935720000000004</v>
      </c>
      <c r="Y5597">
        <v>-3.6723440000000003E-2</v>
      </c>
      <c r="Z5597">
        <v>1.3397350000000001E-3</v>
      </c>
      <c r="AA5597">
        <v>0.99932460000000001</v>
      </c>
      <c r="AB5597">
        <v>26</v>
      </c>
      <c r="AC5597">
        <v>27.604399999999899</v>
      </c>
      <c r="AD5597">
        <v>-1.108556021561</v>
      </c>
      <c r="AE5597">
        <v>0.60120999999999403</v>
      </c>
      <c r="AF5597">
        <v>-1.0181730490829699</v>
      </c>
      <c r="AG5597">
        <v>-1.108556021561</v>
      </c>
      <c r="AH5597">
        <v>27.547700695120401</v>
      </c>
      <c r="AI5597">
        <v>92.3028441287519</v>
      </c>
      <c r="AJ5597">
        <v>92.116709369036201</v>
      </c>
      <c r="AK5597">
        <v>27.5887909557261</v>
      </c>
      <c r="AL5597">
        <v>78.419612685371305</v>
      </c>
      <c r="AM5597">
        <v>88.6134381579365</v>
      </c>
      <c r="AN5597">
        <v>1.0000000251545</v>
      </c>
    </row>
    <row r="5598" spans="1:40" x14ac:dyDescent="0.25">
      <c r="A5598" t="str">
        <f>"20190312172819093"</f>
        <v>20190312172819093</v>
      </c>
      <c r="B5598" t="str">
        <f>"1552382899084872"</f>
        <v>1552382899084872</v>
      </c>
      <c r="C5598" t="s">
        <v>40</v>
      </c>
      <c r="D5598">
        <v>3.3335870000000001</v>
      </c>
      <c r="E5598">
        <v>0.48630580000000001</v>
      </c>
      <c r="F5598" t="s">
        <v>59</v>
      </c>
      <c r="G5598">
        <v>-236.1765</v>
      </c>
      <c r="H5598" s="1">
        <v>-2.006423E-6</v>
      </c>
      <c r="I5598">
        <v>-61.772689999999997</v>
      </c>
      <c r="J5598">
        <v>-263.69150000000002</v>
      </c>
      <c r="K5598">
        <v>1.108554</v>
      </c>
      <c r="L5598">
        <v>-62.364350000000002</v>
      </c>
      <c r="M5598">
        <v>0.99987789999999999</v>
      </c>
      <c r="N5598">
        <v>0</v>
      </c>
      <c r="O5598">
        <v>-1.527509E-2</v>
      </c>
      <c r="P5598">
        <v>0.97949379999999997</v>
      </c>
      <c r="Q5598">
        <v>0.1977565</v>
      </c>
      <c r="R5598">
        <v>-3.8526249999999998E-2</v>
      </c>
      <c r="S5598">
        <v>3.0902400000000001</v>
      </c>
      <c r="T5598">
        <v>-0.1239089</v>
      </c>
      <c r="U5598">
        <v>6.588745E-2</v>
      </c>
      <c r="V5598">
        <v>2.3644020000000002E-2</v>
      </c>
      <c r="W5598">
        <v>0.2009859</v>
      </c>
      <c r="X5598">
        <v>0.97930870000000003</v>
      </c>
      <c r="Y5598">
        <v>-3.6543890000000002E-2</v>
      </c>
      <c r="Z5598">
        <v>1.3444479999999901E-3</v>
      </c>
      <c r="AA5598">
        <v>0.99933110000000003</v>
      </c>
      <c r="AB5598">
        <v>26</v>
      </c>
      <c r="AC5598">
        <v>27.515000000000001</v>
      </c>
      <c r="AD5598">
        <v>-1.108556006423</v>
      </c>
      <c r="AE5598">
        <v>0.59165999999999697</v>
      </c>
      <c r="AF5598">
        <v>-1.0102482595878099</v>
      </c>
      <c r="AG5598">
        <v>-1.108556006423</v>
      </c>
      <c r="AH5598">
        <v>27.458202067570301</v>
      </c>
      <c r="AI5598">
        <v>92.310356271626603</v>
      </c>
      <c r="AJ5598">
        <v>92.107088602847696</v>
      </c>
      <c r="AK5598">
        <v>27.499133781792001</v>
      </c>
      <c r="AL5598">
        <v>78.405381726182696</v>
      </c>
      <c r="AM5598">
        <v>88.616943335263201</v>
      </c>
      <c r="AN5598">
        <v>0.99999995078812898</v>
      </c>
    </row>
    <row r="5599" spans="1:40" x14ac:dyDescent="0.25">
      <c r="A5599" t="str">
        <f>"20190312172819104"</f>
        <v>20190312172819104</v>
      </c>
      <c r="B5599" t="str">
        <f>"1552382899095608"</f>
        <v>1552382899095608</v>
      </c>
      <c r="C5599" t="s">
        <v>40</v>
      </c>
      <c r="D5599">
        <v>3.3432810000000002</v>
      </c>
      <c r="E5599">
        <v>0.48629600000000001</v>
      </c>
      <c r="F5599" t="s">
        <v>59</v>
      </c>
      <c r="G5599">
        <v>-236.02119999999999</v>
      </c>
      <c r="H5599" s="1">
        <v>-1.940695E-6</v>
      </c>
      <c r="I5599">
        <v>-61.77599</v>
      </c>
      <c r="J5599">
        <v>-263.55829999999997</v>
      </c>
      <c r="K5599">
        <v>1.108557</v>
      </c>
      <c r="L5599">
        <v>-62.366520000000001</v>
      </c>
      <c r="M5599">
        <v>0.99987630000000005</v>
      </c>
      <c r="N5599">
        <v>0</v>
      </c>
      <c r="O5599">
        <v>-1.5384190000000001E-2</v>
      </c>
      <c r="P5599">
        <v>0.97953590000000001</v>
      </c>
      <c r="Q5599">
        <v>0.1975268</v>
      </c>
      <c r="R5599">
        <v>-3.864012E-2</v>
      </c>
      <c r="S5599">
        <v>3.090363</v>
      </c>
      <c r="T5599">
        <v>-0.123809199999999</v>
      </c>
      <c r="U5599">
        <v>6.5704349999999995E-2</v>
      </c>
      <c r="V5599">
        <v>2.3649920000000001E-2</v>
      </c>
      <c r="W5599">
        <v>0.20076640000000001</v>
      </c>
      <c r="X5599">
        <v>0.97935360000000005</v>
      </c>
      <c r="Y5599">
        <v>-3.6592850000000003E-2</v>
      </c>
      <c r="Z5599">
        <v>1.3486640000000001E-3</v>
      </c>
      <c r="AA5599">
        <v>0.99932929999999998</v>
      </c>
      <c r="AB5599">
        <v>26</v>
      </c>
      <c r="AC5599">
        <v>27.537099999999899</v>
      </c>
      <c r="AD5599">
        <v>-1.1085589406950001</v>
      </c>
      <c r="AE5599">
        <v>0.590529999999994</v>
      </c>
      <c r="AF5599">
        <v>-1.0124583052372</v>
      </c>
      <c r="AG5599">
        <v>-1.1085589406950001</v>
      </c>
      <c r="AH5599">
        <v>27.480241693912902</v>
      </c>
      <c r="AI5599">
        <v>92.308507118567604</v>
      </c>
      <c r="AJ5599">
        <v>92.110001873246802</v>
      </c>
      <c r="AK5599">
        <v>27.521221962345798</v>
      </c>
      <c r="AL5599">
        <v>78.418220059271803</v>
      </c>
      <c r="AM5599">
        <v>88.616661748504001</v>
      </c>
      <c r="AN5599">
        <v>0.99999996995896201</v>
      </c>
    </row>
    <row r="5600" spans="1:40" x14ac:dyDescent="0.25">
      <c r="A5600" t="str">
        <f>"20190312172819116"</f>
        <v>20190312172819116</v>
      </c>
      <c r="B5600" t="str">
        <f>"1552382899105370"</f>
        <v>1552382899105370</v>
      </c>
      <c r="C5600" t="s">
        <v>40</v>
      </c>
      <c r="D5600">
        <v>3.3592080000000002</v>
      </c>
      <c r="E5600">
        <v>0.4862416</v>
      </c>
      <c r="F5600" t="s">
        <v>59</v>
      </c>
      <c r="G5600">
        <v>-236.19149999999999</v>
      </c>
      <c r="H5600" s="1">
        <v>-2.016758E-6</v>
      </c>
      <c r="I5600">
        <v>-61.78734</v>
      </c>
      <c r="J5600">
        <v>-263.42500000000001</v>
      </c>
      <c r="K5600">
        <v>1.1085579999999999</v>
      </c>
      <c r="L5600">
        <v>-62.368679999999998</v>
      </c>
      <c r="M5600">
        <v>0.99987459999999995</v>
      </c>
      <c r="N5600">
        <v>0</v>
      </c>
      <c r="O5600">
        <v>-1.549292E-2</v>
      </c>
      <c r="P5600">
        <v>0.97951330000000003</v>
      </c>
      <c r="Q5600">
        <v>0.19762479999999999</v>
      </c>
      <c r="R5600">
        <v>-3.8710120000000001E-2</v>
      </c>
      <c r="S5600">
        <v>3.0905149999999999</v>
      </c>
      <c r="T5600">
        <v>-0.12518850000000001</v>
      </c>
      <c r="U5600">
        <v>6.5399170000000006E-2</v>
      </c>
      <c r="V5600">
        <v>2.3613660000000002E-2</v>
      </c>
      <c r="W5600">
        <v>0.20087569999999999</v>
      </c>
      <c r="X5600">
        <v>0.97933210000000004</v>
      </c>
      <c r="Y5600">
        <v>-3.6600819999999999E-2</v>
      </c>
      <c r="Z5600">
        <v>1.368174E-3</v>
      </c>
      <c r="AA5600">
        <v>0.99932900000000002</v>
      </c>
      <c r="AB5600">
        <v>26</v>
      </c>
      <c r="AC5600">
        <v>27.233499999999999</v>
      </c>
      <c r="AD5600">
        <v>-1.1085600167580001</v>
      </c>
      <c r="AE5600">
        <v>0.58134000000000396</v>
      </c>
      <c r="AF5600">
        <v>-1.00154017668704</v>
      </c>
      <c r="AG5600">
        <v>-1.1085600167580001</v>
      </c>
      <c r="AH5600">
        <v>27.176215291942199</v>
      </c>
      <c r="AI5600">
        <v>92.334305862885103</v>
      </c>
      <c r="AJ5600">
        <v>92.110598047030393</v>
      </c>
      <c r="AK5600">
        <v>27.2172494133825</v>
      </c>
      <c r="AL5600">
        <v>78.411827833203702</v>
      </c>
      <c r="AM5600">
        <v>88.618751545965793</v>
      </c>
      <c r="AN5600">
        <v>1.0000000069397399</v>
      </c>
    </row>
    <row r="5601" spans="1:40" x14ac:dyDescent="0.25">
      <c r="A5601" t="str">
        <f>"20190312172819125"</f>
        <v>20190312172819125</v>
      </c>
      <c r="B5601" t="str">
        <f>"1552382899115129"</f>
        <v>1552382899115129</v>
      </c>
      <c r="C5601" t="s">
        <v>40</v>
      </c>
      <c r="D5601">
        <v>3.356344</v>
      </c>
      <c r="E5601">
        <v>0.4862416</v>
      </c>
      <c r="F5601" t="s">
        <v>59</v>
      </c>
      <c r="G5601">
        <v>-235.99770000000001</v>
      </c>
      <c r="H5601" s="1">
        <v>-1.9337249999999999E-6</v>
      </c>
      <c r="I5601">
        <v>-61.787689999999998</v>
      </c>
      <c r="J5601">
        <v>-263.29489999999998</v>
      </c>
      <c r="K5601">
        <v>1.1085590000000001</v>
      </c>
      <c r="L5601">
        <v>-62.37079</v>
      </c>
      <c r="M5601">
        <v>0.99987289999999995</v>
      </c>
      <c r="N5601">
        <v>0</v>
      </c>
      <c r="O5601">
        <v>-1.5599160000000001E-2</v>
      </c>
      <c r="P5601">
        <v>0.97945539999999998</v>
      </c>
      <c r="Q5601">
        <v>0.1978983</v>
      </c>
      <c r="R5601">
        <v>-3.877651E-2</v>
      </c>
      <c r="S5601">
        <v>3.0905459999999998</v>
      </c>
      <c r="T5601">
        <v>-0.12491380000000001</v>
      </c>
      <c r="U5601">
        <v>6.5460210000000005E-2</v>
      </c>
      <c r="V5601">
        <v>2.357706E-2</v>
      </c>
      <c r="W5601">
        <v>0.2011597</v>
      </c>
      <c r="X5601">
        <v>0.97927470000000005</v>
      </c>
      <c r="Y5601">
        <v>-3.6726519999999999E-2</v>
      </c>
      <c r="Z5601">
        <v>1.3719909999999999E-3</v>
      </c>
      <c r="AA5601">
        <v>0.9993244</v>
      </c>
      <c r="AB5601">
        <v>26</v>
      </c>
      <c r="AC5601">
        <v>27.297199999999901</v>
      </c>
      <c r="AD5601">
        <v>-1.108560933725</v>
      </c>
      <c r="AE5601">
        <v>0.58309999999999396</v>
      </c>
      <c r="AF5601">
        <v>-1.0071844236657499</v>
      </c>
      <c r="AG5601">
        <v>-1.108560933725</v>
      </c>
      <c r="AH5601">
        <v>27.239878165508699</v>
      </c>
      <c r="AI5601">
        <v>92.328847864398398</v>
      </c>
      <c r="AJ5601">
        <v>92.117525641984699</v>
      </c>
      <c r="AK5601">
        <v>27.281024362710699</v>
      </c>
      <c r="AL5601">
        <v>78.395216918081104</v>
      </c>
      <c r="AM5601">
        <v>88.620810780061404</v>
      </c>
      <c r="AN5601">
        <v>1.0000000203612101</v>
      </c>
    </row>
    <row r="5602" spans="1:40" x14ac:dyDescent="0.25">
      <c r="A5602" t="str">
        <f>"20190312172819137"</f>
        <v>20190312172819137</v>
      </c>
      <c r="B5602" t="str">
        <f>"1552382899135625"</f>
        <v>1552382899135625</v>
      </c>
      <c r="C5602" t="s">
        <v>40</v>
      </c>
      <c r="D5602">
        <v>3.3920340000000002</v>
      </c>
      <c r="E5602">
        <v>0.49301499999999998</v>
      </c>
      <c r="F5602" t="s">
        <v>59</v>
      </c>
      <c r="G5602">
        <v>-235.67699999999999</v>
      </c>
      <c r="H5602" s="1">
        <v>-1.7962639999999999E-6</v>
      </c>
      <c r="I5602">
        <v>-61.788220000000003</v>
      </c>
      <c r="J5602">
        <v>-263.16590000000002</v>
      </c>
      <c r="K5602">
        <v>1.1085529999999999</v>
      </c>
      <c r="L5602">
        <v>-62.372919999999901</v>
      </c>
      <c r="M5602">
        <v>0.99987110000000001</v>
      </c>
      <c r="N5602">
        <v>0</v>
      </c>
      <c r="O5602">
        <v>-1.5703490000000001E-2</v>
      </c>
      <c r="P5602">
        <v>0.9793868</v>
      </c>
      <c r="Q5602">
        <v>0.1981474</v>
      </c>
      <c r="R5602">
        <v>-3.9230319999999999E-2</v>
      </c>
      <c r="S5602">
        <v>3.090576</v>
      </c>
      <c r="T5602">
        <v>-0.1240531</v>
      </c>
      <c r="U5602">
        <v>6.5185549999999995E-2</v>
      </c>
      <c r="V5602">
        <v>2.392969E-2</v>
      </c>
      <c r="W5602">
        <v>0.2014203</v>
      </c>
      <c r="X5602">
        <v>0.97921259999999999</v>
      </c>
      <c r="Y5602">
        <v>-3.6742299999999999E-2</v>
      </c>
      <c r="Z5602">
        <v>1.367035E-3</v>
      </c>
      <c r="AA5602">
        <v>0.99932379999999998</v>
      </c>
      <c r="AB5602">
        <v>26</v>
      </c>
      <c r="AC5602">
        <v>27.488900000000001</v>
      </c>
      <c r="AD5602">
        <v>-1.1085547962639899</v>
      </c>
      <c r="AE5602">
        <v>0.584699999999997</v>
      </c>
      <c r="AF5602">
        <v>-1.01465260220632</v>
      </c>
      <c r="AG5602">
        <v>-1.1085547962639899</v>
      </c>
      <c r="AH5602">
        <v>27.4317365451972</v>
      </c>
      <c r="AI5602">
        <v>92.312563626051798</v>
      </c>
      <c r="AJ5602">
        <v>92.118306333099895</v>
      </c>
      <c r="AK5602">
        <v>27.472869954276501</v>
      </c>
      <c r="AL5602">
        <v>78.379973884884507</v>
      </c>
      <c r="AM5602">
        <v>88.600102362649494</v>
      </c>
      <c r="AN5602">
        <v>1.0000000416571699</v>
      </c>
    </row>
    <row r="5603" spans="1:40" x14ac:dyDescent="0.25">
      <c r="A5603" t="str">
        <f>"20190312172819149"</f>
        <v>20190312172819149</v>
      </c>
      <c r="B5603" t="str">
        <f>"1552382899145385"</f>
        <v>1552382899145385</v>
      </c>
      <c r="C5603" t="s">
        <v>40</v>
      </c>
      <c r="D5603">
        <v>3.3607879999999999</v>
      </c>
      <c r="E5603">
        <v>0.49292599999999998</v>
      </c>
      <c r="F5603" t="s">
        <v>59</v>
      </c>
      <c r="G5603">
        <v>-236.4956</v>
      </c>
      <c r="H5603" s="1">
        <v>-2.2790519999999999E-6</v>
      </c>
      <c r="I5603">
        <v>-62.2827699999999</v>
      </c>
      <c r="J5603">
        <v>-263.02940000000001</v>
      </c>
      <c r="K5603">
        <v>1.108554</v>
      </c>
      <c r="L5603">
        <v>-62.375149999999998</v>
      </c>
      <c r="M5603">
        <v>0.99986920000000001</v>
      </c>
      <c r="N5603">
        <v>0</v>
      </c>
      <c r="O5603">
        <v>-1.5813420000000002E-2</v>
      </c>
      <c r="P5603">
        <v>0.97928769999999998</v>
      </c>
      <c r="Q5603">
        <v>0.19856070000000001</v>
      </c>
      <c r="R5603">
        <v>-3.96134E-2</v>
      </c>
      <c r="S5603">
        <v>3.0895389999999998</v>
      </c>
      <c r="T5603">
        <v>-0.12841739999999999</v>
      </c>
      <c r="U5603">
        <v>1.043701E-2</v>
      </c>
      <c r="V5603">
        <v>2.420661E-2</v>
      </c>
      <c r="W5603">
        <v>0.20184530000000001</v>
      </c>
      <c r="X5603">
        <v>0.97911820000000005</v>
      </c>
      <c r="Y5603">
        <v>-1.9160969999999999E-2</v>
      </c>
      <c r="Z5603">
        <v>1.0550329999999999E-3</v>
      </c>
      <c r="AA5603">
        <v>0.99981589999999998</v>
      </c>
      <c r="AB5603">
        <v>27</v>
      </c>
      <c r="AC5603">
        <v>26.533799999999999</v>
      </c>
      <c r="AD5603">
        <v>-1.108556279052</v>
      </c>
      <c r="AE5603">
        <v>9.2380000000005597E-2</v>
      </c>
      <c r="AF5603">
        <v>-0.51106893553655297</v>
      </c>
      <c r="AG5603">
        <v>-1.108556279052</v>
      </c>
      <c r="AH5603">
        <v>26.4827965111186</v>
      </c>
      <c r="AI5603">
        <v>92.396526898570897</v>
      </c>
      <c r="AJ5603">
        <v>91.105565221616999</v>
      </c>
      <c r="AK5603">
        <v>26.5109147245056</v>
      </c>
      <c r="AL5603">
        <v>78.355111679653206</v>
      </c>
      <c r="AM5603">
        <v>88.583772502288994</v>
      </c>
      <c r="AN5603">
        <v>0.99999996733551</v>
      </c>
    </row>
    <row r="5604" spans="1:40" x14ac:dyDescent="0.25">
      <c r="A5604" t="str">
        <f>"20190312172819160"</f>
        <v>20190312172819160</v>
      </c>
      <c r="B5604" t="str">
        <f>"1552382899155148"</f>
        <v>1552382899155148</v>
      </c>
      <c r="C5604" t="s">
        <v>40</v>
      </c>
      <c r="D5604">
        <v>3.3637169999999998</v>
      </c>
      <c r="E5604">
        <v>0.49315379999999998</v>
      </c>
      <c r="F5604" t="s">
        <v>59</v>
      </c>
      <c r="G5604">
        <v>-235.595</v>
      </c>
      <c r="H5604" s="1">
        <v>-1.893465E-6</v>
      </c>
      <c r="I5604">
        <v>-62.28566</v>
      </c>
      <c r="J5604">
        <v>-262.892</v>
      </c>
      <c r="K5604">
        <v>1.108555</v>
      </c>
      <c r="L5604">
        <v>-62.37744</v>
      </c>
      <c r="M5604">
        <v>0.99986759999999997</v>
      </c>
      <c r="N5604">
        <v>0</v>
      </c>
      <c r="O5604">
        <v>-1.5922160000000001E-2</v>
      </c>
      <c r="P5604">
        <v>0.97923159999999998</v>
      </c>
      <c r="Q5604">
        <v>0.1987524</v>
      </c>
      <c r="R5604">
        <v>-4.0037419999999997E-2</v>
      </c>
      <c r="S5604">
        <v>3.089172</v>
      </c>
      <c r="T5604">
        <v>-0.1248257</v>
      </c>
      <c r="U5604">
        <v>1.00708E-2</v>
      </c>
      <c r="V5604">
        <v>2.4524569999999999E-2</v>
      </c>
      <c r="W5604">
        <v>0.20205129999999999</v>
      </c>
      <c r="X5604">
        <v>0.97906789999999999</v>
      </c>
      <c r="Y5604">
        <v>-1.9153150000000001E-2</v>
      </c>
      <c r="Z5604">
        <v>1.029905E-3</v>
      </c>
      <c r="AA5604">
        <v>0.99981609999999999</v>
      </c>
      <c r="AB5604">
        <v>27</v>
      </c>
      <c r="AC5604">
        <v>27.297000000000001</v>
      </c>
      <c r="AD5604">
        <v>-1.1085568934650001</v>
      </c>
      <c r="AE5604">
        <v>9.1779999999999903E-2</v>
      </c>
      <c r="AF5604">
        <v>-0.52553129342399296</v>
      </c>
      <c r="AG5604">
        <v>-1.1085568934650001</v>
      </c>
      <c r="AH5604">
        <v>27.247141492667801</v>
      </c>
      <c r="AI5604">
        <v>92.329375692474699</v>
      </c>
      <c r="AJ5604">
        <v>91.104959656800105</v>
      </c>
      <c r="AK5604">
        <v>27.274746580818601</v>
      </c>
      <c r="AL5604">
        <v>78.343061632297207</v>
      </c>
      <c r="AM5604">
        <v>88.565104034924303</v>
      </c>
      <c r="AN5604">
        <v>1.00000006758789</v>
      </c>
    </row>
    <row r="5605" spans="1:40" x14ac:dyDescent="0.25">
      <c r="A5605" t="str">
        <f>"20190312172819172"</f>
        <v>20190312172819172</v>
      </c>
      <c r="B5605" t="str">
        <f>"1552382899164904"</f>
        <v>1552382899164904</v>
      </c>
      <c r="C5605" t="s">
        <v>40</v>
      </c>
      <c r="D5605">
        <v>3.3577349999999999</v>
      </c>
      <c r="E5605">
        <v>0.49315120000000001</v>
      </c>
      <c r="F5605" t="s">
        <v>59</v>
      </c>
      <c r="G5605">
        <v>-235.92269999999999</v>
      </c>
      <c r="H5605" s="1">
        <v>-2.0402110000000001E-6</v>
      </c>
      <c r="I5605">
        <v>-62.308919999999901</v>
      </c>
      <c r="J5605">
        <v>-262.74709999999999</v>
      </c>
      <c r="K5605">
        <v>1.108562</v>
      </c>
      <c r="L5605">
        <v>-62.37988</v>
      </c>
      <c r="M5605">
        <v>0.99986580000000003</v>
      </c>
      <c r="N5605">
        <v>0</v>
      </c>
      <c r="O5605">
        <v>-1.6035199999999999E-2</v>
      </c>
      <c r="P5605">
        <v>0.97925220000000002</v>
      </c>
      <c r="Q5605">
        <v>0.19861909999999999</v>
      </c>
      <c r="R5605">
        <v>-4.0196849999999999E-2</v>
      </c>
      <c r="S5605">
        <v>3.0897220000000001</v>
      </c>
      <c r="T5605">
        <v>-0.1270008</v>
      </c>
      <c r="U5605">
        <v>7.8430180000000002E-3</v>
      </c>
      <c r="V5605">
        <v>2.4572099999999999E-2</v>
      </c>
      <c r="W5605">
        <v>0.20193269999999999</v>
      </c>
      <c r="X5605">
        <v>0.97909109999999999</v>
      </c>
      <c r="Y5605">
        <v>-1.8544120000000001E-2</v>
      </c>
      <c r="Z5605">
        <v>1.0397819999999999E-3</v>
      </c>
      <c r="AA5605">
        <v>0.99982749999999998</v>
      </c>
      <c r="AB5605">
        <v>27</v>
      </c>
      <c r="AC5605">
        <v>26.824400000000001</v>
      </c>
      <c r="AD5605">
        <v>-1.108564040211</v>
      </c>
      <c r="AE5605">
        <v>7.0960000000013596E-2</v>
      </c>
      <c r="AF5605">
        <v>-0.50023357458908002</v>
      </c>
      <c r="AG5605">
        <v>-1.108564040211</v>
      </c>
      <c r="AH5605">
        <v>26.774086180725799</v>
      </c>
      <c r="AI5605">
        <v>92.370527906786194</v>
      </c>
      <c r="AJ5605">
        <v>91.070361025208499</v>
      </c>
      <c r="AK5605">
        <v>26.801694697786001</v>
      </c>
      <c r="AL5605">
        <v>78.349999045276704</v>
      </c>
      <c r="AM5605">
        <v>88.562358343673907</v>
      </c>
      <c r="AN5605">
        <v>0.99999999276345497</v>
      </c>
    </row>
    <row r="5606" spans="1:40" x14ac:dyDescent="0.25">
      <c r="A5606" t="str">
        <f>"20190312172819182"</f>
        <v>20190312172819182</v>
      </c>
      <c r="B5606" t="str">
        <f>"1552382899175641"</f>
        <v>1552382899175641</v>
      </c>
      <c r="C5606" t="s">
        <v>40</v>
      </c>
      <c r="D5606">
        <v>3.393974</v>
      </c>
      <c r="E5606">
        <v>0.49332199999999998</v>
      </c>
      <c r="F5606" t="s">
        <v>59</v>
      </c>
      <c r="G5606">
        <v>-235.60849999999999</v>
      </c>
      <c r="H5606" s="1">
        <v>-1.9065610000000001E-6</v>
      </c>
      <c r="I5606">
        <v>-62.313070000000003</v>
      </c>
      <c r="J5606">
        <v>-262.62049999999999</v>
      </c>
      <c r="K5606">
        <v>1.10856</v>
      </c>
      <c r="L5606">
        <v>-62.382019999999997</v>
      </c>
      <c r="M5606">
        <v>0.99986430000000004</v>
      </c>
      <c r="N5606">
        <v>0</v>
      </c>
      <c r="O5606">
        <v>-1.6131530000000002E-2</v>
      </c>
      <c r="P5606">
        <v>0.97924449999999996</v>
      </c>
      <c r="Q5606">
        <v>0.1986232</v>
      </c>
      <c r="R5606">
        <v>-4.0368229999999998E-2</v>
      </c>
      <c r="S5606">
        <v>3.0894780000000002</v>
      </c>
      <c r="T5606">
        <v>-0.12620000000000001</v>
      </c>
      <c r="U5606">
        <v>7.59887699999999E-3</v>
      </c>
      <c r="V5606">
        <v>2.4647990000000002E-2</v>
      </c>
      <c r="W5606">
        <v>0.2019504</v>
      </c>
      <c r="X5606">
        <v>0.9790856</v>
      </c>
      <c r="Y5606">
        <v>-1.8561919999999999E-2</v>
      </c>
      <c r="Z5606">
        <v>1.0376090000000001E-3</v>
      </c>
      <c r="AA5606">
        <v>0.99982709999999997</v>
      </c>
      <c r="AB5606">
        <v>27</v>
      </c>
      <c r="AC5606">
        <v>27.011999999999901</v>
      </c>
      <c r="AD5606">
        <v>-1.108561906561</v>
      </c>
      <c r="AE5606">
        <v>6.8950000000000899E-2</v>
      </c>
      <c r="AF5606">
        <v>-0.503839760513065</v>
      </c>
      <c r="AG5606">
        <v>-1.108561906561</v>
      </c>
      <c r="AH5606">
        <v>26.9619624658934</v>
      </c>
      <c r="AI5606">
        <v>92.354023565220402</v>
      </c>
      <c r="AJ5606">
        <v>91.070564959318602</v>
      </c>
      <c r="AK5606">
        <v>26.989445789367299</v>
      </c>
      <c r="AL5606">
        <v>78.348964250650596</v>
      </c>
      <c r="AM5606">
        <v>88.557912016460193</v>
      </c>
      <c r="AN5606">
        <v>1.00000004979927</v>
      </c>
    </row>
    <row r="5607" spans="1:40" x14ac:dyDescent="0.25">
      <c r="A5607" t="str">
        <f>"20190312172819195"</f>
        <v>20190312172819195</v>
      </c>
      <c r="B5607" t="str">
        <f>"1552382899185400"</f>
        <v>1552382899185400</v>
      </c>
      <c r="C5607" t="s">
        <v>40</v>
      </c>
      <c r="D5607">
        <v>3.3901080000000001</v>
      </c>
      <c r="E5607">
        <v>0.49333100000000002</v>
      </c>
      <c r="F5607" t="s">
        <v>59</v>
      </c>
      <c r="G5607">
        <v>-235.59989999999999</v>
      </c>
      <c r="H5607" s="1">
        <v>-1.908415E-6</v>
      </c>
      <c r="I5607">
        <v>-62.3339199999999</v>
      </c>
      <c r="J5607">
        <v>-262.4803</v>
      </c>
      <c r="K5607">
        <v>1.108565</v>
      </c>
      <c r="L5607">
        <v>-62.384369999999997</v>
      </c>
      <c r="M5607">
        <v>0.99986240000000004</v>
      </c>
      <c r="N5607">
        <v>0</v>
      </c>
      <c r="O5607">
        <v>-1.6233350000000001E-2</v>
      </c>
      <c r="P5607">
        <v>0.97931950000000001</v>
      </c>
      <c r="Q5607">
        <v>0.1982342</v>
      </c>
      <c r="R5607">
        <v>-4.0458220000000003E-2</v>
      </c>
      <c r="S5607">
        <v>3.089569</v>
      </c>
      <c r="T5607">
        <v>-0.12675439999999999</v>
      </c>
      <c r="U5607">
        <v>5.493164E-3</v>
      </c>
      <c r="V5607">
        <v>2.4635290000000001E-2</v>
      </c>
      <c r="W5607">
        <v>0.2015777</v>
      </c>
      <c r="X5607">
        <v>0.97916270000000005</v>
      </c>
      <c r="Y5607">
        <v>-1.7982370000000001E-2</v>
      </c>
      <c r="Z5607">
        <v>1.0344250000000001E-3</v>
      </c>
      <c r="AA5607">
        <v>0.9998378</v>
      </c>
      <c r="AB5607">
        <v>27</v>
      </c>
      <c r="AC5607">
        <v>26.880400000000002</v>
      </c>
      <c r="AD5607">
        <v>-1.1085669084150001</v>
      </c>
      <c r="AE5607">
        <v>5.0450000000004901E-2</v>
      </c>
      <c r="AF5607">
        <v>-0.48597829006925802</v>
      </c>
      <c r="AG5607">
        <v>-1.1085669084150001</v>
      </c>
      <c r="AH5607">
        <v>26.830406062962702</v>
      </c>
      <c r="AI5607">
        <v>92.365588482451898</v>
      </c>
      <c r="AJ5607">
        <v>91.037683157623704</v>
      </c>
      <c r="AK5607">
        <v>26.857695079666001</v>
      </c>
      <c r="AL5607">
        <v>78.370766538876595</v>
      </c>
      <c r="AM5607">
        <v>88.558768190704001</v>
      </c>
      <c r="AN5607">
        <v>1.0000000298609799</v>
      </c>
    </row>
    <row r="5608" spans="1:40" x14ac:dyDescent="0.25">
      <c r="A5608" t="str">
        <f>"20190312172819206"</f>
        <v>20190312172819206</v>
      </c>
      <c r="B5608" t="str">
        <f>"1552382899195161"</f>
        <v>1552382899195161</v>
      </c>
      <c r="C5608" t="s">
        <v>40</v>
      </c>
      <c r="D5608">
        <v>3.398819</v>
      </c>
      <c r="E5608">
        <v>0.49317519999999998</v>
      </c>
      <c r="F5608" t="s">
        <v>59</v>
      </c>
      <c r="G5608">
        <v>-235.64789999999999</v>
      </c>
      <c r="H5608" s="1">
        <v>-1.9308409999999999E-6</v>
      </c>
      <c r="I5608">
        <v>-62.34084</v>
      </c>
      <c r="J5608">
        <v>-262.32530000000003</v>
      </c>
      <c r="K5608">
        <v>1.1085659999999999</v>
      </c>
      <c r="L5608">
        <v>-62.386989999999997</v>
      </c>
      <c r="M5608">
        <v>0.99986059999999999</v>
      </c>
      <c r="N5608">
        <v>0</v>
      </c>
      <c r="O5608">
        <v>-1.634232E-2</v>
      </c>
      <c r="P5608">
        <v>0.97929109999999997</v>
      </c>
      <c r="Q5608">
        <v>0.19834869999999999</v>
      </c>
      <c r="R5608">
        <v>-4.0585679999999999E-2</v>
      </c>
      <c r="S5608">
        <v>3.0893860000000002</v>
      </c>
      <c r="T5608">
        <v>-0.12763620000000001</v>
      </c>
      <c r="U5608">
        <v>5.0048829999999999E-3</v>
      </c>
      <c r="V5608">
        <v>2.4653810000000002E-2</v>
      </c>
      <c r="W5608">
        <v>0.20171040000000001</v>
      </c>
      <c r="X5608">
        <v>0.97913490000000003</v>
      </c>
      <c r="Y5608">
        <v>-1.7932960000000001E-2</v>
      </c>
      <c r="Z5608">
        <v>1.045156E-3</v>
      </c>
      <c r="AA5608">
        <v>0.99983869999999997</v>
      </c>
      <c r="AB5608">
        <v>27</v>
      </c>
      <c r="AC5608">
        <v>26.677399999999999</v>
      </c>
      <c r="AD5608">
        <v>-1.1085679308409999</v>
      </c>
      <c r="AE5608">
        <v>4.6150000000004299E-2</v>
      </c>
      <c r="AF5608">
        <v>-0.48128592326684899</v>
      </c>
      <c r="AG5608">
        <v>-1.1085679308409999</v>
      </c>
      <c r="AH5608">
        <v>26.627104054520899</v>
      </c>
      <c r="AI5608">
        <v>92.383633187348394</v>
      </c>
      <c r="AJ5608">
        <v>91.035510644394606</v>
      </c>
      <c r="AK5608">
        <v>26.6545161150509</v>
      </c>
      <c r="AL5608">
        <v>78.363003868640803</v>
      </c>
      <c r="AM5608">
        <v>88.557644244071994</v>
      </c>
      <c r="AN5608">
        <v>1.0000000241068401</v>
      </c>
    </row>
    <row r="5609" spans="1:40" x14ac:dyDescent="0.25">
      <c r="A5609" t="str">
        <f>"20190312172819229"</f>
        <v>20190312172819229</v>
      </c>
      <c r="B5609" t="str">
        <f>"1552382899225417"</f>
        <v>1552382899225417</v>
      </c>
      <c r="C5609" t="s">
        <v>40</v>
      </c>
      <c r="D5609">
        <v>3.4093119999999999</v>
      </c>
      <c r="E5609">
        <v>0.49295539999999999</v>
      </c>
      <c r="F5609" t="s">
        <v>59</v>
      </c>
      <c r="G5609">
        <v>-235.1602</v>
      </c>
      <c r="H5609" s="1">
        <v>-1.7206139999999901E-6</v>
      </c>
      <c r="I5609">
        <v>-62.337009999999999</v>
      </c>
      <c r="J5609">
        <v>-262.06630000000001</v>
      </c>
      <c r="K5609">
        <v>1.1085860000000001</v>
      </c>
      <c r="L5609">
        <v>-62.391449999999999</v>
      </c>
      <c r="M5609">
        <v>0.99985780000000002</v>
      </c>
      <c r="N5609">
        <v>0</v>
      </c>
      <c r="O5609">
        <v>-1.6499179999999999E-2</v>
      </c>
      <c r="P5609">
        <v>0.97915980000000002</v>
      </c>
      <c r="Q5609">
        <v>0.19879830000000001</v>
      </c>
      <c r="R5609">
        <v>-4.1539470000000002E-2</v>
      </c>
      <c r="S5609">
        <v>3.089172</v>
      </c>
      <c r="T5609">
        <v>-0.1260645</v>
      </c>
      <c r="U5609">
        <v>5.6762699999999998E-3</v>
      </c>
      <c r="V5609">
        <v>2.5448160000000001E-2</v>
      </c>
      <c r="W5609">
        <v>0.2021918</v>
      </c>
      <c r="X5609">
        <v>0.97901519999999997</v>
      </c>
      <c r="Y5609">
        <v>-1.8307509999999999E-2</v>
      </c>
      <c r="Z5609">
        <v>1.0464059999999999E-3</v>
      </c>
      <c r="AA5609">
        <v>0.9998319</v>
      </c>
      <c r="AB5609">
        <v>27</v>
      </c>
      <c r="AC5609">
        <v>26.906099999999999</v>
      </c>
      <c r="AD5609">
        <v>-1.108587720614</v>
      </c>
      <c r="AE5609">
        <v>5.44399999999996E-2</v>
      </c>
      <c r="AF5609">
        <v>-0.49751928329198403</v>
      </c>
      <c r="AG5609">
        <v>-1.108587720614</v>
      </c>
      <c r="AH5609">
        <v>26.8559484432033</v>
      </c>
      <c r="AI5609">
        <v>92.363367636583106</v>
      </c>
      <c r="AJ5609">
        <v>91.061310305071899</v>
      </c>
      <c r="AK5609">
        <v>26.883423497678599</v>
      </c>
      <c r="AL5609">
        <v>78.334840502215599</v>
      </c>
      <c r="AM5609">
        <v>88.511009935166996</v>
      </c>
      <c r="AN5609">
        <v>0.99999994733283104</v>
      </c>
    </row>
    <row r="5610" spans="1:40" x14ac:dyDescent="0.25">
      <c r="A5610" t="str">
        <f>"20190312172819242"</f>
        <v>20190312172819242</v>
      </c>
      <c r="B5610" t="str">
        <f>"1552382899235178"</f>
        <v>1552382899235178</v>
      </c>
      <c r="C5610" t="s">
        <v>40</v>
      </c>
      <c r="D5610">
        <v>3.3793129999999998</v>
      </c>
      <c r="E5610">
        <v>0.49289739999999999</v>
      </c>
      <c r="F5610" t="s">
        <v>59</v>
      </c>
      <c r="G5610">
        <v>-234.2543</v>
      </c>
      <c r="H5610" s="1">
        <v>-1.334748E-6</v>
      </c>
      <c r="I5610">
        <v>-62.347430000000003</v>
      </c>
      <c r="J5610">
        <v>-261.88959999999997</v>
      </c>
      <c r="K5610">
        <v>1.1086020000000001</v>
      </c>
      <c r="L5610">
        <v>-62.394440000000003</v>
      </c>
      <c r="M5610">
        <v>0.99985650000000004</v>
      </c>
      <c r="N5610">
        <v>0</v>
      </c>
      <c r="O5610">
        <v>-1.657925E-2</v>
      </c>
      <c r="P5610">
        <v>0.97900109999999996</v>
      </c>
      <c r="Q5610">
        <v>0.199406</v>
      </c>
      <c r="R5610">
        <v>-4.2360059999999998E-2</v>
      </c>
      <c r="S5610">
        <v>3.0890499999999999</v>
      </c>
      <c r="T5610">
        <v>-0.12312960000000001</v>
      </c>
      <c r="U5610">
        <v>4.8828129999999997E-3</v>
      </c>
      <c r="V5610">
        <v>2.6184059999999999E-2</v>
      </c>
      <c r="W5610">
        <v>0.20282320000000001</v>
      </c>
      <c r="X5610">
        <v>0.97886530000000005</v>
      </c>
      <c r="Y5610">
        <v>-1.8132229999999999E-2</v>
      </c>
      <c r="Z5610">
        <v>1.021802E-3</v>
      </c>
      <c r="AA5610">
        <v>0.99983509999999998</v>
      </c>
      <c r="AB5610">
        <v>27</v>
      </c>
      <c r="AC5610">
        <v>27.635299999999901</v>
      </c>
      <c r="AD5610">
        <v>-1.108603334748</v>
      </c>
      <c r="AE5610">
        <v>4.7010000000000197E-2</v>
      </c>
      <c r="AF5610">
        <v>-0.50436720844904204</v>
      </c>
      <c r="AG5610">
        <v>-1.108603334748</v>
      </c>
      <c r="AH5610">
        <v>27.5863289989232</v>
      </c>
      <c r="AI5610">
        <v>92.300905473204807</v>
      </c>
      <c r="AJ5610">
        <v>91.047435236089996</v>
      </c>
      <c r="AK5610">
        <v>27.613202191553299</v>
      </c>
      <c r="AL5610">
        <v>78.297899935390106</v>
      </c>
      <c r="AM5610">
        <v>88.467737634050295</v>
      </c>
      <c r="AN5610">
        <v>1.0000000655001999</v>
      </c>
    </row>
    <row r="5611" spans="1:40" x14ac:dyDescent="0.25">
      <c r="A5611" t="str">
        <f>"20190312172819254"</f>
        <v>20190312172819254</v>
      </c>
      <c r="B5611" t="str">
        <f>"1552382899244937"</f>
        <v>1552382899244937</v>
      </c>
      <c r="C5611" t="s">
        <v>40</v>
      </c>
      <c r="D5611">
        <v>3.4054289999999998</v>
      </c>
      <c r="E5611">
        <v>0.49290889999999998</v>
      </c>
      <c r="F5611" t="s">
        <v>59</v>
      </c>
      <c r="G5611">
        <v>-233.6677</v>
      </c>
      <c r="H5611" s="1">
        <v>-1.086819E-6</v>
      </c>
      <c r="I5611">
        <v>-62.36148</v>
      </c>
      <c r="J5611">
        <v>-261.7475</v>
      </c>
      <c r="K5611">
        <v>1.108619</v>
      </c>
      <c r="L5611">
        <v>-62.396850000000001</v>
      </c>
      <c r="M5611">
        <v>0.99985550000000001</v>
      </c>
      <c r="N5611">
        <v>0</v>
      </c>
      <c r="O5611">
        <v>-1.6632379999999999E-2</v>
      </c>
      <c r="P5611">
        <v>0.97883109999999995</v>
      </c>
      <c r="Q5611">
        <v>0.2000449</v>
      </c>
      <c r="R5611">
        <v>-4.3263330000000003E-2</v>
      </c>
      <c r="S5611">
        <v>3.0892330000000001</v>
      </c>
      <c r="T5611">
        <v>-0.12135020000000001</v>
      </c>
      <c r="U5611">
        <v>3.6010740000000001E-3</v>
      </c>
      <c r="V5611">
        <v>2.7030370000000001E-2</v>
      </c>
      <c r="W5611">
        <v>0.20348050000000001</v>
      </c>
      <c r="X5611">
        <v>0.97870579999999996</v>
      </c>
      <c r="Y5611">
        <v>-1.7771459999999999E-2</v>
      </c>
      <c r="Z5611">
        <v>1.0019899999999999E-3</v>
      </c>
      <c r="AA5611">
        <v>0.9998416</v>
      </c>
      <c r="AB5611">
        <v>27</v>
      </c>
      <c r="AC5611">
        <v>28.079799999999999</v>
      </c>
      <c r="AD5611">
        <v>-1.1086200868189999</v>
      </c>
      <c r="AE5611">
        <v>3.5369999999993199E-2</v>
      </c>
      <c r="AF5611">
        <v>-0.50161999283291103</v>
      </c>
      <c r="AG5611">
        <v>-1.1086200868189999</v>
      </c>
      <c r="AH5611">
        <v>28.0316331104646</v>
      </c>
      <c r="AI5611">
        <v>92.264442241416702</v>
      </c>
      <c r="AJ5611">
        <v>91.0251861234876</v>
      </c>
      <c r="AK5611">
        <v>28.058031220201599</v>
      </c>
      <c r="AL5611">
        <v>78.259436577390105</v>
      </c>
      <c r="AM5611">
        <v>88.417979621281305</v>
      </c>
      <c r="AN5611">
        <v>0.99999999886811297</v>
      </c>
    </row>
    <row r="5612" spans="1:40" x14ac:dyDescent="0.25">
      <c r="A5612" t="str">
        <f>"20190312172819265"</f>
        <v>20190312172819265</v>
      </c>
      <c r="B5612" t="str">
        <f>"1552382899255673"</f>
        <v>1552382899255673</v>
      </c>
      <c r="C5612" t="s">
        <v>40</v>
      </c>
      <c r="D5612">
        <v>3.3970479999999998</v>
      </c>
      <c r="E5612">
        <v>0.49269800000000002</v>
      </c>
      <c r="F5612" t="s">
        <v>59</v>
      </c>
      <c r="G5612">
        <v>-232.9802</v>
      </c>
      <c r="H5612" s="1">
        <v>-7.9711659999999898E-7</v>
      </c>
      <c r="I5612">
        <v>-62.381160000000001</v>
      </c>
      <c r="J5612">
        <v>-261.60550000000001</v>
      </c>
      <c r="K5612">
        <v>1.1086370000000001</v>
      </c>
      <c r="L5612">
        <v>-62.399290000000001</v>
      </c>
      <c r="M5612">
        <v>0.99985469999999999</v>
      </c>
      <c r="N5612">
        <v>0</v>
      </c>
      <c r="O5612">
        <v>-1.667656E-2</v>
      </c>
      <c r="P5612">
        <v>0.9787614</v>
      </c>
      <c r="Q5612">
        <v>0.2002525</v>
      </c>
      <c r="R5612">
        <v>-4.3877600000000003E-2</v>
      </c>
      <c r="S5612">
        <v>3.0892940000000002</v>
      </c>
      <c r="T5612">
        <v>-0.11905350000000001</v>
      </c>
      <c r="U5612">
        <v>1.6784669999999999E-3</v>
      </c>
      <c r="V5612">
        <v>2.7594049999999998E-2</v>
      </c>
      <c r="W5612">
        <v>0.2037079</v>
      </c>
      <c r="X5612">
        <v>0.97864280000000003</v>
      </c>
      <c r="Y5612">
        <v>-1.719476E-2</v>
      </c>
      <c r="Z5612">
        <v>9.7361400000000003E-4</v>
      </c>
      <c r="AA5612">
        <v>0.99985170000000001</v>
      </c>
      <c r="AB5612">
        <v>27</v>
      </c>
      <c r="AC5612">
        <v>28.625299999999999</v>
      </c>
      <c r="AD5612">
        <v>-1.1086377971165999</v>
      </c>
      <c r="AE5612">
        <v>1.8130000000006401E-2</v>
      </c>
      <c r="AF5612">
        <v>-0.49475986943290001</v>
      </c>
      <c r="AG5612">
        <v>-1.1086377971165999</v>
      </c>
      <c r="AH5612">
        <v>28.5781508426061</v>
      </c>
      <c r="AI5612">
        <v>92.221239887707895</v>
      </c>
      <c r="AJ5612">
        <v>90.991835367671598</v>
      </c>
      <c r="AK5612">
        <v>28.603925791337499</v>
      </c>
      <c r="AL5612">
        <v>78.246129221698894</v>
      </c>
      <c r="AM5612">
        <v>88.384902214965905</v>
      </c>
      <c r="AN5612">
        <v>1.0000000350548199</v>
      </c>
    </row>
    <row r="5613" spans="1:40" x14ac:dyDescent="0.25">
      <c r="A5613" t="str">
        <f>"20190312172819275"</f>
        <v>20190312172819275</v>
      </c>
      <c r="B5613" t="str">
        <f>"1552382899265433"</f>
        <v>1552382899265433</v>
      </c>
      <c r="C5613" t="s">
        <v>40</v>
      </c>
      <c r="D5613">
        <v>3.430882</v>
      </c>
      <c r="E5613">
        <v>0.49271860000000001</v>
      </c>
      <c r="F5613" t="s">
        <v>59</v>
      </c>
      <c r="G5613">
        <v>-232.50620000000001</v>
      </c>
      <c r="H5613" s="1">
        <v>-5.9308589999999998E-7</v>
      </c>
      <c r="I5613">
        <v>-62.378529999999998</v>
      </c>
      <c r="J5613">
        <v>-261.47550000000001</v>
      </c>
      <c r="K5613">
        <v>1.108657</v>
      </c>
      <c r="L5613">
        <v>-62.401490000000003</v>
      </c>
      <c r="M5613">
        <v>0.99985429999999997</v>
      </c>
      <c r="N5613">
        <v>0</v>
      </c>
      <c r="O5613">
        <v>-1.669965E-2</v>
      </c>
      <c r="P5613">
        <v>0.97872380000000003</v>
      </c>
      <c r="Q5613">
        <v>0.20028580000000001</v>
      </c>
      <c r="R5613">
        <v>-4.4558109999999998E-2</v>
      </c>
      <c r="S5613">
        <v>3.089264</v>
      </c>
      <c r="T5613">
        <v>-0.117696</v>
      </c>
      <c r="U5613">
        <v>2.1972659999999998E-3</v>
      </c>
      <c r="V5613">
        <v>2.8244040000000002E-2</v>
      </c>
      <c r="W5613">
        <v>0.2037602</v>
      </c>
      <c r="X5613">
        <v>0.97861330000000002</v>
      </c>
      <c r="Y5613">
        <v>-1.7386180000000001E-2</v>
      </c>
      <c r="Z5613">
        <v>9.6705469999999998E-4</v>
      </c>
      <c r="AA5613">
        <v>0.99984839999999997</v>
      </c>
      <c r="AB5613">
        <v>27</v>
      </c>
      <c r="AC5613">
        <v>28.9693</v>
      </c>
      <c r="AD5613">
        <v>-1.1086575930859</v>
      </c>
      <c r="AE5613">
        <v>2.29599999999976E-2</v>
      </c>
      <c r="AF5613">
        <v>-0.50599591183332204</v>
      </c>
      <c r="AG5613">
        <v>-1.1086575930859</v>
      </c>
      <c r="AH5613">
        <v>28.922516910772401</v>
      </c>
      <c r="AI5613">
        <v>92.194850902140203</v>
      </c>
      <c r="AJ5613">
        <v>91.002280438513594</v>
      </c>
      <c r="AK5613">
        <v>28.948180218718601</v>
      </c>
      <c r="AL5613">
        <v>78.243067656295395</v>
      </c>
      <c r="AM5613">
        <v>88.3468289375962</v>
      </c>
      <c r="AN5613">
        <v>0.99999996791822499</v>
      </c>
    </row>
    <row r="5614" spans="1:40" x14ac:dyDescent="0.25">
      <c r="A5614" t="str">
        <f>"20190312172819286"</f>
        <v>20190312172819286</v>
      </c>
      <c r="B5614" t="str">
        <f>"1552382899274957"</f>
        <v>1552382899274957</v>
      </c>
      <c r="C5614" t="s">
        <v>40</v>
      </c>
      <c r="D5614">
        <v>3.427276</v>
      </c>
      <c r="E5614">
        <v>0.49275229999999998</v>
      </c>
      <c r="F5614" t="s">
        <v>59</v>
      </c>
      <c r="G5614">
        <v>-232.41470000000001</v>
      </c>
      <c r="H5614" s="1">
        <v>-5.5824980000000003E-7</v>
      </c>
      <c r="I5614">
        <v>-62.395110000000003</v>
      </c>
      <c r="J5614">
        <v>-261.34070000000003</v>
      </c>
      <c r="K5614">
        <v>1.108676</v>
      </c>
      <c r="L5614">
        <v>-62.403779999999998</v>
      </c>
      <c r="M5614">
        <v>0.99985380000000001</v>
      </c>
      <c r="N5614">
        <v>0</v>
      </c>
      <c r="O5614">
        <v>-1.6719149999999999E-2</v>
      </c>
      <c r="P5614">
        <v>0.97877009999999998</v>
      </c>
      <c r="Q5614">
        <v>0.20001540000000001</v>
      </c>
      <c r="R5614">
        <v>-4.4757480000000002E-2</v>
      </c>
      <c r="S5614">
        <v>3.0893549999999999</v>
      </c>
      <c r="T5614">
        <v>-0.11785760000000001</v>
      </c>
      <c r="U5614">
        <v>6.7138669999999997E-4</v>
      </c>
      <c r="V5614">
        <v>2.841434E-2</v>
      </c>
      <c r="W5614">
        <v>0.20351</v>
      </c>
      <c r="X5614">
        <v>0.97866050000000004</v>
      </c>
      <c r="Y5614">
        <v>-1.6912079999999999E-2</v>
      </c>
      <c r="Z5614">
        <v>9.6005530000000002E-4</v>
      </c>
      <c r="AA5614">
        <v>0.99985650000000004</v>
      </c>
      <c r="AB5614">
        <v>28</v>
      </c>
      <c r="AC5614">
        <v>28.925999999999998</v>
      </c>
      <c r="AD5614">
        <v>-1.1086765582497999</v>
      </c>
      <c r="AE5614">
        <v>8.6700000000092797E-3</v>
      </c>
      <c r="AF5614">
        <v>-0.49156789623880498</v>
      </c>
      <c r="AG5614">
        <v>-1.1086765582497999</v>
      </c>
      <c r="AH5614">
        <v>28.879386960649502</v>
      </c>
      <c r="AI5614">
        <v>92.198181095322596</v>
      </c>
      <c r="AJ5614">
        <v>90.975160804675397</v>
      </c>
      <c r="AK5614">
        <v>28.9048403200979</v>
      </c>
      <c r="AL5614">
        <v>78.257710654499405</v>
      </c>
      <c r="AM5614">
        <v>88.336946740773996</v>
      </c>
      <c r="AN5614">
        <v>1.0000000345389399</v>
      </c>
    </row>
    <row r="5615" spans="1:40" x14ac:dyDescent="0.25">
      <c r="A5615" t="str">
        <f>"20190312172819298"</f>
        <v>20190312172819298</v>
      </c>
      <c r="B5615" t="str">
        <f>"1552382899295454"</f>
        <v>1552382899295454</v>
      </c>
      <c r="C5615" t="s">
        <v>40</v>
      </c>
      <c r="D5615">
        <v>3.4032960000000001</v>
      </c>
      <c r="E5615">
        <v>0.49276160000000002</v>
      </c>
      <c r="F5615" t="s">
        <v>59</v>
      </c>
      <c r="G5615">
        <v>-232.63939999999999</v>
      </c>
      <c r="H5615" s="1">
        <v>-6.5691629999999995E-7</v>
      </c>
      <c r="I5615">
        <v>-62.403709999999997</v>
      </c>
      <c r="J5615">
        <v>-261.2106</v>
      </c>
      <c r="K5615">
        <v>1.1086990000000001</v>
      </c>
      <c r="L5615">
        <v>-62.405940000000001</v>
      </c>
      <c r="M5615">
        <v>0.99985400000000002</v>
      </c>
      <c r="N5615">
        <v>0</v>
      </c>
      <c r="O5615">
        <v>-1.67067999999999E-2</v>
      </c>
      <c r="P5615">
        <v>0.97880909999999999</v>
      </c>
      <c r="Q5615">
        <v>0.19979769999999999</v>
      </c>
      <c r="R5615">
        <v>-4.4874310000000001E-2</v>
      </c>
      <c r="S5615">
        <v>3.0894780000000002</v>
      </c>
      <c r="T5615">
        <v>-0.11934069999999999</v>
      </c>
      <c r="U5615">
        <v>0</v>
      </c>
      <c r="V5615">
        <v>2.853114E-2</v>
      </c>
      <c r="W5615">
        <v>0.20331299999999999</v>
      </c>
      <c r="X5615">
        <v>0.97869799999999996</v>
      </c>
      <c r="Y5615">
        <v>-1.6682010000000001E-2</v>
      </c>
      <c r="Z5615">
        <v>9.6717020000000001E-4</v>
      </c>
      <c r="AA5615">
        <v>0.99986039999999998</v>
      </c>
      <c r="AB5615">
        <v>28</v>
      </c>
      <c r="AC5615">
        <v>28.571200000000001</v>
      </c>
      <c r="AD5615">
        <v>-1.1086996569162999</v>
      </c>
      <c r="AE5615">
        <v>2.2300000000043899E-3</v>
      </c>
      <c r="AF5615">
        <v>-0.47884503179059701</v>
      </c>
      <c r="AG5615">
        <v>-1.1086996569162999</v>
      </c>
      <c r="AH5615">
        <v>28.524222930050001</v>
      </c>
      <c r="AI5615">
        <v>92.225579100430295</v>
      </c>
      <c r="AJ5615">
        <v>90.961751792596203</v>
      </c>
      <c r="AK5615">
        <v>28.549777604333599</v>
      </c>
      <c r="AL5615">
        <v>78.269238393660601</v>
      </c>
      <c r="AM5615">
        <v>88.330178403342003</v>
      </c>
      <c r="AN5615">
        <v>0.99999998856134897</v>
      </c>
    </row>
    <row r="5616" spans="1:40" x14ac:dyDescent="0.25">
      <c r="A5616" t="str">
        <f>"20190312172819310"</f>
        <v>20190312172819310</v>
      </c>
      <c r="B5616" t="str">
        <f>"1552382899305213"</f>
        <v>1552382899305213</v>
      </c>
      <c r="C5616" t="s">
        <v>40</v>
      </c>
      <c r="D5616">
        <v>3.4114599999999999</v>
      </c>
      <c r="E5616">
        <v>0.49278349999999999</v>
      </c>
      <c r="F5616" t="s">
        <v>59</v>
      </c>
      <c r="G5616">
        <v>-233.0292</v>
      </c>
      <c r="H5616" s="1">
        <v>-8.2530569999999999E-7</v>
      </c>
      <c r="I5616">
        <v>-62.408110000000001</v>
      </c>
      <c r="J5616">
        <v>-261.06380000000001</v>
      </c>
      <c r="K5616">
        <v>1.108725</v>
      </c>
      <c r="L5616">
        <v>-62.408389999999997</v>
      </c>
      <c r="M5616">
        <v>0.99985429999999997</v>
      </c>
      <c r="N5616">
        <v>0</v>
      </c>
      <c r="O5616">
        <v>-1.6683949999999999E-2</v>
      </c>
      <c r="P5616">
        <v>0.97887829999999998</v>
      </c>
      <c r="Q5616">
        <v>0.19945969999999999</v>
      </c>
      <c r="R5616">
        <v>-4.4871479999999998E-2</v>
      </c>
      <c r="S5616">
        <v>3.0897519999999998</v>
      </c>
      <c r="T5616">
        <v>-0.1215556</v>
      </c>
      <c r="U5616">
        <v>-2.4414059999999999E-4</v>
      </c>
      <c r="V5616">
        <v>2.8535999999999999E-2</v>
      </c>
      <c r="W5616">
        <v>0.20299780000000001</v>
      </c>
      <c r="X5616">
        <v>0.9787633</v>
      </c>
      <c r="Y5616">
        <v>-1.6579320000000002E-2</v>
      </c>
      <c r="Z5616">
        <v>9.8210130000000008E-4</v>
      </c>
      <c r="AA5616">
        <v>0.99986209999999998</v>
      </c>
      <c r="AB5616">
        <v>28</v>
      </c>
      <c r="AC5616">
        <v>28.034600000000001</v>
      </c>
      <c r="AD5616">
        <v>-1.1087258253057</v>
      </c>
      <c r="AE5616">
        <v>2.8000000000360999E-4</v>
      </c>
      <c r="AF5616">
        <v>-0.46728000732229902</v>
      </c>
      <c r="AG5616">
        <v>-1.1087258253057</v>
      </c>
      <c r="AH5616">
        <v>27.986919386893401</v>
      </c>
      <c r="AI5616">
        <v>92.268319336607604</v>
      </c>
      <c r="AJ5616">
        <v>90.956542750362402</v>
      </c>
      <c r="AK5616">
        <v>28.012769951031501</v>
      </c>
      <c r="AL5616">
        <v>78.287682831421606</v>
      </c>
      <c r="AM5616">
        <v>88.330005487775693</v>
      </c>
      <c r="AN5616">
        <v>1.0000000037638599</v>
      </c>
    </row>
    <row r="5617" spans="1:40" x14ac:dyDescent="0.25">
      <c r="A5617" t="str">
        <f>"20190312172819319"</f>
        <v>20190312172819319</v>
      </c>
      <c r="B5617" t="str">
        <f>"1552382899314973"</f>
        <v>1552382899314973</v>
      </c>
      <c r="C5617" t="s">
        <v>40</v>
      </c>
      <c r="D5617">
        <v>3.4422630000000001</v>
      </c>
      <c r="E5617">
        <v>0.49272280000000002</v>
      </c>
      <c r="F5617" t="s">
        <v>59</v>
      </c>
      <c r="G5617">
        <v>-233.30889999999999</v>
      </c>
      <c r="H5617" s="1">
        <v>-9.4637220000000001E-7</v>
      </c>
      <c r="I5617">
        <v>-62.41216</v>
      </c>
      <c r="J5617">
        <v>-260.92959999999999</v>
      </c>
      <c r="K5617">
        <v>1.1087590000000001</v>
      </c>
      <c r="L5617">
        <v>-62.410580000000003</v>
      </c>
      <c r="M5617">
        <v>0.9998553</v>
      </c>
      <c r="N5617">
        <v>0</v>
      </c>
      <c r="O5617">
        <v>-1.6624010000000002E-2</v>
      </c>
      <c r="P5617">
        <v>0.97887469999999999</v>
      </c>
      <c r="Q5617">
        <v>0.19942840000000001</v>
      </c>
      <c r="R5617">
        <v>-4.5087700000000001E-2</v>
      </c>
      <c r="S5617">
        <v>3.089874</v>
      </c>
      <c r="T5617">
        <v>-0.12343079999999999</v>
      </c>
      <c r="U5617">
        <v>-4.2724609999999998E-4</v>
      </c>
      <c r="V5617">
        <v>2.879545E-2</v>
      </c>
      <c r="W5617">
        <v>0.20298840000000001</v>
      </c>
      <c r="X5617">
        <v>0.97875760000000001</v>
      </c>
      <c r="Y5617">
        <v>-1.645947E-2</v>
      </c>
      <c r="Z5617">
        <v>9.9241499999999996E-4</v>
      </c>
      <c r="AA5617">
        <v>0.99986399999999998</v>
      </c>
      <c r="AB5617">
        <v>28</v>
      </c>
      <c r="AC5617">
        <v>27.620699999999999</v>
      </c>
      <c r="AD5617">
        <v>-1.1087599463722</v>
      </c>
      <c r="AE5617">
        <v>-1.57999999999702E-3</v>
      </c>
      <c r="AF5617">
        <v>-0.45685382265507701</v>
      </c>
      <c r="AG5617">
        <v>-1.1087599463722</v>
      </c>
      <c r="AH5617">
        <v>27.572478824722801</v>
      </c>
      <c r="AI5617">
        <v>92.302453554883101</v>
      </c>
      <c r="AJ5617">
        <v>90.949258172765099</v>
      </c>
      <c r="AK5617">
        <v>27.5985443922998</v>
      </c>
      <c r="AL5617">
        <v>78.288232272436602</v>
      </c>
      <c r="AM5617">
        <v>88.3148207646217</v>
      </c>
      <c r="AN5617">
        <v>0.99999995401650998</v>
      </c>
    </row>
    <row r="5618" spans="1:40" x14ac:dyDescent="0.25">
      <c r="A5618" t="str">
        <f>"20190312172819330"</f>
        <v>20190312172819330</v>
      </c>
      <c r="B5618" t="str">
        <f>"1552382899324733"</f>
        <v>1552382899324733</v>
      </c>
      <c r="C5618" t="s">
        <v>40</v>
      </c>
      <c r="D5618">
        <v>3.4081060000000001</v>
      </c>
      <c r="E5618">
        <v>0.49273030000000001</v>
      </c>
      <c r="F5618" t="s">
        <v>59</v>
      </c>
      <c r="G5618">
        <v>-233.2732</v>
      </c>
      <c r="H5618" s="1">
        <v>-9.3152079999999996E-7</v>
      </c>
      <c r="I5618">
        <v>-62.413800000000002</v>
      </c>
      <c r="J5618">
        <v>-260.80399999999997</v>
      </c>
      <c r="K5618">
        <v>1.1087880000000001</v>
      </c>
      <c r="L5618">
        <v>-62.41263</v>
      </c>
      <c r="M5618">
        <v>0.99985619999999997</v>
      </c>
      <c r="N5618">
        <v>0</v>
      </c>
      <c r="O5618">
        <v>-1.655798E-2</v>
      </c>
      <c r="P5618">
        <v>0.97882060000000004</v>
      </c>
      <c r="Q5618">
        <v>0.1997044</v>
      </c>
      <c r="R5618">
        <v>-4.5037489999999999E-2</v>
      </c>
      <c r="S5618">
        <v>3.0899960000000002</v>
      </c>
      <c r="T5618">
        <v>-0.1238798</v>
      </c>
      <c r="U5618">
        <v>-3.6621089999999999E-4</v>
      </c>
      <c r="V5618">
        <v>2.8795649999999999E-2</v>
      </c>
      <c r="W5618">
        <v>0.20328489999999999</v>
      </c>
      <c r="X5618">
        <v>0.97869609999999996</v>
      </c>
      <c r="Y5618">
        <v>-1.6413110000000002E-2</v>
      </c>
      <c r="Z5618">
        <v>9.9240789999999993E-4</v>
      </c>
      <c r="AA5618">
        <v>0.9998648</v>
      </c>
      <c r="AB5618">
        <v>28</v>
      </c>
      <c r="AC5618">
        <v>27.530799999999999</v>
      </c>
      <c r="AD5618">
        <v>-1.1087889315207999</v>
      </c>
      <c r="AE5618">
        <v>-1.16999999999478E-3</v>
      </c>
      <c r="AF5618">
        <v>-0.45395132857833498</v>
      </c>
      <c r="AG5618">
        <v>-1.1087889315207999</v>
      </c>
      <c r="AH5618">
        <v>27.482467537491701</v>
      </c>
      <c r="AI5618">
        <v>92.310048736119001</v>
      </c>
      <c r="AJ5618">
        <v>90.946317142433202</v>
      </c>
      <c r="AK5618">
        <v>27.508571512397101</v>
      </c>
      <c r="AL5618">
        <v>78.270882857899295</v>
      </c>
      <c r="AM5618">
        <v>88.314703232730906</v>
      </c>
      <c r="AN5618">
        <v>0.99999999809107099</v>
      </c>
    </row>
    <row r="5619" spans="1:40" x14ac:dyDescent="0.25">
      <c r="A5619" t="str">
        <f>"20190312172819340"</f>
        <v>20190312172819340</v>
      </c>
      <c r="B5619" t="str">
        <f>"1552382899335469"</f>
        <v>1552382899335469</v>
      </c>
      <c r="C5619" t="s">
        <v>40</v>
      </c>
      <c r="D5619">
        <v>3.434806</v>
      </c>
      <c r="E5619">
        <v>0.49267040000000001</v>
      </c>
      <c r="F5619" t="s">
        <v>59</v>
      </c>
      <c r="G5619">
        <v>-233.06780000000001</v>
      </c>
      <c r="H5619" s="1">
        <v>-8.4248469999999996E-7</v>
      </c>
      <c r="I5619">
        <v>-62.410369999999901</v>
      </c>
      <c r="J5619">
        <v>-260.66910000000001</v>
      </c>
      <c r="K5619">
        <v>1.1088249999999999</v>
      </c>
      <c r="L5619">
        <v>-62.414760000000001</v>
      </c>
      <c r="M5619">
        <v>0.99985800000000002</v>
      </c>
      <c r="N5619">
        <v>0</v>
      </c>
      <c r="O5619">
        <v>-1.645189E-2</v>
      </c>
      <c r="P5619">
        <v>0.97880020000000001</v>
      </c>
      <c r="Q5619">
        <v>0.19979240000000001</v>
      </c>
      <c r="R5619">
        <v>-4.5094719999999998E-2</v>
      </c>
      <c r="S5619">
        <v>3.0900880000000002</v>
      </c>
      <c r="T5619">
        <v>-0.12353</v>
      </c>
      <c r="U5619">
        <v>2.4414059999999999E-4</v>
      </c>
      <c r="V5619">
        <v>2.893863E-2</v>
      </c>
      <c r="W5619">
        <v>0.2033961</v>
      </c>
      <c r="X5619">
        <v>0.97866880000000001</v>
      </c>
      <c r="Y5619">
        <v>-1.6504669999999999E-2</v>
      </c>
      <c r="Z5619">
        <v>9.8716920000000005E-4</v>
      </c>
      <c r="AA5619">
        <v>0.99986330000000001</v>
      </c>
      <c r="AB5619">
        <v>28</v>
      </c>
      <c r="AC5619">
        <v>27.601299999999998</v>
      </c>
      <c r="AD5619">
        <v>-1.1088258424847</v>
      </c>
      <c r="AE5619">
        <v>4.3900000000078798E-3</v>
      </c>
      <c r="AF5619">
        <v>-0.45774723758470798</v>
      </c>
      <c r="AG5619">
        <v>-1.1088258424847</v>
      </c>
      <c r="AH5619">
        <v>27.553025221710499</v>
      </c>
      <c r="AI5619">
        <v>92.304212537603206</v>
      </c>
      <c r="AJ5619">
        <v>90.951785587322107</v>
      </c>
      <c r="AK5619">
        <v>27.579126638649999</v>
      </c>
      <c r="AL5619">
        <v>78.264375866749205</v>
      </c>
      <c r="AM5619">
        <v>88.306292817115605</v>
      </c>
      <c r="AN5619">
        <v>1.00000001894746</v>
      </c>
    </row>
    <row r="5620" spans="1:40" x14ac:dyDescent="0.25">
      <c r="A5620" t="str">
        <f>"20190312172819350"</f>
        <v>20190312172819350</v>
      </c>
      <c r="B5620" t="str">
        <f>"1552382899345229"</f>
        <v>1552382899345229</v>
      </c>
      <c r="C5620" t="s">
        <v>40</v>
      </c>
      <c r="D5620">
        <v>3.4255369999999998</v>
      </c>
      <c r="E5620">
        <v>0.4927105</v>
      </c>
      <c r="F5620" t="s">
        <v>59</v>
      </c>
      <c r="G5620">
        <v>-232.68459999999999</v>
      </c>
      <c r="H5620" s="1">
        <v>-6.7617299999999998E-7</v>
      </c>
      <c r="I5620">
        <v>-62.403089999999999</v>
      </c>
      <c r="J5620">
        <v>-260.55560000000003</v>
      </c>
      <c r="K5620">
        <v>1.1088559999999901</v>
      </c>
      <c r="L5620">
        <v>-62.416559999999997</v>
      </c>
      <c r="M5620">
        <v>0.99985959999999996</v>
      </c>
      <c r="N5620">
        <v>0</v>
      </c>
      <c r="O5620">
        <v>-1.635296E-2</v>
      </c>
      <c r="P5620">
        <v>0.97875699999999999</v>
      </c>
      <c r="Q5620">
        <v>0.20004810000000001</v>
      </c>
      <c r="R5620">
        <v>-4.4899559999999998E-2</v>
      </c>
      <c r="S5620">
        <v>3.0900270000000001</v>
      </c>
      <c r="T5620">
        <v>-0.1224359</v>
      </c>
      <c r="U5620">
        <v>1.2817379999999999E-3</v>
      </c>
      <c r="V5620">
        <v>2.8825219999999999E-2</v>
      </c>
      <c r="W5620">
        <v>0.20367150000000001</v>
      </c>
      <c r="X5620">
        <v>0.97861489999999995</v>
      </c>
      <c r="Y5620">
        <v>-1.6741840000000001E-2</v>
      </c>
      <c r="Z5620">
        <v>9.7923140000000003E-4</v>
      </c>
      <c r="AA5620">
        <v>0.99985939999999995</v>
      </c>
      <c r="AB5620">
        <v>28</v>
      </c>
      <c r="AC5620">
        <v>27.870999999999999</v>
      </c>
      <c r="AD5620">
        <v>-1.1088566761730001</v>
      </c>
      <c r="AE5620">
        <v>1.3469999999997999E-2</v>
      </c>
      <c r="AF5620">
        <v>-0.46850301175829501</v>
      </c>
      <c r="AG5620">
        <v>-1.1088566761730001</v>
      </c>
      <c r="AH5620">
        <v>27.823012553188601</v>
      </c>
      <c r="AI5620">
        <v>92.281931601449003</v>
      </c>
      <c r="AJ5620">
        <v>90.964694552254997</v>
      </c>
      <c r="AK5620">
        <v>27.849041020028199</v>
      </c>
      <c r="AL5620">
        <v>78.2482595997554</v>
      </c>
      <c r="AM5620">
        <v>88.312833716721101</v>
      </c>
      <c r="AN5620">
        <v>1.0000000478611499</v>
      </c>
    </row>
    <row r="5621" spans="1:40" x14ac:dyDescent="0.25">
      <c r="A5621" t="str">
        <f>"20190312172819361"</f>
        <v>20190312172819361</v>
      </c>
      <c r="B5621" t="str">
        <f>"1552382899354989"</f>
        <v>1552382899354989</v>
      </c>
      <c r="C5621" t="s">
        <v>40</v>
      </c>
      <c r="D5621">
        <v>3.4240970000000002</v>
      </c>
      <c r="E5621">
        <v>0.49269800000000002</v>
      </c>
      <c r="F5621" t="s">
        <v>59</v>
      </c>
      <c r="G5621">
        <v>-232.56020000000001</v>
      </c>
      <c r="H5621" s="1">
        <v>-6.2135830000000003E-7</v>
      </c>
      <c r="I5621">
        <v>-62.3977</v>
      </c>
      <c r="J5621">
        <v>-260.40780000000001</v>
      </c>
      <c r="K5621">
        <v>1.1089009999999999</v>
      </c>
      <c r="L5621">
        <v>-62.418849999999999</v>
      </c>
      <c r="M5621">
        <v>0.99986229999999998</v>
      </c>
      <c r="N5621">
        <v>0</v>
      </c>
      <c r="O5621">
        <v>-1.618199E-2</v>
      </c>
      <c r="P5621">
        <v>0.97882239999999998</v>
      </c>
      <c r="Q5621">
        <v>0.19979450000000001</v>
      </c>
      <c r="R5621">
        <v>-4.4601759999999997E-2</v>
      </c>
      <c r="S5621">
        <v>3.0902400000000001</v>
      </c>
      <c r="T5621">
        <v>-0.1223997</v>
      </c>
      <c r="U5621">
        <v>2.0751950000000002E-3</v>
      </c>
      <c r="V5621">
        <v>2.8671510000000001E-2</v>
      </c>
      <c r="W5621">
        <v>0.20344419999999999</v>
      </c>
      <c r="X5621">
        <v>0.9786667</v>
      </c>
      <c r="Y5621">
        <v>-1.6827660000000001E-2</v>
      </c>
      <c r="Z5621">
        <v>9.7380489999999997E-4</v>
      </c>
      <c r="AA5621">
        <v>0.99985789999999997</v>
      </c>
      <c r="AB5621">
        <v>28</v>
      </c>
      <c r="AC5621">
        <v>27.8476</v>
      </c>
      <c r="AD5621">
        <v>-1.1089016213582901</v>
      </c>
      <c r="AE5621">
        <v>2.11499999999986E-2</v>
      </c>
      <c r="AF5621">
        <v>-0.47103296418680002</v>
      </c>
      <c r="AG5621">
        <v>-1.1089016213582901</v>
      </c>
      <c r="AH5621">
        <v>27.799530797452899</v>
      </c>
      <c r="AI5621">
        <v>92.283945486290094</v>
      </c>
      <c r="AJ5621">
        <v>90.970722087465404</v>
      </c>
      <c r="AK5621">
        <v>27.825625732725801</v>
      </c>
      <c r="AL5621">
        <v>78.261561502560596</v>
      </c>
      <c r="AM5621">
        <v>88.321914117710904</v>
      </c>
      <c r="AN5621">
        <v>1.0000000538441001</v>
      </c>
    </row>
    <row r="5622" spans="1:40" x14ac:dyDescent="0.25">
      <c r="A5622" t="str">
        <f>"20190312172819372"</f>
        <v>20190312172819372</v>
      </c>
      <c r="B5622" t="str">
        <f>"1552382899365725"</f>
        <v>1552382899365725</v>
      </c>
      <c r="C5622" t="s">
        <v>40</v>
      </c>
      <c r="D5622">
        <v>3.4586830000000002</v>
      </c>
      <c r="E5622">
        <v>0.4925621</v>
      </c>
      <c r="F5622" t="s">
        <v>59</v>
      </c>
      <c r="G5622">
        <v>-232.78729999999999</v>
      </c>
      <c r="H5622" s="1">
        <v>-7.1613150000000004E-7</v>
      </c>
      <c r="I5622">
        <v>-62.387700000000002</v>
      </c>
      <c r="J5622">
        <v>-260.26839999999999</v>
      </c>
      <c r="K5622">
        <v>1.108949</v>
      </c>
      <c r="L5622">
        <v>-62.420960000000001</v>
      </c>
      <c r="M5622">
        <v>0.99986509999999995</v>
      </c>
      <c r="N5622">
        <v>0</v>
      </c>
      <c r="O5622">
        <v>-1.5995880000000001E-2</v>
      </c>
      <c r="P5622">
        <v>0.97888839999999999</v>
      </c>
      <c r="Q5622">
        <v>0.1995982</v>
      </c>
      <c r="R5622">
        <v>-4.4026370000000002E-2</v>
      </c>
      <c r="S5622">
        <v>3.090363</v>
      </c>
      <c r="T5622">
        <v>-0.1240711</v>
      </c>
      <c r="U5622">
        <v>3.479004E-3</v>
      </c>
      <c r="V5622">
        <v>2.8255309999999999E-2</v>
      </c>
      <c r="W5622">
        <v>0.20327329999999999</v>
      </c>
      <c r="X5622">
        <v>0.97871430000000004</v>
      </c>
      <c r="Y5622">
        <v>-1.7094939999999999E-2</v>
      </c>
      <c r="Z5622">
        <v>9.849488999999999E-4</v>
      </c>
      <c r="AA5622">
        <v>0.9998534</v>
      </c>
      <c r="AB5622">
        <v>28</v>
      </c>
      <c r="AC5622">
        <v>27.481100000000001</v>
      </c>
      <c r="AD5622">
        <v>-1.1089497161315001</v>
      </c>
      <c r="AE5622">
        <v>3.3259999999998499E-2</v>
      </c>
      <c r="AF5622">
        <v>-0.47207446558382699</v>
      </c>
      <c r="AG5622">
        <v>-1.1089497161315001</v>
      </c>
      <c r="AH5622">
        <v>27.432381682186598</v>
      </c>
      <c r="AI5622">
        <v>92.314570123848696</v>
      </c>
      <c r="AJ5622">
        <v>90.985886144140594</v>
      </c>
      <c r="AK5622">
        <v>27.458845360486801</v>
      </c>
      <c r="AL5622">
        <v>78.271562148776297</v>
      </c>
      <c r="AM5622">
        <v>88.346340226772995</v>
      </c>
      <c r="AN5622">
        <v>1.0000000390302799</v>
      </c>
    </row>
    <row r="5623" spans="1:40" x14ac:dyDescent="0.25">
      <c r="A5623" t="str">
        <f>"20190312172819383"</f>
        <v>20190312172819383</v>
      </c>
      <c r="B5623" t="str">
        <f>"1552382899374735"</f>
        <v>1552382899374735</v>
      </c>
      <c r="C5623" t="s">
        <v>40</v>
      </c>
      <c r="D5623">
        <v>3.4469789999999998</v>
      </c>
      <c r="E5623">
        <v>0.492392</v>
      </c>
      <c r="F5623" t="s">
        <v>59</v>
      </c>
      <c r="G5623">
        <v>-232.57060000000001</v>
      </c>
      <c r="H5623" s="1">
        <v>-6.1655910000000003E-7</v>
      </c>
      <c r="I5623">
        <v>-62.362909999999999</v>
      </c>
      <c r="J5623">
        <v>-260.13560000000001</v>
      </c>
      <c r="K5623">
        <v>1.1089910000000001</v>
      </c>
      <c r="L5623">
        <v>-62.422879999999999</v>
      </c>
      <c r="M5623">
        <v>0.99986839999999999</v>
      </c>
      <c r="N5623">
        <v>0</v>
      </c>
      <c r="O5623">
        <v>-1.5789279999999999E-2</v>
      </c>
      <c r="P5623">
        <v>0.97895869999999996</v>
      </c>
      <c r="Q5623">
        <v>0.1993943</v>
      </c>
      <c r="R5623">
        <v>-4.3385449999999999E-2</v>
      </c>
      <c r="S5623">
        <v>3.0902400000000001</v>
      </c>
      <c r="T5623">
        <v>-0.12372519999999999</v>
      </c>
      <c r="U5623">
        <v>6.4697269999999998E-3</v>
      </c>
      <c r="V5623">
        <v>2.7794050000000001E-2</v>
      </c>
      <c r="W5623">
        <v>0.20309350000000001</v>
      </c>
      <c r="X5623">
        <v>0.97876479999999999</v>
      </c>
      <c r="Y5623">
        <v>-1.785573E-2</v>
      </c>
      <c r="Z5623">
        <v>9.8919979999999991E-4</v>
      </c>
      <c r="AA5623">
        <v>0.99984010000000001</v>
      </c>
      <c r="AB5623">
        <v>28</v>
      </c>
      <c r="AC5623">
        <v>27.565000000000001</v>
      </c>
      <c r="AD5623">
        <v>-1.1089916165591001</v>
      </c>
      <c r="AE5623">
        <v>5.99700000000069E-2</v>
      </c>
      <c r="AF5623">
        <v>-0.494396819413434</v>
      </c>
      <c r="AG5623">
        <v>-1.1089916165591001</v>
      </c>
      <c r="AH5623">
        <v>27.516079434827699</v>
      </c>
      <c r="AI5623">
        <v>92.307593677041098</v>
      </c>
      <c r="AJ5623">
        <v>91.029354619053194</v>
      </c>
      <c r="AK5623">
        <v>27.542856026280099</v>
      </c>
      <c r="AL5623">
        <v>78.282083006879702</v>
      </c>
      <c r="AM5623">
        <v>88.3734050182929</v>
      </c>
      <c r="AN5623">
        <v>1.0000000063383401</v>
      </c>
    </row>
    <row r="5624" spans="1:40" x14ac:dyDescent="0.25">
      <c r="A5624" t="str">
        <f>"20190312172819395"</f>
        <v>20190312172819395</v>
      </c>
      <c r="B5624" t="str">
        <f>"1552382899385471"</f>
        <v>1552382899385471</v>
      </c>
      <c r="C5624" t="s">
        <v>40</v>
      </c>
      <c r="D5624">
        <v>3.4586410000000001</v>
      </c>
      <c r="E5624">
        <v>0.4922802</v>
      </c>
      <c r="F5624" t="s">
        <v>59</v>
      </c>
      <c r="G5624">
        <v>-232.416</v>
      </c>
      <c r="H5624" s="1">
        <v>-5.4352930000000005E-7</v>
      </c>
      <c r="I5624">
        <v>-62.337679999999999</v>
      </c>
      <c r="J5624">
        <v>-259.98570000000001</v>
      </c>
      <c r="K5624">
        <v>1.109038</v>
      </c>
      <c r="L5624">
        <v>-62.425020000000004</v>
      </c>
      <c r="M5624">
        <v>0.99987239999999999</v>
      </c>
      <c r="N5624">
        <v>0</v>
      </c>
      <c r="O5624">
        <v>-1.5519710000000001E-2</v>
      </c>
      <c r="P5624">
        <v>0.97903410000000002</v>
      </c>
      <c r="Q5624">
        <v>0.19916619999999999</v>
      </c>
      <c r="R5624">
        <v>-4.2721120000000001E-2</v>
      </c>
      <c r="S5624">
        <v>3.0900880000000002</v>
      </c>
      <c r="T5624">
        <v>-0.1236266</v>
      </c>
      <c r="U5624">
        <v>9.4909669999999995E-3</v>
      </c>
      <c r="V5624">
        <v>2.7368070000000001E-2</v>
      </c>
      <c r="W5624">
        <v>0.2028932</v>
      </c>
      <c r="X5624">
        <v>0.97881839999999998</v>
      </c>
      <c r="Y5624">
        <v>-1.856352E-2</v>
      </c>
      <c r="Z5624">
        <v>9.9183460000000002E-4</v>
      </c>
      <c r="AA5624">
        <v>0.99982720000000003</v>
      </c>
      <c r="AB5624">
        <v>28</v>
      </c>
      <c r="AC5624">
        <v>27.569700000000001</v>
      </c>
      <c r="AD5624">
        <v>-1.1090385435293</v>
      </c>
      <c r="AE5624">
        <v>8.7339999999990398E-2</v>
      </c>
      <c r="AF5624">
        <v>-0.51437394786730495</v>
      </c>
      <c r="AG5624">
        <v>-1.1090385435293</v>
      </c>
      <c r="AH5624">
        <v>27.520491108679298</v>
      </c>
      <c r="AI5624">
        <v>92.307291148798001</v>
      </c>
      <c r="AJ5624">
        <v>91.070766690750801</v>
      </c>
      <c r="AK5624">
        <v>27.547631076231902</v>
      </c>
      <c r="AL5624">
        <v>78.293804017194702</v>
      </c>
      <c r="AM5624">
        <v>88.398409279439093</v>
      </c>
      <c r="AN5624">
        <v>1.00000006102016</v>
      </c>
    </row>
    <row r="5625" spans="1:40" x14ac:dyDescent="0.25">
      <c r="A5625" t="str">
        <f>"20190312172819417"</f>
        <v>20190312172819417</v>
      </c>
      <c r="B5625" t="str">
        <f>"1552382899415727"</f>
        <v>1552382899415727</v>
      </c>
      <c r="C5625" t="s">
        <v>40</v>
      </c>
      <c r="D5625">
        <v>3.413198</v>
      </c>
      <c r="E5625">
        <v>0.49222399999999999</v>
      </c>
      <c r="F5625" t="s">
        <v>59</v>
      </c>
      <c r="G5625">
        <v>-232.3623</v>
      </c>
      <c r="H5625" s="1">
        <v>-5.1482619999999999E-7</v>
      </c>
      <c r="I5625">
        <v>-62.316380000000002</v>
      </c>
      <c r="J5625">
        <v>-259.69920000000002</v>
      </c>
      <c r="K5625">
        <v>1.109138</v>
      </c>
      <c r="L5625">
        <v>-62.42886</v>
      </c>
      <c r="M5625">
        <v>0.99988140000000003</v>
      </c>
      <c r="N5625">
        <v>0</v>
      </c>
      <c r="O5625">
        <v>-1.491732E-2</v>
      </c>
      <c r="P5625">
        <v>0.97904619999999998</v>
      </c>
      <c r="Q5625">
        <v>0.19935649999999999</v>
      </c>
      <c r="R5625">
        <v>-4.1539909999999999E-2</v>
      </c>
      <c r="S5625">
        <v>3.0900270000000001</v>
      </c>
      <c r="T5625">
        <v>-0.1240603</v>
      </c>
      <c r="U5625">
        <v>1.2146000000000001E-2</v>
      </c>
      <c r="V5625">
        <v>2.6730070000000002E-2</v>
      </c>
      <c r="W5625">
        <v>0.2031365</v>
      </c>
      <c r="X5625">
        <v>0.97878549999999997</v>
      </c>
      <c r="Y5625">
        <v>-1.8820380000000001E-2</v>
      </c>
      <c r="Z5625">
        <v>9.7631059999999997E-4</v>
      </c>
      <c r="AA5625">
        <v>0.9998224</v>
      </c>
      <c r="AB5625">
        <v>28</v>
      </c>
      <c r="AC5625">
        <v>27.3369</v>
      </c>
      <c r="AD5625">
        <v>-1.1091385148262001</v>
      </c>
      <c r="AE5625">
        <v>0.112479999999997</v>
      </c>
      <c r="AF5625">
        <v>-0.51940874100998802</v>
      </c>
      <c r="AG5625">
        <v>-1.1091385148262001</v>
      </c>
      <c r="AH5625">
        <v>27.287261740499101</v>
      </c>
      <c r="AI5625">
        <v>92.327184853456203</v>
      </c>
      <c r="AJ5625">
        <v>91.090484472513495</v>
      </c>
      <c r="AK5625">
        <v>27.314732782507999</v>
      </c>
      <c r="AL5625">
        <v>78.2795666995424</v>
      </c>
      <c r="AM5625">
        <v>88.435673976542802</v>
      </c>
      <c r="AN5625">
        <v>0.99999999464235201</v>
      </c>
    </row>
    <row r="5626" spans="1:40" x14ac:dyDescent="0.25">
      <c r="A5626" t="str">
        <f>"20190312172819429"</f>
        <v>20190312172819429</v>
      </c>
      <c r="B5626" t="str">
        <f>"1552382899425486"</f>
        <v>1552382899425486</v>
      </c>
      <c r="C5626" t="s">
        <v>40</v>
      </c>
      <c r="D5626">
        <v>3.4188670000000001</v>
      </c>
      <c r="E5626">
        <v>0.49223800000000001</v>
      </c>
      <c r="F5626" t="s">
        <v>59</v>
      </c>
      <c r="G5626">
        <v>-232.1626</v>
      </c>
      <c r="H5626" s="1">
        <v>-4.2078310000000001E-7</v>
      </c>
      <c r="I5626">
        <v>-62.284950000000002</v>
      </c>
      <c r="J5626">
        <v>-259.548</v>
      </c>
      <c r="K5626">
        <v>1.1091899999999999</v>
      </c>
      <c r="L5626">
        <v>-62.430819999999997</v>
      </c>
      <c r="M5626">
        <v>0.99988659999999996</v>
      </c>
      <c r="N5626">
        <v>0</v>
      </c>
      <c r="O5626">
        <v>-1.4563029999999999E-2</v>
      </c>
      <c r="P5626">
        <v>0.97903490000000004</v>
      </c>
      <c r="Q5626">
        <v>0.19953580000000001</v>
      </c>
      <c r="R5626">
        <v>-4.0947480000000001E-2</v>
      </c>
      <c r="S5626">
        <v>3.0902400000000001</v>
      </c>
      <c r="T5626">
        <v>-0.1244707</v>
      </c>
      <c r="U5626">
        <v>1.61438E-2</v>
      </c>
      <c r="V5626">
        <v>2.6460930000000001E-2</v>
      </c>
      <c r="W5626">
        <v>0.2033433</v>
      </c>
      <c r="X5626">
        <v>0.97874989999999995</v>
      </c>
      <c r="Y5626">
        <v>-1.9758609999999999E-2</v>
      </c>
      <c r="Z5626">
        <v>9.8409280000000005E-4</v>
      </c>
      <c r="AA5626">
        <v>0.99980429999999998</v>
      </c>
      <c r="AB5626">
        <v>28</v>
      </c>
      <c r="AC5626">
        <v>27.385400000000001</v>
      </c>
      <c r="AD5626">
        <v>-1.10919042078309</v>
      </c>
      <c r="AE5626">
        <v>0.145869999999995</v>
      </c>
      <c r="AF5626">
        <v>-0.54377982390968704</v>
      </c>
      <c r="AG5626">
        <v>-1.10919042078309</v>
      </c>
      <c r="AH5626">
        <v>27.335529068604099</v>
      </c>
      <c r="AI5626">
        <v>92.323150025702503</v>
      </c>
      <c r="AJ5626">
        <v>91.139622358840199</v>
      </c>
      <c r="AK5626">
        <v>27.363427222242301</v>
      </c>
      <c r="AL5626">
        <v>78.267465697754204</v>
      </c>
      <c r="AM5626">
        <v>88.451360870612206</v>
      </c>
      <c r="AN5626">
        <v>1.00000002261068</v>
      </c>
    </row>
    <row r="5627" spans="1:40" x14ac:dyDescent="0.25">
      <c r="A5627" t="str">
        <f>"20190312172819440"</f>
        <v>20190312172819440</v>
      </c>
      <c r="B5627" t="str">
        <f>"1552382899435247"</f>
        <v>1552382899435247</v>
      </c>
      <c r="C5627" t="s">
        <v>40</v>
      </c>
      <c r="D5627">
        <v>3.4275829999999998</v>
      </c>
      <c r="E5627">
        <v>0.49226029999999998</v>
      </c>
      <c r="F5627" t="s">
        <v>59</v>
      </c>
      <c r="G5627">
        <v>-232.0273</v>
      </c>
      <c r="H5627" s="1">
        <v>-3.5906959999999998E-7</v>
      </c>
      <c r="I5627">
        <v>-62.2712199999999</v>
      </c>
      <c r="J5627">
        <v>-259.40230000000003</v>
      </c>
      <c r="K5627">
        <v>1.1092329999999999</v>
      </c>
      <c r="L5627">
        <v>-62.432619999999901</v>
      </c>
      <c r="M5627">
        <v>0.99989189999999994</v>
      </c>
      <c r="N5627">
        <v>0</v>
      </c>
      <c r="O5627">
        <v>-1.4184560000000001E-2</v>
      </c>
      <c r="P5627">
        <v>0.97897999999999996</v>
      </c>
      <c r="Q5627">
        <v>0.19997880000000001</v>
      </c>
      <c r="R5627">
        <v>-4.0086299999999998E-2</v>
      </c>
      <c r="S5627">
        <v>3.0903930000000002</v>
      </c>
      <c r="T5627">
        <v>-0.1245545</v>
      </c>
      <c r="U5627">
        <v>1.791382E-2</v>
      </c>
      <c r="V5627">
        <v>2.5951200000000001E-2</v>
      </c>
      <c r="W5627">
        <v>0.20381250000000001</v>
      </c>
      <c r="X5627">
        <v>0.97866589999999998</v>
      </c>
      <c r="Y5627">
        <v>-1.9952649999999999E-2</v>
      </c>
      <c r="Z5627">
        <v>9.733675E-4</v>
      </c>
      <c r="AA5627">
        <v>0.99980040000000003</v>
      </c>
      <c r="AB5627">
        <v>29</v>
      </c>
      <c r="AC5627">
        <v>27.375</v>
      </c>
      <c r="AD5627">
        <v>-1.1092333590696</v>
      </c>
      <c r="AE5627">
        <v>0.16139999999999999</v>
      </c>
      <c r="AF5627">
        <v>-0.54878799687056901</v>
      </c>
      <c r="AG5627">
        <v>-1.1092333590696</v>
      </c>
      <c r="AH5627">
        <v>27.3250938955814</v>
      </c>
      <c r="AI5627">
        <v>92.324117254252002</v>
      </c>
      <c r="AJ5627">
        <v>91.150554491443401</v>
      </c>
      <c r="AK5627">
        <v>27.3531044547547</v>
      </c>
      <c r="AL5627">
        <v>78.240006904494393</v>
      </c>
      <c r="AM5627">
        <v>88.481048661615304</v>
      </c>
      <c r="AN5627">
        <v>0.99999997188024903</v>
      </c>
    </row>
    <row r="5628" spans="1:40" x14ac:dyDescent="0.25">
      <c r="A5628" t="str">
        <f>"20190312172819450"</f>
        <v>20190312172819450</v>
      </c>
      <c r="B5628" t="str">
        <f>"1552382899445007"</f>
        <v>1552382899445007</v>
      </c>
      <c r="C5628" t="s">
        <v>40</v>
      </c>
      <c r="D5628">
        <v>3.3901349999999999</v>
      </c>
      <c r="E5628">
        <v>0.4922667</v>
      </c>
      <c r="F5628" t="s">
        <v>59</v>
      </c>
      <c r="G5628">
        <v>-231.7166</v>
      </c>
      <c r="H5628" s="1">
        <v>-2.2102519999999999E-7</v>
      </c>
      <c r="I5628">
        <v>-62.253219999999999</v>
      </c>
      <c r="J5628">
        <v>-259.2758</v>
      </c>
      <c r="K5628">
        <v>1.10927</v>
      </c>
      <c r="L5628">
        <v>-62.434080000000002</v>
      </c>
      <c r="M5628">
        <v>0.99989640000000002</v>
      </c>
      <c r="N5628">
        <v>0</v>
      </c>
      <c r="O5628">
        <v>-1.384867E-2</v>
      </c>
      <c r="P5628">
        <v>0.97895049999999995</v>
      </c>
      <c r="Q5628">
        <v>0.2002883</v>
      </c>
      <c r="R5628">
        <v>-3.9251429999999997E-2</v>
      </c>
      <c r="S5628">
        <v>3.0905149999999999</v>
      </c>
      <c r="T5628">
        <v>-0.12382219999999999</v>
      </c>
      <c r="U5628">
        <v>2.0019530000000001E-2</v>
      </c>
      <c r="V5628">
        <v>2.5429319999999998E-2</v>
      </c>
      <c r="W5628">
        <v>0.20414389999999999</v>
      </c>
      <c r="X5628">
        <v>0.9786106</v>
      </c>
      <c r="Y5628">
        <v>-2.0298070000000001E-2</v>
      </c>
      <c r="Z5628">
        <v>9.6107530000000003E-4</v>
      </c>
      <c r="AA5628">
        <v>0.9997935</v>
      </c>
      <c r="AB5628">
        <v>29</v>
      </c>
      <c r="AC5628">
        <v>27.559200000000001</v>
      </c>
      <c r="AD5628">
        <v>-1.1092702210251999</v>
      </c>
      <c r="AE5628">
        <v>0.18086000000000199</v>
      </c>
      <c r="AF5628">
        <v>-0.561594062804609</v>
      </c>
      <c r="AG5628">
        <v>-1.1092702210251999</v>
      </c>
      <c r="AH5628">
        <v>27.5094862473332</v>
      </c>
      <c r="AI5628">
        <v>92.308617112499206</v>
      </c>
      <c r="AJ5628">
        <v>91.169505692084101</v>
      </c>
      <c r="AK5628">
        <v>27.537568917877401</v>
      </c>
      <c r="AL5628">
        <v>78.220612163852195</v>
      </c>
      <c r="AM5628">
        <v>88.511496900627407</v>
      </c>
      <c r="AN5628">
        <v>1.00000004432761</v>
      </c>
    </row>
    <row r="5629" spans="1:40" x14ac:dyDescent="0.25">
      <c r="A5629" t="str">
        <f>"20190312172819461"</f>
        <v>20190312172819461</v>
      </c>
      <c r="B5629" t="str">
        <f>"1552382899454768"</f>
        <v>1552382899454768</v>
      </c>
      <c r="C5629" t="s">
        <v>40</v>
      </c>
      <c r="D5629">
        <v>3.4068109999999998</v>
      </c>
      <c r="E5629">
        <v>0.49230639999999998</v>
      </c>
      <c r="F5629" t="s">
        <v>59</v>
      </c>
      <c r="G5629">
        <v>-231.45609999999999</v>
      </c>
      <c r="H5629" s="1">
        <v>-1.04616E-7</v>
      </c>
      <c r="I5629">
        <v>-62.235689999999998</v>
      </c>
      <c r="J5629">
        <v>-259.12979999999999</v>
      </c>
      <c r="K5629">
        <v>1.109302</v>
      </c>
      <c r="L5629">
        <v>-62.435699999999997</v>
      </c>
      <c r="M5629">
        <v>0.99990210000000002</v>
      </c>
      <c r="N5629">
        <v>0</v>
      </c>
      <c r="O5629">
        <v>-1.343829E-2</v>
      </c>
      <c r="P5629">
        <v>0.97892349999999995</v>
      </c>
      <c r="Q5629">
        <v>0.20054820000000001</v>
      </c>
      <c r="R5629">
        <v>-3.8592870000000001E-2</v>
      </c>
      <c r="S5629">
        <v>3.0906069999999999</v>
      </c>
      <c r="T5629">
        <v>-0.12323339999999899</v>
      </c>
      <c r="U5629">
        <v>2.2033690000000002E-2</v>
      </c>
      <c r="V5629">
        <v>2.5157220000000001E-2</v>
      </c>
      <c r="W5629">
        <v>0.20442959999999999</v>
      </c>
      <c r="X5629">
        <v>0.97855789999999998</v>
      </c>
      <c r="Y5629">
        <v>-2.0539470000000001E-2</v>
      </c>
      <c r="Z5629">
        <v>9.4493409999999996E-4</v>
      </c>
      <c r="AA5629">
        <v>0.99978860000000003</v>
      </c>
      <c r="AB5629">
        <v>29</v>
      </c>
      <c r="AC5629">
        <v>27.6737</v>
      </c>
      <c r="AD5629">
        <v>-1.1093021046160001</v>
      </c>
      <c r="AE5629">
        <v>0.200009999999991</v>
      </c>
      <c r="AF5629">
        <v>-0.57096458696088803</v>
      </c>
      <c r="AG5629">
        <v>-1.1093021046160001</v>
      </c>
      <c r="AH5629">
        <v>27.6241287937858</v>
      </c>
      <c r="AI5629">
        <v>92.299100461186995</v>
      </c>
      <c r="AJ5629">
        <v>91.184080915708506</v>
      </c>
      <c r="AK5629">
        <v>27.652288211548399</v>
      </c>
      <c r="AL5629">
        <v>78.203889045956601</v>
      </c>
      <c r="AM5629">
        <v>88.527337929501797</v>
      </c>
      <c r="AN5629">
        <v>0.99999995536334796</v>
      </c>
    </row>
    <row r="5630" spans="1:40" x14ac:dyDescent="0.25">
      <c r="A5630" t="str">
        <f>"20190312172819473"</f>
        <v>20190312172819473</v>
      </c>
      <c r="B5630" t="str">
        <f>"1552382899465503"</f>
        <v>1552382899465503</v>
      </c>
      <c r="C5630" t="s">
        <v>40</v>
      </c>
      <c r="D5630">
        <v>3.4771960000000002</v>
      </c>
      <c r="E5630">
        <v>0.49227799999999999</v>
      </c>
      <c r="F5630" t="s">
        <v>59</v>
      </c>
      <c r="G5630">
        <v>-231.2792</v>
      </c>
      <c r="H5630" s="1">
        <v>-2.6383299999999998E-8</v>
      </c>
      <c r="I5630">
        <v>-62.2269199999999</v>
      </c>
      <c r="J5630">
        <v>-258.99110000000002</v>
      </c>
      <c r="K5630">
        <v>1.109332</v>
      </c>
      <c r="L5630">
        <v>-62.43723</v>
      </c>
      <c r="M5630">
        <v>0.9999072</v>
      </c>
      <c r="N5630">
        <v>0</v>
      </c>
      <c r="O5630">
        <v>-1.303996E-2</v>
      </c>
      <c r="P5630">
        <v>0.97885630000000001</v>
      </c>
      <c r="Q5630">
        <v>0.2010036</v>
      </c>
      <c r="R5630">
        <v>-3.7918590000000002E-2</v>
      </c>
      <c r="S5630">
        <v>3.0907290000000001</v>
      </c>
      <c r="T5630">
        <v>-0.123105199999999</v>
      </c>
      <c r="U5630">
        <v>2.3162840000000001E-2</v>
      </c>
      <c r="V5630">
        <v>2.4860670000000001E-2</v>
      </c>
      <c r="W5630">
        <v>0.2049089</v>
      </c>
      <c r="X5630">
        <v>0.97846529999999998</v>
      </c>
      <c r="Y5630">
        <v>-2.0506549999999998E-2</v>
      </c>
      <c r="Z5630">
        <v>9.2739910000000001E-4</v>
      </c>
      <c r="AA5630">
        <v>0.99978929999999999</v>
      </c>
      <c r="AB5630">
        <v>29</v>
      </c>
      <c r="AC5630">
        <v>27.7119</v>
      </c>
      <c r="AD5630">
        <v>-1.1093320263833</v>
      </c>
      <c r="AE5630">
        <v>0.21031000000001401</v>
      </c>
      <c r="AF5630">
        <v>-0.57074244942567798</v>
      </c>
      <c r="AG5630">
        <v>-1.1093320263833</v>
      </c>
      <c r="AH5630">
        <v>27.662475540153999</v>
      </c>
      <c r="AI5630">
        <v>92.295980375391096</v>
      </c>
      <c r="AJ5630">
        <v>91.181980059778994</v>
      </c>
      <c r="AK5630">
        <v>27.690592581198999</v>
      </c>
      <c r="AL5630">
        <v>78.175834126221602</v>
      </c>
      <c r="AM5630">
        <v>88.544552297910201</v>
      </c>
      <c r="AN5630">
        <v>1.00000002675807</v>
      </c>
    </row>
    <row r="5631" spans="1:40" x14ac:dyDescent="0.25">
      <c r="A5631" t="str">
        <f>"20190312172819484"</f>
        <v>20190312172819484</v>
      </c>
      <c r="B5631" t="str">
        <f>"1552382899475263"</f>
        <v>1552382899475263</v>
      </c>
      <c r="C5631" t="s">
        <v>40</v>
      </c>
      <c r="D5631">
        <v>3.4278879999999998</v>
      </c>
      <c r="E5631">
        <v>0.49230950000000001</v>
      </c>
      <c r="F5631" t="s">
        <v>59</v>
      </c>
      <c r="G5631">
        <v>-230.76769999999999</v>
      </c>
      <c r="H5631" s="1">
        <v>1.9739649999999999E-7</v>
      </c>
      <c r="I5631">
        <v>-62.210599999999999</v>
      </c>
      <c r="J5631">
        <v>-258.83949999999999</v>
      </c>
      <c r="K5631">
        <v>1.1093569999999999</v>
      </c>
      <c r="L5631">
        <v>-62.438780000000001</v>
      </c>
      <c r="M5631">
        <v>0.99991280000000005</v>
      </c>
      <c r="N5631">
        <v>0</v>
      </c>
      <c r="O5631">
        <v>-1.259241E-2</v>
      </c>
      <c r="P5631">
        <v>0.97875080000000003</v>
      </c>
      <c r="Q5631">
        <v>0.2017205</v>
      </c>
      <c r="R5631">
        <v>-3.6820909999999998E-2</v>
      </c>
      <c r="S5631">
        <v>3.0907439999999999</v>
      </c>
      <c r="T5631">
        <v>-0.1214827</v>
      </c>
      <c r="U5631">
        <v>2.4810789999999999E-2</v>
      </c>
      <c r="V5631">
        <v>2.419052E-2</v>
      </c>
      <c r="W5631">
        <v>0.20565050000000001</v>
      </c>
      <c r="X5631">
        <v>0.97832649999999999</v>
      </c>
      <c r="Y5631">
        <v>-2.059304E-2</v>
      </c>
      <c r="Z5631">
        <v>8.9929609999999998E-4</v>
      </c>
      <c r="AA5631">
        <v>0.99978750000000005</v>
      </c>
      <c r="AB5631">
        <v>29</v>
      </c>
      <c r="AC5631">
        <v>28.0718</v>
      </c>
      <c r="AD5631">
        <v>-1.1093568026034999</v>
      </c>
      <c r="AE5631">
        <v>0.22818000000000099</v>
      </c>
      <c r="AF5631">
        <v>-0.58074941414665504</v>
      </c>
      <c r="AG5631">
        <v>-1.1093568026034999</v>
      </c>
      <c r="AH5631">
        <v>28.022939887867299</v>
      </c>
      <c r="AI5631">
        <v>92.266524024008206</v>
      </c>
      <c r="AJ5631">
        <v>91.187231892524593</v>
      </c>
      <c r="AK5631">
        <v>28.050901988288</v>
      </c>
      <c r="AL5631">
        <v>78.132418957812703</v>
      </c>
      <c r="AM5631">
        <v>88.583568639164397</v>
      </c>
      <c r="AN5631">
        <v>1.0000000250051799</v>
      </c>
    </row>
    <row r="5632" spans="1:40" x14ac:dyDescent="0.25">
      <c r="A5632" t="str">
        <f>"20190312172819495"</f>
        <v>20190312172819495</v>
      </c>
      <c r="B5632" t="str">
        <f>"1552382899485023"</f>
        <v>1552382899485023</v>
      </c>
      <c r="C5632" t="s">
        <v>40</v>
      </c>
      <c r="D5632">
        <v>3.4337499999999999</v>
      </c>
      <c r="E5632">
        <v>0.49235309999999999</v>
      </c>
      <c r="F5632" t="s">
        <v>59</v>
      </c>
      <c r="G5632">
        <v>-230.20320000000001</v>
      </c>
      <c r="H5632" s="1">
        <v>4.461204E-7</v>
      </c>
      <c r="I5632">
        <v>-62.185940000000002</v>
      </c>
      <c r="J5632">
        <v>-258.69049999999999</v>
      </c>
      <c r="K5632">
        <v>1.1093770000000001</v>
      </c>
      <c r="L5632">
        <v>-62.440219999999997</v>
      </c>
      <c r="M5632">
        <v>0.99991839999999999</v>
      </c>
      <c r="N5632">
        <v>0</v>
      </c>
      <c r="O5632">
        <v>-1.2142979999999999E-2</v>
      </c>
      <c r="P5632">
        <v>0.97868250000000001</v>
      </c>
      <c r="Q5632">
        <v>0.20221230000000001</v>
      </c>
      <c r="R5632">
        <v>-3.5929469999999998E-2</v>
      </c>
      <c r="S5632">
        <v>3.090805</v>
      </c>
      <c r="T5632">
        <v>-0.1197362</v>
      </c>
      <c r="U5632">
        <v>2.7282710000000002E-2</v>
      </c>
      <c r="V5632">
        <v>2.373074E-2</v>
      </c>
      <c r="W5632">
        <v>0.20616699999999999</v>
      </c>
      <c r="X5632">
        <v>0.97822900000000002</v>
      </c>
      <c r="Y5632">
        <v>-2.094385E-2</v>
      </c>
      <c r="Z5632">
        <v>8.7574539999999996E-4</v>
      </c>
      <c r="AA5632">
        <v>0.99978029999999996</v>
      </c>
      <c r="AB5632">
        <v>29</v>
      </c>
      <c r="AC5632">
        <v>28.487299999999902</v>
      </c>
      <c r="AD5632">
        <v>-1.1093765538796001</v>
      </c>
      <c r="AE5632">
        <v>0.25427999999999401</v>
      </c>
      <c r="AF5632">
        <v>-0.59927593209790897</v>
      </c>
      <c r="AG5632">
        <v>-1.1093765538796001</v>
      </c>
      <c r="AH5632">
        <v>28.438986319052201</v>
      </c>
      <c r="AI5632">
        <v>92.233423366563798</v>
      </c>
      <c r="AJ5632">
        <v>91.207177373310302</v>
      </c>
      <c r="AK5632">
        <v>28.466924506105801</v>
      </c>
      <c r="AL5632">
        <v>78.102177087781698</v>
      </c>
      <c r="AM5632">
        <v>88.610341114670007</v>
      </c>
      <c r="AN5632">
        <v>0.99999997817547304</v>
      </c>
    </row>
    <row r="5633" spans="1:40" x14ac:dyDescent="0.25">
      <c r="A5633" t="str">
        <f>"20190312172819505"</f>
        <v>20190312172819505</v>
      </c>
      <c r="B5633" t="str">
        <f>"1552382899494783"</f>
        <v>1552382899494783</v>
      </c>
      <c r="C5633" t="s">
        <v>40</v>
      </c>
      <c r="D5633">
        <v>3.4289779999999999</v>
      </c>
      <c r="E5633">
        <v>0.49241990000000002</v>
      </c>
      <c r="F5633" t="s">
        <v>60</v>
      </c>
      <c r="G5633">
        <v>-229.87020000000001</v>
      </c>
      <c r="H5633" s="1">
        <v>-3.6062400000000001E-6</v>
      </c>
      <c r="I5633">
        <v>-62.169040000000003</v>
      </c>
      <c r="J5633">
        <v>-258.55470000000003</v>
      </c>
      <c r="K5633">
        <v>1.1093919999999999</v>
      </c>
      <c r="L5633">
        <v>-62.44153</v>
      </c>
      <c r="M5633">
        <v>0.99992329999999996</v>
      </c>
      <c r="N5633">
        <v>0</v>
      </c>
      <c r="O5633">
        <v>-1.172991E-2</v>
      </c>
      <c r="P5633">
        <v>0.97867040000000005</v>
      </c>
      <c r="Q5633">
        <v>0.2024398</v>
      </c>
      <c r="R5633">
        <v>-3.4969720000000003E-2</v>
      </c>
      <c r="S5633">
        <v>3.0910030000000002</v>
      </c>
      <c r="T5633">
        <v>-0.11898209999999999</v>
      </c>
      <c r="U5633">
        <v>2.9083250000000001E-2</v>
      </c>
      <c r="V5633">
        <v>2.3168689999999999E-2</v>
      </c>
      <c r="W5633">
        <v>0.20641619999999999</v>
      </c>
      <c r="X5633">
        <v>0.97818989999999995</v>
      </c>
      <c r="Y5633">
        <v>-2.1113099999999999E-2</v>
      </c>
      <c r="Z5633">
        <v>8.5753849999999998E-4</v>
      </c>
      <c r="AA5633">
        <v>0.99977669999999996</v>
      </c>
      <c r="AB5633">
        <v>29</v>
      </c>
      <c r="AC5633">
        <v>28.6845</v>
      </c>
      <c r="AD5633">
        <v>-1.1093956062400001</v>
      </c>
      <c r="AE5633">
        <v>0.27249000000000401</v>
      </c>
      <c r="AF5633">
        <v>-0.60803109420856905</v>
      </c>
      <c r="AG5633">
        <v>-1.1093956062400001</v>
      </c>
      <c r="AH5633">
        <v>28.636499148680802</v>
      </c>
      <c r="AI5633">
        <v>92.218064886763699</v>
      </c>
      <c r="AJ5633">
        <v>91.2163631272782</v>
      </c>
      <c r="AK5633">
        <v>28.664429942265802</v>
      </c>
      <c r="AL5633">
        <v>78.087584871805007</v>
      </c>
      <c r="AM5633">
        <v>88.643187785524404</v>
      </c>
      <c r="AN5633">
        <v>0.99999995814038201</v>
      </c>
    </row>
    <row r="5634" spans="1:40" x14ac:dyDescent="0.25">
      <c r="A5634" t="str">
        <f>"20190312172819517"</f>
        <v>20190312172819517</v>
      </c>
      <c r="B5634" t="str">
        <f>"1552382899505519"</f>
        <v>1552382899505519</v>
      </c>
      <c r="C5634" t="s">
        <v>40</v>
      </c>
      <c r="D5634">
        <v>3.4375339999999999</v>
      </c>
      <c r="E5634">
        <v>0.49247259999999998</v>
      </c>
      <c r="F5634" t="s">
        <v>60</v>
      </c>
      <c r="G5634">
        <v>-229.6986</v>
      </c>
      <c r="H5634" s="1">
        <v>-3.5453760000000002E-6</v>
      </c>
      <c r="I5634">
        <v>-62.150649999999999</v>
      </c>
      <c r="J5634">
        <v>-258.4126</v>
      </c>
      <c r="K5634">
        <v>1.1094059999999999</v>
      </c>
      <c r="L5634">
        <v>-62.442749999999997</v>
      </c>
      <c r="M5634">
        <v>0.99992809999999999</v>
      </c>
      <c r="N5634">
        <v>0</v>
      </c>
      <c r="O5634">
        <v>-1.129193E-2</v>
      </c>
      <c r="P5634">
        <v>0.97862930000000004</v>
      </c>
      <c r="Q5634">
        <v>0.2027958</v>
      </c>
      <c r="R5634">
        <v>-3.4042419999999997E-2</v>
      </c>
      <c r="S5634">
        <v>3.0910799999999998</v>
      </c>
      <c r="T5634">
        <v>-0.118839</v>
      </c>
      <c r="U5634">
        <v>3.1158450000000001E-2</v>
      </c>
      <c r="V5634">
        <v>2.2665370000000001E-2</v>
      </c>
      <c r="W5634">
        <v>0.20679549999999999</v>
      </c>
      <c r="X5634">
        <v>0.97812160000000004</v>
      </c>
      <c r="Y5634">
        <v>-2.134631E-2</v>
      </c>
      <c r="Z5634">
        <v>8.4413489999999995E-4</v>
      </c>
      <c r="AA5634">
        <v>0.99977179999999999</v>
      </c>
      <c r="AB5634">
        <v>29</v>
      </c>
      <c r="AC5634">
        <v>28.713999999999999</v>
      </c>
      <c r="AD5634">
        <v>-1.10940954537599</v>
      </c>
      <c r="AE5634">
        <v>0.29209999999999697</v>
      </c>
      <c r="AF5634">
        <v>-0.61540192920546399</v>
      </c>
      <c r="AG5634">
        <v>-1.10940954537599</v>
      </c>
      <c r="AH5634">
        <v>28.6660830979746</v>
      </c>
      <c r="AI5634">
        <v>92.215794785203997</v>
      </c>
      <c r="AJ5634">
        <v>91.229833801994999</v>
      </c>
      <c r="AK5634">
        <v>28.694142769105799</v>
      </c>
      <c r="AL5634">
        <v>78.065373629503199</v>
      </c>
      <c r="AM5634">
        <v>88.672560057388594</v>
      </c>
      <c r="AN5634">
        <v>0.99999998110202304</v>
      </c>
    </row>
    <row r="5635" spans="1:40" x14ac:dyDescent="0.25">
      <c r="A5635" t="str">
        <f>"20190312172819528"</f>
        <v>20190312172819528</v>
      </c>
      <c r="B5635" t="str">
        <f>"1552382899525039"</f>
        <v>1552382899525039</v>
      </c>
      <c r="C5635" t="s">
        <v>40</v>
      </c>
      <c r="D5635">
        <v>3.4338479999999998</v>
      </c>
      <c r="E5635">
        <v>0.4925814</v>
      </c>
      <c r="F5635" t="s">
        <v>60</v>
      </c>
      <c r="G5635">
        <v>-229.4605</v>
      </c>
      <c r="H5635" s="1">
        <v>-3.461959E-6</v>
      </c>
      <c r="I5635">
        <v>-62.132629999999999</v>
      </c>
      <c r="J5635">
        <v>-258.26679999999999</v>
      </c>
      <c r="K5635">
        <v>1.1094139999999999</v>
      </c>
      <c r="L5635">
        <v>-62.443969999999901</v>
      </c>
      <c r="M5635">
        <v>0.99993290000000001</v>
      </c>
      <c r="N5635">
        <v>0</v>
      </c>
      <c r="O5635">
        <v>-1.084193E-2</v>
      </c>
      <c r="P5635">
        <v>0.97857910000000004</v>
      </c>
      <c r="Q5635">
        <v>0.20318800000000001</v>
      </c>
      <c r="R5635">
        <v>-3.3132830000000002E-2</v>
      </c>
      <c r="S5635">
        <v>3.0912169999999999</v>
      </c>
      <c r="T5635">
        <v>-0.118452</v>
      </c>
      <c r="U5635">
        <v>3.311157E-2</v>
      </c>
      <c r="V5635">
        <v>2.2192190000000001E-2</v>
      </c>
      <c r="W5635">
        <v>0.20721120000000001</v>
      </c>
      <c r="X5635">
        <v>0.97804449999999998</v>
      </c>
      <c r="Y5635">
        <v>-2.1527899999999999E-2</v>
      </c>
      <c r="Z5635">
        <v>8.275887E-4</v>
      </c>
      <c r="AA5635">
        <v>0.99976790000000004</v>
      </c>
      <c r="AB5635">
        <v>29</v>
      </c>
      <c r="AC5635">
        <v>28.8063</v>
      </c>
      <c r="AD5635">
        <v>-1.10941746195899</v>
      </c>
      <c r="AE5635">
        <v>0.31133999999998702</v>
      </c>
      <c r="AF5635">
        <v>-0.62271665042994095</v>
      </c>
      <c r="AG5635">
        <v>-1.10941746195899</v>
      </c>
      <c r="AH5635">
        <v>28.758580065662901</v>
      </c>
      <c r="AI5635">
        <v>92.2086820702267</v>
      </c>
      <c r="AJ5635">
        <v>91.240445849346699</v>
      </c>
      <c r="AK5635">
        <v>28.7867071844761</v>
      </c>
      <c r="AL5635">
        <v>78.041028805368995</v>
      </c>
      <c r="AM5635">
        <v>88.700160700744803</v>
      </c>
      <c r="AN5635">
        <v>1.0000000093413399</v>
      </c>
    </row>
    <row r="5636" spans="1:40" x14ac:dyDescent="0.25">
      <c r="A5636" t="str">
        <f>"20190312172819539"</f>
        <v>20190312172819539</v>
      </c>
      <c r="B5636" t="str">
        <f>"1552382899534799"</f>
        <v>1552382899534799</v>
      </c>
      <c r="C5636" t="s">
        <v>40</v>
      </c>
      <c r="D5636">
        <v>3.4453770000000001</v>
      </c>
      <c r="E5636">
        <v>0.4926507</v>
      </c>
      <c r="F5636" t="s">
        <v>60</v>
      </c>
      <c r="G5636">
        <v>-229.28049999999999</v>
      </c>
      <c r="H5636" s="1">
        <v>-3.3987839999999999E-6</v>
      </c>
      <c r="I5636">
        <v>-62.118340000000003</v>
      </c>
      <c r="J5636">
        <v>-258.11630000000002</v>
      </c>
      <c r="K5636">
        <v>1.109421</v>
      </c>
      <c r="L5636">
        <v>-62.445160000000001</v>
      </c>
      <c r="M5636">
        <v>0.99993779999999999</v>
      </c>
      <c r="N5636">
        <v>0</v>
      </c>
      <c r="O5636">
        <v>-1.037476E-2</v>
      </c>
      <c r="P5636">
        <v>0.97851929999999998</v>
      </c>
      <c r="Q5636">
        <v>0.2036154</v>
      </c>
      <c r="R5636">
        <v>-3.2261570000000003E-2</v>
      </c>
      <c r="S5636">
        <v>3.091415</v>
      </c>
      <c r="T5636">
        <v>-0.1183203</v>
      </c>
      <c r="U5636">
        <v>3.4729000000000003E-2</v>
      </c>
      <c r="V5636">
        <v>2.1775269999999999E-2</v>
      </c>
      <c r="W5636">
        <v>0.20766270000000001</v>
      </c>
      <c r="X5636">
        <v>0.97795810000000005</v>
      </c>
      <c r="Y5636">
        <v>-2.158349E-2</v>
      </c>
      <c r="Z5636">
        <v>8.0980519999999999E-4</v>
      </c>
      <c r="AA5636">
        <v>0.99976670000000001</v>
      </c>
      <c r="AB5636">
        <v>29</v>
      </c>
      <c r="AC5636">
        <v>28.835799999999999</v>
      </c>
      <c r="AD5636">
        <v>-1.109424398784</v>
      </c>
      <c r="AE5636">
        <v>0.32681999999999001</v>
      </c>
      <c r="AF5636">
        <v>-0.62504432675439303</v>
      </c>
      <c r="AG5636">
        <v>-1.109424398784</v>
      </c>
      <c r="AH5636">
        <v>28.788249370377098</v>
      </c>
      <c r="AI5636">
        <v>92.206419028869206</v>
      </c>
      <c r="AJ5636">
        <v>91.243798319235793</v>
      </c>
      <c r="AK5636">
        <v>28.816398191273699</v>
      </c>
      <c r="AL5636">
        <v>78.014584470924703</v>
      </c>
      <c r="AM5636">
        <v>88.724459721026506</v>
      </c>
      <c r="AN5636">
        <v>1.00000000235523</v>
      </c>
    </row>
    <row r="5637" spans="1:40" x14ac:dyDescent="0.25">
      <c r="A5637" t="str">
        <f>"20190312172819551"</f>
        <v>20190312172819551</v>
      </c>
      <c r="B5637" t="str">
        <f>"1552382899545535"</f>
        <v>1552382899545535</v>
      </c>
      <c r="C5637" t="s">
        <v>40</v>
      </c>
      <c r="D5637">
        <v>3.4261750000000002</v>
      </c>
      <c r="E5637">
        <v>0.49267949999999999</v>
      </c>
      <c r="F5637" t="s">
        <v>60</v>
      </c>
      <c r="G5637">
        <v>-228.95179999999999</v>
      </c>
      <c r="H5637" s="1">
        <v>-3.2842210000000002E-6</v>
      </c>
      <c r="I5637">
        <v>-62.09825</v>
      </c>
      <c r="J5637">
        <v>-257.96370000000002</v>
      </c>
      <c r="K5637">
        <v>1.1094280000000001</v>
      </c>
      <c r="L5637">
        <v>-62.446319999999901</v>
      </c>
      <c r="M5637">
        <v>0.99994249999999996</v>
      </c>
      <c r="N5637">
        <v>0</v>
      </c>
      <c r="O5637">
        <v>-9.9013959999999998E-3</v>
      </c>
      <c r="P5637">
        <v>0.97852709999999998</v>
      </c>
      <c r="Q5637">
        <v>0.20372270000000001</v>
      </c>
      <c r="R5637">
        <v>-3.1334359999999999E-2</v>
      </c>
      <c r="S5637">
        <v>3.0915370000000002</v>
      </c>
      <c r="T5637">
        <v>-0.1176025</v>
      </c>
      <c r="U5637">
        <v>3.6773680000000003E-2</v>
      </c>
      <c r="V5637">
        <v>2.1308379999999998E-2</v>
      </c>
      <c r="W5637">
        <v>0.2077947</v>
      </c>
      <c r="X5637">
        <v>0.97794029999999998</v>
      </c>
      <c r="Y5637">
        <v>-2.17714E-2</v>
      </c>
      <c r="Z5637">
        <v>7.9043389999999998E-4</v>
      </c>
      <c r="AA5637">
        <v>0.9997627</v>
      </c>
      <c r="AB5637">
        <v>29</v>
      </c>
      <c r="AC5637">
        <v>29.011900000000001</v>
      </c>
      <c r="AD5637">
        <v>-1.1094312842209999</v>
      </c>
      <c r="AE5637">
        <v>0.348069999999992</v>
      </c>
      <c r="AF5637">
        <v>-0.63438612882786205</v>
      </c>
      <c r="AG5637">
        <v>-1.1094312842209999</v>
      </c>
      <c r="AH5637">
        <v>28.964681276578801</v>
      </c>
      <c r="AI5637">
        <v>92.192996792069593</v>
      </c>
      <c r="AJ5637">
        <v>91.254694885059095</v>
      </c>
      <c r="AK5637">
        <v>28.992861966157299</v>
      </c>
      <c r="AL5637">
        <v>78.006852225122799</v>
      </c>
      <c r="AM5637">
        <v>88.751777498078596</v>
      </c>
      <c r="AN5637">
        <v>0.99999995738520098</v>
      </c>
    </row>
    <row r="5638" spans="1:40" x14ac:dyDescent="0.25">
      <c r="A5638" t="str">
        <f>"20190312172819562"</f>
        <v>20190312172819562</v>
      </c>
      <c r="B5638" t="str">
        <f>"1552382899555295"</f>
        <v>1552382899555295</v>
      </c>
      <c r="C5638" t="s">
        <v>40</v>
      </c>
      <c r="D5638">
        <v>3.4703870000000001</v>
      </c>
      <c r="E5638">
        <v>0.49266850000000001</v>
      </c>
      <c r="F5638" t="s">
        <v>60</v>
      </c>
      <c r="G5638">
        <v>-228.75149999999999</v>
      </c>
      <c r="H5638" s="1">
        <v>-3.2129059999999999E-6</v>
      </c>
      <c r="I5638">
        <v>-62.074620000000003</v>
      </c>
      <c r="J5638">
        <v>-257.82170000000002</v>
      </c>
      <c r="K5638">
        <v>1.109434</v>
      </c>
      <c r="L5638">
        <v>-62.447330000000001</v>
      </c>
      <c r="M5638">
        <v>0.99994680000000002</v>
      </c>
      <c r="N5638">
        <v>0</v>
      </c>
      <c r="O5638">
        <v>-9.4612940000000003E-3</v>
      </c>
      <c r="P5638">
        <v>0.97862369999999999</v>
      </c>
      <c r="Q5638">
        <v>0.20337479999999999</v>
      </c>
      <c r="R5638">
        <v>-3.0576530000000001E-2</v>
      </c>
      <c r="S5638">
        <v>3.0915370000000002</v>
      </c>
      <c r="T5638">
        <v>-0.1174111</v>
      </c>
      <c r="U5638">
        <v>3.9337160000000003E-2</v>
      </c>
      <c r="V5638">
        <v>2.097864E-2</v>
      </c>
      <c r="W5638">
        <v>0.2074705</v>
      </c>
      <c r="X5638">
        <v>0.97801629999999995</v>
      </c>
      <c r="Y5638">
        <v>-2.216036E-2</v>
      </c>
      <c r="Z5638">
        <v>7.7982050000000003E-4</v>
      </c>
      <c r="AA5638">
        <v>0.99975409999999998</v>
      </c>
      <c r="AB5638">
        <v>29</v>
      </c>
      <c r="AC5638">
        <v>29.0702</v>
      </c>
      <c r="AD5638">
        <v>-1.1094372129059999</v>
      </c>
      <c r="AE5638">
        <v>0.37271000000001198</v>
      </c>
      <c r="AF5638">
        <v>-0.64679544752582996</v>
      </c>
      <c r="AG5638">
        <v>-1.1094372129059999</v>
      </c>
      <c r="AH5638">
        <v>29.023107370823499</v>
      </c>
      <c r="AI5638">
        <v>92.188579560596096</v>
      </c>
      <c r="AJ5638">
        <v>91.276655724957706</v>
      </c>
      <c r="AK5638">
        <v>29.0515052404978</v>
      </c>
      <c r="AL5638">
        <v>78.025841836084098</v>
      </c>
      <c r="AM5638">
        <v>88.771182818086103</v>
      </c>
      <c r="AN5638">
        <v>0.99999999738609402</v>
      </c>
    </row>
    <row r="5639" spans="1:40" x14ac:dyDescent="0.25">
      <c r="A5639" t="str">
        <f>"20190312172819573"</f>
        <v>20190312172819573</v>
      </c>
      <c r="B5639" t="str">
        <f>"1552382899565055"</f>
        <v>1552382899565055</v>
      </c>
      <c r="C5639" t="s">
        <v>40</v>
      </c>
      <c r="D5639">
        <v>3.4561679999999999</v>
      </c>
      <c r="E5639">
        <v>0.49266850000000001</v>
      </c>
      <c r="F5639" t="s">
        <v>60</v>
      </c>
      <c r="G5639">
        <v>-228.88919999999999</v>
      </c>
      <c r="H5639" s="1">
        <v>-3.2574470000000002E-6</v>
      </c>
      <c r="I5639">
        <v>-62.057180000000002</v>
      </c>
      <c r="J5639">
        <v>-257.67110000000002</v>
      </c>
      <c r="K5639">
        <v>1.1094389999999901</v>
      </c>
      <c r="L5639">
        <v>-62.448300000000003</v>
      </c>
      <c r="M5639">
        <v>0.99995089999999998</v>
      </c>
      <c r="N5639">
        <v>0</v>
      </c>
      <c r="O5639">
        <v>-8.9952060000000004E-3</v>
      </c>
      <c r="P5639">
        <v>0.97868869999999997</v>
      </c>
      <c r="Q5639">
        <v>0.20320969999999999</v>
      </c>
      <c r="R5639">
        <v>-2.956723E-2</v>
      </c>
      <c r="S5639">
        <v>3.0914760000000001</v>
      </c>
      <c r="T5639">
        <v>-0.11854480000000001</v>
      </c>
      <c r="U5639">
        <v>4.1687009999999997E-2</v>
      </c>
      <c r="V5639">
        <v>2.0423469999999999E-2</v>
      </c>
      <c r="W5639">
        <v>0.20732970000000001</v>
      </c>
      <c r="X5639">
        <v>0.97805790000000004</v>
      </c>
      <c r="Y5639">
        <v>-2.2454089999999999E-2</v>
      </c>
      <c r="Z5639">
        <v>7.751209E-4</v>
      </c>
      <c r="AA5639">
        <v>0.99974759999999996</v>
      </c>
      <c r="AB5639">
        <v>29</v>
      </c>
      <c r="AC5639">
        <v>28.7819</v>
      </c>
      <c r="AD5639">
        <v>-1.10944225744699</v>
      </c>
      <c r="AE5639">
        <v>0.39112000000000002</v>
      </c>
      <c r="AF5639">
        <v>-0.649041342827538</v>
      </c>
      <c r="AG5639">
        <v>-1.10944225744699</v>
      </c>
      <c r="AH5639">
        <v>28.734530416712499</v>
      </c>
      <c r="AI5639">
        <v>92.210532555768907</v>
      </c>
      <c r="AJ5639">
        <v>91.293948667395995</v>
      </c>
      <c r="AK5639">
        <v>28.763263984747699</v>
      </c>
      <c r="AL5639">
        <v>78.034088293820304</v>
      </c>
      <c r="AM5639">
        <v>88.803743014066995</v>
      </c>
      <c r="AN5639">
        <v>0.99999998919067001</v>
      </c>
    </row>
    <row r="5640" spans="1:40" x14ac:dyDescent="0.25">
      <c r="A5640" t="str">
        <f>"20190312172819584"</f>
        <v>20190312172819584</v>
      </c>
      <c r="B5640" t="str">
        <f>"1552382899574816"</f>
        <v>1552382899574816</v>
      </c>
      <c r="C5640" t="s">
        <v>40</v>
      </c>
      <c r="D5640">
        <v>3.445265</v>
      </c>
      <c r="E5640">
        <v>0.49549900000000002</v>
      </c>
      <c r="F5640" t="s">
        <v>60</v>
      </c>
      <c r="G5640">
        <v>-228.88140000000001</v>
      </c>
      <c r="H5640" s="1">
        <v>-3.2516599999999999E-6</v>
      </c>
      <c r="I5640">
        <v>-62.033650000000002</v>
      </c>
      <c r="J5640">
        <v>-257.52510000000001</v>
      </c>
      <c r="K5640">
        <v>1.109443</v>
      </c>
      <c r="L5640">
        <v>-62.449190000000002</v>
      </c>
      <c r="M5640">
        <v>0.99995480000000003</v>
      </c>
      <c r="N5640">
        <v>0</v>
      </c>
      <c r="O5640">
        <v>-8.5443769999999902E-3</v>
      </c>
      <c r="P5640">
        <v>0.97872510000000001</v>
      </c>
      <c r="Q5640">
        <v>0.20315820000000001</v>
      </c>
      <c r="R5640">
        <v>-2.8708879999999999E-2</v>
      </c>
      <c r="S5640">
        <v>3.0914000000000001</v>
      </c>
      <c r="T5640">
        <v>-0.119130399999999</v>
      </c>
      <c r="U5640">
        <v>4.4525149999999999E-2</v>
      </c>
      <c r="V5640">
        <v>2.0004069999999999E-2</v>
      </c>
      <c r="W5640">
        <v>0.20730209999999999</v>
      </c>
      <c r="X5640">
        <v>0.97807239999999995</v>
      </c>
      <c r="Y5640">
        <v>-2.29211E-2</v>
      </c>
      <c r="Z5640">
        <v>7.7059009999999996E-4</v>
      </c>
      <c r="AA5640">
        <v>0.99973699999999999</v>
      </c>
      <c r="AB5640">
        <v>30</v>
      </c>
      <c r="AC5640">
        <v>28.6436999999999</v>
      </c>
      <c r="AD5640">
        <v>-1.1094462516600001</v>
      </c>
      <c r="AE5640">
        <v>0.41553999999999902</v>
      </c>
      <c r="AF5640">
        <v>-0.65928067419640002</v>
      </c>
      <c r="AG5640">
        <v>-1.1094462516600001</v>
      </c>
      <c r="AH5640">
        <v>28.596212296487899</v>
      </c>
      <c r="AI5640">
        <v>92.221198417830493</v>
      </c>
      <c r="AJ5640">
        <v>91.320710214345198</v>
      </c>
      <c r="AK5640">
        <v>28.6253188575865</v>
      </c>
      <c r="AL5640">
        <v>78.0357045629423</v>
      </c>
      <c r="AM5640">
        <v>88.8283188337452</v>
      </c>
      <c r="AN5640">
        <v>0.999999971561367</v>
      </c>
    </row>
    <row r="5641" spans="1:40" x14ac:dyDescent="0.25">
      <c r="A5641" t="str">
        <f>"20190312172819596"</f>
        <v>20190312172819596</v>
      </c>
      <c r="B5641" t="str">
        <f>"1552382899585550"</f>
        <v>1552382899585550</v>
      </c>
      <c r="C5641" t="s">
        <v>40</v>
      </c>
      <c r="D5641">
        <v>3.4385979999999998</v>
      </c>
      <c r="E5641">
        <v>0.49625829999999999</v>
      </c>
      <c r="F5641" t="s">
        <v>59</v>
      </c>
      <c r="G5641">
        <v>-234.83150000000001</v>
      </c>
      <c r="H5641" s="1">
        <v>-1.5559499999999999E-6</v>
      </c>
      <c r="I5641">
        <v>-62.248119999999901</v>
      </c>
      <c r="J5641">
        <v>-257.37689999999998</v>
      </c>
      <c r="K5641">
        <v>1.109442</v>
      </c>
      <c r="L5641">
        <v>-62.450040000000001</v>
      </c>
      <c r="M5641">
        <v>0.99995829999999997</v>
      </c>
      <c r="N5641">
        <v>0</v>
      </c>
      <c r="O5641">
        <v>-8.0879469999999998E-3</v>
      </c>
      <c r="P5641">
        <v>0.97888459999999999</v>
      </c>
      <c r="Q5641">
        <v>0.20251130000000001</v>
      </c>
      <c r="R5641">
        <v>-2.7826730000000001E-2</v>
      </c>
      <c r="S5641">
        <v>3.0974879999999998</v>
      </c>
      <c r="T5641">
        <v>-0.15143010000000001</v>
      </c>
      <c r="U5641">
        <v>2.7435299999999999E-2</v>
      </c>
      <c r="V5641">
        <v>1.9566409999999999E-2</v>
      </c>
      <c r="W5641">
        <v>0.20668120000000001</v>
      </c>
      <c r="X5641">
        <v>0.97821270000000005</v>
      </c>
      <c r="Y5641">
        <v>-1.6914479999999999E-2</v>
      </c>
      <c r="Z5641">
        <v>8.0836690000000001E-4</v>
      </c>
      <c r="AA5641">
        <v>0.99985659999999998</v>
      </c>
      <c r="AB5641">
        <v>30</v>
      </c>
      <c r="AC5641">
        <v>22.545399999999901</v>
      </c>
      <c r="AD5641">
        <v>-1.10944355595</v>
      </c>
      <c r="AE5641">
        <v>0.20192000000000801</v>
      </c>
      <c r="AF5641">
        <v>-0.38333284785828298</v>
      </c>
      <c r="AG5641">
        <v>-1.10944355595</v>
      </c>
      <c r="AH5641">
        <v>22.488576457751702</v>
      </c>
      <c r="AI5641">
        <v>92.823910566164201</v>
      </c>
      <c r="AJ5641">
        <v>90.976550363541094</v>
      </c>
      <c r="AK5641">
        <v>22.519189154412999</v>
      </c>
      <c r="AL5641">
        <v>78.072067669018793</v>
      </c>
      <c r="AM5641">
        <v>88.854110931299502</v>
      </c>
      <c r="AN5641">
        <v>1.0000000246375</v>
      </c>
    </row>
    <row r="5642" spans="1:40" x14ac:dyDescent="0.25">
      <c r="A5642" t="str">
        <f>"20190312172819613"</f>
        <v>20190312172819613</v>
      </c>
      <c r="B5642" t="str">
        <f>"1552382899605071"</f>
        <v>1552382899605071</v>
      </c>
      <c r="C5642" t="s">
        <v>40</v>
      </c>
      <c r="D5642">
        <v>3.4432459999999998</v>
      </c>
      <c r="E5642">
        <v>0.4966583</v>
      </c>
      <c r="F5642" t="s">
        <v>59</v>
      </c>
      <c r="G5642">
        <v>-235.51150000000001</v>
      </c>
      <c r="H5642" s="1">
        <v>-1.85568E-6</v>
      </c>
      <c r="I5642">
        <v>-62.278309999999998</v>
      </c>
      <c r="J5642">
        <v>-257.14870000000002</v>
      </c>
      <c r="K5642">
        <v>1.10945</v>
      </c>
      <c r="L5642">
        <v>-62.451230000000002</v>
      </c>
      <c r="M5642">
        <v>0.99996370000000001</v>
      </c>
      <c r="N5642">
        <v>0</v>
      </c>
      <c r="O5642">
        <v>-7.3871509999999998E-3</v>
      </c>
      <c r="P5642">
        <v>0.97899499999999995</v>
      </c>
      <c r="Q5642">
        <v>0.2020942</v>
      </c>
      <c r="R5642">
        <v>-2.695755E-2</v>
      </c>
      <c r="S5642">
        <v>3.0979160000000001</v>
      </c>
      <c r="T5642">
        <v>-0.1571872</v>
      </c>
      <c r="U5642">
        <v>2.4322509999999999E-2</v>
      </c>
      <c r="V5642">
        <v>1.9380069999999999E-2</v>
      </c>
      <c r="W5642">
        <v>0.20630509999999999</v>
      </c>
      <c r="X5642">
        <v>0.97829569999999999</v>
      </c>
      <c r="Y5642">
        <v>-1.520872E-2</v>
      </c>
      <c r="Z5642">
        <v>7.6016729999999995E-4</v>
      </c>
      <c r="AA5642">
        <v>0.99988410000000005</v>
      </c>
      <c r="AB5642">
        <v>30</v>
      </c>
      <c r="AC5642">
        <v>21.6372</v>
      </c>
      <c r="AD5642">
        <v>-1.1094518556799999</v>
      </c>
      <c r="AE5642">
        <v>0.17292000000000399</v>
      </c>
      <c r="AF5642">
        <v>-0.33188147686205199</v>
      </c>
      <c r="AG5642">
        <v>-1.1094518556799999</v>
      </c>
      <c r="AH5642">
        <v>21.578602526409099</v>
      </c>
      <c r="AI5642">
        <v>92.942891619347293</v>
      </c>
      <c r="AJ5642">
        <v>90.881146439377503</v>
      </c>
      <c r="AK5642">
        <v>21.609653299567402</v>
      </c>
      <c r="AL5642">
        <v>78.094090107664897</v>
      </c>
      <c r="AM5642">
        <v>88.865117164277805</v>
      </c>
      <c r="AN5642">
        <v>0.99999992901884904</v>
      </c>
    </row>
    <row r="5643" spans="1:40" x14ac:dyDescent="0.25">
      <c r="A5643" t="str">
        <f>"20190312172819624"</f>
        <v>20190312172819624</v>
      </c>
      <c r="B5643" t="str">
        <f>"1552382899614831"</f>
        <v>1552382899614831</v>
      </c>
      <c r="C5643" t="s">
        <v>40</v>
      </c>
      <c r="D5643">
        <v>3.4546920000000001</v>
      </c>
      <c r="E5643">
        <v>0.49697760000000002</v>
      </c>
      <c r="F5643" t="s">
        <v>59</v>
      </c>
      <c r="G5643">
        <v>-235.721</v>
      </c>
      <c r="H5643" s="1">
        <v>-1.9475960000000001E-6</v>
      </c>
      <c r="I5643">
        <v>-62.285910000000001</v>
      </c>
      <c r="J5643">
        <v>-256.98939999999999</v>
      </c>
      <c r="K5643">
        <v>1.1094550000000001</v>
      </c>
      <c r="L5643">
        <v>-62.451970000000003</v>
      </c>
      <c r="M5643">
        <v>0.99996700000000005</v>
      </c>
      <c r="N5643">
        <v>0</v>
      </c>
      <c r="O5643">
        <v>-6.8994929999999996E-3</v>
      </c>
      <c r="P5643">
        <v>0.97900900000000002</v>
      </c>
      <c r="Q5643">
        <v>0.2021194</v>
      </c>
      <c r="R5643">
        <v>-2.6252749999999998E-2</v>
      </c>
      <c r="S5643">
        <v>3.0981450000000001</v>
      </c>
      <c r="T5643">
        <v>-0.16041179999999999</v>
      </c>
      <c r="U5643">
        <v>2.3895260000000001E-2</v>
      </c>
      <c r="V5643">
        <v>1.9150549999999999E-2</v>
      </c>
      <c r="W5643">
        <v>0.20635970000000001</v>
      </c>
      <c r="X5643">
        <v>0.97828879999999996</v>
      </c>
      <c r="Y5643">
        <v>-1.4582929999999999E-2</v>
      </c>
      <c r="Z5643">
        <v>7.3426250000000002E-4</v>
      </c>
      <c r="AA5643">
        <v>0.99989340000000004</v>
      </c>
      <c r="AB5643">
        <v>30</v>
      </c>
      <c r="AC5643">
        <v>21.2684</v>
      </c>
      <c r="AD5643">
        <v>-1.1094569475960001</v>
      </c>
      <c r="AE5643">
        <v>0.16605999999999399</v>
      </c>
      <c r="AF5643">
        <v>-0.31194976607199798</v>
      </c>
      <c r="AG5643">
        <v>-1.1094569475960001</v>
      </c>
      <c r="AH5643">
        <v>21.2090387280426</v>
      </c>
      <c r="AI5643">
        <v>92.994122400226203</v>
      </c>
      <c r="AJ5643">
        <v>90.8426650792495</v>
      </c>
      <c r="AK5643">
        <v>21.240327943389499</v>
      </c>
      <c r="AL5643">
        <v>78.090894094487695</v>
      </c>
      <c r="AM5643">
        <v>88.878546328237107</v>
      </c>
      <c r="AN5643">
        <v>1.00000002277741</v>
      </c>
    </row>
    <row r="5644" spans="1:40" x14ac:dyDescent="0.25">
      <c r="A5644" t="str">
        <f>"20190312172819641"</f>
        <v>20190312172819641</v>
      </c>
      <c r="B5644" t="str">
        <f>"1552382899635328"</f>
        <v>1552382899635328</v>
      </c>
      <c r="C5644" t="s">
        <v>40</v>
      </c>
      <c r="D5644">
        <v>3.4372280000000002</v>
      </c>
      <c r="E5644">
        <v>0.4974325</v>
      </c>
      <c r="F5644" t="s">
        <v>59</v>
      </c>
      <c r="G5644">
        <v>-235.66730000000001</v>
      </c>
      <c r="H5644" s="1">
        <v>-1.9258080000000001E-6</v>
      </c>
      <c r="I5644">
        <v>-62.290610000000001</v>
      </c>
      <c r="J5644">
        <v>-256.77440000000001</v>
      </c>
      <c r="K5644">
        <v>1.109467</v>
      </c>
      <c r="L5644">
        <v>-62.452820000000003</v>
      </c>
      <c r="M5644">
        <v>0.99997119999999995</v>
      </c>
      <c r="N5644">
        <v>0</v>
      </c>
      <c r="O5644">
        <v>-6.241496E-3</v>
      </c>
      <c r="P5644">
        <v>0.97908759999999995</v>
      </c>
      <c r="Q5644">
        <v>0.20185149999999999</v>
      </c>
      <c r="R5644">
        <v>-2.5376639999999999E-2</v>
      </c>
      <c r="S5644">
        <v>3.098236</v>
      </c>
      <c r="T5644">
        <v>-0.1612111</v>
      </c>
      <c r="U5644">
        <v>2.34375E-2</v>
      </c>
      <c r="V5644">
        <v>1.891526E-2</v>
      </c>
      <c r="W5644">
        <v>0.2061325</v>
      </c>
      <c r="X5644">
        <v>0.97834120000000002</v>
      </c>
      <c r="Y5644">
        <v>-1.377872E-2</v>
      </c>
      <c r="Z5644">
        <v>6.827723E-4</v>
      </c>
      <c r="AA5644">
        <v>0.99990480000000004</v>
      </c>
      <c r="AB5644">
        <v>30</v>
      </c>
      <c r="AC5644">
        <v>21.107099999999999</v>
      </c>
      <c r="AD5644">
        <v>-1.1094689258079999</v>
      </c>
      <c r="AE5644">
        <v>0.162209999999994</v>
      </c>
      <c r="AF5644">
        <v>-0.29313807037501199</v>
      </c>
      <c r="AG5644">
        <v>-1.1094689258079999</v>
      </c>
      <c r="AH5644">
        <v>21.0475265729822</v>
      </c>
      <c r="AI5644">
        <v>93.017122252474607</v>
      </c>
      <c r="AJ5644">
        <v>90.797931688077796</v>
      </c>
      <c r="AK5644">
        <v>21.078786162064201</v>
      </c>
      <c r="AL5644">
        <v>78.104196832220694</v>
      </c>
      <c r="AM5644">
        <v>88.892380737761798</v>
      </c>
      <c r="AN5644">
        <v>0.99999994911727697</v>
      </c>
    </row>
    <row r="5645" spans="1:40" x14ac:dyDescent="0.25">
      <c r="A5645" t="str">
        <f>"20190312172819651"</f>
        <v>20190312172819651</v>
      </c>
      <c r="B5645" t="str">
        <f>"1552382899645088"</f>
        <v>1552382899645088</v>
      </c>
      <c r="C5645" t="s">
        <v>40</v>
      </c>
      <c r="D5645">
        <v>3.4343689999999998</v>
      </c>
      <c r="E5645">
        <v>0.49760559999999998</v>
      </c>
      <c r="F5645" t="s">
        <v>59</v>
      </c>
      <c r="G5645">
        <v>-235.67750000000001</v>
      </c>
      <c r="H5645" s="1">
        <v>-1.932402E-6</v>
      </c>
      <c r="I5645">
        <v>-62.29898</v>
      </c>
      <c r="J5645">
        <v>-256.62490000000003</v>
      </c>
      <c r="K5645">
        <v>1.1094729999999999</v>
      </c>
      <c r="L5645">
        <v>-62.453339999999997</v>
      </c>
      <c r="M5645">
        <v>0.99997380000000002</v>
      </c>
      <c r="N5645">
        <v>0</v>
      </c>
      <c r="O5645">
        <v>-5.7844749999999999E-3</v>
      </c>
      <c r="P5645">
        <v>0.97907960000000005</v>
      </c>
      <c r="Q5645">
        <v>0.20196259999999999</v>
      </c>
      <c r="R5645">
        <v>-2.4793240000000001E-2</v>
      </c>
      <c r="S5645">
        <v>3.0982509999999999</v>
      </c>
      <c r="T5645">
        <v>-0.16293450000000001</v>
      </c>
      <c r="U5645">
        <v>2.2583010000000001E-2</v>
      </c>
      <c r="V5645">
        <v>1.8777160000000001E-2</v>
      </c>
      <c r="W5645">
        <v>0.2062734</v>
      </c>
      <c r="X5645">
        <v>0.97831420000000002</v>
      </c>
      <c r="Y5645">
        <v>-1.304699E-2</v>
      </c>
      <c r="Z5645">
        <v>6.4681419999999996E-4</v>
      </c>
      <c r="AA5645">
        <v>0.99991459999999999</v>
      </c>
      <c r="AB5645">
        <v>30</v>
      </c>
      <c r="AC5645">
        <v>20.947399999999998</v>
      </c>
      <c r="AD5645">
        <v>-1.1094749324019999</v>
      </c>
      <c r="AE5645">
        <v>0.154359999999996</v>
      </c>
      <c r="AF5645">
        <v>-0.27475754915115103</v>
      </c>
      <c r="AG5645">
        <v>-1.1094749324019999</v>
      </c>
      <c r="AH5645">
        <v>20.887564552878199</v>
      </c>
      <c r="AI5645">
        <v>93.040233121190596</v>
      </c>
      <c r="AJ5645">
        <v>90.753632144786195</v>
      </c>
      <c r="AK5645">
        <v>20.9188140028802</v>
      </c>
      <c r="AL5645">
        <v>78.095946992389003</v>
      </c>
      <c r="AM5645">
        <v>88.900435117028096</v>
      </c>
      <c r="AN5645">
        <v>0.99999998560343195</v>
      </c>
    </row>
    <row r="5646" spans="1:40" x14ac:dyDescent="0.25">
      <c r="A5646" t="str">
        <f>"20190312172819662"</f>
        <v>20190312172819662</v>
      </c>
      <c r="B5646" t="str">
        <f>"1552382899654847"</f>
        <v>1552382899654847</v>
      </c>
      <c r="C5646" t="s">
        <v>40</v>
      </c>
      <c r="D5646">
        <v>3.4402889999999999</v>
      </c>
      <c r="E5646">
        <v>0.49762689999999998</v>
      </c>
      <c r="F5646" t="s">
        <v>59</v>
      </c>
      <c r="G5646">
        <v>-235.52629999999999</v>
      </c>
      <c r="H5646" s="1">
        <v>-1.866799E-6</v>
      </c>
      <c r="I5646">
        <v>-62.296169999999996</v>
      </c>
      <c r="J5646">
        <v>-256.47660000000002</v>
      </c>
      <c r="K5646">
        <v>1.109475</v>
      </c>
      <c r="L5646">
        <v>-62.453769999999999</v>
      </c>
      <c r="M5646">
        <v>0.99997619999999998</v>
      </c>
      <c r="N5646">
        <v>0</v>
      </c>
      <c r="O5646">
        <v>-5.3315100000000002E-3</v>
      </c>
      <c r="P5646">
        <v>0.9791183</v>
      </c>
      <c r="Q5646">
        <v>0.20187250000000001</v>
      </c>
      <c r="R5646">
        <v>-2.397939E-2</v>
      </c>
      <c r="S5646">
        <v>3.0982970000000001</v>
      </c>
      <c r="T5646">
        <v>-0.16292490000000001</v>
      </c>
      <c r="U5646">
        <v>2.3071290000000001E-2</v>
      </c>
      <c r="V5646">
        <v>1.8404980000000001E-2</v>
      </c>
      <c r="W5646">
        <v>0.2062137</v>
      </c>
      <c r="X5646">
        <v>0.97833389999999998</v>
      </c>
      <c r="Y5646">
        <v>-1.275256E-2</v>
      </c>
      <c r="Z5646">
        <v>6.1522729999999998E-4</v>
      </c>
      <c r="AA5646">
        <v>0.99991850000000004</v>
      </c>
      <c r="AB5646">
        <v>30</v>
      </c>
      <c r="AC5646">
        <v>20.950299999999999</v>
      </c>
      <c r="AD5646">
        <v>-1.109476866799</v>
      </c>
      <c r="AE5646">
        <v>0.15760000000000199</v>
      </c>
      <c r="AF5646">
        <v>-0.26854247913280499</v>
      </c>
      <c r="AG5646">
        <v>-1.109476866799</v>
      </c>
      <c r="AH5646">
        <v>20.89057759604</v>
      </c>
      <c r="AI5646">
        <v>93.039812553009995</v>
      </c>
      <c r="AJ5646">
        <v>90.736480510797193</v>
      </c>
      <c r="AK5646">
        <v>20.921741951310501</v>
      </c>
      <c r="AL5646">
        <v>78.099443201207706</v>
      </c>
      <c r="AM5646">
        <v>88.922245974759406</v>
      </c>
      <c r="AN5646">
        <v>1.0000000266228399</v>
      </c>
    </row>
    <row r="5647" spans="1:40" x14ac:dyDescent="0.25">
      <c r="A5647" t="str">
        <f>"20190312172819674"</f>
        <v>20190312172819674</v>
      </c>
      <c r="B5647" t="str">
        <f>"1552382899665583"</f>
        <v>1552382899665583</v>
      </c>
      <c r="C5647" t="s">
        <v>40</v>
      </c>
      <c r="D5647">
        <v>3.458097</v>
      </c>
      <c r="E5647">
        <v>0.4973322</v>
      </c>
      <c r="F5647" t="s">
        <v>59</v>
      </c>
      <c r="G5647">
        <v>-235.45529999999999</v>
      </c>
      <c r="H5647" s="1">
        <v>-1.832453E-6</v>
      </c>
      <c r="I5647">
        <v>-62.281640000000003</v>
      </c>
      <c r="J5647">
        <v>-256.32369999999997</v>
      </c>
      <c r="K5647">
        <v>1.1094820000000001</v>
      </c>
      <c r="L5647">
        <v>-62.454160000000002</v>
      </c>
      <c r="M5647">
        <v>0.99997829999999999</v>
      </c>
      <c r="N5647">
        <v>0</v>
      </c>
      <c r="O5647">
        <v>-4.8641229999999997E-3</v>
      </c>
      <c r="P5647">
        <v>0.97914400000000001</v>
      </c>
      <c r="Q5647">
        <v>0.20178860000000001</v>
      </c>
      <c r="R5647">
        <v>-2.363148E-2</v>
      </c>
      <c r="S5647">
        <v>3.098312</v>
      </c>
      <c r="T5647">
        <v>-0.16352459999999999</v>
      </c>
      <c r="U5647">
        <v>2.5360110000000002E-2</v>
      </c>
      <c r="V5647">
        <v>1.8512629999999999E-2</v>
      </c>
      <c r="W5647">
        <v>0.20616190000000001</v>
      </c>
      <c r="X5647">
        <v>0.97834279999999996</v>
      </c>
      <c r="Y5647">
        <v>-1.302388E-2</v>
      </c>
      <c r="Z5647">
        <v>5.9998829999999997E-4</v>
      </c>
      <c r="AA5647">
        <v>0.999915</v>
      </c>
      <c r="AB5647">
        <v>30</v>
      </c>
      <c r="AC5647">
        <v>20.868399999999902</v>
      </c>
      <c r="AD5647">
        <v>-1.1094838324529901</v>
      </c>
      <c r="AE5647">
        <v>0.17251999999999101</v>
      </c>
      <c r="AF5647">
        <v>-0.27325310216774801</v>
      </c>
      <c r="AG5647">
        <v>-1.1094838324529901</v>
      </c>
      <c r="AH5647">
        <v>20.808500763500199</v>
      </c>
      <c r="AI5647">
        <v>93.051788296827795</v>
      </c>
      <c r="AJ5647">
        <v>90.752353560734804</v>
      </c>
      <c r="AK5647">
        <v>20.839849463393598</v>
      </c>
      <c r="AL5647">
        <v>78.102476462592804</v>
      </c>
      <c r="AM5647">
        <v>88.915953593348405</v>
      </c>
      <c r="AN5647">
        <v>1.0000000403964799</v>
      </c>
    </row>
    <row r="5648" spans="1:40" x14ac:dyDescent="0.25">
      <c r="A5648" t="str">
        <f>"20190312172819685"</f>
        <v>20190312172819685</v>
      </c>
      <c r="B5648" t="str">
        <f>"1552382899675343"</f>
        <v>1552382899675343</v>
      </c>
      <c r="C5648" t="s">
        <v>40</v>
      </c>
      <c r="D5648">
        <v>3.5143550000000001</v>
      </c>
      <c r="E5648">
        <v>0.4973322</v>
      </c>
      <c r="F5648" t="s">
        <v>59</v>
      </c>
      <c r="G5648">
        <v>-235.32560000000001</v>
      </c>
      <c r="H5648" s="1">
        <v>-1.77083E-6</v>
      </c>
      <c r="I5648">
        <v>-62.259059999999998</v>
      </c>
      <c r="J5648">
        <v>-256.17079999999999</v>
      </c>
      <c r="K5648">
        <v>1.1094869999999999</v>
      </c>
      <c r="L5648">
        <v>-62.454469999999901</v>
      </c>
      <c r="M5648">
        <v>0.99998039999999999</v>
      </c>
      <c r="N5648">
        <v>0</v>
      </c>
      <c r="O5648">
        <v>-4.397453E-3</v>
      </c>
      <c r="P5648">
        <v>0.97914400000000001</v>
      </c>
      <c r="Q5648">
        <v>0.2018906</v>
      </c>
      <c r="R5648">
        <v>-2.2744449999999999E-2</v>
      </c>
      <c r="S5648">
        <v>3.098328</v>
      </c>
      <c r="T5648">
        <v>-0.16370770000000001</v>
      </c>
      <c r="U5648">
        <v>2.8778080000000001E-2</v>
      </c>
      <c r="V5648">
        <v>1.8080470000000001E-2</v>
      </c>
      <c r="W5648">
        <v>0.2062958</v>
      </c>
      <c r="X5648">
        <v>0.97832260000000004</v>
      </c>
      <c r="Y5648">
        <v>-1.3659889999999999E-2</v>
      </c>
      <c r="Z5648">
        <v>5.9280390000000002E-4</v>
      </c>
      <c r="AA5648">
        <v>0.99990650000000003</v>
      </c>
      <c r="AB5648">
        <v>30</v>
      </c>
      <c r="AC5648">
        <v>20.845199999999899</v>
      </c>
      <c r="AD5648">
        <v>-1.1094887708299901</v>
      </c>
      <c r="AE5648">
        <v>0.195409999999995</v>
      </c>
      <c r="AF5648">
        <v>-0.28626391783803601</v>
      </c>
      <c r="AG5648">
        <v>-1.1094887708299901</v>
      </c>
      <c r="AH5648">
        <v>20.785261407720899</v>
      </c>
      <c r="AI5648">
        <v>93.055181243898602</v>
      </c>
      <c r="AJ5648">
        <v>90.789053218427199</v>
      </c>
      <c r="AK5648">
        <v>20.816820221891302</v>
      </c>
      <c r="AL5648">
        <v>78.094635349986206</v>
      </c>
      <c r="AM5648">
        <v>88.941231956251698</v>
      </c>
      <c r="AN5648">
        <v>0.99999998508191001</v>
      </c>
    </row>
    <row r="5649" spans="1:40" x14ac:dyDescent="0.25">
      <c r="A5649" t="str">
        <f>"20190312172819696"</f>
        <v>20190312172819696</v>
      </c>
      <c r="B5649" t="str">
        <f>"1552382899685104"</f>
        <v>1552382899685104</v>
      </c>
      <c r="C5649" t="s">
        <v>40</v>
      </c>
      <c r="D5649">
        <v>3.5001449999999998</v>
      </c>
      <c r="E5649">
        <v>0.4744795</v>
      </c>
      <c r="F5649" t="s">
        <v>59</v>
      </c>
      <c r="G5649">
        <v>-235.12799999999999</v>
      </c>
      <c r="H5649" s="1">
        <v>-1.6805489999999999E-6</v>
      </c>
      <c r="I5649">
        <v>-62.238430000000001</v>
      </c>
      <c r="J5649">
        <v>-256.02659999999997</v>
      </c>
      <c r="K5649">
        <v>1.10949599999999</v>
      </c>
      <c r="L5649">
        <v>-62.454709999999999</v>
      </c>
      <c r="M5649">
        <v>0.99998209999999998</v>
      </c>
      <c r="N5649">
        <v>0</v>
      </c>
      <c r="O5649">
        <v>-3.9567710000000004E-3</v>
      </c>
      <c r="P5649">
        <v>0.97908229999999996</v>
      </c>
      <c r="Q5649">
        <v>0.20223840000000001</v>
      </c>
      <c r="R5649">
        <v>-2.2306400000000001E-2</v>
      </c>
      <c r="S5649">
        <v>3.098328</v>
      </c>
      <c r="T5649">
        <v>-0.16335999999999901</v>
      </c>
      <c r="U5649">
        <v>3.1799319999999999E-2</v>
      </c>
      <c r="V5649">
        <v>1.8071799999999999E-2</v>
      </c>
      <c r="W5649">
        <v>0.2066751</v>
      </c>
      <c r="X5649">
        <v>0.97824270000000002</v>
      </c>
      <c r="Y5649">
        <v>-1.4194150000000001E-2</v>
      </c>
      <c r="Z5649">
        <v>5.8239960000000003E-4</v>
      </c>
      <c r="AA5649">
        <v>0.99989910000000004</v>
      </c>
      <c r="AB5649">
        <v>30</v>
      </c>
      <c r="AC5649">
        <v>20.898599999999899</v>
      </c>
      <c r="AD5649">
        <v>-1.10949768054899</v>
      </c>
      <c r="AE5649">
        <v>0.21627999999999001</v>
      </c>
      <c r="AF5649">
        <v>-0.29812992427438101</v>
      </c>
      <c r="AG5649">
        <v>-1.10949768054899</v>
      </c>
      <c r="AH5649">
        <v>20.838852556204699</v>
      </c>
      <c r="AI5649">
        <v>93.047340707693394</v>
      </c>
      <c r="AJ5649">
        <v>90.819643073756595</v>
      </c>
      <c r="AK5649">
        <v>20.870496937402599</v>
      </c>
      <c r="AL5649">
        <v>78.072424388168997</v>
      </c>
      <c r="AM5649">
        <v>88.941653128365203</v>
      </c>
      <c r="AN5649">
        <v>0.999999983509269</v>
      </c>
    </row>
    <row r="5650" spans="1:40" x14ac:dyDescent="0.25">
      <c r="A5650" t="str">
        <f>"20190312172819706"</f>
        <v>20190312172819706</v>
      </c>
      <c r="B5650" t="str">
        <f>"1552382899694863"</f>
        <v>1552382899694863</v>
      </c>
      <c r="C5650" t="s">
        <v>40</v>
      </c>
      <c r="D5650">
        <v>3.386031</v>
      </c>
      <c r="E5650">
        <v>0.47349160000000001</v>
      </c>
      <c r="F5650" t="s">
        <v>59</v>
      </c>
      <c r="G5650">
        <v>-236.32169999999999</v>
      </c>
      <c r="H5650" s="1">
        <v>-1.8825599999999999E-6</v>
      </c>
      <c r="I5650">
        <v>-61.073090000000001</v>
      </c>
      <c r="J5650">
        <v>-255.88210000000001</v>
      </c>
      <c r="K5650">
        <v>1.109505</v>
      </c>
      <c r="L5650">
        <v>-62.454900000000002</v>
      </c>
      <c r="M5650">
        <v>0.99998370000000003</v>
      </c>
      <c r="N5650">
        <v>0</v>
      </c>
      <c r="O5650">
        <v>-3.5156129999999999E-3</v>
      </c>
      <c r="P5650">
        <v>0.97913740000000005</v>
      </c>
      <c r="Q5650">
        <v>0.20204739999999999</v>
      </c>
      <c r="R5650">
        <v>-2.1611990000000001E-2</v>
      </c>
      <c r="S5650">
        <v>3.1051639999999998</v>
      </c>
      <c r="T5650">
        <v>-0.17483850000000001</v>
      </c>
      <c r="U5650">
        <v>0.2177124</v>
      </c>
      <c r="V5650">
        <v>1.7807750000000001E-2</v>
      </c>
      <c r="W5650">
        <v>0.20651649999999999</v>
      </c>
      <c r="X5650">
        <v>0.97828110000000001</v>
      </c>
      <c r="Y5650">
        <v>-7.3326820000000001E-2</v>
      </c>
      <c r="Z5650">
        <v>2.257762E-3</v>
      </c>
      <c r="AA5650">
        <v>0.99730540000000001</v>
      </c>
      <c r="AB5650">
        <v>30</v>
      </c>
      <c r="AC5650">
        <v>19.560400000000001</v>
      </c>
      <c r="AD5650">
        <v>-1.1095068825600001</v>
      </c>
      <c r="AE5650">
        <v>1.38181</v>
      </c>
      <c r="AF5650">
        <v>-1.4459398927264</v>
      </c>
      <c r="AG5650">
        <v>-1.1095068825600001</v>
      </c>
      <c r="AH5650">
        <v>19.4930158376736</v>
      </c>
      <c r="AI5650">
        <v>93.248750004448297</v>
      </c>
      <c r="AJ5650">
        <v>94.242278669436999</v>
      </c>
      <c r="AK5650">
        <v>19.578033970335799</v>
      </c>
      <c r="AL5650">
        <v>78.081712615237706</v>
      </c>
      <c r="AM5650">
        <v>88.957154292444102</v>
      </c>
      <c r="AN5650">
        <v>1.00000004567476</v>
      </c>
    </row>
    <row r="5651" spans="1:40" x14ac:dyDescent="0.25">
      <c r="A5651" t="str">
        <f>"20190312172819719"</f>
        <v>20190312172819719</v>
      </c>
      <c r="B5651" t="str">
        <f>"1552382899715359"</f>
        <v>1552382899715359</v>
      </c>
      <c r="C5651" t="s">
        <v>40</v>
      </c>
      <c r="D5651">
        <v>3.5047670000000002</v>
      </c>
      <c r="E5651">
        <v>0.47235149999999998</v>
      </c>
      <c r="F5651" t="s">
        <v>59</v>
      </c>
      <c r="G5651">
        <v>-234.78970000000001</v>
      </c>
      <c r="H5651" s="1">
        <v>-1.183032E-6</v>
      </c>
      <c r="I5651">
        <v>-60.913980000000002</v>
      </c>
      <c r="J5651">
        <v>-255.727</v>
      </c>
      <c r="K5651">
        <v>1.1095120000000001</v>
      </c>
      <c r="L5651">
        <v>-62.454990000000002</v>
      </c>
      <c r="M5651">
        <v>0.99998500000000001</v>
      </c>
      <c r="N5651">
        <v>0</v>
      </c>
      <c r="O5651">
        <v>-3.041677E-3</v>
      </c>
      <c r="P5651">
        <v>0.97910430000000004</v>
      </c>
      <c r="Q5651">
        <v>0.20229810000000001</v>
      </c>
      <c r="R5651">
        <v>-2.0752039999999999E-2</v>
      </c>
      <c r="S5651">
        <v>3.1026150000000001</v>
      </c>
      <c r="T5651">
        <v>-0.1632043</v>
      </c>
      <c r="U5651">
        <v>0.2266541</v>
      </c>
      <c r="V5651">
        <v>1.7409689999999998E-2</v>
      </c>
      <c r="W5651">
        <v>0.2068015</v>
      </c>
      <c r="X5651">
        <v>0.97822799999999999</v>
      </c>
      <c r="Y5651">
        <v>-7.5783310000000007E-2</v>
      </c>
      <c r="Z5651">
        <v>2.1488430000000001E-3</v>
      </c>
      <c r="AA5651">
        <v>0.99712199999999995</v>
      </c>
      <c r="AB5651">
        <v>30</v>
      </c>
      <c r="AC5651">
        <v>20.9373</v>
      </c>
      <c r="AD5651">
        <v>-1.109513183032</v>
      </c>
      <c r="AE5651">
        <v>1.54101</v>
      </c>
      <c r="AF5651">
        <v>-1.6002185598696399</v>
      </c>
      <c r="AG5651">
        <v>-1.109513183032</v>
      </c>
      <c r="AH5651">
        <v>20.874213308487199</v>
      </c>
      <c r="AI5651">
        <v>93.033657112633506</v>
      </c>
      <c r="AJ5651">
        <v>94.383724254349602</v>
      </c>
      <c r="AK5651">
        <v>20.964839617581099</v>
      </c>
      <c r="AL5651">
        <v>78.065022353233303</v>
      </c>
      <c r="AM5651">
        <v>88.9804049120944</v>
      </c>
      <c r="AN5651">
        <v>0.999999988846072</v>
      </c>
    </row>
    <row r="5652" spans="1:40" x14ac:dyDescent="0.25">
      <c r="A5652" t="str">
        <f>"20190312172819730"</f>
        <v>20190312172819730</v>
      </c>
      <c r="B5652" t="str">
        <f>"1552382899725627"</f>
        <v>1552382899725627</v>
      </c>
      <c r="C5652" t="s">
        <v>40</v>
      </c>
      <c r="D5652">
        <v>3.4696959999999999</v>
      </c>
      <c r="E5652">
        <v>0.47174880000000002</v>
      </c>
      <c r="F5652" t="s">
        <v>59</v>
      </c>
      <c r="G5652">
        <v>-233.72989999999999</v>
      </c>
      <c r="H5652" s="1">
        <v>-6.8978680000000002E-7</v>
      </c>
      <c r="I5652">
        <v>-60.768990000000002</v>
      </c>
      <c r="J5652">
        <v>-255.57</v>
      </c>
      <c r="K5652">
        <v>1.109524</v>
      </c>
      <c r="L5652">
        <v>-62.455019999999998</v>
      </c>
      <c r="M5652">
        <v>0.99998609999999999</v>
      </c>
      <c r="N5652">
        <v>0</v>
      </c>
      <c r="O5652">
        <v>-2.561902E-3</v>
      </c>
      <c r="P5652">
        <v>0.97914900000000005</v>
      </c>
      <c r="Q5652">
        <v>0.20216890000000001</v>
      </c>
      <c r="R5652">
        <v>-1.987338E-2</v>
      </c>
      <c r="S5652">
        <v>3.1013790000000001</v>
      </c>
      <c r="T5652">
        <v>-0.1564305</v>
      </c>
      <c r="U5652">
        <v>0.23770140000000001</v>
      </c>
      <c r="V5652">
        <v>1.6999110000000001E-2</v>
      </c>
      <c r="W5652">
        <v>0.20670830000000001</v>
      </c>
      <c r="X5652">
        <v>0.97825490000000004</v>
      </c>
      <c r="Y5652">
        <v>-7.8870910000000002E-2</v>
      </c>
      <c r="Z5652">
        <v>2.1138699999999999E-3</v>
      </c>
      <c r="AA5652">
        <v>0.99688259999999995</v>
      </c>
      <c r="AB5652">
        <v>30</v>
      </c>
      <c r="AC5652">
        <v>21.8401</v>
      </c>
      <c r="AD5652">
        <v>-1.1095246897868001</v>
      </c>
      <c r="AE5652">
        <v>1.6860299999999899</v>
      </c>
      <c r="AF5652">
        <v>-1.73751952619701</v>
      </c>
      <c r="AG5652">
        <v>-1.1095246897868001</v>
      </c>
      <c r="AH5652">
        <v>21.7798311216313</v>
      </c>
      <c r="AI5652">
        <v>92.907063972472997</v>
      </c>
      <c r="AJ5652">
        <v>94.561199028340695</v>
      </c>
      <c r="AK5652">
        <v>21.877181327308602</v>
      </c>
      <c r="AL5652">
        <v>78.070480024294298</v>
      </c>
      <c r="AM5652">
        <v>89.004472921700099</v>
      </c>
      <c r="AN5652">
        <v>0.99999997020184495</v>
      </c>
    </row>
    <row r="5653" spans="1:40" x14ac:dyDescent="0.25">
      <c r="A5653" t="str">
        <f>"20190312172819741"</f>
        <v>20190312172819741</v>
      </c>
      <c r="B5653" t="str">
        <f>"1552382899735387"</f>
        <v>1552382899735387</v>
      </c>
      <c r="C5653" t="s">
        <v>40</v>
      </c>
      <c r="D5653">
        <v>3.4713069999999999</v>
      </c>
      <c r="E5653">
        <v>0.471354</v>
      </c>
      <c r="F5653" t="s">
        <v>59</v>
      </c>
      <c r="G5653">
        <v>-233.53270000000001</v>
      </c>
      <c r="H5653" s="1">
        <v>-5.9015489999999996E-7</v>
      </c>
      <c r="I5653">
        <v>-60.712429999999998</v>
      </c>
      <c r="J5653">
        <v>-255.41739999999999</v>
      </c>
      <c r="K5653">
        <v>1.109532</v>
      </c>
      <c r="L5653">
        <v>-62.454990000000002</v>
      </c>
      <c r="M5653">
        <v>0.99998699999999996</v>
      </c>
      <c r="N5653">
        <v>0</v>
      </c>
      <c r="O5653">
        <v>-2.0955980000000002E-3</v>
      </c>
      <c r="P5653">
        <v>0.97913760000000005</v>
      </c>
      <c r="Q5653">
        <v>0.20230049999999999</v>
      </c>
      <c r="R5653">
        <v>-1.9085000000000001E-2</v>
      </c>
      <c r="S5653">
        <v>3.101089</v>
      </c>
      <c r="T5653">
        <v>-0.1561322</v>
      </c>
      <c r="U5653">
        <v>0.2452087</v>
      </c>
      <c r="V5653">
        <v>1.6665340000000001E-2</v>
      </c>
      <c r="W5653">
        <v>0.2068757</v>
      </c>
      <c r="X5653">
        <v>0.97822529999999996</v>
      </c>
      <c r="Y5653">
        <v>-8.0810350000000003E-2</v>
      </c>
      <c r="Z5653">
        <v>2.1351320000000001E-3</v>
      </c>
      <c r="AA5653">
        <v>0.99672720000000004</v>
      </c>
      <c r="AB5653">
        <v>30</v>
      </c>
      <c r="AC5653">
        <v>21.884699999999899</v>
      </c>
      <c r="AD5653">
        <v>-1.1095325901549</v>
      </c>
      <c r="AE5653">
        <v>1.7425599999999899</v>
      </c>
      <c r="AF5653">
        <v>-1.78386187044912</v>
      </c>
      <c r="AG5653">
        <v>-1.1095325901549</v>
      </c>
      <c r="AH5653">
        <v>21.8252542306941</v>
      </c>
      <c r="AI5653">
        <v>92.900589945359002</v>
      </c>
      <c r="AJ5653">
        <v>94.672617616556195</v>
      </c>
      <c r="AK5653">
        <v>21.9261247824573</v>
      </c>
      <c r="AL5653">
        <v>78.060677334125799</v>
      </c>
      <c r="AM5653">
        <v>89.023986309953699</v>
      </c>
      <c r="AN5653">
        <v>1.0000000131839399</v>
      </c>
    </row>
    <row r="5654" spans="1:40" x14ac:dyDescent="0.25">
      <c r="A5654" t="str">
        <f>"20190312172819751"</f>
        <v>20190312172819751</v>
      </c>
      <c r="B5654" t="str">
        <f>"1552382899745146"</f>
        <v>1552382899745146</v>
      </c>
      <c r="C5654" t="s">
        <v>40</v>
      </c>
      <c r="D5654">
        <v>3.4006199999999902</v>
      </c>
      <c r="E5654">
        <v>0.47136670000000003</v>
      </c>
      <c r="F5654" t="s">
        <v>59</v>
      </c>
      <c r="G5654">
        <v>-233.23439999999999</v>
      </c>
      <c r="H5654" s="1">
        <v>-4.4878049999999999E-7</v>
      </c>
      <c r="I5654">
        <v>-60.662100000000002</v>
      </c>
      <c r="J5654">
        <v>-255.26820000000001</v>
      </c>
      <c r="K5654">
        <v>1.1095410000000001</v>
      </c>
      <c r="L5654">
        <v>-62.454929999999997</v>
      </c>
      <c r="M5654">
        <v>0.99998770000000003</v>
      </c>
      <c r="N5654">
        <v>0</v>
      </c>
      <c r="O5654">
        <v>-1.6396659999999999E-3</v>
      </c>
      <c r="P5654">
        <v>0.97913620000000001</v>
      </c>
      <c r="Q5654">
        <v>0.20237849999999999</v>
      </c>
      <c r="R5654">
        <v>-1.83118E-2</v>
      </c>
      <c r="S5654">
        <v>3.1008450000000001</v>
      </c>
      <c r="T5654">
        <v>-0.1550957</v>
      </c>
      <c r="U5654">
        <v>0.25061040000000001</v>
      </c>
      <c r="V5654">
        <v>1.6336750000000001E-2</v>
      </c>
      <c r="W5654">
        <v>0.20698910000000001</v>
      </c>
      <c r="X5654">
        <v>0.97820689999999999</v>
      </c>
      <c r="Y5654">
        <v>-8.2087610000000005E-2</v>
      </c>
      <c r="Z5654">
        <v>2.130112E-3</v>
      </c>
      <c r="AA5654">
        <v>0.99662289999999998</v>
      </c>
      <c r="AB5654">
        <v>30</v>
      </c>
      <c r="AC5654">
        <v>22.033799999999999</v>
      </c>
      <c r="AD5654">
        <v>-1.1095414487805</v>
      </c>
      <c r="AE5654">
        <v>1.7928299999999999</v>
      </c>
      <c r="AF5654">
        <v>-1.8243603438467899</v>
      </c>
      <c r="AG5654">
        <v>-1.1095414487805</v>
      </c>
      <c r="AH5654">
        <v>21.9754726723875</v>
      </c>
      <c r="AI5654">
        <v>92.880516595887499</v>
      </c>
      <c r="AJ5654">
        <v>94.745699989094902</v>
      </c>
      <c r="AK5654">
        <v>22.0789667345556</v>
      </c>
      <c r="AL5654">
        <v>78.0540367921582</v>
      </c>
      <c r="AM5654">
        <v>89.043208735345104</v>
      </c>
      <c r="AN5654">
        <v>1.00000005806348</v>
      </c>
    </row>
    <row r="5655" spans="1:40" x14ac:dyDescent="0.25">
      <c r="A5655" t="str">
        <f>"20190312172819763"</f>
        <v>20190312172819763</v>
      </c>
      <c r="B5655" t="str">
        <f>"1552382899754907"</f>
        <v>1552382899754907</v>
      </c>
      <c r="C5655" t="s">
        <v>40</v>
      </c>
      <c r="D5655">
        <v>3.5322840000000002</v>
      </c>
      <c r="E5655">
        <v>0.47154439999999997</v>
      </c>
      <c r="F5655" t="s">
        <v>59</v>
      </c>
      <c r="G5655">
        <v>-232.74189999999999</v>
      </c>
      <c r="H5655" s="1">
        <v>-2.2609999999999999E-7</v>
      </c>
      <c r="I5655">
        <v>-60.619269999999901</v>
      </c>
      <c r="J5655">
        <v>-255.11340000000001</v>
      </c>
      <c r="K5655">
        <v>1.109551</v>
      </c>
      <c r="L5655">
        <v>-62.454709999999999</v>
      </c>
      <c r="M5655">
        <v>0.99998830000000005</v>
      </c>
      <c r="N5655">
        <v>0</v>
      </c>
      <c r="O5655">
        <v>-1.167167E-3</v>
      </c>
      <c r="P5655">
        <v>0.97912650000000001</v>
      </c>
      <c r="Q5655">
        <v>0.20249210000000001</v>
      </c>
      <c r="R5655">
        <v>-1.7574739999999998E-2</v>
      </c>
      <c r="S5655">
        <v>3.1001889999999999</v>
      </c>
      <c r="T5655">
        <v>-0.1527009</v>
      </c>
      <c r="U5655">
        <v>0.25262449999999997</v>
      </c>
      <c r="V5655">
        <v>1.6060310000000001E-2</v>
      </c>
      <c r="W5655">
        <v>0.20713980000000001</v>
      </c>
      <c r="X5655">
        <v>0.97817949999999998</v>
      </c>
      <c r="Y5655">
        <v>-8.228038E-2</v>
      </c>
      <c r="Z5655">
        <v>2.0791630000000002E-3</v>
      </c>
      <c r="AA5655">
        <v>0.99660709999999997</v>
      </c>
      <c r="AB5655">
        <v>31</v>
      </c>
      <c r="AC5655">
        <v>22.371500000000001</v>
      </c>
      <c r="AD5655">
        <v>-1.1095512261</v>
      </c>
      <c r="AE5655">
        <v>1.83544</v>
      </c>
      <c r="AF5655">
        <v>-1.8570129260149599</v>
      </c>
      <c r="AG5655">
        <v>-1.1095512261</v>
      </c>
      <c r="AH5655">
        <v>22.314818893360201</v>
      </c>
      <c r="AI5655">
        <v>92.836762080607102</v>
      </c>
      <c r="AJ5655">
        <v>94.757125821930003</v>
      </c>
      <c r="AK5655">
        <v>22.419427806574198</v>
      </c>
      <c r="AL5655">
        <v>78.045210121285294</v>
      </c>
      <c r="AM5655">
        <v>89.059369666635604</v>
      </c>
      <c r="AN5655">
        <v>0.99999998226079201</v>
      </c>
    </row>
    <row r="5656" spans="1:40" x14ac:dyDescent="0.25">
      <c r="A5656" t="str">
        <f>"20190312172819774"</f>
        <v>20190312172819774</v>
      </c>
      <c r="B5656" t="str">
        <f>"1552382899765644"</f>
        <v>1552382899765644</v>
      </c>
      <c r="C5656" t="s">
        <v>40</v>
      </c>
      <c r="D5656">
        <v>3.3820700000000001</v>
      </c>
      <c r="E5656">
        <v>0.47164030000000001</v>
      </c>
      <c r="F5656" t="s">
        <v>59</v>
      </c>
      <c r="G5656">
        <v>-232.36779999999999</v>
      </c>
      <c r="H5656" s="1">
        <v>-5.9396140000000003E-8</v>
      </c>
      <c r="I5656">
        <v>-60.595799999999997</v>
      </c>
      <c r="J5656">
        <v>-254.9572</v>
      </c>
      <c r="K5656">
        <v>1.109558</v>
      </c>
      <c r="L5656">
        <v>-62.454469999999901</v>
      </c>
      <c r="M5656">
        <v>0.99998860000000001</v>
      </c>
      <c r="N5656">
        <v>0</v>
      </c>
      <c r="O5656">
        <v>-6.9049720000000005E-4</v>
      </c>
      <c r="P5656">
        <v>0.97910459999999999</v>
      </c>
      <c r="Q5656">
        <v>0.20267080000000001</v>
      </c>
      <c r="R5656">
        <v>-1.670439E-2</v>
      </c>
      <c r="S5656">
        <v>3.099777</v>
      </c>
      <c r="T5656">
        <v>-0.15121039999999999</v>
      </c>
      <c r="U5656">
        <v>0.25332640000000001</v>
      </c>
      <c r="V5656">
        <v>1.5654870000000001E-2</v>
      </c>
      <c r="W5656">
        <v>0.20735580000000001</v>
      </c>
      <c r="X5656">
        <v>0.97814040000000002</v>
      </c>
      <c r="Y5656">
        <v>-8.2042980000000001E-2</v>
      </c>
      <c r="Z5656">
        <v>2.0301680000000002E-3</v>
      </c>
      <c r="AA5656">
        <v>0.99662669999999998</v>
      </c>
      <c r="AB5656">
        <v>31</v>
      </c>
      <c r="AC5656">
        <v>22.589400000000001</v>
      </c>
      <c r="AD5656">
        <v>-1.1095580593961301</v>
      </c>
      <c r="AE5656">
        <v>1.8586699999999901</v>
      </c>
      <c r="AF5656">
        <v>-1.8697868803052999</v>
      </c>
      <c r="AG5656">
        <v>-1.1095580593961301</v>
      </c>
      <c r="AH5656">
        <v>22.534110321110301</v>
      </c>
      <c r="AI5656">
        <v>92.809273989488801</v>
      </c>
      <c r="AJ5656">
        <v>94.743299864762903</v>
      </c>
      <c r="AK5656">
        <v>22.6387576962364</v>
      </c>
      <c r="AL5656">
        <v>78.032560665018707</v>
      </c>
      <c r="AM5656">
        <v>89.083074979881999</v>
      </c>
      <c r="AN5656">
        <v>1.00000007243025</v>
      </c>
    </row>
    <row r="5657" spans="1:40" x14ac:dyDescent="0.25">
      <c r="A5657" t="str">
        <f>"20190312172819785"</f>
        <v>20190312172819785</v>
      </c>
      <c r="B5657" t="str">
        <f>"1552382899775404"</f>
        <v>1552382899775404</v>
      </c>
      <c r="C5657" t="s">
        <v>40</v>
      </c>
      <c r="D5657">
        <v>3.3734139999999999</v>
      </c>
      <c r="E5657">
        <v>0.47173860000000001</v>
      </c>
      <c r="F5657" t="s">
        <v>59</v>
      </c>
      <c r="G5657">
        <v>-232.0128</v>
      </c>
      <c r="H5657" s="1">
        <v>1.0086029999999999E-7</v>
      </c>
      <c r="I5657">
        <v>-60.565959999999997</v>
      </c>
      <c r="J5657">
        <v>-254.80690000000001</v>
      </c>
      <c r="K5657">
        <v>1.1095649999999999</v>
      </c>
      <c r="L5657">
        <v>-62.454160000000002</v>
      </c>
      <c r="M5657">
        <v>0.99998860000000001</v>
      </c>
      <c r="N5657">
        <v>0</v>
      </c>
      <c r="O5657">
        <v>-2.3218499999999999E-4</v>
      </c>
      <c r="P5657">
        <v>0.97906329999999997</v>
      </c>
      <c r="Q5657">
        <v>0.2029466</v>
      </c>
      <c r="R5657">
        <v>-1.575317E-2</v>
      </c>
      <c r="S5657">
        <v>3.099396</v>
      </c>
      <c r="T5657">
        <v>-0.1498826</v>
      </c>
      <c r="U5657">
        <v>0.2550964</v>
      </c>
      <c r="V5657">
        <v>1.515033E-2</v>
      </c>
      <c r="W5657">
        <v>0.2076674</v>
      </c>
      <c r="X5657">
        <v>0.97808220000000001</v>
      </c>
      <c r="Y5657">
        <v>-8.2163620000000007E-2</v>
      </c>
      <c r="Z5657">
        <v>1.9933580000000002E-3</v>
      </c>
      <c r="AA5657">
        <v>0.99661679999999997</v>
      </c>
      <c r="AB5657">
        <v>31</v>
      </c>
      <c r="AC5657">
        <v>22.7941</v>
      </c>
      <c r="AD5657">
        <v>-1.1095648991397</v>
      </c>
      <c r="AE5657">
        <v>1.8881999999999901</v>
      </c>
      <c r="AF5657">
        <v>-1.8890468276408601</v>
      </c>
      <c r="AG5657">
        <v>-1.1095648991397</v>
      </c>
      <c r="AH5657">
        <v>22.740144950258301</v>
      </c>
      <c r="AI5657">
        <v>92.783856412097705</v>
      </c>
      <c r="AJ5657">
        <v>94.748715050189801</v>
      </c>
      <c r="AK5657">
        <v>22.845433341067999</v>
      </c>
      <c r="AL5657">
        <v>78.014309585477093</v>
      </c>
      <c r="AM5657">
        <v>89.112568910819206</v>
      </c>
      <c r="AN5657">
        <v>1.0000000357393499</v>
      </c>
    </row>
    <row r="5658" spans="1:40" x14ac:dyDescent="0.25">
      <c r="A5658" t="str">
        <f>"20190312172819796"</f>
        <v>20190312172819796</v>
      </c>
      <c r="B5658" t="str">
        <f>"1552382899785163"</f>
        <v>1552382899785163</v>
      </c>
      <c r="C5658" t="s">
        <v>40</v>
      </c>
      <c r="D5658">
        <v>3.395877</v>
      </c>
      <c r="E5658">
        <v>0.47178629999999999</v>
      </c>
      <c r="F5658" t="s">
        <v>59</v>
      </c>
      <c r="G5658">
        <v>-231.6028</v>
      </c>
      <c r="H5658" s="1">
        <v>2.8640970000000001E-7</v>
      </c>
      <c r="I5658">
        <v>-60.529640000000001</v>
      </c>
      <c r="J5658">
        <v>-254.6574</v>
      </c>
      <c r="K5658">
        <v>1.1095710000000001</v>
      </c>
      <c r="L5658">
        <v>-62.453800000000001</v>
      </c>
      <c r="M5658">
        <v>0.9999884</v>
      </c>
      <c r="N5658">
        <v>0</v>
      </c>
      <c r="O5658">
        <v>2.235026E-4</v>
      </c>
      <c r="P5658">
        <v>0.97906910000000003</v>
      </c>
      <c r="Q5658">
        <v>0.202982</v>
      </c>
      <c r="R5658">
        <v>-1.4900419999999999E-2</v>
      </c>
      <c r="S5658">
        <v>3.0989990000000001</v>
      </c>
      <c r="T5658">
        <v>-0.1481867</v>
      </c>
      <c r="U5658">
        <v>0.257019</v>
      </c>
      <c r="V5658">
        <v>1.4742079999999999E-2</v>
      </c>
      <c r="W5658">
        <v>0.20774010000000001</v>
      </c>
      <c r="X5658">
        <v>0.97807290000000002</v>
      </c>
      <c r="Y5658">
        <v>-8.2336450000000005E-2</v>
      </c>
      <c r="Z5658">
        <v>1.9534130000000002E-3</v>
      </c>
      <c r="AA5658">
        <v>0.99660269999999995</v>
      </c>
      <c r="AB5658">
        <v>31</v>
      </c>
      <c r="AC5658">
        <v>23.054599999999901</v>
      </c>
      <c r="AD5658">
        <v>-1.1095707135902999</v>
      </c>
      <c r="AE5658">
        <v>1.9241600000000001</v>
      </c>
      <c r="AF5658">
        <v>-1.9146030124245099</v>
      </c>
      <c r="AG5658">
        <v>-1.1095707135902999</v>
      </c>
      <c r="AH5658">
        <v>23.002118245686798</v>
      </c>
      <c r="AI5658">
        <v>92.752176808480201</v>
      </c>
      <c r="AJ5658">
        <v>94.758100097027096</v>
      </c>
      <c r="AK5658">
        <v>23.108316590617399</v>
      </c>
      <c r="AL5658">
        <v>78.010050126587501</v>
      </c>
      <c r="AM5658">
        <v>89.136470287623396</v>
      </c>
      <c r="AN5658">
        <v>0.99999993789257102</v>
      </c>
    </row>
    <row r="5659" spans="1:40" x14ac:dyDescent="0.25">
      <c r="A5659" t="str">
        <f>"20190312172819809"</f>
        <v>20190312172819809</v>
      </c>
      <c r="B5659" t="str">
        <f>"1552382899805659"</f>
        <v>1552382899805659</v>
      </c>
      <c r="C5659" t="s">
        <v>40</v>
      </c>
      <c r="D5659">
        <v>3.4920879999999999</v>
      </c>
      <c r="E5659">
        <v>0.4718986</v>
      </c>
      <c r="F5659" t="s">
        <v>59</v>
      </c>
      <c r="G5659">
        <v>-231.34370000000001</v>
      </c>
      <c r="H5659" s="1">
        <v>4.0429929999999999E-7</v>
      </c>
      <c r="I5659">
        <v>-60.504339999999999</v>
      </c>
      <c r="J5659">
        <v>-254.48519999999999</v>
      </c>
      <c r="K5659">
        <v>1.10958</v>
      </c>
      <c r="L5659">
        <v>-62.453279999999999</v>
      </c>
      <c r="M5659">
        <v>0.99998790000000004</v>
      </c>
      <c r="N5659">
        <v>0</v>
      </c>
      <c r="O5659">
        <v>7.479648E-4</v>
      </c>
      <c r="P5659">
        <v>0.97908949999999995</v>
      </c>
      <c r="Q5659">
        <v>0.20294989999999999</v>
      </c>
      <c r="R5659">
        <v>-1.397459E-2</v>
      </c>
      <c r="S5659">
        <v>3.098633</v>
      </c>
      <c r="T5659">
        <v>-0.1474733</v>
      </c>
      <c r="U5659">
        <v>0.2590942</v>
      </c>
      <c r="V5659">
        <v>1.432808E-2</v>
      </c>
      <c r="W5659">
        <v>0.2077513</v>
      </c>
      <c r="X5659">
        <v>0.97807679999999997</v>
      </c>
      <c r="Y5659">
        <v>-8.2487610000000003E-2</v>
      </c>
      <c r="Z5659">
        <v>1.9228800000000001E-3</v>
      </c>
      <c r="AA5659">
        <v>0.99659030000000004</v>
      </c>
      <c r="AB5659">
        <v>31</v>
      </c>
      <c r="AC5659">
        <v>23.141499999999901</v>
      </c>
      <c r="AD5659">
        <v>-1.1095795957007</v>
      </c>
      <c r="AE5659">
        <v>1.9489399999999999</v>
      </c>
      <c r="AF5659">
        <v>-1.9272307749956199</v>
      </c>
      <c r="AG5659">
        <v>-1.1095795957007</v>
      </c>
      <c r="AH5659">
        <v>23.090241294152101</v>
      </c>
      <c r="AI5659">
        <v>92.741659257804898</v>
      </c>
      <c r="AJ5659">
        <v>94.771142854149403</v>
      </c>
      <c r="AK5659">
        <v>23.197082324323699</v>
      </c>
      <c r="AL5659">
        <v>78.009395606752193</v>
      </c>
      <c r="AM5659">
        <v>89.160720512368002</v>
      </c>
      <c r="AN5659">
        <v>1.0000000616132001</v>
      </c>
    </row>
    <row r="5660" spans="1:40" x14ac:dyDescent="0.25">
      <c r="A5660" t="str">
        <f>"20190312172819820"</f>
        <v>20190312172819820</v>
      </c>
      <c r="B5660" t="str">
        <f>"1552382899815420"</f>
        <v>1552382899815420</v>
      </c>
      <c r="C5660" t="s">
        <v>40</v>
      </c>
      <c r="D5660">
        <v>3.4238369999999998</v>
      </c>
      <c r="E5660">
        <v>0.47202509999999998</v>
      </c>
      <c r="F5660" t="s">
        <v>59</v>
      </c>
      <c r="G5660">
        <v>-231.23169999999999</v>
      </c>
      <c r="H5660" s="1">
        <v>4.5489490000000001E-7</v>
      </c>
      <c r="I5660">
        <v>-60.494770000000003</v>
      </c>
      <c r="J5660">
        <v>-254.3245</v>
      </c>
      <c r="K5660">
        <v>1.1095900000000001</v>
      </c>
      <c r="L5660">
        <v>-62.4527</v>
      </c>
      <c r="M5660">
        <v>0.99998719999999996</v>
      </c>
      <c r="N5660">
        <v>0</v>
      </c>
      <c r="O5660">
        <v>1.2358880000000001E-3</v>
      </c>
      <c r="P5660">
        <v>0.97907359999999999</v>
      </c>
      <c r="Q5660">
        <v>0.20308419999999999</v>
      </c>
      <c r="R5660">
        <v>-1.3113079999999999E-2</v>
      </c>
      <c r="S5660">
        <v>3.0984500000000001</v>
      </c>
      <c r="T5660">
        <v>-0.14784739999999999</v>
      </c>
      <c r="U5660">
        <v>0.26095580000000002</v>
      </c>
      <c r="V5660">
        <v>1.3942690000000001E-2</v>
      </c>
      <c r="W5660">
        <v>0.20792669999999999</v>
      </c>
      <c r="X5660">
        <v>0.97804500000000005</v>
      </c>
      <c r="Y5660">
        <v>-8.2600750000000001E-2</v>
      </c>
      <c r="Z5660">
        <v>1.9072830000000001E-3</v>
      </c>
      <c r="AA5660">
        <v>0.99658089999999999</v>
      </c>
      <c r="AB5660">
        <v>31</v>
      </c>
      <c r="AC5660">
        <v>23.0928</v>
      </c>
      <c r="AD5660">
        <v>-1.1095895451051001</v>
      </c>
      <c r="AE5660">
        <v>1.9579299999999999</v>
      </c>
      <c r="AF5660">
        <v>-1.92497553414289</v>
      </c>
      <c r="AG5660">
        <v>-1.1095895451051001</v>
      </c>
      <c r="AH5660">
        <v>23.042383421699199</v>
      </c>
      <c r="AI5660">
        <v>92.747352258595797</v>
      </c>
      <c r="AJ5660">
        <v>94.775437557001098</v>
      </c>
      <c r="AK5660">
        <v>23.149258163454299</v>
      </c>
      <c r="AL5660">
        <v>77.9991204169078</v>
      </c>
      <c r="AM5660">
        <v>89.183265409117297</v>
      </c>
      <c r="AN5660">
        <v>0.99999996660116197</v>
      </c>
    </row>
    <row r="5661" spans="1:40" x14ac:dyDescent="0.25">
      <c r="A5661" t="str">
        <f>"20190312172819832"</f>
        <v>20190312172819832</v>
      </c>
      <c r="B5661" t="str">
        <f>"1552382899825178"</f>
        <v>1552382899825178</v>
      </c>
      <c r="C5661" t="s">
        <v>40</v>
      </c>
      <c r="D5661">
        <v>3.5219710000000002</v>
      </c>
      <c r="E5661">
        <v>0.47197450000000002</v>
      </c>
      <c r="F5661" t="s">
        <v>59</v>
      </c>
      <c r="G5661">
        <v>-230.95400000000001</v>
      </c>
      <c r="H5661" s="1">
        <v>5.7985769999999897E-7</v>
      </c>
      <c r="I5661">
        <v>-60.472859999999997</v>
      </c>
      <c r="J5661">
        <v>-254.166</v>
      </c>
      <c r="K5661">
        <v>1.1095969999999999</v>
      </c>
      <c r="L5661">
        <v>-62.452060000000003</v>
      </c>
      <c r="M5661">
        <v>0.99998620000000005</v>
      </c>
      <c r="N5661">
        <v>0</v>
      </c>
      <c r="O5661">
        <v>1.716598E-3</v>
      </c>
      <c r="P5661">
        <v>0.97906009999999999</v>
      </c>
      <c r="Q5661">
        <v>0.2031963</v>
      </c>
      <c r="R5661">
        <v>-1.236253E-2</v>
      </c>
      <c r="S5661">
        <v>3.0981450000000001</v>
      </c>
      <c r="T5661">
        <v>-0.147094</v>
      </c>
      <c r="U5661">
        <v>0.2624512</v>
      </c>
      <c r="V5661">
        <v>1.3661339999999999E-2</v>
      </c>
      <c r="W5661">
        <v>0.2080806</v>
      </c>
      <c r="X5661">
        <v>0.97801629999999995</v>
      </c>
      <c r="Y5661">
        <v>-8.2608970000000004E-2</v>
      </c>
      <c r="Z5661">
        <v>1.8751480000000001E-3</v>
      </c>
      <c r="AA5661">
        <v>0.99658029999999997</v>
      </c>
      <c r="AB5661">
        <v>31</v>
      </c>
      <c r="AC5661">
        <v>23.2119999999999</v>
      </c>
      <c r="AD5661">
        <v>-1.1095964201423001</v>
      </c>
      <c r="AE5661">
        <v>1.9791999999999901</v>
      </c>
      <c r="AF5661">
        <v>-1.9349612567054499</v>
      </c>
      <c r="AG5661">
        <v>-1.1095964201423001</v>
      </c>
      <c r="AH5661">
        <v>23.162816046814498</v>
      </c>
      <c r="AI5661">
        <v>92.733107049694397</v>
      </c>
      <c r="AJ5661">
        <v>94.775252593834693</v>
      </c>
      <c r="AK5661">
        <v>23.269966190330202</v>
      </c>
      <c r="AL5661">
        <v>77.990106140755898</v>
      </c>
      <c r="AM5661">
        <v>89.199720677360901</v>
      </c>
      <c r="AN5661">
        <v>1.00000002568632</v>
      </c>
    </row>
    <row r="5662" spans="1:40" x14ac:dyDescent="0.25">
      <c r="A5662" t="str">
        <f>"20190312172819843"</f>
        <v>20190312172819843</v>
      </c>
      <c r="B5662" t="str">
        <f>"1552382899834940"</f>
        <v>1552382899834940</v>
      </c>
      <c r="C5662" t="s">
        <v>40</v>
      </c>
      <c r="D5662">
        <v>3.4979659999999999</v>
      </c>
      <c r="E5662">
        <v>0.47195589999999998</v>
      </c>
      <c r="F5662" t="s">
        <v>59</v>
      </c>
      <c r="G5662">
        <v>-230.9015</v>
      </c>
      <c r="H5662" s="1">
        <v>6.0562839999999997E-7</v>
      </c>
      <c r="I5662">
        <v>-60.460599999999999</v>
      </c>
      <c r="J5662">
        <v>-254.00280000000001</v>
      </c>
      <c r="K5662">
        <v>1.109605</v>
      </c>
      <c r="L5662">
        <v>-62.451349999999998</v>
      </c>
      <c r="M5662">
        <v>0.99998520000000002</v>
      </c>
      <c r="N5662">
        <v>0</v>
      </c>
      <c r="O5662">
        <v>2.209342E-3</v>
      </c>
      <c r="P5662">
        <v>0.97905330000000002</v>
      </c>
      <c r="Q5662">
        <v>0.20327719999999999</v>
      </c>
      <c r="R5662">
        <v>-1.153641E-2</v>
      </c>
      <c r="S5662">
        <v>3.0981749999999999</v>
      </c>
      <c r="T5662">
        <v>-0.14776689999999901</v>
      </c>
      <c r="U5662">
        <v>0.26519779999999998</v>
      </c>
      <c r="V5662">
        <v>1.331681E-2</v>
      </c>
      <c r="W5662">
        <v>0.20820469999999999</v>
      </c>
      <c r="X5662">
        <v>0.97799460000000005</v>
      </c>
      <c r="Y5662">
        <v>-8.2993499999999998E-2</v>
      </c>
      <c r="Z5662">
        <v>1.8693309999999999E-3</v>
      </c>
      <c r="AA5662">
        <v>0.9965484</v>
      </c>
      <c r="AB5662">
        <v>31</v>
      </c>
      <c r="AC5662">
        <v>23.101299999999998</v>
      </c>
      <c r="AD5662">
        <v>-1.1096043943716001</v>
      </c>
      <c r="AE5662">
        <v>1.99074999999999</v>
      </c>
      <c r="AF5662">
        <v>-1.9352739096448099</v>
      </c>
      <c r="AG5662">
        <v>-1.1096043943716001</v>
      </c>
      <c r="AH5662">
        <v>23.052849094019098</v>
      </c>
      <c r="AI5662">
        <v>92.746050387051199</v>
      </c>
      <c r="AJ5662">
        <v>94.7986971003496</v>
      </c>
      <c r="AK5662">
        <v>23.160534500934499</v>
      </c>
      <c r="AL5662">
        <v>77.982836035877796</v>
      </c>
      <c r="AM5662">
        <v>89.219883361647604</v>
      </c>
      <c r="AN5662">
        <v>0.99999998607991203</v>
      </c>
    </row>
    <row r="5663" spans="1:40" x14ac:dyDescent="0.25">
      <c r="A5663" t="str">
        <f>"20190312172819854"</f>
        <v>20190312172819854</v>
      </c>
      <c r="B5663" t="str">
        <f>"1552382899845675"</f>
        <v>1552382899845675</v>
      </c>
      <c r="C5663" t="s">
        <v>40</v>
      </c>
      <c r="D5663">
        <v>3.4179170000000001</v>
      </c>
      <c r="E5663">
        <v>0.47209570000000001</v>
      </c>
      <c r="F5663" t="s">
        <v>59</v>
      </c>
      <c r="G5663">
        <v>-230.8244</v>
      </c>
      <c r="H5663" s="1">
        <v>6.4194679999999999E-7</v>
      </c>
      <c r="I5663">
        <v>-60.448509999999999</v>
      </c>
      <c r="J5663">
        <v>-253.85210000000001</v>
      </c>
      <c r="K5663">
        <v>1.1096109999999999</v>
      </c>
      <c r="L5663">
        <v>-62.450620000000001</v>
      </c>
      <c r="M5663">
        <v>0.99998379999999998</v>
      </c>
      <c r="N5663">
        <v>0</v>
      </c>
      <c r="O5663">
        <v>2.6611959999999998E-3</v>
      </c>
      <c r="P5663">
        <v>0.97900790000000004</v>
      </c>
      <c r="Q5663">
        <v>0.20354630000000001</v>
      </c>
      <c r="R5663">
        <v>-1.0619089999999999E-2</v>
      </c>
      <c r="S5663">
        <v>3.0981290000000001</v>
      </c>
      <c r="T5663">
        <v>-0.1483141</v>
      </c>
      <c r="U5663">
        <v>0.2677002</v>
      </c>
      <c r="V5663">
        <v>1.2840839999999999E-2</v>
      </c>
      <c r="W5663">
        <v>0.20851339999999999</v>
      </c>
      <c r="X5663">
        <v>0.9779352</v>
      </c>
      <c r="Y5663">
        <v>-8.3342920000000001E-2</v>
      </c>
      <c r="Z5663">
        <v>1.8629740000000001E-3</v>
      </c>
      <c r="AA5663">
        <v>0.99651920000000005</v>
      </c>
      <c r="AB5663">
        <v>31</v>
      </c>
      <c r="AC5663">
        <v>23.027699999999999</v>
      </c>
      <c r="AD5663">
        <v>-1.1096103580532</v>
      </c>
      <c r="AE5663">
        <v>2.0021099999999898</v>
      </c>
      <c r="AF5663">
        <v>-1.9363586489900599</v>
      </c>
      <c r="AG5663">
        <v>-1.1096103580532</v>
      </c>
      <c r="AH5663">
        <v>22.979990046807998</v>
      </c>
      <c r="AI5663">
        <v>92.7546862676367</v>
      </c>
      <c r="AJ5663">
        <v>94.8165257033654</v>
      </c>
      <c r="AK5663">
        <v>23.088106516464599</v>
      </c>
      <c r="AL5663">
        <v>77.964751976916403</v>
      </c>
      <c r="AM5663">
        <v>89.247717375147303</v>
      </c>
      <c r="AN5663">
        <v>0.99999999027525199</v>
      </c>
    </row>
    <row r="5664" spans="1:40" x14ac:dyDescent="0.25">
      <c r="A5664" t="str">
        <f>"20190312172819864"</f>
        <v>20190312172819864</v>
      </c>
      <c r="B5664" t="str">
        <f>"1552382899855435"</f>
        <v>1552382899855435</v>
      </c>
      <c r="C5664" t="s">
        <v>40</v>
      </c>
      <c r="D5664">
        <v>3.4292639999999999</v>
      </c>
      <c r="E5664">
        <v>0.47224430000000001</v>
      </c>
      <c r="F5664" t="s">
        <v>59</v>
      </c>
      <c r="G5664">
        <v>-230.5446</v>
      </c>
      <c r="H5664" s="1">
        <v>7.6812559999999895E-7</v>
      </c>
      <c r="I5664">
        <v>-60.425249999999998</v>
      </c>
      <c r="J5664">
        <v>-253.7159</v>
      </c>
      <c r="K5664">
        <v>1.1096060000000001</v>
      </c>
      <c r="L5664">
        <v>-62.449890000000003</v>
      </c>
      <c r="M5664">
        <v>0.9999825</v>
      </c>
      <c r="N5664">
        <v>0</v>
      </c>
      <c r="O5664">
        <v>3.0676929999999998E-3</v>
      </c>
      <c r="P5664">
        <v>0.97896919999999998</v>
      </c>
      <c r="Q5664">
        <v>0.2037668</v>
      </c>
      <c r="R5664">
        <v>-9.9459089999999993E-3</v>
      </c>
      <c r="S5664">
        <v>3.097931</v>
      </c>
      <c r="T5664">
        <v>-0.1474848</v>
      </c>
      <c r="U5664">
        <v>0.26919559999999998</v>
      </c>
      <c r="V5664">
        <v>1.256523E-2</v>
      </c>
      <c r="W5664">
        <v>0.20877080000000001</v>
      </c>
      <c r="X5664">
        <v>0.97788390000000003</v>
      </c>
      <c r="Y5664">
        <v>-8.3422109999999994E-2</v>
      </c>
      <c r="Z5664">
        <v>1.8352240000000001E-3</v>
      </c>
      <c r="AA5664">
        <v>0.99651259999999997</v>
      </c>
      <c r="AB5664">
        <v>31</v>
      </c>
      <c r="AC5664">
        <v>23.171299999999999</v>
      </c>
      <c r="AD5664">
        <v>-1.1096052318744001</v>
      </c>
      <c r="AE5664">
        <v>2.0246400000000002</v>
      </c>
      <c r="AF5664">
        <v>-1.9491113517513501</v>
      </c>
      <c r="AG5664">
        <v>-1.1096052318744001</v>
      </c>
      <c r="AH5664">
        <v>23.1247747841809</v>
      </c>
      <c r="AI5664">
        <v>92.737447337768799</v>
      </c>
      <c r="AJ5664">
        <v>94.817885541240898</v>
      </c>
      <c r="AK5664">
        <v>23.233283617500501</v>
      </c>
      <c r="AL5664">
        <v>77.949672615635706</v>
      </c>
      <c r="AM5664">
        <v>89.263823620187495</v>
      </c>
      <c r="AN5664">
        <v>1.0000000269084</v>
      </c>
    </row>
    <row r="5665" spans="1:40" x14ac:dyDescent="0.25">
      <c r="A5665" t="str">
        <f>"20190312172819874"</f>
        <v>20190312172819874</v>
      </c>
      <c r="B5665" t="str">
        <f>"1552382899865195"</f>
        <v>1552382899865195</v>
      </c>
      <c r="C5665" t="s">
        <v>40</v>
      </c>
      <c r="D5665">
        <v>3.4447239999999999</v>
      </c>
      <c r="E5665">
        <v>0.47240310000000002</v>
      </c>
      <c r="F5665" t="s">
        <v>59</v>
      </c>
      <c r="G5665">
        <v>-230.3355</v>
      </c>
      <c r="H5665" s="1">
        <v>8.6128430000000003E-7</v>
      </c>
      <c r="I5665">
        <v>-60.412329999999997</v>
      </c>
      <c r="J5665">
        <v>-253.5675</v>
      </c>
      <c r="K5665">
        <v>1.1096090000000001</v>
      </c>
      <c r="L5665">
        <v>-62.449039999999997</v>
      </c>
      <c r="M5665">
        <v>0.99998069999999895</v>
      </c>
      <c r="N5665">
        <v>0</v>
      </c>
      <c r="O5665">
        <v>3.5031979999999999E-3</v>
      </c>
      <c r="P5665">
        <v>0.97891890000000004</v>
      </c>
      <c r="Q5665">
        <v>0.20403260000000001</v>
      </c>
      <c r="R5665">
        <v>-9.4182710000000006E-3</v>
      </c>
      <c r="S5665">
        <v>3.0977779999999999</v>
      </c>
      <c r="T5665">
        <v>-0.14701710000000001</v>
      </c>
      <c r="U5665">
        <v>0.26995849999999999</v>
      </c>
      <c r="V5665">
        <v>1.246476E-2</v>
      </c>
      <c r="W5665">
        <v>0.2090786</v>
      </c>
      <c r="X5665">
        <v>0.97781940000000001</v>
      </c>
      <c r="Y5665">
        <v>-8.3237210000000006E-2</v>
      </c>
      <c r="Z5665">
        <v>1.8044879999999999E-3</v>
      </c>
      <c r="AA5665">
        <v>0.99652810000000003</v>
      </c>
      <c r="AB5665">
        <v>31</v>
      </c>
      <c r="AC5665">
        <v>23.231999999999999</v>
      </c>
      <c r="AD5665">
        <v>-1.1096081387157</v>
      </c>
      <c r="AE5665">
        <v>2.0367099999999998</v>
      </c>
      <c r="AF5665">
        <v>-1.9508936720511001</v>
      </c>
      <c r="AG5665">
        <v>-1.1096081387157</v>
      </c>
      <c r="AH5665">
        <v>23.1865025764127</v>
      </c>
      <c r="AI5665">
        <v>92.730211435238004</v>
      </c>
      <c r="AJ5665">
        <v>94.809492690106197</v>
      </c>
      <c r="AK5665">
        <v>23.294873214231998</v>
      </c>
      <c r="AL5665">
        <v>77.931638737594298</v>
      </c>
      <c r="AM5665">
        <v>89.269661186905395</v>
      </c>
      <c r="AN5665">
        <v>1.00000000511808</v>
      </c>
    </row>
    <row r="5666" spans="1:40" x14ac:dyDescent="0.25">
      <c r="A5666" t="str">
        <f>"20190312172819885"</f>
        <v>20190312172819885</v>
      </c>
      <c r="B5666" t="str">
        <f>"1552382899874955"</f>
        <v>1552382899874955</v>
      </c>
      <c r="C5666" t="s">
        <v>40</v>
      </c>
      <c r="D5666">
        <v>3.4169139999999998</v>
      </c>
      <c r="E5666">
        <v>0.47255419999999998</v>
      </c>
      <c r="F5666" t="s">
        <v>59</v>
      </c>
      <c r="G5666">
        <v>-230.0883</v>
      </c>
      <c r="H5666" s="1">
        <v>9.7023169999999899E-7</v>
      </c>
      <c r="I5666">
        <v>-60.401420000000002</v>
      </c>
      <c r="J5666">
        <v>-253.41149999999999</v>
      </c>
      <c r="K5666">
        <v>1.1096109999999999</v>
      </c>
      <c r="L5666">
        <v>-62.448090000000001</v>
      </c>
      <c r="M5666">
        <v>0.99997879999999995</v>
      </c>
      <c r="N5666">
        <v>0</v>
      </c>
      <c r="O5666">
        <v>3.9572280000000001E-3</v>
      </c>
      <c r="P5666">
        <v>0.97883249999999999</v>
      </c>
      <c r="Q5666">
        <v>0.2044774</v>
      </c>
      <c r="R5666">
        <v>-8.7262759999999998E-3</v>
      </c>
      <c r="S5666">
        <v>3.097702</v>
      </c>
      <c r="T5666">
        <v>-0.14639479999999999</v>
      </c>
      <c r="U5666">
        <v>0.27014159999999998</v>
      </c>
      <c r="V5666">
        <v>1.2218079999999999E-2</v>
      </c>
      <c r="W5666">
        <v>0.20956730000000001</v>
      </c>
      <c r="X5666">
        <v>0.97771790000000003</v>
      </c>
      <c r="Y5666">
        <v>-8.2846980000000001E-2</v>
      </c>
      <c r="Z5666">
        <v>1.766297E-3</v>
      </c>
      <c r="AA5666">
        <v>0.99656069999999997</v>
      </c>
      <c r="AB5666">
        <v>31</v>
      </c>
      <c r="AC5666">
        <v>23.3231999999999</v>
      </c>
      <c r="AD5666">
        <v>-1.1096100297683</v>
      </c>
      <c r="AE5666">
        <v>2.0466700000000002</v>
      </c>
      <c r="AF5666">
        <v>-1.9499776361483601</v>
      </c>
      <c r="AG5666">
        <v>-1.1096100297683</v>
      </c>
      <c r="AH5666">
        <v>23.278829576154301</v>
      </c>
      <c r="AI5666">
        <v>92.719488408282999</v>
      </c>
      <c r="AJ5666">
        <v>94.788267632335305</v>
      </c>
      <c r="AK5666">
        <v>23.386696082073598</v>
      </c>
      <c r="AL5666">
        <v>77.903004031616604</v>
      </c>
      <c r="AM5666">
        <v>89.284038902461504</v>
      </c>
      <c r="AN5666">
        <v>1.0000000133442899</v>
      </c>
    </row>
    <row r="5667" spans="1:40" x14ac:dyDescent="0.25">
      <c r="A5667" t="str">
        <f>"20190312172819897"</f>
        <v>20190312172819897</v>
      </c>
      <c r="B5667" t="str">
        <f>"1552382899885692"</f>
        <v>1552382899885692</v>
      </c>
      <c r="C5667" t="s">
        <v>40</v>
      </c>
      <c r="D5667">
        <v>3.4220619999999999</v>
      </c>
      <c r="E5667">
        <v>0.47268710000000003</v>
      </c>
      <c r="F5667" t="s">
        <v>60</v>
      </c>
      <c r="G5667">
        <v>-229.7792</v>
      </c>
      <c r="H5667" s="1">
        <v>-3.3138809999999998E-6</v>
      </c>
      <c r="I5667">
        <v>-60.380890000000001</v>
      </c>
      <c r="J5667">
        <v>-253.2585</v>
      </c>
      <c r="K5667">
        <v>1.10961</v>
      </c>
      <c r="L5667">
        <v>-62.44708</v>
      </c>
      <c r="M5667">
        <v>0.9999768</v>
      </c>
      <c r="N5667">
        <v>0</v>
      </c>
      <c r="O5667">
        <v>4.3888269999999997E-3</v>
      </c>
      <c r="P5667">
        <v>0.97875809999999996</v>
      </c>
      <c r="Q5667">
        <v>0.20484939999999999</v>
      </c>
      <c r="R5667">
        <v>-8.3149599999999997E-3</v>
      </c>
      <c r="S5667">
        <v>3.0976870000000001</v>
      </c>
      <c r="T5667">
        <v>-0.1454463</v>
      </c>
      <c r="U5667">
        <v>0.27096559999999997</v>
      </c>
      <c r="V5667">
        <v>1.22326E-2</v>
      </c>
      <c r="W5667">
        <v>0.209985</v>
      </c>
      <c r="X5667">
        <v>0.9776281</v>
      </c>
      <c r="Y5667">
        <v>-8.2682160000000005E-2</v>
      </c>
      <c r="Z5667">
        <v>1.7307799999999999E-3</v>
      </c>
      <c r="AA5667">
        <v>0.99657450000000003</v>
      </c>
      <c r="AB5667">
        <v>31</v>
      </c>
      <c r="AC5667">
        <v>23.479299999999899</v>
      </c>
      <c r="AD5667">
        <v>-1.109613313881</v>
      </c>
      <c r="AE5667">
        <v>2.0661900000000002</v>
      </c>
      <c r="AF5667">
        <v>-1.9587809276361301</v>
      </c>
      <c r="AG5667">
        <v>-1.109613313881</v>
      </c>
      <c r="AH5667">
        <v>23.436201177689799</v>
      </c>
      <c r="AI5667">
        <v>92.701304331706595</v>
      </c>
      <c r="AJ5667">
        <v>94.777636187841196</v>
      </c>
      <c r="AK5667">
        <v>23.544077600746299</v>
      </c>
      <c r="AL5667">
        <v>77.878527029513094</v>
      </c>
      <c r="AM5667">
        <v>89.2831223051829</v>
      </c>
      <c r="AN5667">
        <v>1.00000001931868</v>
      </c>
    </row>
    <row r="5668" spans="1:40" x14ac:dyDescent="0.25">
      <c r="A5668" t="str">
        <f>"20190312172819908"</f>
        <v>20190312172819908</v>
      </c>
      <c r="B5668" t="str">
        <f>"1552382899905211"</f>
        <v>1552382899905211</v>
      </c>
      <c r="C5668" t="s">
        <v>40</v>
      </c>
      <c r="D5668">
        <v>3.5186480000000002</v>
      </c>
      <c r="E5668">
        <v>0.47273539999999997</v>
      </c>
      <c r="F5668" t="s">
        <v>60</v>
      </c>
      <c r="G5668">
        <v>-229.48759999999999</v>
      </c>
      <c r="H5668" s="1">
        <v>-3.1918699999999999E-6</v>
      </c>
      <c r="I5668">
        <v>-60.367060000000002</v>
      </c>
      <c r="J5668">
        <v>-253.10550000000001</v>
      </c>
      <c r="K5668">
        <v>1.1096090000000001</v>
      </c>
      <c r="L5668">
        <v>-62.446040000000004</v>
      </c>
      <c r="M5668">
        <v>0.99997449999999999</v>
      </c>
      <c r="N5668">
        <v>0</v>
      </c>
      <c r="O5668">
        <v>4.8174400000000001E-3</v>
      </c>
      <c r="P5668">
        <v>0.97874989999999995</v>
      </c>
      <c r="Q5668">
        <v>0.2049079</v>
      </c>
      <c r="R5668">
        <v>-7.8437200000000002E-3</v>
      </c>
      <c r="S5668">
        <v>3.0976870000000001</v>
      </c>
      <c r="T5668">
        <v>-0.14459820000000001</v>
      </c>
      <c r="U5668">
        <v>0.2710571</v>
      </c>
      <c r="V5668">
        <v>1.218519E-2</v>
      </c>
      <c r="W5668">
        <v>0.21008940000000001</v>
      </c>
      <c r="X5668">
        <v>0.97760619999999998</v>
      </c>
      <c r="Y5668">
        <v>-8.2286129999999999E-2</v>
      </c>
      <c r="Z5668">
        <v>1.69152E-3</v>
      </c>
      <c r="AA5668">
        <v>0.99660729999999997</v>
      </c>
      <c r="AB5668">
        <v>31</v>
      </c>
      <c r="AC5668">
        <v>23.617899999999999</v>
      </c>
      <c r="AD5668">
        <v>-1.1096121918699999</v>
      </c>
      <c r="AE5668">
        <v>2.0789800000000001</v>
      </c>
      <c r="AF5668">
        <v>-1.9608815182685</v>
      </c>
      <c r="AG5668">
        <v>-1.1096121918699999</v>
      </c>
      <c r="AH5668">
        <v>23.576002425187401</v>
      </c>
      <c r="AI5668">
        <v>92.685397166011398</v>
      </c>
      <c r="AJ5668">
        <v>94.754505633310899</v>
      </c>
      <c r="AK5668">
        <v>23.683415840994599</v>
      </c>
      <c r="AL5668">
        <v>77.872408126969404</v>
      </c>
      <c r="AM5668">
        <v>89.285884431005499</v>
      </c>
      <c r="AN5668">
        <v>0.999999958563067</v>
      </c>
    </row>
    <row r="5669" spans="1:40" x14ac:dyDescent="0.25">
      <c r="A5669" t="str">
        <f>"20190312172819918"</f>
        <v>20190312172819918</v>
      </c>
      <c r="B5669" t="str">
        <f>"1552382899914971"</f>
        <v>1552382899914971</v>
      </c>
      <c r="C5669" t="s">
        <v>40</v>
      </c>
      <c r="D5669">
        <v>3.4132729999999998</v>
      </c>
      <c r="E5669">
        <v>0.47286610000000001</v>
      </c>
      <c r="F5669" t="s">
        <v>60</v>
      </c>
      <c r="G5669">
        <v>-229.5515</v>
      </c>
      <c r="H5669" s="1">
        <v>-3.2172139999999998E-6</v>
      </c>
      <c r="I5669">
        <v>-60.376309999999997</v>
      </c>
      <c r="J5669">
        <v>-252.9462</v>
      </c>
      <c r="K5669">
        <v>1.1096010000000001</v>
      </c>
      <c r="L5669">
        <v>-62.444819999999901</v>
      </c>
      <c r="M5669">
        <v>0.99997199999999997</v>
      </c>
      <c r="N5669">
        <v>0</v>
      </c>
      <c r="O5669">
        <v>5.240232E-3</v>
      </c>
      <c r="P5669">
        <v>0.97867170000000003</v>
      </c>
      <c r="Q5669">
        <v>0.20529839999999999</v>
      </c>
      <c r="R5669">
        <v>-7.3657929999999998E-3</v>
      </c>
      <c r="S5669">
        <v>3.0978850000000002</v>
      </c>
      <c r="T5669">
        <v>-0.14593879999999901</v>
      </c>
      <c r="U5669">
        <v>0.27221679999999998</v>
      </c>
      <c r="V5669">
        <v>1.21277E-2</v>
      </c>
      <c r="W5669">
        <v>0.21052999999999999</v>
      </c>
      <c r="X5669">
        <v>0.97751220000000005</v>
      </c>
      <c r="Y5669">
        <v>-8.2228410000000002E-2</v>
      </c>
      <c r="Z5669">
        <v>1.685825E-3</v>
      </c>
      <c r="AA5669">
        <v>0.9966121</v>
      </c>
      <c r="AB5669">
        <v>31</v>
      </c>
      <c r="AC5669">
        <v>23.3947</v>
      </c>
      <c r="AD5669">
        <v>-1.1096042172139999</v>
      </c>
      <c r="AE5669">
        <v>2.0685099999999901</v>
      </c>
      <c r="AF5669">
        <v>-1.9415523983846199</v>
      </c>
      <c r="AG5669">
        <v>-1.1096042172139999</v>
      </c>
      <c r="AH5669">
        <v>23.353091299058502</v>
      </c>
      <c r="AI5669">
        <v>92.710979995124603</v>
      </c>
      <c r="AJ5669">
        <v>94.7525831913253</v>
      </c>
      <c r="AK5669">
        <v>23.459917315640599</v>
      </c>
      <c r="AL5669">
        <v>77.846586991471895</v>
      </c>
      <c r="AM5669">
        <v>89.289184957691504</v>
      </c>
      <c r="AN5669">
        <v>1.0000000315780599</v>
      </c>
    </row>
    <row r="5670" spans="1:40" x14ac:dyDescent="0.25">
      <c r="A5670" t="str">
        <f>"20190312172819930"</f>
        <v>20190312172819930</v>
      </c>
      <c r="B5670" t="str">
        <f>"1552382899925710"</f>
        <v>1552382899925710</v>
      </c>
      <c r="C5670" t="s">
        <v>40</v>
      </c>
      <c r="D5670">
        <v>3.5172370000000002</v>
      </c>
      <c r="E5670">
        <v>0.47288740000000001</v>
      </c>
      <c r="F5670" t="s">
        <v>60</v>
      </c>
      <c r="G5670">
        <v>-229.2201</v>
      </c>
      <c r="H5670" s="1">
        <v>-3.0789529999999998E-6</v>
      </c>
      <c r="I5670">
        <v>-60.358750000000001</v>
      </c>
      <c r="J5670">
        <v>-252.7842</v>
      </c>
      <c r="K5670">
        <v>1.109594</v>
      </c>
      <c r="L5670">
        <v>-62.443629999999999</v>
      </c>
      <c r="M5670">
        <v>0.99996949999999996</v>
      </c>
      <c r="N5670">
        <v>0</v>
      </c>
      <c r="O5670">
        <v>5.6630700000000001E-3</v>
      </c>
      <c r="P5670">
        <v>0.97857819999999995</v>
      </c>
      <c r="Q5670">
        <v>0.2057552</v>
      </c>
      <c r="R5670">
        <v>-7.0448439999999998E-3</v>
      </c>
      <c r="S5670">
        <v>3.0978089999999998</v>
      </c>
      <c r="T5670">
        <v>-0.14487610000000001</v>
      </c>
      <c r="U5670">
        <v>0.27236939999999998</v>
      </c>
      <c r="V5670">
        <v>1.2227740000000001E-2</v>
      </c>
      <c r="W5670">
        <v>0.21103810000000001</v>
      </c>
      <c r="X5670">
        <v>0.97740139999999998</v>
      </c>
      <c r="Y5670">
        <v>-8.1859920000000003E-2</v>
      </c>
      <c r="Z5670">
        <v>1.645281E-3</v>
      </c>
      <c r="AA5670">
        <v>0.99664249999999999</v>
      </c>
      <c r="AB5670">
        <v>31</v>
      </c>
      <c r="AC5670">
        <v>23.5641</v>
      </c>
      <c r="AD5670">
        <v>-1.1095970789530001</v>
      </c>
      <c r="AE5670">
        <v>2.0848800000000001</v>
      </c>
      <c r="AF5670">
        <v>-1.9471156403889001</v>
      </c>
      <c r="AG5670">
        <v>-1.1095970789530001</v>
      </c>
      <c r="AH5670">
        <v>23.523774469792102</v>
      </c>
      <c r="AI5670">
        <v>92.691402678968601</v>
      </c>
      <c r="AJ5670">
        <v>94.731713968612894</v>
      </c>
      <c r="AK5670">
        <v>23.630286293236299</v>
      </c>
      <c r="AL5670">
        <v>77.816806095187701</v>
      </c>
      <c r="AM5670">
        <v>89.2832408999476</v>
      </c>
      <c r="AN5670">
        <v>1.00000004699953</v>
      </c>
    </row>
    <row r="5671" spans="1:40" x14ac:dyDescent="0.25">
      <c r="A5671" t="str">
        <f>"20190312172819942"</f>
        <v>20190312172819942</v>
      </c>
      <c r="B5671" t="str">
        <f>"1552382899935467"</f>
        <v>1552382899935467</v>
      </c>
      <c r="C5671" t="s">
        <v>40</v>
      </c>
      <c r="D5671">
        <v>3.4795989999999999</v>
      </c>
      <c r="E5671">
        <v>0.4729257</v>
      </c>
      <c r="F5671" t="s">
        <v>60</v>
      </c>
      <c r="G5671">
        <v>-228.97989999999999</v>
      </c>
      <c r="H5671" s="1">
        <v>-2.9787879999999998E-6</v>
      </c>
      <c r="I5671">
        <v>-60.345660000000002</v>
      </c>
      <c r="J5671">
        <v>-252.6199</v>
      </c>
      <c r="K5671">
        <v>1.1095820000000001</v>
      </c>
      <c r="L5671">
        <v>-62.442320000000002</v>
      </c>
      <c r="M5671">
        <v>0.99996689999999999</v>
      </c>
      <c r="N5671">
        <v>0</v>
      </c>
      <c r="O5671">
        <v>6.071819E-3</v>
      </c>
      <c r="P5671">
        <v>0.97851440000000001</v>
      </c>
      <c r="Q5671">
        <v>0.20607500000000001</v>
      </c>
      <c r="R5671">
        <v>-6.5556080000000001E-3</v>
      </c>
      <c r="S5671">
        <v>3.098007</v>
      </c>
      <c r="T5671">
        <v>-0.14440829999999999</v>
      </c>
      <c r="U5671">
        <v>0.27304079999999997</v>
      </c>
      <c r="V5671">
        <v>1.2148030000000001E-2</v>
      </c>
      <c r="W5671">
        <v>0.21141090000000001</v>
      </c>
      <c r="X5671">
        <v>0.97732180000000002</v>
      </c>
      <c r="Y5671">
        <v>-8.1662479999999996E-2</v>
      </c>
      <c r="Z5671">
        <v>1.6162609999999999E-3</v>
      </c>
      <c r="AA5671">
        <v>0.99665870000000001</v>
      </c>
      <c r="AB5671">
        <v>32</v>
      </c>
      <c r="AC5671">
        <v>23.64</v>
      </c>
      <c r="AD5671">
        <v>-1.1095849787880001</v>
      </c>
      <c r="AE5671">
        <v>2.09666</v>
      </c>
      <c r="AF5671">
        <v>-1.94882158246437</v>
      </c>
      <c r="AG5671">
        <v>-1.1095849787880001</v>
      </c>
      <c r="AH5671">
        <v>23.600706982017499</v>
      </c>
      <c r="AI5671">
        <v>92.682656441102097</v>
      </c>
      <c r="AJ5671">
        <v>94.720472953180305</v>
      </c>
      <c r="AK5671">
        <v>23.707012769146601</v>
      </c>
      <c r="AL5671">
        <v>77.794952864924895</v>
      </c>
      <c r="AM5671">
        <v>89.287854823797602</v>
      </c>
      <c r="AN5671">
        <v>1.0000000220134599</v>
      </c>
    </row>
    <row r="5672" spans="1:40" x14ac:dyDescent="0.25">
      <c r="A5672" t="str">
        <f>"20190312172819954"</f>
        <v>20190312172819954</v>
      </c>
      <c r="B5672" t="str">
        <f>"1552382899945227"</f>
        <v>1552382899945227</v>
      </c>
      <c r="C5672" t="s">
        <v>40</v>
      </c>
      <c r="D5672">
        <v>3.4882740000000001</v>
      </c>
      <c r="E5672">
        <v>0.47297450000000002</v>
      </c>
      <c r="F5672" t="s">
        <v>60</v>
      </c>
      <c r="G5672">
        <v>-228.76060000000001</v>
      </c>
      <c r="H5672" s="1">
        <v>-2.8881369999999999E-6</v>
      </c>
      <c r="I5672">
        <v>-60.33014</v>
      </c>
      <c r="J5672">
        <v>-252.47219999999999</v>
      </c>
      <c r="K5672">
        <v>1.1095660000000001</v>
      </c>
      <c r="L5672">
        <v>-62.441130000000001</v>
      </c>
      <c r="M5672">
        <v>0.99996439999999998</v>
      </c>
      <c r="N5672">
        <v>0</v>
      </c>
      <c r="O5672">
        <v>6.4248999999999999E-3</v>
      </c>
      <c r="P5672">
        <v>0.97837770000000002</v>
      </c>
      <c r="Q5672">
        <v>0.20672789999999999</v>
      </c>
      <c r="R5672">
        <v>-6.4166500000000003E-3</v>
      </c>
      <c r="S5672">
        <v>3.098068</v>
      </c>
      <c r="T5672">
        <v>-0.1440767</v>
      </c>
      <c r="U5672">
        <v>0.27426149999999999</v>
      </c>
      <c r="V5672">
        <v>1.236286E-2</v>
      </c>
      <c r="W5672">
        <v>0.2121122</v>
      </c>
      <c r="X5672">
        <v>0.97716709999999996</v>
      </c>
      <c r="Y5672">
        <v>-8.1699240000000006E-2</v>
      </c>
      <c r="Z5672">
        <v>1.5969689999999999E-3</v>
      </c>
      <c r="AA5672">
        <v>0.99665579999999998</v>
      </c>
      <c r="AB5672">
        <v>32</v>
      </c>
      <c r="AC5672">
        <v>23.711599999999901</v>
      </c>
      <c r="AD5672">
        <v>-1.1095688881370001</v>
      </c>
      <c r="AE5672">
        <v>2.1109900000000001</v>
      </c>
      <c r="AF5672">
        <v>-1.9543536723300301</v>
      </c>
      <c r="AG5672">
        <v>-1.1095688881370001</v>
      </c>
      <c r="AH5672">
        <v>23.673243748899999</v>
      </c>
      <c r="AI5672">
        <v>92.674414020046996</v>
      </c>
      <c r="AJ5672">
        <v>94.7193729030827</v>
      </c>
      <c r="AK5672">
        <v>23.7796785299739</v>
      </c>
      <c r="AL5672">
        <v>77.753838447756706</v>
      </c>
      <c r="AM5672">
        <v>89.275147607261204</v>
      </c>
      <c r="AN5672">
        <v>0.99999998350931396</v>
      </c>
    </row>
    <row r="5673" spans="1:40" x14ac:dyDescent="0.25">
      <c r="A5673" t="str">
        <f>"20190312172819964"</f>
        <v>20190312172819964</v>
      </c>
      <c r="B5673" t="str">
        <f>"1552382899954987"</f>
        <v>1552382899954987</v>
      </c>
      <c r="C5673" t="s">
        <v>40</v>
      </c>
      <c r="D5673">
        <v>3.9248259999999999</v>
      </c>
      <c r="E5673">
        <v>0.47311589999999998</v>
      </c>
      <c r="F5673" t="s">
        <v>60</v>
      </c>
      <c r="G5673">
        <v>-228.34030000000001</v>
      </c>
      <c r="H5673" s="1">
        <v>-2.7130519999999999E-6</v>
      </c>
      <c r="I5673">
        <v>-60.306550000000001</v>
      </c>
      <c r="J5673">
        <v>-252.30170000000001</v>
      </c>
      <c r="K5673">
        <v>1.1095489999999999</v>
      </c>
      <c r="L5673">
        <v>-62.4396699999999</v>
      </c>
      <c r="M5673">
        <v>0.9999614</v>
      </c>
      <c r="N5673">
        <v>0</v>
      </c>
      <c r="O5673">
        <v>6.814769E-3</v>
      </c>
      <c r="P5673">
        <v>0.97834350000000003</v>
      </c>
      <c r="Q5673">
        <v>0.20689930000000001</v>
      </c>
      <c r="R5673">
        <v>-6.0441050000000001E-3</v>
      </c>
      <c r="S5673">
        <v>3.0981749999999999</v>
      </c>
      <c r="T5673">
        <v>-0.142452</v>
      </c>
      <c r="U5673">
        <v>0.27404790000000001</v>
      </c>
      <c r="V5673">
        <v>1.2384859999999999E-2</v>
      </c>
      <c r="W5673">
        <v>0.21233959999999999</v>
      </c>
      <c r="X5673">
        <v>0.97711740000000002</v>
      </c>
      <c r="Y5673">
        <v>-8.1242159999999994E-2</v>
      </c>
      <c r="Z5673">
        <v>1.5505689999999999E-3</v>
      </c>
      <c r="AA5673">
        <v>0.99669319999999895</v>
      </c>
      <c r="AB5673">
        <v>32</v>
      </c>
      <c r="AC5673">
        <v>23.961400000000001</v>
      </c>
      <c r="AD5673">
        <v>-1.1095517130519901</v>
      </c>
      <c r="AE5673">
        <v>2.1331199999999901</v>
      </c>
      <c r="AF5673">
        <v>-1.9655950062947201</v>
      </c>
      <c r="AG5673">
        <v>-1.1095517130519901</v>
      </c>
      <c r="AH5673">
        <v>23.924484361579299</v>
      </c>
      <c r="AI5673">
        <v>92.646413994262502</v>
      </c>
      <c r="AJ5673">
        <v>94.696775176207098</v>
      </c>
      <c r="AK5673">
        <v>24.030722434004399</v>
      </c>
      <c r="AL5673">
        <v>77.740505282014198</v>
      </c>
      <c r="AM5673">
        <v>89.273820922917196</v>
      </c>
      <c r="AN5673">
        <v>0.99999995193406799</v>
      </c>
    </row>
    <row r="5674" spans="1:40" x14ac:dyDescent="0.25">
      <c r="A5674" t="str">
        <f>"20190312172819975"</f>
        <v>20190312172819975</v>
      </c>
      <c r="B5674" t="str">
        <f>"1552382899964748"</f>
        <v>1552382899964748</v>
      </c>
      <c r="C5674" t="s">
        <v>40</v>
      </c>
      <c r="D5674">
        <v>3.5279440000000002</v>
      </c>
      <c r="E5674">
        <v>0.47313300000000003</v>
      </c>
      <c r="F5674" t="s">
        <v>60</v>
      </c>
      <c r="G5674">
        <v>-228.0986</v>
      </c>
      <c r="H5674" s="1">
        <v>-2.610345E-6</v>
      </c>
      <c r="I5674">
        <v>-60.302109999999999</v>
      </c>
      <c r="J5674">
        <v>-252.14869999999999</v>
      </c>
      <c r="K5674">
        <v>1.109531</v>
      </c>
      <c r="L5674">
        <v>-62.438319999999997</v>
      </c>
      <c r="M5674">
        <v>0.99995889999999998</v>
      </c>
      <c r="N5674">
        <v>0</v>
      </c>
      <c r="O5674">
        <v>7.1372839999999998E-3</v>
      </c>
      <c r="P5674">
        <v>0.97825039999999996</v>
      </c>
      <c r="Q5674">
        <v>0.20734739999999999</v>
      </c>
      <c r="R5674">
        <v>-5.7958069999999896E-3</v>
      </c>
      <c r="S5674">
        <v>3.0981450000000001</v>
      </c>
      <c r="T5674">
        <v>-0.1420295</v>
      </c>
      <c r="U5674">
        <v>0.27362059999999999</v>
      </c>
      <c r="V5674">
        <v>1.246419E-2</v>
      </c>
      <c r="W5674">
        <v>0.2128391</v>
      </c>
      <c r="X5674">
        <v>0.97700770000000003</v>
      </c>
      <c r="Y5674">
        <v>-8.0786440000000001E-2</v>
      </c>
      <c r="Z5674">
        <v>1.5208330000000001E-3</v>
      </c>
      <c r="AA5674">
        <v>0.99673029999999996</v>
      </c>
      <c r="AB5674">
        <v>32</v>
      </c>
      <c r="AC5674">
        <v>24.050099999999901</v>
      </c>
      <c r="AD5674">
        <v>-1.109533610345</v>
      </c>
      <c r="AE5674">
        <v>2.13620999999999</v>
      </c>
      <c r="AF5674">
        <v>-1.9603607980323401</v>
      </c>
      <c r="AG5674">
        <v>-1.109533610345</v>
      </c>
      <c r="AH5674">
        <v>24.0140237383062</v>
      </c>
      <c r="AI5674">
        <v>92.636629790701093</v>
      </c>
      <c r="AJ5674">
        <v>94.666934996966802</v>
      </c>
      <c r="AK5674">
        <v>24.119440611151798</v>
      </c>
      <c r="AL5674">
        <v>77.711216424014907</v>
      </c>
      <c r="AM5674">
        <v>89.269087907449503</v>
      </c>
      <c r="AN5674">
        <v>0.99999994219022603</v>
      </c>
    </row>
    <row r="5675" spans="1:40" x14ac:dyDescent="0.25">
      <c r="A5675" t="str">
        <f>"20190312172819987"</f>
        <v>20190312172819987</v>
      </c>
      <c r="B5675" t="str">
        <f>"1552382899975483"</f>
        <v>1552382899975483</v>
      </c>
      <c r="C5675" t="s">
        <v>40</v>
      </c>
      <c r="D5675">
        <v>3.4891079999999999</v>
      </c>
      <c r="E5675">
        <v>0.4732152</v>
      </c>
      <c r="F5675" t="s">
        <v>60</v>
      </c>
      <c r="G5675">
        <v>-227.80940000000001</v>
      </c>
      <c r="H5675" s="1">
        <v>-2.48996E-6</v>
      </c>
      <c r="I5675">
        <v>-60.28546</v>
      </c>
      <c r="J5675">
        <v>-251.98060000000001</v>
      </c>
      <c r="K5675">
        <v>1.109507</v>
      </c>
      <c r="L5675">
        <v>-62.43683</v>
      </c>
      <c r="M5675">
        <v>0.99995599999999996</v>
      </c>
      <c r="N5675">
        <v>0</v>
      </c>
      <c r="O5675">
        <v>7.48115699999999E-3</v>
      </c>
      <c r="P5675">
        <v>0.97807679999999997</v>
      </c>
      <c r="Q5675">
        <v>0.2081682</v>
      </c>
      <c r="R5675">
        <v>-5.6401139999999999E-3</v>
      </c>
      <c r="S5675">
        <v>3.0982669999999999</v>
      </c>
      <c r="T5675">
        <v>-0.14123759999999999</v>
      </c>
      <c r="U5675">
        <v>0.27404790000000001</v>
      </c>
      <c r="V5675">
        <v>1.265822E-2</v>
      </c>
      <c r="W5675">
        <v>0.21371589999999999</v>
      </c>
      <c r="X5675">
        <v>0.97681390000000001</v>
      </c>
      <c r="Y5675">
        <v>-8.0578040000000004E-2</v>
      </c>
      <c r="Z5675">
        <v>1.491921E-3</v>
      </c>
      <c r="AA5675">
        <v>0.99674720000000006</v>
      </c>
      <c r="AB5675">
        <v>32</v>
      </c>
      <c r="AC5675">
        <v>24.171199999999999</v>
      </c>
      <c r="AD5675">
        <v>-1.10950948996</v>
      </c>
      <c r="AE5675">
        <v>2.15137</v>
      </c>
      <c r="AF5675">
        <v>-1.9663677721872099</v>
      </c>
      <c r="AG5675">
        <v>-1.10950948996</v>
      </c>
      <c r="AH5675">
        <v>24.136163243285399</v>
      </c>
      <c r="AI5675">
        <v>92.623283884130899</v>
      </c>
      <c r="AJ5675">
        <v>94.657587761675501</v>
      </c>
      <c r="AK5675">
        <v>24.241534391005999</v>
      </c>
      <c r="AL5675">
        <v>77.659797814611196</v>
      </c>
      <c r="AM5675">
        <v>89.257563811203099</v>
      </c>
      <c r="AN5675">
        <v>1.0000000558397899</v>
      </c>
    </row>
    <row r="5676" spans="1:40" x14ac:dyDescent="0.25">
      <c r="A5676" t="str">
        <f>"20190312172819998"</f>
        <v>20190312172819998</v>
      </c>
      <c r="B5676" t="str">
        <f>"1552382899985243"</f>
        <v>1552382899985243</v>
      </c>
      <c r="C5676" t="s">
        <v>40</v>
      </c>
      <c r="D5676">
        <v>3.5483479999999998</v>
      </c>
      <c r="E5676">
        <v>0.47324739999999998</v>
      </c>
      <c r="F5676" t="s">
        <v>60</v>
      </c>
      <c r="G5676">
        <v>-227.2037</v>
      </c>
      <c r="H5676" s="1">
        <v>-2.2387639999999999E-6</v>
      </c>
      <c r="I5676">
        <v>-60.246299999999998</v>
      </c>
      <c r="J5676">
        <v>-251.8296</v>
      </c>
      <c r="K5676">
        <v>1.1094839999999999</v>
      </c>
      <c r="L5676">
        <v>-62.435419999999901</v>
      </c>
      <c r="M5676">
        <v>0.9999538</v>
      </c>
      <c r="N5676">
        <v>0</v>
      </c>
      <c r="O5676">
        <v>7.7490819999999896E-3</v>
      </c>
      <c r="P5676">
        <v>0.97805690000000001</v>
      </c>
      <c r="Q5676">
        <v>0.20826339999999999</v>
      </c>
      <c r="R5676">
        <v>-5.605835E-3</v>
      </c>
      <c r="S5676">
        <v>3.0983580000000002</v>
      </c>
      <c r="T5676">
        <v>-0.13874439999999999</v>
      </c>
      <c r="U5676">
        <v>0.2739258</v>
      </c>
      <c r="V5676">
        <v>1.290212E-2</v>
      </c>
      <c r="W5676">
        <v>0.2138668</v>
      </c>
      <c r="X5676">
        <v>0.97677760000000002</v>
      </c>
      <c r="Y5676">
        <v>-8.0272620000000003E-2</v>
      </c>
      <c r="Z5676">
        <v>1.446782E-3</v>
      </c>
      <c r="AA5676">
        <v>0.99677190000000004</v>
      </c>
      <c r="AB5676">
        <v>32</v>
      </c>
      <c r="AC5676">
        <v>24.625900000000001</v>
      </c>
      <c r="AD5676">
        <v>-1.1094862387640001</v>
      </c>
      <c r="AE5676">
        <v>2.1891199999999902</v>
      </c>
      <c r="AF5676">
        <v>-1.9942069018489701</v>
      </c>
      <c r="AG5676">
        <v>-1.1094862387640001</v>
      </c>
      <c r="AH5676">
        <v>24.592597134382601</v>
      </c>
      <c r="AI5676">
        <v>92.574687392916005</v>
      </c>
      <c r="AJ5676">
        <v>94.635955366779001</v>
      </c>
      <c r="AK5676">
        <v>24.6982520574925</v>
      </c>
      <c r="AL5676">
        <v>77.650946254089504</v>
      </c>
      <c r="AM5676">
        <v>89.243231995984104</v>
      </c>
      <c r="AN5676">
        <v>0.99999997635224602</v>
      </c>
    </row>
    <row r="5677" spans="1:40" x14ac:dyDescent="0.25">
      <c r="A5677" t="str">
        <f>"20190312172820010"</f>
        <v>20190312172820010</v>
      </c>
      <c r="B5677" t="str">
        <f>"1552382900005741"</f>
        <v>1552382900005741</v>
      </c>
      <c r="C5677" t="s">
        <v>40</v>
      </c>
      <c r="D5677">
        <v>3.5655809999999999</v>
      </c>
      <c r="E5677">
        <v>0.47349239999999998</v>
      </c>
      <c r="F5677" t="s">
        <v>60</v>
      </c>
      <c r="G5677">
        <v>-227.0958</v>
      </c>
      <c r="H5677" s="1">
        <v>-2.1916069999999999E-6</v>
      </c>
      <c r="I5677">
        <v>-60.250239999999998</v>
      </c>
      <c r="J5677">
        <v>-251.6618</v>
      </c>
      <c r="K5677">
        <v>1.1094580000000001</v>
      </c>
      <c r="L5677">
        <v>-62.433869999999999</v>
      </c>
      <c r="M5677">
        <v>0.99995109999999998</v>
      </c>
      <c r="N5677">
        <v>0</v>
      </c>
      <c r="O5677">
        <v>8.0368650000000007E-3</v>
      </c>
      <c r="P5677">
        <v>0.97799559999999996</v>
      </c>
      <c r="Q5677">
        <v>0.2085475</v>
      </c>
      <c r="R5677">
        <v>-5.7278279999999999E-3</v>
      </c>
      <c r="S5677">
        <v>3.098465</v>
      </c>
      <c r="T5677">
        <v>-0.1389879</v>
      </c>
      <c r="U5677">
        <v>0.27374270000000001</v>
      </c>
      <c r="V5677">
        <v>1.332359E-2</v>
      </c>
      <c r="W5677">
        <v>0.2142134</v>
      </c>
      <c r="X5677">
        <v>0.97669600000000001</v>
      </c>
      <c r="Y5677">
        <v>-7.9924690000000007E-2</v>
      </c>
      <c r="Z5677">
        <v>1.42861299999999E-3</v>
      </c>
      <c r="AA5677">
        <v>0.99679989999999996</v>
      </c>
      <c r="AB5677">
        <v>32</v>
      </c>
      <c r="AC5677">
        <v>24.565999999999999</v>
      </c>
      <c r="AD5677">
        <v>-1.1094601916069999</v>
      </c>
      <c r="AE5677">
        <v>2.1836299999999902</v>
      </c>
      <c r="AF5677">
        <v>-1.98211146005757</v>
      </c>
      <c r="AG5677">
        <v>-1.1094601916069999</v>
      </c>
      <c r="AH5677">
        <v>24.5331098508948</v>
      </c>
      <c r="AI5677">
        <v>92.580922922772899</v>
      </c>
      <c r="AJ5677">
        <v>94.619083386882593</v>
      </c>
      <c r="AK5677">
        <v>24.638042672114199</v>
      </c>
      <c r="AL5677">
        <v>77.630616530496894</v>
      </c>
      <c r="AM5677">
        <v>89.218448598770095</v>
      </c>
      <c r="AN5677">
        <v>0.999999987603024</v>
      </c>
    </row>
    <row r="5678" spans="1:40" x14ac:dyDescent="0.25">
      <c r="A5678" t="str">
        <f>"20190312172820033"</f>
        <v>20190312172820033</v>
      </c>
      <c r="B5678" t="str">
        <f>"1552382900025260"</f>
        <v>1552382900025260</v>
      </c>
      <c r="C5678" t="s">
        <v>40</v>
      </c>
      <c r="D5678">
        <v>3.535587</v>
      </c>
      <c r="E5678">
        <v>0.47356670000000001</v>
      </c>
      <c r="F5678" t="s">
        <v>60</v>
      </c>
      <c r="G5678">
        <v>-226.7809</v>
      </c>
      <c r="H5678" s="1">
        <v>-2.0554919999999998E-6</v>
      </c>
      <c r="I5678">
        <v>-60.254860000000001</v>
      </c>
      <c r="J5678">
        <v>-251.34119999999999</v>
      </c>
      <c r="K5678">
        <v>1.109399</v>
      </c>
      <c r="L5678">
        <v>-62.43085</v>
      </c>
      <c r="M5678">
        <v>0.99994649999999996</v>
      </c>
      <c r="N5678">
        <v>0</v>
      </c>
      <c r="O5678">
        <v>8.4944740000000001E-3</v>
      </c>
      <c r="P5678">
        <v>0.97785809999999995</v>
      </c>
      <c r="Q5678">
        <v>0.20918490000000001</v>
      </c>
      <c r="R5678">
        <v>-5.9771909999999998E-3</v>
      </c>
      <c r="S5678">
        <v>3.098541</v>
      </c>
      <c r="T5678">
        <v>-0.13816609999999999</v>
      </c>
      <c r="U5678">
        <v>0.2713623</v>
      </c>
      <c r="V5678">
        <v>1.4057299999999899E-2</v>
      </c>
      <c r="W5678">
        <v>0.21497859999999999</v>
      </c>
      <c r="X5678">
        <v>0.97651759999999999</v>
      </c>
      <c r="Y5678">
        <v>-7.8708890000000004E-2</v>
      </c>
      <c r="Z5678">
        <v>1.372793E-3</v>
      </c>
      <c r="AA5678">
        <v>0.99689669999999997</v>
      </c>
      <c r="AB5678">
        <v>32</v>
      </c>
      <c r="AC5678">
        <v>24.560299999999899</v>
      </c>
      <c r="AD5678">
        <v>-1.109401055492</v>
      </c>
      <c r="AE5678">
        <v>2.1759899999999899</v>
      </c>
      <c r="AF5678">
        <v>-1.96330634615332</v>
      </c>
      <c r="AG5678">
        <v>-1.109401055492</v>
      </c>
      <c r="AH5678">
        <v>24.5282410754083</v>
      </c>
      <c r="AI5678">
        <v>92.5814517386505</v>
      </c>
      <c r="AJ5678">
        <v>94.576351536713602</v>
      </c>
      <c r="AK5678">
        <v>24.6316859505013</v>
      </c>
      <c r="AL5678">
        <v>77.585728367045803</v>
      </c>
      <c r="AM5678">
        <v>89.175264907248206</v>
      </c>
      <c r="AN5678">
        <v>1.0000000146254999</v>
      </c>
    </row>
    <row r="5679" spans="1:40" x14ac:dyDescent="0.25">
      <c r="A5679" t="str">
        <f>"20190312172820044"</f>
        <v>20190312172820044</v>
      </c>
      <c r="B5679" t="str">
        <f>"1552382900035020"</f>
        <v>1552382900035020</v>
      </c>
      <c r="C5679" t="s">
        <v>40</v>
      </c>
      <c r="D5679">
        <v>3.4731359999999998</v>
      </c>
      <c r="E5679">
        <v>0.47366150000000001</v>
      </c>
      <c r="F5679" t="s">
        <v>60</v>
      </c>
      <c r="G5679">
        <v>-226.29429999999999</v>
      </c>
      <c r="H5679" s="1">
        <v>-1.848616E-6</v>
      </c>
      <c r="I5679">
        <v>-60.246479999999998</v>
      </c>
      <c r="J5679">
        <v>-251.15969999999999</v>
      </c>
      <c r="K5679">
        <v>1.1093660000000001</v>
      </c>
      <c r="L5679">
        <v>-62.429110000000001</v>
      </c>
      <c r="M5679">
        <v>0.9999441</v>
      </c>
      <c r="N5679">
        <v>0</v>
      </c>
      <c r="O5679">
        <v>8.7164059999999995E-3</v>
      </c>
      <c r="P5679">
        <v>0.97780789999999995</v>
      </c>
      <c r="Q5679">
        <v>0.20941480000000001</v>
      </c>
      <c r="R5679">
        <v>-6.0869569999999996E-3</v>
      </c>
      <c r="S5679">
        <v>3.0989529999999998</v>
      </c>
      <c r="T5679">
        <v>-0.13726160000000001</v>
      </c>
      <c r="U5679">
        <v>0.2702637</v>
      </c>
      <c r="V5679">
        <v>1.440553E-2</v>
      </c>
      <c r="W5679">
        <v>0.215284</v>
      </c>
      <c r="X5679">
        <v>0.97644520000000001</v>
      </c>
      <c r="Y5679">
        <v>-7.8127089999999996E-2</v>
      </c>
      <c r="Z5679">
        <v>1.3409959999999999E-3</v>
      </c>
      <c r="AA5679">
        <v>0.99694249999999995</v>
      </c>
      <c r="AB5679">
        <v>32</v>
      </c>
      <c r="AC5679">
        <v>24.865399999999902</v>
      </c>
      <c r="AD5679">
        <v>-1.1093678486159999</v>
      </c>
      <c r="AE5679">
        <v>2.1826299999999801</v>
      </c>
      <c r="AF5679">
        <v>-1.96193093142856</v>
      </c>
      <c r="AG5679">
        <v>-1.1093678486159999</v>
      </c>
      <c r="AH5679">
        <v>24.834425654191101</v>
      </c>
      <c r="AI5679">
        <v>92.549800680836896</v>
      </c>
      <c r="AJ5679">
        <v>94.517011253840707</v>
      </c>
      <c r="AK5679">
        <v>24.936490682868399</v>
      </c>
      <c r="AL5679">
        <v>77.567810186662001</v>
      </c>
      <c r="AM5679">
        <v>89.154774689993801</v>
      </c>
      <c r="AN5679">
        <v>0.99999997427680998</v>
      </c>
    </row>
    <row r="5680" spans="1:40" x14ac:dyDescent="0.25">
      <c r="A5680" t="str">
        <f>"20190312172820056"</f>
        <v>20190312172820056</v>
      </c>
      <c r="B5680" t="str">
        <f>"1552382900044780"</f>
        <v>1552382900044780</v>
      </c>
      <c r="C5680" t="s">
        <v>40</v>
      </c>
      <c r="D5680">
        <v>3.4851990000000002</v>
      </c>
      <c r="E5680">
        <v>0.4737441</v>
      </c>
      <c r="F5680" t="s">
        <v>60</v>
      </c>
      <c r="G5680">
        <v>-226.0341</v>
      </c>
      <c r="H5680" s="1">
        <v>-1.737083E-6</v>
      </c>
      <c r="I5680">
        <v>-60.246119999999998</v>
      </c>
      <c r="J5680">
        <v>-251.00059999999999</v>
      </c>
      <c r="K5680">
        <v>1.1093440000000001</v>
      </c>
      <c r="L5680">
        <v>-62.427549999999997</v>
      </c>
      <c r="M5680">
        <v>0.9999422</v>
      </c>
      <c r="N5680">
        <v>0</v>
      </c>
      <c r="O5680">
        <v>8.8843930000000008E-3</v>
      </c>
      <c r="P5680">
        <v>0.9777747</v>
      </c>
      <c r="Q5680">
        <v>0.20955889999999999</v>
      </c>
      <c r="R5680">
        <v>-6.4835589999999999E-3</v>
      </c>
      <c r="S5680">
        <v>3.099075</v>
      </c>
      <c r="T5680">
        <v>-0.13683319999999999</v>
      </c>
      <c r="U5680">
        <v>0.26925660000000001</v>
      </c>
      <c r="V5680">
        <v>1.4983450000000001E-2</v>
      </c>
      <c r="W5680">
        <v>0.21549689999999999</v>
      </c>
      <c r="X5680">
        <v>0.97638959999999997</v>
      </c>
      <c r="Y5680">
        <v>-7.7635709999999997E-2</v>
      </c>
      <c r="Z5680">
        <v>1.3185600000000001E-3</v>
      </c>
      <c r="AA5680">
        <v>0.99698089999999995</v>
      </c>
      <c r="AB5680">
        <v>32</v>
      </c>
      <c r="AC5680">
        <v>24.9665</v>
      </c>
      <c r="AD5680">
        <v>-1.109345737083</v>
      </c>
      <c r="AE5680">
        <v>2.1814300000000002</v>
      </c>
      <c r="AF5680">
        <v>-1.9556957142965199</v>
      </c>
      <c r="AG5680">
        <v>-1.109345737083</v>
      </c>
      <c r="AH5680">
        <v>24.936036823372302</v>
      </c>
      <c r="AI5680">
        <v>92.539487126130297</v>
      </c>
      <c r="AJ5680">
        <v>94.484441860580901</v>
      </c>
      <c r="AK5680">
        <v>25.037198847871899</v>
      </c>
      <c r="AL5680">
        <v>77.555319474545698</v>
      </c>
      <c r="AM5680">
        <v>89.1208211682859</v>
      </c>
      <c r="AN5680">
        <v>1.00000003433583</v>
      </c>
    </row>
    <row r="5681" spans="1:40" x14ac:dyDescent="0.25">
      <c r="A5681" t="str">
        <f>"20190312172820066"</f>
        <v>20190312172820066</v>
      </c>
      <c r="B5681" t="str">
        <f>"1552382900055517"</f>
        <v>1552382900055517</v>
      </c>
      <c r="C5681" t="s">
        <v>40</v>
      </c>
      <c r="D5681">
        <v>3.446644</v>
      </c>
      <c r="E5681">
        <v>0.4738232</v>
      </c>
      <c r="F5681" t="s">
        <v>60</v>
      </c>
      <c r="G5681">
        <v>-225.8629</v>
      </c>
      <c r="H5681" s="1">
        <v>-1.6611380000000001E-6</v>
      </c>
      <c r="I5681">
        <v>-60.257280000000002</v>
      </c>
      <c r="J5681">
        <v>-250.84970000000001</v>
      </c>
      <c r="K5681">
        <v>1.109324</v>
      </c>
      <c r="L5681">
        <v>-62.426090000000002</v>
      </c>
      <c r="M5681">
        <v>0.99994050000000001</v>
      </c>
      <c r="N5681">
        <v>0</v>
      </c>
      <c r="O5681">
        <v>9.0353450000000002E-3</v>
      </c>
      <c r="P5681">
        <v>0.97777970000000003</v>
      </c>
      <c r="Q5681">
        <v>0.20953859999999999</v>
      </c>
      <c r="R5681">
        <v>-6.4011529999999997E-3</v>
      </c>
      <c r="S5681">
        <v>3.0992890000000002</v>
      </c>
      <c r="T5681">
        <v>-0.1367737</v>
      </c>
      <c r="U5681">
        <v>0.26757809999999999</v>
      </c>
      <c r="V5681">
        <v>1.506511E-2</v>
      </c>
      <c r="W5681">
        <v>0.2155415</v>
      </c>
      <c r="X5681">
        <v>0.97637839999999998</v>
      </c>
      <c r="Y5681">
        <v>-7.6944219999999994E-2</v>
      </c>
      <c r="Z5681">
        <v>1.296061E-3</v>
      </c>
      <c r="AA5681">
        <v>0.99703450000000005</v>
      </c>
      <c r="AB5681">
        <v>32</v>
      </c>
      <c r="AC5681">
        <v>24.986799999999999</v>
      </c>
      <c r="AD5681">
        <v>-1.109325661138</v>
      </c>
      <c r="AE5681">
        <v>2.1688100000000001</v>
      </c>
      <c r="AF5681">
        <v>-1.9391592988941699</v>
      </c>
      <c r="AG5681">
        <v>-1.109325661138</v>
      </c>
      <c r="AH5681">
        <v>24.956553627225802</v>
      </c>
      <c r="AI5681">
        <v>92.537499246113697</v>
      </c>
      <c r="AJ5681">
        <v>94.443035339834793</v>
      </c>
      <c r="AK5681">
        <v>25.056346724084602</v>
      </c>
      <c r="AL5681">
        <v>77.552701364984699</v>
      </c>
      <c r="AM5681">
        <v>89.116020251943795</v>
      </c>
      <c r="AN5681">
        <v>0.99999993787405905</v>
      </c>
    </row>
    <row r="5682" spans="1:40" x14ac:dyDescent="0.25">
      <c r="A5682" t="str">
        <f>"20190312172820076"</f>
        <v>20190312172820076</v>
      </c>
      <c r="B5682" t="str">
        <f>"1552382900065275"</f>
        <v>1552382900065275</v>
      </c>
      <c r="C5682" t="s">
        <v>40</v>
      </c>
      <c r="D5682">
        <v>3.48278</v>
      </c>
      <c r="E5682">
        <v>0.4738986</v>
      </c>
      <c r="F5682" t="s">
        <v>60</v>
      </c>
      <c r="G5682">
        <v>-225.80539999999999</v>
      </c>
      <c r="H5682" s="1">
        <v>-1.634694E-6</v>
      </c>
      <c r="I5682">
        <v>-60.2654</v>
      </c>
      <c r="J5682">
        <v>-250.709</v>
      </c>
      <c r="K5682">
        <v>1.109305</v>
      </c>
      <c r="L5682">
        <v>-62.424680000000002</v>
      </c>
      <c r="M5682">
        <v>0.99993889999999996</v>
      </c>
      <c r="N5682">
        <v>0</v>
      </c>
      <c r="O5682">
        <v>9.148471E-3</v>
      </c>
      <c r="P5682">
        <v>0.97781340000000005</v>
      </c>
      <c r="Q5682">
        <v>0.20937059999999999</v>
      </c>
      <c r="R5682">
        <v>-6.6981870000000004E-3</v>
      </c>
      <c r="S5682">
        <v>3.0993499999999998</v>
      </c>
      <c r="T5682">
        <v>-0.1372843</v>
      </c>
      <c r="U5682">
        <v>0.26739499999999999</v>
      </c>
      <c r="V5682">
        <v>1.5487320000000001E-2</v>
      </c>
      <c r="W5682">
        <v>0.2154382</v>
      </c>
      <c r="X5682">
        <v>0.97639469999999995</v>
      </c>
      <c r="Y5682">
        <v>-7.6771060000000002E-2</v>
      </c>
      <c r="Z5682">
        <v>1.2920480000000001E-3</v>
      </c>
      <c r="AA5682">
        <v>0.99704789999999999</v>
      </c>
      <c r="AB5682">
        <v>32</v>
      </c>
      <c r="AC5682">
        <v>24.903600000000001</v>
      </c>
      <c r="AD5682">
        <v>-1.1093066346939999</v>
      </c>
      <c r="AE5682">
        <v>2.1592799999999999</v>
      </c>
      <c r="AF5682">
        <v>-1.9275593184414399</v>
      </c>
      <c r="AG5682">
        <v>-1.1093066346939999</v>
      </c>
      <c r="AH5682">
        <v>24.873327621401899</v>
      </c>
      <c r="AI5682">
        <v>92.545975414632295</v>
      </c>
      <c r="AJ5682">
        <v>94.431281766845999</v>
      </c>
      <c r="AK5682">
        <v>24.9725543967268</v>
      </c>
      <c r="AL5682">
        <v>77.5587637416223</v>
      </c>
      <c r="AM5682">
        <v>89.091265381750503</v>
      </c>
      <c r="AN5682">
        <v>1.0000000426440501</v>
      </c>
    </row>
    <row r="5683" spans="1:40" x14ac:dyDescent="0.25">
      <c r="A5683" t="str">
        <f>"20190312172820086"</f>
        <v>20190312172820086</v>
      </c>
      <c r="B5683" t="str">
        <f>"1552382900075035"</f>
        <v>1552382900075035</v>
      </c>
      <c r="C5683" t="s">
        <v>40</v>
      </c>
      <c r="D5683">
        <v>3.549029</v>
      </c>
      <c r="E5683">
        <v>0.47388629999999998</v>
      </c>
      <c r="F5683" t="s">
        <v>60</v>
      </c>
      <c r="G5683">
        <v>-225.7808</v>
      </c>
      <c r="H5683" s="1">
        <v>-1.6199980000000001E-6</v>
      </c>
      <c r="I5683">
        <v>-60.284149999999997</v>
      </c>
      <c r="J5683">
        <v>-250.55600000000001</v>
      </c>
      <c r="K5683">
        <v>1.109286</v>
      </c>
      <c r="L5683">
        <v>-62.423219999999901</v>
      </c>
      <c r="M5683">
        <v>0.99993739999999998</v>
      </c>
      <c r="N5683">
        <v>0</v>
      </c>
      <c r="O5683">
        <v>9.2675169999999994E-3</v>
      </c>
      <c r="P5683">
        <v>0.97780540000000005</v>
      </c>
      <c r="Q5683">
        <v>0.2094036</v>
      </c>
      <c r="R5683">
        <v>-6.8499800000000003E-3</v>
      </c>
      <c r="S5683">
        <v>3.0994570000000001</v>
      </c>
      <c r="T5683">
        <v>-0.13792589999999999</v>
      </c>
      <c r="U5683">
        <v>0.26614379999999999</v>
      </c>
      <c r="V5683">
        <v>1.577054E-2</v>
      </c>
      <c r="W5683">
        <v>0.2155415</v>
      </c>
      <c r="X5683">
        <v>0.97636730000000005</v>
      </c>
      <c r="Y5683">
        <v>-7.6249880000000006E-2</v>
      </c>
      <c r="Z5683">
        <v>1.281204E-3</v>
      </c>
      <c r="AA5683">
        <v>0.99708790000000003</v>
      </c>
      <c r="AB5683">
        <v>32</v>
      </c>
      <c r="AC5683">
        <v>24.775199999999899</v>
      </c>
      <c r="AD5683">
        <v>-1.109287619998</v>
      </c>
      <c r="AE5683">
        <v>2.13906999999999</v>
      </c>
      <c r="AF5683">
        <v>-1.9055771507097501</v>
      </c>
      <c r="AG5683">
        <v>-1.109287619998</v>
      </c>
      <c r="AH5683">
        <v>24.744721043539801</v>
      </c>
      <c r="AI5683">
        <v>92.559241649319205</v>
      </c>
      <c r="AJ5683">
        <v>94.403624547528494</v>
      </c>
      <c r="AK5683">
        <v>24.842764798302699</v>
      </c>
      <c r="AL5683">
        <v>77.552701851354399</v>
      </c>
      <c r="AM5683">
        <v>89.074624053395297</v>
      </c>
      <c r="AN5683">
        <v>0.999999976331715</v>
      </c>
    </row>
    <row r="5684" spans="1:40" x14ac:dyDescent="0.25">
      <c r="A5684" t="str">
        <f>"20190312172820099"</f>
        <v>20190312172820099</v>
      </c>
      <c r="B5684" t="str">
        <f>"1552382900095532"</f>
        <v>1552382900095532</v>
      </c>
      <c r="C5684" t="s">
        <v>40</v>
      </c>
      <c r="D5684">
        <v>3.460134</v>
      </c>
      <c r="E5684">
        <v>0.47411320000000001</v>
      </c>
      <c r="F5684" t="s">
        <v>60</v>
      </c>
      <c r="G5684">
        <v>-225.76750000000001</v>
      </c>
      <c r="H5684" s="1">
        <v>-1.611457E-6</v>
      </c>
      <c r="I5684">
        <v>-60.297020000000003</v>
      </c>
      <c r="J5684">
        <v>-250.39240000000001</v>
      </c>
      <c r="K5684">
        <v>1.1092630000000001</v>
      </c>
      <c r="L5684">
        <v>-62.421599999999998</v>
      </c>
      <c r="M5684">
        <v>0.99993589999999999</v>
      </c>
      <c r="N5684">
        <v>0</v>
      </c>
      <c r="O5684">
        <v>9.3668069999999996E-3</v>
      </c>
      <c r="P5684">
        <v>0.97790509999999997</v>
      </c>
      <c r="Q5684">
        <v>0.20893339999999999</v>
      </c>
      <c r="R5684">
        <v>-6.9767800000000001E-3</v>
      </c>
      <c r="S5684">
        <v>3.0996549999999998</v>
      </c>
      <c r="T5684">
        <v>-0.13871029999999901</v>
      </c>
      <c r="U5684">
        <v>0.26586910000000002</v>
      </c>
      <c r="V5684">
        <v>1.6009820000000001E-2</v>
      </c>
      <c r="W5684">
        <v>0.21515229999999999</v>
      </c>
      <c r="X5684">
        <v>0.97644929999999996</v>
      </c>
      <c r="Y5684">
        <v>-7.6057260000000002E-2</v>
      </c>
      <c r="Z5684">
        <v>1.279674E-3</v>
      </c>
      <c r="AA5684">
        <v>0.99710259999999995</v>
      </c>
      <c r="AB5684">
        <v>32</v>
      </c>
      <c r="AC5684">
        <v>24.6249</v>
      </c>
      <c r="AD5684">
        <v>-1.1092646114569999</v>
      </c>
      <c r="AE5684">
        <v>2.1245799999999999</v>
      </c>
      <c r="AF5684">
        <v>-1.89001858283303</v>
      </c>
      <c r="AG5684">
        <v>-1.1092646114569999</v>
      </c>
      <c r="AH5684">
        <v>24.594183240333098</v>
      </c>
      <c r="AI5684">
        <v>92.574863789899098</v>
      </c>
      <c r="AJ5684">
        <v>94.394440134695202</v>
      </c>
      <c r="AK5684">
        <v>24.691627882356599</v>
      </c>
      <c r="AL5684">
        <v>77.575537829891005</v>
      </c>
      <c r="AM5684">
        <v>89.060665072927804</v>
      </c>
      <c r="AN5684">
        <v>1.0000000310010999</v>
      </c>
    </row>
    <row r="5685" spans="1:40" x14ac:dyDescent="0.25">
      <c r="A5685" t="str">
        <f>"20190312172820110"</f>
        <v>20190312172820110</v>
      </c>
      <c r="B5685" t="str">
        <f>"1552382900105291"</f>
        <v>1552382900105291</v>
      </c>
      <c r="C5685" t="s">
        <v>40</v>
      </c>
      <c r="D5685">
        <v>3.4728789999999998</v>
      </c>
      <c r="E5685">
        <v>0.4742131</v>
      </c>
      <c r="F5685" t="s">
        <v>60</v>
      </c>
      <c r="G5685">
        <v>-226.06559999999999</v>
      </c>
      <c r="H5685" s="1">
        <v>-1.7276929999999901E-6</v>
      </c>
      <c r="I5685">
        <v>-60.349510000000002</v>
      </c>
      <c r="J5685">
        <v>-250.2321</v>
      </c>
      <c r="K5685">
        <v>1.1092470000000001</v>
      </c>
      <c r="L5685">
        <v>-62.420009999999998</v>
      </c>
      <c r="M5685">
        <v>0.99993460000000001</v>
      </c>
      <c r="N5685">
        <v>0</v>
      </c>
      <c r="O5685">
        <v>9.4586480000000001E-3</v>
      </c>
      <c r="P5685">
        <v>0.97792250000000003</v>
      </c>
      <c r="Q5685">
        <v>0.2088488</v>
      </c>
      <c r="R5685">
        <v>-7.0844439999999996E-3</v>
      </c>
      <c r="S5685">
        <v>3.099869</v>
      </c>
      <c r="T5685">
        <v>-0.14134920000000001</v>
      </c>
      <c r="U5685">
        <v>0.2640381</v>
      </c>
      <c r="V5685">
        <v>1.6220729999999999E-2</v>
      </c>
      <c r="W5685">
        <v>0.21514849999999999</v>
      </c>
      <c r="X5685">
        <v>0.97644660000000005</v>
      </c>
      <c r="Y5685">
        <v>-7.5373369999999995E-2</v>
      </c>
      <c r="Z5685">
        <v>1.2842039999999999E-3</v>
      </c>
      <c r="AA5685">
        <v>0.99715450000000005</v>
      </c>
      <c r="AB5685">
        <v>32</v>
      </c>
      <c r="AC5685">
        <v>24.166499999999999</v>
      </c>
      <c r="AD5685">
        <v>-1.1092487276930001</v>
      </c>
      <c r="AE5685">
        <v>2.0705</v>
      </c>
      <c r="AF5685">
        <v>-1.83797614009598</v>
      </c>
      <c r="AG5685">
        <v>-1.1092487276930001</v>
      </c>
      <c r="AH5685">
        <v>24.1345265033051</v>
      </c>
      <c r="AI5685">
        <v>92.623936273027297</v>
      </c>
      <c r="AJ5685">
        <v>94.354980706655596</v>
      </c>
      <c r="AK5685">
        <v>24.229815487745402</v>
      </c>
      <c r="AL5685">
        <v>77.575760079397995</v>
      </c>
      <c r="AM5685">
        <v>89.048290102373301</v>
      </c>
      <c r="AN5685">
        <v>0.99999997589277101</v>
      </c>
    </row>
    <row r="5686" spans="1:40" x14ac:dyDescent="0.25">
      <c r="A5686" t="str">
        <f>"20190312172820121"</f>
        <v>20190312172820121</v>
      </c>
      <c r="B5686" t="str">
        <f>"1552382900115051"</f>
        <v>1552382900115051</v>
      </c>
      <c r="C5686" t="s">
        <v>40</v>
      </c>
      <c r="D5686">
        <v>3.4681250000000001</v>
      </c>
      <c r="E5686">
        <v>0.47432340000000001</v>
      </c>
      <c r="F5686" t="s">
        <v>60</v>
      </c>
      <c r="G5686">
        <v>-226.00649999999999</v>
      </c>
      <c r="H5686" s="1">
        <v>-1.6993829999999999E-6</v>
      </c>
      <c r="I5686">
        <v>-60.363039999999998</v>
      </c>
      <c r="J5686">
        <v>-250.0581</v>
      </c>
      <c r="K5686">
        <v>1.1092360000000001</v>
      </c>
      <c r="L5686">
        <v>-62.418300000000002</v>
      </c>
      <c r="M5686">
        <v>0.99993330000000002</v>
      </c>
      <c r="N5686">
        <v>0</v>
      </c>
      <c r="O5686">
        <v>9.5388969999999993E-3</v>
      </c>
      <c r="P5686">
        <v>0.97793300000000005</v>
      </c>
      <c r="Q5686">
        <v>0.20879980000000001</v>
      </c>
      <c r="R5686">
        <v>-7.0631259999999899E-3</v>
      </c>
      <c r="S5686">
        <v>3.099945</v>
      </c>
      <c r="T5686">
        <v>-0.1419414</v>
      </c>
      <c r="U5686">
        <v>0.26321409999999901</v>
      </c>
      <c r="V5686">
        <v>1.629015E-2</v>
      </c>
      <c r="W5686">
        <v>0.2151914</v>
      </c>
      <c r="X5686">
        <v>0.97643599999999997</v>
      </c>
      <c r="Y5686">
        <v>-7.5027990000000003E-2</v>
      </c>
      <c r="Z5686">
        <v>1.2780070000000001E-3</v>
      </c>
      <c r="AA5686">
        <v>0.99718059999999997</v>
      </c>
      <c r="AB5686">
        <v>32</v>
      </c>
      <c r="AC5686">
        <v>24.051600000000001</v>
      </c>
      <c r="AD5686">
        <v>-1.109237699383</v>
      </c>
      <c r="AE5686">
        <v>2.0552599999999899</v>
      </c>
      <c r="AF5686">
        <v>-1.8218888783706899</v>
      </c>
      <c r="AG5686">
        <v>-1.109237699383</v>
      </c>
      <c r="AH5686">
        <v>24.019392850744399</v>
      </c>
      <c r="AI5686">
        <v>92.636530494220807</v>
      </c>
      <c r="AJ5686">
        <v>94.337621773890305</v>
      </c>
      <c r="AK5686">
        <v>24.113915490381299</v>
      </c>
      <c r="AL5686">
        <v>77.573243248243202</v>
      </c>
      <c r="AM5686">
        <v>89.044207441304906</v>
      </c>
      <c r="AN5686">
        <v>0.99999998485849095</v>
      </c>
    </row>
    <row r="5687" spans="1:40" x14ac:dyDescent="0.25">
      <c r="A5687" t="str">
        <f>"20190312172820133"</f>
        <v>20190312172820133</v>
      </c>
      <c r="B5687" t="str">
        <f>"1552382900125787"</f>
        <v>1552382900125787</v>
      </c>
      <c r="C5687" t="s">
        <v>40</v>
      </c>
      <c r="D5687">
        <v>3.3421219999999998</v>
      </c>
      <c r="E5687">
        <v>0.47432340000000001</v>
      </c>
      <c r="F5687" t="s">
        <v>60</v>
      </c>
      <c r="G5687">
        <v>-226.01009999999999</v>
      </c>
      <c r="H5687" s="1">
        <v>-1.6967800000000001E-6</v>
      </c>
      <c r="I5687">
        <v>-60.381720000000001</v>
      </c>
      <c r="J5687">
        <v>-249.89519999999999</v>
      </c>
      <c r="K5687">
        <v>1.1092299999999999</v>
      </c>
      <c r="L5687">
        <v>-62.416690000000003</v>
      </c>
      <c r="M5687">
        <v>0.99993200000000004</v>
      </c>
      <c r="N5687">
        <v>0</v>
      </c>
      <c r="O5687">
        <v>9.6077349999999992E-3</v>
      </c>
      <c r="P5687">
        <v>0.97805679999999995</v>
      </c>
      <c r="Q5687">
        <v>0.20822599999999999</v>
      </c>
      <c r="R5687">
        <v>-6.8660229999999997E-3</v>
      </c>
      <c r="S5687">
        <v>3.1001129999999999</v>
      </c>
      <c r="T5687">
        <v>-0.1429955</v>
      </c>
      <c r="U5687">
        <v>0.26254270000000002</v>
      </c>
      <c r="V5687">
        <v>1.6171669999999999E-2</v>
      </c>
      <c r="W5687">
        <v>0.2147056</v>
      </c>
      <c r="X5687">
        <v>0.97654490000000005</v>
      </c>
      <c r="Y5687">
        <v>-7.4739730000000004E-2</v>
      </c>
      <c r="Z5687">
        <v>1.2776300000000001E-3</v>
      </c>
      <c r="AA5687">
        <v>0.99720229999999999</v>
      </c>
      <c r="AB5687">
        <v>32</v>
      </c>
      <c r="AC5687">
        <v>23.885099999999898</v>
      </c>
      <c r="AD5687">
        <v>-1.10923169677999</v>
      </c>
      <c r="AE5687">
        <v>2.0349699999999999</v>
      </c>
      <c r="AF5687">
        <v>-1.80153197669325</v>
      </c>
      <c r="AG5687">
        <v>-1.10923169677999</v>
      </c>
      <c r="AH5687">
        <v>23.8524774070181</v>
      </c>
      <c r="AI5687">
        <v>92.655004195039993</v>
      </c>
      <c r="AJ5687">
        <v>94.3192400240724</v>
      </c>
      <c r="AK5687">
        <v>23.946118492826699</v>
      </c>
      <c r="AL5687">
        <v>77.601743660793502</v>
      </c>
      <c r="AM5687">
        <v>89.051263538446804</v>
      </c>
      <c r="AN5687">
        <v>0.99999997964897902</v>
      </c>
    </row>
    <row r="5688" spans="1:40" x14ac:dyDescent="0.25">
      <c r="A5688" t="str">
        <f>"20190312172820256"</f>
        <v>20190312172820256</v>
      </c>
      <c r="B5688" t="str">
        <f>"1552382900244859"</f>
        <v>1552382900244859</v>
      </c>
      <c r="C5688" t="s">
        <v>40</v>
      </c>
      <c r="D5688">
        <v>3.6231879999999999</v>
      </c>
      <c r="E5688">
        <v>0.48459930000000001</v>
      </c>
      <c r="F5688" t="s">
        <v>60</v>
      </c>
      <c r="G5688">
        <v>-226.12909999999999</v>
      </c>
      <c r="H5688" s="1">
        <v>-1.750171E-6</v>
      </c>
      <c r="I5688">
        <v>-60.396140000000003</v>
      </c>
      <c r="J5688">
        <v>-248.10579999999999</v>
      </c>
      <c r="K5688">
        <v>1.109491</v>
      </c>
      <c r="L5688">
        <v>-62.398499999999999</v>
      </c>
      <c r="M5688">
        <v>0.99991229999999998</v>
      </c>
      <c r="N5688">
        <v>0</v>
      </c>
      <c r="O5688">
        <v>1.011424E-2</v>
      </c>
      <c r="P5688">
        <v>0.97832010000000003</v>
      </c>
      <c r="Q5688">
        <v>0.20704639999999999</v>
      </c>
      <c r="R5688">
        <v>-4.6575239999999997E-3</v>
      </c>
      <c r="S5688">
        <v>3.099945</v>
      </c>
      <c r="T5688">
        <v>-0.14468310000000001</v>
      </c>
      <c r="U5688">
        <v>0.2635498</v>
      </c>
      <c r="V5688">
        <v>1.4503439999999999E-2</v>
      </c>
      <c r="W5688">
        <v>0.21541399999999999</v>
      </c>
      <c r="X5688">
        <v>0.97641509999999998</v>
      </c>
      <c r="Y5688">
        <v>-7.4559760000000003E-2</v>
      </c>
      <c r="Z5688">
        <v>1.264968E-3</v>
      </c>
      <c r="AA5688">
        <v>0.99721570000000004</v>
      </c>
      <c r="AB5688">
        <v>32</v>
      </c>
      <c r="AC5688">
        <v>21.976699999999902</v>
      </c>
      <c r="AD5688">
        <v>-1.1094927501709999</v>
      </c>
      <c r="AE5688">
        <v>2.0023599999999901</v>
      </c>
      <c r="AF5688">
        <v>-1.7754838556964501</v>
      </c>
      <c r="AG5688">
        <v>-1.1094927501709999</v>
      </c>
      <c r="AH5688">
        <v>21.9403691997801</v>
      </c>
      <c r="AI5688">
        <v>92.885482387143796</v>
      </c>
      <c r="AJ5688">
        <v>94.626473803804203</v>
      </c>
      <c r="AK5688">
        <v>22.040034430716801</v>
      </c>
      <c r="AL5688">
        <v>77.5601830278503</v>
      </c>
      <c r="AM5688">
        <v>89.149004563898799</v>
      </c>
      <c r="AN5688">
        <v>0.99999999433792097</v>
      </c>
    </row>
    <row r="5689" spans="1:40" x14ac:dyDescent="0.25">
      <c r="A5689" t="str">
        <f>"20190312172820269"</f>
        <v>20190312172820269</v>
      </c>
      <c r="B5689" t="str">
        <f>"1552382900265356"</f>
        <v>1552382900265356</v>
      </c>
      <c r="C5689" t="s">
        <v>40</v>
      </c>
      <c r="D5689">
        <v>3.4612479999999999</v>
      </c>
      <c r="E5689">
        <v>0.48573549999999899</v>
      </c>
      <c r="F5689" t="s">
        <v>44</v>
      </c>
      <c r="G5689">
        <v>-247.24440000000001</v>
      </c>
      <c r="H5689">
        <v>0.97011420000000004</v>
      </c>
      <c r="I5689">
        <v>-62.337809999999998</v>
      </c>
      <c r="J5689">
        <v>-247.922</v>
      </c>
      <c r="K5689">
        <v>1.1095139999999999</v>
      </c>
      <c r="L5689">
        <v>-62.39658</v>
      </c>
      <c r="M5689">
        <v>0.99990970000000001</v>
      </c>
      <c r="N5689">
        <v>0</v>
      </c>
      <c r="O5689">
        <v>1.0160310000000001E-2</v>
      </c>
      <c r="P5689">
        <v>0.97838460000000005</v>
      </c>
      <c r="Q5689">
        <v>0.20674680000000001</v>
      </c>
      <c r="R5689">
        <v>-4.3840479999999998E-3</v>
      </c>
      <c r="S5689">
        <v>3.1763309999999998</v>
      </c>
      <c r="T5689">
        <v>-0.5139338</v>
      </c>
      <c r="U5689">
        <v>0.2244263</v>
      </c>
      <c r="V5689">
        <v>1.427789E-2</v>
      </c>
      <c r="W5689">
        <v>0.21535199999999999</v>
      </c>
      <c r="X5689">
        <v>0.97643210000000003</v>
      </c>
      <c r="Y5689">
        <v>-5.9700070000000001E-2</v>
      </c>
      <c r="Z5689">
        <v>3.161475E-3</v>
      </c>
      <c r="AA5689">
        <v>0.99821130000000002</v>
      </c>
      <c r="AB5689">
        <v>32</v>
      </c>
      <c r="AC5689">
        <v>0.67759999999998399</v>
      </c>
      <c r="AD5689">
        <v>-0.13939979999999899</v>
      </c>
      <c r="AE5689">
        <v>5.8770000000009703E-2</v>
      </c>
      <c r="AF5689">
        <v>-4.9790518396981197E-2</v>
      </c>
      <c r="AG5689">
        <v>-0.13939979999999899</v>
      </c>
      <c r="AH5689">
        <v>0.65082297784848697</v>
      </c>
      <c r="AI5689">
        <v>102.055323275505</v>
      </c>
      <c r="AJ5689">
        <v>94.374830758284105</v>
      </c>
      <c r="AK5689">
        <v>0.66744434109358697</v>
      </c>
      <c r="AL5689">
        <v>77.563820740138198</v>
      </c>
      <c r="AM5689">
        <v>89.162251487481001</v>
      </c>
      <c r="AN5689">
        <v>0.99999999397863004</v>
      </c>
    </row>
    <row r="5690" spans="1:40" x14ac:dyDescent="0.25">
      <c r="A5690" t="str">
        <f>"20190312172820279"</f>
        <v>20190312172820279</v>
      </c>
      <c r="B5690" t="str">
        <f>"1552382900275116"</f>
        <v>1552382900275116</v>
      </c>
      <c r="C5690" t="s">
        <v>40</v>
      </c>
      <c r="D5690">
        <v>3.5026320000000002</v>
      </c>
      <c r="E5690">
        <v>0.4863712</v>
      </c>
      <c r="F5690" t="s">
        <v>44</v>
      </c>
      <c r="G5690">
        <v>-246.95330000000001</v>
      </c>
      <c r="H5690">
        <v>0.97299000000000002</v>
      </c>
      <c r="I5690">
        <v>-62.332709999999999</v>
      </c>
      <c r="J5690">
        <v>-247.7542</v>
      </c>
      <c r="K5690">
        <v>1.1095330000000001</v>
      </c>
      <c r="L5690">
        <v>-62.39481</v>
      </c>
      <c r="M5690">
        <v>0.9999074</v>
      </c>
      <c r="N5690">
        <v>0</v>
      </c>
      <c r="O5690">
        <v>1.020416E-2</v>
      </c>
      <c r="P5690">
        <v>0.97847819999999996</v>
      </c>
      <c r="Q5690">
        <v>0.20630799999999999</v>
      </c>
      <c r="R5690">
        <v>-4.1748829999999999E-3</v>
      </c>
      <c r="S5690">
        <v>3.161362</v>
      </c>
      <c r="T5690">
        <v>-0.44548389999999999</v>
      </c>
      <c r="U5690">
        <v>0.2088013</v>
      </c>
      <c r="V5690">
        <v>1.411401E-2</v>
      </c>
      <c r="W5690">
        <v>0.21511079999999999</v>
      </c>
      <c r="X5690">
        <v>0.97648760000000001</v>
      </c>
      <c r="Y5690">
        <v>-5.5275190000000002E-2</v>
      </c>
      <c r="Z5690">
        <v>2.44202E-3</v>
      </c>
      <c r="AA5690">
        <v>0.99846820000000003</v>
      </c>
      <c r="AB5690">
        <v>32</v>
      </c>
      <c r="AC5690">
        <v>0.80089999999998396</v>
      </c>
      <c r="AD5690">
        <v>-0.136543</v>
      </c>
      <c r="AE5690">
        <v>6.2100000000000898E-2</v>
      </c>
      <c r="AF5690">
        <v>-5.2409697412786102E-2</v>
      </c>
      <c r="AG5690">
        <v>-0.136543</v>
      </c>
      <c r="AH5690">
        <v>0.77898547759069003</v>
      </c>
      <c r="AI5690">
        <v>99.9200047130835</v>
      </c>
      <c r="AJ5690">
        <v>93.849026703160405</v>
      </c>
      <c r="AK5690">
        <v>0.79259645566271397</v>
      </c>
      <c r="AL5690">
        <v>77.577971558047494</v>
      </c>
      <c r="AM5690">
        <v>89.171912784452701</v>
      </c>
      <c r="AN5690">
        <v>0.99999994725433805</v>
      </c>
    </row>
    <row r="5691" spans="1:40" x14ac:dyDescent="0.25">
      <c r="A5691" t="str">
        <f>"20190312172820290"</f>
        <v>20190312172820290</v>
      </c>
      <c r="B5691" t="str">
        <f>"1552382900284876"</f>
        <v>1552382900284876</v>
      </c>
      <c r="C5691" t="s">
        <v>40</v>
      </c>
      <c r="D5691">
        <v>4.0086690000000003</v>
      </c>
      <c r="E5691">
        <v>0.48676330000000001</v>
      </c>
      <c r="F5691" t="s">
        <v>44</v>
      </c>
      <c r="G5691">
        <v>-246.93719999999999</v>
      </c>
      <c r="H5691">
        <v>1.0076350000000001</v>
      </c>
      <c r="I5691">
        <v>-62.343449999999997</v>
      </c>
      <c r="J5691">
        <v>-247.6147</v>
      </c>
      <c r="K5691">
        <v>1.1095469999999901</v>
      </c>
      <c r="L5691">
        <v>-62.393340000000002</v>
      </c>
      <c r="M5691">
        <v>0.99990559999999995</v>
      </c>
      <c r="N5691">
        <v>0</v>
      </c>
      <c r="O5691">
        <v>1.024048E-2</v>
      </c>
      <c r="P5691">
        <v>0.97848139999999995</v>
      </c>
      <c r="Q5691">
        <v>0.20629539999999999</v>
      </c>
      <c r="R5691">
        <v>-4.0413659999999898E-3</v>
      </c>
      <c r="S5691">
        <v>3.1496580000000001</v>
      </c>
      <c r="T5691">
        <v>-0.39282699999999998</v>
      </c>
      <c r="U5691">
        <v>0.1984253</v>
      </c>
      <c r="V5691">
        <v>1.4017369999999999E-2</v>
      </c>
      <c r="W5691">
        <v>0.215258</v>
      </c>
      <c r="X5691">
        <v>0.97645660000000001</v>
      </c>
      <c r="Y5691">
        <v>-5.2325690000000001E-2</v>
      </c>
      <c r="Z5691">
        <v>1.9763129999999999E-3</v>
      </c>
      <c r="AA5691">
        <v>0.99862810000000002</v>
      </c>
      <c r="AB5691">
        <v>32</v>
      </c>
      <c r="AC5691">
        <v>0.67750000000000898</v>
      </c>
      <c r="AD5691">
        <v>-0.101911999999999</v>
      </c>
      <c r="AE5691">
        <v>4.9890000000004799E-2</v>
      </c>
      <c r="AF5691">
        <v>-4.2003861010418898E-2</v>
      </c>
      <c r="AG5691">
        <v>-0.101911999999999</v>
      </c>
      <c r="AH5691">
        <v>0.66305322767025598</v>
      </c>
      <c r="AI5691">
        <v>98.720830602178594</v>
      </c>
      <c r="AJ5691">
        <v>93.624795429146602</v>
      </c>
      <c r="AK5691">
        <v>0.67215322866718896</v>
      </c>
      <c r="AL5691">
        <v>77.569335871845198</v>
      </c>
      <c r="AM5691">
        <v>89.177555890660699</v>
      </c>
      <c r="AN5691">
        <v>0.999999992454638</v>
      </c>
    </row>
    <row r="5692" spans="1:40" x14ac:dyDescent="0.25">
      <c r="A5692" t="str">
        <f>"20190312172820300"</f>
        <v>20190312172820300</v>
      </c>
      <c r="B5692" t="str">
        <f>"1552382900295611"</f>
        <v>1552382900295611</v>
      </c>
      <c r="C5692" t="s">
        <v>40</v>
      </c>
      <c r="D5692">
        <v>3.5535269999999999</v>
      </c>
      <c r="E5692">
        <v>0.48739100000000002</v>
      </c>
      <c r="F5692" t="s">
        <v>44</v>
      </c>
      <c r="G5692">
        <v>-246.65219999999999</v>
      </c>
      <c r="H5692">
        <v>0.99771049999999994</v>
      </c>
      <c r="I5692">
        <v>-62.334499999999998</v>
      </c>
      <c r="J5692">
        <v>-247.46119999999999</v>
      </c>
      <c r="K5692">
        <v>1.109564</v>
      </c>
      <c r="L5692">
        <v>-62.3917199999999</v>
      </c>
      <c r="M5692">
        <v>0.99990369999999995</v>
      </c>
      <c r="N5692">
        <v>0</v>
      </c>
      <c r="O5692">
        <v>1.0279969999999999E-2</v>
      </c>
      <c r="P5692">
        <v>0.97850429999999999</v>
      </c>
      <c r="Q5692">
        <v>0.20619299999999999</v>
      </c>
      <c r="R5692">
        <v>-3.722047E-3</v>
      </c>
      <c r="S5692">
        <v>3.143799</v>
      </c>
      <c r="T5692">
        <v>-0.3652842</v>
      </c>
      <c r="U5692">
        <v>0.1925354</v>
      </c>
      <c r="V5692">
        <v>1.373768E-2</v>
      </c>
      <c r="W5692">
        <v>0.21532219999999999</v>
      </c>
      <c r="X5692">
        <v>0.97644640000000005</v>
      </c>
      <c r="Y5692">
        <v>-5.0593800000000001E-2</v>
      </c>
      <c r="Z5692">
        <v>1.737443E-3</v>
      </c>
      <c r="AA5692">
        <v>0.99871779999999999</v>
      </c>
      <c r="AB5692">
        <v>32</v>
      </c>
      <c r="AC5692">
        <v>0.80899999999999705</v>
      </c>
      <c r="AD5692">
        <v>-0.11185349999999999</v>
      </c>
      <c r="AE5692">
        <v>5.7219999999993797E-2</v>
      </c>
      <c r="AF5692">
        <v>-4.7987348407673602E-2</v>
      </c>
      <c r="AG5692">
        <v>-0.11185349999999999</v>
      </c>
      <c r="AH5692">
        <v>0.794434500749715</v>
      </c>
      <c r="AI5692">
        <v>97.999965297744694</v>
      </c>
      <c r="AJ5692">
        <v>93.4567177523612</v>
      </c>
      <c r="AK5692">
        <v>0.80370402951017805</v>
      </c>
      <c r="AL5692">
        <v>77.565568906316997</v>
      </c>
      <c r="AM5692">
        <v>89.193955595198801</v>
      </c>
      <c r="AN5692">
        <v>0.99999997286879005</v>
      </c>
    </row>
    <row r="5693" spans="1:40" x14ac:dyDescent="0.25">
      <c r="A5693" t="str">
        <f>"20190312172820312"</f>
        <v>20190312172820312</v>
      </c>
      <c r="B5693" t="str">
        <f>"1552382900305372"</f>
        <v>1552382900305372</v>
      </c>
      <c r="C5693" t="s">
        <v>40</v>
      </c>
      <c r="D5693">
        <v>3.5261770000000001</v>
      </c>
      <c r="E5693">
        <v>0.4880081</v>
      </c>
      <c r="F5693" t="s">
        <v>44</v>
      </c>
      <c r="G5693">
        <v>-246.6377</v>
      </c>
      <c r="H5693">
        <v>1.0214000000000001</v>
      </c>
      <c r="I5693">
        <v>-62.343229999999998</v>
      </c>
      <c r="J5693">
        <v>-247.30760000000001</v>
      </c>
      <c r="K5693">
        <v>1.109577</v>
      </c>
      <c r="L5693">
        <v>-62.390079999999998</v>
      </c>
      <c r="M5693">
        <v>0.99990159999999995</v>
      </c>
      <c r="N5693">
        <v>0</v>
      </c>
      <c r="O5693">
        <v>1.0319409999999999E-2</v>
      </c>
      <c r="P5693">
        <v>0.97853639999999997</v>
      </c>
      <c r="Q5693">
        <v>0.20604339999999999</v>
      </c>
      <c r="R5693">
        <v>-3.581477E-3</v>
      </c>
      <c r="S5693">
        <v>3.1373899999999999</v>
      </c>
      <c r="T5693">
        <v>-0.33591290000000001</v>
      </c>
      <c r="U5693">
        <v>0.18521119999999999</v>
      </c>
      <c r="V5693">
        <v>1.3637059999999999E-2</v>
      </c>
      <c r="W5693">
        <v>0.21533389999999999</v>
      </c>
      <c r="X5693">
        <v>0.97644529999999996</v>
      </c>
      <c r="Y5693">
        <v>-4.8408930000000003E-2</v>
      </c>
      <c r="Z5693">
        <v>1.481174E-3</v>
      </c>
      <c r="AA5693">
        <v>0.99882649999999995</v>
      </c>
      <c r="AB5693">
        <v>32</v>
      </c>
      <c r="AC5693">
        <v>0.66990000000001204</v>
      </c>
      <c r="AD5693">
        <v>-8.8176999999999894E-2</v>
      </c>
      <c r="AE5693">
        <v>4.6849999999999101E-2</v>
      </c>
      <c r="AF5693">
        <v>-3.9257369524343902E-2</v>
      </c>
      <c r="AG5693">
        <v>-8.8176999999999894E-2</v>
      </c>
      <c r="AH5693">
        <v>0.65898599319222195</v>
      </c>
      <c r="AI5693">
        <v>97.607982482980105</v>
      </c>
      <c r="AJ5693">
        <v>93.409217283640899</v>
      </c>
      <c r="AK5693">
        <v>0.66601716465456795</v>
      </c>
      <c r="AL5693">
        <v>77.564883301881395</v>
      </c>
      <c r="AM5693">
        <v>89.199857699725996</v>
      </c>
      <c r="AN5693">
        <v>1.00000004089337</v>
      </c>
    </row>
    <row r="5694" spans="1:40" x14ac:dyDescent="0.25">
      <c r="A5694" t="str">
        <f>"20190312172820321"</f>
        <v>20190312172820321</v>
      </c>
      <c r="B5694" t="str">
        <f>"1552382900315132"</f>
        <v>1552382900315132</v>
      </c>
      <c r="C5694" t="s">
        <v>40</v>
      </c>
      <c r="D5694">
        <v>3.595504</v>
      </c>
      <c r="E5694">
        <v>0.48827690000000001</v>
      </c>
      <c r="F5694" t="s">
        <v>44</v>
      </c>
      <c r="G5694">
        <v>-246.35290000000001</v>
      </c>
      <c r="H5694">
        <v>1.013577</v>
      </c>
      <c r="I5694">
        <v>-62.33578</v>
      </c>
      <c r="J5694">
        <v>-247.1542</v>
      </c>
      <c r="K5694">
        <v>1.109586</v>
      </c>
      <c r="L5694">
        <v>-62.38843</v>
      </c>
      <c r="M5694">
        <v>0.99989969999999995</v>
      </c>
      <c r="N5694">
        <v>0</v>
      </c>
      <c r="O5694">
        <v>1.0358569999999999E-2</v>
      </c>
      <c r="P5694">
        <v>0.97850320000000002</v>
      </c>
      <c r="Q5694">
        <v>0.20620260000000001</v>
      </c>
      <c r="R5694">
        <v>-3.4588280000000002E-3</v>
      </c>
      <c r="S5694">
        <v>3.1327820000000002</v>
      </c>
      <c r="T5694">
        <v>-0.31500899999999998</v>
      </c>
      <c r="U5694">
        <v>0.1782532</v>
      </c>
      <c r="V5694">
        <v>1.355394E-2</v>
      </c>
      <c r="W5694">
        <v>0.2156449</v>
      </c>
      <c r="X5694">
        <v>0.97637779999999996</v>
      </c>
      <c r="Y5694">
        <v>-4.6281530000000001E-2</v>
      </c>
      <c r="Z5694">
        <v>1.2810619999999999E-3</v>
      </c>
      <c r="AA5694">
        <v>0.99892760000000003</v>
      </c>
      <c r="AB5694">
        <v>32</v>
      </c>
      <c r="AC5694">
        <v>0.80129999999999701</v>
      </c>
      <c r="AD5694">
        <v>-9.6008999999999997E-2</v>
      </c>
      <c r="AE5694">
        <v>5.2649999999999801E-2</v>
      </c>
      <c r="AF5694">
        <v>-4.3721497741609203E-2</v>
      </c>
      <c r="AG5694">
        <v>-9.6008999999999997E-2</v>
      </c>
      <c r="AH5694">
        <v>0.790502731382137</v>
      </c>
      <c r="AI5694">
        <v>96.914368340932199</v>
      </c>
      <c r="AJ5694">
        <v>93.165716609606207</v>
      </c>
      <c r="AK5694">
        <v>0.79751104429242103</v>
      </c>
      <c r="AL5694">
        <v>77.546635345973598</v>
      </c>
      <c r="AM5694">
        <v>89.204679090996606</v>
      </c>
      <c r="AN5694">
        <v>1.0000000202591799</v>
      </c>
    </row>
    <row r="5695" spans="1:40" x14ac:dyDescent="0.25">
      <c r="A5695" t="str">
        <f>"20190312172820332"</f>
        <v>20190312172820332</v>
      </c>
      <c r="B5695" t="str">
        <f>"1552382900324892"</f>
        <v>1552382900324892</v>
      </c>
      <c r="C5695" t="s">
        <v>40</v>
      </c>
      <c r="D5695">
        <v>3.5379170000000002</v>
      </c>
      <c r="E5695">
        <v>0.48865419999999998</v>
      </c>
      <c r="F5695" t="s">
        <v>59</v>
      </c>
      <c r="G5695">
        <v>-235.47110000000001</v>
      </c>
      <c r="H5695" s="1">
        <v>-1.694154E-6</v>
      </c>
      <c r="I5695">
        <v>-61.73639</v>
      </c>
      <c r="J5695">
        <v>-247.00149999999999</v>
      </c>
      <c r="K5695">
        <v>1.1095950000000001</v>
      </c>
      <c r="L5695">
        <v>-62.386809999999997</v>
      </c>
      <c r="M5695">
        <v>0.99989799999999995</v>
      </c>
      <c r="N5695">
        <v>0</v>
      </c>
      <c r="O5695">
        <v>1.039554E-2</v>
      </c>
      <c r="P5695">
        <v>0.97851010000000005</v>
      </c>
      <c r="Q5695">
        <v>0.2061684</v>
      </c>
      <c r="R5695">
        <v>-3.6079530000000001E-3</v>
      </c>
      <c r="S5695">
        <v>3.1291350000000002</v>
      </c>
      <c r="T5695">
        <v>-0.29718610000000001</v>
      </c>
      <c r="U5695">
        <v>0.17462159999999999</v>
      </c>
      <c r="V5695">
        <v>1.374131E-2</v>
      </c>
      <c r="W5695">
        <v>0.21575530000000001</v>
      </c>
      <c r="X5695">
        <v>0.97635079999999996</v>
      </c>
      <c r="Y5695">
        <v>-4.5179459999999998E-2</v>
      </c>
      <c r="Z5695">
        <v>1.154675E-3</v>
      </c>
      <c r="AA5695">
        <v>0.99897820000000004</v>
      </c>
      <c r="AB5695">
        <v>32</v>
      </c>
      <c r="AC5695">
        <v>11.530399999999901</v>
      </c>
      <c r="AD5695">
        <v>-1.1095966941540001</v>
      </c>
      <c r="AE5695">
        <v>0.650419999999996</v>
      </c>
      <c r="AF5695">
        <v>-0.52566183685343604</v>
      </c>
      <c r="AG5695">
        <v>-1.1095966941540001</v>
      </c>
      <c r="AH5695">
        <v>11.431015799936</v>
      </c>
      <c r="AI5695">
        <v>95.538454779567502</v>
      </c>
      <c r="AJ5695">
        <v>92.632924498836005</v>
      </c>
      <c r="AK5695">
        <v>11.496766824146199</v>
      </c>
      <c r="AL5695">
        <v>77.5401575079769</v>
      </c>
      <c r="AM5695">
        <v>89.193663701979901</v>
      </c>
      <c r="AN5695">
        <v>1.00000002886962</v>
      </c>
    </row>
    <row r="5696" spans="1:40" x14ac:dyDescent="0.25">
      <c r="A5696" t="str">
        <f>"20190312172820343"</f>
        <v>20190312172820343</v>
      </c>
      <c r="B5696" t="str">
        <f>"1552382900335628"</f>
        <v>1552382900335628</v>
      </c>
      <c r="C5696" t="s">
        <v>40</v>
      </c>
      <c r="D5696">
        <v>3.5351140000000001</v>
      </c>
      <c r="E5696">
        <v>0.48904140000000001</v>
      </c>
      <c r="F5696" t="s">
        <v>59</v>
      </c>
      <c r="G5696">
        <v>-234.75389999999999</v>
      </c>
      <c r="H5696" s="1">
        <v>-1.3825899999999901E-6</v>
      </c>
      <c r="I5696">
        <v>-61.72175</v>
      </c>
      <c r="J5696">
        <v>-246.8381</v>
      </c>
      <c r="K5696">
        <v>1.1096010000000001</v>
      </c>
      <c r="L5696">
        <v>-62.385039999999996</v>
      </c>
      <c r="M5696">
        <v>0.99989600000000001</v>
      </c>
      <c r="N5696">
        <v>0</v>
      </c>
      <c r="O5696">
        <v>1.0433130000000001E-2</v>
      </c>
      <c r="P5696">
        <v>0.9785064</v>
      </c>
      <c r="Q5696">
        <v>0.20618439999999999</v>
      </c>
      <c r="R5696">
        <v>-3.640262E-3</v>
      </c>
      <c r="S5696">
        <v>3.1261749999999999</v>
      </c>
      <c r="T5696">
        <v>-0.28322320000000001</v>
      </c>
      <c r="U5696">
        <v>0.1697388</v>
      </c>
      <c r="V5696">
        <v>1.38131E-2</v>
      </c>
      <c r="W5696">
        <v>0.21591779999999999</v>
      </c>
      <c r="X5696">
        <v>0.97631380000000001</v>
      </c>
      <c r="Y5696">
        <v>-4.3659219999999999E-2</v>
      </c>
      <c r="Z5696">
        <v>1.02966E-3</v>
      </c>
      <c r="AA5696">
        <v>0.99904599999999999</v>
      </c>
      <c r="AB5696">
        <v>32</v>
      </c>
      <c r="AC5696">
        <v>12.084199999999999</v>
      </c>
      <c r="AD5696">
        <v>-1.1096023825900001</v>
      </c>
      <c r="AE5696">
        <v>0.66329000000000304</v>
      </c>
      <c r="AF5696">
        <v>-0.53269376067692398</v>
      </c>
      <c r="AG5696">
        <v>-1.1096023825900001</v>
      </c>
      <c r="AH5696">
        <v>11.9896768267</v>
      </c>
      <c r="AI5696">
        <v>95.282280139863104</v>
      </c>
      <c r="AJ5696">
        <v>92.543942250003894</v>
      </c>
      <c r="AK5696">
        <v>12.052689761991701</v>
      </c>
      <c r="AL5696">
        <v>77.530621409099894</v>
      </c>
      <c r="AM5696">
        <v>89.189420931275095</v>
      </c>
      <c r="AN5696">
        <v>0.99999996707944405</v>
      </c>
    </row>
    <row r="5697" spans="1:40" x14ac:dyDescent="0.25">
      <c r="A5697" t="str">
        <f>"20190312172820356"</f>
        <v>20190312172820356</v>
      </c>
      <c r="B5697" t="str">
        <f>"1552382900345388"</f>
        <v>1552382900345388</v>
      </c>
      <c r="C5697" t="s">
        <v>40</v>
      </c>
      <c r="D5697">
        <v>3.7469009999999998</v>
      </c>
      <c r="E5697">
        <v>0.48938510000000002</v>
      </c>
      <c r="F5697" t="s">
        <v>59</v>
      </c>
      <c r="G5697">
        <v>-234.11670000000001</v>
      </c>
      <c r="H5697" s="1">
        <v>-1.1063990000000001E-6</v>
      </c>
      <c r="I5697">
        <v>-61.711030000000001</v>
      </c>
      <c r="J5697">
        <v>-246.6711</v>
      </c>
      <c r="K5697">
        <v>1.109604</v>
      </c>
      <c r="L5697">
        <v>-62.383299999999998</v>
      </c>
      <c r="M5697">
        <v>0.99989439999999996</v>
      </c>
      <c r="N5697">
        <v>0</v>
      </c>
      <c r="O5697">
        <v>1.046571E-2</v>
      </c>
      <c r="P5697">
        <v>0.97850740000000003</v>
      </c>
      <c r="Q5697">
        <v>0.20618130000000001</v>
      </c>
      <c r="R5697">
        <v>-3.6165379999999999E-3</v>
      </c>
      <c r="S5697">
        <v>3.1239319999999999</v>
      </c>
      <c r="T5697">
        <v>-0.27248020000000001</v>
      </c>
      <c r="U5697">
        <v>0.165496799999999</v>
      </c>
      <c r="V5697">
        <v>1.382479E-2</v>
      </c>
      <c r="W5697">
        <v>0.2160532</v>
      </c>
      <c r="X5697">
        <v>0.97628369999999998</v>
      </c>
      <c r="Y5697">
        <v>-4.2327799999999999E-2</v>
      </c>
      <c r="Z5697">
        <v>9.3074539999999999E-4</v>
      </c>
      <c r="AA5697">
        <v>0.99910339999999997</v>
      </c>
      <c r="AB5697">
        <v>32</v>
      </c>
      <c r="AC5697">
        <v>12.5543999999999</v>
      </c>
      <c r="AD5697">
        <v>-1.109605106399</v>
      </c>
      <c r="AE5697">
        <v>0.67226999999999004</v>
      </c>
      <c r="AF5697">
        <v>-0.53665558914242595</v>
      </c>
      <c r="AG5697">
        <v>-1.109605106399</v>
      </c>
      <c r="AH5697">
        <v>12.463664608895799</v>
      </c>
      <c r="AI5697">
        <v>95.0827852810758</v>
      </c>
      <c r="AJ5697">
        <v>92.465496344110804</v>
      </c>
      <c r="AK5697">
        <v>12.524462391517901</v>
      </c>
      <c r="AL5697">
        <v>77.522676267701598</v>
      </c>
      <c r="AM5697">
        <v>89.188710022479597</v>
      </c>
      <c r="AN5697">
        <v>0.99999998646723698</v>
      </c>
    </row>
    <row r="5698" spans="1:40" x14ac:dyDescent="0.25">
      <c r="A5698" t="str">
        <f>"20190312172820366"</f>
        <v>20190312172820366</v>
      </c>
      <c r="B5698" t="str">
        <f>"1552382900355147"</f>
        <v>1552382900355147</v>
      </c>
      <c r="C5698" t="s">
        <v>40</v>
      </c>
      <c r="D5698">
        <v>3.5332979999999998</v>
      </c>
      <c r="E5698">
        <v>0.48971799999999999</v>
      </c>
      <c r="F5698" t="s">
        <v>59</v>
      </c>
      <c r="G5698">
        <v>-233.44300000000001</v>
      </c>
      <c r="H5698" s="1">
        <v>-8.1427389999999996E-7</v>
      </c>
      <c r="I5698">
        <v>-61.69941</v>
      </c>
      <c r="J5698">
        <v>-246.5085</v>
      </c>
      <c r="K5698">
        <v>1.1095999999999999</v>
      </c>
      <c r="L5698">
        <v>-62.38156</v>
      </c>
      <c r="M5698">
        <v>0.99989269999999997</v>
      </c>
      <c r="N5698">
        <v>0</v>
      </c>
      <c r="O5698">
        <v>1.04948E-2</v>
      </c>
      <c r="P5698">
        <v>0.97854640000000004</v>
      </c>
      <c r="Q5698">
        <v>0.2059946</v>
      </c>
      <c r="R5698">
        <v>-3.7215630000000002E-3</v>
      </c>
      <c r="S5698">
        <v>3.1216740000000001</v>
      </c>
      <c r="T5698">
        <v>-0.26185380000000003</v>
      </c>
      <c r="U5698">
        <v>0.16137699999999999</v>
      </c>
      <c r="V5698">
        <v>1.3962799999999999E-2</v>
      </c>
      <c r="W5698">
        <v>0.21599689999999999</v>
      </c>
      <c r="X5698">
        <v>0.9762942</v>
      </c>
      <c r="Y5698">
        <v>-4.1035559999999999E-2</v>
      </c>
      <c r="Z5698">
        <v>8.3874739999999996E-4</v>
      </c>
      <c r="AA5698">
        <v>0.99915730000000003</v>
      </c>
      <c r="AB5698">
        <v>32</v>
      </c>
      <c r="AC5698">
        <v>13.0655</v>
      </c>
      <c r="AD5698">
        <v>-1.1096008142739</v>
      </c>
      <c r="AE5698">
        <v>0.68215000000000003</v>
      </c>
      <c r="AF5698">
        <v>-0.54109346953378901</v>
      </c>
      <c r="AG5698">
        <v>-1.1096008142739</v>
      </c>
      <c r="AH5698">
        <v>12.978587133252599</v>
      </c>
      <c r="AI5698">
        <v>94.882383592078298</v>
      </c>
      <c r="AJ5698">
        <v>92.387349883071906</v>
      </c>
      <c r="AK5698">
        <v>13.037166873413801</v>
      </c>
      <c r="AL5698">
        <v>77.525980109071497</v>
      </c>
      <c r="AM5698">
        <v>89.180620993593706</v>
      </c>
      <c r="AN5698">
        <v>0.99999999277354401</v>
      </c>
    </row>
    <row r="5699" spans="1:40" x14ac:dyDescent="0.25">
      <c r="A5699" t="str">
        <f>"20190312172820377"</f>
        <v>20190312172820377</v>
      </c>
      <c r="B5699" t="str">
        <f>"1552382900375644"</f>
        <v>1552382900375644</v>
      </c>
      <c r="C5699" t="s">
        <v>40</v>
      </c>
      <c r="D5699">
        <v>3.526173</v>
      </c>
      <c r="E5699">
        <v>0.49012889999999998</v>
      </c>
      <c r="F5699" t="s">
        <v>59</v>
      </c>
      <c r="G5699">
        <v>-232.81540000000001</v>
      </c>
      <c r="H5699" s="1">
        <v>-5.4300210000000003E-7</v>
      </c>
      <c r="I5699">
        <v>-61.691760000000002</v>
      </c>
      <c r="J5699">
        <v>-246.35749999999999</v>
      </c>
      <c r="K5699">
        <v>1.1095980000000001</v>
      </c>
      <c r="L5699">
        <v>-62.37988</v>
      </c>
      <c r="M5699">
        <v>0.99989130000000004</v>
      </c>
      <c r="N5699">
        <v>0</v>
      </c>
      <c r="O5699">
        <v>1.0512530000000001E-2</v>
      </c>
      <c r="P5699">
        <v>0.9785431</v>
      </c>
      <c r="Q5699">
        <v>0.20600660000000001</v>
      </c>
      <c r="R5699">
        <v>-3.8742049999999999E-3</v>
      </c>
      <c r="S5699">
        <v>3.1195529999999998</v>
      </c>
      <c r="T5699">
        <v>-0.2527876</v>
      </c>
      <c r="U5699">
        <v>0.157135</v>
      </c>
      <c r="V5699">
        <v>1.413758E-2</v>
      </c>
      <c r="W5699">
        <v>0.21611839999999999</v>
      </c>
      <c r="X5699">
        <v>0.97626480000000004</v>
      </c>
      <c r="Y5699">
        <v>-3.9709220000000003E-2</v>
      </c>
      <c r="Z5699">
        <v>7.5532639999999999E-4</v>
      </c>
      <c r="AA5699">
        <v>0.99921099999999996</v>
      </c>
      <c r="AB5699">
        <v>32</v>
      </c>
      <c r="AC5699">
        <v>13.5420999999999</v>
      </c>
      <c r="AD5699">
        <v>-1.10959854300209</v>
      </c>
      <c r="AE5699">
        <v>0.68812000000001206</v>
      </c>
      <c r="AF5699">
        <v>-0.54208264201881495</v>
      </c>
      <c r="AG5699">
        <v>-1.10959854300209</v>
      </c>
      <c r="AH5699">
        <v>13.458462951258401</v>
      </c>
      <c r="AI5699">
        <v>94.709355743607404</v>
      </c>
      <c r="AJ5699">
        <v>92.306524001713001</v>
      </c>
      <c r="AK5699">
        <v>13.5150023132742</v>
      </c>
      <c r="AL5699">
        <v>77.518850321059901</v>
      </c>
      <c r="AM5699">
        <v>89.170340822641606</v>
      </c>
      <c r="AN5699">
        <v>0.99999999685292795</v>
      </c>
    </row>
    <row r="5700" spans="1:40" x14ac:dyDescent="0.25">
      <c r="A5700" t="str">
        <f>"20190312172820389"</f>
        <v>20190312172820389</v>
      </c>
      <c r="B5700" t="str">
        <f>"1552382900385404"</f>
        <v>1552382900385404</v>
      </c>
      <c r="C5700" t="s">
        <v>40</v>
      </c>
      <c r="D5700">
        <v>3.5315150000000002</v>
      </c>
      <c r="E5700">
        <v>0.49030210000000002</v>
      </c>
      <c r="F5700" t="s">
        <v>59</v>
      </c>
      <c r="G5700">
        <v>-231.95949999999999</v>
      </c>
      <c r="H5700" s="1">
        <v>-1.722232E-7</v>
      </c>
      <c r="I5700">
        <v>-61.678220000000003</v>
      </c>
      <c r="J5700">
        <v>-246.19200000000001</v>
      </c>
      <c r="K5700">
        <v>1.10959599999999</v>
      </c>
      <c r="L5700">
        <v>-62.378140000000002</v>
      </c>
      <c r="M5700">
        <v>0.9998899</v>
      </c>
      <c r="N5700">
        <v>0</v>
      </c>
      <c r="O5700">
        <v>1.0529719999999999E-2</v>
      </c>
      <c r="P5700">
        <v>0.9785199</v>
      </c>
      <c r="Q5700">
        <v>0.20611860000000001</v>
      </c>
      <c r="R5700">
        <v>-3.7818180000000002E-3</v>
      </c>
      <c r="S5700">
        <v>3.1169739999999999</v>
      </c>
      <c r="T5700">
        <v>-0.24021290000000001</v>
      </c>
      <c r="U5700">
        <v>0.15188599999999999</v>
      </c>
      <c r="V5700">
        <v>1.4067090000000001E-2</v>
      </c>
      <c r="W5700">
        <v>0.21634700000000001</v>
      </c>
      <c r="X5700">
        <v>0.97621519999999995</v>
      </c>
      <c r="Y5700">
        <v>-3.8068949999999997E-2</v>
      </c>
      <c r="Z5700">
        <v>6.5409039999999999E-4</v>
      </c>
      <c r="AA5700">
        <v>0.99927489999999997</v>
      </c>
      <c r="AB5700">
        <v>32</v>
      </c>
      <c r="AC5700">
        <v>14.2325</v>
      </c>
      <c r="AD5700">
        <v>-1.10959617222319</v>
      </c>
      <c r="AE5700">
        <v>0.69992000000000498</v>
      </c>
      <c r="AF5700">
        <v>-0.54669392015677598</v>
      </c>
      <c r="AG5700">
        <v>-1.10959617222319</v>
      </c>
      <c r="AH5700">
        <v>14.153263897094901</v>
      </c>
      <c r="AI5700">
        <v>94.479413311229195</v>
      </c>
      <c r="AJ5700">
        <v>92.212047350992705</v>
      </c>
      <c r="AK5700">
        <v>14.207214957498101</v>
      </c>
      <c r="AL5700">
        <v>77.505435320405297</v>
      </c>
      <c r="AM5700">
        <v>89.174434993165903</v>
      </c>
      <c r="AN5700">
        <v>1.0000000120705499</v>
      </c>
    </row>
    <row r="5701" spans="1:40" x14ac:dyDescent="0.25">
      <c r="A5701" t="str">
        <f>"20190312172820400"</f>
        <v>20190312172820400</v>
      </c>
      <c r="B5701" t="str">
        <f>"1552382900395163"</f>
        <v>1552382900395163</v>
      </c>
      <c r="C5701" t="s">
        <v>40</v>
      </c>
      <c r="D5701">
        <v>3.5386350000000002</v>
      </c>
      <c r="E5701">
        <v>0.49045230000000001</v>
      </c>
      <c r="F5701" t="s">
        <v>59</v>
      </c>
      <c r="G5701">
        <v>-231.501</v>
      </c>
      <c r="H5701" s="1">
        <v>2.6270639999999999E-8</v>
      </c>
      <c r="I5701">
        <v>-61.671480000000003</v>
      </c>
      <c r="J5701">
        <v>-246.02940000000001</v>
      </c>
      <c r="K5701">
        <v>1.109591</v>
      </c>
      <c r="L5701">
        <v>-62.376399999999997</v>
      </c>
      <c r="M5701">
        <v>0.99988860000000002</v>
      </c>
      <c r="N5701">
        <v>0</v>
      </c>
      <c r="O5701">
        <v>1.0537609999999999E-2</v>
      </c>
      <c r="P5701">
        <v>0.97858900000000004</v>
      </c>
      <c r="Q5701">
        <v>0.20579130000000001</v>
      </c>
      <c r="R5701">
        <v>-3.721392E-3</v>
      </c>
      <c r="S5701">
        <v>3.116028</v>
      </c>
      <c r="T5701">
        <v>-0.23534939999999999</v>
      </c>
      <c r="U5701">
        <v>0.149871799999999</v>
      </c>
      <c r="V5701">
        <v>1.4020350000000001E-2</v>
      </c>
      <c r="W5701">
        <v>0.2161236</v>
      </c>
      <c r="X5701">
        <v>0.97626539999999995</v>
      </c>
      <c r="Y5701">
        <v>-3.7436419999999998E-2</v>
      </c>
      <c r="Z5701">
        <v>6.1665299999999999E-4</v>
      </c>
      <c r="AA5701">
        <v>0.99929880000000004</v>
      </c>
      <c r="AB5701">
        <v>32</v>
      </c>
      <c r="AC5701">
        <v>14.5284</v>
      </c>
      <c r="AD5701">
        <v>-1.1095909737293601</v>
      </c>
      <c r="AE5701">
        <v>0.704919999999994</v>
      </c>
      <c r="AF5701">
        <v>-0.54858531924277898</v>
      </c>
      <c r="AG5701">
        <v>-1.1095909737293601</v>
      </c>
      <c r="AH5701">
        <v>14.450927895219101</v>
      </c>
      <c r="AI5701">
        <v>94.387599845475293</v>
      </c>
      <c r="AJ5701">
        <v>92.174015258017405</v>
      </c>
      <c r="AK5701">
        <v>14.5038427671529</v>
      </c>
      <c r="AL5701">
        <v>77.518545920964996</v>
      </c>
      <c r="AM5701">
        <v>89.177219982074106</v>
      </c>
      <c r="AN5701">
        <v>1.00000005596411</v>
      </c>
    </row>
    <row r="5702" spans="1:40" x14ac:dyDescent="0.25">
      <c r="A5702" t="str">
        <f>"20190312172820411"</f>
        <v>20190312172820411</v>
      </c>
      <c r="B5702" t="str">
        <f>"1552382900404923"</f>
        <v>1552382900404923</v>
      </c>
      <c r="C5702" t="s">
        <v>40</v>
      </c>
      <c r="D5702">
        <v>3.5512190000000001</v>
      </c>
      <c r="E5702">
        <v>0.49054300000000001</v>
      </c>
      <c r="F5702" t="s">
        <v>59</v>
      </c>
      <c r="G5702">
        <v>-231.18039999999999</v>
      </c>
      <c r="H5702" s="1">
        <v>1.6409629999999999E-7</v>
      </c>
      <c r="I5702">
        <v>-61.670380000000002</v>
      </c>
      <c r="J5702">
        <v>-245.8578</v>
      </c>
      <c r="K5702">
        <v>1.109588</v>
      </c>
      <c r="L5702">
        <v>-62.374540000000003</v>
      </c>
      <c r="M5702">
        <v>0.99988750000000004</v>
      </c>
      <c r="N5702">
        <v>0</v>
      </c>
      <c r="O5702">
        <v>1.054311E-2</v>
      </c>
      <c r="P5702">
        <v>0.9785355</v>
      </c>
      <c r="Q5702">
        <v>0.20604259999999999</v>
      </c>
      <c r="R5702">
        <v>-3.8738940000000001E-3</v>
      </c>
      <c r="S5702">
        <v>3.1151430000000002</v>
      </c>
      <c r="T5702">
        <v>-0.2327795</v>
      </c>
      <c r="U5702">
        <v>0.14810179999999901</v>
      </c>
      <c r="V5702">
        <v>1.4183100000000001E-2</v>
      </c>
      <c r="W5702">
        <v>0.21647920000000001</v>
      </c>
      <c r="X5702">
        <v>0.97618419999999895</v>
      </c>
      <c r="Y5702">
        <v>-3.6881200000000003E-2</v>
      </c>
      <c r="Z5702">
        <v>5.8900390000000003E-4</v>
      </c>
      <c r="AA5702">
        <v>0.99931950000000003</v>
      </c>
      <c r="AB5702">
        <v>32</v>
      </c>
      <c r="AC5702">
        <v>14.6774</v>
      </c>
      <c r="AD5702">
        <v>-1.1095878359036999</v>
      </c>
      <c r="AE5702">
        <v>0.70416000000000101</v>
      </c>
      <c r="AF5702">
        <v>-0.546251883176196</v>
      </c>
      <c r="AG5702">
        <v>-1.1095878359036999</v>
      </c>
      <c r="AH5702">
        <v>14.6007551947759</v>
      </c>
      <c r="AI5702">
        <v>94.342826330774301</v>
      </c>
      <c r="AJ5702">
        <v>92.142583497326299</v>
      </c>
      <c r="AK5702">
        <v>14.6530416140552</v>
      </c>
      <c r="AL5702">
        <v>77.4976767855308</v>
      </c>
      <c r="AM5702">
        <v>89.167601158973</v>
      </c>
      <c r="AN5702">
        <v>0.99999999834394404</v>
      </c>
    </row>
    <row r="5703" spans="1:40" x14ac:dyDescent="0.25">
      <c r="A5703" t="str">
        <f>"20190312172820423"</f>
        <v>20190312172820423</v>
      </c>
      <c r="B5703" t="str">
        <f>"1552382900415659"</f>
        <v>1552382900415659</v>
      </c>
      <c r="C5703" t="s">
        <v>40</v>
      </c>
      <c r="D5703">
        <v>3.562478</v>
      </c>
      <c r="E5703">
        <v>0.49063370000000001</v>
      </c>
      <c r="F5703" t="s">
        <v>59</v>
      </c>
      <c r="G5703">
        <v>-230.76429999999999</v>
      </c>
      <c r="H5703" s="1">
        <v>3.4334330000000001E-7</v>
      </c>
      <c r="I5703">
        <v>-61.667560000000002</v>
      </c>
      <c r="J5703">
        <v>-245.68620000000001</v>
      </c>
      <c r="K5703">
        <v>1.109586</v>
      </c>
      <c r="L5703">
        <v>-62.37274</v>
      </c>
      <c r="M5703">
        <v>0.99988639999999995</v>
      </c>
      <c r="N5703">
        <v>0</v>
      </c>
      <c r="O5703">
        <v>1.054394E-2</v>
      </c>
      <c r="P5703">
        <v>0.97853559999999995</v>
      </c>
      <c r="Q5703">
        <v>0.20603750000000001</v>
      </c>
      <c r="R5703">
        <v>-4.0733940000000001E-3</v>
      </c>
      <c r="S5703">
        <v>3.1145779999999998</v>
      </c>
      <c r="T5703">
        <v>-0.22896610000000001</v>
      </c>
      <c r="U5703">
        <v>0.145874</v>
      </c>
      <c r="V5703">
        <v>1.4388400000000001E-2</v>
      </c>
      <c r="W5703">
        <v>0.21657000000000001</v>
      </c>
      <c r="X5703">
        <v>0.9761611</v>
      </c>
      <c r="Y5703">
        <v>-3.6179969999999999E-2</v>
      </c>
      <c r="Z5703">
        <v>5.5370609999999998E-4</v>
      </c>
      <c r="AA5703">
        <v>0.99934509999999999</v>
      </c>
      <c r="AB5703">
        <v>32</v>
      </c>
      <c r="AC5703">
        <v>14.921900000000001</v>
      </c>
      <c r="AD5703">
        <v>-1.1095856566566999</v>
      </c>
      <c r="AE5703">
        <v>0.70518000000000503</v>
      </c>
      <c r="AF5703">
        <v>-0.54479042992131599</v>
      </c>
      <c r="AG5703">
        <v>-1.1095856566566999</v>
      </c>
      <c r="AH5703">
        <v>14.846597241188899</v>
      </c>
      <c r="AI5703">
        <v>94.271287315649801</v>
      </c>
      <c r="AJ5703">
        <v>92.101504689963704</v>
      </c>
      <c r="AK5703">
        <v>14.8979671963684</v>
      </c>
      <c r="AL5703">
        <v>77.492348468317701</v>
      </c>
      <c r="AM5703">
        <v>89.155533959749405</v>
      </c>
      <c r="AN5703">
        <v>1.0000000420538799</v>
      </c>
    </row>
    <row r="5704" spans="1:40" x14ac:dyDescent="0.25">
      <c r="A5704" t="str">
        <f>"20190312172820436"</f>
        <v>20190312172820436</v>
      </c>
      <c r="B5704" t="str">
        <f>"1552382900425420"</f>
        <v>1552382900425420</v>
      </c>
      <c r="C5704" t="s">
        <v>40</v>
      </c>
      <c r="D5704">
        <v>3.5421719999999999</v>
      </c>
      <c r="E5704">
        <v>0.49072399999999999</v>
      </c>
      <c r="F5704" t="s">
        <v>59</v>
      </c>
      <c r="G5704">
        <v>-230.40020000000001</v>
      </c>
      <c r="H5704" s="1">
        <v>4.9917330000000005E-7</v>
      </c>
      <c r="I5704">
        <v>-61.668900000000001</v>
      </c>
      <c r="J5704">
        <v>-245.51820000000001</v>
      </c>
      <c r="K5704">
        <v>1.109586</v>
      </c>
      <c r="L5704">
        <v>-62.3709699999999</v>
      </c>
      <c r="M5704">
        <v>0.99988549999999998</v>
      </c>
      <c r="N5704">
        <v>0</v>
      </c>
      <c r="O5704">
        <v>1.05358E-2</v>
      </c>
      <c r="P5704">
        <v>0.9785026</v>
      </c>
      <c r="Q5704">
        <v>0.20619290000000001</v>
      </c>
      <c r="R5704">
        <v>-4.1817720000000003E-3</v>
      </c>
      <c r="S5704">
        <v>3.1139830000000002</v>
      </c>
      <c r="T5704">
        <v>-0.2260394</v>
      </c>
      <c r="U5704">
        <v>0.14337159999999999</v>
      </c>
      <c r="V5704">
        <v>1.4493799999999999E-2</v>
      </c>
      <c r="W5704">
        <v>0.21681300000000001</v>
      </c>
      <c r="X5704">
        <v>0.97610560000000002</v>
      </c>
      <c r="Y5704">
        <v>-3.5399409999999999E-2</v>
      </c>
      <c r="Z5704">
        <v>5.1907190000000005E-4</v>
      </c>
      <c r="AA5704">
        <v>0.99937310000000001</v>
      </c>
      <c r="AB5704">
        <v>32</v>
      </c>
      <c r="AC5704">
        <v>15.117999999999901</v>
      </c>
      <c r="AD5704">
        <v>-1.1095855008266999</v>
      </c>
      <c r="AE5704">
        <v>0.70206999999999198</v>
      </c>
      <c r="AF5704">
        <v>-0.53983964319169497</v>
      </c>
      <c r="AG5704">
        <v>-1.1095855008266999</v>
      </c>
      <c r="AH5704">
        <v>15.043694751397799</v>
      </c>
      <c r="AI5704">
        <v>94.215652084498402</v>
      </c>
      <c r="AJ5704">
        <v>92.055164461533295</v>
      </c>
      <c r="AK5704">
        <v>15.094216064348601</v>
      </c>
      <c r="AL5704">
        <v>77.478086772301907</v>
      </c>
      <c r="AM5704">
        <v>89.149300500267103</v>
      </c>
      <c r="AN5704">
        <v>1.00000004477939</v>
      </c>
    </row>
    <row r="5705" spans="1:40" x14ac:dyDescent="0.25">
      <c r="A5705" t="str">
        <f>"20190312172820447"</f>
        <v>20190312172820447</v>
      </c>
      <c r="B5705" t="str">
        <f>"1552382900435179"</f>
        <v>1552382900435179</v>
      </c>
      <c r="C5705" t="s">
        <v>40</v>
      </c>
      <c r="D5705">
        <v>3.5324960000000001</v>
      </c>
      <c r="E5705">
        <v>0.49076069999999999</v>
      </c>
      <c r="F5705" t="s">
        <v>59</v>
      </c>
      <c r="G5705">
        <v>-230.0402</v>
      </c>
      <c r="H5705" s="1">
        <v>6.5384309999999995E-7</v>
      </c>
      <c r="I5705">
        <v>-61.668050000000001</v>
      </c>
      <c r="J5705">
        <v>-245.33949999999999</v>
      </c>
      <c r="K5705">
        <v>1.1095809999999999</v>
      </c>
      <c r="L5705">
        <v>-62.369079999999997</v>
      </c>
      <c r="M5705">
        <v>0.99988469999999996</v>
      </c>
      <c r="N5705">
        <v>0</v>
      </c>
      <c r="O5705">
        <v>1.052166E-2</v>
      </c>
      <c r="P5705">
        <v>0.97839189999999998</v>
      </c>
      <c r="Q5705">
        <v>0.20671719999999999</v>
      </c>
      <c r="R5705">
        <v>-4.2106169999999998E-3</v>
      </c>
      <c r="S5705">
        <v>3.1135709999999999</v>
      </c>
      <c r="T5705">
        <v>-0.2232054</v>
      </c>
      <c r="U5705">
        <v>0.14138789999999901</v>
      </c>
      <c r="V5705">
        <v>1.451411E-2</v>
      </c>
      <c r="W5705">
        <v>0.21742500000000001</v>
      </c>
      <c r="X5705">
        <v>0.97596910000000003</v>
      </c>
      <c r="Y5705">
        <v>-3.4787360000000003E-2</v>
      </c>
      <c r="Z5705">
        <v>4.9176699999999897E-4</v>
      </c>
      <c r="AA5705">
        <v>0.99939460000000002</v>
      </c>
      <c r="AB5705">
        <v>32</v>
      </c>
      <c r="AC5705">
        <v>15.299299999999899</v>
      </c>
      <c r="AD5705">
        <v>-1.1095803461568901</v>
      </c>
      <c r="AE5705">
        <v>0.70103000000000204</v>
      </c>
      <c r="AF5705">
        <v>-0.53718789332361905</v>
      </c>
      <c r="AG5705">
        <v>-1.1095803461568901</v>
      </c>
      <c r="AH5705">
        <v>15.2259110553457</v>
      </c>
      <c r="AI5705">
        <v>94.165449609309803</v>
      </c>
      <c r="AJ5705">
        <v>92.020623780564605</v>
      </c>
      <c r="AK5705">
        <v>15.2757358854691</v>
      </c>
      <c r="AL5705">
        <v>77.442164107400302</v>
      </c>
      <c r="AM5705">
        <v>89.1479894713096</v>
      </c>
      <c r="AN5705">
        <v>0.99999998708445104</v>
      </c>
    </row>
    <row r="5706" spans="1:40" x14ac:dyDescent="0.25">
      <c r="A5706" t="str">
        <f>"20190312172820461"</f>
        <v>20190312172820461</v>
      </c>
      <c r="B5706" t="str">
        <f>"1552382900455675"</f>
        <v>1552382900455675</v>
      </c>
      <c r="C5706" t="s">
        <v>40</v>
      </c>
      <c r="D5706">
        <v>3.5557159999999999</v>
      </c>
      <c r="E5706">
        <v>0.4907009</v>
      </c>
      <c r="F5706" t="s">
        <v>60</v>
      </c>
      <c r="G5706">
        <v>-229.57230000000001</v>
      </c>
      <c r="H5706" s="1">
        <v>-3.4365850000000001E-6</v>
      </c>
      <c r="I5706">
        <v>-61.658250000000002</v>
      </c>
      <c r="J5706">
        <v>-245.13929999999999</v>
      </c>
      <c r="K5706">
        <v>1.1095680000000001</v>
      </c>
      <c r="L5706">
        <v>-62.366970000000002</v>
      </c>
      <c r="M5706">
        <v>0.99988410000000005</v>
      </c>
      <c r="N5706">
        <v>0</v>
      </c>
      <c r="O5706">
        <v>1.047915E-2</v>
      </c>
      <c r="P5706">
        <v>0.97832759999999996</v>
      </c>
      <c r="Q5706">
        <v>0.20701559999999999</v>
      </c>
      <c r="R5706">
        <v>-4.4748649999999997E-3</v>
      </c>
      <c r="S5706">
        <v>3.1131440000000001</v>
      </c>
      <c r="T5706">
        <v>-0.21908150000000001</v>
      </c>
      <c r="U5706">
        <v>0.14035029999999901</v>
      </c>
      <c r="V5706">
        <v>1.4747089999999999E-2</v>
      </c>
      <c r="W5706">
        <v>0.2178099</v>
      </c>
      <c r="X5706">
        <v>0.97587979999999996</v>
      </c>
      <c r="Y5706">
        <v>-3.4506479999999999E-2</v>
      </c>
      <c r="Z5706">
        <v>4.7589220000000002E-4</v>
      </c>
      <c r="AA5706">
        <v>0.99940439999999997</v>
      </c>
      <c r="AB5706">
        <v>32</v>
      </c>
      <c r="AC5706">
        <v>15.566999999999901</v>
      </c>
      <c r="AD5706">
        <v>-1.109571436585</v>
      </c>
      <c r="AE5706">
        <v>0.70871999999999202</v>
      </c>
      <c r="AF5706">
        <v>-0.54279029773905096</v>
      </c>
      <c r="AG5706">
        <v>-1.109571436585</v>
      </c>
      <c r="AH5706">
        <v>15.4950138396953</v>
      </c>
      <c r="AI5706">
        <v>94.093359295793405</v>
      </c>
      <c r="AJ5706">
        <v>92.006250663757996</v>
      </c>
      <c r="AK5706">
        <v>15.544170095973399</v>
      </c>
      <c r="AL5706">
        <v>77.419569711166204</v>
      </c>
      <c r="AM5706">
        <v>89.134235887837505</v>
      </c>
      <c r="AN5706">
        <v>1.0000000066247501</v>
      </c>
    </row>
    <row r="5707" spans="1:40" x14ac:dyDescent="0.25">
      <c r="A5707" t="str">
        <f>"20190312172820474"</f>
        <v>20190312172820474</v>
      </c>
      <c r="B5707" t="str">
        <f>"1552382900465436"</f>
        <v>1552382900465436</v>
      </c>
      <c r="C5707" t="s">
        <v>40</v>
      </c>
      <c r="D5707">
        <v>3.5562230000000001</v>
      </c>
      <c r="E5707">
        <v>0.49060019999999999</v>
      </c>
      <c r="F5707" t="s">
        <v>60</v>
      </c>
      <c r="G5707">
        <v>-228.89789999999999</v>
      </c>
      <c r="H5707" s="1">
        <v>-3.204732E-6</v>
      </c>
      <c r="I5707">
        <v>-61.640720000000002</v>
      </c>
      <c r="J5707">
        <v>-244.964</v>
      </c>
      <c r="K5707">
        <v>1.1095549999999901</v>
      </c>
      <c r="L5707">
        <v>-62.3651699999999</v>
      </c>
      <c r="M5707">
        <v>0.99988379999999999</v>
      </c>
      <c r="N5707">
        <v>0</v>
      </c>
      <c r="O5707">
        <v>1.0426629999999999E-2</v>
      </c>
      <c r="P5707">
        <v>0.97824840000000002</v>
      </c>
      <c r="Q5707">
        <v>0.20738429999999999</v>
      </c>
      <c r="R5707">
        <v>-4.6843220000000003E-3</v>
      </c>
      <c r="S5707">
        <v>3.1121059999999998</v>
      </c>
      <c r="T5707">
        <v>-0.2126111</v>
      </c>
      <c r="U5707">
        <v>0.13916020000000001</v>
      </c>
      <c r="V5707">
        <v>1.491638E-2</v>
      </c>
      <c r="W5707">
        <v>0.21825069999999999</v>
      </c>
      <c r="X5707">
        <v>0.97577879999999995</v>
      </c>
      <c r="Y5707">
        <v>-3.4196530000000003E-2</v>
      </c>
      <c r="Z5707">
        <v>4.550388E-4</v>
      </c>
      <c r="AA5707">
        <v>0.99941500000000005</v>
      </c>
      <c r="AB5707">
        <v>32</v>
      </c>
      <c r="AC5707">
        <v>16.066099999999999</v>
      </c>
      <c r="AD5707">
        <v>-1.1095582047319901</v>
      </c>
      <c r="AE5707">
        <v>0.72444999999999704</v>
      </c>
      <c r="AF5707">
        <v>-0.55424682020442695</v>
      </c>
      <c r="AG5707">
        <v>-1.1095582047319901</v>
      </c>
      <c r="AH5707">
        <v>15.9966383259165</v>
      </c>
      <c r="AI5707">
        <v>93.965420786364703</v>
      </c>
      <c r="AJ5707">
        <v>91.984373516264398</v>
      </c>
      <c r="AK5707">
        <v>16.044648537053501</v>
      </c>
      <c r="AL5707">
        <v>77.393691912000094</v>
      </c>
      <c r="AM5707">
        <v>89.124208214654104</v>
      </c>
      <c r="AN5707">
        <v>1.00000006648611</v>
      </c>
    </row>
    <row r="5708" spans="1:40" x14ac:dyDescent="0.25">
      <c r="A5708" t="str">
        <f>"20190312172820489"</f>
        <v>20190312172820489</v>
      </c>
      <c r="B5708" t="str">
        <f>"1552382900484955"</f>
        <v>1552382900484955</v>
      </c>
      <c r="C5708" t="s">
        <v>40</v>
      </c>
      <c r="D5708">
        <v>3.5846100000000001</v>
      </c>
      <c r="E5708">
        <v>0.4905215</v>
      </c>
      <c r="F5708" t="s">
        <v>60</v>
      </c>
      <c r="G5708">
        <v>-228.37860000000001</v>
      </c>
      <c r="H5708" s="1">
        <v>-2.9886289999999998E-6</v>
      </c>
      <c r="I5708">
        <v>-61.625680000000003</v>
      </c>
      <c r="J5708">
        <v>-244.7354</v>
      </c>
      <c r="K5708">
        <v>1.1095269999999999</v>
      </c>
      <c r="L5708">
        <v>-62.362850000000002</v>
      </c>
      <c r="M5708">
        <v>0.99988379999999999</v>
      </c>
      <c r="N5708">
        <v>0</v>
      </c>
      <c r="O5708">
        <v>1.0332030000000001E-2</v>
      </c>
      <c r="P5708">
        <v>0.97811899999999996</v>
      </c>
      <c r="Q5708">
        <v>0.20799119999999999</v>
      </c>
      <c r="R5708">
        <v>-4.7779329999999998E-3</v>
      </c>
      <c r="S5708">
        <v>3.1114959999999998</v>
      </c>
      <c r="T5708">
        <v>-0.20815900000000001</v>
      </c>
      <c r="U5708">
        <v>0.13873289999999999</v>
      </c>
      <c r="V5708">
        <v>1.493563E-2</v>
      </c>
      <c r="W5708">
        <v>0.21894440000000001</v>
      </c>
      <c r="X5708">
        <v>0.97562300000000002</v>
      </c>
      <c r="Y5708">
        <v>-3.4164989999999999E-2</v>
      </c>
      <c r="Z5708">
        <v>4.5088449999999998E-4</v>
      </c>
      <c r="AA5708">
        <v>0.99941610000000003</v>
      </c>
      <c r="AB5708">
        <v>32</v>
      </c>
      <c r="AC5708">
        <v>16.3567999999999</v>
      </c>
      <c r="AD5708">
        <v>-1.109529988629</v>
      </c>
      <c r="AE5708">
        <v>0.73716999999999899</v>
      </c>
      <c r="AF5708">
        <v>-0.56552420476479104</v>
      </c>
      <c r="AG5708">
        <v>-1.109529988629</v>
      </c>
      <c r="AH5708">
        <v>16.2887461261674</v>
      </c>
      <c r="AI5708">
        <v>93.894421018265902</v>
      </c>
      <c r="AJ5708">
        <v>91.988436693736702</v>
      </c>
      <c r="AK5708">
        <v>16.3362824652543</v>
      </c>
      <c r="AL5708">
        <v>77.352959650082497</v>
      </c>
      <c r="AM5708">
        <v>89.122938141310399</v>
      </c>
      <c r="AN5708">
        <v>0.99999998073192797</v>
      </c>
    </row>
    <row r="5709" spans="1:40" x14ac:dyDescent="0.25">
      <c r="A5709" t="str">
        <f>"20190312172820500"</f>
        <v>20190312172820500</v>
      </c>
      <c r="B5709" t="str">
        <f>"1552382900495691"</f>
        <v>1552382900495691</v>
      </c>
      <c r="C5709" t="s">
        <v>40</v>
      </c>
      <c r="D5709">
        <v>3.582166</v>
      </c>
      <c r="E5709">
        <v>0.49050579999999999</v>
      </c>
      <c r="F5709" t="s">
        <v>60</v>
      </c>
      <c r="G5709">
        <v>-227.7021</v>
      </c>
      <c r="H5709" s="1">
        <v>-2.6945420000000001E-6</v>
      </c>
      <c r="I5709">
        <v>-61.608420000000002</v>
      </c>
      <c r="J5709">
        <v>-244.5718</v>
      </c>
      <c r="K5709">
        <v>1.1094980000000001</v>
      </c>
      <c r="L5709">
        <v>-62.361269999999998</v>
      </c>
      <c r="M5709">
        <v>0.99988410000000005</v>
      </c>
      <c r="N5709">
        <v>0</v>
      </c>
      <c r="O5709">
        <v>1.0233580000000001E-2</v>
      </c>
      <c r="P5709">
        <v>0.97817189999999998</v>
      </c>
      <c r="Q5709">
        <v>0.20774860000000001</v>
      </c>
      <c r="R5709">
        <v>-4.5471399999999999E-3</v>
      </c>
      <c r="S5709">
        <v>3.1108859999999998</v>
      </c>
      <c r="T5709">
        <v>-0.20263909999999999</v>
      </c>
      <c r="U5709">
        <v>0.13778689999999999</v>
      </c>
      <c r="V5709">
        <v>1.462508E-2</v>
      </c>
      <c r="W5709">
        <v>0.21876719999999999</v>
      </c>
      <c r="X5709">
        <v>0.97566750000000002</v>
      </c>
      <c r="Y5709">
        <v>-3.397174E-2</v>
      </c>
      <c r="Z5709">
        <v>4.391593E-4</v>
      </c>
      <c r="AA5709">
        <v>0.9994227</v>
      </c>
      <c r="AB5709">
        <v>32</v>
      </c>
      <c r="AC5709">
        <v>16.869699999999899</v>
      </c>
      <c r="AD5709">
        <v>-1.1095006945419901</v>
      </c>
      <c r="AE5709">
        <v>0.75285000000000202</v>
      </c>
      <c r="AF5709">
        <v>-0.57766841727555696</v>
      </c>
      <c r="AG5709">
        <v>-1.1095006945419901</v>
      </c>
      <c r="AH5709">
        <v>16.8039795264432</v>
      </c>
      <c r="AI5709">
        <v>93.775308430360298</v>
      </c>
      <c r="AJ5709">
        <v>91.968874896164095</v>
      </c>
      <c r="AK5709">
        <v>16.850472412268701</v>
      </c>
      <c r="AL5709">
        <v>77.363365287195904</v>
      </c>
      <c r="AM5709">
        <v>89.141210908300295</v>
      </c>
      <c r="AN5709">
        <v>1.00000002565854</v>
      </c>
    </row>
    <row r="5710" spans="1:40" x14ac:dyDescent="0.25">
      <c r="A5710" t="str">
        <f>"20190312172820512"</f>
        <v>20190312172820512</v>
      </c>
      <c r="B5710" t="str">
        <f>"1552382900505452"</f>
        <v>1552382900505452</v>
      </c>
      <c r="C5710" t="s">
        <v>40</v>
      </c>
      <c r="D5710">
        <v>3.5450520000000001</v>
      </c>
      <c r="E5710">
        <v>0.49050189999999999</v>
      </c>
      <c r="F5710" t="s">
        <v>60</v>
      </c>
      <c r="G5710">
        <v>-227.4744</v>
      </c>
      <c r="H5710" s="1">
        <v>-2.5959250000000001E-6</v>
      </c>
      <c r="I5710">
        <v>-61.604050000000001</v>
      </c>
      <c r="J5710">
        <v>-244.4117</v>
      </c>
      <c r="K5710">
        <v>1.1094299999999999</v>
      </c>
      <c r="L5710">
        <v>-62.359679999999997</v>
      </c>
      <c r="M5710">
        <v>0.99988650000000001</v>
      </c>
      <c r="N5710">
        <v>0</v>
      </c>
      <c r="O5710">
        <v>1.013214E-2</v>
      </c>
      <c r="P5710">
        <v>0.97815220000000003</v>
      </c>
      <c r="Q5710">
        <v>0.20784540000000001</v>
      </c>
      <c r="R5710">
        <v>-4.3867730000000001E-3</v>
      </c>
      <c r="S5710">
        <v>3.1104430000000001</v>
      </c>
      <c r="T5710">
        <v>-0.20184589999999999</v>
      </c>
      <c r="U5710">
        <v>0.1377563</v>
      </c>
      <c r="V5710">
        <v>1.437742E-2</v>
      </c>
      <c r="W5710">
        <v>0.21874850000000001</v>
      </c>
      <c r="X5710">
        <v>0.97567530000000002</v>
      </c>
      <c r="Y5710">
        <v>-3.406961E-2</v>
      </c>
      <c r="Z5710">
        <v>4.4724959999999997E-4</v>
      </c>
      <c r="AA5710">
        <v>0.99941939999999996</v>
      </c>
      <c r="AB5710">
        <v>32</v>
      </c>
      <c r="AC5710">
        <v>16.937299999999901</v>
      </c>
      <c r="AD5710">
        <v>-1.109432595925</v>
      </c>
      <c r="AE5710">
        <v>0.75563000000000302</v>
      </c>
      <c r="AF5710">
        <v>-0.58147952969170602</v>
      </c>
      <c r="AG5710">
        <v>-1.109432595925</v>
      </c>
      <c r="AH5710">
        <v>16.871841330436698</v>
      </c>
      <c r="AI5710">
        <v>93.759925639806497</v>
      </c>
      <c r="AJ5710">
        <v>91.973888955279406</v>
      </c>
      <c r="AK5710">
        <v>16.918273818796798</v>
      </c>
      <c r="AL5710">
        <v>77.364462389639399</v>
      </c>
      <c r="AM5710">
        <v>89.155758203231798</v>
      </c>
      <c r="AN5710">
        <v>0.999999953744097</v>
      </c>
    </row>
    <row r="5711" spans="1:40" x14ac:dyDescent="0.25">
      <c r="A5711" t="str">
        <f>"20190312172820523"</f>
        <v>20190312172820523</v>
      </c>
      <c r="B5711" t="str">
        <f>"1552382900515212"</f>
        <v>1552382900515212</v>
      </c>
      <c r="C5711" t="s">
        <v>40</v>
      </c>
      <c r="D5711">
        <v>3.5416349999999999</v>
      </c>
      <c r="E5711">
        <v>0.49041839999999998</v>
      </c>
      <c r="F5711" t="s">
        <v>60</v>
      </c>
      <c r="G5711">
        <v>-227.15389999999999</v>
      </c>
      <c r="H5711" s="1">
        <v>-2.4564420000000002E-6</v>
      </c>
      <c r="I5711">
        <v>-61.595280000000002</v>
      </c>
      <c r="J5711">
        <v>-244.24719999999999</v>
      </c>
      <c r="K5711">
        <v>1.109281</v>
      </c>
      <c r="L5711">
        <v>-62.358089999999997</v>
      </c>
      <c r="M5711">
        <v>0.99989260000000002</v>
      </c>
      <c r="N5711">
        <v>0</v>
      </c>
      <c r="O5711">
        <v>1.0018890000000001E-2</v>
      </c>
      <c r="P5711">
        <v>0.97816840000000005</v>
      </c>
      <c r="Q5711">
        <v>0.20777119999999999</v>
      </c>
      <c r="R5711">
        <v>-4.2620729999999999E-3</v>
      </c>
      <c r="S5711">
        <v>3.1101070000000002</v>
      </c>
      <c r="T5711">
        <v>-0.19993540000000001</v>
      </c>
      <c r="U5711">
        <v>0.1377563</v>
      </c>
      <c r="V5711">
        <v>1.4148030000000001E-2</v>
      </c>
      <c r="W5711">
        <v>0.21822040000000001</v>
      </c>
      <c r="X5711">
        <v>0.97579689999999997</v>
      </c>
      <c r="Y5711">
        <v>-3.4188080000000003E-2</v>
      </c>
      <c r="Z5711">
        <v>4.5414739999999999E-4</v>
      </c>
      <c r="AA5711">
        <v>0.99941530000000001</v>
      </c>
      <c r="AB5711">
        <v>32</v>
      </c>
      <c r="AC5711">
        <v>17.093299999999999</v>
      </c>
      <c r="AD5711">
        <v>-1.109283456442</v>
      </c>
      <c r="AE5711">
        <v>0.76281000000000099</v>
      </c>
      <c r="AF5711">
        <v>-0.58903026976201101</v>
      </c>
      <c r="AG5711">
        <v>-1.109283456442</v>
      </c>
      <c r="AH5711">
        <v>17.0285124747937</v>
      </c>
      <c r="AI5711">
        <v>93.724914666393701</v>
      </c>
      <c r="AJ5711">
        <v>91.981118296758396</v>
      </c>
      <c r="AK5711">
        <v>17.074768037945301</v>
      </c>
      <c r="AL5711">
        <v>77.395469359556699</v>
      </c>
      <c r="AM5711">
        <v>89.169329589283393</v>
      </c>
      <c r="AN5711">
        <v>0.99999994988932395</v>
      </c>
    </row>
    <row r="5712" spans="1:40" x14ac:dyDescent="0.25">
      <c r="A5712" t="str">
        <f>"20190312172820533"</f>
        <v>20190312172820533</v>
      </c>
      <c r="B5712" t="str">
        <f>"1552382900524972"</f>
        <v>1552382900524972</v>
      </c>
      <c r="C5712" t="s">
        <v>40</v>
      </c>
      <c r="D5712">
        <v>3.5876199999999998</v>
      </c>
      <c r="E5712">
        <v>0.49043429999999999</v>
      </c>
      <c r="F5712" t="s">
        <v>60</v>
      </c>
      <c r="G5712">
        <v>-226.8211</v>
      </c>
      <c r="H5712" s="1">
        <v>-2.3112610000000002E-6</v>
      </c>
      <c r="I5712">
        <v>-61.584400000000002</v>
      </c>
      <c r="J5712">
        <v>-244.0872</v>
      </c>
      <c r="K5712">
        <v>1.1091310000000001</v>
      </c>
      <c r="L5712">
        <v>-62.356569999999998</v>
      </c>
      <c r="M5712">
        <v>0.99989930000000005</v>
      </c>
      <c r="N5712">
        <v>0</v>
      </c>
      <c r="O5712">
        <v>9.9038019999999997E-3</v>
      </c>
      <c r="P5712">
        <v>0.97810359999999996</v>
      </c>
      <c r="Q5712">
        <v>0.20808019999999999</v>
      </c>
      <c r="R5712">
        <v>-4.0082970000000001E-3</v>
      </c>
      <c r="S5712">
        <v>3.109604</v>
      </c>
      <c r="T5712">
        <v>-0.1979457</v>
      </c>
      <c r="U5712">
        <v>0.1380615</v>
      </c>
      <c r="V5712">
        <v>1.3785159999999999E-2</v>
      </c>
      <c r="W5712">
        <v>0.2180086</v>
      </c>
      <c r="X5712">
        <v>0.97584939999999998</v>
      </c>
      <c r="Y5712">
        <v>-3.4408499999999898E-2</v>
      </c>
      <c r="Z5712">
        <v>4.640313E-4</v>
      </c>
      <c r="AA5712">
        <v>0.99940779999999996</v>
      </c>
      <c r="AB5712">
        <v>32</v>
      </c>
      <c r="AC5712">
        <v>17.266099999999899</v>
      </c>
      <c r="AD5712">
        <v>-1.10913331126099</v>
      </c>
      <c r="AE5712">
        <v>0.77216999999999503</v>
      </c>
      <c r="AF5712">
        <v>-0.59865784252628096</v>
      </c>
      <c r="AG5712">
        <v>-1.10913331126099</v>
      </c>
      <c r="AH5712">
        <v>17.2020587881225</v>
      </c>
      <c r="AI5712">
        <v>93.686914772338596</v>
      </c>
      <c r="AJ5712">
        <v>91.993175965773503</v>
      </c>
      <c r="AK5712">
        <v>17.248170757056801</v>
      </c>
      <c r="AL5712">
        <v>77.407903557588597</v>
      </c>
      <c r="AM5712">
        <v>89.190675368060695</v>
      </c>
      <c r="AN5712">
        <v>0.99999991589526904</v>
      </c>
    </row>
    <row r="5713" spans="1:40" x14ac:dyDescent="0.25">
      <c r="A5713" t="str">
        <f>"20190312172820545"</f>
        <v>20190312172820545</v>
      </c>
      <c r="B5713" t="str">
        <f>"1552382900535709"</f>
        <v>1552382900535709</v>
      </c>
      <c r="C5713" t="s">
        <v>40</v>
      </c>
      <c r="D5713">
        <v>3.564988</v>
      </c>
      <c r="E5713">
        <v>0.49041010000000002</v>
      </c>
      <c r="F5713" t="s">
        <v>60</v>
      </c>
      <c r="G5713">
        <v>-226.45830000000001</v>
      </c>
      <c r="H5713" s="1">
        <v>-2.153094E-6</v>
      </c>
      <c r="I5713">
        <v>-61.572940000000003</v>
      </c>
      <c r="J5713">
        <v>-243.91200000000001</v>
      </c>
      <c r="K5713">
        <v>1.1089580000000001</v>
      </c>
      <c r="L5713">
        <v>-62.354950000000002</v>
      </c>
      <c r="M5713">
        <v>0.99990710000000005</v>
      </c>
      <c r="N5713">
        <v>0</v>
      </c>
      <c r="O5713">
        <v>9.7734310000000008E-3</v>
      </c>
      <c r="P5713">
        <v>0.97796099999999997</v>
      </c>
      <c r="Q5713">
        <v>0.20875079999999999</v>
      </c>
      <c r="R5713">
        <v>-3.9888969999999999E-3</v>
      </c>
      <c r="S5713">
        <v>3.1093440000000001</v>
      </c>
      <c r="T5713">
        <v>-0.19562640000000001</v>
      </c>
      <c r="U5713">
        <v>0.13821410000000001</v>
      </c>
      <c r="V5713">
        <v>1.3639689999999999E-2</v>
      </c>
      <c r="W5713">
        <v>0.2180385</v>
      </c>
      <c r="X5713">
        <v>0.97584490000000002</v>
      </c>
      <c r="Y5713">
        <v>-3.4592030000000003E-2</v>
      </c>
      <c r="Z5713">
        <v>4.7260100000000001E-4</v>
      </c>
      <c r="AA5713">
        <v>0.9994014</v>
      </c>
      <c r="AB5713">
        <v>33</v>
      </c>
      <c r="AC5713">
        <v>17.453699999999898</v>
      </c>
      <c r="AD5713">
        <v>-1.1089601530940001</v>
      </c>
      <c r="AE5713">
        <v>0.78200999999999898</v>
      </c>
      <c r="AF5713">
        <v>-0.608929103235194</v>
      </c>
      <c r="AG5713">
        <v>-1.1089601530940001</v>
      </c>
      <c r="AH5713">
        <v>17.390445310627701</v>
      </c>
      <c r="AI5713">
        <v>93.646488758827402</v>
      </c>
      <c r="AJ5713">
        <v>92.005401172166501</v>
      </c>
      <c r="AK5713">
        <v>17.436403739758099</v>
      </c>
      <c r="AL5713">
        <v>77.406149886048098</v>
      </c>
      <c r="AM5713">
        <v>89.199211079147602</v>
      </c>
      <c r="AN5713">
        <v>1.0000000487407701</v>
      </c>
    </row>
    <row r="5714" spans="1:40" x14ac:dyDescent="0.25">
      <c r="A5714" t="str">
        <f>"20190312172820557"</f>
        <v>20190312172820557</v>
      </c>
      <c r="B5714" t="str">
        <f>"1552382900545468"</f>
        <v>1552382900545468</v>
      </c>
      <c r="C5714" t="s">
        <v>40</v>
      </c>
      <c r="D5714">
        <v>3.5524640000000001</v>
      </c>
      <c r="E5714">
        <v>0.49042839999999999</v>
      </c>
      <c r="F5714" t="s">
        <v>60</v>
      </c>
      <c r="G5714">
        <v>-225.96940000000001</v>
      </c>
      <c r="H5714" s="1">
        <v>-1.9402749999999998E-6</v>
      </c>
      <c r="I5714">
        <v>-61.559100000000001</v>
      </c>
      <c r="J5714">
        <v>-243.75380000000001</v>
      </c>
      <c r="K5714">
        <v>1.1088209999999901</v>
      </c>
      <c r="L5714">
        <v>-62.353450000000002</v>
      </c>
      <c r="M5714">
        <v>0.99991379999999996</v>
      </c>
      <c r="N5714">
        <v>0</v>
      </c>
      <c r="O5714">
        <v>9.6460599999999997E-3</v>
      </c>
      <c r="P5714">
        <v>0.97783620000000004</v>
      </c>
      <c r="Q5714">
        <v>0.20933959999999999</v>
      </c>
      <c r="R5714">
        <v>-3.692627E-3</v>
      </c>
      <c r="S5714">
        <v>3.1092070000000001</v>
      </c>
      <c r="T5714">
        <v>-0.19216810000000001</v>
      </c>
      <c r="U5714">
        <v>0.1379089</v>
      </c>
      <c r="V5714">
        <v>1.3220020000000001E-2</v>
      </c>
      <c r="W5714">
        <v>0.2180426</v>
      </c>
      <c r="X5714">
        <v>0.97584970000000004</v>
      </c>
      <c r="Y5714">
        <v>-3.462486E-2</v>
      </c>
      <c r="Z5714">
        <v>4.7316030000000002E-4</v>
      </c>
      <c r="AA5714">
        <v>0.99940030000000002</v>
      </c>
      <c r="AB5714">
        <v>33</v>
      </c>
      <c r="AC5714">
        <v>17.784400000000002</v>
      </c>
      <c r="AD5714">
        <v>-1.1088229402749901</v>
      </c>
      <c r="AE5714">
        <v>0.794350000000001</v>
      </c>
      <c r="AF5714">
        <v>-0.62035017044309304</v>
      </c>
      <c r="AG5714">
        <v>-1.1088229402749901</v>
      </c>
      <c r="AH5714">
        <v>17.7224800807839</v>
      </c>
      <c r="AI5714">
        <v>93.577909986942103</v>
      </c>
      <c r="AJ5714">
        <v>92.004738645359893</v>
      </c>
      <c r="AK5714">
        <v>17.767966199332701</v>
      </c>
      <c r="AL5714">
        <v>77.405908438553993</v>
      </c>
      <c r="AM5714">
        <v>89.223850743858904</v>
      </c>
      <c r="AN5714">
        <v>0.99999999066682499</v>
      </c>
    </row>
    <row r="5715" spans="1:40" x14ac:dyDescent="0.25">
      <c r="A5715" t="str">
        <f>"20190312172820566"</f>
        <v>20190312172820566</v>
      </c>
      <c r="B5715" t="str">
        <f>"1552382900555228"</f>
        <v>1552382900555228</v>
      </c>
      <c r="C5715" t="s">
        <v>40</v>
      </c>
      <c r="D5715">
        <v>3.5864280000000002</v>
      </c>
      <c r="E5715">
        <v>0.49041669999999998</v>
      </c>
      <c r="F5715" t="s">
        <v>60</v>
      </c>
      <c r="G5715">
        <v>-225.51900000000001</v>
      </c>
      <c r="H5715" s="1">
        <v>-1.743403E-6</v>
      </c>
      <c r="I5715">
        <v>-61.5428</v>
      </c>
      <c r="J5715">
        <v>-243.59700000000001</v>
      </c>
      <c r="K5715">
        <v>1.108689</v>
      </c>
      <c r="L5715">
        <v>-62.352020000000003</v>
      </c>
      <c r="M5715">
        <v>0.99992009999999998</v>
      </c>
      <c r="N5715">
        <v>0</v>
      </c>
      <c r="O5715">
        <v>9.5175469999999995E-3</v>
      </c>
      <c r="P5715">
        <v>0.97769930000000005</v>
      </c>
      <c r="Q5715">
        <v>0.20997689999999999</v>
      </c>
      <c r="R5715">
        <v>-3.7689669999999998E-3</v>
      </c>
      <c r="S5715">
        <v>3.108978</v>
      </c>
      <c r="T5715">
        <v>-0.18905040000000001</v>
      </c>
      <c r="U5715">
        <v>0.13821410000000001</v>
      </c>
      <c r="V5715">
        <v>1.317138E-2</v>
      </c>
      <c r="W5715">
        <v>0.21809799999999999</v>
      </c>
      <c r="X5715">
        <v>0.97583799999999998</v>
      </c>
      <c r="Y5715">
        <v>-3.4855379999999998E-2</v>
      </c>
      <c r="Z5715">
        <v>4.8033599999999999E-4</v>
      </c>
      <c r="AA5715">
        <v>0.99939230000000001</v>
      </c>
      <c r="AB5715">
        <v>33</v>
      </c>
      <c r="AC5715">
        <v>18.077999999999999</v>
      </c>
      <c r="AD5715">
        <v>-1.108690743403</v>
      </c>
      <c r="AE5715">
        <v>0.80921999999999605</v>
      </c>
      <c r="AF5715">
        <v>-0.63473661400256898</v>
      </c>
      <c r="AG5715">
        <v>-1.108690743403</v>
      </c>
      <c r="AH5715">
        <v>18.017253202608</v>
      </c>
      <c r="AI5715">
        <v>93.519075229974902</v>
      </c>
      <c r="AJ5715">
        <v>92.017660207735403</v>
      </c>
      <c r="AK5715">
        <v>18.062488718350799</v>
      </c>
      <c r="AL5715">
        <v>77.402656255709402</v>
      </c>
      <c r="AM5715">
        <v>89.226696787338696</v>
      </c>
      <c r="AN5715">
        <v>1.0000000125495501</v>
      </c>
    </row>
    <row r="5716" spans="1:40" x14ac:dyDescent="0.25">
      <c r="A5716" t="str">
        <f>"20190312172820578"</f>
        <v>20190312172820578</v>
      </c>
      <c r="B5716" t="str">
        <f>"1552382900575723"</f>
        <v>1552382900575723</v>
      </c>
      <c r="C5716" t="s">
        <v>40</v>
      </c>
      <c r="D5716">
        <v>3.5816560000000002</v>
      </c>
      <c r="E5716">
        <v>0.49043619999999999</v>
      </c>
      <c r="F5716" t="s">
        <v>60</v>
      </c>
      <c r="G5716">
        <v>-225.08320000000001</v>
      </c>
      <c r="H5716" s="1">
        <v>-1.5538690000000001E-6</v>
      </c>
      <c r="I5716">
        <v>-61.531140000000001</v>
      </c>
      <c r="J5716">
        <v>-243.42769999999999</v>
      </c>
      <c r="K5716">
        <v>1.108568</v>
      </c>
      <c r="L5716">
        <v>-62.350490000000001</v>
      </c>
      <c r="M5716">
        <v>0.9999266</v>
      </c>
      <c r="N5716">
        <v>0</v>
      </c>
      <c r="O5716">
        <v>9.3666280000000001E-3</v>
      </c>
      <c r="P5716">
        <v>0.97756929999999997</v>
      </c>
      <c r="Q5716">
        <v>0.2105822</v>
      </c>
      <c r="R5716">
        <v>-3.6766680000000001E-3</v>
      </c>
      <c r="S5716">
        <v>3.1089630000000001</v>
      </c>
      <c r="T5716">
        <v>-0.18617880000000001</v>
      </c>
      <c r="U5716">
        <v>0.1378479</v>
      </c>
      <c r="V5716">
        <v>1.293423E-2</v>
      </c>
      <c r="W5716">
        <v>0.2180869</v>
      </c>
      <c r="X5716">
        <v>0.97584369999999998</v>
      </c>
      <c r="Y5716">
        <v>-3.4890070000000002E-2</v>
      </c>
      <c r="Z5716">
        <v>4.831209E-4</v>
      </c>
      <c r="AA5716">
        <v>0.99939100000000003</v>
      </c>
      <c r="AB5716">
        <v>33</v>
      </c>
      <c r="AC5716">
        <v>18.344499999999901</v>
      </c>
      <c r="AD5716">
        <v>-1.1085695538689999</v>
      </c>
      <c r="AE5716">
        <v>0.81935000000000002</v>
      </c>
      <c r="AF5716">
        <v>-0.64513163316711897</v>
      </c>
      <c r="AG5716">
        <v>-1.1085695538689999</v>
      </c>
      <c r="AH5716">
        <v>18.2847296598746</v>
      </c>
      <c r="AI5716">
        <v>93.467338714320604</v>
      </c>
      <c r="AJ5716">
        <v>92.020702188331697</v>
      </c>
      <c r="AK5716">
        <v>18.329660662832101</v>
      </c>
      <c r="AL5716">
        <v>77.403308514671807</v>
      </c>
      <c r="AM5716">
        <v>89.240622860466999</v>
      </c>
      <c r="AN5716">
        <v>1.0000000585434901</v>
      </c>
    </row>
    <row r="5717" spans="1:40" x14ac:dyDescent="0.25">
      <c r="A5717" t="str">
        <f>"20190312172820590"</f>
        <v>20190312172820590</v>
      </c>
      <c r="B5717" t="str">
        <f>"1552382900584918"</f>
        <v>1552382900584918</v>
      </c>
      <c r="C5717" t="s">
        <v>40</v>
      </c>
      <c r="D5717">
        <v>3.5657109999999999</v>
      </c>
      <c r="E5717">
        <v>0.49042720000000001</v>
      </c>
      <c r="F5717" t="s">
        <v>60</v>
      </c>
      <c r="G5717">
        <v>-224.5438</v>
      </c>
      <c r="H5717" s="1">
        <v>-1.318303E-6</v>
      </c>
      <c r="I5717">
        <v>-61.51238</v>
      </c>
      <c r="J5717">
        <v>-243.2508</v>
      </c>
      <c r="K5717">
        <v>1.108441</v>
      </c>
      <c r="L5717">
        <v>-62.348909999999997</v>
      </c>
      <c r="M5717">
        <v>0.99993290000000001</v>
      </c>
      <c r="N5717">
        <v>0</v>
      </c>
      <c r="O5717">
        <v>9.2054010000000002E-3</v>
      </c>
      <c r="P5717">
        <v>0.97739489999999996</v>
      </c>
      <c r="Q5717">
        <v>0.21138779999999999</v>
      </c>
      <c r="R5717">
        <v>-3.8060149999999998E-3</v>
      </c>
      <c r="S5717">
        <v>3.108673</v>
      </c>
      <c r="T5717">
        <v>-0.18249309999999999</v>
      </c>
      <c r="U5717">
        <v>0.13797000000000001</v>
      </c>
      <c r="V5717">
        <v>1.2908899999999999E-2</v>
      </c>
      <c r="W5717">
        <v>0.2182521</v>
      </c>
      <c r="X5717">
        <v>0.97580710000000004</v>
      </c>
      <c r="Y5717">
        <v>-3.5095700000000001E-2</v>
      </c>
      <c r="Z5717">
        <v>4.8909769999999999E-4</v>
      </c>
      <c r="AA5717">
        <v>0.99938380000000004</v>
      </c>
      <c r="AB5717">
        <v>33</v>
      </c>
      <c r="AC5717">
        <v>18.706999999999901</v>
      </c>
      <c r="AD5717">
        <v>-1.1084423183030001</v>
      </c>
      <c r="AE5717">
        <v>0.836529999999989</v>
      </c>
      <c r="AF5717">
        <v>-0.66196540573552998</v>
      </c>
      <c r="AG5717">
        <v>-1.1084423183030001</v>
      </c>
      <c r="AH5717">
        <v>18.648565615685101</v>
      </c>
      <c r="AI5717">
        <v>93.399435747108498</v>
      </c>
      <c r="AJ5717">
        <v>92.032966326927493</v>
      </c>
      <c r="AK5717">
        <v>18.693203098824601</v>
      </c>
      <c r="AL5717">
        <v>77.3936096029353</v>
      </c>
      <c r="AM5717">
        <v>89.242081404586301</v>
      </c>
      <c r="AN5717">
        <v>1.0000000576320101</v>
      </c>
    </row>
    <row r="5718" spans="1:40" x14ac:dyDescent="0.25">
      <c r="A5718" t="str">
        <f>"20190312172820601"</f>
        <v>20190312172820601</v>
      </c>
      <c r="B5718" t="str">
        <f>"1552382900595651"</f>
        <v>1552382900595651</v>
      </c>
      <c r="C5718" t="s">
        <v>40</v>
      </c>
      <c r="D5718">
        <v>3.5908359999999999</v>
      </c>
      <c r="E5718">
        <v>0.49042930000000001</v>
      </c>
      <c r="F5718" t="s">
        <v>60</v>
      </c>
      <c r="G5718">
        <v>-223.98179999999999</v>
      </c>
      <c r="H5718" s="1">
        <v>-1.073323E-6</v>
      </c>
      <c r="I5718">
        <v>-61.494999999999997</v>
      </c>
      <c r="J5718">
        <v>-243.08240000000001</v>
      </c>
      <c r="K5718">
        <v>1.1083320000000001</v>
      </c>
      <c r="L5718">
        <v>-62.347439999999999</v>
      </c>
      <c r="M5718">
        <v>0.99993860000000001</v>
      </c>
      <c r="N5718">
        <v>0</v>
      </c>
      <c r="O5718">
        <v>9.041693E-3</v>
      </c>
      <c r="P5718">
        <v>0.97728459999999995</v>
      </c>
      <c r="Q5718">
        <v>0.21189330000000001</v>
      </c>
      <c r="R5718">
        <v>-3.993496E-3</v>
      </c>
      <c r="S5718">
        <v>3.1085820000000002</v>
      </c>
      <c r="T5718">
        <v>-0.17881939999999999</v>
      </c>
      <c r="U5718">
        <v>0.1377563</v>
      </c>
      <c r="V5718">
        <v>1.2942189999999999E-2</v>
      </c>
      <c r="W5718">
        <v>0.21816179999999999</v>
      </c>
      <c r="X5718">
        <v>0.97582679999999999</v>
      </c>
      <c r="Y5718">
        <v>-3.5193450000000001E-2</v>
      </c>
      <c r="Z5718">
        <v>4.9149679999999996E-4</v>
      </c>
      <c r="AA5718">
        <v>0.99938039999999995</v>
      </c>
      <c r="AB5718">
        <v>34</v>
      </c>
      <c r="AC5718">
        <v>19.1006</v>
      </c>
      <c r="AD5718">
        <v>-1.1083330733229999</v>
      </c>
      <c r="AE5718">
        <v>0.85244000000000097</v>
      </c>
      <c r="AF5718">
        <v>-0.67742347879022602</v>
      </c>
      <c r="AG5718">
        <v>-1.1083330733229999</v>
      </c>
      <c r="AH5718">
        <v>19.043534220673099</v>
      </c>
      <c r="AI5718">
        <v>93.328754414368703</v>
      </c>
      <c r="AJ5718">
        <v>92.037287133881904</v>
      </c>
      <c r="AK5718">
        <v>19.087784061671101</v>
      </c>
      <c r="AL5718">
        <v>77.398910522820103</v>
      </c>
      <c r="AM5718">
        <v>89.240142420480197</v>
      </c>
      <c r="AN5718">
        <v>1.0000000074297299</v>
      </c>
    </row>
    <row r="5719" spans="1:40" x14ac:dyDescent="0.25">
      <c r="A5719" t="str">
        <f>"20190312172820612"</f>
        <v>20190312172820612</v>
      </c>
      <c r="B5719" t="str">
        <f>"1552382900605411"</f>
        <v>1552382900605411</v>
      </c>
      <c r="C5719" t="s">
        <v>40</v>
      </c>
      <c r="D5719">
        <v>3.5803029999999998</v>
      </c>
      <c r="E5719">
        <v>0.49045349999999999</v>
      </c>
      <c r="F5719" t="s">
        <v>60</v>
      </c>
      <c r="G5719">
        <v>-223.55779999999999</v>
      </c>
      <c r="H5719" s="1">
        <v>-8.8888350000000005E-7</v>
      </c>
      <c r="I5719">
        <v>-61.483539999999998</v>
      </c>
      <c r="J5719">
        <v>-242.9179</v>
      </c>
      <c r="K5719">
        <v>1.1082299999999901</v>
      </c>
      <c r="L5719">
        <v>-62.34601</v>
      </c>
      <c r="M5719">
        <v>0.99994360000000004</v>
      </c>
      <c r="N5719">
        <v>0</v>
      </c>
      <c r="O5719">
        <v>8.8765159999999992E-3</v>
      </c>
      <c r="P5719">
        <v>0.9771919</v>
      </c>
      <c r="Q5719">
        <v>0.21232690000000001</v>
      </c>
      <c r="R5719">
        <v>-3.669379E-3</v>
      </c>
      <c r="S5719">
        <v>3.108536</v>
      </c>
      <c r="T5719">
        <v>-0.17645849999999999</v>
      </c>
      <c r="U5719">
        <v>0.13754269999999999</v>
      </c>
      <c r="V5719">
        <v>1.2463200000000001E-2</v>
      </c>
      <c r="W5719">
        <v>0.21802820000000001</v>
      </c>
      <c r="X5719">
        <v>0.97586289999999998</v>
      </c>
      <c r="Y5719">
        <v>-3.5291379999999997E-2</v>
      </c>
      <c r="Z5719">
        <v>4.971671E-4</v>
      </c>
      <c r="AA5719">
        <v>0.99937699999999996</v>
      </c>
      <c r="AB5719">
        <v>34</v>
      </c>
      <c r="AC5719">
        <v>19.360099999999999</v>
      </c>
      <c r="AD5719">
        <v>-1.10823088888349</v>
      </c>
      <c r="AE5719">
        <v>0.86246999999999396</v>
      </c>
      <c r="AF5719">
        <v>-0.68833182646411095</v>
      </c>
      <c r="AG5719">
        <v>-1.10823088888349</v>
      </c>
      <c r="AH5719">
        <v>19.303864159593999</v>
      </c>
      <c r="AI5719">
        <v>93.283650036972304</v>
      </c>
      <c r="AJ5719">
        <v>92.042171762782601</v>
      </c>
      <c r="AK5719">
        <v>19.347897764316802</v>
      </c>
      <c r="AL5719">
        <v>77.406754129273295</v>
      </c>
      <c r="AM5719">
        <v>89.268288672580894</v>
      </c>
      <c r="AN5719">
        <v>1.0000000134729401</v>
      </c>
    </row>
    <row r="5720" spans="1:40" x14ac:dyDescent="0.25">
      <c r="A5720" t="str">
        <f>"20190312172820623"</f>
        <v>20190312172820623</v>
      </c>
      <c r="B5720" t="str">
        <f>"1552382900615170"</f>
        <v>1552382900615170</v>
      </c>
      <c r="C5720" t="s">
        <v>40</v>
      </c>
      <c r="D5720">
        <v>3.6024150000000001</v>
      </c>
      <c r="E5720">
        <v>0.49044729999999997</v>
      </c>
      <c r="F5720" t="s">
        <v>60</v>
      </c>
      <c r="G5720">
        <v>-223.15870000000001</v>
      </c>
      <c r="H5720" s="1">
        <v>-7.1418759999999904E-7</v>
      </c>
      <c r="I5720">
        <v>-61.467820000000003</v>
      </c>
      <c r="J5720">
        <v>-242.73759999999999</v>
      </c>
      <c r="K5720">
        <v>1.1081259999999999</v>
      </c>
      <c r="L5720">
        <v>-62.344479999999997</v>
      </c>
      <c r="M5720">
        <v>0.99994870000000002</v>
      </c>
      <c r="N5720">
        <v>0</v>
      </c>
      <c r="O5720">
        <v>8.6864430000000003E-3</v>
      </c>
      <c r="P5720">
        <v>0.9770974</v>
      </c>
      <c r="Q5720">
        <v>0.21276149999999999</v>
      </c>
      <c r="R5720">
        <v>-3.678864E-3</v>
      </c>
      <c r="S5720">
        <v>3.108444</v>
      </c>
      <c r="T5720">
        <v>-0.17434229999999901</v>
      </c>
      <c r="U5720">
        <v>0.1381531</v>
      </c>
      <c r="V5720">
        <v>1.2296659999999999E-2</v>
      </c>
      <c r="W5720">
        <v>0.2178658</v>
      </c>
      <c r="X5720">
        <v>0.97590120000000002</v>
      </c>
      <c r="Y5720">
        <v>-3.5678620000000001E-2</v>
      </c>
      <c r="Z5720">
        <v>5.1271970000000004E-4</v>
      </c>
      <c r="AA5720">
        <v>0.99936320000000001</v>
      </c>
      <c r="AB5720">
        <v>34</v>
      </c>
      <c r="AC5720">
        <v>19.578899999999901</v>
      </c>
      <c r="AD5720">
        <v>-1.1081267141875999</v>
      </c>
      <c r="AE5720">
        <v>0.87666000000000799</v>
      </c>
      <c r="AF5720">
        <v>-0.70430201688067995</v>
      </c>
      <c r="AG5720">
        <v>-1.1081267141875999</v>
      </c>
      <c r="AH5720">
        <v>19.523361748103799</v>
      </c>
      <c r="AI5720">
        <v>93.246459037335001</v>
      </c>
      <c r="AJ5720">
        <v>92.066039751245498</v>
      </c>
      <c r="AK5720">
        <v>19.567463813509502</v>
      </c>
      <c r="AL5720">
        <v>77.416287131949204</v>
      </c>
      <c r="AM5720">
        <v>89.278093482006597</v>
      </c>
      <c r="AN5720">
        <v>0.99999993340911497</v>
      </c>
    </row>
    <row r="5721" spans="1:40" x14ac:dyDescent="0.25">
      <c r="A5721" t="str">
        <f>"20190312172820635"</f>
        <v>20190312172820635</v>
      </c>
      <c r="B5721" t="str">
        <f>"1552382900624931"</f>
        <v>1552382900624931</v>
      </c>
      <c r="C5721" t="s">
        <v>40</v>
      </c>
      <c r="D5721">
        <v>3.6107849999999999</v>
      </c>
      <c r="E5721">
        <v>0.4904347</v>
      </c>
      <c r="F5721" t="s">
        <v>60</v>
      </c>
      <c r="G5721">
        <v>-222.7253</v>
      </c>
      <c r="H5721" s="1">
        <v>-5.2590610000000002E-7</v>
      </c>
      <c r="I5721">
        <v>-61.457180000000001</v>
      </c>
      <c r="J5721">
        <v>-242.56190000000001</v>
      </c>
      <c r="K5721">
        <v>1.1080350000000001</v>
      </c>
      <c r="L5721">
        <v>-62.34308</v>
      </c>
      <c r="M5721">
        <v>0.99995290000000003</v>
      </c>
      <c r="N5721">
        <v>0</v>
      </c>
      <c r="O5721">
        <v>8.4918670000000002E-3</v>
      </c>
      <c r="P5721">
        <v>0.97703430000000002</v>
      </c>
      <c r="Q5721">
        <v>0.21305869999999999</v>
      </c>
      <c r="R5721">
        <v>-3.226643E-3</v>
      </c>
      <c r="S5721">
        <v>3.1083530000000001</v>
      </c>
      <c r="T5721">
        <v>-0.17211650000000001</v>
      </c>
      <c r="U5721">
        <v>0.13781740000000001</v>
      </c>
      <c r="V5721">
        <v>1.166614E-2</v>
      </c>
      <c r="W5721">
        <v>0.21764049999999999</v>
      </c>
      <c r="X5721">
        <v>0.97595920000000003</v>
      </c>
      <c r="Y5721">
        <v>-3.5767319999999998E-2</v>
      </c>
      <c r="Z5721">
        <v>5.1941339999999996E-4</v>
      </c>
      <c r="AA5721">
        <v>0.99936000000000003</v>
      </c>
      <c r="AB5721">
        <v>34</v>
      </c>
      <c r="AC5721">
        <v>19.836600000000001</v>
      </c>
      <c r="AD5721">
        <v>-1.1080355259061001</v>
      </c>
      <c r="AE5721">
        <v>0.88589999999999902</v>
      </c>
      <c r="AF5721">
        <v>-0.71518938456197301</v>
      </c>
      <c r="AG5721">
        <v>-1.1080355259061001</v>
      </c>
      <c r="AH5721">
        <v>19.781808787545899</v>
      </c>
      <c r="AI5721">
        <v>93.203861146992097</v>
      </c>
      <c r="AJ5721">
        <v>92.0705636091797</v>
      </c>
      <c r="AK5721">
        <v>19.8257206045452</v>
      </c>
      <c r="AL5721">
        <v>77.4295131153456</v>
      </c>
      <c r="AM5721">
        <v>89.315146830055397</v>
      </c>
      <c r="AN5721">
        <v>0.99999992306369101</v>
      </c>
    </row>
    <row r="5722" spans="1:40" x14ac:dyDescent="0.25">
      <c r="A5722" t="str">
        <f>"20190312172820647"</f>
        <v>20190312172820647</v>
      </c>
      <c r="B5722" t="str">
        <f>"1552382900635667"</f>
        <v>1552382900635667</v>
      </c>
      <c r="C5722" t="s">
        <v>40</v>
      </c>
      <c r="D5722">
        <v>3.5861290000000001</v>
      </c>
      <c r="E5722">
        <v>0.49037190000000003</v>
      </c>
      <c r="F5722" t="s">
        <v>60</v>
      </c>
      <c r="G5722">
        <v>-222.3596</v>
      </c>
      <c r="H5722" s="1">
        <v>-3.6530239999999999E-7</v>
      </c>
      <c r="I5722">
        <v>-61.440359999999998</v>
      </c>
      <c r="J5722">
        <v>-242.3784</v>
      </c>
      <c r="K5722">
        <v>1.1079589999999999</v>
      </c>
      <c r="L5722">
        <v>-62.341639999999998</v>
      </c>
      <c r="M5722">
        <v>0.99995710000000004</v>
      </c>
      <c r="N5722">
        <v>0</v>
      </c>
      <c r="O5722">
        <v>8.2837229999999998E-3</v>
      </c>
      <c r="P5722">
        <v>0.97691660000000002</v>
      </c>
      <c r="Q5722">
        <v>0.2136024</v>
      </c>
      <c r="R5722">
        <v>-2.8768550000000002E-3</v>
      </c>
      <c r="S5722">
        <v>3.1081539999999999</v>
      </c>
      <c r="T5722">
        <v>-0.1704736</v>
      </c>
      <c r="U5722">
        <v>0.1388855</v>
      </c>
      <c r="V5722">
        <v>1.112669E-2</v>
      </c>
      <c r="W5722">
        <v>0.2176708</v>
      </c>
      <c r="X5722">
        <v>0.97595880000000002</v>
      </c>
      <c r="Y5722">
        <v>-3.6320570000000003E-2</v>
      </c>
      <c r="Z5722">
        <v>5.4104670000000002E-4</v>
      </c>
      <c r="AA5722">
        <v>0.99934009999999995</v>
      </c>
      <c r="AB5722">
        <v>34</v>
      </c>
      <c r="AC5722">
        <v>20.018799999999999</v>
      </c>
      <c r="AD5722">
        <v>-1.10795936530239</v>
      </c>
      <c r="AE5722">
        <v>0.90128000000000696</v>
      </c>
      <c r="AF5722">
        <v>-0.73317615496299504</v>
      </c>
      <c r="AG5722">
        <v>-1.10795936530239</v>
      </c>
      <c r="AH5722">
        <v>19.964547983303401</v>
      </c>
      <c r="AI5722">
        <v>93.174312402035099</v>
      </c>
      <c r="AJ5722">
        <v>92.103179598011195</v>
      </c>
      <c r="AK5722">
        <v>20.008705540513901</v>
      </c>
      <c r="AL5722">
        <v>77.427735135346794</v>
      </c>
      <c r="AM5722">
        <v>89.346811813883306</v>
      </c>
      <c r="AN5722">
        <v>0.99999997985021705</v>
      </c>
    </row>
    <row r="5723" spans="1:40" x14ac:dyDescent="0.25">
      <c r="A5723" t="str">
        <f>"20190312172820660"</f>
        <v>20190312172820660</v>
      </c>
      <c r="B5723" t="str">
        <f>"1552382900655187"</f>
        <v>1552382900655187</v>
      </c>
      <c r="C5723" t="s">
        <v>40</v>
      </c>
      <c r="D5723">
        <v>3.695424</v>
      </c>
      <c r="E5723">
        <v>0.49021340000000002</v>
      </c>
      <c r="F5723" t="s">
        <v>60</v>
      </c>
      <c r="G5723">
        <v>-221.78720000000001</v>
      </c>
      <c r="H5723" s="1">
        <v>-1.141218E-7</v>
      </c>
      <c r="I5723">
        <v>-61.415190000000003</v>
      </c>
      <c r="J5723">
        <v>-242.19049999999999</v>
      </c>
      <c r="K5723">
        <v>1.107923</v>
      </c>
      <c r="L5723">
        <v>-62.340209999999999</v>
      </c>
      <c r="M5723">
        <v>0.99996039999999997</v>
      </c>
      <c r="N5723">
        <v>0</v>
      </c>
      <c r="O5723">
        <v>8.0627519999999994E-3</v>
      </c>
      <c r="P5723">
        <v>0.97682919999999995</v>
      </c>
      <c r="Q5723">
        <v>0.214006</v>
      </c>
      <c r="R5723">
        <v>-2.544461E-3</v>
      </c>
      <c r="S5723">
        <v>3.1078800000000002</v>
      </c>
      <c r="T5723">
        <v>-0.16722699999999999</v>
      </c>
      <c r="U5723">
        <v>0.1398315</v>
      </c>
      <c r="V5723">
        <v>1.059647E-2</v>
      </c>
      <c r="W5723">
        <v>0.2177299</v>
      </c>
      <c r="X5723">
        <v>0.97595160000000003</v>
      </c>
      <c r="Y5723">
        <v>-3.6849439999999997E-2</v>
      </c>
      <c r="Z5723">
        <v>5.5688690000000002E-4</v>
      </c>
      <c r="AA5723">
        <v>0.99932069999999995</v>
      </c>
      <c r="AB5723">
        <v>34</v>
      </c>
      <c r="AC5723">
        <v>20.403299999999899</v>
      </c>
      <c r="AD5723">
        <v>-1.1079231141218</v>
      </c>
      <c r="AE5723">
        <v>0.92501999999999596</v>
      </c>
      <c r="AF5723">
        <v>-0.75825081172153297</v>
      </c>
      <c r="AG5723">
        <v>-1.1079231141218</v>
      </c>
      <c r="AH5723">
        <v>20.350213142362399</v>
      </c>
      <c r="AI5723">
        <v>93.1141110171462</v>
      </c>
      <c r="AJ5723">
        <v>92.133858886003694</v>
      </c>
      <c r="AK5723">
        <v>20.394450540768698</v>
      </c>
      <c r="AL5723">
        <v>77.424266768528</v>
      </c>
      <c r="AM5723">
        <v>89.377931085177906</v>
      </c>
      <c r="AN5723">
        <v>1.00000006003651</v>
      </c>
    </row>
    <row r="5724" spans="1:40" x14ac:dyDescent="0.25">
      <c r="A5724" t="str">
        <f>"20190312172820679"</f>
        <v>20190312172820679</v>
      </c>
      <c r="B5724" t="str">
        <f>"1552382900675683"</f>
        <v>1552382900675683</v>
      </c>
      <c r="C5724" t="s">
        <v>40</v>
      </c>
      <c r="D5724">
        <v>3.6120679999999998</v>
      </c>
      <c r="E5724">
        <v>0.49020629999999998</v>
      </c>
      <c r="F5724" t="s">
        <v>60</v>
      </c>
      <c r="G5724">
        <v>-221.33179999999999</v>
      </c>
      <c r="H5724" s="1">
        <v>8.6845259999999998E-8</v>
      </c>
      <c r="I5724">
        <v>-61.389989999999997</v>
      </c>
      <c r="J5724">
        <v>-241.887</v>
      </c>
      <c r="K5724">
        <v>1.1079319999999999</v>
      </c>
      <c r="L5724">
        <v>-62.338099999999997</v>
      </c>
      <c r="M5724">
        <v>0.99996410000000002</v>
      </c>
      <c r="N5724">
        <v>0</v>
      </c>
      <c r="O5724">
        <v>7.7032259999999996E-3</v>
      </c>
      <c r="P5724">
        <v>0.97658370000000005</v>
      </c>
      <c r="Q5724">
        <v>0.21513160000000001</v>
      </c>
      <c r="R5724">
        <v>-1.6709730000000001E-3</v>
      </c>
      <c r="S5724">
        <v>3.1076969999999999</v>
      </c>
      <c r="T5724">
        <v>-0.1650674</v>
      </c>
      <c r="U5724">
        <v>0.141571</v>
      </c>
      <c r="V5724">
        <v>9.4024490000000002E-3</v>
      </c>
      <c r="W5724">
        <v>0.21855820000000001</v>
      </c>
      <c r="X5724">
        <v>0.97577860000000005</v>
      </c>
      <c r="Y5724">
        <v>-3.776885E-2</v>
      </c>
      <c r="Z5724">
        <v>5.9319009999999998E-4</v>
      </c>
      <c r="AA5724">
        <v>0.99928640000000002</v>
      </c>
      <c r="AB5724">
        <v>34</v>
      </c>
      <c r="AC5724">
        <v>20.555199999999999</v>
      </c>
      <c r="AD5724">
        <v>-1.1079319131547301</v>
      </c>
      <c r="AE5724">
        <v>0.94810999999999201</v>
      </c>
      <c r="AF5724">
        <v>-0.78745663411439404</v>
      </c>
      <c r="AG5724">
        <v>-1.1079319131547301</v>
      </c>
      <c r="AH5724">
        <v>20.502455469037098</v>
      </c>
      <c r="AI5724">
        <v>93.090922711483501</v>
      </c>
      <c r="AJ5724">
        <v>92.199530483106699</v>
      </c>
      <c r="AK5724">
        <v>20.547464109584102</v>
      </c>
      <c r="AL5724">
        <v>77.375636548080394</v>
      </c>
      <c r="AM5724">
        <v>89.447923973318893</v>
      </c>
      <c r="AN5724">
        <v>0.99999998452619798</v>
      </c>
    </row>
    <row r="5725" spans="1:40" x14ac:dyDescent="0.25">
      <c r="A5725" t="str">
        <f>"20190312172820690"</f>
        <v>20190312172820690</v>
      </c>
      <c r="B5725" t="str">
        <f>"1552382900685442"</f>
        <v>1552382900685442</v>
      </c>
      <c r="C5725" t="s">
        <v>40</v>
      </c>
      <c r="D5725">
        <v>3.630652</v>
      </c>
      <c r="E5725">
        <v>0.49021169999999997</v>
      </c>
      <c r="F5725" t="s">
        <v>60</v>
      </c>
      <c r="G5725">
        <v>-220.4186</v>
      </c>
      <c r="H5725" s="1">
        <v>4.8907519999999898E-7</v>
      </c>
      <c r="I5725">
        <v>-61.342979999999997</v>
      </c>
      <c r="J5725">
        <v>-241.71639999999999</v>
      </c>
      <c r="K5725">
        <v>1.1079680000000001</v>
      </c>
      <c r="L5725">
        <v>-62.336939999999998</v>
      </c>
      <c r="M5725">
        <v>0.99996589999999996</v>
      </c>
      <c r="N5725">
        <v>0</v>
      </c>
      <c r="O5725">
        <v>7.4968719999999999E-3</v>
      </c>
      <c r="P5725">
        <v>0.97649620000000004</v>
      </c>
      <c r="Q5725">
        <v>0.21553059999999999</v>
      </c>
      <c r="R5725">
        <v>-1.412679E-3</v>
      </c>
      <c r="S5725">
        <v>3.107513</v>
      </c>
      <c r="T5725">
        <v>-0.16037079999999901</v>
      </c>
      <c r="U5725">
        <v>0.144043</v>
      </c>
      <c r="V5725">
        <v>8.9598309999999997E-3</v>
      </c>
      <c r="W5725">
        <v>0.2189314</v>
      </c>
      <c r="X5725">
        <v>0.97569910000000004</v>
      </c>
      <c r="Y5725">
        <v>-3.8771720000000003E-2</v>
      </c>
      <c r="Z5725">
        <v>6.1284100000000004E-4</v>
      </c>
      <c r="AA5725">
        <v>0.99924789999999997</v>
      </c>
      <c r="AB5725">
        <v>34</v>
      </c>
      <c r="AC5725">
        <v>21.297799999999899</v>
      </c>
      <c r="AD5725">
        <v>-1.1079675109247999</v>
      </c>
      <c r="AE5725">
        <v>0.99396000000000095</v>
      </c>
      <c r="AF5725">
        <v>-0.83201738966301397</v>
      </c>
      <c r="AG5725">
        <v>-1.1079675109247999</v>
      </c>
      <c r="AH5725">
        <v>21.247275446964601</v>
      </c>
      <c r="AI5725">
        <v>92.982779182291196</v>
      </c>
      <c r="AJ5725">
        <v>92.242487088817697</v>
      </c>
      <c r="AK5725">
        <v>21.292406131321801</v>
      </c>
      <c r="AL5725">
        <v>77.353723071666096</v>
      </c>
      <c r="AM5725">
        <v>89.473868457917902</v>
      </c>
      <c r="AN5725">
        <v>0.999999985109159</v>
      </c>
    </row>
    <row r="5726" spans="1:40" x14ac:dyDescent="0.25">
      <c r="A5726" t="str">
        <f>"20190312172820701"</f>
        <v>20190312172820701</v>
      </c>
      <c r="B5726" t="str">
        <f>"1552382900695203"</f>
        <v>1552382900695203</v>
      </c>
      <c r="C5726" t="s">
        <v>40</v>
      </c>
      <c r="D5726">
        <v>3.6914729999999998</v>
      </c>
      <c r="E5726">
        <v>0.49017860000000002</v>
      </c>
      <c r="F5726" t="s">
        <v>61</v>
      </c>
      <c r="G5726">
        <v>-219.99379999999999</v>
      </c>
      <c r="H5726" s="1">
        <v>-3.4273100000000001E-6</v>
      </c>
      <c r="I5726">
        <v>-61.323320000000002</v>
      </c>
      <c r="J5726">
        <v>-241.54220000000001</v>
      </c>
      <c r="K5726">
        <v>1.108036</v>
      </c>
      <c r="L5726">
        <v>-62.335880000000003</v>
      </c>
      <c r="M5726">
        <v>0.99996700000000005</v>
      </c>
      <c r="N5726">
        <v>0</v>
      </c>
      <c r="O5726">
        <v>7.2754119999999898E-3</v>
      </c>
      <c r="P5726">
        <v>0.97638639999999999</v>
      </c>
      <c r="Q5726">
        <v>0.21602769999999999</v>
      </c>
      <c r="R5726">
        <v>-1.1664570000000001E-3</v>
      </c>
      <c r="S5726">
        <v>3.1073909999999998</v>
      </c>
      <c r="T5726">
        <v>-0.15849349999999901</v>
      </c>
      <c r="U5726">
        <v>0.14498900000000001</v>
      </c>
      <c r="V5726">
        <v>8.5124789999999999E-3</v>
      </c>
      <c r="W5726">
        <v>0.21954879999999999</v>
      </c>
      <c r="X5726">
        <v>0.9755644</v>
      </c>
      <c r="Y5726">
        <v>-3.9298369999999999E-2</v>
      </c>
      <c r="Z5726">
        <v>6.3039189999999998E-4</v>
      </c>
      <c r="AA5726">
        <v>0.99922730000000004</v>
      </c>
      <c r="AB5726">
        <v>35</v>
      </c>
      <c r="AC5726">
        <v>21.548400000000001</v>
      </c>
      <c r="AD5726">
        <v>-1.10803942731</v>
      </c>
      <c r="AE5726">
        <v>1.0125599999999999</v>
      </c>
      <c r="AF5726">
        <v>-0.85350689040192596</v>
      </c>
      <c r="AG5726">
        <v>-1.10803942731</v>
      </c>
      <c r="AH5726">
        <v>21.498477317637601</v>
      </c>
      <c r="AI5726">
        <v>92.948116548079</v>
      </c>
      <c r="AJ5726">
        <v>92.273494704365703</v>
      </c>
      <c r="AK5726">
        <v>21.543926112977001</v>
      </c>
      <c r="AL5726">
        <v>77.317466996302997</v>
      </c>
      <c r="AM5726">
        <v>89.500067097308204</v>
      </c>
      <c r="AN5726">
        <v>1.0000000182137601</v>
      </c>
    </row>
    <row r="5727" spans="1:40" x14ac:dyDescent="0.25">
      <c r="A5727" t="str">
        <f>"20190312172820712"</f>
        <v>20190312172820712</v>
      </c>
      <c r="B5727" t="str">
        <f>"1552382900704962"</f>
        <v>1552382900704962</v>
      </c>
      <c r="C5727" t="s">
        <v>40</v>
      </c>
      <c r="D5727">
        <v>3.686083</v>
      </c>
      <c r="E5727">
        <v>0.49011709999999897</v>
      </c>
      <c r="F5727" t="s">
        <v>61</v>
      </c>
      <c r="G5727">
        <v>-219.595</v>
      </c>
      <c r="H5727" s="1">
        <v>-3.2880410000000002E-6</v>
      </c>
      <c r="I5727">
        <v>-61.303370000000001</v>
      </c>
      <c r="J5727">
        <v>-241.37</v>
      </c>
      <c r="K5727">
        <v>1.108112</v>
      </c>
      <c r="L5727">
        <v>-62.334870000000002</v>
      </c>
      <c r="M5727">
        <v>0.99996810000000003</v>
      </c>
      <c r="N5727">
        <v>0</v>
      </c>
      <c r="O5727">
        <v>7.0465880000000003E-3</v>
      </c>
      <c r="P5727">
        <v>0.97627900000000001</v>
      </c>
      <c r="Q5727">
        <v>0.21651529999999999</v>
      </c>
      <c r="R5727">
        <v>-8.9128869999999998E-4</v>
      </c>
      <c r="S5727">
        <v>3.1074220000000001</v>
      </c>
      <c r="T5727">
        <v>-0.15688279999999999</v>
      </c>
      <c r="U5727">
        <v>0.14617920000000001</v>
      </c>
      <c r="V5727">
        <v>8.0267269999999905E-3</v>
      </c>
      <c r="W5727">
        <v>0.2201949</v>
      </c>
      <c r="X5727">
        <v>0.97542289999999998</v>
      </c>
      <c r="Y5727">
        <v>-3.9908220000000001E-2</v>
      </c>
      <c r="Z5727">
        <v>6.5089559999999996E-4</v>
      </c>
      <c r="AA5727">
        <v>0.99920310000000001</v>
      </c>
      <c r="AB5727">
        <v>35</v>
      </c>
      <c r="AC5727">
        <v>21.774999999999999</v>
      </c>
      <c r="AD5727">
        <v>-1.1081152880409999</v>
      </c>
      <c r="AE5727">
        <v>1.0315000000000001</v>
      </c>
      <c r="AF5727">
        <v>-0.87577092376260102</v>
      </c>
      <c r="AG5727">
        <v>-1.1081152880409999</v>
      </c>
      <c r="AH5727">
        <v>21.725590657742799</v>
      </c>
      <c r="AI5727">
        <v>92.917479724375497</v>
      </c>
      <c r="AJ5727">
        <v>92.308375695833405</v>
      </c>
      <c r="AK5727">
        <v>21.7714534110678</v>
      </c>
      <c r="AL5727">
        <v>77.279519700449299</v>
      </c>
      <c r="AM5727">
        <v>89.528525319610395</v>
      </c>
      <c r="AN5727">
        <v>1.0000000280883701</v>
      </c>
    </row>
    <row r="5728" spans="1:40" x14ac:dyDescent="0.25">
      <c r="A5728" t="str">
        <f>"20190312172820723"</f>
        <v>20190312172820723</v>
      </c>
      <c r="B5728" t="str">
        <f>"1552382900715699"</f>
        <v>1552382900715699</v>
      </c>
      <c r="C5728" t="s">
        <v>40</v>
      </c>
      <c r="D5728">
        <v>3.6069749999999998</v>
      </c>
      <c r="E5728">
        <v>0.49013400000000001</v>
      </c>
      <c r="F5728" t="s">
        <v>61</v>
      </c>
      <c r="G5728">
        <v>-219.0001</v>
      </c>
      <c r="H5728" s="1">
        <v>-3.066591E-6</v>
      </c>
      <c r="I5728">
        <v>-61.272730000000003</v>
      </c>
      <c r="J5728">
        <v>-241.19380000000001</v>
      </c>
      <c r="K5728">
        <v>1.108196</v>
      </c>
      <c r="L5728">
        <v>-62.333889999999997</v>
      </c>
      <c r="M5728">
        <v>0.99996890000000005</v>
      </c>
      <c r="N5728">
        <v>0</v>
      </c>
      <c r="O5728">
        <v>6.7997980000000001E-3</v>
      </c>
      <c r="P5728">
        <v>0.97618159999999998</v>
      </c>
      <c r="Q5728">
        <v>0.21695429999999999</v>
      </c>
      <c r="R5728">
        <v>-5.9602780000000001E-4</v>
      </c>
      <c r="S5728">
        <v>3.1071620000000002</v>
      </c>
      <c r="T5728">
        <v>-0.15391589999999999</v>
      </c>
      <c r="U5728">
        <v>0.14752199999999999</v>
      </c>
      <c r="V5728">
        <v>7.5013959999999996E-3</v>
      </c>
      <c r="W5728">
        <v>0.22084880000000001</v>
      </c>
      <c r="X5728">
        <v>0.97527920000000001</v>
      </c>
      <c r="Y5728">
        <v>-4.0589979999999998E-2</v>
      </c>
      <c r="Z5728">
        <v>6.6772339999999998E-4</v>
      </c>
      <c r="AA5728">
        <v>0.9991757</v>
      </c>
      <c r="AB5728">
        <v>35</v>
      </c>
      <c r="AC5728">
        <v>22.1937</v>
      </c>
      <c r="AD5728">
        <v>-1.108199066591</v>
      </c>
      <c r="AE5728">
        <v>1.0611600000000001</v>
      </c>
      <c r="AF5728">
        <v>-0.90796291680181596</v>
      </c>
      <c r="AG5728">
        <v>-1.108199066591</v>
      </c>
      <c r="AH5728">
        <v>22.145313457132801</v>
      </c>
      <c r="AI5728">
        <v>92.862413264631996</v>
      </c>
      <c r="AJ5728">
        <v>92.347825074574004</v>
      </c>
      <c r="AK5728">
        <v>22.1916067454376</v>
      </c>
      <c r="AL5728">
        <v>77.241107896655393</v>
      </c>
      <c r="AM5728">
        <v>89.559316085105394</v>
      </c>
      <c r="AN5728">
        <v>0.99999999067801404</v>
      </c>
    </row>
    <row r="5729" spans="1:40" x14ac:dyDescent="0.25">
      <c r="A5729" t="str">
        <f>"20190312172820735"</f>
        <v>20190312172820735</v>
      </c>
      <c r="B5729" t="str">
        <f>"1552382900725460"</f>
        <v>1552382900725460</v>
      </c>
      <c r="C5729" t="s">
        <v>40</v>
      </c>
      <c r="D5729">
        <v>3.7949480000000002</v>
      </c>
      <c r="E5729">
        <v>0.49007040000000002</v>
      </c>
      <c r="F5729" t="s">
        <v>61</v>
      </c>
      <c r="G5729">
        <v>-218.57419999999999</v>
      </c>
      <c r="H5729" s="1">
        <v>-2.8790330000000002E-6</v>
      </c>
      <c r="I5729">
        <v>-61.254550000000002</v>
      </c>
      <c r="J5729">
        <v>-241.0206</v>
      </c>
      <c r="K5729">
        <v>1.1082730000000001</v>
      </c>
      <c r="L5729">
        <v>-62.333010000000002</v>
      </c>
      <c r="M5729">
        <v>0.99996969999999996</v>
      </c>
      <c r="N5729">
        <v>0</v>
      </c>
      <c r="O5729">
        <v>6.5387830000000003E-3</v>
      </c>
      <c r="P5729">
        <v>0.97613280000000002</v>
      </c>
      <c r="Q5729">
        <v>0.21717520000000001</v>
      </c>
      <c r="R5729">
        <v>-1.714416E-4</v>
      </c>
      <c r="S5729">
        <v>3.1071170000000001</v>
      </c>
      <c r="T5729">
        <v>-0.1522261</v>
      </c>
      <c r="U5729">
        <v>0.14825439999999901</v>
      </c>
      <c r="V5729">
        <v>6.8290119999999998E-3</v>
      </c>
      <c r="W5729">
        <v>0.2213022</v>
      </c>
      <c r="X5729">
        <v>0.97518130000000003</v>
      </c>
      <c r="Y5729">
        <v>-4.1086480000000002E-2</v>
      </c>
      <c r="Z5729">
        <v>6.853273E-4</v>
      </c>
      <c r="AA5729">
        <v>0.99915529999999997</v>
      </c>
      <c r="AB5729">
        <v>35</v>
      </c>
      <c r="AC5729">
        <v>22.446400000000001</v>
      </c>
      <c r="AD5729">
        <v>-1.1082758790330001</v>
      </c>
      <c r="AE5729">
        <v>1.07845999999999</v>
      </c>
      <c r="AF5729">
        <v>-0.92940299315988995</v>
      </c>
      <c r="AG5729">
        <v>-1.1082758790330001</v>
      </c>
      <c r="AH5729">
        <v>22.398494178256399</v>
      </c>
      <c r="AI5729">
        <v>92.830249355297397</v>
      </c>
      <c r="AJ5729">
        <v>92.376067716653395</v>
      </c>
      <c r="AK5729">
        <v>22.445146620174398</v>
      </c>
      <c r="AL5729">
        <v>77.214470159021204</v>
      </c>
      <c r="AM5729">
        <v>89.598774945649595</v>
      </c>
      <c r="AN5729">
        <v>0.99999993349971095</v>
      </c>
    </row>
    <row r="5730" spans="1:40" x14ac:dyDescent="0.25">
      <c r="A5730" t="str">
        <f>"20190312172820746"</f>
        <v>20190312172820746</v>
      </c>
      <c r="B5730" t="str">
        <f>"1552382900735220"</f>
        <v>1552382900735220</v>
      </c>
      <c r="C5730" t="s">
        <v>40</v>
      </c>
      <c r="D5730">
        <v>3.620209</v>
      </c>
      <c r="E5730">
        <v>0.49009799999999998</v>
      </c>
      <c r="F5730" t="s">
        <v>61</v>
      </c>
      <c r="G5730">
        <v>-218.3254</v>
      </c>
      <c r="H5730" s="1">
        <v>-2.7685139999999998E-6</v>
      </c>
      <c r="I5730">
        <v>-61.240250000000003</v>
      </c>
      <c r="J5730">
        <v>-240.84219999999999</v>
      </c>
      <c r="K5730">
        <v>1.108355</v>
      </c>
      <c r="L5730">
        <v>-62.332090000000001</v>
      </c>
      <c r="M5730">
        <v>0.99997040000000004</v>
      </c>
      <c r="N5730">
        <v>0</v>
      </c>
      <c r="O5730">
        <v>6.260056E-3</v>
      </c>
      <c r="P5730">
        <v>0.97613000000000005</v>
      </c>
      <c r="Q5730">
        <v>0.21718699999999999</v>
      </c>
      <c r="R5730">
        <v>2.8708199999999997E-4</v>
      </c>
      <c r="S5730">
        <v>3.107132</v>
      </c>
      <c r="T5730">
        <v>-0.15173029999999901</v>
      </c>
      <c r="U5730">
        <v>0.14959720000000001</v>
      </c>
      <c r="V5730">
        <v>6.1041400000000001E-3</v>
      </c>
      <c r="W5730">
        <v>0.22156500000000001</v>
      </c>
      <c r="X5730">
        <v>0.97512650000000001</v>
      </c>
      <c r="Y5730">
        <v>-4.1794619999999998E-2</v>
      </c>
      <c r="Z5730">
        <v>7.1395119999999996E-4</v>
      </c>
      <c r="AA5730">
        <v>0.99912599999999996</v>
      </c>
      <c r="AB5730">
        <v>35</v>
      </c>
      <c r="AC5730">
        <v>22.5167999999999</v>
      </c>
      <c r="AD5730">
        <v>-1.108357768514</v>
      </c>
      <c r="AE5730">
        <v>1.0918399999999899</v>
      </c>
      <c r="AF5730">
        <v>-0.94856781402857604</v>
      </c>
      <c r="AG5730">
        <v>-1.108357768514</v>
      </c>
      <c r="AH5730">
        <v>22.468880301039199</v>
      </c>
      <c r="AI5730">
        <v>92.821520690519705</v>
      </c>
      <c r="AJ5730">
        <v>92.417418130952797</v>
      </c>
      <c r="AK5730">
        <v>22.516190171147201</v>
      </c>
      <c r="AL5730">
        <v>77.199030390786504</v>
      </c>
      <c r="AM5730">
        <v>89.641342029590703</v>
      </c>
      <c r="AN5730">
        <v>1.00000000037619</v>
      </c>
    </row>
    <row r="5731" spans="1:40" x14ac:dyDescent="0.25">
      <c r="A5731" t="str">
        <f>"20190312172820757"</f>
        <v>20190312172820757</v>
      </c>
      <c r="B5731" t="str">
        <f>"1552382900745955"</f>
        <v>1552382900745955</v>
      </c>
      <c r="C5731" t="s">
        <v>40</v>
      </c>
      <c r="D5731">
        <v>3.6782059999999999</v>
      </c>
      <c r="E5731">
        <v>0.49004730000000002</v>
      </c>
      <c r="F5731" t="s">
        <v>61</v>
      </c>
      <c r="G5731">
        <v>-218.12110000000001</v>
      </c>
      <c r="H5731" s="1">
        <v>-2.6789790000000002E-6</v>
      </c>
      <c r="I5731">
        <v>-61.233139999999999</v>
      </c>
      <c r="J5731">
        <v>-240.68209999999999</v>
      </c>
      <c r="K5731">
        <v>1.108419</v>
      </c>
      <c r="L5731">
        <v>-62.331359999999997</v>
      </c>
      <c r="M5731">
        <v>0.9999709</v>
      </c>
      <c r="N5731">
        <v>0</v>
      </c>
      <c r="O5731">
        <v>5.9910889999999998E-3</v>
      </c>
      <c r="P5731">
        <v>0.97607569999999999</v>
      </c>
      <c r="Q5731">
        <v>0.21743029999999999</v>
      </c>
      <c r="R5731">
        <v>7.3740820000000001E-4</v>
      </c>
      <c r="S5731">
        <v>3.1070250000000001</v>
      </c>
      <c r="T5731">
        <v>-0.1515639</v>
      </c>
      <c r="U5731">
        <v>0.1502686</v>
      </c>
      <c r="V5731">
        <v>5.3939219999999998E-3</v>
      </c>
      <c r="W5731">
        <v>0.2220443</v>
      </c>
      <c r="X5731">
        <v>0.97502169999999999</v>
      </c>
      <c r="Y5731">
        <v>-4.2279589999999999E-2</v>
      </c>
      <c r="Z5731">
        <v>7.3810839999999896E-4</v>
      </c>
      <c r="AA5731">
        <v>0.99910560000000004</v>
      </c>
      <c r="AB5731">
        <v>35</v>
      </c>
      <c r="AC5731">
        <v>22.5609999999999</v>
      </c>
      <c r="AD5731">
        <v>-1.108421678979</v>
      </c>
      <c r="AE5731">
        <v>1.09821999999999</v>
      </c>
      <c r="AF5731">
        <v>-0.96072036111391701</v>
      </c>
      <c r="AG5731">
        <v>-1.108421678979</v>
      </c>
      <c r="AH5731">
        <v>22.5129623658881</v>
      </c>
      <c r="AI5731">
        <v>92.816112502399804</v>
      </c>
      <c r="AJ5731">
        <v>92.443563119754202</v>
      </c>
      <c r="AK5731">
        <v>22.560697168274299</v>
      </c>
      <c r="AL5731">
        <v>77.170867528746896</v>
      </c>
      <c r="AM5731">
        <v>89.683036989894106</v>
      </c>
      <c r="AN5731">
        <v>1.00000004051396</v>
      </c>
    </row>
    <row r="5732" spans="1:40" x14ac:dyDescent="0.25">
      <c r="A5732" t="str">
        <f>"20190312172820768"</f>
        <v>20190312172820768</v>
      </c>
      <c r="B5732" t="str">
        <f>"1552382900765475"</f>
        <v>1552382900765475</v>
      </c>
      <c r="C5732" t="s">
        <v>40</v>
      </c>
      <c r="D5732">
        <v>3.6863679999999999</v>
      </c>
      <c r="E5732">
        <v>0.4899908</v>
      </c>
      <c r="F5732" t="s">
        <v>61</v>
      </c>
      <c r="G5732">
        <v>-217.69130000000001</v>
      </c>
      <c r="H5732" s="1">
        <v>-2.4880210000000001E-6</v>
      </c>
      <c r="I5732">
        <v>-61.208440000000003</v>
      </c>
      <c r="J5732">
        <v>-240.51570000000001</v>
      </c>
      <c r="K5732">
        <v>1.1084849999999999</v>
      </c>
      <c r="L5732">
        <v>-62.330599999999997</v>
      </c>
      <c r="M5732">
        <v>0.99997130000000001</v>
      </c>
      <c r="N5732">
        <v>0</v>
      </c>
      <c r="O5732">
        <v>5.7091850000000003E-3</v>
      </c>
      <c r="P5732">
        <v>0.97611460000000005</v>
      </c>
      <c r="Q5732">
        <v>0.21725459999999999</v>
      </c>
      <c r="R5732">
        <v>1.112353E-3</v>
      </c>
      <c r="S5732">
        <v>3.1067659999999999</v>
      </c>
      <c r="T5732">
        <v>-0.1497819</v>
      </c>
      <c r="U5732">
        <v>0.15173339999999999</v>
      </c>
      <c r="V5732">
        <v>4.7466110000000004E-3</v>
      </c>
      <c r="W5732">
        <v>0.22211500000000001</v>
      </c>
      <c r="X5732">
        <v>0.97500889999999996</v>
      </c>
      <c r="Y5732">
        <v>-4.303502E-2</v>
      </c>
      <c r="Z5732">
        <v>7.6125569999999998E-4</v>
      </c>
      <c r="AA5732">
        <v>0.99907330000000005</v>
      </c>
      <c r="AB5732">
        <v>35</v>
      </c>
      <c r="AC5732">
        <v>22.824400000000001</v>
      </c>
      <c r="AD5732">
        <v>-1.1084874880209901</v>
      </c>
      <c r="AE5732">
        <v>1.1221599999999901</v>
      </c>
      <c r="AF5732">
        <v>-0.98950311267402402</v>
      </c>
      <c r="AG5732">
        <v>-1.1084874880209901</v>
      </c>
      <c r="AH5732">
        <v>22.776841734927601</v>
      </c>
      <c r="AI5732">
        <v>92.783611368364205</v>
      </c>
      <c r="AJ5732">
        <v>92.487558469448899</v>
      </c>
      <c r="AK5732">
        <v>22.825257508712401</v>
      </c>
      <c r="AL5732">
        <v>77.166712173053497</v>
      </c>
      <c r="AM5732">
        <v>89.721070619127701</v>
      </c>
      <c r="AN5732">
        <v>0.99999997931009699</v>
      </c>
    </row>
    <row r="5733" spans="1:40" x14ac:dyDescent="0.25">
      <c r="A5733" t="str">
        <f>"20190312172820779"</f>
        <v>20190312172820779</v>
      </c>
      <c r="B5733" t="str">
        <f>"1552382900775235"</f>
        <v>1552382900775235</v>
      </c>
      <c r="C5733" t="s">
        <v>40</v>
      </c>
      <c r="D5733">
        <v>3.7221860000000002</v>
      </c>
      <c r="E5733">
        <v>0.48997829999999898</v>
      </c>
      <c r="F5733" t="s">
        <v>61</v>
      </c>
      <c r="G5733">
        <v>-217.4759</v>
      </c>
      <c r="H5733" s="1">
        <v>-2.3925380000000002E-6</v>
      </c>
      <c r="I5733">
        <v>-61.196820000000002</v>
      </c>
      <c r="J5733">
        <v>-240.33519999999999</v>
      </c>
      <c r="K5733">
        <v>1.1085449999999999</v>
      </c>
      <c r="L5733">
        <v>-62.329900000000002</v>
      </c>
      <c r="M5733">
        <v>0.99997159999999996</v>
      </c>
      <c r="N5733">
        <v>0</v>
      </c>
      <c r="O5733">
        <v>5.385506E-3</v>
      </c>
      <c r="P5733">
        <v>0.97604009999999997</v>
      </c>
      <c r="Q5733">
        <v>0.2175841</v>
      </c>
      <c r="R5733">
        <v>1.648271E-3</v>
      </c>
      <c r="S5733">
        <v>3.106522</v>
      </c>
      <c r="T5733">
        <v>-0.14946029999999999</v>
      </c>
      <c r="U5733">
        <v>0.15286250000000001</v>
      </c>
      <c r="V5733">
        <v>3.8967369999999999E-3</v>
      </c>
      <c r="W5733">
        <v>0.222717</v>
      </c>
      <c r="X5733">
        <v>0.9748753</v>
      </c>
      <c r="Y5733">
        <v>-4.3723499999999998E-2</v>
      </c>
      <c r="Z5733">
        <v>7.9177100000000003E-4</v>
      </c>
      <c r="AA5733">
        <v>0.99904329999999997</v>
      </c>
      <c r="AB5733">
        <v>35</v>
      </c>
      <c r="AC5733">
        <v>22.859299999999902</v>
      </c>
      <c r="AD5733">
        <v>-1.1085473925380001</v>
      </c>
      <c r="AE5733">
        <v>1.1330800000000001</v>
      </c>
      <c r="AF5733">
        <v>-1.0075892153084001</v>
      </c>
      <c r="AG5733">
        <v>-1.1085473925380001</v>
      </c>
      <c r="AH5733">
        <v>22.8115562325724</v>
      </c>
      <c r="AI5733">
        <v>92.779443718887705</v>
      </c>
      <c r="AJ5733">
        <v>92.529117640499095</v>
      </c>
      <c r="AK5733">
        <v>22.860691395933799</v>
      </c>
      <c r="AL5733">
        <v>77.131333551704202</v>
      </c>
      <c r="AM5733">
        <v>89.770980560368699</v>
      </c>
      <c r="AN5733">
        <v>0.99999994859916697</v>
      </c>
    </row>
    <row r="5734" spans="1:40" x14ac:dyDescent="0.25">
      <c r="A5734" t="str">
        <f>"20190312172820790"</f>
        <v>20190312172820790</v>
      </c>
      <c r="B5734" t="str">
        <f>"1552382900785974"</f>
        <v>1552382900785974</v>
      </c>
      <c r="C5734" t="s">
        <v>40</v>
      </c>
      <c r="D5734">
        <v>3.7093349999999998</v>
      </c>
      <c r="E5734">
        <v>0.48998639999999999</v>
      </c>
      <c r="F5734" t="s">
        <v>61</v>
      </c>
      <c r="G5734">
        <v>-217.1601</v>
      </c>
      <c r="H5734" s="1">
        <v>-2.251955E-6</v>
      </c>
      <c r="I5734">
        <v>-61.177619999999997</v>
      </c>
      <c r="J5734">
        <v>-240.16079999999999</v>
      </c>
      <c r="K5734">
        <v>1.1086</v>
      </c>
      <c r="L5734">
        <v>-62.329189999999997</v>
      </c>
      <c r="M5734">
        <v>0.99997179999999997</v>
      </c>
      <c r="N5734">
        <v>0</v>
      </c>
      <c r="O5734">
        <v>5.0698050000000001E-3</v>
      </c>
      <c r="P5734">
        <v>0.97604460000000004</v>
      </c>
      <c r="Q5734">
        <v>0.21755939999999999</v>
      </c>
      <c r="R5734">
        <v>2.262114E-3</v>
      </c>
      <c r="S5734">
        <v>3.106522</v>
      </c>
      <c r="T5734">
        <v>-0.148595799999999</v>
      </c>
      <c r="U5734">
        <v>0.15444949999999999</v>
      </c>
      <c r="V5734">
        <v>2.9766929999999999E-3</v>
      </c>
      <c r="W5734">
        <v>0.2229555</v>
      </c>
      <c r="X5734">
        <v>0.97482409999999997</v>
      </c>
      <c r="Y5734">
        <v>-4.454719E-2</v>
      </c>
      <c r="Z5734">
        <v>8.2194530000000003E-4</v>
      </c>
      <c r="AA5734">
        <v>0.99900690000000003</v>
      </c>
      <c r="AB5734">
        <v>35</v>
      </c>
      <c r="AC5734">
        <v>23.000699999999899</v>
      </c>
      <c r="AD5734">
        <v>-1.1086022519550001</v>
      </c>
      <c r="AE5734">
        <v>1.15157</v>
      </c>
      <c r="AF5734">
        <v>-1.03255161531424</v>
      </c>
      <c r="AG5734">
        <v>-1.1086022519550001</v>
      </c>
      <c r="AH5734">
        <v>22.953053626124799</v>
      </c>
      <c r="AI5734">
        <v>92.762372512314599</v>
      </c>
      <c r="AJ5734">
        <v>92.575735299701094</v>
      </c>
      <c r="AK5734">
        <v>23.002996164740999</v>
      </c>
      <c r="AL5734">
        <v>77.117316996184897</v>
      </c>
      <c r="AM5734">
        <v>89.825043907185503</v>
      </c>
      <c r="AN5734">
        <v>1.0000000208111299</v>
      </c>
    </row>
    <row r="5735" spans="1:40" x14ac:dyDescent="0.25">
      <c r="A5735" t="str">
        <f>"20190312172820801"</f>
        <v>20190312172820801</v>
      </c>
      <c r="B5735" t="str">
        <f>"1552382900795731"</f>
        <v>1552382900795731</v>
      </c>
      <c r="C5735" t="s">
        <v>40</v>
      </c>
      <c r="D5735">
        <v>3.6728390000000002</v>
      </c>
      <c r="E5735">
        <v>0.48999160000000003</v>
      </c>
      <c r="F5735" t="s">
        <v>61</v>
      </c>
      <c r="G5735">
        <v>-217.03720000000001</v>
      </c>
      <c r="H5735" s="1">
        <v>-2.1970389999999999E-6</v>
      </c>
      <c r="I5735">
        <v>-61.169449999999998</v>
      </c>
      <c r="J5735">
        <v>-239.98740000000001</v>
      </c>
      <c r="K5735">
        <v>1.108646</v>
      </c>
      <c r="L5735">
        <v>-62.328609999999998</v>
      </c>
      <c r="M5735">
        <v>0.99997190000000002</v>
      </c>
      <c r="N5735">
        <v>0</v>
      </c>
      <c r="O5735">
        <v>4.7488180000000001E-3</v>
      </c>
      <c r="P5735">
        <v>0.97600379999999998</v>
      </c>
      <c r="Q5735">
        <v>0.21773290000000001</v>
      </c>
      <c r="R5735">
        <v>3.0598359999999998E-3</v>
      </c>
      <c r="S5735">
        <v>3.1064449999999999</v>
      </c>
      <c r="T5735">
        <v>-0.14893039999999999</v>
      </c>
      <c r="U5735">
        <v>0.15579219999999999</v>
      </c>
      <c r="V5735">
        <v>1.868439E-3</v>
      </c>
      <c r="W5735">
        <v>0.22339010000000001</v>
      </c>
      <c r="X5735">
        <v>0.97472729999999996</v>
      </c>
      <c r="Y5735">
        <v>-4.5298390000000001E-2</v>
      </c>
      <c r="Z5735">
        <v>8.5716000000000004E-4</v>
      </c>
      <c r="AA5735">
        <v>0.99897309999999995</v>
      </c>
      <c r="AB5735">
        <v>35</v>
      </c>
      <c r="AC5735">
        <v>22.950199999999899</v>
      </c>
      <c r="AD5735">
        <v>-1.1086481970389901</v>
      </c>
      <c r="AE5735">
        <v>1.15916</v>
      </c>
      <c r="AF5735">
        <v>-1.04772010094021</v>
      </c>
      <c r="AG5735">
        <v>-1.1086481970389901</v>
      </c>
      <c r="AH5735">
        <v>22.902138958786999</v>
      </c>
      <c r="AI5735">
        <v>92.768523266727897</v>
      </c>
      <c r="AJ5735">
        <v>92.619323661853102</v>
      </c>
      <c r="AK5735">
        <v>22.952881891437901</v>
      </c>
      <c r="AL5735">
        <v>77.091771291661402</v>
      </c>
      <c r="AM5735">
        <v>89.890170781246098</v>
      </c>
      <c r="AN5735">
        <v>0.99999996860379703</v>
      </c>
    </row>
    <row r="5736" spans="1:40" x14ac:dyDescent="0.25">
      <c r="A5736" t="str">
        <f>"20190312172820813"</f>
        <v>20190312172820813</v>
      </c>
      <c r="B5736" t="str">
        <f>"1552382900805490"</f>
        <v>1552382900805490</v>
      </c>
      <c r="C5736" t="s">
        <v>40</v>
      </c>
      <c r="D5736">
        <v>3.6875870000000002</v>
      </c>
      <c r="E5736">
        <v>0.49001050000000002</v>
      </c>
      <c r="F5736" t="s">
        <v>61</v>
      </c>
      <c r="G5736">
        <v>-216.81710000000001</v>
      </c>
      <c r="H5736" s="1">
        <v>-2.0980850000000001E-6</v>
      </c>
      <c r="I5736">
        <v>-61.1524199999999</v>
      </c>
      <c r="J5736">
        <v>-239.8116</v>
      </c>
      <c r="K5736">
        <v>1.1086830000000001</v>
      </c>
      <c r="L5736">
        <v>-62.328060000000001</v>
      </c>
      <c r="M5736">
        <v>0.99997179999999997</v>
      </c>
      <c r="N5736">
        <v>0</v>
      </c>
      <c r="O5736">
        <v>4.4206239999999997E-3</v>
      </c>
      <c r="P5736">
        <v>0.975966</v>
      </c>
      <c r="Q5736">
        <v>0.21788950000000001</v>
      </c>
      <c r="R5736">
        <v>3.8295909999999998E-3</v>
      </c>
      <c r="S5736">
        <v>3.10643</v>
      </c>
      <c r="T5736">
        <v>-0.14863560000000001</v>
      </c>
      <c r="U5736">
        <v>0.157684299999999</v>
      </c>
      <c r="V5736">
        <v>7.8235659999999999E-4</v>
      </c>
      <c r="W5736">
        <v>0.22380839999999999</v>
      </c>
      <c r="X5736">
        <v>0.97463290000000002</v>
      </c>
      <c r="Y5736">
        <v>-4.6232130000000003E-2</v>
      </c>
      <c r="Z5736">
        <v>8.9345159999999996E-4</v>
      </c>
      <c r="AA5736">
        <v>0.99893030000000005</v>
      </c>
      <c r="AB5736">
        <v>35</v>
      </c>
      <c r="AC5736">
        <v>22.994499999999899</v>
      </c>
      <c r="AD5736">
        <v>-1.108685098085</v>
      </c>
      <c r="AE5736">
        <v>1.17564</v>
      </c>
      <c r="AF5736">
        <v>-1.0714921878244501</v>
      </c>
      <c r="AG5736">
        <v>-1.108685098085</v>
      </c>
      <c r="AH5736">
        <v>22.946268163359701</v>
      </c>
      <c r="AI5736">
        <v>92.763178424422904</v>
      </c>
      <c r="AJ5736">
        <v>92.673524796398794</v>
      </c>
      <c r="AK5736">
        <v>22.998010800504002</v>
      </c>
      <c r="AL5736">
        <v>77.067182973612901</v>
      </c>
      <c r="AM5736">
        <v>89.9540075841619</v>
      </c>
      <c r="AN5736">
        <v>1.0000000508774001</v>
      </c>
    </row>
    <row r="5737" spans="1:40" x14ac:dyDescent="0.25">
      <c r="A5737" t="str">
        <f>"20190312172820824"</f>
        <v>20190312172820824</v>
      </c>
      <c r="B5737" t="str">
        <f>"1552382900815251"</f>
        <v>1552382900815251</v>
      </c>
      <c r="C5737" t="s">
        <v>40</v>
      </c>
      <c r="D5737">
        <v>3.6546059999999998</v>
      </c>
      <c r="E5737">
        <v>0.49003740000000001</v>
      </c>
      <c r="F5737" t="s">
        <v>61</v>
      </c>
      <c r="G5737">
        <v>-216.59989999999999</v>
      </c>
      <c r="H5737" s="1">
        <v>-2.000204E-6</v>
      </c>
      <c r="I5737">
        <v>-61.134700000000002</v>
      </c>
      <c r="J5737">
        <v>-239.63749999999999</v>
      </c>
      <c r="K5737">
        <v>1.108714</v>
      </c>
      <c r="L5737">
        <v>-62.327579999999998</v>
      </c>
      <c r="M5737">
        <v>0.99997159999999996</v>
      </c>
      <c r="N5737">
        <v>0</v>
      </c>
      <c r="O5737">
        <v>4.0922170000000004E-3</v>
      </c>
      <c r="P5737">
        <v>0.97590770000000004</v>
      </c>
      <c r="Q5737">
        <v>0.21813540000000001</v>
      </c>
      <c r="R5737">
        <v>4.6121069999999998E-3</v>
      </c>
      <c r="S5737">
        <v>3.1063999999999998</v>
      </c>
      <c r="T5737">
        <v>-0.14837400000000001</v>
      </c>
      <c r="U5737">
        <v>0.15969849999999999</v>
      </c>
      <c r="V5737">
        <v>-3.1581609999999999E-4</v>
      </c>
      <c r="W5737">
        <v>0.22430800000000001</v>
      </c>
      <c r="X5737">
        <v>0.9745182</v>
      </c>
      <c r="Y5737">
        <v>-4.7205360000000002E-2</v>
      </c>
      <c r="Z5737">
        <v>9.3075459999999999E-4</v>
      </c>
      <c r="AA5737">
        <v>0.99888480000000002</v>
      </c>
      <c r="AB5737">
        <v>35</v>
      </c>
      <c r="AC5737">
        <v>23.037600000000001</v>
      </c>
      <c r="AD5737">
        <v>-1.108716000204</v>
      </c>
      <c r="AE5737">
        <v>1.1928799999999999</v>
      </c>
      <c r="AF5737">
        <v>-1.09606141365192</v>
      </c>
      <c r="AG5737">
        <v>-1.108716000204</v>
      </c>
      <c r="AH5737">
        <v>22.989184758780699</v>
      </c>
      <c r="AI5737">
        <v>92.757977542455393</v>
      </c>
      <c r="AJ5737">
        <v>92.729638948261893</v>
      </c>
      <c r="AK5737">
        <v>23.0419881447969</v>
      </c>
      <c r="AL5737">
        <v>77.037809924228199</v>
      </c>
      <c r="AM5737">
        <v>90.0185680770239</v>
      </c>
      <c r="AN5737">
        <v>0.99999995036752298</v>
      </c>
    </row>
    <row r="5738" spans="1:40" x14ac:dyDescent="0.25">
      <c r="A5738" t="str">
        <f>"20190312172820836"</f>
        <v>20190312172820836</v>
      </c>
      <c r="B5738" t="str">
        <f>"1552382900825988"</f>
        <v>1552382900825988</v>
      </c>
      <c r="C5738" t="s">
        <v>40</v>
      </c>
      <c r="D5738">
        <v>3.618528</v>
      </c>
      <c r="E5738">
        <v>0.49006189999999999</v>
      </c>
      <c r="F5738" t="s">
        <v>61</v>
      </c>
      <c r="G5738">
        <v>-216.31649999999999</v>
      </c>
      <c r="H5738" s="1">
        <v>-1.8728220000000001E-6</v>
      </c>
      <c r="I5738">
        <v>-61.11298</v>
      </c>
      <c r="J5738">
        <v>-239.4589</v>
      </c>
      <c r="K5738">
        <v>1.108738</v>
      </c>
      <c r="L5738">
        <v>-62.327120000000001</v>
      </c>
      <c r="M5738">
        <v>0.99997139999999995</v>
      </c>
      <c r="N5738">
        <v>0</v>
      </c>
      <c r="O5738">
        <v>3.7510540000000002E-3</v>
      </c>
      <c r="P5738">
        <v>0.97585</v>
      </c>
      <c r="Q5738">
        <v>0.21837709999999999</v>
      </c>
      <c r="R5738">
        <v>5.2998699999999999E-3</v>
      </c>
      <c r="S5738">
        <v>3.1063079999999998</v>
      </c>
      <c r="T5738">
        <v>-0.1476779</v>
      </c>
      <c r="U5738">
        <v>0.16177369999999999</v>
      </c>
      <c r="V5738">
        <v>-1.329141E-3</v>
      </c>
      <c r="W5738">
        <v>0.22480240000000001</v>
      </c>
      <c r="X5738">
        <v>0.97440349999999998</v>
      </c>
      <c r="Y5738">
        <v>-4.8212110000000002E-2</v>
      </c>
      <c r="Z5738">
        <v>9.6650390000000005E-4</v>
      </c>
      <c r="AA5738">
        <v>0.99883659999999996</v>
      </c>
      <c r="AB5738">
        <v>35</v>
      </c>
      <c r="AC5738">
        <v>23.142399999999999</v>
      </c>
      <c r="AD5738">
        <v>-1.1087398728219999</v>
      </c>
      <c r="AE5738">
        <v>1.21413999999998</v>
      </c>
      <c r="AF5738">
        <v>-1.12474663086367</v>
      </c>
      <c r="AG5738">
        <v>-1.1087398728219999</v>
      </c>
      <c r="AH5738">
        <v>23.0939292131923</v>
      </c>
      <c r="AI5738">
        <v>92.745411505646004</v>
      </c>
      <c r="AJ5738">
        <v>92.788280580668399</v>
      </c>
      <c r="AK5738">
        <v>23.147870865225599</v>
      </c>
      <c r="AL5738">
        <v>77.008741591045094</v>
      </c>
      <c r="AM5738">
        <v>90.078154606839703</v>
      </c>
      <c r="AN5738">
        <v>1.0000000332368999</v>
      </c>
    </row>
    <row r="5739" spans="1:40" x14ac:dyDescent="0.25">
      <c r="A5739" t="str">
        <f>"20190312172820848"</f>
        <v>20190312172820848</v>
      </c>
      <c r="B5739" t="str">
        <f>"1552382900845507"</f>
        <v>1552382900845507</v>
      </c>
      <c r="C5739" t="s">
        <v>40</v>
      </c>
      <c r="D5739">
        <v>3.7195900000000002</v>
      </c>
      <c r="E5739">
        <v>0.49006290000000002</v>
      </c>
      <c r="F5739" t="s">
        <v>61</v>
      </c>
      <c r="G5739">
        <v>-216.09280000000001</v>
      </c>
      <c r="H5739" s="1">
        <v>-1.772277E-6</v>
      </c>
      <c r="I5739">
        <v>-61.095719999999901</v>
      </c>
      <c r="J5739">
        <v>-239.2688</v>
      </c>
      <c r="K5739">
        <v>1.1087590000000001</v>
      </c>
      <c r="L5739">
        <v>-62.326689999999999</v>
      </c>
      <c r="M5739">
        <v>0.99997080000000005</v>
      </c>
      <c r="N5739">
        <v>0</v>
      </c>
      <c r="O5739">
        <v>3.3861170000000001E-3</v>
      </c>
      <c r="P5739">
        <v>0.97567590000000004</v>
      </c>
      <c r="Q5739">
        <v>0.21913540000000001</v>
      </c>
      <c r="R5739">
        <v>6.0357040000000002E-3</v>
      </c>
      <c r="S5739">
        <v>3.1063230000000002</v>
      </c>
      <c r="T5739">
        <v>-0.14739739999999901</v>
      </c>
      <c r="U5739">
        <v>0.16369629999999999</v>
      </c>
      <c r="V5739">
        <v>-2.4134709999999999E-3</v>
      </c>
      <c r="W5739">
        <v>0.225824</v>
      </c>
      <c r="X5739">
        <v>0.97416510000000001</v>
      </c>
      <c r="Y5739">
        <v>-4.9191550000000001E-2</v>
      </c>
      <c r="Z5739">
        <v>1.005152E-3</v>
      </c>
      <c r="AA5739">
        <v>0.99878880000000003</v>
      </c>
      <c r="AB5739">
        <v>35</v>
      </c>
      <c r="AC5739">
        <v>23.175999999999899</v>
      </c>
      <c r="AD5739">
        <v>-1.1087607722769901</v>
      </c>
      <c r="AE5739">
        <v>1.2309699999999999</v>
      </c>
      <c r="AF5739">
        <v>-1.14986011225264</v>
      </c>
      <c r="AG5739">
        <v>-1.1087607722769901</v>
      </c>
      <c r="AH5739">
        <v>23.127251797613201</v>
      </c>
      <c r="AI5739">
        <v>92.741376964061899</v>
      </c>
      <c r="AJ5739">
        <v>92.846335844375702</v>
      </c>
      <c r="AK5739">
        <v>23.182348984477301</v>
      </c>
      <c r="AL5739">
        <v>76.948662593184594</v>
      </c>
      <c r="AM5739">
        <v>90.141948648498101</v>
      </c>
      <c r="AN5739">
        <v>0.99999997293813803</v>
      </c>
    </row>
    <row r="5740" spans="1:40" x14ac:dyDescent="0.25">
      <c r="A5740" t="str">
        <f>"20190312172820861"</f>
        <v>20190312172820861</v>
      </c>
      <c r="B5740" t="str">
        <f>"1552382900855267"</f>
        <v>1552382900855267</v>
      </c>
      <c r="C5740" t="s">
        <v>40</v>
      </c>
      <c r="D5740">
        <v>3.6776089999999999</v>
      </c>
      <c r="E5740">
        <v>0.49006840000000002</v>
      </c>
      <c r="F5740" t="s">
        <v>61</v>
      </c>
      <c r="G5740">
        <v>-215.77940000000001</v>
      </c>
      <c r="H5740" s="1">
        <v>-1.630927E-6</v>
      </c>
      <c r="I5740">
        <v>-61.069809999999997</v>
      </c>
      <c r="J5740">
        <v>-239.0616</v>
      </c>
      <c r="K5740">
        <v>1.10877</v>
      </c>
      <c r="L5740">
        <v>-62.326349999999998</v>
      </c>
      <c r="M5740">
        <v>0.99997020000000003</v>
      </c>
      <c r="N5740">
        <v>0</v>
      </c>
      <c r="O5740">
        <v>2.9801559999999999E-3</v>
      </c>
      <c r="P5740">
        <v>0.97557879999999997</v>
      </c>
      <c r="Q5740">
        <v>0.21955169999999999</v>
      </c>
      <c r="R5740">
        <v>6.5671189999999997E-3</v>
      </c>
      <c r="S5740">
        <v>3.106735</v>
      </c>
      <c r="T5740">
        <v>-0.14664539999999901</v>
      </c>
      <c r="U5740">
        <v>0.16622919999999999</v>
      </c>
      <c r="V5740">
        <v>-3.3303450000000002E-3</v>
      </c>
      <c r="W5740">
        <v>0.22651460000000001</v>
      </c>
      <c r="X5740">
        <v>0.97400209999999998</v>
      </c>
      <c r="Y5740">
        <v>-5.0400809999999997E-2</v>
      </c>
      <c r="Z5740">
        <v>1.047517E-3</v>
      </c>
      <c r="AA5740">
        <v>0.99872850000000002</v>
      </c>
      <c r="AB5740">
        <v>35</v>
      </c>
      <c r="AC5740">
        <v>23.2821999999999</v>
      </c>
      <c r="AD5740">
        <v>-1.1087716309269999</v>
      </c>
      <c r="AE5740">
        <v>1.25654</v>
      </c>
      <c r="AF5740">
        <v>-1.1844695397268199</v>
      </c>
      <c r="AG5740">
        <v>-1.1087716309269999</v>
      </c>
      <c r="AH5740">
        <v>23.233302124848301</v>
      </c>
      <c r="AI5740">
        <v>92.728736574813198</v>
      </c>
      <c r="AJ5740">
        <v>92.918500361422801</v>
      </c>
      <c r="AK5740">
        <v>23.289883431322099</v>
      </c>
      <c r="AL5740">
        <v>76.908042220880702</v>
      </c>
      <c r="AM5740">
        <v>90.195907143537696</v>
      </c>
      <c r="AN5740">
        <v>1.00000002300769</v>
      </c>
    </row>
    <row r="5741" spans="1:40" x14ac:dyDescent="0.25">
      <c r="A5741" t="str">
        <f>"20190312172820874"</f>
        <v>20190312172820874</v>
      </c>
      <c r="B5741" t="str">
        <f>"1552382900865029"</f>
        <v>1552382900865029</v>
      </c>
      <c r="C5741" t="s">
        <v>40</v>
      </c>
      <c r="D5741">
        <v>3.7392569999999998</v>
      </c>
      <c r="E5741">
        <v>0.49004310000000001</v>
      </c>
      <c r="F5741" t="s">
        <v>61</v>
      </c>
      <c r="G5741">
        <v>-215.47470000000001</v>
      </c>
      <c r="H5741" s="1">
        <v>-1.4952530000000001E-6</v>
      </c>
      <c r="I5741">
        <v>-61.051090000000002</v>
      </c>
      <c r="J5741">
        <v>-238.86949999999999</v>
      </c>
      <c r="K5741">
        <v>1.1087800000000001</v>
      </c>
      <c r="L5741">
        <v>-62.326140000000002</v>
      </c>
      <c r="M5741">
        <v>0.99996949999999996</v>
      </c>
      <c r="N5741">
        <v>0</v>
      </c>
      <c r="O5741">
        <v>2.599549E-3</v>
      </c>
      <c r="P5741">
        <v>0.97548539999999995</v>
      </c>
      <c r="Q5741">
        <v>0.2199498</v>
      </c>
      <c r="R5741">
        <v>7.1023129999999999E-3</v>
      </c>
      <c r="S5741">
        <v>3.106827</v>
      </c>
      <c r="T5741">
        <v>-0.146045799999999</v>
      </c>
      <c r="U5741">
        <v>0.167968799999999</v>
      </c>
      <c r="V5741">
        <v>-4.2265250000000001E-3</v>
      </c>
      <c r="W5741">
        <v>0.22715969999999999</v>
      </c>
      <c r="X5741">
        <v>0.9738483</v>
      </c>
      <c r="Y5741">
        <v>-5.1335899999999997E-2</v>
      </c>
      <c r="Z5741">
        <v>1.083011E-3</v>
      </c>
      <c r="AA5741">
        <v>0.99868080000000004</v>
      </c>
      <c r="AB5741">
        <v>35</v>
      </c>
      <c r="AC5741">
        <v>23.394799999999901</v>
      </c>
      <c r="AD5741">
        <v>-1.108781495253</v>
      </c>
      <c r="AE5741">
        <v>1.27505</v>
      </c>
      <c r="AF5741">
        <v>-1.2115148377611999</v>
      </c>
      <c r="AG5741">
        <v>-1.108781495253</v>
      </c>
      <c r="AH5741">
        <v>23.3457510888657</v>
      </c>
      <c r="AI5741">
        <v>92.715509984498297</v>
      </c>
      <c r="AJ5741">
        <v>92.970667990959598</v>
      </c>
      <c r="AK5741">
        <v>23.4034454409944</v>
      </c>
      <c r="AL5741">
        <v>76.870090491827497</v>
      </c>
      <c r="AM5741">
        <v>90.248663497265795</v>
      </c>
      <c r="AN5741">
        <v>0.99999995211527604</v>
      </c>
    </row>
    <row r="5742" spans="1:40" x14ac:dyDescent="0.25">
      <c r="A5742" t="str">
        <f>"20190312172820884"</f>
        <v>20190312172820884</v>
      </c>
      <c r="B5742" t="str">
        <f>"1552382900875763"</f>
        <v>1552382900875763</v>
      </c>
      <c r="C5742" t="s">
        <v>40</v>
      </c>
      <c r="D5742">
        <v>3.6666280000000002</v>
      </c>
      <c r="E5742">
        <v>0.49005100000000001</v>
      </c>
      <c r="F5742" t="s">
        <v>61</v>
      </c>
      <c r="G5742">
        <v>-215.2184</v>
      </c>
      <c r="H5742" s="1">
        <v>-1.380188E-6</v>
      </c>
      <c r="I5742">
        <v>-61.031910000000003</v>
      </c>
      <c r="J5742">
        <v>-238.6902</v>
      </c>
      <c r="K5742">
        <v>1.1087830000000001</v>
      </c>
      <c r="L5742">
        <v>-62.325960000000002</v>
      </c>
      <c r="M5742">
        <v>0.99996859999999999</v>
      </c>
      <c r="N5742">
        <v>0</v>
      </c>
      <c r="O5742">
        <v>2.2396999999999999E-3</v>
      </c>
      <c r="P5742">
        <v>0.97540709999999997</v>
      </c>
      <c r="Q5742">
        <v>0.22027389999999999</v>
      </c>
      <c r="R5742">
        <v>7.7978090000000002E-3</v>
      </c>
      <c r="S5742">
        <v>3.106995</v>
      </c>
      <c r="T5742">
        <v>-0.14565790000000001</v>
      </c>
      <c r="U5742">
        <v>0.17001340000000001</v>
      </c>
      <c r="V5742">
        <v>-5.2636899999999997E-3</v>
      </c>
      <c r="W5742">
        <v>0.22770899999999999</v>
      </c>
      <c r="X5742">
        <v>0.973715</v>
      </c>
      <c r="Y5742">
        <v>-5.2346419999999998E-2</v>
      </c>
      <c r="Z5742">
        <v>1.1205639999999999E-3</v>
      </c>
      <c r="AA5742">
        <v>0.99862839999999997</v>
      </c>
      <c r="AB5742">
        <v>35</v>
      </c>
      <c r="AC5742">
        <v>23.471800000000002</v>
      </c>
      <c r="AD5742">
        <v>-1.108784380188</v>
      </c>
      <c r="AE5742">
        <v>1.2940499999999899</v>
      </c>
      <c r="AF5742">
        <v>-1.2387195898802801</v>
      </c>
      <c r="AG5742">
        <v>-1.108784380188</v>
      </c>
      <c r="AH5742">
        <v>23.422529964248</v>
      </c>
      <c r="AI5742">
        <v>92.706488874052795</v>
      </c>
      <c r="AJ5742">
        <v>93.027313731673402</v>
      </c>
      <c r="AK5742">
        <v>23.481455213640398</v>
      </c>
      <c r="AL5742">
        <v>76.837771549883698</v>
      </c>
      <c r="AM5742">
        <v>90.309725416584001</v>
      </c>
      <c r="AN5742">
        <v>0.99999999816920804</v>
      </c>
    </row>
    <row r="5743" spans="1:40" x14ac:dyDescent="0.25">
      <c r="A5743" t="str">
        <f>"20190312172820895"</f>
        <v>20190312172820895</v>
      </c>
      <c r="B5743" t="str">
        <f>"1552382900885523"</f>
        <v>1552382900885523</v>
      </c>
      <c r="C5743" t="s">
        <v>40</v>
      </c>
      <c r="D5743">
        <v>3.6987450000000002</v>
      </c>
      <c r="E5743">
        <v>0.4900622</v>
      </c>
      <c r="F5743" t="s">
        <v>61</v>
      </c>
      <c r="G5743">
        <v>-214.97329999999999</v>
      </c>
      <c r="H5743" s="1">
        <v>-1.269936E-6</v>
      </c>
      <c r="I5743">
        <v>-61.012779999999999</v>
      </c>
      <c r="J5743">
        <v>-238.53270000000001</v>
      </c>
      <c r="K5743">
        <v>1.108784</v>
      </c>
      <c r="L5743">
        <v>-62.325899999999997</v>
      </c>
      <c r="M5743">
        <v>0.99996770000000001</v>
      </c>
      <c r="N5743">
        <v>0</v>
      </c>
      <c r="O5743">
        <v>1.9166700000000001E-3</v>
      </c>
      <c r="P5743">
        <v>0.97538219999999998</v>
      </c>
      <c r="Q5743">
        <v>0.22036359999999999</v>
      </c>
      <c r="R5743">
        <v>8.3534939999999995E-3</v>
      </c>
      <c r="S5743">
        <v>3.1070709999999999</v>
      </c>
      <c r="T5743">
        <v>-0.1452579</v>
      </c>
      <c r="U5743">
        <v>0.1720276</v>
      </c>
      <c r="V5743">
        <v>-6.1268829999999996E-3</v>
      </c>
      <c r="W5743">
        <v>0.2279881</v>
      </c>
      <c r="X5743">
        <v>0.97364470000000003</v>
      </c>
      <c r="Y5743">
        <v>-5.3311959999999999E-2</v>
      </c>
      <c r="Z5743">
        <v>1.1550659999999999E-3</v>
      </c>
      <c r="AA5743">
        <v>0.99857720000000005</v>
      </c>
      <c r="AB5743">
        <v>35</v>
      </c>
      <c r="AC5743">
        <v>23.5594</v>
      </c>
      <c r="AD5743">
        <v>-1.1087852699359999</v>
      </c>
      <c r="AE5743">
        <v>1.3131199999999901</v>
      </c>
      <c r="AF5743">
        <v>-1.2651669977525</v>
      </c>
      <c r="AG5743">
        <v>-1.1087852699359999</v>
      </c>
      <c r="AH5743">
        <v>23.5099611964704</v>
      </c>
      <c r="AI5743">
        <v>92.696307794404007</v>
      </c>
      <c r="AJ5743">
        <v>93.0803485964489</v>
      </c>
      <c r="AK5743">
        <v>23.570072714494799</v>
      </c>
      <c r="AL5743">
        <v>76.821349101555896</v>
      </c>
      <c r="AM5743">
        <v>90.360542099160199</v>
      </c>
      <c r="AN5743">
        <v>1.0000000571374901</v>
      </c>
    </row>
    <row r="5744" spans="1:40" x14ac:dyDescent="0.25">
      <c r="A5744" t="str">
        <f>"20190312172820906"</f>
        <v>20190312172820906</v>
      </c>
      <c r="B5744" t="str">
        <f>"1552382900895284"</f>
        <v>1552382900895284</v>
      </c>
      <c r="C5744" t="s">
        <v>40</v>
      </c>
      <c r="D5744">
        <v>3.6112419999999998</v>
      </c>
      <c r="E5744">
        <v>0.49011840000000001</v>
      </c>
      <c r="F5744" t="s">
        <v>61</v>
      </c>
      <c r="G5744">
        <v>-214.92410000000001</v>
      </c>
      <c r="H5744" s="1">
        <v>-1.2470399999999999E-6</v>
      </c>
      <c r="I5744">
        <v>-61.006010000000003</v>
      </c>
      <c r="J5744">
        <v>-238.363</v>
      </c>
      <c r="K5744">
        <v>1.108781</v>
      </c>
      <c r="L5744">
        <v>-62.325870000000002</v>
      </c>
      <c r="M5744">
        <v>0.99996669999999999</v>
      </c>
      <c r="N5744">
        <v>0</v>
      </c>
      <c r="O5744">
        <v>1.5656489999999999E-3</v>
      </c>
      <c r="P5744">
        <v>0.97538329999999995</v>
      </c>
      <c r="Q5744">
        <v>0.22034139999999999</v>
      </c>
      <c r="R5744">
        <v>8.7900659999999992E-3</v>
      </c>
      <c r="S5744">
        <v>3.1071930000000001</v>
      </c>
      <c r="T5744">
        <v>-0.145929799999999</v>
      </c>
      <c r="U5744">
        <v>0.1737061</v>
      </c>
      <c r="V5744">
        <v>-6.8972729999999998E-3</v>
      </c>
      <c r="W5744">
        <v>0.2281677</v>
      </c>
      <c r="X5744">
        <v>0.97359739999999995</v>
      </c>
      <c r="Y5744">
        <v>-5.4196189999999998E-2</v>
      </c>
      <c r="Z5744">
        <v>1.19754E-3</v>
      </c>
      <c r="AA5744">
        <v>0.99852960000000002</v>
      </c>
      <c r="AB5744">
        <v>35</v>
      </c>
      <c r="AC5744">
        <v>23.438899999999901</v>
      </c>
      <c r="AD5744">
        <v>-1.1087822470399999</v>
      </c>
      <c r="AE5744">
        <v>1.31985999999999</v>
      </c>
      <c r="AF5744">
        <v>-1.28030412734021</v>
      </c>
      <c r="AG5744">
        <v>-1.1087822470399999</v>
      </c>
      <c r="AH5744">
        <v>23.388764219570199</v>
      </c>
      <c r="AI5744">
        <v>92.710115868796095</v>
      </c>
      <c r="AJ5744">
        <v>93.133251664769205</v>
      </c>
      <c r="AK5744">
        <v>23.450007856043101</v>
      </c>
      <c r="AL5744">
        <v>76.810779239395302</v>
      </c>
      <c r="AM5744">
        <v>90.405894697471496</v>
      </c>
      <c r="AN5744">
        <v>0.99999998449244298</v>
      </c>
    </row>
    <row r="5745" spans="1:40" x14ac:dyDescent="0.25">
      <c r="A5745" t="str">
        <f>"20190312172820916"</f>
        <v>20190312172820916</v>
      </c>
      <c r="B5745" t="str">
        <f>"1552382900905043"</f>
        <v>1552382900905043</v>
      </c>
      <c r="C5745" t="s">
        <v>40</v>
      </c>
      <c r="D5745">
        <v>3.6116429999999999</v>
      </c>
      <c r="E5745">
        <v>0.49018109999999998</v>
      </c>
      <c r="F5745" t="s">
        <v>61</v>
      </c>
      <c r="G5745">
        <v>-214.86760000000001</v>
      </c>
      <c r="H5745" s="1">
        <v>-1.2227209999999999E-6</v>
      </c>
      <c r="I5745">
        <v>-61.005659999999999</v>
      </c>
      <c r="J5745">
        <v>-238.2046</v>
      </c>
      <c r="K5745">
        <v>1.1087819999999999</v>
      </c>
      <c r="L5745">
        <v>-62.32593</v>
      </c>
      <c r="M5745">
        <v>0.99996549999999995</v>
      </c>
      <c r="N5745">
        <v>0</v>
      </c>
      <c r="O5745">
        <v>1.229384E-3</v>
      </c>
      <c r="P5745">
        <v>0.97538840000000004</v>
      </c>
      <c r="Q5745">
        <v>0.2202788</v>
      </c>
      <c r="R5745">
        <v>9.724066E-3</v>
      </c>
      <c r="S5745">
        <v>3.1072850000000001</v>
      </c>
      <c r="T5745">
        <v>-0.1466372</v>
      </c>
      <c r="U5745">
        <v>0.1745911</v>
      </c>
      <c r="V5745">
        <v>-8.151887E-3</v>
      </c>
      <c r="W5745">
        <v>0.2282884</v>
      </c>
      <c r="X5745">
        <v>0.97355939999999996</v>
      </c>
      <c r="Y5745">
        <v>-5.4812220000000002E-2</v>
      </c>
      <c r="Z5745">
        <v>1.233657E-3</v>
      </c>
      <c r="AA5745">
        <v>0.99849589999999999</v>
      </c>
      <c r="AB5745">
        <v>35</v>
      </c>
      <c r="AC5745">
        <v>23.3369999999999</v>
      </c>
      <c r="AD5745">
        <v>-1.1087832227209999</v>
      </c>
      <c r="AE5745">
        <v>1.3202700000000001</v>
      </c>
      <c r="AF5745">
        <v>-1.28867815396948</v>
      </c>
      <c r="AG5745">
        <v>-1.1087832227209999</v>
      </c>
      <c r="AH5745">
        <v>23.286207597413899</v>
      </c>
      <c r="AI5745">
        <v>92.721946593137602</v>
      </c>
      <c r="AJ5745">
        <v>93.167565201414902</v>
      </c>
      <c r="AK5745">
        <v>23.348180997443102</v>
      </c>
      <c r="AL5745">
        <v>76.803676059440804</v>
      </c>
      <c r="AM5745">
        <v>90.479742484067799</v>
      </c>
      <c r="AN5745">
        <v>0.99999997608228997</v>
      </c>
    </row>
    <row r="5746" spans="1:40" x14ac:dyDescent="0.25">
      <c r="A5746" t="str">
        <f>"20190312172820926"</f>
        <v>20190312172820926</v>
      </c>
      <c r="B5746" t="str">
        <f>"1552382900915779"</f>
        <v>1552382900915779</v>
      </c>
      <c r="C5746" t="s">
        <v>40</v>
      </c>
      <c r="D5746">
        <v>3.6255489999999999</v>
      </c>
      <c r="E5746">
        <v>0.49024450000000003</v>
      </c>
      <c r="F5746" t="s">
        <v>61</v>
      </c>
      <c r="G5746">
        <v>-214.83580000000001</v>
      </c>
      <c r="H5746" s="1">
        <v>-1.206693E-6</v>
      </c>
      <c r="I5746">
        <v>-60.996749999999999</v>
      </c>
      <c r="J5746">
        <v>-238.03569999999999</v>
      </c>
      <c r="K5746">
        <v>1.108781</v>
      </c>
      <c r="L5746">
        <v>-62.3260199999999</v>
      </c>
      <c r="M5746">
        <v>0.99996450000000003</v>
      </c>
      <c r="N5746">
        <v>0</v>
      </c>
      <c r="O5746">
        <v>8.6901149999999902E-4</v>
      </c>
      <c r="P5746">
        <v>0.97536149999999999</v>
      </c>
      <c r="Q5746">
        <v>0.22038070000000001</v>
      </c>
      <c r="R5746">
        <v>1.012805E-2</v>
      </c>
      <c r="S5746">
        <v>3.1072389999999999</v>
      </c>
      <c r="T5746">
        <v>-0.1474297</v>
      </c>
      <c r="U5746">
        <v>0.1767273</v>
      </c>
      <c r="V5746">
        <v>-8.8995900000000006E-3</v>
      </c>
      <c r="W5746">
        <v>0.22858319999999999</v>
      </c>
      <c r="X5746">
        <v>0.97348369999999995</v>
      </c>
      <c r="Y5746">
        <v>-5.5854910000000001E-2</v>
      </c>
      <c r="Z5746">
        <v>1.2820900000000001E-3</v>
      </c>
      <c r="AA5746">
        <v>0.9984381</v>
      </c>
      <c r="AB5746">
        <v>35</v>
      </c>
      <c r="AC5746">
        <v>23.1998999999999</v>
      </c>
      <c r="AD5746">
        <v>-1.108782206693</v>
      </c>
      <c r="AE5746">
        <v>1.32926999999999</v>
      </c>
      <c r="AF5746">
        <v>-1.3061341954841901</v>
      </c>
      <c r="AG5746">
        <v>-1.108782206693</v>
      </c>
      <c r="AH5746">
        <v>23.148345676627201</v>
      </c>
      <c r="AI5746">
        <v>92.737965226528999</v>
      </c>
      <c r="AJ5746">
        <v>93.229462278084</v>
      </c>
      <c r="AK5746">
        <v>23.211662846145199</v>
      </c>
      <c r="AL5746">
        <v>76.786326819835494</v>
      </c>
      <c r="AM5746">
        <v>90.523783543259498</v>
      </c>
      <c r="AN5746">
        <v>0.99999999809504903</v>
      </c>
    </row>
    <row r="5747" spans="1:40" x14ac:dyDescent="0.25">
      <c r="A5747" t="str">
        <f>"20190312172820936"</f>
        <v>20190312172820936</v>
      </c>
      <c r="B5747" t="str">
        <f>"1552382900925539"</f>
        <v>1552382900925539</v>
      </c>
      <c r="C5747" t="s">
        <v>40</v>
      </c>
      <c r="D5747">
        <v>3.6112500000000001</v>
      </c>
      <c r="E5747">
        <v>0.49030479999999999</v>
      </c>
      <c r="F5747" t="s">
        <v>61</v>
      </c>
      <c r="G5747">
        <v>-214.71109999999999</v>
      </c>
      <c r="H5747" s="1">
        <v>-1.1524270000000001E-6</v>
      </c>
      <c r="I5747">
        <v>-60.99389</v>
      </c>
      <c r="J5747">
        <v>-237.8938</v>
      </c>
      <c r="K5747">
        <v>1.1087750000000001</v>
      </c>
      <c r="L5747">
        <v>-62.3262</v>
      </c>
      <c r="M5747">
        <v>0.99996320000000005</v>
      </c>
      <c r="N5747">
        <v>0</v>
      </c>
      <c r="O5747">
        <v>5.5795509999999999E-4</v>
      </c>
      <c r="P5747">
        <v>0.97534969999999999</v>
      </c>
      <c r="Q5747">
        <v>0.22039980000000001</v>
      </c>
      <c r="R5747">
        <v>1.07987E-2</v>
      </c>
      <c r="S5747">
        <v>3.1073300000000001</v>
      </c>
      <c r="T5747">
        <v>-0.1477126</v>
      </c>
      <c r="U5747">
        <v>0.1774597</v>
      </c>
      <c r="V5747">
        <v>-9.8674709999999992E-3</v>
      </c>
      <c r="W5747">
        <v>0.22876009999999999</v>
      </c>
      <c r="X5747">
        <v>0.97343279999999999</v>
      </c>
      <c r="Y5747">
        <v>-5.6397200000000001E-2</v>
      </c>
      <c r="Z5747">
        <v>1.3121389999999999E-3</v>
      </c>
      <c r="AA5747">
        <v>0.9984075</v>
      </c>
      <c r="AB5747">
        <v>35</v>
      </c>
      <c r="AC5747">
        <v>23.182700000000001</v>
      </c>
      <c r="AD5747">
        <v>-1.1087761524269999</v>
      </c>
      <c r="AE5747">
        <v>1.3323099999999899</v>
      </c>
      <c r="AF5747">
        <v>-1.31637313156418</v>
      </c>
      <c r="AG5747">
        <v>-1.1087761524269999</v>
      </c>
      <c r="AH5747">
        <v>23.130702653709299</v>
      </c>
      <c r="AI5747">
        <v>92.739960441829297</v>
      </c>
      <c r="AJ5747">
        <v>93.257201397515701</v>
      </c>
      <c r="AK5747">
        <v>23.1946465381994</v>
      </c>
      <c r="AL5747">
        <v>76.775915129283803</v>
      </c>
      <c r="AM5747">
        <v>90.580774635321106</v>
      </c>
      <c r="AN5747">
        <v>0.99999998322589201</v>
      </c>
    </row>
    <row r="5748" spans="1:40" x14ac:dyDescent="0.25">
      <c r="A5748" t="str">
        <f>"20190312172820947"</f>
        <v>20190312172820947</v>
      </c>
      <c r="B5748" t="str">
        <f>"1552382900935299"</f>
        <v>1552382900935299</v>
      </c>
      <c r="C5748" t="s">
        <v>40</v>
      </c>
      <c r="D5748">
        <v>3.684599</v>
      </c>
      <c r="E5748">
        <v>0.49036170000000001</v>
      </c>
      <c r="F5748" t="s">
        <v>61</v>
      </c>
      <c r="G5748">
        <v>-214.6737</v>
      </c>
      <c r="H5748" s="1">
        <v>-1.13481E-6</v>
      </c>
      <c r="I5748">
        <v>-60.987969999999997</v>
      </c>
      <c r="J5748">
        <v>-237.73</v>
      </c>
      <c r="K5748">
        <v>1.108773</v>
      </c>
      <c r="L5748">
        <v>-62.326390000000004</v>
      </c>
      <c r="M5748">
        <v>0.99996180000000001</v>
      </c>
      <c r="N5748">
        <v>0</v>
      </c>
      <c r="O5748">
        <v>1.9839799999999999E-4</v>
      </c>
      <c r="P5748">
        <v>0.97534779999999999</v>
      </c>
      <c r="Q5748">
        <v>0.22039</v>
      </c>
      <c r="R5748">
        <v>1.1186E-2</v>
      </c>
      <c r="S5748">
        <v>3.1073460000000002</v>
      </c>
      <c r="T5748">
        <v>-0.14837790000000001</v>
      </c>
      <c r="U5748">
        <v>0.17907709999999999</v>
      </c>
      <c r="V5748">
        <v>-1.059949E-2</v>
      </c>
      <c r="W5748">
        <v>0.2289313</v>
      </c>
      <c r="X5748">
        <v>0.9733849</v>
      </c>
      <c r="Y5748">
        <v>-5.7271910000000002E-2</v>
      </c>
      <c r="Z5748">
        <v>1.356016E-3</v>
      </c>
      <c r="AA5748">
        <v>0.99835770000000001</v>
      </c>
      <c r="AB5748">
        <v>35</v>
      </c>
      <c r="AC5748">
        <v>23.0563</v>
      </c>
      <c r="AD5748">
        <v>-1.10877413481</v>
      </c>
      <c r="AE5748">
        <v>1.3384199999999999</v>
      </c>
      <c r="AF5748">
        <v>-1.33077820810907</v>
      </c>
      <c r="AG5748">
        <v>-1.10877413481</v>
      </c>
      <c r="AH5748">
        <v>23.0035449791533</v>
      </c>
      <c r="AI5748">
        <v>92.754929952094997</v>
      </c>
      <c r="AJ5748">
        <v>93.310928144928994</v>
      </c>
      <c r="AK5748">
        <v>23.068667762337999</v>
      </c>
      <c r="AL5748">
        <v>76.765839272379694</v>
      </c>
      <c r="AM5748">
        <v>90.623886850420206</v>
      </c>
      <c r="AN5748">
        <v>1.00000002642797</v>
      </c>
    </row>
    <row r="5749" spans="1:40" x14ac:dyDescent="0.25">
      <c r="A5749" t="str">
        <f>"20190312172820957"</f>
        <v>20190312172820957</v>
      </c>
      <c r="B5749" t="str">
        <f>"1552382900955795"</f>
        <v>1552382900955795</v>
      </c>
      <c r="C5749" t="s">
        <v>40</v>
      </c>
      <c r="D5749">
        <v>3.6462029999999999</v>
      </c>
      <c r="E5749">
        <v>0.49049140000000002</v>
      </c>
      <c r="F5749" t="s">
        <v>61</v>
      </c>
      <c r="G5749">
        <v>-214.6078</v>
      </c>
      <c r="H5749" s="1">
        <v>-1.1060019999999999E-6</v>
      </c>
      <c r="I5749">
        <v>-60.985889999999998</v>
      </c>
      <c r="J5749">
        <v>-237.55770000000001</v>
      </c>
      <c r="K5749">
        <v>1.108773</v>
      </c>
      <c r="L5749">
        <v>-62.326749999999997</v>
      </c>
      <c r="M5749">
        <v>0.99996019999999997</v>
      </c>
      <c r="N5749">
        <v>0</v>
      </c>
      <c r="O5749">
        <v>-1.8681359999999999E-4</v>
      </c>
      <c r="P5749">
        <v>0.97536690000000004</v>
      </c>
      <c r="Q5749">
        <v>0.2202778</v>
      </c>
      <c r="R5749">
        <v>1.172495E-2</v>
      </c>
      <c r="S5749">
        <v>3.1074519999999999</v>
      </c>
      <c r="T5749">
        <v>-0.14901099999999901</v>
      </c>
      <c r="U5749">
        <v>0.18014530000000001</v>
      </c>
      <c r="V5749">
        <v>-1.150808E-2</v>
      </c>
      <c r="W5749">
        <v>0.22900329999999999</v>
      </c>
      <c r="X5749">
        <v>0.97335760000000004</v>
      </c>
      <c r="Y5749">
        <v>-5.799472E-2</v>
      </c>
      <c r="Z5749">
        <v>1.3974879999999999E-3</v>
      </c>
      <c r="AA5749">
        <v>0.99831590000000003</v>
      </c>
      <c r="AB5749">
        <v>35</v>
      </c>
      <c r="AC5749">
        <v>22.9499</v>
      </c>
      <c r="AD5749">
        <v>-1.108774106002</v>
      </c>
      <c r="AE5749">
        <v>1.3408599999999899</v>
      </c>
      <c r="AF5749">
        <v>-1.34202569807224</v>
      </c>
      <c r="AG5749">
        <v>-1.108774106002</v>
      </c>
      <c r="AH5749">
        <v>22.896387822311201</v>
      </c>
      <c r="AI5749">
        <v>92.767680993811297</v>
      </c>
      <c r="AJ5749">
        <v>93.354438961481705</v>
      </c>
      <c r="AK5749">
        <v>22.962469124684901</v>
      </c>
      <c r="AL5749">
        <v>76.7616007998611</v>
      </c>
      <c r="AM5749">
        <v>90.6773807424604</v>
      </c>
      <c r="AN5749">
        <v>0.99999998239696797</v>
      </c>
    </row>
    <row r="5750" spans="1:40" x14ac:dyDescent="0.25">
      <c r="A5750" t="str">
        <f>"20190312172820970"</f>
        <v>20190312172820970</v>
      </c>
      <c r="B5750" t="str">
        <f>"1552382900965555"</f>
        <v>1552382900965555</v>
      </c>
      <c r="C5750" t="s">
        <v>40</v>
      </c>
      <c r="D5750">
        <v>3.62452</v>
      </c>
      <c r="E5750">
        <v>0.49055559999999998</v>
      </c>
      <c r="F5750" t="s">
        <v>61</v>
      </c>
      <c r="G5750">
        <v>-214.70240000000001</v>
      </c>
      <c r="H5750" s="1">
        <v>-1.149456E-6</v>
      </c>
      <c r="I5750">
        <v>-60.996650000000002</v>
      </c>
      <c r="J5750">
        <v>-237.3766</v>
      </c>
      <c r="K5750">
        <v>1.1087720000000001</v>
      </c>
      <c r="L5750">
        <v>-62.327120000000001</v>
      </c>
      <c r="M5750">
        <v>0.99995820000000002</v>
      </c>
      <c r="N5750">
        <v>0</v>
      </c>
      <c r="O5750">
        <v>-5.9295270000000002E-4</v>
      </c>
      <c r="P5750">
        <v>0.97541949999999999</v>
      </c>
      <c r="Q5750">
        <v>0.22003729999999999</v>
      </c>
      <c r="R5750">
        <v>1.1857060000000001E-2</v>
      </c>
      <c r="S5750">
        <v>3.1076510000000002</v>
      </c>
      <c r="T5750">
        <v>-0.15076049999999999</v>
      </c>
      <c r="U5750">
        <v>0.18084720000000001</v>
      </c>
      <c r="V5750">
        <v>-1.202991E-2</v>
      </c>
      <c r="W5750">
        <v>0.22895460000000001</v>
      </c>
      <c r="X5750">
        <v>0.97336270000000003</v>
      </c>
      <c r="Y5750">
        <v>-5.8618440000000001E-2</v>
      </c>
      <c r="Z5750">
        <v>1.4485609999999999E-3</v>
      </c>
      <c r="AA5750">
        <v>0.99827940000000004</v>
      </c>
      <c r="AB5750">
        <v>35</v>
      </c>
      <c r="AC5750">
        <v>22.6741999999999</v>
      </c>
      <c r="AD5750">
        <v>-1.10877314945599</v>
      </c>
      <c r="AE5750">
        <v>1.33046999999999</v>
      </c>
      <c r="AF5750">
        <v>-1.3407200835120201</v>
      </c>
      <c r="AG5750">
        <v>-1.10877314945599</v>
      </c>
      <c r="AH5750">
        <v>22.6195042164751</v>
      </c>
      <c r="AI5750">
        <v>92.801395511280006</v>
      </c>
      <c r="AJ5750">
        <v>93.392109335957102</v>
      </c>
      <c r="AK5750">
        <v>22.686314800743201</v>
      </c>
      <c r="AL5750">
        <v>76.764466646170803</v>
      </c>
      <c r="AM5750">
        <v>90.708089574044607</v>
      </c>
      <c r="AN5750">
        <v>0.99999993667352705</v>
      </c>
    </row>
    <row r="5751" spans="1:40" x14ac:dyDescent="0.25">
      <c r="A5751" t="str">
        <f>"20190312172820980"</f>
        <v>20190312172820980</v>
      </c>
      <c r="B5751" t="str">
        <f>"1552382900975315"</f>
        <v>1552382900975315</v>
      </c>
      <c r="C5751" t="s">
        <v>40</v>
      </c>
      <c r="D5751">
        <v>3.6411479999999998</v>
      </c>
      <c r="E5751">
        <v>0.4906142</v>
      </c>
      <c r="F5751" t="s">
        <v>61</v>
      </c>
      <c r="G5751">
        <v>-214.73740000000001</v>
      </c>
      <c r="H5751" s="1">
        <v>-1.167898E-6</v>
      </c>
      <c r="I5751">
        <v>-61.009630000000001</v>
      </c>
      <c r="J5751">
        <v>-237.20400000000001</v>
      </c>
      <c r="K5751">
        <v>1.108773</v>
      </c>
      <c r="L5751">
        <v>-62.327579999999998</v>
      </c>
      <c r="M5751">
        <v>0.99995619999999996</v>
      </c>
      <c r="N5751">
        <v>0</v>
      </c>
      <c r="O5751">
        <v>-9.8469690000000006E-4</v>
      </c>
      <c r="P5751">
        <v>0.97541880000000003</v>
      </c>
      <c r="Q5751">
        <v>0.22001229999999999</v>
      </c>
      <c r="R5751">
        <v>1.236685E-2</v>
      </c>
      <c r="S5751">
        <v>3.107758</v>
      </c>
      <c r="T5751">
        <v>-0.15220429999999999</v>
      </c>
      <c r="U5751">
        <v>0.18084720000000001</v>
      </c>
      <c r="V5751">
        <v>-1.2917319999999999E-2</v>
      </c>
      <c r="W5751">
        <v>0.2291059</v>
      </c>
      <c r="X5751">
        <v>0.97331579999999995</v>
      </c>
      <c r="Y5751">
        <v>-5.9005290000000002E-2</v>
      </c>
      <c r="Z5751">
        <v>1.490985E-3</v>
      </c>
      <c r="AA5751">
        <v>0.99825660000000005</v>
      </c>
      <c r="AB5751">
        <v>35</v>
      </c>
      <c r="AC5751">
        <v>22.4666</v>
      </c>
      <c r="AD5751">
        <v>-1.1087741678980001</v>
      </c>
      <c r="AE5751">
        <v>1.31795</v>
      </c>
      <c r="AF5751">
        <v>-1.33682825684424</v>
      </c>
      <c r="AG5751">
        <v>-1.1087741678980001</v>
      </c>
      <c r="AH5751">
        <v>22.410893800131898</v>
      </c>
      <c r="AI5751">
        <v>92.827369364273494</v>
      </c>
      <c r="AJ5751">
        <v>93.413695336905903</v>
      </c>
      <c r="AK5751">
        <v>22.478092687425299</v>
      </c>
      <c r="AL5751">
        <v>76.755562047246897</v>
      </c>
      <c r="AM5751">
        <v>90.760353906799494</v>
      </c>
      <c r="AN5751">
        <v>1.0000000085502101</v>
      </c>
    </row>
    <row r="5752" spans="1:40" x14ac:dyDescent="0.25">
      <c r="A5752" t="str">
        <f>"20190312172820994"</f>
        <v>20190312172820994</v>
      </c>
      <c r="B5752" t="str">
        <f>"1552382900985076"</f>
        <v>1552382900985076</v>
      </c>
      <c r="C5752" t="s">
        <v>40</v>
      </c>
      <c r="D5752">
        <v>3.575583</v>
      </c>
      <c r="E5752">
        <v>0.4906799</v>
      </c>
      <c r="F5752" t="s">
        <v>61</v>
      </c>
      <c r="G5752">
        <v>-214.66540000000001</v>
      </c>
      <c r="H5752" s="1">
        <v>-1.1368949999999999E-6</v>
      </c>
      <c r="I5752">
        <v>-61.009099999999997</v>
      </c>
      <c r="J5752">
        <v>-236.99119999999999</v>
      </c>
      <c r="K5752">
        <v>1.1087769999999999</v>
      </c>
      <c r="L5752">
        <v>-62.328249999999997</v>
      </c>
      <c r="M5752">
        <v>0.99995350000000005</v>
      </c>
      <c r="N5752">
        <v>0</v>
      </c>
      <c r="O5752">
        <v>-1.4694210000000001E-3</v>
      </c>
      <c r="P5752">
        <v>0.97546480000000002</v>
      </c>
      <c r="Q5752">
        <v>0.21979609999999999</v>
      </c>
      <c r="R5752">
        <v>1.2575940000000001E-2</v>
      </c>
      <c r="S5752">
        <v>3.1077880000000002</v>
      </c>
      <c r="T5752">
        <v>-0.15288599999999999</v>
      </c>
      <c r="U5752">
        <v>0.18179319999999999</v>
      </c>
      <c r="V5752">
        <v>-1.3593539999999999E-2</v>
      </c>
      <c r="W5752">
        <v>0.22910259999999999</v>
      </c>
      <c r="X5752">
        <v>0.97330740000000004</v>
      </c>
      <c r="Y5752">
        <v>-5.9789290000000002E-2</v>
      </c>
      <c r="Z5752">
        <v>1.540696E-3</v>
      </c>
      <c r="AA5752">
        <v>0.99820980000000004</v>
      </c>
      <c r="AB5752">
        <v>35</v>
      </c>
      <c r="AC5752">
        <v>22.325799999999902</v>
      </c>
      <c r="AD5752">
        <v>-1.108778136895</v>
      </c>
      <c r="AE5752">
        <v>1.31915</v>
      </c>
      <c r="AF5752">
        <v>-1.3486412591550001</v>
      </c>
      <c r="AG5752">
        <v>-1.108778136895</v>
      </c>
      <c r="AH5752">
        <v>22.269102511743</v>
      </c>
      <c r="AI5752">
        <v>92.845197542474807</v>
      </c>
      <c r="AJ5752">
        <v>93.465662408621199</v>
      </c>
      <c r="AK5752">
        <v>22.337438279293998</v>
      </c>
      <c r="AL5752">
        <v>76.755756717628401</v>
      </c>
      <c r="AM5752">
        <v>90.800160191883506</v>
      </c>
      <c r="AN5752">
        <v>1.00000004027562</v>
      </c>
    </row>
    <row r="5753" spans="1:40" x14ac:dyDescent="0.25">
      <c r="A5753" t="str">
        <f>"20190312172821003"</f>
        <v>20190312172821003</v>
      </c>
      <c r="B5753" t="str">
        <f>"1552382900995812"</f>
        <v>1552382900995812</v>
      </c>
      <c r="C5753" t="s">
        <v>40</v>
      </c>
      <c r="D5753">
        <v>3.6169760000000002</v>
      </c>
      <c r="E5753">
        <v>0.49075679999999999</v>
      </c>
      <c r="F5753" t="s">
        <v>61</v>
      </c>
      <c r="G5753">
        <v>-214.6679</v>
      </c>
      <c r="H5753" s="1">
        <v>-1.141445E-6</v>
      </c>
      <c r="I5753">
        <v>-61.022199999999998</v>
      </c>
      <c r="J5753">
        <v>-236.83699999999999</v>
      </c>
      <c r="K5753">
        <v>1.108781</v>
      </c>
      <c r="L5753">
        <v>-62.328800000000001</v>
      </c>
      <c r="M5753">
        <v>0.99995160000000005</v>
      </c>
      <c r="N5753">
        <v>0</v>
      </c>
      <c r="O5753">
        <v>-1.822511E-3</v>
      </c>
      <c r="P5753">
        <v>0.97549019999999997</v>
      </c>
      <c r="Q5753">
        <v>0.21965799999999999</v>
      </c>
      <c r="R5753">
        <v>1.301914E-2</v>
      </c>
      <c r="S5753">
        <v>3.10791</v>
      </c>
      <c r="T5753">
        <v>-0.154366899999999</v>
      </c>
      <c r="U5753">
        <v>0.1818237</v>
      </c>
      <c r="V5753">
        <v>-1.437831E-2</v>
      </c>
      <c r="W5753">
        <v>0.22911419999999999</v>
      </c>
      <c r="X5753">
        <v>0.97329339999999998</v>
      </c>
      <c r="Y5753">
        <v>-6.014692E-2</v>
      </c>
      <c r="Z5753">
        <v>1.581921E-3</v>
      </c>
      <c r="AA5753">
        <v>0.99818830000000003</v>
      </c>
      <c r="AB5753">
        <v>35</v>
      </c>
      <c r="AC5753">
        <v>22.1691</v>
      </c>
      <c r="AD5753">
        <v>-1.1087821414450001</v>
      </c>
      <c r="AE5753">
        <v>1.3066</v>
      </c>
      <c r="AF5753">
        <v>-1.3436536647260999</v>
      </c>
      <c r="AG5753">
        <v>-1.1087821414450001</v>
      </c>
      <c r="AH5753">
        <v>22.1115617053938</v>
      </c>
      <c r="AI5753">
        <v>92.865410113566895</v>
      </c>
      <c r="AJ5753">
        <v>93.477417590053506</v>
      </c>
      <c r="AK5753">
        <v>22.180080343843599</v>
      </c>
      <c r="AL5753">
        <v>76.755074021867003</v>
      </c>
      <c r="AM5753">
        <v>90.846359955109904</v>
      </c>
      <c r="AN5753">
        <v>1.00000004746182</v>
      </c>
    </row>
    <row r="5754" spans="1:40" x14ac:dyDescent="0.25">
      <c r="A5754" t="str">
        <f>"20190312172821014"</f>
        <v>20190312172821014</v>
      </c>
      <c r="B5754" t="str">
        <f>"1552382901005571"</f>
        <v>1552382901005571</v>
      </c>
      <c r="C5754" t="s">
        <v>40</v>
      </c>
      <c r="D5754">
        <v>3.6076000000000001</v>
      </c>
      <c r="E5754">
        <v>0.49082500000000001</v>
      </c>
      <c r="F5754" t="s">
        <v>61</v>
      </c>
      <c r="G5754">
        <v>-214.6875</v>
      </c>
      <c r="H5754" s="1">
        <v>-1.151617E-6</v>
      </c>
      <c r="I5754">
        <v>-61.02881</v>
      </c>
      <c r="J5754">
        <v>-236.67869999999999</v>
      </c>
      <c r="K5754">
        <v>1.108786</v>
      </c>
      <c r="L5754">
        <v>-62.329410000000003</v>
      </c>
      <c r="M5754">
        <v>0.99994950000000005</v>
      </c>
      <c r="N5754">
        <v>0</v>
      </c>
      <c r="O5754">
        <v>-2.185846E-3</v>
      </c>
      <c r="P5754">
        <v>0.9754254</v>
      </c>
      <c r="Q5754">
        <v>0.21992970000000001</v>
      </c>
      <c r="R5754">
        <v>1.329641E-2</v>
      </c>
      <c r="S5754">
        <v>3.107971</v>
      </c>
      <c r="T5754">
        <v>-0.1555821</v>
      </c>
      <c r="U5754">
        <v>0.1824036</v>
      </c>
      <c r="V5754">
        <v>-1.500656E-2</v>
      </c>
      <c r="W5754">
        <v>0.22953480000000001</v>
      </c>
      <c r="X5754">
        <v>0.97318479999999996</v>
      </c>
      <c r="Y5754">
        <v>-6.0691740000000001E-2</v>
      </c>
      <c r="Z5754">
        <v>1.6260980000000001E-3</v>
      </c>
      <c r="AA5754">
        <v>0.99815520000000002</v>
      </c>
      <c r="AB5754">
        <v>35</v>
      </c>
      <c r="AC5754">
        <v>21.9911999999999</v>
      </c>
      <c r="AD5754">
        <v>-1.108787151617</v>
      </c>
      <c r="AE5754">
        <v>1.30059999999999</v>
      </c>
      <c r="AF5754">
        <v>-1.3452606685300601</v>
      </c>
      <c r="AG5754">
        <v>-1.108787151617</v>
      </c>
      <c r="AH5754">
        <v>21.9327427711913</v>
      </c>
      <c r="AI5754">
        <v>92.888645835701396</v>
      </c>
      <c r="AJ5754">
        <v>93.509881081137394</v>
      </c>
      <c r="AK5754">
        <v>22.001916750163598</v>
      </c>
      <c r="AL5754">
        <v>76.730315480420401</v>
      </c>
      <c r="AM5754">
        <v>90.883433870485703</v>
      </c>
      <c r="AN5754">
        <v>1.00000003810255</v>
      </c>
    </row>
    <row r="5755" spans="1:40" x14ac:dyDescent="0.25">
      <c r="A5755" t="str">
        <f>"20190312172821025"</f>
        <v>20190312172821025</v>
      </c>
      <c r="B5755" t="str">
        <f>"1552382901015331"</f>
        <v>1552382901015331</v>
      </c>
      <c r="C5755" t="s">
        <v>40</v>
      </c>
      <c r="D5755">
        <v>3.6554319999999998</v>
      </c>
      <c r="E5755">
        <v>0.49089470000000002</v>
      </c>
      <c r="F5755" t="s">
        <v>61</v>
      </c>
      <c r="G5755">
        <v>-214.49889999999999</v>
      </c>
      <c r="H5755" s="1">
        <v>-1.0699980000000001E-6</v>
      </c>
      <c r="I5755">
        <v>-61.02619</v>
      </c>
      <c r="J5755">
        <v>-236.51089999999999</v>
      </c>
      <c r="K5755">
        <v>1.1087929999999999</v>
      </c>
      <c r="L5755">
        <v>-62.330109999999998</v>
      </c>
      <c r="M5755">
        <v>0.99994700000000003</v>
      </c>
      <c r="N5755">
        <v>0</v>
      </c>
      <c r="O5755">
        <v>-2.571757E-3</v>
      </c>
      <c r="P5755">
        <v>0.97540360000000004</v>
      </c>
      <c r="Q5755">
        <v>0.21999959999999999</v>
      </c>
      <c r="R5755">
        <v>1.373074E-2</v>
      </c>
      <c r="S5755">
        <v>3.108139</v>
      </c>
      <c r="T5755">
        <v>-0.15537860000000001</v>
      </c>
      <c r="U5755">
        <v>0.18261720000000001</v>
      </c>
      <c r="V5755">
        <v>-1.581407E-2</v>
      </c>
      <c r="W5755">
        <v>0.22975979999999999</v>
      </c>
      <c r="X5755">
        <v>0.97311890000000001</v>
      </c>
      <c r="Y5755">
        <v>-6.1141330000000001E-2</v>
      </c>
      <c r="Z5755">
        <v>1.6543700000000001E-3</v>
      </c>
      <c r="AA5755">
        <v>0.99812780000000001</v>
      </c>
      <c r="AB5755">
        <v>35</v>
      </c>
      <c r="AC5755">
        <v>22.011999999999901</v>
      </c>
      <c r="AD5755">
        <v>-1.1087940699979999</v>
      </c>
      <c r="AE5755">
        <v>1.30391999999999</v>
      </c>
      <c r="AF5755">
        <v>-1.3570966085162299</v>
      </c>
      <c r="AG5755">
        <v>-1.1087940699979999</v>
      </c>
      <c r="AH5755">
        <v>21.953065526436301</v>
      </c>
      <c r="AI5755">
        <v>92.885908958120197</v>
      </c>
      <c r="AJ5755">
        <v>93.537414262090707</v>
      </c>
      <c r="AK5755">
        <v>22.0229022043534</v>
      </c>
      <c r="AL5755">
        <v>76.717069711290804</v>
      </c>
      <c r="AM5755">
        <v>90.931026740652996</v>
      </c>
      <c r="AN5755">
        <v>1.0000000220216001</v>
      </c>
    </row>
    <row r="5756" spans="1:40" x14ac:dyDescent="0.25">
      <c r="A5756" t="str">
        <f>"20190312172821037"</f>
        <v>20190312172821037</v>
      </c>
      <c r="B5756" t="str">
        <f>"1552382901025092"</f>
        <v>1552382901025092</v>
      </c>
      <c r="C5756" t="s">
        <v>40</v>
      </c>
      <c r="D5756">
        <v>3.5857000000000001</v>
      </c>
      <c r="E5756">
        <v>0.49095060000000001</v>
      </c>
      <c r="F5756" t="s">
        <v>61</v>
      </c>
      <c r="G5756">
        <v>-214.3904</v>
      </c>
      <c r="H5756" s="1">
        <v>-1.0229429999999999E-6</v>
      </c>
      <c r="I5756">
        <v>-61.024320000000003</v>
      </c>
      <c r="J5756">
        <v>-236.31610000000001</v>
      </c>
      <c r="K5756">
        <v>1.108808</v>
      </c>
      <c r="L5756">
        <v>-62.331090000000003</v>
      </c>
      <c r="M5756">
        <v>0.99994369999999999</v>
      </c>
      <c r="N5756">
        <v>0</v>
      </c>
      <c r="O5756">
        <v>-3.019786E-3</v>
      </c>
      <c r="P5756">
        <v>0.97538250000000004</v>
      </c>
      <c r="Q5756">
        <v>0.22007879999999999</v>
      </c>
      <c r="R5756">
        <v>1.3939170000000001E-2</v>
      </c>
      <c r="S5756">
        <v>3.108215</v>
      </c>
      <c r="T5756">
        <v>-0.15579960000000001</v>
      </c>
      <c r="U5756">
        <v>0.18347169999999999</v>
      </c>
      <c r="V5756">
        <v>-1.645711E-2</v>
      </c>
      <c r="W5756">
        <v>0.230016</v>
      </c>
      <c r="X5756">
        <v>0.97304769999999896</v>
      </c>
      <c r="Y5756">
        <v>-6.1858669999999998E-2</v>
      </c>
      <c r="Z5756">
        <v>1.699171E-3</v>
      </c>
      <c r="AA5756">
        <v>0.99808350000000001</v>
      </c>
      <c r="AB5756">
        <v>35</v>
      </c>
      <c r="AC5756">
        <v>21.925699999999999</v>
      </c>
      <c r="AD5756">
        <v>-1.1088090229430001</v>
      </c>
      <c r="AE5756">
        <v>1.30677</v>
      </c>
      <c r="AF5756">
        <v>-1.3694883925393</v>
      </c>
      <c r="AG5756">
        <v>-1.1088090229430001</v>
      </c>
      <c r="AH5756">
        <v>21.865930635520002</v>
      </c>
      <c r="AI5756">
        <v>92.897282874389205</v>
      </c>
      <c r="AJ5756">
        <v>93.583819445393701</v>
      </c>
      <c r="AK5756">
        <v>21.936815595341798</v>
      </c>
      <c r="AL5756">
        <v>76.701986421515301</v>
      </c>
      <c r="AM5756">
        <v>90.968948443475497</v>
      </c>
      <c r="AN5756">
        <v>1.00000001160042</v>
      </c>
    </row>
    <row r="5757" spans="1:40" x14ac:dyDescent="0.25">
      <c r="A5757" t="str">
        <f>"20190312172821050"</f>
        <v>20190312172821050</v>
      </c>
      <c r="B5757" t="str">
        <f>"1552382901045587"</f>
        <v>1552382901045587</v>
      </c>
      <c r="C5757" t="s">
        <v>40</v>
      </c>
      <c r="D5757">
        <v>3.5786530000000001</v>
      </c>
      <c r="E5757">
        <v>0.4910795</v>
      </c>
      <c r="F5757" t="s">
        <v>61</v>
      </c>
      <c r="G5757">
        <v>-214.2535</v>
      </c>
      <c r="H5757" s="1">
        <v>-9.6511010000000009E-7</v>
      </c>
      <c r="I5757">
        <v>-61.02769</v>
      </c>
      <c r="J5757">
        <v>-236.1232</v>
      </c>
      <c r="K5757">
        <v>1.1088209999999901</v>
      </c>
      <c r="L5757">
        <v>-62.332059999999998</v>
      </c>
      <c r="M5757">
        <v>0.99994050000000001</v>
      </c>
      <c r="N5757">
        <v>0</v>
      </c>
      <c r="O5757">
        <v>-3.4632719999999999E-3</v>
      </c>
      <c r="P5757">
        <v>0.9753001</v>
      </c>
      <c r="Q5757">
        <v>0.22042310000000001</v>
      </c>
      <c r="R5757">
        <v>1.4263410000000001E-2</v>
      </c>
      <c r="S5757">
        <v>3.1083530000000001</v>
      </c>
      <c r="T5757">
        <v>-0.1562172</v>
      </c>
      <c r="U5757">
        <v>0.18362429999999999</v>
      </c>
      <c r="V5757">
        <v>-1.7210759999999999E-2</v>
      </c>
      <c r="W5757">
        <v>0.23053390000000001</v>
      </c>
      <c r="X5757">
        <v>0.97291209999999995</v>
      </c>
      <c r="Y5757">
        <v>-6.2345959999999999E-2</v>
      </c>
      <c r="Z5757">
        <v>1.738126E-3</v>
      </c>
      <c r="AA5757">
        <v>0.99805310000000003</v>
      </c>
      <c r="AB5757">
        <v>35</v>
      </c>
      <c r="AC5757">
        <v>21.869699999999899</v>
      </c>
      <c r="AD5757">
        <v>-1.1088219651100999</v>
      </c>
      <c r="AE5757">
        <v>1.30436999999999</v>
      </c>
      <c r="AF5757">
        <v>-1.37658082513445</v>
      </c>
      <c r="AG5757">
        <v>-1.1088219651100999</v>
      </c>
      <c r="AH5757">
        <v>21.809186779227701</v>
      </c>
      <c r="AI5757">
        <v>92.904753418996606</v>
      </c>
      <c r="AJ5757">
        <v>93.6116787979078</v>
      </c>
      <c r="AK5757">
        <v>21.8807012887996</v>
      </c>
      <c r="AL5757">
        <v>76.671493596055797</v>
      </c>
      <c r="AM5757">
        <v>91.013453391807602</v>
      </c>
      <c r="AN5757">
        <v>1.0000000218176901</v>
      </c>
    </row>
    <row r="5758" spans="1:40" x14ac:dyDescent="0.25">
      <c r="A5758" t="str">
        <f>"20190312172821064"</f>
        <v>20190312172821064</v>
      </c>
      <c r="B5758" t="str">
        <f>"1552382901055348"</f>
        <v>1552382901055348</v>
      </c>
      <c r="C5758" t="s">
        <v>40</v>
      </c>
      <c r="D5758">
        <v>3.6171069999999999</v>
      </c>
      <c r="E5758">
        <v>0.49115199999999998</v>
      </c>
      <c r="F5758" t="s">
        <v>61</v>
      </c>
      <c r="G5758">
        <v>-214.06880000000001</v>
      </c>
      <c r="H5758" s="1">
        <v>-8.8649099999999997E-7</v>
      </c>
      <c r="I5758">
        <v>-61.029910000000001</v>
      </c>
      <c r="J5758">
        <v>-235.91309999999999</v>
      </c>
      <c r="K5758">
        <v>1.1088389999999999</v>
      </c>
      <c r="L5758">
        <v>-62.33325</v>
      </c>
      <c r="M5758">
        <v>0.99993670000000001</v>
      </c>
      <c r="N5758">
        <v>0</v>
      </c>
      <c r="O5758">
        <v>-3.9451089999999996E-3</v>
      </c>
      <c r="P5758">
        <v>0.97529670000000002</v>
      </c>
      <c r="Q5758">
        <v>0.22041450000000001</v>
      </c>
      <c r="R5758">
        <v>1.462074E-2</v>
      </c>
      <c r="S5758">
        <v>3.1086119999999999</v>
      </c>
      <c r="T5758">
        <v>-0.15629029999999999</v>
      </c>
      <c r="U5758">
        <v>0.18353269999999999</v>
      </c>
      <c r="V5758">
        <v>-1.803714E-2</v>
      </c>
      <c r="W5758">
        <v>0.2307139</v>
      </c>
      <c r="X5758">
        <v>0.97285440000000001</v>
      </c>
      <c r="Y5758">
        <v>-6.2791449999999999E-2</v>
      </c>
      <c r="Z5758">
        <v>1.77416799999999E-3</v>
      </c>
      <c r="AA5758">
        <v>0.9980251</v>
      </c>
      <c r="AB5758">
        <v>35</v>
      </c>
      <c r="AC5758">
        <v>21.844299999999901</v>
      </c>
      <c r="AD5758">
        <v>-1.1088398864909901</v>
      </c>
      <c r="AE5758">
        <v>1.30333999999999</v>
      </c>
      <c r="AF5758">
        <v>-1.3859542851401501</v>
      </c>
      <c r="AG5758">
        <v>-1.1088398864909901</v>
      </c>
      <c r="AH5758">
        <v>21.783058895612498</v>
      </c>
      <c r="AI5758">
        <v>92.908185769892299</v>
      </c>
      <c r="AJ5758">
        <v>93.640555559601395</v>
      </c>
      <c r="AK5758">
        <v>21.855252229706601</v>
      </c>
      <c r="AL5758">
        <v>76.660893838256698</v>
      </c>
      <c r="AM5758">
        <v>91.062166759342901</v>
      </c>
      <c r="AN5758">
        <v>0.99999996283597403</v>
      </c>
    </row>
    <row r="5759" spans="1:40" x14ac:dyDescent="0.25">
      <c r="A5759" t="str">
        <f>"20190312172821075"</f>
        <v>20190312172821075</v>
      </c>
      <c r="B5759" t="str">
        <f>"1552382901065108"</f>
        <v>1552382901065108</v>
      </c>
      <c r="C5759" t="s">
        <v>40</v>
      </c>
      <c r="D5759">
        <v>3.5699100000000001</v>
      </c>
      <c r="E5759">
        <v>0.49121690000000001</v>
      </c>
      <c r="F5759" t="s">
        <v>61</v>
      </c>
      <c r="G5759">
        <v>-213.94710000000001</v>
      </c>
      <c r="H5759" s="1">
        <v>-8.3462359999999997E-7</v>
      </c>
      <c r="I5759">
        <v>-61.031179999999999</v>
      </c>
      <c r="J5759">
        <v>-235.73</v>
      </c>
      <c r="K5759">
        <v>1.108859</v>
      </c>
      <c r="L5759">
        <v>-62.334380000000003</v>
      </c>
      <c r="M5759">
        <v>0.99993319999999997</v>
      </c>
      <c r="N5759">
        <v>0</v>
      </c>
      <c r="O5759">
        <v>-4.3649040000000002E-3</v>
      </c>
      <c r="P5759">
        <v>0.97535340000000004</v>
      </c>
      <c r="Q5759">
        <v>0.22014</v>
      </c>
      <c r="R5759">
        <v>1.497506E-2</v>
      </c>
      <c r="S5759">
        <v>3.1087039999999999</v>
      </c>
      <c r="T5759">
        <v>-0.1569266</v>
      </c>
      <c r="U5759">
        <v>0.18426509999999999</v>
      </c>
      <c r="V5759">
        <v>-1.880213E-2</v>
      </c>
      <c r="W5759">
        <v>0.230603</v>
      </c>
      <c r="X5759">
        <v>0.97286620000000001</v>
      </c>
      <c r="Y5759">
        <v>-6.3440999999999997E-2</v>
      </c>
      <c r="Z5759">
        <v>1.8188499999999999E-3</v>
      </c>
      <c r="AA5759">
        <v>0.99798390000000003</v>
      </c>
      <c r="AB5759">
        <v>35</v>
      </c>
      <c r="AC5759">
        <v>21.782899999999898</v>
      </c>
      <c r="AD5759">
        <v>-1.1088598346236</v>
      </c>
      <c r="AE5759">
        <v>1.3031999999999899</v>
      </c>
      <c r="AF5759">
        <v>-1.3946721376178399</v>
      </c>
      <c r="AG5759">
        <v>-1.1088598346236</v>
      </c>
      <c r="AH5759">
        <v>21.720918578292</v>
      </c>
      <c r="AI5759">
        <v>92.9164355702178</v>
      </c>
      <c r="AJ5759">
        <v>93.673844774212796</v>
      </c>
      <c r="AK5759">
        <v>21.7938749282701</v>
      </c>
      <c r="AL5759">
        <v>76.667423900386694</v>
      </c>
      <c r="AM5759">
        <v>91.107190894163594</v>
      </c>
      <c r="AN5759">
        <v>0.999999953401987</v>
      </c>
    </row>
    <row r="5760" spans="1:40" x14ac:dyDescent="0.25">
      <c r="A5760" t="str">
        <f>"20190312172821092"</f>
        <v>20190312172821092</v>
      </c>
      <c r="B5760" t="str">
        <f>"1552382901085066"</f>
        <v>1552382901085066</v>
      </c>
      <c r="C5760" t="s">
        <v>40</v>
      </c>
      <c r="D5760">
        <v>3.5798779999999999</v>
      </c>
      <c r="E5760">
        <v>0.49133949999999998</v>
      </c>
      <c r="F5760" t="s">
        <v>61</v>
      </c>
      <c r="G5760">
        <v>-213.97470000000001</v>
      </c>
      <c r="H5760" s="1">
        <v>-8.4905329999999995E-7</v>
      </c>
      <c r="I5760">
        <v>-61.040959999999998</v>
      </c>
      <c r="J5760">
        <v>-235.4658</v>
      </c>
      <c r="K5760">
        <v>1.1088880000000001</v>
      </c>
      <c r="L5760">
        <v>-62.336150000000004</v>
      </c>
      <c r="M5760">
        <v>0.99992780000000003</v>
      </c>
      <c r="N5760">
        <v>0</v>
      </c>
      <c r="O5760">
        <v>-4.9699150000000001E-3</v>
      </c>
      <c r="P5760">
        <v>0.9753039</v>
      </c>
      <c r="Q5760">
        <v>0.22022340000000001</v>
      </c>
      <c r="R5760">
        <v>1.6858950000000001E-2</v>
      </c>
      <c r="S5760">
        <v>3.1087189999999998</v>
      </c>
      <c r="T5760">
        <v>-0.15845000000000001</v>
      </c>
      <c r="U5760">
        <v>0.18481449999999999</v>
      </c>
      <c r="V5760">
        <v>-2.127625E-2</v>
      </c>
      <c r="W5760">
        <v>0.2309213</v>
      </c>
      <c r="X5760">
        <v>0.97273980000000004</v>
      </c>
      <c r="Y5760">
        <v>-6.4216789999999996E-2</v>
      </c>
      <c r="Z5760">
        <v>1.887E-3</v>
      </c>
      <c r="AA5760">
        <v>0.99793419999999999</v>
      </c>
      <c r="AB5760">
        <v>35</v>
      </c>
      <c r="AC5760">
        <v>21.4910999999999</v>
      </c>
      <c r="AD5760">
        <v>-1.10888884905329</v>
      </c>
      <c r="AE5760">
        <v>1.2951900000000001</v>
      </c>
      <c r="AF5760">
        <v>-1.3982801510451299</v>
      </c>
      <c r="AG5760">
        <v>-1.10888884905329</v>
      </c>
      <c r="AH5760">
        <v>21.4275568130487</v>
      </c>
      <c r="AI5760">
        <v>92.956171700746793</v>
      </c>
      <c r="AJ5760">
        <v>93.733609068786606</v>
      </c>
      <c r="AK5760">
        <v>21.5017444138096</v>
      </c>
      <c r="AL5760">
        <v>76.648681713086006</v>
      </c>
      <c r="AM5760">
        <v>91.253002073103005</v>
      </c>
      <c r="AN5760">
        <v>1.00000002205589</v>
      </c>
    </row>
    <row r="5761" spans="1:40" x14ac:dyDescent="0.25">
      <c r="A5761" t="str">
        <f>"20190312172821103"</f>
        <v>20190312172821103</v>
      </c>
      <c r="B5761" t="str">
        <f>"1552382901095802"</f>
        <v>1552382901095802</v>
      </c>
      <c r="C5761" t="s">
        <v>40</v>
      </c>
      <c r="D5761">
        <v>3.6312180000000001</v>
      </c>
      <c r="E5761">
        <v>0.4913922</v>
      </c>
      <c r="F5761" t="s">
        <v>61</v>
      </c>
      <c r="G5761">
        <v>-213.892</v>
      </c>
      <c r="H5761" s="1">
        <v>-8.0905869999999896E-7</v>
      </c>
      <c r="I5761">
        <v>-61.023899999999998</v>
      </c>
      <c r="J5761">
        <v>-235.28980000000001</v>
      </c>
      <c r="K5761">
        <v>1.1089089999999999</v>
      </c>
      <c r="L5761">
        <v>-62.337400000000002</v>
      </c>
      <c r="M5761">
        <v>0.99992400000000004</v>
      </c>
      <c r="N5761">
        <v>0</v>
      </c>
      <c r="O5761">
        <v>-5.3721519999999998E-3</v>
      </c>
      <c r="P5761">
        <v>0.97531369999999895</v>
      </c>
      <c r="Q5761">
        <v>0.22012039999999999</v>
      </c>
      <c r="R5761">
        <v>1.7613119999999999E-2</v>
      </c>
      <c r="S5761">
        <v>3.1087799999999999</v>
      </c>
      <c r="T5761">
        <v>-0.15979090000000001</v>
      </c>
      <c r="U5761">
        <v>0.1890869</v>
      </c>
      <c r="V5761">
        <v>-2.2423930000000002E-2</v>
      </c>
      <c r="W5761">
        <v>0.2309755</v>
      </c>
      <c r="X5761">
        <v>0.97270109999999999</v>
      </c>
      <c r="Y5761">
        <v>-6.5979159999999995E-2</v>
      </c>
      <c r="Z5761">
        <v>1.968699E-3</v>
      </c>
      <c r="AA5761">
        <v>0.99781909999999896</v>
      </c>
      <c r="AB5761">
        <v>35</v>
      </c>
      <c r="AC5761">
        <v>21.3978</v>
      </c>
      <c r="AD5761">
        <v>-1.1089098090587</v>
      </c>
      <c r="AE5761">
        <v>1.3134999999999999</v>
      </c>
      <c r="AF5761">
        <v>-1.4246286226357501</v>
      </c>
      <c r="AG5761">
        <v>-1.1089098090587</v>
      </c>
      <c r="AH5761">
        <v>21.3333549576274</v>
      </c>
      <c r="AI5761">
        <v>92.968961258346397</v>
      </c>
      <c r="AJ5761">
        <v>93.820505292797094</v>
      </c>
      <c r="AK5761">
        <v>21.409607222580899</v>
      </c>
      <c r="AL5761">
        <v>76.645489317421195</v>
      </c>
      <c r="AM5761">
        <v>91.320620505894993</v>
      </c>
      <c r="AN5761">
        <v>0.999999972089052</v>
      </c>
    </row>
    <row r="5762" spans="1:40" x14ac:dyDescent="0.25">
      <c r="A5762" t="str">
        <f>"20190312172821114"</f>
        <v>20190312172821114</v>
      </c>
      <c r="B5762" t="str">
        <f>"1552382901105562"</f>
        <v>1552382901105562</v>
      </c>
      <c r="C5762" t="s">
        <v>40</v>
      </c>
      <c r="D5762">
        <v>3.6077430000000001</v>
      </c>
      <c r="E5762">
        <v>0.4914405</v>
      </c>
      <c r="F5762" t="s">
        <v>61</v>
      </c>
      <c r="G5762">
        <v>-213.88210000000001</v>
      </c>
      <c r="H5762" s="1">
        <v>-8.0540280000000004E-7</v>
      </c>
      <c r="I5762">
        <v>-61.026229999999998</v>
      </c>
      <c r="J5762">
        <v>-235.1189</v>
      </c>
      <c r="K5762">
        <v>1.1089279999999999</v>
      </c>
      <c r="L5762">
        <v>-62.338679999999997</v>
      </c>
      <c r="M5762">
        <v>0.99992000000000003</v>
      </c>
      <c r="N5762">
        <v>0</v>
      </c>
      <c r="O5762">
        <v>-5.7624499999999997E-3</v>
      </c>
      <c r="P5762">
        <v>0.97522929999999997</v>
      </c>
      <c r="Q5762">
        <v>0.22038930000000001</v>
      </c>
      <c r="R5762">
        <v>1.8881800000000001E-2</v>
      </c>
      <c r="S5762">
        <v>3.1088260000000001</v>
      </c>
      <c r="T5762">
        <v>-0.1610355</v>
      </c>
      <c r="U5762">
        <v>0.19039919999999999</v>
      </c>
      <c r="V5762">
        <v>-2.4073540000000001E-2</v>
      </c>
      <c r="W5762">
        <v>0.23139860000000001</v>
      </c>
      <c r="X5762">
        <v>0.97256109999999896</v>
      </c>
      <c r="Y5762">
        <v>-6.6784300000000005E-2</v>
      </c>
      <c r="Z5762">
        <v>2.0249669999999999E-3</v>
      </c>
      <c r="AA5762">
        <v>0.99776540000000002</v>
      </c>
      <c r="AB5762">
        <v>35</v>
      </c>
      <c r="AC5762">
        <v>21.236799999999899</v>
      </c>
      <c r="AD5762">
        <v>-1.1089288054027999</v>
      </c>
      <c r="AE5762">
        <v>1.3124499999999899</v>
      </c>
      <c r="AF5762">
        <v>-1.4309251780991199</v>
      </c>
      <c r="AG5762">
        <v>-1.1089288054027999</v>
      </c>
      <c r="AH5762">
        <v>21.1713766867537</v>
      </c>
      <c r="AI5762">
        <v>92.991524839797904</v>
      </c>
      <c r="AJ5762">
        <v>93.866610835740104</v>
      </c>
      <c r="AK5762">
        <v>21.248634327249999</v>
      </c>
      <c r="AL5762">
        <v>76.620572433444906</v>
      </c>
      <c r="AM5762">
        <v>91.417937282350707</v>
      </c>
      <c r="AN5762">
        <v>0.99999997032165</v>
      </c>
    </row>
    <row r="5763" spans="1:40" x14ac:dyDescent="0.25">
      <c r="A5763" t="str">
        <f>"20190312172821125"</f>
        <v>20190312172821125</v>
      </c>
      <c r="B5763" t="str">
        <f>"1552382901115323"</f>
        <v>1552382901115323</v>
      </c>
      <c r="C5763" t="s">
        <v>40</v>
      </c>
      <c r="D5763">
        <v>3.557204</v>
      </c>
      <c r="E5763">
        <v>0.49151719999999999</v>
      </c>
      <c r="F5763" t="s">
        <v>61</v>
      </c>
      <c r="G5763">
        <v>-213.71789999999999</v>
      </c>
      <c r="H5763" s="1">
        <v>-7.3004119999999995E-7</v>
      </c>
      <c r="I5763">
        <v>-61.007770000000001</v>
      </c>
      <c r="J5763">
        <v>-234.9444</v>
      </c>
      <c r="K5763">
        <v>1.1089500000000001</v>
      </c>
      <c r="L5763">
        <v>-62.340060000000001</v>
      </c>
      <c r="M5763">
        <v>0.99991580000000002</v>
      </c>
      <c r="N5763">
        <v>0</v>
      </c>
      <c r="O5763">
        <v>-6.1613619999999897E-3</v>
      </c>
      <c r="P5763">
        <v>0.97516029999999998</v>
      </c>
      <c r="Q5763">
        <v>0.22057360000000001</v>
      </c>
      <c r="R5763">
        <v>2.0243830000000001E-2</v>
      </c>
      <c r="S5763">
        <v>3.108841</v>
      </c>
      <c r="T5763">
        <v>-0.16108939999999999</v>
      </c>
      <c r="U5763">
        <v>0.1933289</v>
      </c>
      <c r="V5763">
        <v>-2.582479E-2</v>
      </c>
      <c r="W5763">
        <v>0.231741</v>
      </c>
      <c r="X5763">
        <v>0.97243469999999999</v>
      </c>
      <c r="Y5763">
        <v>-6.8116330000000003E-2</v>
      </c>
      <c r="Z5763">
        <v>2.0806689999999998E-3</v>
      </c>
      <c r="AA5763">
        <v>0.99767519999999998</v>
      </c>
      <c r="AB5763">
        <v>35</v>
      </c>
      <c r="AC5763">
        <v>21.226500000000001</v>
      </c>
      <c r="AD5763">
        <v>-1.10895073004119</v>
      </c>
      <c r="AE5763">
        <v>1.33229</v>
      </c>
      <c r="AF5763">
        <v>-1.45909056902781</v>
      </c>
      <c r="AG5763">
        <v>-1.10895073004119</v>
      </c>
      <c r="AH5763">
        <v>21.160359260714699</v>
      </c>
      <c r="AI5763">
        <v>92.992861285977696</v>
      </c>
      <c r="AJ5763">
        <v>93.944527189973897</v>
      </c>
      <c r="AK5763">
        <v>21.239574408466801</v>
      </c>
      <c r="AL5763">
        <v>76.600406996792401</v>
      </c>
      <c r="AM5763">
        <v>91.5212371296887</v>
      </c>
      <c r="AN5763">
        <v>1.00000002831181</v>
      </c>
    </row>
    <row r="5764" spans="1:40" x14ac:dyDescent="0.25">
      <c r="A5764" t="str">
        <f>"20190312172821136"</f>
        <v>20190312172821136</v>
      </c>
      <c r="B5764" t="str">
        <f>"1552382901125082"</f>
        <v>1552382901125082</v>
      </c>
      <c r="C5764" t="s">
        <v>40</v>
      </c>
      <c r="D5764">
        <v>3.5623</v>
      </c>
      <c r="E5764">
        <v>0.49151719999999999</v>
      </c>
      <c r="F5764" t="s">
        <v>61</v>
      </c>
      <c r="G5764">
        <v>-213.5668</v>
      </c>
      <c r="H5764" s="1">
        <v>-6.6014430000000001E-7</v>
      </c>
      <c r="I5764">
        <v>-60.988570000000003</v>
      </c>
      <c r="J5764">
        <v>-234.773</v>
      </c>
      <c r="K5764">
        <v>1.1089719999999901</v>
      </c>
      <c r="L5764">
        <v>-62.341459999999998</v>
      </c>
      <c r="M5764">
        <v>0.99991160000000001</v>
      </c>
      <c r="N5764">
        <v>0</v>
      </c>
      <c r="O5764">
        <v>-6.5522999999999996E-3</v>
      </c>
      <c r="P5764">
        <v>0.9751012</v>
      </c>
      <c r="Q5764">
        <v>0.22073660000000001</v>
      </c>
      <c r="R5764">
        <v>2.1285970000000001E-2</v>
      </c>
      <c r="S5764">
        <v>3.108841</v>
      </c>
      <c r="T5764">
        <v>-0.16126979999999999</v>
      </c>
      <c r="U5764">
        <v>0.19653319999999999</v>
      </c>
      <c r="V5764">
        <v>-2.7248930000000001E-2</v>
      </c>
      <c r="W5764">
        <v>0.2320615</v>
      </c>
      <c r="X5764">
        <v>0.97231939999999994</v>
      </c>
      <c r="Y5764">
        <v>-6.9527999999999895E-2</v>
      </c>
      <c r="Z5764">
        <v>2.1397320000000001E-3</v>
      </c>
      <c r="AA5764">
        <v>0.99757770000000001</v>
      </c>
      <c r="AB5764">
        <v>35</v>
      </c>
      <c r="AC5764">
        <v>21.2061999999999</v>
      </c>
      <c r="AD5764">
        <v>-1.10897266014429</v>
      </c>
      <c r="AE5764">
        <v>1.3528899999999999</v>
      </c>
      <c r="AF5764">
        <v>-1.48776747520145</v>
      </c>
      <c r="AG5764">
        <v>-1.10897266014429</v>
      </c>
      <c r="AH5764">
        <v>21.139303428853601</v>
      </c>
      <c r="AI5764">
        <v>92.995600559556294</v>
      </c>
      <c r="AJ5764">
        <v>94.025793557100201</v>
      </c>
      <c r="AK5764">
        <v>21.2205895742403</v>
      </c>
      <c r="AL5764">
        <v>76.581529095416897</v>
      </c>
      <c r="AM5764">
        <v>91.605275130936604</v>
      </c>
      <c r="AN5764">
        <v>1.0000000297923699</v>
      </c>
    </row>
    <row r="5765" spans="1:40" x14ac:dyDescent="0.25">
      <c r="A5765" t="str">
        <f>"20190312172821148"</f>
        <v>20190312172821148</v>
      </c>
      <c r="B5765" t="str">
        <f>"1552382901145581"</f>
        <v>1552382901145581</v>
      </c>
      <c r="C5765" t="s">
        <v>40</v>
      </c>
      <c r="D5765">
        <v>3.6051120000000001</v>
      </c>
      <c r="E5765">
        <v>0.49846400000000002</v>
      </c>
      <c r="F5765" t="s">
        <v>61</v>
      </c>
      <c r="G5765">
        <v>-213.33969999999999</v>
      </c>
      <c r="H5765" s="1">
        <v>-5.5709040000000004E-7</v>
      </c>
      <c r="I5765">
        <v>-60.967440000000003</v>
      </c>
      <c r="J5765">
        <v>-234.59979999999999</v>
      </c>
      <c r="K5765">
        <v>1.1089990000000001</v>
      </c>
      <c r="L5765">
        <v>-62.342959999999998</v>
      </c>
      <c r="M5765">
        <v>0.99990699999999999</v>
      </c>
      <c r="N5765">
        <v>0</v>
      </c>
      <c r="O5765">
        <v>-6.9473180000000001E-3</v>
      </c>
      <c r="P5765">
        <v>0.97500260000000005</v>
      </c>
      <c r="Q5765">
        <v>0.22105140000000001</v>
      </c>
      <c r="R5765">
        <v>2.2504920000000001E-2</v>
      </c>
      <c r="S5765">
        <v>3.108673</v>
      </c>
      <c r="T5765">
        <v>-0.16084470000000001</v>
      </c>
      <c r="U5765">
        <v>0.19927980000000001</v>
      </c>
      <c r="V5765">
        <v>-2.8853440000000001E-2</v>
      </c>
      <c r="W5765">
        <v>0.23253550000000001</v>
      </c>
      <c r="X5765">
        <v>0.97215980000000002</v>
      </c>
      <c r="Y5765">
        <v>-7.0801559999999999E-2</v>
      </c>
      <c r="Z5765">
        <v>2.187455E-3</v>
      </c>
      <c r="AA5765">
        <v>0.99748800000000004</v>
      </c>
      <c r="AB5765">
        <v>35</v>
      </c>
      <c r="AC5765">
        <v>21.260099999999898</v>
      </c>
      <c r="AD5765">
        <v>-1.1089995570903901</v>
      </c>
      <c r="AE5765">
        <v>1.3755199999999901</v>
      </c>
      <c r="AF5765">
        <v>-1.5190814235947401</v>
      </c>
      <c r="AG5765">
        <v>-1.1089995570903901</v>
      </c>
      <c r="AH5765">
        <v>21.1926048568242</v>
      </c>
      <c r="AI5765">
        <v>92.987878202240694</v>
      </c>
      <c r="AJ5765">
        <v>94.099937109872997</v>
      </c>
      <c r="AK5765">
        <v>21.275901602673098</v>
      </c>
      <c r="AL5765">
        <v>76.553606370793105</v>
      </c>
      <c r="AM5765">
        <v>91.700024184812605</v>
      </c>
      <c r="AN5765">
        <v>0.99999997824806097</v>
      </c>
    </row>
    <row r="5766" spans="1:40" x14ac:dyDescent="0.25">
      <c r="A5766" t="str">
        <f>"20190312172821159"</f>
        <v>20190312172821159</v>
      </c>
      <c r="B5766" t="str">
        <f>"1552382901155339"</f>
        <v>1552382901155339</v>
      </c>
      <c r="C5766" t="s">
        <v>40</v>
      </c>
      <c r="D5766">
        <v>3.6336309999999998</v>
      </c>
      <c r="E5766">
        <v>0.49817119999999998</v>
      </c>
      <c r="F5766" t="s">
        <v>61</v>
      </c>
      <c r="G5766">
        <v>-219.0607</v>
      </c>
      <c r="H5766" s="1">
        <v>-3.1558619999999999E-6</v>
      </c>
      <c r="I5766">
        <v>-61.583129999999997</v>
      </c>
      <c r="J5766">
        <v>-234.42920000000001</v>
      </c>
      <c r="K5766">
        <v>1.109022</v>
      </c>
      <c r="L5766">
        <v>-62.344540000000002</v>
      </c>
      <c r="M5766">
        <v>0.99990219999999996</v>
      </c>
      <c r="N5766">
        <v>0</v>
      </c>
      <c r="O5766">
        <v>-7.33578099999999E-3</v>
      </c>
      <c r="P5766">
        <v>0.97483710000000001</v>
      </c>
      <c r="Q5766">
        <v>0.22166669999999999</v>
      </c>
      <c r="R5766">
        <v>2.359371E-2</v>
      </c>
      <c r="S5766">
        <v>3.1239170000000001</v>
      </c>
      <c r="T5766">
        <v>-0.2229497</v>
      </c>
      <c r="U5766">
        <v>0.1527405</v>
      </c>
      <c r="V5766">
        <v>-3.0318990000000001E-2</v>
      </c>
      <c r="W5766">
        <v>0.23330619999999999</v>
      </c>
      <c r="X5766">
        <v>0.97193059999999998</v>
      </c>
      <c r="Y5766">
        <v>-5.600107E-2</v>
      </c>
      <c r="Z5766">
        <v>2.5172609999999998E-3</v>
      </c>
      <c r="AA5766">
        <v>0.99842750000000002</v>
      </c>
      <c r="AB5766">
        <v>35</v>
      </c>
      <c r="AC5766">
        <v>15.368499999999999</v>
      </c>
      <c r="AD5766">
        <v>-1.1090251558619999</v>
      </c>
      <c r="AE5766">
        <v>0.76140999999999703</v>
      </c>
      <c r="AF5766">
        <v>-0.86962009279859298</v>
      </c>
      <c r="AG5766">
        <v>-1.1090251558619999</v>
      </c>
      <c r="AH5766">
        <v>15.2831102876061</v>
      </c>
      <c r="AI5766">
        <v>94.143737648775897</v>
      </c>
      <c r="AJ5766">
        <v>93.256659874452296</v>
      </c>
      <c r="AK5766">
        <v>15.347952174973299</v>
      </c>
      <c r="AL5766">
        <v>76.508200722060195</v>
      </c>
      <c r="AM5766">
        <v>91.786739731560004</v>
      </c>
      <c r="AN5766">
        <v>1.0000000576646999</v>
      </c>
    </row>
    <row r="5767" spans="1:40" x14ac:dyDescent="0.25">
      <c r="A5767" t="str">
        <f>"20190312172821170"</f>
        <v>20190312172821170</v>
      </c>
      <c r="B5767" t="str">
        <f>"1552382901165098"</f>
        <v>1552382901165098</v>
      </c>
      <c r="C5767" t="s">
        <v>40</v>
      </c>
      <c r="D5767">
        <v>3.6147960000000001</v>
      </c>
      <c r="E5767">
        <v>0.49810100000000002</v>
      </c>
      <c r="F5767" t="s">
        <v>61</v>
      </c>
      <c r="G5767">
        <v>-218.91730000000001</v>
      </c>
      <c r="H5767" s="1">
        <v>-3.102258E-6</v>
      </c>
      <c r="I5767">
        <v>-61.555999999999997</v>
      </c>
      <c r="J5767">
        <v>-234.24870000000001</v>
      </c>
      <c r="K5767">
        <v>1.1090439999999999</v>
      </c>
      <c r="L5767">
        <v>-62.34619</v>
      </c>
      <c r="M5767">
        <v>0.99989740000000005</v>
      </c>
      <c r="N5767">
        <v>0</v>
      </c>
      <c r="O5767">
        <v>-7.7471969999999999E-3</v>
      </c>
      <c r="P5767">
        <v>0.97482360000000001</v>
      </c>
      <c r="Q5767">
        <v>0.2215791</v>
      </c>
      <c r="R5767">
        <v>2.494E-2</v>
      </c>
      <c r="S5767">
        <v>3.124374</v>
      </c>
      <c r="T5767">
        <v>-0.2233773</v>
      </c>
      <c r="U5767">
        <v>0.1588135</v>
      </c>
      <c r="V5767">
        <v>-3.2066940000000002E-2</v>
      </c>
      <c r="W5767">
        <v>0.23338320000000001</v>
      </c>
      <c r="X5767">
        <v>0.97185589999999999</v>
      </c>
      <c r="Y5767">
        <v>-5.833294E-2</v>
      </c>
      <c r="Z5767">
        <v>2.63415E-3</v>
      </c>
      <c r="AA5767">
        <v>0.99829369999999995</v>
      </c>
      <c r="AB5767">
        <v>35</v>
      </c>
      <c r="AC5767">
        <v>15.3314</v>
      </c>
      <c r="AD5767">
        <v>-1.109047102258</v>
      </c>
      <c r="AE5767">
        <v>0.79018999999999495</v>
      </c>
      <c r="AF5767">
        <v>-0.90423113261827004</v>
      </c>
      <c r="AG5767">
        <v>-1.109047102258</v>
      </c>
      <c r="AH5767">
        <v>15.245253225576301</v>
      </c>
      <c r="AI5767">
        <v>94.153495257690196</v>
      </c>
      <c r="AJ5767">
        <v>93.394368159755501</v>
      </c>
      <c r="AK5767">
        <v>15.312261927232299</v>
      </c>
      <c r="AL5767">
        <v>76.503662197746607</v>
      </c>
      <c r="AM5767">
        <v>91.889821318277001</v>
      </c>
      <c r="AN5767">
        <v>0.99999994852400498</v>
      </c>
    </row>
    <row r="5768" spans="1:40" x14ac:dyDescent="0.25">
      <c r="A5768" t="str">
        <f>"20190312172821182"</f>
        <v>20190312172821182</v>
      </c>
      <c r="B5768" t="str">
        <f>"1552382901174858"</f>
        <v>1552382901174858</v>
      </c>
      <c r="C5768" t="s">
        <v>40</v>
      </c>
      <c r="D5768">
        <v>3.5454279999999998</v>
      </c>
      <c r="E5768">
        <v>0.4984113</v>
      </c>
      <c r="F5768" t="s">
        <v>61</v>
      </c>
      <c r="G5768">
        <v>-218.8501</v>
      </c>
      <c r="H5768" s="1">
        <v>-3.0733139999999998E-6</v>
      </c>
      <c r="I5768">
        <v>-61.539830000000002</v>
      </c>
      <c r="J5768">
        <v>-234.07480000000001</v>
      </c>
      <c r="K5768">
        <v>1.1090660000000001</v>
      </c>
      <c r="L5768">
        <v>-62.347929999999998</v>
      </c>
      <c r="M5768">
        <v>0.99989209999999995</v>
      </c>
      <c r="N5768">
        <v>0</v>
      </c>
      <c r="O5768">
        <v>-8.1425819999999902E-3</v>
      </c>
      <c r="P5768">
        <v>0.97477150000000001</v>
      </c>
      <c r="Q5768">
        <v>0.22166350000000001</v>
      </c>
      <c r="R5768">
        <v>2.6190020000000001E-2</v>
      </c>
      <c r="S5768">
        <v>3.124466</v>
      </c>
      <c r="T5768">
        <v>-0.2250316</v>
      </c>
      <c r="U5768">
        <v>0.16360469999999999</v>
      </c>
      <c r="V5768">
        <v>-3.3702650000000001E-2</v>
      </c>
      <c r="W5768">
        <v>0.2336201</v>
      </c>
      <c r="X5768">
        <v>0.97174369999999999</v>
      </c>
      <c r="Y5768">
        <v>-6.024446E-2</v>
      </c>
      <c r="Z5768">
        <v>2.7505530000000002E-3</v>
      </c>
      <c r="AA5768">
        <v>0.99817990000000001</v>
      </c>
      <c r="AB5768">
        <v>35</v>
      </c>
      <c r="AC5768">
        <v>15.2247</v>
      </c>
      <c r="AD5768">
        <v>-1.1090690733139901</v>
      </c>
      <c r="AE5768">
        <v>0.80810000000000304</v>
      </c>
      <c r="AF5768">
        <v>-0.92714463993076102</v>
      </c>
      <c r="AG5768">
        <v>-1.1090690733139901</v>
      </c>
      <c r="AH5768">
        <v>15.137511032658299</v>
      </c>
      <c r="AI5768">
        <v>94.182551421293198</v>
      </c>
      <c r="AJ5768">
        <v>93.504882563015997</v>
      </c>
      <c r="AK5768">
        <v>15.206376019834099</v>
      </c>
      <c r="AL5768">
        <v>76.489703914607901</v>
      </c>
      <c r="AM5768">
        <v>91.986373460375006</v>
      </c>
      <c r="AN5768">
        <v>1.00000001911536</v>
      </c>
    </row>
    <row r="5769" spans="1:40" x14ac:dyDescent="0.25">
      <c r="A5769" t="str">
        <f>"20190312172821193"</f>
        <v>20190312172821193</v>
      </c>
      <c r="B5769" t="str">
        <f>"1552382901185012"</f>
        <v>1552382901185012</v>
      </c>
      <c r="C5769" t="s">
        <v>40</v>
      </c>
      <c r="D5769">
        <v>3.5640040000000002</v>
      </c>
      <c r="E5769">
        <v>0.49878149999999899</v>
      </c>
      <c r="F5769" t="s">
        <v>61</v>
      </c>
      <c r="G5769">
        <v>-218.63820000000001</v>
      </c>
      <c r="H5769" s="1">
        <v>-2.980519E-6</v>
      </c>
      <c r="I5769">
        <v>-61.532730000000001</v>
      </c>
      <c r="J5769">
        <v>-233.89869999999999</v>
      </c>
      <c r="K5769">
        <v>1.1090869999999999</v>
      </c>
      <c r="L5769">
        <v>-62.349699999999999</v>
      </c>
      <c r="M5769">
        <v>0.99988699999999997</v>
      </c>
      <c r="N5769">
        <v>0</v>
      </c>
      <c r="O5769">
        <v>-8.5426080000000001E-3</v>
      </c>
      <c r="P5769">
        <v>0.97474099999999997</v>
      </c>
      <c r="Q5769">
        <v>0.2216243</v>
      </c>
      <c r="R5769">
        <v>2.762421E-2</v>
      </c>
      <c r="S5769">
        <v>3.1242519999999998</v>
      </c>
      <c r="T5769">
        <v>-0.22446730000000001</v>
      </c>
      <c r="U5769">
        <v>0.16497800000000001</v>
      </c>
      <c r="V5769">
        <v>-3.5526349999999998E-2</v>
      </c>
      <c r="W5769">
        <v>0.23372999999999999</v>
      </c>
      <c r="X5769">
        <v>0.97165230000000002</v>
      </c>
      <c r="Y5769">
        <v>-6.1082589999999999E-2</v>
      </c>
      <c r="Z5769">
        <v>2.8025670000000002E-3</v>
      </c>
      <c r="AA5769">
        <v>0.99812880000000004</v>
      </c>
      <c r="AB5769">
        <v>35</v>
      </c>
      <c r="AC5769">
        <v>15.260499999999899</v>
      </c>
      <c r="AD5769">
        <v>-1.109089980519</v>
      </c>
      <c r="AE5769">
        <v>0.81696999999998998</v>
      </c>
      <c r="AF5769">
        <v>-0.94235138103209404</v>
      </c>
      <c r="AG5769">
        <v>-1.109089980519</v>
      </c>
      <c r="AH5769">
        <v>15.1730489153164</v>
      </c>
      <c r="AI5769">
        <v>94.172648794480395</v>
      </c>
      <c r="AJ5769">
        <v>93.553899808303399</v>
      </c>
      <c r="AK5769">
        <v>15.242687430266599</v>
      </c>
      <c r="AL5769">
        <v>76.483227735638906</v>
      </c>
      <c r="AM5769">
        <v>92.093962617118393</v>
      </c>
      <c r="AN5769">
        <v>1.0000000132697999</v>
      </c>
    </row>
    <row r="5770" spans="1:40" x14ac:dyDescent="0.25">
      <c r="A5770" t="str">
        <f>"20190312172821205"</f>
        <v>20190312172821205</v>
      </c>
      <c r="B5770" t="str">
        <f>"1552382901195747"</f>
        <v>1552382901195747</v>
      </c>
      <c r="C5770" t="s">
        <v>40</v>
      </c>
      <c r="D5770">
        <v>3.570449</v>
      </c>
      <c r="E5770">
        <v>0.49869770000000002</v>
      </c>
      <c r="F5770" t="s">
        <v>61</v>
      </c>
      <c r="G5770">
        <v>-218.50919999999999</v>
      </c>
      <c r="H5770" s="1">
        <v>-2.9248489999999998E-6</v>
      </c>
      <c r="I5770">
        <v>-61.531419999999997</v>
      </c>
      <c r="J5770">
        <v>-233.70419999999999</v>
      </c>
      <c r="K5770">
        <v>1.1091070000000001</v>
      </c>
      <c r="L5770">
        <v>-62.351779999999998</v>
      </c>
      <c r="M5770">
        <v>0.99988109999999997</v>
      </c>
      <c r="N5770">
        <v>0</v>
      </c>
      <c r="O5770">
        <v>-8.9837219999999995E-3</v>
      </c>
      <c r="P5770">
        <v>0.97466759999999997</v>
      </c>
      <c r="Q5770">
        <v>0.22175549999999999</v>
      </c>
      <c r="R5770">
        <v>2.911451E-2</v>
      </c>
      <c r="S5770">
        <v>3.1242220000000001</v>
      </c>
      <c r="T5770">
        <v>-0.22515669999999999</v>
      </c>
      <c r="U5770">
        <v>0.16610720000000001</v>
      </c>
      <c r="V5770">
        <v>-3.7445449999999998E-2</v>
      </c>
      <c r="W5770">
        <v>0.23401839999999999</v>
      </c>
      <c r="X5770">
        <v>0.97151080000000001</v>
      </c>
      <c r="Y5770">
        <v>-6.1878879999999997E-2</v>
      </c>
      <c r="Z5770">
        <v>2.8715220000000001E-3</v>
      </c>
      <c r="AA5770">
        <v>0.99807950000000001</v>
      </c>
      <c r="AB5770">
        <v>35</v>
      </c>
      <c r="AC5770">
        <v>15.194999999999901</v>
      </c>
      <c r="AD5770">
        <v>-1.109109924849</v>
      </c>
      <c r="AE5770">
        <v>0.82036000000000697</v>
      </c>
      <c r="AF5770">
        <v>-0.95178906551492004</v>
      </c>
      <c r="AG5770">
        <v>-1.109109924849</v>
      </c>
      <c r="AH5770">
        <v>15.106764376860401</v>
      </c>
      <c r="AI5770">
        <v>94.190733822001505</v>
      </c>
      <c r="AJ5770">
        <v>93.605107559791804</v>
      </c>
      <c r="AK5770">
        <v>15.1772974270327</v>
      </c>
      <c r="AL5770">
        <v>76.466232166834502</v>
      </c>
      <c r="AM5770">
        <v>92.207288643385994</v>
      </c>
      <c r="AN5770">
        <v>1.00000000389045</v>
      </c>
    </row>
    <row r="5771" spans="1:40" x14ac:dyDescent="0.25">
      <c r="A5771" t="str">
        <f>"20190312172821218"</f>
        <v>20190312172821218</v>
      </c>
      <c r="B5771" t="str">
        <f>"1552382901205509"</f>
        <v>1552382901205509</v>
      </c>
      <c r="C5771" t="s">
        <v>40</v>
      </c>
      <c r="D5771">
        <v>3.619939</v>
      </c>
      <c r="E5771">
        <v>0.49866860000000002</v>
      </c>
      <c r="F5771" t="s">
        <v>61</v>
      </c>
      <c r="G5771">
        <v>-218.0241</v>
      </c>
      <c r="H5771" s="1">
        <v>-2.7066460000000001E-6</v>
      </c>
      <c r="I5771">
        <v>-61.493540000000003</v>
      </c>
      <c r="J5771">
        <v>-233.52600000000001</v>
      </c>
      <c r="K5771">
        <v>1.1091260000000001</v>
      </c>
      <c r="L5771">
        <v>-62.353789999999996</v>
      </c>
      <c r="M5771">
        <v>0.99987579999999998</v>
      </c>
      <c r="N5771">
        <v>0</v>
      </c>
      <c r="O5771">
        <v>-9.3870129999999996E-3</v>
      </c>
      <c r="P5771">
        <v>0.97468529999999998</v>
      </c>
      <c r="Q5771">
        <v>0.22150239999999999</v>
      </c>
      <c r="R5771">
        <v>3.0425819999999999E-2</v>
      </c>
      <c r="S5771">
        <v>3.1231080000000002</v>
      </c>
      <c r="T5771">
        <v>-0.22090789999999999</v>
      </c>
      <c r="U5771">
        <v>0.170929</v>
      </c>
      <c r="V5771">
        <v>-3.9149919999999998E-2</v>
      </c>
      <c r="W5771">
        <v>0.23389969999999999</v>
      </c>
      <c r="X5771">
        <v>0.97147220000000001</v>
      </c>
      <c r="Y5771">
        <v>-6.383751E-2</v>
      </c>
      <c r="Z5771">
        <v>2.915965E-3</v>
      </c>
      <c r="AA5771">
        <v>0.99795599999999995</v>
      </c>
      <c r="AB5771">
        <v>35</v>
      </c>
      <c r="AC5771">
        <v>15.5018999999999</v>
      </c>
      <c r="AD5771">
        <v>-1.1091287066460001</v>
      </c>
      <c r="AE5771">
        <v>0.86024999999999996</v>
      </c>
      <c r="AF5771">
        <v>-1.0006336683756001</v>
      </c>
      <c r="AG5771">
        <v>-1.1091287066460001</v>
      </c>
      <c r="AH5771">
        <v>15.4144750046451</v>
      </c>
      <c r="AI5771">
        <v>94.106936796843399</v>
      </c>
      <c r="AJ5771">
        <v>93.714155486042799</v>
      </c>
      <c r="AK5771">
        <v>15.486686988992201</v>
      </c>
      <c r="AL5771">
        <v>76.473227409009297</v>
      </c>
      <c r="AM5771">
        <v>92.307746990459094</v>
      </c>
      <c r="AN5771">
        <v>1.00000001063446</v>
      </c>
    </row>
    <row r="5772" spans="1:40" x14ac:dyDescent="0.25">
      <c r="A5772" t="str">
        <f>"20190312172821229"</f>
        <v>20190312172821229</v>
      </c>
      <c r="B5772" t="str">
        <f>"1552382901225028"</f>
        <v>1552382901225028</v>
      </c>
      <c r="C5772" t="s">
        <v>40</v>
      </c>
      <c r="D5772">
        <v>3.5666839999999902</v>
      </c>
      <c r="E5772">
        <v>0.49887700000000001</v>
      </c>
      <c r="F5772" t="s">
        <v>61</v>
      </c>
      <c r="G5772">
        <v>-218.0779</v>
      </c>
      <c r="H5772" s="1">
        <v>-2.7286640000000001E-6</v>
      </c>
      <c r="I5772">
        <v>-61.489620000000002</v>
      </c>
      <c r="J5772">
        <v>-233.35040000000001</v>
      </c>
      <c r="K5772">
        <v>1.109143</v>
      </c>
      <c r="L5772">
        <v>-62.3557699999999</v>
      </c>
      <c r="M5772">
        <v>0.99987040000000005</v>
      </c>
      <c r="N5772">
        <v>0</v>
      </c>
      <c r="O5772">
        <v>-9.7843159999999995E-3</v>
      </c>
      <c r="P5772">
        <v>0.9746068</v>
      </c>
      <c r="Q5772">
        <v>0.22166620000000001</v>
      </c>
      <c r="R5772">
        <v>3.171616E-2</v>
      </c>
      <c r="S5772">
        <v>3.1234440000000001</v>
      </c>
      <c r="T5772">
        <v>-0.2242527</v>
      </c>
      <c r="U5772">
        <v>0.17471310000000001</v>
      </c>
      <c r="V5772">
        <v>-4.0825199999999902E-2</v>
      </c>
      <c r="W5772">
        <v>0.2341917</v>
      </c>
      <c r="X5772">
        <v>0.9713328</v>
      </c>
      <c r="Y5772">
        <v>-6.5422930000000004E-2</v>
      </c>
      <c r="Z5772">
        <v>3.0448580000000001E-3</v>
      </c>
      <c r="AA5772">
        <v>0.99785299999999999</v>
      </c>
      <c r="AB5772">
        <v>35</v>
      </c>
      <c r="AC5772">
        <v>15.272500000000001</v>
      </c>
      <c r="AD5772">
        <v>-1.1091457286640001</v>
      </c>
      <c r="AE5772">
        <v>0.86614999999999698</v>
      </c>
      <c r="AF5772">
        <v>-1.0102405798916401</v>
      </c>
      <c r="AG5772">
        <v>-1.1091457286640001</v>
      </c>
      <c r="AH5772">
        <v>15.183469467457</v>
      </c>
      <c r="AI5772">
        <v>94.168825417943907</v>
      </c>
      <c r="AJ5772">
        <v>93.806595908952005</v>
      </c>
      <c r="AK5772">
        <v>15.2574091950721</v>
      </c>
      <c r="AL5772">
        <v>76.456017961659896</v>
      </c>
      <c r="AM5772">
        <v>92.406729956059095</v>
      </c>
      <c r="AN5772">
        <v>0.99999992882988198</v>
      </c>
    </row>
    <row r="5773" spans="1:40" x14ac:dyDescent="0.25">
      <c r="A5773" t="str">
        <f>"20190312172821243"</f>
        <v>20190312172821243</v>
      </c>
      <c r="B5773" t="str">
        <f>"1552382901235763"</f>
        <v>1552382901235763</v>
      </c>
      <c r="C5773" t="s">
        <v>40</v>
      </c>
      <c r="D5773">
        <v>3.7897259999999999</v>
      </c>
      <c r="E5773">
        <v>0.49912899999999999</v>
      </c>
      <c r="F5773" t="s">
        <v>61</v>
      </c>
      <c r="G5773">
        <v>-218.03389999999999</v>
      </c>
      <c r="H5773" s="1">
        <v>-2.7100939999999999E-6</v>
      </c>
      <c r="I5773">
        <v>-61.490699999999997</v>
      </c>
      <c r="J5773">
        <v>-233.13120000000001</v>
      </c>
      <c r="K5773">
        <v>1.1091629999999999</v>
      </c>
      <c r="L5773">
        <v>-62.358429999999998</v>
      </c>
      <c r="M5773">
        <v>0.99986339999999996</v>
      </c>
      <c r="N5773">
        <v>0</v>
      </c>
      <c r="O5773">
        <v>-1.0279750000000001E-2</v>
      </c>
      <c r="P5773">
        <v>0.97453979999999996</v>
      </c>
      <c r="Q5773">
        <v>0.22179740000000001</v>
      </c>
      <c r="R5773">
        <v>3.2839060000000003E-2</v>
      </c>
      <c r="S5773">
        <v>3.123856</v>
      </c>
      <c r="T5773">
        <v>-0.2262139</v>
      </c>
      <c r="U5773">
        <v>0.1764221</v>
      </c>
      <c r="V5773">
        <v>-4.2429439999999999E-2</v>
      </c>
      <c r="W5773">
        <v>0.23446800000000001</v>
      </c>
      <c r="X5773">
        <v>0.97119739999999999</v>
      </c>
      <c r="Y5773">
        <v>-6.6446899999999906E-2</v>
      </c>
      <c r="Z5773">
        <v>3.1437750000000001E-3</v>
      </c>
      <c r="AA5773">
        <v>0.99778500000000003</v>
      </c>
      <c r="AB5773">
        <v>34</v>
      </c>
      <c r="AC5773">
        <v>15.097300000000001</v>
      </c>
      <c r="AD5773">
        <v>-1.109165710094</v>
      </c>
      <c r="AE5773">
        <v>0.86773000000000799</v>
      </c>
      <c r="AF5773">
        <v>-1.0174201481593901</v>
      </c>
      <c r="AG5773">
        <v>-1.109165710094</v>
      </c>
      <c r="AH5773">
        <v>15.006848288500001</v>
      </c>
      <c r="AI5773">
        <v>94.217435078843295</v>
      </c>
      <c r="AJ5773">
        <v>93.878549984756702</v>
      </c>
      <c r="AK5773">
        <v>15.082138040887401</v>
      </c>
      <c r="AL5773">
        <v>76.439733961914797</v>
      </c>
      <c r="AM5773">
        <v>92.501533644301603</v>
      </c>
      <c r="AN5773">
        <v>0.999999945084735</v>
      </c>
    </row>
    <row r="5774" spans="1:40" x14ac:dyDescent="0.25">
      <c r="A5774" t="str">
        <f>"20190312172821258"</f>
        <v>20190312172821258</v>
      </c>
      <c r="B5774" t="str">
        <f>"1552382901245524"</f>
        <v>1552382901245524</v>
      </c>
      <c r="C5774" t="s">
        <v>40</v>
      </c>
      <c r="D5774">
        <v>3.54704</v>
      </c>
      <c r="E5774">
        <v>0.49935069999999998</v>
      </c>
      <c r="F5774" t="s">
        <v>61</v>
      </c>
      <c r="G5774">
        <v>-217.77520000000001</v>
      </c>
      <c r="H5774" s="1">
        <v>-2.5981690000000002E-6</v>
      </c>
      <c r="I5774">
        <v>-61.487189999999998</v>
      </c>
      <c r="J5774">
        <v>-232.9179</v>
      </c>
      <c r="K5774">
        <v>1.1091799999999901</v>
      </c>
      <c r="L5774">
        <v>-62.361080000000001</v>
      </c>
      <c r="M5774">
        <v>0.99985659999999998</v>
      </c>
      <c r="N5774">
        <v>0</v>
      </c>
      <c r="O5774">
        <v>-1.076209E-2</v>
      </c>
      <c r="P5774">
        <v>0.97442499999999999</v>
      </c>
      <c r="Q5774">
        <v>0.22216469999999999</v>
      </c>
      <c r="R5774">
        <v>3.374684E-2</v>
      </c>
      <c r="S5774">
        <v>3.1237490000000001</v>
      </c>
      <c r="T5774">
        <v>-0.225628</v>
      </c>
      <c r="U5774">
        <v>0.1772156</v>
      </c>
      <c r="V5774">
        <v>-4.3804469999999998E-2</v>
      </c>
      <c r="W5774">
        <v>0.23496719999999999</v>
      </c>
      <c r="X5774">
        <v>0.97101579999999998</v>
      </c>
      <c r="Y5774">
        <v>-6.7180630000000005E-2</v>
      </c>
      <c r="Z5774">
        <v>3.196955E-3</v>
      </c>
      <c r="AA5774">
        <v>0.9977357</v>
      </c>
      <c r="AB5774">
        <v>34</v>
      </c>
      <c r="AC5774">
        <v>15.1426999999999</v>
      </c>
      <c r="AD5774">
        <v>-1.10918259816899</v>
      </c>
      <c r="AE5774">
        <v>0.87388999999999495</v>
      </c>
      <c r="AF5774">
        <v>-1.0313054489372799</v>
      </c>
      <c r="AG5774">
        <v>-1.10918259816899</v>
      </c>
      <c r="AH5774">
        <v>15.051926165916599</v>
      </c>
      <c r="AI5774">
        <v>94.204709267577599</v>
      </c>
      <c r="AJ5774">
        <v>93.919580999862305</v>
      </c>
      <c r="AK5774">
        <v>15.127933046827399</v>
      </c>
      <c r="AL5774">
        <v>76.410311361304807</v>
      </c>
      <c r="AM5774">
        <v>92.582976264912602</v>
      </c>
      <c r="AN5774">
        <v>1.0000000502587201</v>
      </c>
    </row>
    <row r="5775" spans="1:40" x14ac:dyDescent="0.25">
      <c r="A5775" t="str">
        <f>"20190312172821276"</f>
        <v>20190312172821276</v>
      </c>
      <c r="B5775" t="str">
        <f>"1552382901265043"</f>
        <v>1552382901265043</v>
      </c>
      <c r="C5775" t="s">
        <v>40</v>
      </c>
      <c r="D5775">
        <v>3.5654460000000001</v>
      </c>
      <c r="E5775">
        <v>0.49973260000000003</v>
      </c>
      <c r="F5775" t="s">
        <v>61</v>
      </c>
      <c r="G5775">
        <v>-217.49950000000001</v>
      </c>
      <c r="H5775" s="1">
        <v>-2.4791670000000001E-6</v>
      </c>
      <c r="I5775">
        <v>-61.484380000000002</v>
      </c>
      <c r="J5775">
        <v>-232.6311</v>
      </c>
      <c r="K5775">
        <v>1.1092029999999999</v>
      </c>
      <c r="L5775">
        <v>-62.364840000000001</v>
      </c>
      <c r="M5775">
        <v>0.99984709999999999</v>
      </c>
      <c r="N5775">
        <v>0</v>
      </c>
      <c r="O5775">
        <v>-1.141144E-2</v>
      </c>
      <c r="P5775">
        <v>0.97407319999999997</v>
      </c>
      <c r="Q5775">
        <v>0.22345180000000001</v>
      </c>
      <c r="R5775">
        <v>3.5370970000000002E-2</v>
      </c>
      <c r="S5775">
        <v>3.1238250000000001</v>
      </c>
      <c r="T5775">
        <v>-0.2247247</v>
      </c>
      <c r="U5775">
        <v>0.177612299999999</v>
      </c>
      <c r="V5775">
        <v>-4.6055100000000002E-2</v>
      </c>
      <c r="W5775">
        <v>0.23641490000000001</v>
      </c>
      <c r="X5775">
        <v>0.97056010000000004</v>
      </c>
      <c r="Y5775">
        <v>-6.7951510000000007E-2</v>
      </c>
      <c r="Z5775">
        <v>3.2583970000000001E-3</v>
      </c>
      <c r="AA5775">
        <v>0.99768330000000005</v>
      </c>
      <c r="AB5775">
        <v>34</v>
      </c>
      <c r="AC5775">
        <v>15.131599999999899</v>
      </c>
      <c r="AD5775">
        <v>-1.1092054791670001</v>
      </c>
      <c r="AE5775">
        <v>0.88045999999999902</v>
      </c>
      <c r="AF5775">
        <v>-1.0474815538369999</v>
      </c>
      <c r="AG5775">
        <v>-1.1092054791670001</v>
      </c>
      <c r="AH5775">
        <v>15.040022059772999</v>
      </c>
      <c r="AI5775">
        <v>94.207786140047304</v>
      </c>
      <c r="AJ5775">
        <v>93.984004475961797</v>
      </c>
      <c r="AK5775">
        <v>15.117202716081501</v>
      </c>
      <c r="AL5775">
        <v>76.324958927629993</v>
      </c>
      <c r="AM5775">
        <v>92.716766286609797</v>
      </c>
      <c r="AN5775">
        <v>0.99999999244501503</v>
      </c>
    </row>
    <row r="5776" spans="1:40" x14ac:dyDescent="0.25">
      <c r="A5776" t="str">
        <f>"20190312172821289"</f>
        <v>20190312172821289</v>
      </c>
      <c r="B5776" t="str">
        <f>"1552382901285071"</f>
        <v>1552382901285071</v>
      </c>
      <c r="C5776" t="s">
        <v>40</v>
      </c>
      <c r="D5776">
        <v>3.5491830000000002</v>
      </c>
      <c r="E5776">
        <v>0.49992500000000001</v>
      </c>
      <c r="F5776" t="s">
        <v>61</v>
      </c>
      <c r="G5776">
        <v>-216.96029999999999</v>
      </c>
      <c r="H5776" s="1">
        <v>-2.2428559999999998E-6</v>
      </c>
      <c r="I5776">
        <v>-61.465580000000003</v>
      </c>
      <c r="J5776">
        <v>-232.42500000000001</v>
      </c>
      <c r="K5776">
        <v>1.109219</v>
      </c>
      <c r="L5776">
        <v>-62.367579999999997</v>
      </c>
      <c r="M5776">
        <v>0.99984030000000002</v>
      </c>
      <c r="N5776">
        <v>0</v>
      </c>
      <c r="O5776">
        <v>-1.1878700000000001E-2</v>
      </c>
      <c r="P5776">
        <v>0.9739158</v>
      </c>
      <c r="Q5776">
        <v>0.2240414</v>
      </c>
      <c r="R5776">
        <v>3.5969699999999903E-2</v>
      </c>
      <c r="S5776">
        <v>3.124069</v>
      </c>
      <c r="T5776">
        <v>-0.22112689999999999</v>
      </c>
      <c r="U5776">
        <v>0.17926029999999901</v>
      </c>
      <c r="V5776">
        <v>-4.7106179999999997E-2</v>
      </c>
      <c r="W5776">
        <v>0.23711170000000001</v>
      </c>
      <c r="X5776">
        <v>0.97033970000000003</v>
      </c>
      <c r="Y5776">
        <v>-6.8940769999999998E-2</v>
      </c>
      <c r="Z5776">
        <v>3.2740170000000002E-3</v>
      </c>
      <c r="AA5776">
        <v>0.99761540000000004</v>
      </c>
      <c r="AB5776">
        <v>34</v>
      </c>
      <c r="AC5776">
        <v>15.464700000000001</v>
      </c>
      <c r="AD5776">
        <v>-1.109221242856</v>
      </c>
      <c r="AE5776">
        <v>0.90200000000000102</v>
      </c>
      <c r="AF5776">
        <v>-1.0801153133847601</v>
      </c>
      <c r="AG5776">
        <v>-1.109221242856</v>
      </c>
      <c r="AH5776">
        <v>15.374067578966001</v>
      </c>
      <c r="AI5776">
        <v>94.116562044908406</v>
      </c>
      <c r="AJ5776">
        <v>94.018749674161299</v>
      </c>
      <c r="AK5776">
        <v>15.451827554643</v>
      </c>
      <c r="AL5776">
        <v>76.283867563665197</v>
      </c>
      <c r="AM5776">
        <v>92.779303005183706</v>
      </c>
      <c r="AN5776">
        <v>1.0000000419335799</v>
      </c>
    </row>
    <row r="5777" spans="1:40" x14ac:dyDescent="0.25">
      <c r="A5777" t="str">
        <f>"20190312172821299"</f>
        <v>20190312172821299</v>
      </c>
      <c r="B5777" t="str">
        <f>"1552382901295807"</f>
        <v>1552382901295807</v>
      </c>
      <c r="C5777" t="s">
        <v>40</v>
      </c>
      <c r="D5777">
        <v>3.7936399999999999</v>
      </c>
      <c r="E5777">
        <v>0.50012709999999905</v>
      </c>
      <c r="F5777" t="s">
        <v>61</v>
      </c>
      <c r="G5777">
        <v>-216.72929999999999</v>
      </c>
      <c r="H5777" s="1">
        <v>-2.1437739999999998E-6</v>
      </c>
      <c r="I5777">
        <v>-61.465649999999997</v>
      </c>
      <c r="J5777">
        <v>-232.26349999999999</v>
      </c>
      <c r="K5777">
        <v>1.1092310000000001</v>
      </c>
      <c r="L5777">
        <v>-62.369869999999999</v>
      </c>
      <c r="M5777">
        <v>0.99983469999999997</v>
      </c>
      <c r="N5777">
        <v>0</v>
      </c>
      <c r="O5777">
        <v>-1.2245590000000001E-2</v>
      </c>
      <c r="P5777">
        <v>0.97373399999999999</v>
      </c>
      <c r="Q5777">
        <v>0.22470560000000001</v>
      </c>
      <c r="R5777">
        <v>3.673659E-2</v>
      </c>
      <c r="S5777">
        <v>3.1245419999999999</v>
      </c>
      <c r="T5777">
        <v>-0.22081210000000001</v>
      </c>
      <c r="U5777">
        <v>0.1795349</v>
      </c>
      <c r="V5777">
        <v>-4.8227079999999999E-2</v>
      </c>
      <c r="W5777">
        <v>0.2378509</v>
      </c>
      <c r="X5777">
        <v>0.97010359999999995</v>
      </c>
      <c r="Y5777">
        <v>-6.9384219999999996E-2</v>
      </c>
      <c r="Z5777">
        <v>3.310384E-3</v>
      </c>
      <c r="AA5777">
        <v>0.99758449999999999</v>
      </c>
      <c r="AB5777">
        <v>34</v>
      </c>
      <c r="AC5777">
        <v>15.534199999999901</v>
      </c>
      <c r="AD5777">
        <v>-1.109233143774</v>
      </c>
      <c r="AE5777">
        <v>0.90422000000000202</v>
      </c>
      <c r="AF5777">
        <v>-1.08886167552086</v>
      </c>
      <c r="AG5777">
        <v>-1.109233143774</v>
      </c>
      <c r="AH5777">
        <v>15.4434840041335</v>
      </c>
      <c r="AI5777">
        <v>94.098093978549599</v>
      </c>
      <c r="AJ5777">
        <v>94.033034742757906</v>
      </c>
      <c r="AK5777">
        <v>15.521508177416001</v>
      </c>
      <c r="AL5777">
        <v>76.2402658963601</v>
      </c>
      <c r="AM5777">
        <v>92.846020947615301</v>
      </c>
      <c r="AN5777">
        <v>0.99999994830454597</v>
      </c>
    </row>
    <row r="5778" spans="1:40" x14ac:dyDescent="0.25">
      <c r="A5778" t="str">
        <f>"20190312172821316"</f>
        <v>20190312172821316</v>
      </c>
      <c r="B5778" t="str">
        <f>"1552382901305566"</f>
        <v>1552382901305566</v>
      </c>
      <c r="C5778" t="s">
        <v>40</v>
      </c>
      <c r="D5778">
        <v>3.5438529999999999</v>
      </c>
      <c r="E5778">
        <v>0.50033839999999996</v>
      </c>
      <c r="F5778" t="s">
        <v>61</v>
      </c>
      <c r="G5778">
        <v>-216.46600000000001</v>
      </c>
      <c r="H5778" s="1">
        <v>-2.0288890000000001E-6</v>
      </c>
      <c r="I5778">
        <v>-61.458449999999999</v>
      </c>
      <c r="J5778">
        <v>-232.01130000000001</v>
      </c>
      <c r="K5778">
        <v>1.1092569999999999</v>
      </c>
      <c r="L5778">
        <v>-62.373539999999998</v>
      </c>
      <c r="M5778">
        <v>0.99982610000000005</v>
      </c>
      <c r="N5778">
        <v>0</v>
      </c>
      <c r="O5778">
        <v>-1.281946E-2</v>
      </c>
      <c r="P5778">
        <v>0.97362280000000001</v>
      </c>
      <c r="Q5778">
        <v>0.2249632</v>
      </c>
      <c r="R5778">
        <v>3.8087080000000002E-2</v>
      </c>
      <c r="S5778">
        <v>3.124771</v>
      </c>
      <c r="T5778">
        <v>-0.2194073</v>
      </c>
      <c r="U5778">
        <v>0.18026729999999999</v>
      </c>
      <c r="V5778">
        <v>-5.0134600000000001E-2</v>
      </c>
      <c r="W5778">
        <v>0.23822189999999999</v>
      </c>
      <c r="X5778">
        <v>0.96991590000000005</v>
      </c>
      <c r="Y5778">
        <v>-7.0184919999999998E-2</v>
      </c>
      <c r="Z5778">
        <v>3.3573880000000002E-3</v>
      </c>
      <c r="AA5778">
        <v>0.99752839999999998</v>
      </c>
      <c r="AB5778">
        <v>34</v>
      </c>
      <c r="AC5778">
        <v>15.545299999999999</v>
      </c>
      <c r="AD5778">
        <v>-1.1092590288890001</v>
      </c>
      <c r="AE5778">
        <v>0.91509000000000595</v>
      </c>
      <c r="AF5778">
        <v>-1.1086897368459101</v>
      </c>
      <c r="AG5778">
        <v>-1.1092590288890001</v>
      </c>
      <c r="AH5778">
        <v>15.4538746725332</v>
      </c>
      <c r="AI5778">
        <v>94.095086302193593</v>
      </c>
      <c r="AJ5778">
        <v>94.103475464543806</v>
      </c>
      <c r="AK5778">
        <v>15.533251138127</v>
      </c>
      <c r="AL5778">
        <v>76.218380840512495</v>
      </c>
      <c r="AM5778">
        <v>92.958964600764403</v>
      </c>
      <c r="AN5778">
        <v>1.0000000024147899</v>
      </c>
    </row>
    <row r="5779" spans="1:40" x14ac:dyDescent="0.25">
      <c r="A5779" t="str">
        <f>"20190312172821327"</f>
        <v>20190312172821327</v>
      </c>
      <c r="B5779" t="str">
        <f>"1552382901315327"</f>
        <v>1552382901315327</v>
      </c>
      <c r="C5779" t="s">
        <v>40</v>
      </c>
      <c r="D5779">
        <v>3.5795539999999999</v>
      </c>
      <c r="E5779">
        <v>0.50047640000000004</v>
      </c>
      <c r="F5779" t="s">
        <v>61</v>
      </c>
      <c r="G5779">
        <v>-216.19460000000001</v>
      </c>
      <c r="H5779" s="1">
        <v>-1.9113569999999999E-6</v>
      </c>
      <c r="I5779">
        <v>-61.4542199999999</v>
      </c>
      <c r="J5779">
        <v>-231.8382</v>
      </c>
      <c r="K5779">
        <v>1.1092690000000001</v>
      </c>
      <c r="L5779">
        <v>-62.376100000000001</v>
      </c>
      <c r="M5779">
        <v>0.99981989999999998</v>
      </c>
      <c r="N5779">
        <v>0</v>
      </c>
      <c r="O5779">
        <v>-1.321349E-2</v>
      </c>
      <c r="P5779">
        <v>0.97354189999999996</v>
      </c>
      <c r="Q5779">
        <v>0.2252518</v>
      </c>
      <c r="R5779">
        <v>3.8444020000000002E-2</v>
      </c>
      <c r="S5779">
        <v>3.1247859999999998</v>
      </c>
      <c r="T5779">
        <v>-0.21914829999999999</v>
      </c>
      <c r="U5779">
        <v>0.1816101</v>
      </c>
      <c r="V5779">
        <v>-5.0873630000000003E-2</v>
      </c>
      <c r="W5779">
        <v>0.23858260000000001</v>
      </c>
      <c r="X5779">
        <v>0.96978869999999895</v>
      </c>
      <c r="Y5779">
        <v>-7.1002490000000001E-2</v>
      </c>
      <c r="Z5779">
        <v>3.4095710000000001E-3</v>
      </c>
      <c r="AA5779">
        <v>0.99747030000000003</v>
      </c>
      <c r="AB5779">
        <v>34</v>
      </c>
      <c r="AC5779">
        <v>15.6435999999999</v>
      </c>
      <c r="AD5779">
        <v>-1.1092709113570001</v>
      </c>
      <c r="AE5779">
        <v>0.92188000000000803</v>
      </c>
      <c r="AF5779">
        <v>-1.1228987563770301</v>
      </c>
      <c r="AG5779">
        <v>-1.1092709113570001</v>
      </c>
      <c r="AH5779">
        <v>15.5521249994739</v>
      </c>
      <c r="AI5779">
        <v>94.069212585874894</v>
      </c>
      <c r="AJ5779">
        <v>94.129719088407995</v>
      </c>
      <c r="AK5779">
        <v>15.632017642361999</v>
      </c>
      <c r="AL5779">
        <v>76.197099974666102</v>
      </c>
      <c r="AM5779">
        <v>93.002896317285007</v>
      </c>
      <c r="AN5779">
        <v>0.99999995294991195</v>
      </c>
    </row>
    <row r="5780" spans="1:40" x14ac:dyDescent="0.25">
      <c r="A5780" t="str">
        <f>"20190312172821338"</f>
        <v>20190312172821338</v>
      </c>
      <c r="B5780" t="str">
        <f>"1552382901334848"</f>
        <v>1552382901334848</v>
      </c>
      <c r="C5780" t="s">
        <v>40</v>
      </c>
      <c r="D5780">
        <v>3.548057</v>
      </c>
      <c r="E5780">
        <v>0.50078210000000001</v>
      </c>
      <c r="F5780" t="s">
        <v>61</v>
      </c>
      <c r="G5780">
        <v>-216.00139999999999</v>
      </c>
      <c r="H5780" s="1">
        <v>-1.8298189999999999E-6</v>
      </c>
      <c r="I5780">
        <v>-61.459400000000002</v>
      </c>
      <c r="J5780">
        <v>-231.67269999999999</v>
      </c>
      <c r="K5780">
        <v>1.1092799999999901</v>
      </c>
      <c r="L5780">
        <v>-62.378660000000004</v>
      </c>
      <c r="M5780">
        <v>0.99981399999999998</v>
      </c>
      <c r="N5780">
        <v>0</v>
      </c>
      <c r="O5780">
        <v>-1.359029E-2</v>
      </c>
      <c r="P5780">
        <v>0.97334189999999998</v>
      </c>
      <c r="Q5780">
        <v>0.2259804</v>
      </c>
      <c r="R5780">
        <v>3.9228079999999999E-2</v>
      </c>
      <c r="S5780">
        <v>3.1250460000000002</v>
      </c>
      <c r="T5780">
        <v>-0.21889020000000001</v>
      </c>
      <c r="U5780">
        <v>0.1808777</v>
      </c>
      <c r="V5780">
        <v>-5.2020660000000003E-2</v>
      </c>
      <c r="W5780">
        <v>0.23937120000000001</v>
      </c>
      <c r="X5780">
        <v>0.9695336</v>
      </c>
      <c r="Y5780">
        <v>-7.1139880000000003E-2</v>
      </c>
      <c r="Z5780">
        <v>3.4364539999999998E-3</v>
      </c>
      <c r="AA5780">
        <v>0.99746040000000002</v>
      </c>
      <c r="AB5780">
        <v>34</v>
      </c>
      <c r="AC5780">
        <v>15.6713</v>
      </c>
      <c r="AD5780">
        <v>-1.1092818298189999</v>
      </c>
      <c r="AE5780">
        <v>0.91925999999999397</v>
      </c>
      <c r="AF5780">
        <v>-1.1265474293541999</v>
      </c>
      <c r="AG5780">
        <v>-1.1092818298189999</v>
      </c>
      <c r="AH5780">
        <v>15.579565842237001</v>
      </c>
      <c r="AI5780">
        <v>94.062078054710994</v>
      </c>
      <c r="AJ5780">
        <v>94.1358192427886</v>
      </c>
      <c r="AK5780">
        <v>15.6595813201104</v>
      </c>
      <c r="AL5780">
        <v>76.150569801147299</v>
      </c>
      <c r="AM5780">
        <v>93.071279789623006</v>
      </c>
      <c r="AN5780">
        <v>1.0000000609926101</v>
      </c>
    </row>
    <row r="5781" spans="1:40" x14ac:dyDescent="0.25">
      <c r="A5781" t="str">
        <f>"20190312172821349"</f>
        <v>20190312172821349</v>
      </c>
      <c r="B5781" t="str">
        <f>"1552382901345583"</f>
        <v>1552382901345583</v>
      </c>
      <c r="C5781" t="s">
        <v>40</v>
      </c>
      <c r="D5781">
        <v>3.5709149999999998</v>
      </c>
      <c r="E5781">
        <v>0.50088750000000004</v>
      </c>
      <c r="F5781" t="s">
        <v>61</v>
      </c>
      <c r="G5781">
        <v>-215.7834</v>
      </c>
      <c r="H5781" s="1">
        <v>-1.7374540000000001E-6</v>
      </c>
      <c r="I5781">
        <v>-61.463740000000001</v>
      </c>
      <c r="J5781">
        <v>-231.5061</v>
      </c>
      <c r="K5781">
        <v>1.1092930000000001</v>
      </c>
      <c r="L5781">
        <v>-62.381259999999997</v>
      </c>
      <c r="M5781">
        <v>0.99980789999999997</v>
      </c>
      <c r="N5781">
        <v>0</v>
      </c>
      <c r="O5781">
        <v>-1.39697E-2</v>
      </c>
      <c r="P5781">
        <v>0.97314469999999997</v>
      </c>
      <c r="Q5781">
        <v>0.2267885</v>
      </c>
      <c r="R5781">
        <v>3.945763E-2</v>
      </c>
      <c r="S5781">
        <v>3.1255799999999998</v>
      </c>
      <c r="T5781">
        <v>-0.2182056</v>
      </c>
      <c r="U5781">
        <v>0.17996219999999999</v>
      </c>
      <c r="V5781">
        <v>-5.2616059999999999E-2</v>
      </c>
      <c r="W5781">
        <v>0.2402378</v>
      </c>
      <c r="X5781">
        <v>0.96928700000000001</v>
      </c>
      <c r="Y5781">
        <v>-7.1217600000000006E-2</v>
      </c>
      <c r="Z5781">
        <v>3.454323E-3</v>
      </c>
      <c r="AA5781">
        <v>0.99745479999999997</v>
      </c>
      <c r="AB5781">
        <v>34</v>
      </c>
      <c r="AC5781">
        <v>15.7227</v>
      </c>
      <c r="AD5781">
        <v>-1.1092947374539901</v>
      </c>
      <c r="AE5781">
        <v>0.91751999999999601</v>
      </c>
      <c r="AF5781">
        <v>-1.13147942160989</v>
      </c>
      <c r="AG5781">
        <v>-1.1092947374539901</v>
      </c>
      <c r="AH5781">
        <v>15.6308034449122</v>
      </c>
      <c r="AI5781">
        <v>94.048831118953998</v>
      </c>
      <c r="AJ5781">
        <v>94.140293611744099</v>
      </c>
      <c r="AK5781">
        <v>15.7109133034827</v>
      </c>
      <c r="AL5781">
        <v>76.099423634451497</v>
      </c>
      <c r="AM5781">
        <v>93.107152274879098</v>
      </c>
      <c r="AN5781">
        <v>0.99999996934388102</v>
      </c>
    </row>
    <row r="5782" spans="1:40" x14ac:dyDescent="0.25">
      <c r="A5782" t="str">
        <f>"20190312172821361"</f>
        <v>20190312172821361</v>
      </c>
      <c r="B5782" t="str">
        <f>"1552382901355342"</f>
        <v>1552382901355342</v>
      </c>
      <c r="C5782" t="s">
        <v>40</v>
      </c>
      <c r="D5782">
        <v>3.5787230000000001</v>
      </c>
      <c r="E5782">
        <v>0.50097950000000002</v>
      </c>
      <c r="F5782" t="s">
        <v>61</v>
      </c>
      <c r="G5782">
        <v>-215.51079999999999</v>
      </c>
      <c r="H5782" s="1">
        <v>-1.6198419999999901E-6</v>
      </c>
      <c r="I5782">
        <v>-61.46114</v>
      </c>
      <c r="J5782">
        <v>-231.322</v>
      </c>
      <c r="K5782">
        <v>1.1093040000000001</v>
      </c>
      <c r="L5782">
        <v>-62.384250000000002</v>
      </c>
      <c r="M5782">
        <v>0.99980119999999895</v>
      </c>
      <c r="N5782">
        <v>0</v>
      </c>
      <c r="O5782">
        <v>-1.4389030000000001E-2</v>
      </c>
      <c r="P5782">
        <v>0.97304089999999999</v>
      </c>
      <c r="Q5782">
        <v>0.2271987</v>
      </c>
      <c r="R5782">
        <v>3.9653349999999997E-2</v>
      </c>
      <c r="S5782">
        <v>3.1260379999999999</v>
      </c>
      <c r="T5782">
        <v>-0.21679409999999999</v>
      </c>
      <c r="U5782">
        <v>0.17980960000000001</v>
      </c>
      <c r="V5782">
        <v>-5.3217929999999997E-2</v>
      </c>
      <c r="W5782">
        <v>0.24070710000000001</v>
      </c>
      <c r="X5782">
        <v>0.96913769999999999</v>
      </c>
      <c r="Y5782">
        <v>-7.1579900000000002E-2</v>
      </c>
      <c r="Z5782">
        <v>3.4731050000000002E-3</v>
      </c>
      <c r="AA5782">
        <v>0.9974288</v>
      </c>
      <c r="AB5782">
        <v>34</v>
      </c>
      <c r="AC5782">
        <v>15.811199999999999</v>
      </c>
      <c r="AD5782">
        <v>-1.1093056198419999</v>
      </c>
      <c r="AE5782">
        <v>0.92311000000000099</v>
      </c>
      <c r="AF5782">
        <v>-1.1449273289805899</v>
      </c>
      <c r="AG5782">
        <v>-1.1093056198419999</v>
      </c>
      <c r="AH5782">
        <v>15.719166430873999</v>
      </c>
      <c r="AI5782">
        <v>94.026055608777099</v>
      </c>
      <c r="AJ5782">
        <v>94.165861281816902</v>
      </c>
      <c r="AK5782">
        <v>15.799797809730901</v>
      </c>
      <c r="AL5782">
        <v>76.071721833988093</v>
      </c>
      <c r="AM5782">
        <v>93.143107012550203</v>
      </c>
      <c r="AN5782">
        <v>0.99999996881259201</v>
      </c>
    </row>
    <row r="5783" spans="1:40" x14ac:dyDescent="0.25">
      <c r="A5783" t="str">
        <f>"20190312172821372"</f>
        <v>20190312172821372</v>
      </c>
      <c r="B5783" t="str">
        <f>"1552382901365103"</f>
        <v>1552382901365103</v>
      </c>
      <c r="C5783" t="s">
        <v>40</v>
      </c>
      <c r="D5783">
        <v>3.5721039999999999</v>
      </c>
      <c r="E5783">
        <v>0.50112029999999996</v>
      </c>
      <c r="F5783" t="s">
        <v>61</v>
      </c>
      <c r="G5783">
        <v>-215.3116</v>
      </c>
      <c r="H5783" s="1">
        <v>-1.535078E-6</v>
      </c>
      <c r="I5783">
        <v>-61.463830000000002</v>
      </c>
      <c r="J5783">
        <v>-231.1454</v>
      </c>
      <c r="K5783">
        <v>1.109318</v>
      </c>
      <c r="L5783">
        <v>-62.387149999999998</v>
      </c>
      <c r="M5783">
        <v>0.99979439999999997</v>
      </c>
      <c r="N5783">
        <v>0</v>
      </c>
      <c r="O5783">
        <v>-1.479105E-2</v>
      </c>
      <c r="P5783">
        <v>0.97294270000000005</v>
      </c>
      <c r="Q5783">
        <v>0.2276107</v>
      </c>
      <c r="R5783">
        <v>3.9696719999999998E-2</v>
      </c>
      <c r="S5783">
        <v>3.1263580000000002</v>
      </c>
      <c r="T5783">
        <v>-0.21661440000000001</v>
      </c>
      <c r="U5783">
        <v>0.17971799999999999</v>
      </c>
      <c r="V5783">
        <v>-5.3650089999999998E-2</v>
      </c>
      <c r="W5783">
        <v>0.24117269999999999</v>
      </c>
      <c r="X5783">
        <v>0.96899809999999997</v>
      </c>
      <c r="Y5783">
        <v>-7.1944549999999996E-2</v>
      </c>
      <c r="Z5783">
        <v>3.5102940000000002E-3</v>
      </c>
      <c r="AA5783">
        <v>0.99740240000000002</v>
      </c>
      <c r="AB5783">
        <v>34</v>
      </c>
      <c r="AC5783">
        <v>15.833799999999901</v>
      </c>
      <c r="AD5783">
        <v>-1.1093195350780001</v>
      </c>
      <c r="AE5783">
        <v>0.92331999999999603</v>
      </c>
      <c r="AF5783">
        <v>-1.1518056306542099</v>
      </c>
      <c r="AG5783">
        <v>-1.1093195350780001</v>
      </c>
      <c r="AH5783">
        <v>15.7414055507973</v>
      </c>
      <c r="AI5783">
        <v>94.0203394096132</v>
      </c>
      <c r="AJ5783">
        <v>94.184899718780997</v>
      </c>
      <c r="AK5783">
        <v>15.8224237952466</v>
      </c>
      <c r="AL5783">
        <v>76.044235044488104</v>
      </c>
      <c r="AM5783">
        <v>93.169034593133304</v>
      </c>
      <c r="AN5783">
        <v>0.99999996059295304</v>
      </c>
    </row>
    <row r="5784" spans="1:40" x14ac:dyDescent="0.25">
      <c r="A5784" t="str">
        <f>"20190312172821382"</f>
        <v>20190312172821382</v>
      </c>
      <c r="B5784" t="str">
        <f>"1552382901374863"</f>
        <v>1552382901374863</v>
      </c>
      <c r="C5784" t="s">
        <v>40</v>
      </c>
      <c r="D5784">
        <v>3.558846</v>
      </c>
      <c r="E5784">
        <v>0.50120480000000001</v>
      </c>
      <c r="F5784" t="s">
        <v>61</v>
      </c>
      <c r="G5784">
        <v>-215.11709999999999</v>
      </c>
      <c r="H5784" s="1">
        <v>-1.453401E-6</v>
      </c>
      <c r="I5784">
        <v>-61.470359999999999</v>
      </c>
      <c r="J5784">
        <v>-230.99090000000001</v>
      </c>
      <c r="K5784">
        <v>1.1093299999999999</v>
      </c>
      <c r="L5784">
        <v>-62.389769999999999</v>
      </c>
      <c r="M5784">
        <v>0.99978860000000003</v>
      </c>
      <c r="N5784">
        <v>0</v>
      </c>
      <c r="O5784">
        <v>-1.51428E-2</v>
      </c>
      <c r="P5784">
        <v>0.97275409999999995</v>
      </c>
      <c r="Q5784">
        <v>0.22837499999999999</v>
      </c>
      <c r="R5784">
        <v>3.9932370000000002E-2</v>
      </c>
      <c r="S5784">
        <v>3.1267550000000002</v>
      </c>
      <c r="T5784">
        <v>-0.2164035</v>
      </c>
      <c r="U5784">
        <v>0.17883299999999999</v>
      </c>
      <c r="V5784">
        <v>-5.422428E-2</v>
      </c>
      <c r="W5784">
        <v>0.24197869999999999</v>
      </c>
      <c r="X5784">
        <v>0.96876519999999999</v>
      </c>
      <c r="Y5784">
        <v>-7.2006290000000001E-2</v>
      </c>
      <c r="Z5784">
        <v>3.532903E-3</v>
      </c>
      <c r="AA5784">
        <v>0.99739789999999995</v>
      </c>
      <c r="AB5784">
        <v>34</v>
      </c>
      <c r="AC5784">
        <v>15.873799999999999</v>
      </c>
      <c r="AD5784">
        <v>-1.1093314534009999</v>
      </c>
      <c r="AE5784">
        <v>0.91940999999999895</v>
      </c>
      <c r="AF5784">
        <v>-1.1540840841867801</v>
      </c>
      <c r="AG5784">
        <v>-1.1093314534009999</v>
      </c>
      <c r="AH5784">
        <v>15.7812405322684</v>
      </c>
      <c r="AI5784">
        <v>94.010279098307507</v>
      </c>
      <c r="AJ5784">
        <v>94.182601884438697</v>
      </c>
      <c r="AK5784">
        <v>15.862221757502599</v>
      </c>
      <c r="AL5784">
        <v>75.996645518690002</v>
      </c>
      <c r="AM5784">
        <v>93.203649338237696</v>
      </c>
      <c r="AN5784">
        <v>0.99999998826312397</v>
      </c>
    </row>
    <row r="5785" spans="1:40" x14ac:dyDescent="0.25">
      <c r="A5785" t="str">
        <f>"20190312172821394"</f>
        <v>20190312172821394</v>
      </c>
      <c r="B5785" t="str">
        <f>"1552382901385599"</f>
        <v>1552382901385599</v>
      </c>
      <c r="C5785" t="s">
        <v>40</v>
      </c>
      <c r="D5785">
        <v>3.6050490000000002</v>
      </c>
      <c r="E5785">
        <v>0.50122749999999905</v>
      </c>
      <c r="F5785" t="s">
        <v>61</v>
      </c>
      <c r="G5785">
        <v>-214.85759999999999</v>
      </c>
      <c r="H5785" s="1">
        <v>-1.3411510000000001E-6</v>
      </c>
      <c r="I5785">
        <v>-61.466940000000001</v>
      </c>
      <c r="J5785">
        <v>-230.82140000000001</v>
      </c>
      <c r="K5785">
        <v>1.109334</v>
      </c>
      <c r="L5785">
        <v>-62.392699999999998</v>
      </c>
      <c r="M5785">
        <v>0.99978199999999995</v>
      </c>
      <c r="N5785">
        <v>0</v>
      </c>
      <c r="O5785">
        <v>-1.552888E-2</v>
      </c>
      <c r="P5785">
        <v>0.97273580000000004</v>
      </c>
      <c r="Q5785">
        <v>0.22839999999999999</v>
      </c>
      <c r="R5785">
        <v>4.023467E-2</v>
      </c>
      <c r="S5785">
        <v>3.1271819999999999</v>
      </c>
      <c r="T5785">
        <v>-0.21502569999999999</v>
      </c>
      <c r="U5785">
        <v>0.17886350000000001</v>
      </c>
      <c r="V5785">
        <v>-5.490188E-2</v>
      </c>
      <c r="W5785">
        <v>0.24204899999999999</v>
      </c>
      <c r="X5785">
        <v>0.9687095</v>
      </c>
      <c r="Y5785">
        <v>-7.2394269999999997E-2</v>
      </c>
      <c r="Z5785">
        <v>3.5497969999999999E-3</v>
      </c>
      <c r="AA5785">
        <v>0.99736979999999997</v>
      </c>
      <c r="AB5785">
        <v>34</v>
      </c>
      <c r="AC5785">
        <v>15.963800000000001</v>
      </c>
      <c r="AD5785">
        <v>-1.1093353411509901</v>
      </c>
      <c r="AE5785">
        <v>0.92575999999999603</v>
      </c>
      <c r="AF5785">
        <v>-1.1679513533909001</v>
      </c>
      <c r="AG5785">
        <v>-1.1093353411509901</v>
      </c>
      <c r="AH5785">
        <v>15.871113277303699</v>
      </c>
      <c r="AI5785">
        <v>93.987524338044096</v>
      </c>
      <c r="AJ5785">
        <v>94.208795863499503</v>
      </c>
      <c r="AK5785">
        <v>15.952647802920399</v>
      </c>
      <c r="AL5785">
        <v>75.992494602520196</v>
      </c>
      <c r="AM5785">
        <v>93.243784083722602</v>
      </c>
      <c r="AN5785">
        <v>1.00000001510939</v>
      </c>
    </row>
    <row r="5786" spans="1:40" x14ac:dyDescent="0.25">
      <c r="A5786" t="str">
        <f>"20190312172821405"</f>
        <v>20190312172821405</v>
      </c>
      <c r="B5786" t="str">
        <f>"1552382901395360"</f>
        <v>1552382901395360</v>
      </c>
      <c r="C5786" t="s">
        <v>40</v>
      </c>
      <c r="D5786">
        <v>3.5419900000000002</v>
      </c>
      <c r="E5786">
        <v>0.5013415</v>
      </c>
      <c r="F5786" t="s">
        <v>61</v>
      </c>
      <c r="G5786">
        <v>-214.786</v>
      </c>
      <c r="H5786" s="1">
        <v>-1.3118850000000001E-6</v>
      </c>
      <c r="I5786">
        <v>-61.472430000000003</v>
      </c>
      <c r="J5786">
        <v>-230.6447</v>
      </c>
      <c r="K5786">
        <v>1.1093440000000001</v>
      </c>
      <c r="L5786">
        <v>-62.395809999999997</v>
      </c>
      <c r="M5786">
        <v>0.99977490000000002</v>
      </c>
      <c r="N5786">
        <v>0</v>
      </c>
      <c r="O5786">
        <v>-1.593106E-2</v>
      </c>
      <c r="P5786">
        <v>0.97268529999999997</v>
      </c>
      <c r="Q5786">
        <v>0.22853180000000001</v>
      </c>
      <c r="R5786">
        <v>4.0701479999999998E-2</v>
      </c>
      <c r="S5786">
        <v>3.127472</v>
      </c>
      <c r="T5786">
        <v>-0.21635969999999999</v>
      </c>
      <c r="U5786">
        <v>0.17947389999999999</v>
      </c>
      <c r="V5786">
        <v>-5.575894E-2</v>
      </c>
      <c r="W5786">
        <v>0.24222579999999999</v>
      </c>
      <c r="X5786">
        <v>0.96861640000000004</v>
      </c>
      <c r="Y5786">
        <v>-7.2979310000000006E-2</v>
      </c>
      <c r="Z5786">
        <v>3.6193890000000002E-3</v>
      </c>
      <c r="AA5786">
        <v>0.99732690000000002</v>
      </c>
      <c r="AB5786">
        <v>34</v>
      </c>
      <c r="AC5786">
        <v>15.858700000000001</v>
      </c>
      <c r="AD5786">
        <v>-1.1093453118850001</v>
      </c>
      <c r="AE5786">
        <v>0.92337999999999398</v>
      </c>
      <c r="AF5786">
        <v>-1.1702266254478</v>
      </c>
      <c r="AG5786">
        <v>-1.1093453118850001</v>
      </c>
      <c r="AH5786">
        <v>15.7650930903015</v>
      </c>
      <c r="AI5786">
        <v>94.014101009063907</v>
      </c>
      <c r="AJ5786">
        <v>94.245221162915101</v>
      </c>
      <c r="AK5786">
        <v>15.847341654731199</v>
      </c>
      <c r="AL5786">
        <v>75.982054716420706</v>
      </c>
      <c r="AM5786">
        <v>93.294627281178904</v>
      </c>
      <c r="AN5786">
        <v>1.0000000639622499</v>
      </c>
    </row>
    <row r="5787" spans="1:40" x14ac:dyDescent="0.25">
      <c r="A5787" t="str">
        <f>"20190312172821416"</f>
        <v>20190312172821416</v>
      </c>
      <c r="B5787" t="str">
        <f>"1552382901405119"</f>
        <v>1552382901405119</v>
      </c>
      <c r="C5787" t="s">
        <v>40</v>
      </c>
      <c r="D5787">
        <v>3.5762830000000001</v>
      </c>
      <c r="E5787">
        <v>0.50144789999999995</v>
      </c>
      <c r="F5787" t="s">
        <v>61</v>
      </c>
      <c r="G5787">
        <v>-214.64089999999999</v>
      </c>
      <c r="H5787" s="1">
        <v>-1.2509420000000001E-6</v>
      </c>
      <c r="I5787">
        <v>-61.477260000000001</v>
      </c>
      <c r="J5787">
        <v>-230.47470000000001</v>
      </c>
      <c r="K5787">
        <v>1.1093550000000001</v>
      </c>
      <c r="L5787">
        <v>-62.398899999999998</v>
      </c>
      <c r="M5787">
        <v>0.99976810000000005</v>
      </c>
      <c r="N5787">
        <v>0</v>
      </c>
      <c r="O5787">
        <v>-1.6318280000000001E-2</v>
      </c>
      <c r="P5787">
        <v>0.97266240000000004</v>
      </c>
      <c r="Q5787">
        <v>0.22854679999999999</v>
      </c>
      <c r="R5787">
        <v>4.1161629999999998E-2</v>
      </c>
      <c r="S5787">
        <v>3.1276549999999999</v>
      </c>
      <c r="T5787">
        <v>-0.2168021</v>
      </c>
      <c r="U5787">
        <v>0.17950439999999901</v>
      </c>
      <c r="V5787">
        <v>-5.6595979999999997E-2</v>
      </c>
      <c r="W5787">
        <v>0.24227940000000001</v>
      </c>
      <c r="X5787">
        <v>0.96855440000000004</v>
      </c>
      <c r="Y5787">
        <v>-7.3369260000000006E-2</v>
      </c>
      <c r="Z5787">
        <v>3.6668410000000001E-3</v>
      </c>
      <c r="AA5787">
        <v>0.99729809999999997</v>
      </c>
      <c r="AB5787">
        <v>34</v>
      </c>
      <c r="AC5787">
        <v>15.8338</v>
      </c>
      <c r="AD5787">
        <v>-1.1093562509420001</v>
      </c>
      <c r="AE5787">
        <v>0.92163999999999602</v>
      </c>
      <c r="AF5787">
        <v>-1.17417885350742</v>
      </c>
      <c r="AG5787">
        <v>-1.1093562509420001</v>
      </c>
      <c r="AH5787">
        <v>15.739648950308201</v>
      </c>
      <c r="AI5787">
        <v>94.020498256169603</v>
      </c>
      <c r="AJ5787">
        <v>94.266366304171299</v>
      </c>
      <c r="AK5787">
        <v>15.8223233550091</v>
      </c>
      <c r="AL5787">
        <v>75.978888736946402</v>
      </c>
      <c r="AM5787">
        <v>93.344187608500604</v>
      </c>
      <c r="AN5787">
        <v>1.0000000191879399</v>
      </c>
    </row>
    <row r="5788" spans="1:40" x14ac:dyDescent="0.25">
      <c r="A5788" t="str">
        <f>"20190312172821426"</f>
        <v>20190312172821426</v>
      </c>
      <c r="B5788" t="str">
        <f>"1552382901415855"</f>
        <v>1552382901415855</v>
      </c>
      <c r="C5788" t="s">
        <v>40</v>
      </c>
      <c r="D5788">
        <v>3.5624180000000001</v>
      </c>
      <c r="E5788">
        <v>0.50154500000000002</v>
      </c>
      <c r="F5788" t="s">
        <v>61</v>
      </c>
      <c r="G5788">
        <v>-214.54429999999999</v>
      </c>
      <c r="H5788" s="1">
        <v>-1.2115299999999999E-6</v>
      </c>
      <c r="I5788">
        <v>-61.484940000000002</v>
      </c>
      <c r="J5788">
        <v>-230.3099</v>
      </c>
      <c r="K5788">
        <v>1.109367</v>
      </c>
      <c r="L5788">
        <v>-62.401949999999999</v>
      </c>
      <c r="M5788">
        <v>0.99976149999999997</v>
      </c>
      <c r="N5788">
        <v>0</v>
      </c>
      <c r="O5788">
        <v>-1.6693449999999999E-2</v>
      </c>
      <c r="P5788">
        <v>0.97265460000000004</v>
      </c>
      <c r="Q5788">
        <v>0.2284823</v>
      </c>
      <c r="R5788">
        <v>4.1699979999999998E-2</v>
      </c>
      <c r="S5788">
        <v>3.1279300000000001</v>
      </c>
      <c r="T5788">
        <v>-0.21782170000000001</v>
      </c>
      <c r="U5788">
        <v>0.1794434</v>
      </c>
      <c r="V5788">
        <v>-5.7499250000000002E-2</v>
      </c>
      <c r="W5788">
        <v>0.2422521</v>
      </c>
      <c r="X5788">
        <v>0.96850800000000004</v>
      </c>
      <c r="Y5788">
        <v>-7.3715349999999999E-2</v>
      </c>
      <c r="Z5788">
        <v>3.7218300000000002E-3</v>
      </c>
      <c r="AA5788">
        <v>0.99727239999999995</v>
      </c>
      <c r="AB5788">
        <v>34</v>
      </c>
      <c r="AC5788">
        <v>15.765599999999999</v>
      </c>
      <c r="AD5788">
        <v>-1.1093682115299901</v>
      </c>
      <c r="AE5788">
        <v>0.91700999999999699</v>
      </c>
      <c r="AF5788">
        <v>-1.17429570855812</v>
      </c>
      <c r="AG5788">
        <v>-1.1093682115299901</v>
      </c>
      <c r="AH5788">
        <v>15.6707621059736</v>
      </c>
      <c r="AI5788">
        <v>94.038056585878905</v>
      </c>
      <c r="AJ5788">
        <v>94.285475913338402</v>
      </c>
      <c r="AK5788">
        <v>15.7538075785478</v>
      </c>
      <c r="AL5788">
        <v>75.980500591629394</v>
      </c>
      <c r="AM5788">
        <v>93.397599076822303</v>
      </c>
      <c r="AN5788">
        <v>0.99999999488448599</v>
      </c>
    </row>
    <row r="5789" spans="1:40" x14ac:dyDescent="0.25">
      <c r="A5789" t="str">
        <f>"20190312172821439"</f>
        <v>20190312172821439</v>
      </c>
      <c r="B5789" t="str">
        <f>"1552382901435374"</f>
        <v>1552382901435374</v>
      </c>
      <c r="C5789" t="s">
        <v>40</v>
      </c>
      <c r="D5789">
        <v>3.6030669999999998</v>
      </c>
      <c r="E5789">
        <v>0.50164160000000002</v>
      </c>
      <c r="F5789" t="s">
        <v>61</v>
      </c>
      <c r="G5789">
        <v>-214.45959999999999</v>
      </c>
      <c r="H5789" s="1">
        <v>-1.1773820000000001E-6</v>
      </c>
      <c r="I5789">
        <v>-61.493099999999998</v>
      </c>
      <c r="J5789">
        <v>-230.13030000000001</v>
      </c>
      <c r="K5789">
        <v>1.1093789999999999</v>
      </c>
      <c r="L5789">
        <v>-62.405360000000002</v>
      </c>
      <c r="M5789">
        <v>0.99975400000000003</v>
      </c>
      <c r="N5789">
        <v>0</v>
      </c>
      <c r="O5789">
        <v>-1.7102579999999999E-2</v>
      </c>
      <c r="P5789">
        <v>0.97259340000000005</v>
      </c>
      <c r="Q5789">
        <v>0.2286425</v>
      </c>
      <c r="R5789">
        <v>4.2244839999999999E-2</v>
      </c>
      <c r="S5789">
        <v>3.128082</v>
      </c>
      <c r="T5789">
        <v>-0.21893560000000001</v>
      </c>
      <c r="U5789">
        <v>0.17935179999999901</v>
      </c>
      <c r="V5789">
        <v>-5.8440720000000002E-2</v>
      </c>
      <c r="W5789">
        <v>0.2424473</v>
      </c>
      <c r="X5789">
        <v>0.96840280000000001</v>
      </c>
      <c r="Y5789">
        <v>-7.4087479999999997E-2</v>
      </c>
      <c r="Z5789">
        <v>3.782218E-3</v>
      </c>
      <c r="AA5789">
        <v>0.99724460000000004</v>
      </c>
      <c r="AB5789">
        <v>34</v>
      </c>
      <c r="AC5789">
        <v>15.6707</v>
      </c>
      <c r="AD5789">
        <v>-1.109380177382</v>
      </c>
      <c r="AE5789">
        <v>0.91225999999999596</v>
      </c>
      <c r="AF5789">
        <v>-1.1742973423032901</v>
      </c>
      <c r="AG5789">
        <v>-1.109380177382</v>
      </c>
      <c r="AH5789">
        <v>15.575010538148801</v>
      </c>
      <c r="AI5789">
        <v>94.062702963403297</v>
      </c>
      <c r="AJ5789">
        <v>94.311728952319697</v>
      </c>
      <c r="AK5789">
        <v>15.65856480938</v>
      </c>
      <c r="AL5789">
        <v>75.9689728308133</v>
      </c>
      <c r="AM5789">
        <v>93.453470700991204</v>
      </c>
      <c r="AN5789">
        <v>0.99999999703962394</v>
      </c>
    </row>
    <row r="5790" spans="1:40" x14ac:dyDescent="0.25">
      <c r="A5790" t="str">
        <f>"20190312172821451"</f>
        <v>20190312172821451</v>
      </c>
      <c r="B5790" t="str">
        <f>"1552382901445135"</f>
        <v>1552382901445135</v>
      </c>
      <c r="C5790" t="s">
        <v>40</v>
      </c>
      <c r="D5790">
        <v>3.5914670000000002</v>
      </c>
      <c r="E5790">
        <v>0.50169779999999997</v>
      </c>
      <c r="F5790" t="s">
        <v>61</v>
      </c>
      <c r="G5790">
        <v>-214.41640000000001</v>
      </c>
      <c r="H5790" s="1">
        <v>-1.161854E-6</v>
      </c>
      <c r="I5790">
        <v>-61.504359999999998</v>
      </c>
      <c r="J5790">
        <v>-229.9418</v>
      </c>
      <c r="K5790">
        <v>1.1093930000000001</v>
      </c>
      <c r="L5790">
        <v>-62.408969999999997</v>
      </c>
      <c r="M5790">
        <v>0.99974609999999997</v>
      </c>
      <c r="N5790">
        <v>0</v>
      </c>
      <c r="O5790">
        <v>-1.7532099999999998E-2</v>
      </c>
      <c r="P5790">
        <v>0.97252249999999996</v>
      </c>
      <c r="Q5790">
        <v>0.22885320000000001</v>
      </c>
      <c r="R5790">
        <v>4.2737579999999997E-2</v>
      </c>
      <c r="S5790">
        <v>3.1286930000000002</v>
      </c>
      <c r="T5790">
        <v>-0.2208821</v>
      </c>
      <c r="U5790">
        <v>0.17938229999999999</v>
      </c>
      <c r="V5790">
        <v>-5.9349859999999997E-2</v>
      </c>
      <c r="W5790">
        <v>0.24269299999999999</v>
      </c>
      <c r="X5790">
        <v>0.96828599999999998</v>
      </c>
      <c r="Y5790">
        <v>-7.450851E-2</v>
      </c>
      <c r="Z5790">
        <v>3.860119E-3</v>
      </c>
      <c r="AA5790">
        <v>0.99721289999999996</v>
      </c>
      <c r="AB5790">
        <v>34</v>
      </c>
      <c r="AC5790">
        <v>15.5253999999999</v>
      </c>
      <c r="AD5790">
        <v>-1.109394161854</v>
      </c>
      <c r="AE5790">
        <v>0.90460999999999803</v>
      </c>
      <c r="AF5790">
        <v>-1.1707334596240899</v>
      </c>
      <c r="AG5790">
        <v>-1.109394161854</v>
      </c>
      <c r="AH5790">
        <v>15.428638930286001</v>
      </c>
      <c r="AI5790">
        <v>94.101017615052896</v>
      </c>
      <c r="AJ5790">
        <v>94.339319069118702</v>
      </c>
      <c r="AK5790">
        <v>15.5127132211286</v>
      </c>
      <c r="AL5790">
        <v>75.954462458070097</v>
      </c>
      <c r="AM5790">
        <v>93.507483946261104</v>
      </c>
      <c r="AN5790">
        <v>1.0000000379634999</v>
      </c>
    </row>
    <row r="5791" spans="1:40" x14ac:dyDescent="0.25">
      <c r="A5791" t="str">
        <f>"20190312172821463"</f>
        <v>20190312172821463</v>
      </c>
      <c r="B5791" t="str">
        <f>"1552382901454895"</f>
        <v>1552382901454895</v>
      </c>
      <c r="C5791" t="s">
        <v>40</v>
      </c>
      <c r="D5791">
        <v>3.569372</v>
      </c>
      <c r="E5791">
        <v>0.50178279999999997</v>
      </c>
      <c r="F5791" t="s">
        <v>61</v>
      </c>
      <c r="G5791">
        <v>-214.2594</v>
      </c>
      <c r="H5791" s="1">
        <v>-1.0949619999999999E-6</v>
      </c>
      <c r="I5791">
        <v>-61.506169999999997</v>
      </c>
      <c r="J5791">
        <v>-229.7535</v>
      </c>
      <c r="K5791">
        <v>1.1094029999999999</v>
      </c>
      <c r="L5791">
        <v>-62.412660000000002</v>
      </c>
      <c r="M5791">
        <v>0.99973820000000002</v>
      </c>
      <c r="N5791">
        <v>0</v>
      </c>
      <c r="O5791">
        <v>-1.7961459999999999E-2</v>
      </c>
      <c r="P5791">
        <v>0.97235799999999994</v>
      </c>
      <c r="Q5791">
        <v>0.22941990000000001</v>
      </c>
      <c r="R5791">
        <v>4.3438669999999999E-2</v>
      </c>
      <c r="S5791">
        <v>3.128952</v>
      </c>
      <c r="T5791">
        <v>-0.22134609999999999</v>
      </c>
      <c r="U5791">
        <v>0.18011469999999999</v>
      </c>
      <c r="V5791">
        <v>-6.0464770000000001E-2</v>
      </c>
      <c r="W5791">
        <v>0.24329010000000001</v>
      </c>
      <c r="X5791">
        <v>0.96806709999999996</v>
      </c>
      <c r="Y5791">
        <v>-7.5161080000000005E-2</v>
      </c>
      <c r="Z5791">
        <v>3.9212159999999999E-3</v>
      </c>
      <c r="AA5791">
        <v>0.99716369999999999</v>
      </c>
      <c r="AB5791">
        <v>34</v>
      </c>
      <c r="AC5791">
        <v>15.4941</v>
      </c>
      <c r="AD5791">
        <v>-1.1094040949619901</v>
      </c>
      <c r="AE5791">
        <v>0.90648999999999702</v>
      </c>
      <c r="AF5791">
        <v>-1.17864627754186</v>
      </c>
      <c r="AG5791">
        <v>-1.1094040949619901</v>
      </c>
      <c r="AH5791">
        <v>15.396650109132599</v>
      </c>
      <c r="AI5791">
        <v>94.109337180650698</v>
      </c>
      <c r="AJ5791">
        <v>94.377575777473396</v>
      </c>
      <c r="AK5791">
        <v>15.481499251575601</v>
      </c>
      <c r="AL5791">
        <v>75.919193347899196</v>
      </c>
      <c r="AM5791">
        <v>93.574010123889593</v>
      </c>
      <c r="AN5791">
        <v>0.99999998563578596</v>
      </c>
    </row>
    <row r="5792" spans="1:40" x14ac:dyDescent="0.25">
      <c r="A5792" t="str">
        <f>"20190312172821476"</f>
        <v>20190312172821476</v>
      </c>
      <c r="B5792" t="str">
        <f>"1552382901465631"</f>
        <v>1552382901465631</v>
      </c>
      <c r="C5792" t="s">
        <v>40</v>
      </c>
      <c r="D5792">
        <v>3.6643509999999999</v>
      </c>
      <c r="E5792">
        <v>0.50183670000000002</v>
      </c>
      <c r="F5792" t="s">
        <v>61</v>
      </c>
      <c r="G5792">
        <v>-213.99189999999999</v>
      </c>
      <c r="H5792" s="1">
        <v>-9.7844390000000003E-7</v>
      </c>
      <c r="I5792">
        <v>-61.499510000000001</v>
      </c>
      <c r="J5792">
        <v>-229.56819999999999</v>
      </c>
      <c r="K5792">
        <v>1.1094120000000001</v>
      </c>
      <c r="L5792">
        <v>-62.416409999999999</v>
      </c>
      <c r="M5792">
        <v>0.99972989999999995</v>
      </c>
      <c r="N5792">
        <v>0</v>
      </c>
      <c r="O5792">
        <v>-1.838354E-2</v>
      </c>
      <c r="P5792">
        <v>0.97221469999999999</v>
      </c>
      <c r="Q5792">
        <v>0.22993440000000001</v>
      </c>
      <c r="R5792">
        <v>4.3923120000000003E-2</v>
      </c>
      <c r="S5792">
        <v>3.1291350000000002</v>
      </c>
      <c r="T5792">
        <v>-0.22024920000000001</v>
      </c>
      <c r="U5792">
        <v>0.1812744</v>
      </c>
      <c r="V5792">
        <v>-6.1356260000000003E-2</v>
      </c>
      <c r="W5792">
        <v>0.2438322</v>
      </c>
      <c r="X5792">
        <v>0.96787460000000003</v>
      </c>
      <c r="Y5792">
        <v>-7.5946379999999994E-2</v>
      </c>
      <c r="Z5792">
        <v>3.9587980000000004E-3</v>
      </c>
      <c r="AA5792">
        <v>0.99710399999999999</v>
      </c>
      <c r="AB5792">
        <v>34</v>
      </c>
      <c r="AC5792">
        <v>15.5763</v>
      </c>
      <c r="AD5792">
        <v>-1.1094129784439</v>
      </c>
      <c r="AE5792">
        <v>0.91689999999999805</v>
      </c>
      <c r="AF5792">
        <v>-1.1970698365952299</v>
      </c>
      <c r="AG5792">
        <v>-1.1094129784439</v>
      </c>
      <c r="AH5792">
        <v>15.4785593089352</v>
      </c>
      <c r="AI5792">
        <v>94.087453320433696</v>
      </c>
      <c r="AJ5792">
        <v>94.422297687667793</v>
      </c>
      <c r="AK5792">
        <v>15.5643686550611</v>
      </c>
      <c r="AL5792">
        <v>75.887168923850396</v>
      </c>
      <c r="AM5792">
        <v>93.627284925138298</v>
      </c>
      <c r="AN5792">
        <v>0.99999998686159297</v>
      </c>
    </row>
    <row r="5793" spans="1:40" x14ac:dyDescent="0.25">
      <c r="A5793" t="str">
        <f>"20190312172821490"</f>
        <v>20190312172821490</v>
      </c>
      <c r="B5793" t="str">
        <f>"1552382901485151"</f>
        <v>1552382901485151</v>
      </c>
      <c r="C5793" t="s">
        <v>40</v>
      </c>
      <c r="D5793">
        <v>3.5918879999999902</v>
      </c>
      <c r="E5793">
        <v>0.5019363</v>
      </c>
      <c r="F5793" t="s">
        <v>61</v>
      </c>
      <c r="G5793">
        <v>-213.7775</v>
      </c>
      <c r="H5793" s="1">
        <v>-8.856499E-7</v>
      </c>
      <c r="I5793">
        <v>-61.496450000000003</v>
      </c>
      <c r="J5793">
        <v>-229.36429999999999</v>
      </c>
      <c r="K5793">
        <v>1.1094250000000001</v>
      </c>
      <c r="L5793">
        <v>-62.420589999999997</v>
      </c>
      <c r="M5793">
        <v>0.99972099999999997</v>
      </c>
      <c r="N5793">
        <v>0</v>
      </c>
      <c r="O5793">
        <v>-1.8848529999999999E-2</v>
      </c>
      <c r="P5793">
        <v>0.97212500000000002</v>
      </c>
      <c r="Q5793">
        <v>0.23024230000000001</v>
      </c>
      <c r="R5793">
        <v>4.4289479999999999E-2</v>
      </c>
      <c r="S5793">
        <v>3.1295009999999999</v>
      </c>
      <c r="T5793">
        <v>-0.21987010000000001</v>
      </c>
      <c r="U5793">
        <v>0.182312</v>
      </c>
      <c r="V5793">
        <v>-6.2172320000000003E-2</v>
      </c>
      <c r="W5793">
        <v>0.24416879999999999</v>
      </c>
      <c r="X5793">
        <v>0.96773770000000003</v>
      </c>
      <c r="Y5793">
        <v>-7.6730670000000001E-2</v>
      </c>
      <c r="Z5793">
        <v>4.0116079999999998E-3</v>
      </c>
      <c r="AA5793">
        <v>0.99704380000000004</v>
      </c>
      <c r="AB5793">
        <v>34</v>
      </c>
      <c r="AC5793">
        <v>15.586799999999901</v>
      </c>
      <c r="AD5793">
        <v>-1.1094258856499</v>
      </c>
      <c r="AE5793">
        <v>0.92414000000000096</v>
      </c>
      <c r="AF5793">
        <v>-1.2116767366477199</v>
      </c>
      <c r="AG5793">
        <v>-1.1094258856499</v>
      </c>
      <c r="AH5793">
        <v>15.488417398005</v>
      </c>
      <c r="AI5793">
        <v>94.084626562160295</v>
      </c>
      <c r="AJ5793">
        <v>94.473204179841304</v>
      </c>
      <c r="AK5793">
        <v>15.575302880031201</v>
      </c>
      <c r="AL5793">
        <v>75.867282681952005</v>
      </c>
      <c r="AM5793">
        <v>93.675916235916304</v>
      </c>
      <c r="AN5793">
        <v>1.0000000281344501</v>
      </c>
    </row>
    <row r="5794" spans="1:40" x14ac:dyDescent="0.25">
      <c r="A5794" t="str">
        <f>"20190312172821499"</f>
        <v>20190312172821499</v>
      </c>
      <c r="B5794" t="str">
        <f>"1552382901494911"</f>
        <v>1552382901494911</v>
      </c>
      <c r="C5794" t="s">
        <v>40</v>
      </c>
      <c r="D5794">
        <v>3.6070859999999998</v>
      </c>
      <c r="E5794">
        <v>0.50197329999999996</v>
      </c>
      <c r="F5794" t="s">
        <v>61</v>
      </c>
      <c r="G5794">
        <v>-213.6473</v>
      </c>
      <c r="H5794" s="1">
        <v>-8.3119140000000002E-7</v>
      </c>
      <c r="I5794">
        <v>-61.501710000000003</v>
      </c>
      <c r="J5794">
        <v>-229.19630000000001</v>
      </c>
      <c r="K5794">
        <v>1.1094349999999999</v>
      </c>
      <c r="L5794">
        <v>-62.424129999999998</v>
      </c>
      <c r="M5794">
        <v>0.99971319999999997</v>
      </c>
      <c r="N5794">
        <v>0</v>
      </c>
      <c r="O5794">
        <v>-1.9231689999999999E-2</v>
      </c>
      <c r="P5794">
        <v>0.97204690000000005</v>
      </c>
      <c r="Q5794">
        <v>0.2304727</v>
      </c>
      <c r="R5794">
        <v>4.480485E-2</v>
      </c>
      <c r="S5794">
        <v>3.1300349999999999</v>
      </c>
      <c r="T5794">
        <v>-0.22094069999999999</v>
      </c>
      <c r="U5794">
        <v>0.18298339999999999</v>
      </c>
      <c r="V5794">
        <v>-6.305877E-2</v>
      </c>
      <c r="W5794">
        <v>0.24442030000000001</v>
      </c>
      <c r="X5794">
        <v>0.96761680000000005</v>
      </c>
      <c r="Y5794">
        <v>-7.7311450000000004E-2</v>
      </c>
      <c r="Z5794">
        <v>4.0778350000000001E-3</v>
      </c>
      <c r="AA5794">
        <v>0.99699870000000002</v>
      </c>
      <c r="AB5794">
        <v>34</v>
      </c>
      <c r="AC5794">
        <v>15.548999999999999</v>
      </c>
      <c r="AD5794">
        <v>-1.1094358311914001</v>
      </c>
      <c r="AE5794">
        <v>0.92242000000000901</v>
      </c>
      <c r="AF5794">
        <v>-1.2151487945853801</v>
      </c>
      <c r="AG5794">
        <v>-1.1094358311914001</v>
      </c>
      <c r="AH5794">
        <v>15.4500027210673</v>
      </c>
      <c r="AI5794">
        <v>94.094651223178204</v>
      </c>
      <c r="AJ5794">
        <v>94.4970780533842</v>
      </c>
      <c r="AK5794">
        <v>15.537374892094901</v>
      </c>
      <c r="AL5794">
        <v>75.852421875384593</v>
      </c>
      <c r="AM5794">
        <v>93.728645005123497</v>
      </c>
      <c r="AN5794">
        <v>0.99999998158412096</v>
      </c>
    </row>
    <row r="5795" spans="1:40" x14ac:dyDescent="0.25">
      <c r="A5795" t="str">
        <f>"20190312172821511"</f>
        <v>20190312172821511</v>
      </c>
      <c r="B5795" t="str">
        <f>"1552382901505647"</f>
        <v>1552382901505647</v>
      </c>
      <c r="C5795" t="s">
        <v>40</v>
      </c>
      <c r="D5795">
        <v>3.5987330000000002</v>
      </c>
      <c r="E5795">
        <v>0.50197329999999996</v>
      </c>
      <c r="F5795" t="s">
        <v>61</v>
      </c>
      <c r="G5795">
        <v>-213.483</v>
      </c>
      <c r="H5795" s="1">
        <v>-7.6026899999999898E-7</v>
      </c>
      <c r="I5795">
        <v>-61.5</v>
      </c>
      <c r="J5795">
        <v>-229.0317</v>
      </c>
      <c r="K5795">
        <v>1.109442</v>
      </c>
      <c r="L5795">
        <v>-62.427639999999997</v>
      </c>
      <c r="M5795">
        <v>0.99970570000000003</v>
      </c>
      <c r="N5795">
        <v>0</v>
      </c>
      <c r="O5795">
        <v>-1.9607329999999999E-2</v>
      </c>
      <c r="P5795">
        <v>0.97199740000000001</v>
      </c>
      <c r="Q5795">
        <v>0.23051250000000001</v>
      </c>
      <c r="R5795">
        <v>4.5666419999999999E-2</v>
      </c>
      <c r="S5795">
        <v>3.130188</v>
      </c>
      <c r="T5795">
        <v>-0.22100690000000001</v>
      </c>
      <c r="U5795">
        <v>0.184082</v>
      </c>
      <c r="V5795">
        <v>-6.4284099999999997E-2</v>
      </c>
      <c r="W5795">
        <v>0.2444809</v>
      </c>
      <c r="X5795">
        <v>0.96752090000000002</v>
      </c>
      <c r="Y5795">
        <v>-7.8029119999999993E-2</v>
      </c>
      <c r="Z5795">
        <v>4.1305710000000004E-3</v>
      </c>
      <c r="AA5795">
        <v>0.99694249999999995</v>
      </c>
      <c r="AB5795">
        <v>34</v>
      </c>
      <c r="AC5795">
        <v>15.548699999999901</v>
      </c>
      <c r="AD5795">
        <v>-1.109442760269</v>
      </c>
      <c r="AE5795">
        <v>0.92764000000000302</v>
      </c>
      <c r="AF5795">
        <v>-1.2261408266915701</v>
      </c>
      <c r="AG5795">
        <v>-1.109442760269</v>
      </c>
      <c r="AH5795">
        <v>15.4491438934014</v>
      </c>
      <c r="AI5795">
        <v>94.094674180735893</v>
      </c>
      <c r="AJ5795">
        <v>94.537839935050599</v>
      </c>
      <c r="AK5795">
        <v>15.537384966725099</v>
      </c>
      <c r="AL5795">
        <v>75.848841729254701</v>
      </c>
      <c r="AM5795">
        <v>93.801263651587306</v>
      </c>
      <c r="AN5795">
        <v>1.00000002395721</v>
      </c>
    </row>
    <row r="5796" spans="1:40" x14ac:dyDescent="0.25">
      <c r="A5796" t="str">
        <f>"20190312172821521"</f>
        <v>20190312172821521</v>
      </c>
      <c r="B5796" t="str">
        <f>"1552382901515407"</f>
        <v>1552382901515407</v>
      </c>
      <c r="C5796" t="s">
        <v>40</v>
      </c>
      <c r="D5796">
        <v>3.6613630000000001</v>
      </c>
      <c r="E5796">
        <v>0.50389989999999996</v>
      </c>
      <c r="F5796" t="s">
        <v>61</v>
      </c>
      <c r="G5796">
        <v>-213.31180000000001</v>
      </c>
      <c r="H5796" s="1">
        <v>-6.8430600000000001E-7</v>
      </c>
      <c r="I5796">
        <v>-61.490659999999998</v>
      </c>
      <c r="J5796">
        <v>-228.8749</v>
      </c>
      <c r="K5796">
        <v>1.109445</v>
      </c>
      <c r="L5796">
        <v>-62.431089999999998</v>
      </c>
      <c r="M5796">
        <v>0.99969830000000004</v>
      </c>
      <c r="N5796">
        <v>0</v>
      </c>
      <c r="O5796">
        <v>-1.996494E-2</v>
      </c>
      <c r="P5796">
        <v>0.9718987</v>
      </c>
      <c r="Q5796">
        <v>0.23081470000000001</v>
      </c>
      <c r="R5796">
        <v>4.6234030000000002E-2</v>
      </c>
      <c r="S5796">
        <v>3.1300509999999999</v>
      </c>
      <c r="T5796">
        <v>-0.22090460000000001</v>
      </c>
      <c r="U5796">
        <v>0.186554</v>
      </c>
      <c r="V5796">
        <v>-6.5196740000000003E-2</v>
      </c>
      <c r="W5796">
        <v>0.24479989999999999</v>
      </c>
      <c r="X5796">
        <v>0.96737919999999999</v>
      </c>
      <c r="Y5796">
        <v>-7.9169340000000005E-2</v>
      </c>
      <c r="Z5796">
        <v>4.1940930000000003E-3</v>
      </c>
      <c r="AA5796">
        <v>0.99685230000000002</v>
      </c>
      <c r="AB5796">
        <v>34</v>
      </c>
      <c r="AC5796">
        <v>15.563099999999899</v>
      </c>
      <c r="AD5796">
        <v>-1.1094456843060001</v>
      </c>
      <c r="AE5796">
        <v>0.94043000000000598</v>
      </c>
      <c r="AF5796">
        <v>-1.2446884028899701</v>
      </c>
      <c r="AG5796">
        <v>-1.1094456843060001</v>
      </c>
      <c r="AH5796">
        <v>15.4629257587754</v>
      </c>
      <c r="AI5796">
        <v>94.090682307777598</v>
      </c>
      <c r="AJ5796">
        <v>94.602101914907095</v>
      </c>
      <c r="AK5796">
        <v>15.5525622316104</v>
      </c>
      <c r="AL5796">
        <v>75.829992133220699</v>
      </c>
      <c r="AM5796">
        <v>93.855631498329799</v>
      </c>
      <c r="AN5796">
        <v>1.00000006126963</v>
      </c>
    </row>
    <row r="5797" spans="1:40" x14ac:dyDescent="0.25">
      <c r="A5797" t="str">
        <f>"20190312172821532"</f>
        <v>20190312172821532</v>
      </c>
      <c r="B5797" t="str">
        <f>"1552382901525166"</f>
        <v>1552382901525166</v>
      </c>
      <c r="C5797" t="s">
        <v>40</v>
      </c>
      <c r="D5797">
        <v>3.6323310000000002</v>
      </c>
      <c r="E5797">
        <v>0.50413359999999996</v>
      </c>
      <c r="F5797" t="s">
        <v>61</v>
      </c>
      <c r="G5797">
        <v>-215.95249999999999</v>
      </c>
      <c r="H5797" s="1">
        <v>-1.874722E-6</v>
      </c>
      <c r="I5797">
        <v>-61.70693</v>
      </c>
      <c r="J5797">
        <v>-228.71090000000001</v>
      </c>
      <c r="K5797">
        <v>1.1094459999999999</v>
      </c>
      <c r="L5797">
        <v>-62.434690000000003</v>
      </c>
      <c r="M5797">
        <v>0.99969059999999998</v>
      </c>
      <c r="N5797">
        <v>0</v>
      </c>
      <c r="O5797">
        <v>-2.0339010000000001E-2</v>
      </c>
      <c r="P5797">
        <v>0.97185820000000001</v>
      </c>
      <c r="Q5797">
        <v>0.23079140000000001</v>
      </c>
      <c r="R5797">
        <v>4.719462E-2</v>
      </c>
      <c r="S5797">
        <v>3.1424409999999998</v>
      </c>
      <c r="T5797">
        <v>-0.26979239999999999</v>
      </c>
      <c r="U5797">
        <v>0.1760864</v>
      </c>
      <c r="V5797">
        <v>-6.6520190000000007E-2</v>
      </c>
      <c r="W5797">
        <v>0.24479480000000001</v>
      </c>
      <c r="X5797">
        <v>0.96729030000000005</v>
      </c>
      <c r="Y5797">
        <v>-7.5891819999999999E-2</v>
      </c>
      <c r="Z5797">
        <v>4.9912730000000001E-3</v>
      </c>
      <c r="AA5797">
        <v>0.99710359999999998</v>
      </c>
      <c r="AB5797">
        <v>34</v>
      </c>
      <c r="AC5797">
        <v>12.7584</v>
      </c>
      <c r="AD5797">
        <v>-1.109447874722</v>
      </c>
      <c r="AE5797">
        <v>0.72775999999999597</v>
      </c>
      <c r="AF5797">
        <v>-0.97974471529698803</v>
      </c>
      <c r="AG5797">
        <v>-1.109447874722</v>
      </c>
      <c r="AH5797">
        <v>12.645643964852701</v>
      </c>
      <c r="AI5797">
        <v>94.999021930951002</v>
      </c>
      <c r="AJ5797">
        <v>94.430246482162403</v>
      </c>
      <c r="AK5797">
        <v>12.7319710013687</v>
      </c>
      <c r="AL5797">
        <v>75.830292294168402</v>
      </c>
      <c r="AM5797">
        <v>93.9340153401387</v>
      </c>
      <c r="AN5797">
        <v>0.99999997712938204</v>
      </c>
    </row>
    <row r="5798" spans="1:40" x14ac:dyDescent="0.25">
      <c r="A5798" t="str">
        <f>"20190312172821542"</f>
        <v>20190312172821542</v>
      </c>
      <c r="B5798" t="str">
        <f>"1552382901534927"</f>
        <v>1552382901534927</v>
      </c>
      <c r="C5798" t="s">
        <v>40</v>
      </c>
      <c r="D5798">
        <v>3.6764399999999999</v>
      </c>
      <c r="E5798">
        <v>0.50361009999999995</v>
      </c>
      <c r="F5798" t="s">
        <v>61</v>
      </c>
      <c r="G5798">
        <v>-215.78469999999999</v>
      </c>
      <c r="H5798" s="1">
        <v>-1.8031149999999999E-6</v>
      </c>
      <c r="I5798">
        <v>-61.708289999999998</v>
      </c>
      <c r="J5798">
        <v>-228.5496</v>
      </c>
      <c r="K5798">
        <v>1.1094520000000001</v>
      </c>
      <c r="L5798">
        <v>-62.43835</v>
      </c>
      <c r="M5798">
        <v>0.99968270000000004</v>
      </c>
      <c r="N5798">
        <v>0</v>
      </c>
      <c r="O5798">
        <v>-2.070698E-2</v>
      </c>
      <c r="P5798">
        <v>0.97182069999999998</v>
      </c>
      <c r="Q5798">
        <v>0.230767</v>
      </c>
      <c r="R5798">
        <v>4.8075989999999999E-2</v>
      </c>
      <c r="S5798">
        <v>3.1423489999999998</v>
      </c>
      <c r="T5798">
        <v>-0.26970640000000001</v>
      </c>
      <c r="U5798">
        <v>0.1765747</v>
      </c>
      <c r="V5798">
        <v>-6.7758239999999997E-2</v>
      </c>
      <c r="W5798">
        <v>0.24478649999999999</v>
      </c>
      <c r="X5798">
        <v>0.96720649999999997</v>
      </c>
      <c r="Y5798">
        <v>-7.6411839999999995E-2</v>
      </c>
      <c r="Z5798">
        <v>5.0435760000000001E-3</v>
      </c>
      <c r="AA5798">
        <v>0.99706360000000005</v>
      </c>
      <c r="AB5798">
        <v>34</v>
      </c>
      <c r="AC5798">
        <v>12.764900000000001</v>
      </c>
      <c r="AD5798">
        <v>-1.1094538031150001</v>
      </c>
      <c r="AE5798">
        <v>0.73005999999999405</v>
      </c>
      <c r="AF5798">
        <v>-0.98682288584256395</v>
      </c>
      <c r="AG5798">
        <v>-1.1094538031150001</v>
      </c>
      <c r="AH5798">
        <v>12.6517821690153</v>
      </c>
      <c r="AI5798">
        <v>94.996434957602503</v>
      </c>
      <c r="AJ5798">
        <v>94.459967892128503</v>
      </c>
      <c r="AK5798">
        <v>12.738614493008299</v>
      </c>
      <c r="AL5798">
        <v>75.830783270892795</v>
      </c>
      <c r="AM5798">
        <v>94.007343530595406</v>
      </c>
      <c r="AN5798">
        <v>1.00000001165619</v>
      </c>
    </row>
    <row r="5799" spans="1:40" x14ac:dyDescent="0.25">
      <c r="A5799" t="str">
        <f>"20190312172821553"</f>
        <v>20190312172821553</v>
      </c>
      <c r="B5799" t="str">
        <f>"1552382901545663"</f>
        <v>1552382901545663</v>
      </c>
      <c r="C5799" t="s">
        <v>40</v>
      </c>
      <c r="D5799">
        <v>3.559021</v>
      </c>
      <c r="E5799">
        <v>0.5039228</v>
      </c>
      <c r="F5799" t="s">
        <v>61</v>
      </c>
      <c r="G5799">
        <v>-215.7285</v>
      </c>
      <c r="H5799" s="1">
        <v>-1.7740979999999901E-6</v>
      </c>
      <c r="I5799">
        <v>-61.689990000000002</v>
      </c>
      <c r="J5799">
        <v>-228.40289999999999</v>
      </c>
      <c r="K5799">
        <v>1.1094569999999999</v>
      </c>
      <c r="L5799">
        <v>-62.441650000000003</v>
      </c>
      <c r="M5799">
        <v>0.9996756</v>
      </c>
      <c r="N5799">
        <v>0</v>
      </c>
      <c r="O5799">
        <v>-2.1041560000000001E-2</v>
      </c>
      <c r="P5799">
        <v>0.97168149999999998</v>
      </c>
      <c r="Q5799">
        <v>0.23119809999999999</v>
      </c>
      <c r="R5799">
        <v>4.8811180000000003E-2</v>
      </c>
      <c r="S5799">
        <v>3.1425019999999999</v>
      </c>
      <c r="T5799">
        <v>-0.27192959999999999</v>
      </c>
      <c r="U5799">
        <v>0.18341060000000001</v>
      </c>
      <c r="V5799">
        <v>-6.8814710000000001E-2</v>
      </c>
      <c r="W5799">
        <v>0.2452299</v>
      </c>
      <c r="X5799">
        <v>0.96701959999999998</v>
      </c>
      <c r="Y5799">
        <v>-7.8888169999999994E-2</v>
      </c>
      <c r="Z5799">
        <v>5.220181E-3</v>
      </c>
      <c r="AA5799">
        <v>0.99686980000000003</v>
      </c>
      <c r="AB5799">
        <v>34</v>
      </c>
      <c r="AC5799">
        <v>12.674399999999901</v>
      </c>
      <c r="AD5799">
        <v>-1.109458774098</v>
      </c>
      <c r="AE5799">
        <v>0.75166000000000099</v>
      </c>
      <c r="AF5799">
        <v>-1.0104944403282801</v>
      </c>
      <c r="AG5799">
        <v>-1.109458774098</v>
      </c>
      <c r="AH5799">
        <v>12.559873532026</v>
      </c>
      <c r="AI5799">
        <v>95.031864525934395</v>
      </c>
      <c r="AJ5799">
        <v>94.599777954815707</v>
      </c>
      <c r="AK5799">
        <v>12.649206335808</v>
      </c>
      <c r="AL5799">
        <v>75.804580036903403</v>
      </c>
      <c r="AM5799">
        <v>94.070400633446098</v>
      </c>
      <c r="AN5799">
        <v>1.00000003747527</v>
      </c>
    </row>
    <row r="5800" spans="1:40" x14ac:dyDescent="0.25">
      <c r="A5800" t="str">
        <f>"20190312172821563"</f>
        <v>20190312172821563</v>
      </c>
      <c r="B5800" t="str">
        <f>"1552382901555423"</f>
        <v>1552382901555423</v>
      </c>
      <c r="C5800" t="s">
        <v>40</v>
      </c>
      <c r="D5800">
        <v>3.5596079999999999</v>
      </c>
      <c r="E5800">
        <v>0.50415290000000001</v>
      </c>
      <c r="F5800" t="s">
        <v>61</v>
      </c>
      <c r="G5800">
        <v>-215.47130000000001</v>
      </c>
      <c r="H5800" s="1">
        <v>-1.6637240000000001E-6</v>
      </c>
      <c r="I5800">
        <v>-61.689700000000002</v>
      </c>
      <c r="J5800">
        <v>-228.24469999999999</v>
      </c>
      <c r="K5800">
        <v>1.109464</v>
      </c>
      <c r="L5800">
        <v>-62.445340000000002</v>
      </c>
      <c r="M5800">
        <v>0.9996678</v>
      </c>
      <c r="N5800">
        <v>0</v>
      </c>
      <c r="O5800">
        <v>-2.140295E-2</v>
      </c>
      <c r="P5800">
        <v>0.97159519999999999</v>
      </c>
      <c r="Q5800">
        <v>0.23138310000000001</v>
      </c>
      <c r="R5800">
        <v>4.9646530000000001E-2</v>
      </c>
      <c r="S5800">
        <v>3.1423800000000002</v>
      </c>
      <c r="T5800">
        <v>-0.26959840000000002</v>
      </c>
      <c r="U5800">
        <v>0.1827087</v>
      </c>
      <c r="V5800">
        <v>-6.9998850000000001E-2</v>
      </c>
      <c r="W5800">
        <v>0.24542820000000001</v>
      </c>
      <c r="X5800">
        <v>0.96688430000000003</v>
      </c>
      <c r="Y5800">
        <v>-7.9033339999999994E-2</v>
      </c>
      <c r="Z5800">
        <v>5.2129669999999998E-3</v>
      </c>
      <c r="AA5800">
        <v>0.99685840000000003</v>
      </c>
      <c r="AB5800">
        <v>34</v>
      </c>
      <c r="AC5800">
        <v>12.773399999999899</v>
      </c>
      <c r="AD5800">
        <v>-1.1094656637239999</v>
      </c>
      <c r="AE5800">
        <v>0.75563999999999898</v>
      </c>
      <c r="AF5800">
        <v>-1.0212061601756099</v>
      </c>
      <c r="AG5800">
        <v>-1.1094656637239999</v>
      </c>
      <c r="AH5800">
        <v>12.6591285351465</v>
      </c>
      <c r="AI5800">
        <v>94.992557160325703</v>
      </c>
      <c r="AJ5800">
        <v>94.612037467282605</v>
      </c>
      <c r="AK5800">
        <v>12.748619978253499</v>
      </c>
      <c r="AL5800">
        <v>75.792860230847594</v>
      </c>
      <c r="AM5800">
        <v>94.140778521291693</v>
      </c>
      <c r="AN5800">
        <v>1.0000000449715201</v>
      </c>
    </row>
    <row r="5801" spans="1:40" x14ac:dyDescent="0.25">
      <c r="A5801" t="str">
        <f>"20190312172821572"</f>
        <v>20190312172821572</v>
      </c>
      <c r="B5801" t="str">
        <f>"1552382901565183"</f>
        <v>1552382901565183</v>
      </c>
      <c r="C5801" t="s">
        <v>40</v>
      </c>
      <c r="D5801">
        <v>3.5823529999999999</v>
      </c>
      <c r="E5801">
        <v>0.50433450000000002</v>
      </c>
      <c r="F5801" t="s">
        <v>61</v>
      </c>
      <c r="G5801">
        <v>-215.2124</v>
      </c>
      <c r="H5801" s="1">
        <v>-1.5517849999999999E-6</v>
      </c>
      <c r="I5801">
        <v>-61.686450000000001</v>
      </c>
      <c r="J5801">
        <v>-228.10130000000001</v>
      </c>
      <c r="K5801">
        <v>1.109469</v>
      </c>
      <c r="L5801">
        <v>-62.448729999999998</v>
      </c>
      <c r="M5801">
        <v>0.99966049999999995</v>
      </c>
      <c r="N5801">
        <v>0</v>
      </c>
      <c r="O5801">
        <v>-2.1730360000000001E-2</v>
      </c>
      <c r="P5801">
        <v>0.97146460000000001</v>
      </c>
      <c r="Q5801">
        <v>0.23173379999999999</v>
      </c>
      <c r="R5801">
        <v>5.0557579999999998E-2</v>
      </c>
      <c r="S5801">
        <v>3.142029</v>
      </c>
      <c r="T5801">
        <v>-0.26748850000000002</v>
      </c>
      <c r="U5801">
        <v>0.1829529</v>
      </c>
      <c r="V5801">
        <v>-7.1224449999999995E-2</v>
      </c>
      <c r="W5801">
        <v>0.2457887</v>
      </c>
      <c r="X5801">
        <v>0.96670319999999998</v>
      </c>
      <c r="Y5801">
        <v>-7.9446429999999998E-2</v>
      </c>
      <c r="Z5801">
        <v>5.2182239999999996E-3</v>
      </c>
      <c r="AA5801">
        <v>0.99682550000000003</v>
      </c>
      <c r="AB5801">
        <v>34</v>
      </c>
      <c r="AC5801">
        <v>12.8889</v>
      </c>
      <c r="AD5801">
        <v>-1.1094705517849901</v>
      </c>
      <c r="AE5801">
        <v>0.76228000000000395</v>
      </c>
      <c r="AF5801">
        <v>-1.0345702273583699</v>
      </c>
      <c r="AG5801">
        <v>-1.1094705517849901</v>
      </c>
      <c r="AH5801">
        <v>12.774961040285</v>
      </c>
      <c r="AI5801">
        <v>94.947411891999096</v>
      </c>
      <c r="AJ5801">
        <v>94.629949774337405</v>
      </c>
      <c r="AK5801">
        <v>12.864714922664101</v>
      </c>
      <c r="AL5801">
        <v>75.771552384756504</v>
      </c>
      <c r="AM5801">
        <v>94.213806429003597</v>
      </c>
      <c r="AN5801">
        <v>1.0000000421078601</v>
      </c>
    </row>
    <row r="5802" spans="1:40" x14ac:dyDescent="0.25">
      <c r="A5802" t="str">
        <f>"20190312172821583"</f>
        <v>20190312172821583</v>
      </c>
      <c r="B5802" t="str">
        <f>"1552382901574942"</f>
        <v>1552382901574942</v>
      </c>
      <c r="C5802" t="s">
        <v>40</v>
      </c>
      <c r="D5802">
        <v>3.5817209999999999</v>
      </c>
      <c r="E5802">
        <v>0.50460579999999999</v>
      </c>
      <c r="F5802" t="s">
        <v>61</v>
      </c>
      <c r="G5802">
        <v>-215.0437</v>
      </c>
      <c r="H5802" s="1">
        <v>-1.478641E-6</v>
      </c>
      <c r="I5802">
        <v>-61.683590000000002</v>
      </c>
      <c r="J5802">
        <v>-227.93639999999999</v>
      </c>
      <c r="K5802">
        <v>1.109478</v>
      </c>
      <c r="L5802">
        <v>-62.452669999999998</v>
      </c>
      <c r="M5802">
        <v>0.99965199999999999</v>
      </c>
      <c r="N5802">
        <v>0</v>
      </c>
      <c r="O5802">
        <v>-2.2106649999999999E-2</v>
      </c>
      <c r="P5802">
        <v>0.97128800000000004</v>
      </c>
      <c r="Q5802">
        <v>0.2323084</v>
      </c>
      <c r="R5802">
        <v>5.131115E-2</v>
      </c>
      <c r="S5802">
        <v>3.142242</v>
      </c>
      <c r="T5802">
        <v>-0.26698889999999997</v>
      </c>
      <c r="U5802">
        <v>0.18411250000000001</v>
      </c>
      <c r="V5802">
        <v>-7.2338979999999997E-2</v>
      </c>
      <c r="W5802">
        <v>0.2463738</v>
      </c>
      <c r="X5802">
        <v>0.96647139999999998</v>
      </c>
      <c r="Y5802">
        <v>-8.0181760000000005E-2</v>
      </c>
      <c r="Z5802">
        <v>5.2711590000000001E-3</v>
      </c>
      <c r="AA5802">
        <v>0.99676629999999999</v>
      </c>
      <c r="AB5802">
        <v>34</v>
      </c>
      <c r="AC5802">
        <v>12.8926999999999</v>
      </c>
      <c r="AD5802">
        <v>-1.109479478641</v>
      </c>
      <c r="AE5802">
        <v>0.76907999999999499</v>
      </c>
      <c r="AF5802">
        <v>-1.0462157319615299</v>
      </c>
      <c r="AG5802">
        <v>-1.109479478641</v>
      </c>
      <c r="AH5802">
        <v>12.7782520315535</v>
      </c>
      <c r="AI5802">
        <v>94.945829107633401</v>
      </c>
      <c r="AJ5802">
        <v>94.680635367266703</v>
      </c>
      <c r="AK5802">
        <v>12.868925248568001</v>
      </c>
      <c r="AL5802">
        <v>75.736964018127097</v>
      </c>
      <c r="AM5802">
        <v>94.280524151873394</v>
      </c>
      <c r="AN5802">
        <v>0.99999997218591896</v>
      </c>
    </row>
    <row r="5803" spans="1:40" x14ac:dyDescent="0.25">
      <c r="A5803" t="str">
        <f>"20190312172821594"</f>
        <v>20190312172821594</v>
      </c>
      <c r="B5803" t="str">
        <f>"1552382901585679"</f>
        <v>1552382901585679</v>
      </c>
      <c r="C5803" t="s">
        <v>40</v>
      </c>
      <c r="D5803">
        <v>3.6299600000000001</v>
      </c>
      <c r="E5803">
        <v>0.50462390000000001</v>
      </c>
      <c r="F5803" t="s">
        <v>61</v>
      </c>
      <c r="G5803">
        <v>-214.81039999999999</v>
      </c>
      <c r="H5803" s="1">
        <v>-1.3787809999999999E-6</v>
      </c>
      <c r="I5803">
        <v>-61.684480000000001</v>
      </c>
      <c r="J5803">
        <v>-227.7672</v>
      </c>
      <c r="K5803">
        <v>1.1094850000000001</v>
      </c>
      <c r="L5803">
        <v>-62.456760000000003</v>
      </c>
      <c r="M5803">
        <v>0.99964330000000001</v>
      </c>
      <c r="N5803">
        <v>0</v>
      </c>
      <c r="O5803">
        <v>-2.2492939999999999E-2</v>
      </c>
      <c r="P5803">
        <v>0.97109559999999995</v>
      </c>
      <c r="Q5803">
        <v>0.2328779</v>
      </c>
      <c r="R5803">
        <v>5.2359759999999998E-2</v>
      </c>
      <c r="S5803">
        <v>3.1425169999999998</v>
      </c>
      <c r="T5803">
        <v>-0.26562150000000001</v>
      </c>
      <c r="U5803">
        <v>0.1838989</v>
      </c>
      <c r="V5803">
        <v>-7.3757240000000002E-2</v>
      </c>
      <c r="W5803">
        <v>0.2469528</v>
      </c>
      <c r="X5803">
        <v>0.96621639999999998</v>
      </c>
      <c r="Y5803">
        <v>-8.0495650000000002E-2</v>
      </c>
      <c r="Z5803">
        <v>5.2896180000000003E-3</v>
      </c>
      <c r="AA5803">
        <v>0.99674090000000004</v>
      </c>
      <c r="AB5803">
        <v>34</v>
      </c>
      <c r="AC5803">
        <v>12.956799999999999</v>
      </c>
      <c r="AD5803">
        <v>-1.1094863787809901</v>
      </c>
      <c r="AE5803">
        <v>0.77227999999998698</v>
      </c>
      <c r="AF5803">
        <v>-1.0558368648101</v>
      </c>
      <c r="AG5803">
        <v>-1.1094863787809901</v>
      </c>
      <c r="AH5803">
        <v>12.8423164804884</v>
      </c>
      <c r="AI5803">
        <v>94.921172565911206</v>
      </c>
      <c r="AJ5803">
        <v>94.700027719735999</v>
      </c>
      <c r="AK5803">
        <v>12.9333230105343</v>
      </c>
      <c r="AL5803">
        <v>75.702732057327907</v>
      </c>
      <c r="AM5803">
        <v>94.365273234492804</v>
      </c>
      <c r="AN5803">
        <v>0.99999997375460803</v>
      </c>
    </row>
    <row r="5804" spans="1:40" x14ac:dyDescent="0.25">
      <c r="A5804" t="str">
        <f>"20190312172821606"</f>
        <v>20190312172821606</v>
      </c>
      <c r="B5804" t="str">
        <f>"1552382901595438"</f>
        <v>1552382901595438</v>
      </c>
      <c r="C5804" t="s">
        <v>40</v>
      </c>
      <c r="D5804">
        <v>3.6027209999999998</v>
      </c>
      <c r="E5804">
        <v>0.50467959999999901</v>
      </c>
      <c r="F5804" t="s">
        <v>61</v>
      </c>
      <c r="G5804">
        <v>-214.5898</v>
      </c>
      <c r="H5804" s="1">
        <v>-1.281409E-6</v>
      </c>
      <c r="I5804">
        <v>-61.67409</v>
      </c>
      <c r="J5804">
        <v>-227.59389999999999</v>
      </c>
      <c r="K5804">
        <v>1.1094930000000001</v>
      </c>
      <c r="L5804">
        <v>-62.461030000000001</v>
      </c>
      <c r="M5804">
        <v>0.99963429999999998</v>
      </c>
      <c r="N5804">
        <v>0</v>
      </c>
      <c r="O5804">
        <v>-2.2889E-2</v>
      </c>
      <c r="P5804">
        <v>0.97092869999999998</v>
      </c>
      <c r="Q5804">
        <v>0.23338039999999999</v>
      </c>
      <c r="R5804">
        <v>5.3208480000000002E-2</v>
      </c>
      <c r="S5804">
        <v>3.1426850000000002</v>
      </c>
      <c r="T5804">
        <v>-0.2646017</v>
      </c>
      <c r="U5804">
        <v>0.18664549999999999</v>
      </c>
      <c r="V5804">
        <v>-7.4985049999999998E-2</v>
      </c>
      <c r="W5804">
        <v>0.24746480000000001</v>
      </c>
      <c r="X5804">
        <v>0.96599089999999999</v>
      </c>
      <c r="Y5804">
        <v>-8.1752499999999895E-2</v>
      </c>
      <c r="Z5804">
        <v>5.3550079999999996E-3</v>
      </c>
      <c r="AA5804">
        <v>0.99663829999999998</v>
      </c>
      <c r="AB5804">
        <v>34</v>
      </c>
      <c r="AC5804">
        <v>13.0040999999999</v>
      </c>
      <c r="AD5804">
        <v>-1.1094942814090001</v>
      </c>
      <c r="AE5804">
        <v>0.78694000000000797</v>
      </c>
      <c r="AF5804">
        <v>-1.07660714848325</v>
      </c>
      <c r="AG5804">
        <v>-1.1094942814090001</v>
      </c>
      <c r="AH5804">
        <v>12.8891962703636</v>
      </c>
      <c r="AI5804">
        <v>94.902868702517594</v>
      </c>
      <c r="AJ5804">
        <v>94.774710940263503</v>
      </c>
      <c r="AK5804">
        <v>12.981580836269501</v>
      </c>
      <c r="AL5804">
        <v>75.672457357321207</v>
      </c>
      <c r="AM5804">
        <v>94.438684237104596</v>
      </c>
      <c r="AN5804">
        <v>1.00000000192267</v>
      </c>
    </row>
    <row r="5805" spans="1:40" x14ac:dyDescent="0.25">
      <c r="A5805" t="str">
        <f>"20190312172821616"</f>
        <v>20190312172821616</v>
      </c>
      <c r="B5805" t="str">
        <f>"1552382901605198"</f>
        <v>1552382901605198</v>
      </c>
      <c r="C5805" t="s">
        <v>40</v>
      </c>
      <c r="D5805">
        <v>3.564708</v>
      </c>
      <c r="E5805">
        <v>0.50483999999999996</v>
      </c>
      <c r="F5805" t="s">
        <v>61</v>
      </c>
      <c r="G5805">
        <v>-214.42429999999999</v>
      </c>
      <c r="H5805" s="1">
        <v>-1.209521E-6</v>
      </c>
      <c r="I5805">
        <v>-61.670879999999997</v>
      </c>
      <c r="J5805">
        <v>-227.4306</v>
      </c>
      <c r="K5805">
        <v>1.1095010000000001</v>
      </c>
      <c r="L5805">
        <v>-62.465150000000001</v>
      </c>
      <c r="M5805">
        <v>0.99962530000000005</v>
      </c>
      <c r="N5805">
        <v>0</v>
      </c>
      <c r="O5805">
        <v>-2.3261810000000001E-2</v>
      </c>
      <c r="P5805">
        <v>0.9707268</v>
      </c>
      <c r="Q5805">
        <v>0.23399310000000001</v>
      </c>
      <c r="R5805">
        <v>5.4191549999999998E-2</v>
      </c>
      <c r="S5805">
        <v>3.1431429999999998</v>
      </c>
      <c r="T5805">
        <v>-0.26479819999999998</v>
      </c>
      <c r="U5805">
        <v>0.18856809999999999</v>
      </c>
      <c r="V5805">
        <v>-7.6324399999999903E-2</v>
      </c>
      <c r="W5805">
        <v>0.24808469999999999</v>
      </c>
      <c r="X5805">
        <v>0.965727</v>
      </c>
      <c r="Y5805">
        <v>-8.2717879999999994E-2</v>
      </c>
      <c r="Z5805">
        <v>5.4299889999999996E-3</v>
      </c>
      <c r="AA5805">
        <v>0.99655819999999995</v>
      </c>
      <c r="AB5805">
        <v>34</v>
      </c>
      <c r="AC5805">
        <v>13.0063</v>
      </c>
      <c r="AD5805">
        <v>-1.1095022095209901</v>
      </c>
      <c r="AE5805">
        <v>0.79426999999999703</v>
      </c>
      <c r="AF5805">
        <v>-1.0887433200594001</v>
      </c>
      <c r="AG5805">
        <v>-1.1095022095209901</v>
      </c>
      <c r="AH5805">
        <v>12.8908444060944</v>
      </c>
      <c r="AI5805">
        <v>94.901901067894798</v>
      </c>
      <c r="AJ5805">
        <v>94.827666954053598</v>
      </c>
      <c r="AK5805">
        <v>12.984229922180299</v>
      </c>
      <c r="AL5805">
        <v>75.635797025166397</v>
      </c>
      <c r="AM5805">
        <v>94.518870141800207</v>
      </c>
      <c r="AN5805">
        <v>1.00000003546922</v>
      </c>
    </row>
    <row r="5806" spans="1:40" x14ac:dyDescent="0.25">
      <c r="A5806" t="str">
        <f>"20190312172821628"</f>
        <v>20190312172821628</v>
      </c>
      <c r="B5806" t="str">
        <f>"1552382901625695"</f>
        <v>1552382901625695</v>
      </c>
      <c r="C5806" t="s">
        <v>40</v>
      </c>
      <c r="D5806">
        <v>3.5625629999999999</v>
      </c>
      <c r="E5806">
        <v>0.50510370000000004</v>
      </c>
      <c r="F5806" t="s">
        <v>61</v>
      </c>
      <c r="G5806">
        <v>-214.1908</v>
      </c>
      <c r="H5806" s="1">
        <v>-1.1081199999999999E-6</v>
      </c>
      <c r="I5806">
        <v>-61.66621</v>
      </c>
      <c r="J5806">
        <v>-227.26570000000001</v>
      </c>
      <c r="K5806">
        <v>1.109515</v>
      </c>
      <c r="L5806">
        <v>-62.469329999999999</v>
      </c>
      <c r="M5806">
        <v>0.99961639999999996</v>
      </c>
      <c r="N5806">
        <v>0</v>
      </c>
      <c r="O5806">
        <v>-2.3638780000000002E-2</v>
      </c>
      <c r="P5806">
        <v>0.97051540000000003</v>
      </c>
      <c r="Q5806">
        <v>0.23454849999999999</v>
      </c>
      <c r="R5806">
        <v>5.5559049999999999E-2</v>
      </c>
      <c r="S5806">
        <v>3.1433559999999998</v>
      </c>
      <c r="T5806">
        <v>-0.26341330000000002</v>
      </c>
      <c r="U5806">
        <v>0.18966669999999999</v>
      </c>
      <c r="V5806">
        <v>-7.8051480000000006E-2</v>
      </c>
      <c r="W5806">
        <v>0.24864729999999999</v>
      </c>
      <c r="X5806">
        <v>0.96544419999999997</v>
      </c>
      <c r="Y5806">
        <v>-8.343681E-2</v>
      </c>
      <c r="Z5806">
        <v>5.4628300000000001E-3</v>
      </c>
      <c r="AA5806">
        <v>0.99649810000000005</v>
      </c>
      <c r="AB5806">
        <v>34</v>
      </c>
      <c r="AC5806">
        <v>13.0749</v>
      </c>
      <c r="AD5806">
        <v>-1.10951610812</v>
      </c>
      <c r="AE5806">
        <v>0.80312000000000605</v>
      </c>
      <c r="AF5806">
        <v>-1.10408184075053</v>
      </c>
      <c r="AG5806">
        <v>-1.10951610812</v>
      </c>
      <c r="AH5806">
        <v>12.959290321280401</v>
      </c>
      <c r="AI5806">
        <v>94.875895672473305</v>
      </c>
      <c r="AJ5806">
        <v>94.869621557076599</v>
      </c>
      <c r="AK5806">
        <v>13.0534757186155</v>
      </c>
      <c r="AL5806">
        <v>75.602519318598894</v>
      </c>
      <c r="AM5806">
        <v>94.622033535869903</v>
      </c>
      <c r="AN5806">
        <v>1.00000000832056</v>
      </c>
    </row>
    <row r="5807" spans="1:40" x14ac:dyDescent="0.25">
      <c r="A5807" t="str">
        <f>"20190312172821640"</f>
        <v>20190312172821640</v>
      </c>
      <c r="B5807" t="str">
        <f>"1552382901635455"</f>
        <v>1552382901635455</v>
      </c>
      <c r="C5807" t="s">
        <v>40</v>
      </c>
      <c r="D5807">
        <v>3.558894</v>
      </c>
      <c r="E5807">
        <v>0.50526859999999996</v>
      </c>
      <c r="F5807" t="s">
        <v>61</v>
      </c>
      <c r="G5807">
        <v>-214.05629999999999</v>
      </c>
      <c r="H5807" s="1">
        <v>-1.0506740000000001E-6</v>
      </c>
      <c r="I5807">
        <v>-61.667140000000003</v>
      </c>
      <c r="J5807">
        <v>-227.08359999999999</v>
      </c>
      <c r="K5807">
        <v>1.109524</v>
      </c>
      <c r="L5807">
        <v>-62.474029999999999</v>
      </c>
      <c r="M5807">
        <v>0.99960629999999995</v>
      </c>
      <c r="N5807">
        <v>0</v>
      </c>
      <c r="O5807">
        <v>-2.4055090000000001E-2</v>
      </c>
      <c r="P5807">
        <v>0.97034529999999997</v>
      </c>
      <c r="Q5807">
        <v>0.23498189999999999</v>
      </c>
      <c r="R5807">
        <v>5.6688519999999999E-2</v>
      </c>
      <c r="S5807">
        <v>3.144028</v>
      </c>
      <c r="T5807">
        <v>-0.26408090000000001</v>
      </c>
      <c r="U5807">
        <v>0.190918</v>
      </c>
      <c r="V5807">
        <v>-7.9579689999999995E-2</v>
      </c>
      <c r="W5807">
        <v>0.2490879</v>
      </c>
      <c r="X5807">
        <v>0.9652058</v>
      </c>
      <c r="Y5807">
        <v>-8.4228140000000007E-2</v>
      </c>
      <c r="Z5807">
        <v>5.5434280000000004E-3</v>
      </c>
      <c r="AA5807">
        <v>0.99643110000000001</v>
      </c>
      <c r="AB5807">
        <v>34</v>
      </c>
      <c r="AC5807">
        <v>13.027299999999901</v>
      </c>
      <c r="AD5807">
        <v>-1.109525050674</v>
      </c>
      <c r="AE5807">
        <v>0.80689000000000199</v>
      </c>
      <c r="AF5807">
        <v>-1.1120264420167401</v>
      </c>
      <c r="AG5807">
        <v>-1.109525050674</v>
      </c>
      <c r="AH5807">
        <v>12.910823147569699</v>
      </c>
      <c r="AI5807">
        <v>94.893762968508497</v>
      </c>
      <c r="AJ5807">
        <v>94.922812535563494</v>
      </c>
      <c r="AK5807">
        <v>13.006037174852199</v>
      </c>
      <c r="AL5807">
        <v>75.576454216398105</v>
      </c>
      <c r="AM5807">
        <v>94.713285696489805</v>
      </c>
      <c r="AN5807">
        <v>0.99999997267027196</v>
      </c>
    </row>
    <row r="5808" spans="1:40" x14ac:dyDescent="0.25">
      <c r="A5808" t="str">
        <f>"20190312172821653"</f>
        <v>20190312172821653</v>
      </c>
      <c r="B5808" t="str">
        <f>"1552382901645215"</f>
        <v>1552382901645215</v>
      </c>
      <c r="C5808" t="s">
        <v>40</v>
      </c>
      <c r="D5808">
        <v>3.5678459999999999</v>
      </c>
      <c r="E5808">
        <v>0.50541329999999995</v>
      </c>
      <c r="F5808" t="s">
        <v>61</v>
      </c>
      <c r="G5808">
        <v>-213.84889999999999</v>
      </c>
      <c r="H5808" s="1">
        <v>-9.6077499999999992E-7</v>
      </c>
      <c r="I5808">
        <v>-61.663690000000003</v>
      </c>
      <c r="J5808">
        <v>-226.90549999999999</v>
      </c>
      <c r="K5808">
        <v>1.109534</v>
      </c>
      <c r="L5808">
        <v>-62.478700000000003</v>
      </c>
      <c r="M5808">
        <v>0.99959640000000005</v>
      </c>
      <c r="N5808">
        <v>0</v>
      </c>
      <c r="O5808">
        <v>-2.4462089999999999E-2</v>
      </c>
      <c r="P5808">
        <v>0.97022209999999998</v>
      </c>
      <c r="Q5808">
        <v>0.23516300000000001</v>
      </c>
      <c r="R5808">
        <v>5.8032889999999997E-2</v>
      </c>
      <c r="S5808">
        <v>3.144272</v>
      </c>
      <c r="T5808">
        <v>-0.26359890000000002</v>
      </c>
      <c r="U5808">
        <v>0.19250490000000001</v>
      </c>
      <c r="V5808">
        <v>-8.1315199999999893E-2</v>
      </c>
      <c r="W5808">
        <v>0.24927679999999999</v>
      </c>
      <c r="X5808">
        <v>0.96501239999999999</v>
      </c>
      <c r="Y5808">
        <v>-8.5127079999999994E-2</v>
      </c>
      <c r="Z5808">
        <v>5.604454E-3</v>
      </c>
      <c r="AA5808">
        <v>0.99635430000000003</v>
      </c>
      <c r="AB5808">
        <v>34</v>
      </c>
      <c r="AC5808">
        <v>13.0566</v>
      </c>
      <c r="AD5808">
        <v>-1.109534960775</v>
      </c>
      <c r="AE5808">
        <v>0.81501000000000001</v>
      </c>
      <c r="AF5808">
        <v>-1.1260907169791401</v>
      </c>
      <c r="AG5808">
        <v>-1.109534960775</v>
      </c>
      <c r="AH5808">
        <v>12.939673217434599</v>
      </c>
      <c r="AI5808">
        <v>94.882574462649998</v>
      </c>
      <c r="AJ5808">
        <v>94.973703574656597</v>
      </c>
      <c r="AK5808">
        <v>13.035884745810099</v>
      </c>
      <c r="AL5808">
        <v>75.565279051651103</v>
      </c>
      <c r="AM5808">
        <v>94.816557462700402</v>
      </c>
      <c r="AN5808">
        <v>1.0000000084615199</v>
      </c>
    </row>
    <row r="5809" spans="1:40" x14ac:dyDescent="0.25">
      <c r="A5809" t="str">
        <f>"20190312172821665"</f>
        <v>20190312172821665</v>
      </c>
      <c r="B5809" t="str">
        <f>"1552382901654975"</f>
        <v>1552382901654975</v>
      </c>
      <c r="C5809" t="s">
        <v>40</v>
      </c>
      <c r="D5809">
        <v>3.6392530000000001</v>
      </c>
      <c r="E5809">
        <v>0.50544960000000005</v>
      </c>
      <c r="F5809" t="s">
        <v>61</v>
      </c>
      <c r="G5809">
        <v>-213.6841</v>
      </c>
      <c r="H5809" s="1">
        <v>-8.8867549999999896E-7</v>
      </c>
      <c r="I5809">
        <v>-61.658410000000003</v>
      </c>
      <c r="J5809">
        <v>-226.6987</v>
      </c>
      <c r="K5809">
        <v>1.109545</v>
      </c>
      <c r="L5809">
        <v>-62.484219999999901</v>
      </c>
      <c r="M5809">
        <v>0.99958469999999999</v>
      </c>
      <c r="N5809">
        <v>0</v>
      </c>
      <c r="O5809">
        <v>-2.4934899999999999E-2</v>
      </c>
      <c r="P5809">
        <v>0.97009029999999996</v>
      </c>
      <c r="Q5809">
        <v>0.23540700000000001</v>
      </c>
      <c r="R5809">
        <v>5.9235830000000003E-2</v>
      </c>
      <c r="S5809">
        <v>3.1443479999999999</v>
      </c>
      <c r="T5809">
        <v>-0.26387240000000001</v>
      </c>
      <c r="U5809">
        <v>0.1950684</v>
      </c>
      <c r="V5809">
        <v>-8.2972989999999996E-2</v>
      </c>
      <c r="W5809">
        <v>0.249528</v>
      </c>
      <c r="X5809">
        <v>0.96480630000000001</v>
      </c>
      <c r="Y5809">
        <v>-8.6399149999999994E-2</v>
      </c>
      <c r="Z5809">
        <v>5.7027909999999996E-3</v>
      </c>
      <c r="AA5809">
        <v>0.99624429999999997</v>
      </c>
      <c r="AB5809">
        <v>34</v>
      </c>
      <c r="AC5809">
        <v>13.0146</v>
      </c>
      <c r="AD5809">
        <v>-1.1095458886755001</v>
      </c>
      <c r="AE5809">
        <v>0.82580999999999705</v>
      </c>
      <c r="AF5809">
        <v>-1.1418389259144399</v>
      </c>
      <c r="AG5809">
        <v>-1.1095458886755001</v>
      </c>
      <c r="AH5809">
        <v>12.896599366954099</v>
      </c>
      <c r="AI5809">
        <v>94.898208789696994</v>
      </c>
      <c r="AJ5809">
        <v>95.059659563423693</v>
      </c>
      <c r="AK5809">
        <v>12.994505124995399</v>
      </c>
      <c r="AL5809">
        <v>75.550416106115605</v>
      </c>
      <c r="AM5809">
        <v>94.915322148620405</v>
      </c>
      <c r="AN5809">
        <v>0.99999996818661396</v>
      </c>
    </row>
    <row r="5810" spans="1:40" x14ac:dyDescent="0.25">
      <c r="A5810" t="str">
        <f>"20190312172821678"</f>
        <v>20190312172821678</v>
      </c>
      <c r="B5810" t="str">
        <f>"1552382901675470"</f>
        <v>1552382901675470</v>
      </c>
      <c r="C5810" t="s">
        <v>40</v>
      </c>
      <c r="D5810">
        <v>3.5732200000000001</v>
      </c>
      <c r="E5810">
        <v>0.50565360000000004</v>
      </c>
      <c r="F5810" t="s">
        <v>61</v>
      </c>
      <c r="G5810">
        <v>-213.5155</v>
      </c>
      <c r="H5810" s="1">
        <v>-8.1521479999999995E-7</v>
      </c>
      <c r="I5810">
        <v>-61.654220000000002</v>
      </c>
      <c r="J5810">
        <v>-226.51310000000001</v>
      </c>
      <c r="K5810">
        <v>1.1095520000000001</v>
      </c>
      <c r="L5810">
        <v>-62.489289999999997</v>
      </c>
      <c r="M5810">
        <v>0.99957390000000002</v>
      </c>
      <c r="N5810">
        <v>0</v>
      </c>
      <c r="O5810">
        <v>-2.535917E-2</v>
      </c>
      <c r="P5810">
        <v>0.96993439999999997</v>
      </c>
      <c r="Q5810">
        <v>0.23577429999999999</v>
      </c>
      <c r="R5810">
        <v>6.0316799999999997E-2</v>
      </c>
      <c r="S5810">
        <v>3.144638</v>
      </c>
      <c r="T5810">
        <v>-0.26466289999999998</v>
      </c>
      <c r="U5810">
        <v>0.19796749999999999</v>
      </c>
      <c r="V5810">
        <v>-8.4460149999999998E-2</v>
      </c>
      <c r="W5810">
        <v>0.2499006</v>
      </c>
      <c r="X5810">
        <v>0.96458080000000002</v>
      </c>
      <c r="Y5810">
        <v>-8.7722750000000002E-2</v>
      </c>
      <c r="Z5810">
        <v>5.8102989999999997E-3</v>
      </c>
      <c r="AA5810">
        <v>0.99612800000000001</v>
      </c>
      <c r="AB5810">
        <v>34</v>
      </c>
      <c r="AC5810">
        <v>12.9976</v>
      </c>
      <c r="AD5810">
        <v>-1.1095528152148</v>
      </c>
      <c r="AE5810">
        <v>0.83507000000000797</v>
      </c>
      <c r="AF5810">
        <v>-1.15605423552649</v>
      </c>
      <c r="AG5810">
        <v>-1.1095528152148</v>
      </c>
      <c r="AH5810">
        <v>12.8787739410668</v>
      </c>
      <c r="AI5810">
        <v>94.904456386239005</v>
      </c>
      <c r="AJ5810">
        <v>95.129368645434198</v>
      </c>
      <c r="AK5810">
        <v>12.9780733188841</v>
      </c>
      <c r="AL5810">
        <v>75.528369318677505</v>
      </c>
      <c r="AM5810">
        <v>95.004141984181601</v>
      </c>
      <c r="AN5810">
        <v>0.99999997327350998</v>
      </c>
    </row>
    <row r="5811" spans="1:40" x14ac:dyDescent="0.25">
      <c r="A5811" t="str">
        <f>"20190312172821696"</f>
        <v>20190312172821696</v>
      </c>
      <c r="B5811" t="str">
        <f>"1552382901685231"</f>
        <v>1552382901685231</v>
      </c>
      <c r="C5811" t="s">
        <v>40</v>
      </c>
      <c r="D5811">
        <v>3.59253</v>
      </c>
      <c r="E5811">
        <v>0.50583199999999995</v>
      </c>
      <c r="F5811" t="s">
        <v>61</v>
      </c>
      <c r="G5811">
        <v>-213.386</v>
      </c>
      <c r="H5811" s="1">
        <v>-7.6040399999999996E-7</v>
      </c>
      <c r="I5811">
        <v>-61.656869999999998</v>
      </c>
      <c r="J5811">
        <v>-226.239</v>
      </c>
      <c r="K5811">
        <v>1.1095680000000001</v>
      </c>
      <c r="L5811">
        <v>-62.496859999999998</v>
      </c>
      <c r="M5811">
        <v>0.99955760000000005</v>
      </c>
      <c r="N5811">
        <v>0</v>
      </c>
      <c r="O5811">
        <v>-2.5985500000000002E-2</v>
      </c>
      <c r="P5811">
        <v>0.96951469999999995</v>
      </c>
      <c r="Q5811">
        <v>0.23670269999999999</v>
      </c>
      <c r="R5811">
        <v>6.3349199999999994E-2</v>
      </c>
      <c r="S5811">
        <v>3.1452330000000002</v>
      </c>
      <c r="T5811">
        <v>-0.26584829999999998</v>
      </c>
      <c r="U5811">
        <v>0.19943240000000001</v>
      </c>
      <c r="V5811">
        <v>-8.8087230000000002E-2</v>
      </c>
      <c r="W5811">
        <v>0.25083499999999997</v>
      </c>
      <c r="X5811">
        <v>0.96401369999999997</v>
      </c>
      <c r="Y5811">
        <v>-8.8787710000000006E-2</v>
      </c>
      <c r="Z5811">
        <v>5.9327410000000001E-3</v>
      </c>
      <c r="AA5811">
        <v>0.9960329</v>
      </c>
      <c r="AB5811">
        <v>34</v>
      </c>
      <c r="AC5811">
        <v>12.853</v>
      </c>
      <c r="AD5811">
        <v>-1.1095687604039901</v>
      </c>
      <c r="AE5811">
        <v>0.83999000000000001</v>
      </c>
      <c r="AF5811">
        <v>-1.1650870585971</v>
      </c>
      <c r="AG5811">
        <v>-1.1095687604039901</v>
      </c>
      <c r="AH5811">
        <v>12.7323453470964</v>
      </c>
      <c r="AI5811">
        <v>94.959878462779301</v>
      </c>
      <c r="AJ5811">
        <v>95.228351872960502</v>
      </c>
      <c r="AK5811">
        <v>12.833596094856</v>
      </c>
      <c r="AL5811">
        <v>75.473071110874201</v>
      </c>
      <c r="AM5811">
        <v>95.220931793925104</v>
      </c>
      <c r="AN5811">
        <v>0.99999998555088099</v>
      </c>
    </row>
    <row r="5812" spans="1:40" x14ac:dyDescent="0.25">
      <c r="A5812" t="str">
        <f>"20190312172821708"</f>
        <v>20190312172821708</v>
      </c>
      <c r="B5812" t="str">
        <f>"1552382901705727"</f>
        <v>1552382901705727</v>
      </c>
      <c r="C5812" t="s">
        <v>40</v>
      </c>
      <c r="D5812">
        <v>3.6536710000000001</v>
      </c>
      <c r="E5812">
        <v>0.50587839999999995</v>
      </c>
      <c r="F5812" t="s">
        <v>61</v>
      </c>
      <c r="G5812">
        <v>-213.01740000000001</v>
      </c>
      <c r="H5812" s="1">
        <v>-5.9363009999999899E-7</v>
      </c>
      <c r="I5812">
        <v>-61.62444</v>
      </c>
      <c r="J5812">
        <v>-226.06450000000001</v>
      </c>
      <c r="K5812">
        <v>1.1095759999999999</v>
      </c>
      <c r="L5812">
        <v>-62.501769999999901</v>
      </c>
      <c r="M5812">
        <v>0.99954719999999997</v>
      </c>
      <c r="N5812">
        <v>0</v>
      </c>
      <c r="O5812">
        <v>-2.6384009999999999E-2</v>
      </c>
      <c r="P5812">
        <v>0.96922889999999995</v>
      </c>
      <c r="Q5812">
        <v>0.23751269999999999</v>
      </c>
      <c r="R5812">
        <v>6.467821E-2</v>
      </c>
      <c r="S5812">
        <v>3.1452179999999998</v>
      </c>
      <c r="T5812">
        <v>-0.26394899999999999</v>
      </c>
      <c r="U5812">
        <v>0.2075195</v>
      </c>
      <c r="V5812">
        <v>-8.9792709999999998E-2</v>
      </c>
      <c r="W5812">
        <v>0.25164730000000002</v>
      </c>
      <c r="X5812">
        <v>0.96364459999999996</v>
      </c>
      <c r="Y5812">
        <v>-9.1729279999999996E-2</v>
      </c>
      <c r="Z5812">
        <v>6.0465029999999999E-3</v>
      </c>
      <c r="AA5812">
        <v>0.99576560000000003</v>
      </c>
      <c r="AB5812">
        <v>34</v>
      </c>
      <c r="AC5812">
        <v>13.0471</v>
      </c>
      <c r="AD5812">
        <v>-1.1095765936301001</v>
      </c>
      <c r="AE5812">
        <v>0.87732999999999295</v>
      </c>
      <c r="AF5812">
        <v>-1.21256500101022</v>
      </c>
      <c r="AG5812">
        <v>-1.1095765936301001</v>
      </c>
      <c r="AH5812">
        <v>12.926338683292499</v>
      </c>
      <c r="AI5812">
        <v>94.884812851185004</v>
      </c>
      <c r="AJ5812">
        <v>95.358991902432095</v>
      </c>
      <c r="AK5812">
        <v>13.0304146462801</v>
      </c>
      <c r="AL5812">
        <v>75.424987726043</v>
      </c>
      <c r="AM5812">
        <v>95.323467322065099</v>
      </c>
      <c r="AN5812">
        <v>1.0000000047377899</v>
      </c>
    </row>
    <row r="5813" spans="1:40" x14ac:dyDescent="0.25">
      <c r="A5813" t="str">
        <f>"20190312172821719"</f>
        <v>20190312172821719</v>
      </c>
      <c r="B5813" t="str">
        <f>"1552382901715487"</f>
        <v>1552382901715487</v>
      </c>
      <c r="C5813" t="s">
        <v>40</v>
      </c>
      <c r="D5813">
        <v>3.6512989999999999</v>
      </c>
      <c r="E5813">
        <v>0.49577559999999898</v>
      </c>
      <c r="F5813" t="s">
        <v>61</v>
      </c>
      <c r="G5813">
        <v>-212.761</v>
      </c>
      <c r="H5813" s="1">
        <v>-4.788125E-7</v>
      </c>
      <c r="I5813">
        <v>-61.60633</v>
      </c>
      <c r="J5813">
        <v>-225.89109999999999</v>
      </c>
      <c r="K5813">
        <v>1.109583</v>
      </c>
      <c r="L5813">
        <v>-62.506740000000001</v>
      </c>
      <c r="M5813">
        <v>0.99953650000000005</v>
      </c>
      <c r="N5813">
        <v>0</v>
      </c>
      <c r="O5813">
        <v>-2.6778449999999999E-2</v>
      </c>
      <c r="P5813">
        <v>0.96900220000000004</v>
      </c>
      <c r="Q5813">
        <v>0.2381162</v>
      </c>
      <c r="R5813">
        <v>6.5844310000000003E-2</v>
      </c>
      <c r="S5813">
        <v>3.145416</v>
      </c>
      <c r="T5813">
        <v>-0.26234289999999999</v>
      </c>
      <c r="U5813">
        <v>0.21170040000000001</v>
      </c>
      <c r="V5813">
        <v>-9.1334509999999994E-2</v>
      </c>
      <c r="W5813">
        <v>0.25225229999999998</v>
      </c>
      <c r="X5813">
        <v>0.96334149999999996</v>
      </c>
      <c r="Y5813">
        <v>-9.3433520000000006E-2</v>
      </c>
      <c r="Z5813">
        <v>6.1128880000000003E-3</v>
      </c>
      <c r="AA5813">
        <v>0.99560680000000001</v>
      </c>
      <c r="AB5813">
        <v>34</v>
      </c>
      <c r="AC5813">
        <v>13.130100000000001</v>
      </c>
      <c r="AD5813">
        <v>-1.1095834788124901</v>
      </c>
      <c r="AE5813">
        <v>0.90040999999999305</v>
      </c>
      <c r="AF5813">
        <v>-1.2428931739845099</v>
      </c>
      <c r="AG5813">
        <v>-1.1095834788124901</v>
      </c>
      <c r="AH5813">
        <v>13.0088099626178</v>
      </c>
      <c r="AI5813">
        <v>94.853236113040197</v>
      </c>
      <c r="AJ5813">
        <v>95.457611277100298</v>
      </c>
      <c r="AK5813">
        <v>13.1150713144037</v>
      </c>
      <c r="AL5813">
        <v>75.389168639923696</v>
      </c>
      <c r="AM5813">
        <v>95.416029511982501</v>
      </c>
      <c r="AN5813">
        <v>1.0000000305972301</v>
      </c>
    </row>
    <row r="5814" spans="1:40" x14ac:dyDescent="0.25">
      <c r="A5814" t="str">
        <f>"20190312172821733"</f>
        <v>20190312172821733</v>
      </c>
      <c r="B5814" t="str">
        <f>"1552382901725247"</f>
        <v>1552382901725247</v>
      </c>
      <c r="C5814" t="s">
        <v>40</v>
      </c>
      <c r="D5814">
        <v>3.6334270000000002</v>
      </c>
      <c r="E5814">
        <v>0.49602859999999999</v>
      </c>
      <c r="F5814" t="s">
        <v>61</v>
      </c>
      <c r="G5814">
        <v>-210.21510000000001</v>
      </c>
      <c r="H5814" s="1">
        <v>7.6572099999999998E-7</v>
      </c>
      <c r="I5814">
        <v>-61.033799999999999</v>
      </c>
      <c r="J5814">
        <v>-225.7012</v>
      </c>
      <c r="K5814">
        <v>1.109585</v>
      </c>
      <c r="L5814">
        <v>-62.512239999999998</v>
      </c>
      <c r="M5814">
        <v>0.999525</v>
      </c>
      <c r="N5814">
        <v>0</v>
      </c>
      <c r="O5814">
        <v>-2.720912E-2</v>
      </c>
      <c r="P5814">
        <v>0.9687692</v>
      </c>
      <c r="Q5814">
        <v>0.23874139999999999</v>
      </c>
      <c r="R5814">
        <v>6.7001110000000003E-2</v>
      </c>
      <c r="S5814">
        <v>3.1304319999999999</v>
      </c>
      <c r="T5814">
        <v>-0.22157779999999999</v>
      </c>
      <c r="U5814">
        <v>0.29412840000000001</v>
      </c>
      <c r="V5814">
        <v>-9.2900689999999994E-2</v>
      </c>
      <c r="W5814">
        <v>0.25287929999999997</v>
      </c>
      <c r="X5814">
        <v>0.96302730000000003</v>
      </c>
      <c r="Y5814">
        <v>-0.12023789999999999</v>
      </c>
      <c r="Z5814">
        <v>6.1606389999999999E-3</v>
      </c>
      <c r="AA5814">
        <v>0.992726</v>
      </c>
      <c r="AB5814">
        <v>34</v>
      </c>
      <c r="AC5814">
        <v>15.486099999999899</v>
      </c>
      <c r="AD5814">
        <v>-1.1095842342790001</v>
      </c>
      <c r="AE5814">
        <v>1.47844</v>
      </c>
      <c r="AF5814">
        <v>-1.88968620377687</v>
      </c>
      <c r="AG5814">
        <v>-1.1095842342790001</v>
      </c>
      <c r="AH5814">
        <v>15.361981433896901</v>
      </c>
      <c r="AI5814">
        <v>94.100456056777602</v>
      </c>
      <c r="AJ5814">
        <v>97.012757101457794</v>
      </c>
      <c r="AK5814">
        <v>15.5174922167565</v>
      </c>
      <c r="AL5814">
        <v>75.352040465767701</v>
      </c>
      <c r="AM5814">
        <v>95.510121825845303</v>
      </c>
      <c r="AN5814">
        <v>1.00000002955812</v>
      </c>
    </row>
    <row r="5815" spans="1:40" x14ac:dyDescent="0.25">
      <c r="A5815" t="str">
        <f>"20190312172821744"</f>
        <v>20190312172821744</v>
      </c>
      <c r="B5815" t="str">
        <f>"1552382901735007"</f>
        <v>1552382901735007</v>
      </c>
      <c r="C5815" t="s">
        <v>40</v>
      </c>
      <c r="D5815">
        <v>3.6441490000000001</v>
      </c>
      <c r="E5815">
        <v>0.49634859999999997</v>
      </c>
      <c r="F5815" t="s">
        <v>52</v>
      </c>
      <c r="G5815">
        <v>-209.6532</v>
      </c>
      <c r="H5815" s="1">
        <v>-2.7709400000000001E-7</v>
      </c>
      <c r="I5815">
        <v>-60.993789999999997</v>
      </c>
      <c r="J5815">
        <v>-225.51650000000001</v>
      </c>
      <c r="K5815">
        <v>1.1095950000000001</v>
      </c>
      <c r="L5815">
        <v>-62.517699999999998</v>
      </c>
      <c r="M5815">
        <v>0.9995134</v>
      </c>
      <c r="N5815">
        <v>0</v>
      </c>
      <c r="O5815">
        <v>-2.7625219999999999E-2</v>
      </c>
      <c r="P5815">
        <v>0.96861459999999999</v>
      </c>
      <c r="Q5815">
        <v>0.23905699999999999</v>
      </c>
      <c r="R5815">
        <v>6.8099690000000004E-2</v>
      </c>
      <c r="S5815">
        <v>3.1295320000000002</v>
      </c>
      <c r="T5815">
        <v>-0.2163804</v>
      </c>
      <c r="U5815">
        <v>0.29611209999999999</v>
      </c>
      <c r="V5815">
        <v>-9.4399129999999998E-2</v>
      </c>
      <c r="W5815">
        <v>0.2531967</v>
      </c>
      <c r="X5815">
        <v>0.96279809999999999</v>
      </c>
      <c r="Y5815">
        <v>-0.12131459999999999</v>
      </c>
      <c r="Z5815">
        <v>6.0838029999999996E-3</v>
      </c>
      <c r="AA5815">
        <v>0.99259549999999996</v>
      </c>
      <c r="AB5815">
        <v>34</v>
      </c>
      <c r="AC5815">
        <v>15.863300000000001</v>
      </c>
      <c r="AD5815">
        <v>-1.1095952770940001</v>
      </c>
      <c r="AE5815">
        <v>1.5239099999999901</v>
      </c>
      <c r="AF5815">
        <v>-1.95213766529858</v>
      </c>
      <c r="AG5815">
        <v>-1.1095952770940001</v>
      </c>
      <c r="AH5815">
        <v>15.7388415995381</v>
      </c>
      <c r="AI5815">
        <v>94.002138715532993</v>
      </c>
      <c r="AJ5815">
        <v>97.070464140395003</v>
      </c>
      <c r="AK5815">
        <v>15.8982130454519</v>
      </c>
      <c r="AL5815">
        <v>75.333242200959901</v>
      </c>
      <c r="AM5815">
        <v>95.599761334202796</v>
      </c>
      <c r="AN5815">
        <v>0.99999997299962795</v>
      </c>
    </row>
    <row r="5816" spans="1:40" x14ac:dyDescent="0.25">
      <c r="A5816" t="str">
        <f>"20190312172821757"</f>
        <v>20190312172821757</v>
      </c>
      <c r="B5816" t="str">
        <f>"1552382901745742"</f>
        <v>1552382901745742</v>
      </c>
      <c r="C5816" t="s">
        <v>40</v>
      </c>
      <c r="D5816">
        <v>3.6241699999999999</v>
      </c>
      <c r="E5816">
        <v>0.4965793</v>
      </c>
      <c r="F5816" t="s">
        <v>52</v>
      </c>
      <c r="G5816">
        <v>-209.3897</v>
      </c>
      <c r="H5816" s="1">
        <v>-4.432033E-7</v>
      </c>
      <c r="I5816">
        <v>-60.984670000000001</v>
      </c>
      <c r="J5816">
        <v>-225.33199999999999</v>
      </c>
      <c r="K5816">
        <v>1.1096079999999999</v>
      </c>
      <c r="L5816">
        <v>-62.52319</v>
      </c>
      <c r="M5816">
        <v>0.999502</v>
      </c>
      <c r="N5816">
        <v>0</v>
      </c>
      <c r="O5816">
        <v>-2.8032430000000001E-2</v>
      </c>
      <c r="P5816">
        <v>0.96837740000000005</v>
      </c>
      <c r="Q5816">
        <v>0.23969679999999999</v>
      </c>
      <c r="R5816">
        <v>6.92165E-2</v>
      </c>
      <c r="S5816">
        <v>3.1294400000000002</v>
      </c>
      <c r="T5816">
        <v>-0.21531839999999999</v>
      </c>
      <c r="U5816">
        <v>0.29748540000000001</v>
      </c>
      <c r="V5816">
        <v>-9.5905270000000001E-2</v>
      </c>
      <c r="W5816">
        <v>0.25383549999999999</v>
      </c>
      <c r="X5816">
        <v>0.96248100000000003</v>
      </c>
      <c r="Y5816">
        <v>-0.12215380000000001</v>
      </c>
      <c r="Z5816">
        <v>6.1107799999999997E-3</v>
      </c>
      <c r="AA5816">
        <v>0.99249240000000005</v>
      </c>
      <c r="AB5816">
        <v>34</v>
      </c>
      <c r="AC5816">
        <v>15.9422999999999</v>
      </c>
      <c r="AD5816">
        <v>-1.1096084432033</v>
      </c>
      <c r="AE5816">
        <v>1.5385200000000001</v>
      </c>
      <c r="AF5816">
        <v>-1.9753823954849401</v>
      </c>
      <c r="AG5816">
        <v>-1.1096084432033</v>
      </c>
      <c r="AH5816">
        <v>15.8169842704768</v>
      </c>
      <c r="AI5816">
        <v>93.982060463092793</v>
      </c>
      <c r="AJ5816">
        <v>97.118807944630205</v>
      </c>
      <c r="AK5816">
        <v>15.978434151009001</v>
      </c>
      <c r="AL5816">
        <v>75.2954056612719</v>
      </c>
      <c r="AM5816">
        <v>95.690386073790293</v>
      </c>
      <c r="AN5816">
        <v>0.999999978617511</v>
      </c>
    </row>
    <row r="5817" spans="1:40" x14ac:dyDescent="0.25">
      <c r="A5817" t="str">
        <f>"20190312172821768"</f>
        <v>20190312172821768</v>
      </c>
      <c r="B5817" t="str">
        <f>"1552382901765263"</f>
        <v>1552382901765263</v>
      </c>
      <c r="C5817" t="s">
        <v>40</v>
      </c>
      <c r="D5817">
        <v>3.6441479999999999</v>
      </c>
      <c r="E5817">
        <v>0.49706620000000001</v>
      </c>
      <c r="F5817" t="s">
        <v>52</v>
      </c>
      <c r="G5817">
        <v>-209.07069999999999</v>
      </c>
      <c r="H5817" s="1">
        <v>-6.433879E-7</v>
      </c>
      <c r="I5817">
        <v>-60.96611</v>
      </c>
      <c r="J5817">
        <v>-225.16579999999999</v>
      </c>
      <c r="K5817">
        <v>1.109623</v>
      </c>
      <c r="L5817">
        <v>-62.528199999999998</v>
      </c>
      <c r="M5817">
        <v>0.99949180000000004</v>
      </c>
      <c r="N5817">
        <v>0</v>
      </c>
      <c r="O5817">
        <v>-2.8396230000000001E-2</v>
      </c>
      <c r="P5817">
        <v>0.96822229999999998</v>
      </c>
      <c r="Q5817">
        <v>0.23997930000000001</v>
      </c>
      <c r="R5817">
        <v>7.0397379999999996E-2</v>
      </c>
      <c r="S5817">
        <v>3.12941</v>
      </c>
      <c r="T5817">
        <v>-0.21353810000000001</v>
      </c>
      <c r="U5817">
        <v>0.29965209999999998</v>
      </c>
      <c r="V5817">
        <v>-9.7436960000000003E-2</v>
      </c>
      <c r="W5817">
        <v>0.2541177</v>
      </c>
      <c r="X5817">
        <v>0.96225269999999996</v>
      </c>
      <c r="Y5817">
        <v>-0.1231995</v>
      </c>
      <c r="Z5817">
        <v>6.1205390000000004E-3</v>
      </c>
      <c r="AA5817">
        <v>0.992363</v>
      </c>
      <c r="AB5817">
        <v>33</v>
      </c>
      <c r="AC5817">
        <v>16.095099999999999</v>
      </c>
      <c r="AD5817">
        <v>-1.1096236433878901</v>
      </c>
      <c r="AE5817">
        <v>1.56208999999999</v>
      </c>
      <c r="AF5817">
        <v>-2.0090880551752401</v>
      </c>
      <c r="AG5817">
        <v>-1.1096236433878901</v>
      </c>
      <c r="AH5817">
        <v>15.969054110116099</v>
      </c>
      <c r="AI5817">
        <v>93.943867221348</v>
      </c>
      <c r="AJ5817">
        <v>97.1707828074167</v>
      </c>
      <c r="AK5817">
        <v>16.133145651584201</v>
      </c>
      <c r="AL5817">
        <v>75.278689159239804</v>
      </c>
      <c r="AM5817">
        <v>95.782017977552201</v>
      </c>
      <c r="AN5817">
        <v>1.0000000126423101</v>
      </c>
    </row>
    <row r="5818" spans="1:40" x14ac:dyDescent="0.25">
      <c r="A5818" t="str">
        <f>"20190312172821779"</f>
        <v>20190312172821779</v>
      </c>
      <c r="B5818" t="str">
        <f>"1552382901775023"</f>
        <v>1552382901775023</v>
      </c>
      <c r="C5818" t="s">
        <v>40</v>
      </c>
      <c r="D5818">
        <v>3.6346219999999998</v>
      </c>
      <c r="E5818">
        <v>0.49725350000000001</v>
      </c>
      <c r="F5818" t="s">
        <v>52</v>
      </c>
      <c r="G5818">
        <v>-209.1266</v>
      </c>
      <c r="H5818" s="1">
        <v>-6.1115589999999998E-7</v>
      </c>
      <c r="I5818">
        <v>-60.989849999999997</v>
      </c>
      <c r="J5818">
        <v>-224.9922</v>
      </c>
      <c r="K5818">
        <v>1.1096429999999999</v>
      </c>
      <c r="L5818">
        <v>-62.53351</v>
      </c>
      <c r="M5818">
        <v>0.99948139999999996</v>
      </c>
      <c r="N5818">
        <v>0</v>
      </c>
      <c r="O5818">
        <v>-2.8754399999999999E-2</v>
      </c>
      <c r="P5818">
        <v>0.96801009999999998</v>
      </c>
      <c r="Q5818">
        <v>0.2405167</v>
      </c>
      <c r="R5818">
        <v>7.1471129999999994E-2</v>
      </c>
      <c r="S5818">
        <v>3.1303100000000001</v>
      </c>
      <c r="T5818">
        <v>-0.21656020000000001</v>
      </c>
      <c r="U5818">
        <v>0.3002319</v>
      </c>
      <c r="V5818">
        <v>-9.8858660000000001E-2</v>
      </c>
      <c r="W5818">
        <v>0.25465169999999998</v>
      </c>
      <c r="X5818">
        <v>0.96196649999999995</v>
      </c>
      <c r="Y5818">
        <v>-0.1236984</v>
      </c>
      <c r="Z5818">
        <v>6.2470329999999999E-3</v>
      </c>
      <c r="AA5818">
        <v>0.99230019999999997</v>
      </c>
      <c r="AB5818">
        <v>33</v>
      </c>
      <c r="AC5818">
        <v>15.865600000000001</v>
      </c>
      <c r="AD5818">
        <v>-1.1096436111558901</v>
      </c>
      <c r="AE5818">
        <v>1.54366</v>
      </c>
      <c r="AF5818">
        <v>-1.9896340233124901</v>
      </c>
      <c r="AG5818">
        <v>-1.1096436111558901</v>
      </c>
      <c r="AH5818">
        <v>15.7383821613896</v>
      </c>
      <c r="AI5818">
        <v>94.001255468939405</v>
      </c>
      <c r="AJ5818">
        <v>97.205066720127306</v>
      </c>
      <c r="AK5818">
        <v>15.9024094258841</v>
      </c>
      <c r="AL5818">
        <v>75.247052802050803</v>
      </c>
      <c r="AM5818">
        <v>95.867532156136704</v>
      </c>
      <c r="AN5818">
        <v>1.0000000350460601</v>
      </c>
    </row>
    <row r="5819" spans="1:40" x14ac:dyDescent="0.25">
      <c r="A5819" t="str">
        <f>"20190312172821791"</f>
        <v>20190312172821791</v>
      </c>
      <c r="B5819" t="str">
        <f>"1552382901785759"</f>
        <v>1552382901785759</v>
      </c>
      <c r="C5819" t="s">
        <v>40</v>
      </c>
      <c r="D5819">
        <v>3.618296</v>
      </c>
      <c r="E5819">
        <v>0.49741560000000001</v>
      </c>
      <c r="F5819" t="s">
        <v>52</v>
      </c>
      <c r="G5819">
        <v>-208.89179999999999</v>
      </c>
      <c r="H5819" s="1">
        <v>-7.5838080000000004E-7</v>
      </c>
      <c r="I5819">
        <v>-60.975679999999997</v>
      </c>
      <c r="J5819">
        <v>-224.81819999999999</v>
      </c>
      <c r="K5819">
        <v>1.1096629999999901</v>
      </c>
      <c r="L5819">
        <v>-62.538849999999996</v>
      </c>
      <c r="M5819">
        <v>0.99947129999999995</v>
      </c>
      <c r="N5819">
        <v>0</v>
      </c>
      <c r="O5819">
        <v>-2.910548E-2</v>
      </c>
      <c r="P5819">
        <v>0.96774780000000005</v>
      </c>
      <c r="Q5819">
        <v>0.24131749999999999</v>
      </c>
      <c r="R5819">
        <v>7.2320270000000006E-2</v>
      </c>
      <c r="S5819">
        <v>3.1303860000000001</v>
      </c>
      <c r="T5819">
        <v>-0.21574699999999999</v>
      </c>
      <c r="U5819">
        <v>0.30288700000000002</v>
      </c>
      <c r="V5819">
        <v>-0.10004830000000001</v>
      </c>
      <c r="W5819">
        <v>0.25544709999999998</v>
      </c>
      <c r="X5819">
        <v>0.9616325</v>
      </c>
      <c r="Y5819">
        <v>-0.12487760000000001</v>
      </c>
      <c r="Z5819">
        <v>6.2878489999999999E-3</v>
      </c>
      <c r="AA5819">
        <v>0.99215220000000004</v>
      </c>
      <c r="AB5819">
        <v>33</v>
      </c>
      <c r="AC5819">
        <v>15.926399999999999</v>
      </c>
      <c r="AD5819">
        <v>-1.10966375838079</v>
      </c>
      <c r="AE5819">
        <v>1.56316999999999</v>
      </c>
      <c r="AF5819">
        <v>-2.0164064959665802</v>
      </c>
      <c r="AG5819">
        <v>-1.10966375838079</v>
      </c>
      <c r="AH5819">
        <v>15.7981886173114</v>
      </c>
      <c r="AI5819">
        <v>93.985625174989707</v>
      </c>
      <c r="AJ5819">
        <v>97.273636261818993</v>
      </c>
      <c r="AK5819">
        <v>15.9649620231865</v>
      </c>
      <c r="AL5819">
        <v>75.199920075307404</v>
      </c>
      <c r="AM5819">
        <v>95.939686622350195</v>
      </c>
      <c r="AN5819">
        <v>0.99999997414377395</v>
      </c>
    </row>
    <row r="5820" spans="1:40" x14ac:dyDescent="0.25">
      <c r="A5820" t="str">
        <f>"20190312172821801"</f>
        <v>20190312172821801</v>
      </c>
      <c r="B5820" t="str">
        <f>"1552382901795519"</f>
        <v>1552382901795519</v>
      </c>
      <c r="C5820" t="s">
        <v>40</v>
      </c>
      <c r="D5820">
        <v>3.6393010000000001</v>
      </c>
      <c r="E5820">
        <v>0.49765039999999999</v>
      </c>
      <c r="F5820" t="s">
        <v>52</v>
      </c>
      <c r="G5820">
        <v>-208.60159999999999</v>
      </c>
      <c r="H5820" s="1">
        <v>-9.4039060000000002E-7</v>
      </c>
      <c r="I5820">
        <v>-60.9578699999999</v>
      </c>
      <c r="J5820">
        <v>-224.65860000000001</v>
      </c>
      <c r="K5820">
        <v>1.109685</v>
      </c>
      <c r="L5820">
        <v>-62.543790000000001</v>
      </c>
      <c r="M5820">
        <v>0.99946239999999997</v>
      </c>
      <c r="N5820">
        <v>0</v>
      </c>
      <c r="O5820">
        <v>-2.940856E-2</v>
      </c>
      <c r="P5820">
        <v>0.96749249999999998</v>
      </c>
      <c r="Q5820">
        <v>0.24207619999999999</v>
      </c>
      <c r="R5820">
        <v>7.3196399999999995E-2</v>
      </c>
      <c r="S5820">
        <v>3.130585</v>
      </c>
      <c r="T5820">
        <v>-0.21421850000000001</v>
      </c>
      <c r="U5820">
        <v>0.30520629999999999</v>
      </c>
      <c r="V5820">
        <v>-0.10122100000000001</v>
      </c>
      <c r="W5820">
        <v>0.25619899999999901</v>
      </c>
      <c r="X5820">
        <v>0.96130970000000004</v>
      </c>
      <c r="Y5820">
        <v>-0.1259026</v>
      </c>
      <c r="Z5820">
        <v>6.2984209999999898E-3</v>
      </c>
      <c r="AA5820">
        <v>0.99202259999999998</v>
      </c>
      <c r="AB5820">
        <v>33</v>
      </c>
      <c r="AC5820">
        <v>16.056999999999999</v>
      </c>
      <c r="AD5820">
        <v>-1.1096859403906001</v>
      </c>
      <c r="AE5820">
        <v>1.58592</v>
      </c>
      <c r="AF5820">
        <v>-2.04781074074875</v>
      </c>
      <c r="AG5820">
        <v>-1.1096859403906001</v>
      </c>
      <c r="AH5820">
        <v>15.928070205318299</v>
      </c>
      <c r="AI5820">
        <v>93.952845304499803</v>
      </c>
      <c r="AJ5820">
        <v>97.326109412643007</v>
      </c>
      <c r="AK5820">
        <v>16.097464153765799</v>
      </c>
      <c r="AL5820">
        <v>75.155356532525801</v>
      </c>
      <c r="AM5820">
        <v>96.010804194730099</v>
      </c>
      <c r="AN5820">
        <v>0.99999997887804404</v>
      </c>
    </row>
    <row r="5821" spans="1:40" x14ac:dyDescent="0.25">
      <c r="A5821" t="str">
        <f>"20190312172821812"</f>
        <v>20190312172821812</v>
      </c>
      <c r="B5821" t="str">
        <f>"1552382901805279"</f>
        <v>1552382901805279</v>
      </c>
      <c r="C5821" t="s">
        <v>40</v>
      </c>
      <c r="D5821">
        <v>3.6686109999999998</v>
      </c>
      <c r="E5821">
        <v>0.49770399999999998</v>
      </c>
      <c r="F5821" t="s">
        <v>52</v>
      </c>
      <c r="G5821">
        <v>-208.32390000000001</v>
      </c>
      <c r="H5821" s="1">
        <v>-1.114367E-6</v>
      </c>
      <c r="I5821">
        <v>-60.939430000000002</v>
      </c>
      <c r="J5821">
        <v>-224.50620000000001</v>
      </c>
      <c r="K5821">
        <v>1.1097129999999999</v>
      </c>
      <c r="L5821">
        <v>-62.548549999999999</v>
      </c>
      <c r="M5821">
        <v>0.99945430000000002</v>
      </c>
      <c r="N5821">
        <v>0</v>
      </c>
      <c r="O5821">
        <v>-2.968105E-2</v>
      </c>
      <c r="P5821">
        <v>0.9673349</v>
      </c>
      <c r="Q5821">
        <v>0.24250369999999999</v>
      </c>
      <c r="R5821">
        <v>7.3859770000000005E-2</v>
      </c>
      <c r="S5821">
        <v>3.1307529999999999</v>
      </c>
      <c r="T5821">
        <v>-0.21268429999999999</v>
      </c>
      <c r="U5821">
        <v>0.30749510000000002</v>
      </c>
      <c r="V5821">
        <v>-0.1021575</v>
      </c>
      <c r="W5821">
        <v>0.25662020000000002</v>
      </c>
      <c r="X5821">
        <v>0.96109829999999996</v>
      </c>
      <c r="Y5821">
        <v>-0.12688859999999999</v>
      </c>
      <c r="Z5821">
        <v>6.3046919999999998E-3</v>
      </c>
      <c r="AA5821">
        <v>0.99189689999999997</v>
      </c>
      <c r="AB5821">
        <v>33</v>
      </c>
      <c r="AC5821">
        <v>16.182299999999898</v>
      </c>
      <c r="AD5821">
        <v>-1.109714114367</v>
      </c>
      <c r="AE5821">
        <v>1.6091199999999899</v>
      </c>
      <c r="AF5821">
        <v>-2.0790875621281701</v>
      </c>
      <c r="AG5821">
        <v>-1.109714114367</v>
      </c>
      <c r="AH5821">
        <v>16.052652792049301</v>
      </c>
      <c r="AI5821">
        <v>93.921891414897999</v>
      </c>
      <c r="AJ5821">
        <v>97.379682920791794</v>
      </c>
      <c r="AK5821">
        <v>16.2247259504963</v>
      </c>
      <c r="AL5821">
        <v>75.130389339515304</v>
      </c>
      <c r="AM5821">
        <v>96.067327902513796</v>
      </c>
      <c r="AN5821">
        <v>1.0000000120585899</v>
      </c>
    </row>
    <row r="5822" spans="1:40" x14ac:dyDescent="0.25">
      <c r="A5822" t="str">
        <f>"20190312172821821"</f>
        <v>20190312172821821</v>
      </c>
      <c r="B5822" t="str">
        <f>"1552382901815040"</f>
        <v>1552382901815040</v>
      </c>
      <c r="C5822" t="s">
        <v>40</v>
      </c>
      <c r="D5822">
        <v>3.587504</v>
      </c>
      <c r="E5822">
        <v>0.49770399999999998</v>
      </c>
      <c r="F5822" t="s">
        <v>52</v>
      </c>
      <c r="G5822">
        <v>-208.1806</v>
      </c>
      <c r="H5822" s="1">
        <v>-1.203798E-6</v>
      </c>
      <c r="I5822">
        <v>-60.928019999999997</v>
      </c>
      <c r="J5822">
        <v>-224.35249999999999</v>
      </c>
      <c r="K5822">
        <v>1.1097440000000001</v>
      </c>
      <c r="L5822">
        <v>-62.55341</v>
      </c>
      <c r="M5822">
        <v>0.99944670000000002</v>
      </c>
      <c r="N5822">
        <v>0</v>
      </c>
      <c r="O5822">
        <v>-2.9932569999999999E-2</v>
      </c>
      <c r="P5822">
        <v>0.9671305</v>
      </c>
      <c r="Q5822">
        <v>0.24304780000000001</v>
      </c>
      <c r="R5822">
        <v>7.4740130000000002E-2</v>
      </c>
      <c r="S5822">
        <v>3.1309659999999999</v>
      </c>
      <c r="T5822">
        <v>-0.2128246</v>
      </c>
      <c r="U5822">
        <v>0.31079099999999998</v>
      </c>
      <c r="V5822">
        <v>-0.103293</v>
      </c>
      <c r="W5822">
        <v>0.25715480000000002</v>
      </c>
      <c r="X5822">
        <v>0.96083399999999997</v>
      </c>
      <c r="Y5822">
        <v>-0.12816169999999999</v>
      </c>
      <c r="Z5822">
        <v>6.3682570000000004E-3</v>
      </c>
      <c r="AA5822">
        <v>0.99173279999999997</v>
      </c>
      <c r="AB5822">
        <v>33</v>
      </c>
      <c r="AC5822">
        <v>16.171899999999901</v>
      </c>
      <c r="AD5822">
        <v>-1.109745203798</v>
      </c>
      <c r="AE5822">
        <v>1.6253899999999999</v>
      </c>
      <c r="AF5822">
        <v>-2.0989937689576998</v>
      </c>
      <c r="AG5822">
        <v>-1.109745203798</v>
      </c>
      <c r="AH5822">
        <v>16.041213042503198</v>
      </c>
      <c r="AI5822">
        <v>93.924121433994898</v>
      </c>
      <c r="AJ5822">
        <v>97.454802611313696</v>
      </c>
      <c r="AK5822">
        <v>16.215974381283701</v>
      </c>
      <c r="AL5822">
        <v>75.098695305741799</v>
      </c>
      <c r="AM5822">
        <v>96.135930528055695</v>
      </c>
      <c r="AN5822">
        <v>1.0000000052840099</v>
      </c>
    </row>
    <row r="5823" spans="1:40" x14ac:dyDescent="0.25">
      <c r="A5823" t="str">
        <f>"20190312172821832"</f>
        <v>20190312172821832</v>
      </c>
      <c r="B5823" t="str">
        <f>"1552382901825775"</f>
        <v>1552382901825775</v>
      </c>
      <c r="C5823" t="s">
        <v>40</v>
      </c>
      <c r="D5823">
        <v>3.5773290000000002</v>
      </c>
      <c r="E5823">
        <v>0.50174430000000003</v>
      </c>
      <c r="F5823" t="s">
        <v>52</v>
      </c>
      <c r="G5823">
        <v>-207.88589999999999</v>
      </c>
      <c r="H5823" s="1">
        <v>-1.38697E-6</v>
      </c>
      <c r="I5823">
        <v>-60.897829999999999</v>
      </c>
      <c r="J5823">
        <v>-224.2079</v>
      </c>
      <c r="K5823">
        <v>1.1097760000000001</v>
      </c>
      <c r="L5823">
        <v>-62.557949999999998</v>
      </c>
      <c r="M5823">
        <v>0.99944040000000001</v>
      </c>
      <c r="N5823">
        <v>0</v>
      </c>
      <c r="O5823">
        <v>-3.0144549999999999E-2</v>
      </c>
      <c r="P5823">
        <v>0.96707929999999998</v>
      </c>
      <c r="Q5823">
        <v>0.24304120000000001</v>
      </c>
      <c r="R5823">
        <v>7.5424630000000006E-2</v>
      </c>
      <c r="S5823">
        <v>3.130646</v>
      </c>
      <c r="T5823">
        <v>-0.21098520000000001</v>
      </c>
      <c r="U5823">
        <v>0.31475829999999999</v>
      </c>
      <c r="V5823">
        <v>-0.1042024</v>
      </c>
      <c r="W5823">
        <v>0.25713999999999998</v>
      </c>
      <c r="X5823">
        <v>0.96073969999999997</v>
      </c>
      <c r="Y5823">
        <v>-0.12962860000000001</v>
      </c>
      <c r="Z5823">
        <v>6.3770889999999998E-3</v>
      </c>
      <c r="AA5823">
        <v>0.99154209999999998</v>
      </c>
      <c r="AB5823">
        <v>33</v>
      </c>
      <c r="AC5823">
        <v>16.321999999999999</v>
      </c>
      <c r="AD5823">
        <v>-1.1097773869700001</v>
      </c>
      <c r="AE5823">
        <v>1.66011999999999</v>
      </c>
      <c r="AF5823">
        <v>-2.1416370247144401</v>
      </c>
      <c r="AG5823">
        <v>-1.1097773869700001</v>
      </c>
      <c r="AH5823">
        <v>16.190449817816699</v>
      </c>
      <c r="AI5823">
        <v>93.887458739958603</v>
      </c>
      <c r="AJ5823">
        <v>97.535213741869697</v>
      </c>
      <c r="AK5823">
        <v>16.369144152871801</v>
      </c>
      <c r="AL5823">
        <v>75.099571879141095</v>
      </c>
      <c r="AM5823">
        <v>96.190137071590499</v>
      </c>
      <c r="AN5823">
        <v>0.99999994546092297</v>
      </c>
    </row>
    <row r="5824" spans="1:40" x14ac:dyDescent="0.25">
      <c r="A5824" t="str">
        <f>"20190312172821843"</f>
        <v>20190312172821843</v>
      </c>
      <c r="B5824" t="str">
        <f>"1552382901835535"</f>
        <v>1552382901835535</v>
      </c>
      <c r="C5824" t="s">
        <v>40</v>
      </c>
      <c r="D5824">
        <v>3.5936149999999998</v>
      </c>
      <c r="E5824">
        <v>0.50141069999999999</v>
      </c>
      <c r="F5824" t="s">
        <v>52</v>
      </c>
      <c r="G5824">
        <v>-208.0909</v>
      </c>
      <c r="H5824" s="1">
        <v>-1.2827790000000001E-6</v>
      </c>
      <c r="I5824">
        <v>-61.085720000000002</v>
      </c>
      <c r="J5824">
        <v>-224.0401</v>
      </c>
      <c r="K5824">
        <v>1.109828</v>
      </c>
      <c r="L5824">
        <v>-62.56326</v>
      </c>
      <c r="M5824">
        <v>0.99943400000000004</v>
      </c>
      <c r="N5824">
        <v>0</v>
      </c>
      <c r="O5824">
        <v>-3.0354949999999999E-2</v>
      </c>
      <c r="P5824">
        <v>0.96705620000000003</v>
      </c>
      <c r="Q5824">
        <v>0.2428971</v>
      </c>
      <c r="R5824">
        <v>7.6180310000000001E-2</v>
      </c>
      <c r="S5824">
        <v>3.1340479999999999</v>
      </c>
      <c r="T5824">
        <v>-0.2158031</v>
      </c>
      <c r="U5824">
        <v>0.28628540000000002</v>
      </c>
      <c r="V5824">
        <v>-0.1051909</v>
      </c>
      <c r="W5824">
        <v>0.25698389999999999</v>
      </c>
      <c r="X5824">
        <v>0.96067380000000002</v>
      </c>
      <c r="Y5824">
        <v>-0.1208032</v>
      </c>
      <c r="Z5824">
        <v>6.2296690000000002E-3</v>
      </c>
      <c r="AA5824">
        <v>0.99265689999999995</v>
      </c>
      <c r="AB5824">
        <v>33</v>
      </c>
      <c r="AC5824">
        <v>15.9491999999999</v>
      </c>
      <c r="AD5824">
        <v>-1.1098292827789999</v>
      </c>
      <c r="AE5824">
        <v>1.4775400000000001</v>
      </c>
      <c r="AF5824">
        <v>-1.9516772337156401</v>
      </c>
      <c r="AG5824">
        <v>-1.1098292827789999</v>
      </c>
      <c r="AH5824">
        <v>15.8210380899766</v>
      </c>
      <c r="AI5824">
        <v>93.982575753790499</v>
      </c>
      <c r="AJ5824">
        <v>97.0324567964268</v>
      </c>
      <c r="AK5824">
        <v>15.9795497842088</v>
      </c>
      <c r="AL5824">
        <v>75.108827595167099</v>
      </c>
      <c r="AM5824">
        <v>96.248821762611101</v>
      </c>
      <c r="AN5824">
        <v>1.00000000015423</v>
      </c>
    </row>
    <row r="5825" spans="1:40" x14ac:dyDescent="0.25">
      <c r="A5825" t="str">
        <f>"20190312172821857"</f>
        <v>20190312172821857</v>
      </c>
      <c r="B5825" t="str">
        <f>"1552382901845296"</f>
        <v>1552382901845296</v>
      </c>
      <c r="C5825" t="s">
        <v>40</v>
      </c>
      <c r="D5825">
        <v>3.5523359999999999</v>
      </c>
      <c r="E5825">
        <v>0.5017469</v>
      </c>
      <c r="F5825" t="s">
        <v>52</v>
      </c>
      <c r="G5825">
        <v>-208.1687</v>
      </c>
      <c r="H5825" s="1">
        <v>-1.2327460000000001E-6</v>
      </c>
      <c r="I5825">
        <v>-61.081539999999997</v>
      </c>
      <c r="J5825">
        <v>-223.85249999999999</v>
      </c>
      <c r="K5825">
        <v>1.1098939999999999</v>
      </c>
      <c r="L5825">
        <v>-62.56915</v>
      </c>
      <c r="M5825">
        <v>0.99942850000000005</v>
      </c>
      <c r="N5825">
        <v>0</v>
      </c>
      <c r="O5825">
        <v>-3.0538510000000001E-2</v>
      </c>
      <c r="P5825">
        <v>0.9669681</v>
      </c>
      <c r="Q5825">
        <v>0.24298139999999999</v>
      </c>
      <c r="R5825">
        <v>7.7027090000000006E-2</v>
      </c>
      <c r="S5825">
        <v>3.1341860000000001</v>
      </c>
      <c r="T5825">
        <v>-0.21916269999999999</v>
      </c>
      <c r="U5825">
        <v>0.29260249999999999</v>
      </c>
      <c r="V5825">
        <v>-0.1062516</v>
      </c>
      <c r="W5825">
        <v>0.25705149999999999</v>
      </c>
      <c r="X5825">
        <v>0.96053900000000003</v>
      </c>
      <c r="Y5825">
        <v>-0.1229485</v>
      </c>
      <c r="Z5825">
        <v>6.4131269999999898E-3</v>
      </c>
      <c r="AA5825">
        <v>0.99239239999999995</v>
      </c>
      <c r="AB5825">
        <v>33</v>
      </c>
      <c r="AC5825">
        <v>15.6837999999999</v>
      </c>
      <c r="AD5825">
        <v>-1.1098952327459899</v>
      </c>
      <c r="AE5825">
        <v>1.4876099999999901</v>
      </c>
      <c r="AF5825">
        <v>-1.9562169010182799</v>
      </c>
      <c r="AG5825">
        <v>-1.1098952327459899</v>
      </c>
      <c r="AH5825">
        <v>15.553850594898501</v>
      </c>
      <c r="AI5825">
        <v>94.049809549809495</v>
      </c>
      <c r="AJ5825">
        <v>97.168484282026299</v>
      </c>
      <c r="AK5825">
        <v>15.7156266282934</v>
      </c>
      <c r="AL5825">
        <v>75.1048201175076</v>
      </c>
      <c r="AM5825">
        <v>96.312204813197198</v>
      </c>
      <c r="AN5825">
        <v>1.0000000233379001</v>
      </c>
    </row>
    <row r="5826" spans="1:40" x14ac:dyDescent="0.25">
      <c r="A5826" t="str">
        <f>"20190312172821869"</f>
        <v>20190312172821869</v>
      </c>
      <c r="B5826" t="str">
        <f>"1552382901865791"</f>
        <v>1552382901865791</v>
      </c>
      <c r="C5826" t="s">
        <v>40</v>
      </c>
      <c r="D5826">
        <v>3.6293250000000001</v>
      </c>
      <c r="E5826">
        <v>0.50168230000000003</v>
      </c>
      <c r="F5826" t="s">
        <v>52</v>
      </c>
      <c r="G5826">
        <v>-207.81899999999999</v>
      </c>
      <c r="H5826" s="1">
        <v>-1.4532300000000001E-6</v>
      </c>
      <c r="I5826">
        <v>-61.068579999999997</v>
      </c>
      <c r="J5826">
        <v>-223.6593</v>
      </c>
      <c r="K5826">
        <v>1.109969</v>
      </c>
      <c r="L5826">
        <v>-62.57526</v>
      </c>
      <c r="M5826">
        <v>0.99942390000000003</v>
      </c>
      <c r="N5826">
        <v>0</v>
      </c>
      <c r="O5826">
        <v>-3.0689270000000001E-2</v>
      </c>
      <c r="P5826">
        <v>0.96688879999999999</v>
      </c>
      <c r="Q5826">
        <v>0.2429907</v>
      </c>
      <c r="R5826">
        <v>7.798737E-2</v>
      </c>
      <c r="S5826">
        <v>3.1336059999999999</v>
      </c>
      <c r="T5826">
        <v>-0.2169189</v>
      </c>
      <c r="U5826">
        <v>0.29327389999999998</v>
      </c>
      <c r="V5826">
        <v>-0.1073987</v>
      </c>
      <c r="W5826">
        <v>0.25704149999999998</v>
      </c>
      <c r="X5826">
        <v>0.96041410000000005</v>
      </c>
      <c r="Y5826">
        <v>-0.1233321</v>
      </c>
      <c r="Z5826">
        <v>6.3723699999999996E-3</v>
      </c>
      <c r="AA5826">
        <v>0.99234500000000003</v>
      </c>
      <c r="AB5826">
        <v>33</v>
      </c>
      <c r="AC5826">
        <v>15.8402999999999</v>
      </c>
      <c r="AD5826">
        <v>-1.1099704532300001</v>
      </c>
      <c r="AE5826">
        <v>1.50667999999999</v>
      </c>
      <c r="AF5826">
        <v>-1.98250134071481</v>
      </c>
      <c r="AG5826">
        <v>-1.1099704532300001</v>
      </c>
      <c r="AH5826">
        <v>15.7101457057676</v>
      </c>
      <c r="AI5826">
        <v>94.009713165856397</v>
      </c>
      <c r="AJ5826">
        <v>97.192276121382093</v>
      </c>
      <c r="AK5826">
        <v>15.8735951841235</v>
      </c>
      <c r="AL5826">
        <v>75.105413074980902</v>
      </c>
      <c r="AM5826">
        <v>96.380615750699903</v>
      </c>
      <c r="AN5826">
        <v>1.0000000284813699</v>
      </c>
    </row>
    <row r="5827" spans="1:40" x14ac:dyDescent="0.25">
      <c r="A5827" t="str">
        <f>"20190312172821882"</f>
        <v>20190312172821882</v>
      </c>
      <c r="B5827" t="str">
        <f>"1552382901875550"</f>
        <v>1552382901875550</v>
      </c>
      <c r="C5827" t="s">
        <v>40</v>
      </c>
      <c r="D5827">
        <v>3.5806330000000002</v>
      </c>
      <c r="E5827">
        <v>0.50189019999999995</v>
      </c>
      <c r="F5827" t="s">
        <v>52</v>
      </c>
      <c r="G5827">
        <v>-207.8252</v>
      </c>
      <c r="H5827" s="1">
        <v>-1.4495850000000001E-6</v>
      </c>
      <c r="I5827">
        <v>-61.070509999999999</v>
      </c>
      <c r="J5827">
        <v>-223.46520000000001</v>
      </c>
      <c r="K5827">
        <v>1.110058</v>
      </c>
      <c r="L5827">
        <v>-62.581299999999999</v>
      </c>
      <c r="M5827">
        <v>0.99942220000000004</v>
      </c>
      <c r="N5827">
        <v>0</v>
      </c>
      <c r="O5827">
        <v>-3.0742120000000001E-2</v>
      </c>
      <c r="P5827">
        <v>0.96677690000000005</v>
      </c>
      <c r="Q5827">
        <v>0.24317</v>
      </c>
      <c r="R5827">
        <v>7.8809749999999998E-2</v>
      </c>
      <c r="S5827">
        <v>3.1339109999999999</v>
      </c>
      <c r="T5827">
        <v>-0.21968689999999999</v>
      </c>
      <c r="U5827">
        <v>0.297821</v>
      </c>
      <c r="V5827">
        <v>-0.10832319999999999</v>
      </c>
      <c r="W5827">
        <v>0.25719730000000002</v>
      </c>
      <c r="X5827">
        <v>0.96026860000000003</v>
      </c>
      <c r="Y5827">
        <v>-0.1247897</v>
      </c>
      <c r="Z5827">
        <v>6.5070419999999898E-3</v>
      </c>
      <c r="AA5827">
        <v>0.99216190000000004</v>
      </c>
      <c r="AB5827">
        <v>33</v>
      </c>
      <c r="AC5827">
        <v>15.64</v>
      </c>
      <c r="AD5827">
        <v>-1.110059449585</v>
      </c>
      <c r="AE5827">
        <v>1.5107899999999901</v>
      </c>
      <c r="AF5827">
        <v>-1.9810457209919701</v>
      </c>
      <c r="AG5827">
        <v>-1.110059449585</v>
      </c>
      <c r="AH5827">
        <v>15.508752638694901</v>
      </c>
      <c r="AI5827">
        <v>94.061152411790601</v>
      </c>
      <c r="AJ5827">
        <v>97.279385148622794</v>
      </c>
      <c r="AK5827">
        <v>15.674124617933201</v>
      </c>
      <c r="AL5827">
        <v>75.096176549913196</v>
      </c>
      <c r="AM5827">
        <v>96.436048876974297</v>
      </c>
      <c r="AN5827">
        <v>1.0000000754657401</v>
      </c>
    </row>
    <row r="5828" spans="1:40" x14ac:dyDescent="0.25">
      <c r="A5828" t="str">
        <f>"20190312172821898"</f>
        <v>20190312172821898</v>
      </c>
      <c r="B5828" t="str">
        <f>"1552382901885311"</f>
        <v>1552382901885311</v>
      </c>
      <c r="C5828" t="s">
        <v>40</v>
      </c>
      <c r="D5828">
        <v>3.6261670000000001</v>
      </c>
      <c r="E5828">
        <v>0.50181730000000002</v>
      </c>
      <c r="F5828" t="s">
        <v>52</v>
      </c>
      <c r="G5828">
        <v>-207.5915</v>
      </c>
      <c r="H5828" s="1">
        <v>-1.5970549999999999E-6</v>
      </c>
      <c r="I5828">
        <v>-61.063009999999998</v>
      </c>
      <c r="J5828">
        <v>-223.24039999999999</v>
      </c>
      <c r="K5828">
        <v>1.1101719999999999</v>
      </c>
      <c r="L5828">
        <v>-62.588259999999998</v>
      </c>
      <c r="M5828">
        <v>0.99942299999999995</v>
      </c>
      <c r="N5828">
        <v>0</v>
      </c>
      <c r="O5828">
        <v>-3.0714680000000001E-2</v>
      </c>
      <c r="P5828">
        <v>0.96654879999999999</v>
      </c>
      <c r="Q5828">
        <v>0.24360870000000001</v>
      </c>
      <c r="R5828">
        <v>8.0239899999999906E-2</v>
      </c>
      <c r="S5828">
        <v>3.133804</v>
      </c>
      <c r="T5828">
        <v>-0.2191496</v>
      </c>
      <c r="U5828">
        <v>0.2997437</v>
      </c>
      <c r="V5828">
        <v>-0.10978889999999999</v>
      </c>
      <c r="W5828">
        <v>0.25760270000000002</v>
      </c>
      <c r="X5828">
        <v>0.9599934</v>
      </c>
      <c r="Y5828">
        <v>-0.12536939999999999</v>
      </c>
      <c r="Z5828">
        <v>6.5094910000000001E-3</v>
      </c>
      <c r="AA5828">
        <v>0.99208879999999999</v>
      </c>
      <c r="AB5828">
        <v>33</v>
      </c>
      <c r="AC5828">
        <v>15.6488999999999</v>
      </c>
      <c r="AD5828">
        <v>-1.110173597055</v>
      </c>
      <c r="AE5828">
        <v>1.52524999999999</v>
      </c>
      <c r="AF5828">
        <v>-1.99528425191334</v>
      </c>
      <c r="AG5828">
        <v>-1.110173597055</v>
      </c>
      <c r="AH5828">
        <v>15.5173013296239</v>
      </c>
      <c r="AI5828">
        <v>94.0589063632234</v>
      </c>
      <c r="AJ5828">
        <v>97.327142760461697</v>
      </c>
      <c r="AK5828">
        <v>15.6843962337056</v>
      </c>
      <c r="AL5828">
        <v>75.072138363181296</v>
      </c>
      <c r="AM5828">
        <v>96.5242419781991</v>
      </c>
      <c r="AN5828">
        <v>1.00000004082702</v>
      </c>
    </row>
    <row r="5829" spans="1:40" x14ac:dyDescent="0.25">
      <c r="A5829" t="str">
        <f>"20190312172821909"</f>
        <v>20190312172821909</v>
      </c>
      <c r="B5829" t="str">
        <f>"1552382901905807"</f>
        <v>1552382901905807</v>
      </c>
      <c r="C5829" t="s">
        <v>40</v>
      </c>
      <c r="D5829">
        <v>3.5845419999999999</v>
      </c>
      <c r="E5829">
        <v>0.50214740000000002</v>
      </c>
      <c r="F5829" t="s">
        <v>52</v>
      </c>
      <c r="G5829">
        <v>-207.37610000000001</v>
      </c>
      <c r="H5829" s="1">
        <v>-1.72918E-6</v>
      </c>
      <c r="I5829">
        <v>-61.028700000000001</v>
      </c>
      <c r="J5829">
        <v>-223.06630000000001</v>
      </c>
      <c r="K5829">
        <v>1.110266</v>
      </c>
      <c r="L5829">
        <v>-62.593629999999997</v>
      </c>
      <c r="M5829">
        <v>0.99942549999999997</v>
      </c>
      <c r="N5829">
        <v>0</v>
      </c>
      <c r="O5829">
        <v>-3.0637060000000001E-2</v>
      </c>
      <c r="P5829">
        <v>0.96634909999999996</v>
      </c>
      <c r="Q5829">
        <v>0.24413689999999999</v>
      </c>
      <c r="R5829">
        <v>8.1035949999999995E-2</v>
      </c>
      <c r="S5829">
        <v>3.1335139999999999</v>
      </c>
      <c r="T5829">
        <v>-0.21928139999999999</v>
      </c>
      <c r="U5829">
        <v>0.3080444</v>
      </c>
      <c r="V5829">
        <v>-0.1105623</v>
      </c>
      <c r="W5829">
        <v>0.25810300000000003</v>
      </c>
      <c r="X5829">
        <v>0.95977020000000002</v>
      </c>
      <c r="Y5829">
        <v>-0.12789780000000001</v>
      </c>
      <c r="Z5829">
        <v>6.5959240000000004E-3</v>
      </c>
      <c r="AA5829">
        <v>0.99176540000000002</v>
      </c>
      <c r="AB5829">
        <v>33</v>
      </c>
      <c r="AC5829">
        <v>15.690200000000001</v>
      </c>
      <c r="AD5829">
        <v>-1.1102677291800001</v>
      </c>
      <c r="AE5829">
        <v>1.5649299999999999</v>
      </c>
      <c r="AF5829">
        <v>-2.03485865285493</v>
      </c>
      <c r="AG5829">
        <v>-1.1102677291800001</v>
      </c>
      <c r="AH5829">
        <v>15.5577491203052</v>
      </c>
      <c r="AI5829">
        <v>94.047594111870893</v>
      </c>
      <c r="AJ5829">
        <v>97.451638634788694</v>
      </c>
      <c r="AK5829">
        <v>15.729491468509501</v>
      </c>
      <c r="AL5829">
        <v>75.042469536779507</v>
      </c>
      <c r="AM5829">
        <v>96.571315607501006</v>
      </c>
      <c r="AN5829">
        <v>1.0000000087991601</v>
      </c>
    </row>
    <row r="5830" spans="1:40" x14ac:dyDescent="0.25">
      <c r="A5830" t="str">
        <f>"20190312172821920"</f>
        <v>20190312172821920</v>
      </c>
      <c r="B5830" t="str">
        <f>"1552382901915567"</f>
        <v>1552382901915567</v>
      </c>
      <c r="C5830" t="s">
        <v>40</v>
      </c>
      <c r="D5830">
        <v>3.6640160000000002</v>
      </c>
      <c r="E5830">
        <v>0.50208540000000002</v>
      </c>
      <c r="F5830" t="s">
        <v>52</v>
      </c>
      <c r="G5830">
        <v>-207.13480000000001</v>
      </c>
      <c r="H5830" s="1">
        <v>-1.8812000000000001E-6</v>
      </c>
      <c r="I5830">
        <v>-61.018540000000002</v>
      </c>
      <c r="J5830">
        <v>-222.89750000000001</v>
      </c>
      <c r="K5830">
        <v>1.110379</v>
      </c>
      <c r="L5830">
        <v>-62.598660000000002</v>
      </c>
      <c r="M5830">
        <v>0.99943159999999998</v>
      </c>
      <c r="N5830">
        <v>0</v>
      </c>
      <c r="O5830">
        <v>-3.0435090000000001E-2</v>
      </c>
      <c r="P5830">
        <v>0.96628130000000001</v>
      </c>
      <c r="Q5830">
        <v>0.24414520000000001</v>
      </c>
      <c r="R5830">
        <v>8.1814699999999893E-2</v>
      </c>
      <c r="S5830">
        <v>3.133667</v>
      </c>
      <c r="T5830">
        <v>-0.218385</v>
      </c>
      <c r="U5830">
        <v>0.30981449999999999</v>
      </c>
      <c r="V5830">
        <v>-0.1112128</v>
      </c>
      <c r="W5830">
        <v>0.258080899999999</v>
      </c>
      <c r="X5830">
        <v>0.95970100000000003</v>
      </c>
      <c r="Y5830">
        <v>-0.12825029999999901</v>
      </c>
      <c r="Z5830">
        <v>6.5667369999999996E-3</v>
      </c>
      <c r="AA5830">
        <v>0.99172009999999999</v>
      </c>
      <c r="AB5830">
        <v>33</v>
      </c>
      <c r="AC5830">
        <v>15.762699999999899</v>
      </c>
      <c r="AD5830">
        <v>-1.1103808812</v>
      </c>
      <c r="AE5830">
        <v>1.58011999999999</v>
      </c>
      <c r="AF5830">
        <v>-2.0491103356929399</v>
      </c>
      <c r="AG5830">
        <v>-1.1103808812</v>
      </c>
      <c r="AH5830">
        <v>15.630508620651</v>
      </c>
      <c r="AI5830">
        <v>94.0290675037444</v>
      </c>
      <c r="AJ5830">
        <v>97.468703497690399</v>
      </c>
      <c r="AK5830">
        <v>15.803309735919999</v>
      </c>
      <c r="AL5830">
        <v>75.043780404295205</v>
      </c>
      <c r="AM5830">
        <v>96.610109601867606</v>
      </c>
      <c r="AN5830">
        <v>1.0000000236148201</v>
      </c>
    </row>
    <row r="5831" spans="1:40" x14ac:dyDescent="0.25">
      <c r="A5831" t="str">
        <f>"20190312172821931"</f>
        <v>20190312172821931</v>
      </c>
      <c r="B5831" t="str">
        <f>"1552382901925327"</f>
        <v>1552382901925327</v>
      </c>
      <c r="C5831" t="s">
        <v>40</v>
      </c>
      <c r="D5831">
        <v>3.5545770000000001</v>
      </c>
      <c r="E5831">
        <v>0.50214570000000003</v>
      </c>
      <c r="F5831" t="s">
        <v>52</v>
      </c>
      <c r="G5831">
        <v>-207.0318</v>
      </c>
      <c r="H5831" s="1">
        <v>-1.9449190000000001E-6</v>
      </c>
      <c r="I5831">
        <v>-61.0062</v>
      </c>
      <c r="J5831">
        <v>-222.74090000000001</v>
      </c>
      <c r="K5831">
        <v>1.1104909999999999</v>
      </c>
      <c r="L5831">
        <v>-62.603299999999997</v>
      </c>
      <c r="M5831">
        <v>0.99943859999999995</v>
      </c>
      <c r="N5831">
        <v>0</v>
      </c>
      <c r="O5831">
        <v>-3.0201840000000001E-2</v>
      </c>
      <c r="P5831">
        <v>0.96626310000000004</v>
      </c>
      <c r="Q5831">
        <v>0.24390719999999999</v>
      </c>
      <c r="R5831">
        <v>8.2734080000000002E-2</v>
      </c>
      <c r="S5831">
        <v>3.1334840000000002</v>
      </c>
      <c r="T5831">
        <v>-0.21930069999999999</v>
      </c>
      <c r="U5831">
        <v>0.31451420000000002</v>
      </c>
      <c r="V5831">
        <v>-0.1119743</v>
      </c>
      <c r="W5831">
        <v>0.25781330000000002</v>
      </c>
      <c r="X5831">
        <v>0.95968439999999999</v>
      </c>
      <c r="Y5831">
        <v>-0.12949169999999999</v>
      </c>
      <c r="Z5831">
        <v>6.6211179999999996E-3</v>
      </c>
      <c r="AA5831">
        <v>0.99155839999999995</v>
      </c>
      <c r="AB5831">
        <v>33</v>
      </c>
      <c r="AC5831">
        <v>15.709099999999999</v>
      </c>
      <c r="AD5831">
        <v>-1.110492944919</v>
      </c>
      <c r="AE5831">
        <v>1.59709999999999</v>
      </c>
      <c r="AF5831">
        <v>-2.0606726134285198</v>
      </c>
      <c r="AG5831">
        <v>-1.110492944919</v>
      </c>
      <c r="AH5831">
        <v>15.576648196076899</v>
      </c>
      <c r="AI5831">
        <v>94.042735979687905</v>
      </c>
      <c r="AJ5831">
        <v>97.536037665115899</v>
      </c>
      <c r="AK5831">
        <v>15.7515565968825</v>
      </c>
      <c r="AL5831">
        <v>75.059650110003801</v>
      </c>
      <c r="AM5831">
        <v>96.655080024504002</v>
      </c>
      <c r="AN5831">
        <v>1.0000000445603601</v>
      </c>
    </row>
    <row r="5832" spans="1:40" x14ac:dyDescent="0.25">
      <c r="A5832" t="str">
        <f>"20190312172821941"</f>
        <v>20190312172821941</v>
      </c>
      <c r="B5832" t="str">
        <f>"1552382901935087"</f>
        <v>1552382901935087</v>
      </c>
      <c r="C5832" t="s">
        <v>40</v>
      </c>
      <c r="D5832">
        <v>3.5499089999999902</v>
      </c>
      <c r="E5832">
        <v>0.50224380000000002</v>
      </c>
      <c r="F5832" t="s">
        <v>52</v>
      </c>
      <c r="G5832">
        <v>-206.9759</v>
      </c>
      <c r="H5832" s="1">
        <v>-1.9796819999999998E-6</v>
      </c>
      <c r="I5832">
        <v>-61.000830000000001</v>
      </c>
      <c r="J5832">
        <v>-222.58150000000001</v>
      </c>
      <c r="K5832">
        <v>1.110616</v>
      </c>
      <c r="L5832">
        <v>-62.607849999999999</v>
      </c>
      <c r="M5832">
        <v>0.99944900000000003</v>
      </c>
      <c r="N5832">
        <v>0</v>
      </c>
      <c r="O5832">
        <v>-2.986024E-2</v>
      </c>
      <c r="P5832">
        <v>0.96618599999999999</v>
      </c>
      <c r="Q5832">
        <v>0.24387449999999999</v>
      </c>
      <c r="R5832">
        <v>8.3726880000000004E-2</v>
      </c>
      <c r="S5832">
        <v>3.1331790000000002</v>
      </c>
      <c r="T5832">
        <v>-0.22070319999999999</v>
      </c>
      <c r="U5832">
        <v>0.31848140000000003</v>
      </c>
      <c r="V5832">
        <v>-0.1127136</v>
      </c>
      <c r="W5832">
        <v>0.25774550000000002</v>
      </c>
      <c r="X5832">
        <v>0.95961600000000002</v>
      </c>
      <c r="Y5832">
        <v>-0.13039880000000001</v>
      </c>
      <c r="Z5832">
        <v>6.6714340000000004E-3</v>
      </c>
      <c r="AA5832">
        <v>0.99143919999999996</v>
      </c>
      <c r="AB5832">
        <v>33</v>
      </c>
      <c r="AC5832">
        <v>15.605600000000001</v>
      </c>
      <c r="AD5832">
        <v>-1.1106179796819999</v>
      </c>
      <c r="AE5832">
        <v>1.6070199999999899</v>
      </c>
      <c r="AF5832">
        <v>-2.06200496119612</v>
      </c>
      <c r="AG5832">
        <v>-1.1106179796819999</v>
      </c>
      <c r="AH5832">
        <v>15.4731017545821</v>
      </c>
      <c r="AI5832">
        <v>94.069642048214305</v>
      </c>
      <c r="AJ5832">
        <v>97.590731224170398</v>
      </c>
      <c r="AK5832">
        <v>15.6493518927923</v>
      </c>
      <c r="AL5832">
        <v>75.063669700357494</v>
      </c>
      <c r="AM5832">
        <v>96.6990946931286</v>
      </c>
      <c r="AN5832">
        <v>0.99999998292560499</v>
      </c>
    </row>
    <row r="5833" spans="1:40" x14ac:dyDescent="0.25">
      <c r="A5833" t="str">
        <f>"20190312172821952"</f>
        <v>20190312172821952</v>
      </c>
      <c r="B5833" t="str">
        <f>"1552382901945824"</f>
        <v>1552382901945824</v>
      </c>
      <c r="C5833" t="s">
        <v>40</v>
      </c>
      <c r="D5833">
        <v>3.5730029999999999</v>
      </c>
      <c r="E5833">
        <v>0.50238229999999995</v>
      </c>
      <c r="F5833" t="s">
        <v>52</v>
      </c>
      <c r="G5833">
        <v>-206.83879999999999</v>
      </c>
      <c r="H5833" s="1">
        <v>-2.0650769999999999E-6</v>
      </c>
      <c r="I5833">
        <v>-60.988140000000001</v>
      </c>
      <c r="J5833">
        <v>-222.42939999999999</v>
      </c>
      <c r="K5833">
        <v>1.110746</v>
      </c>
      <c r="L5833">
        <v>-62.612090000000002</v>
      </c>
      <c r="M5833">
        <v>0.99946060000000003</v>
      </c>
      <c r="N5833">
        <v>0</v>
      </c>
      <c r="O5833">
        <v>-2.9463659999999999E-2</v>
      </c>
      <c r="P5833">
        <v>0.96606270000000005</v>
      </c>
      <c r="Q5833">
        <v>0.24415110000000001</v>
      </c>
      <c r="R5833">
        <v>8.4338430000000006E-2</v>
      </c>
      <c r="S5833">
        <v>3.1328279999999999</v>
      </c>
      <c r="T5833">
        <v>-0.2210155</v>
      </c>
      <c r="U5833">
        <v>0.32232670000000002</v>
      </c>
      <c r="V5833">
        <v>-0.11301949999999999</v>
      </c>
      <c r="W5833">
        <v>0.25798599999999999</v>
      </c>
      <c r="X5833">
        <v>0.95951540000000002</v>
      </c>
      <c r="Y5833">
        <v>-0.13121859999999999</v>
      </c>
      <c r="Z5833">
        <v>6.6821119999999996E-3</v>
      </c>
      <c r="AA5833">
        <v>0.99133090000000001</v>
      </c>
      <c r="AB5833">
        <v>33</v>
      </c>
      <c r="AC5833">
        <v>15.590599999999901</v>
      </c>
      <c r="AD5833">
        <v>-1.1107480650769901</v>
      </c>
      <c r="AE5833">
        <v>1.62395</v>
      </c>
      <c r="AF5833">
        <v>-2.0722438643498</v>
      </c>
      <c r="AG5833">
        <v>-1.1107480650769901</v>
      </c>
      <c r="AH5833">
        <v>15.4583558801689</v>
      </c>
      <c r="AI5833">
        <v>94.0735656766944</v>
      </c>
      <c r="AJ5833">
        <v>97.635170944247406</v>
      </c>
      <c r="AK5833">
        <v>15.636135149561699</v>
      </c>
      <c r="AL5833">
        <v>75.049407893552996</v>
      </c>
      <c r="AM5833">
        <v>96.717807661963505</v>
      </c>
      <c r="AN5833">
        <v>0.99999999320670496</v>
      </c>
    </row>
    <row r="5834" spans="1:40" x14ac:dyDescent="0.25">
      <c r="A5834" t="str">
        <f>"20190312172821963"</f>
        <v>20190312172821963</v>
      </c>
      <c r="B5834" t="str">
        <f>"1552382901955584"</f>
        <v>1552382901955584</v>
      </c>
      <c r="C5834" t="s">
        <v>40</v>
      </c>
      <c r="D5834">
        <v>3.5625789999999999</v>
      </c>
      <c r="E5834">
        <v>0.50251270000000003</v>
      </c>
      <c r="F5834" t="s">
        <v>52</v>
      </c>
      <c r="G5834">
        <v>-206.67750000000001</v>
      </c>
      <c r="H5834" s="1">
        <v>-2.1665529999999999E-6</v>
      </c>
      <c r="I5834">
        <v>-60.980409999999999</v>
      </c>
      <c r="J5834">
        <v>-222.26650000000001</v>
      </c>
      <c r="K5834">
        <v>1.1108880000000001</v>
      </c>
      <c r="L5834">
        <v>-62.616520000000001</v>
      </c>
      <c r="M5834">
        <v>0.99947600000000003</v>
      </c>
      <c r="N5834">
        <v>0</v>
      </c>
      <c r="O5834">
        <v>-2.8937069999999999E-2</v>
      </c>
      <c r="P5834">
        <v>0.96593030000000002</v>
      </c>
      <c r="Q5834">
        <v>0.244502</v>
      </c>
      <c r="R5834">
        <v>8.483773E-2</v>
      </c>
      <c r="S5834">
        <v>3.132889</v>
      </c>
      <c r="T5834">
        <v>-0.22091569999999999</v>
      </c>
      <c r="U5834">
        <v>0.32452389999999998</v>
      </c>
      <c r="V5834">
        <v>-0.1131032</v>
      </c>
      <c r="W5834">
        <v>0.25829459999999999</v>
      </c>
      <c r="X5834">
        <v>0.95942249999999996</v>
      </c>
      <c r="Y5834">
        <v>-0.13138359999999999</v>
      </c>
      <c r="Z5834">
        <v>6.647526E-3</v>
      </c>
      <c r="AA5834">
        <v>0.99130929999999995</v>
      </c>
      <c r="AB5834">
        <v>33</v>
      </c>
      <c r="AC5834">
        <v>15.589</v>
      </c>
      <c r="AD5834">
        <v>-1.11089016655299</v>
      </c>
      <c r="AE5834">
        <v>1.63610999999999</v>
      </c>
      <c r="AF5834">
        <v>-2.07614404250136</v>
      </c>
      <c r="AG5834">
        <v>-1.11089016655299</v>
      </c>
      <c r="AH5834">
        <v>15.457481063305</v>
      </c>
      <c r="AI5834">
        <v>94.074175757633498</v>
      </c>
      <c r="AJ5834">
        <v>97.649798927013606</v>
      </c>
      <c r="AK5834">
        <v>15.6357977688953</v>
      </c>
      <c r="AL5834">
        <v>75.031105978893805</v>
      </c>
      <c r="AM5834">
        <v>96.723382214653796</v>
      </c>
      <c r="AN5834">
        <v>0.99999998387282396</v>
      </c>
    </row>
    <row r="5835" spans="1:40" x14ac:dyDescent="0.25">
      <c r="A5835" t="str">
        <f>"20190312172821975"</f>
        <v>20190312172821975</v>
      </c>
      <c r="B5835" t="str">
        <f>"1552382901965343"</f>
        <v>1552382901965343</v>
      </c>
      <c r="C5835" t="s">
        <v>40</v>
      </c>
      <c r="D5835">
        <v>3.6217649999999999</v>
      </c>
      <c r="E5835">
        <v>0.50252849999999905</v>
      </c>
      <c r="F5835" t="s">
        <v>52</v>
      </c>
      <c r="G5835">
        <v>-206.47120000000001</v>
      </c>
      <c r="H5835" s="1">
        <v>-2.295674E-6</v>
      </c>
      <c r="I5835">
        <v>-60.966160000000002</v>
      </c>
      <c r="J5835">
        <v>-222.0977</v>
      </c>
      <c r="K5835">
        <v>1.111062</v>
      </c>
      <c r="L5835">
        <v>-62.620849999999997</v>
      </c>
      <c r="M5835">
        <v>0.99949509999999997</v>
      </c>
      <c r="N5835">
        <v>0</v>
      </c>
      <c r="O5835">
        <v>-2.8266119999999999E-2</v>
      </c>
      <c r="P5835">
        <v>0.96579749999999998</v>
      </c>
      <c r="Q5835">
        <v>0.24490890000000001</v>
      </c>
      <c r="R5835">
        <v>8.5175749999999995E-2</v>
      </c>
      <c r="S5835">
        <v>3.1328279999999999</v>
      </c>
      <c r="T5835">
        <v>-0.2203331</v>
      </c>
      <c r="U5835">
        <v>0.3273315</v>
      </c>
      <c r="V5835">
        <v>-0.11290020000000001</v>
      </c>
      <c r="W5835">
        <v>0.25865579999999999</v>
      </c>
      <c r="X5835">
        <v>0.95934909999999995</v>
      </c>
      <c r="Y5835">
        <v>-0.13160229999999901</v>
      </c>
      <c r="Z5835">
        <v>6.5904989999999997E-3</v>
      </c>
      <c r="AA5835">
        <v>0.99128070000000001</v>
      </c>
      <c r="AB5835">
        <v>33</v>
      </c>
      <c r="AC5835">
        <v>15.626499999999901</v>
      </c>
      <c r="AD5835">
        <v>-1.111064295674</v>
      </c>
      <c r="AE5835">
        <v>1.65469</v>
      </c>
      <c r="AF5835">
        <v>-2.0853503682911301</v>
      </c>
      <c r="AG5835">
        <v>-1.111064295674</v>
      </c>
      <c r="AH5835">
        <v>15.496008492708601</v>
      </c>
      <c r="AI5835">
        <v>94.064575914661404</v>
      </c>
      <c r="AJ5835">
        <v>97.664440865756703</v>
      </c>
      <c r="AK5835">
        <v>15.675121346699299</v>
      </c>
      <c r="AL5835">
        <v>75.009682781619802</v>
      </c>
      <c r="AM5835">
        <v>96.711933932720598</v>
      </c>
      <c r="AN5835">
        <v>0.999999986852244</v>
      </c>
    </row>
    <row r="5836" spans="1:40" x14ac:dyDescent="0.25">
      <c r="A5836" t="str">
        <f>"20190312172821986"</f>
        <v>20190312172821986</v>
      </c>
      <c r="B5836" t="str">
        <f>"1552382901975103"</f>
        <v>1552382901975103</v>
      </c>
      <c r="C5836" t="s">
        <v>40</v>
      </c>
      <c r="D5836">
        <v>3.6123449999999999</v>
      </c>
      <c r="E5836">
        <v>0.50254790000000005</v>
      </c>
      <c r="F5836" t="s">
        <v>52</v>
      </c>
      <c r="G5836">
        <v>-206.31659999999999</v>
      </c>
      <c r="H5836" s="1">
        <v>-2.392341E-6</v>
      </c>
      <c r="I5836">
        <v>-60.954360000000001</v>
      </c>
      <c r="J5836">
        <v>-221.92070000000001</v>
      </c>
      <c r="K5836">
        <v>1.1112519999999999</v>
      </c>
      <c r="L5836">
        <v>-62.625239999999998</v>
      </c>
      <c r="M5836">
        <v>0.99951710000000005</v>
      </c>
      <c r="N5836">
        <v>0</v>
      </c>
      <c r="O5836">
        <v>-2.7474459999999999E-2</v>
      </c>
      <c r="P5836">
        <v>0.96569910000000003</v>
      </c>
      <c r="Q5836">
        <v>0.2451614</v>
      </c>
      <c r="R5836">
        <v>8.5564539999999994E-2</v>
      </c>
      <c r="S5836">
        <v>3.1329799999999999</v>
      </c>
      <c r="T5836">
        <v>-0.22057570000000001</v>
      </c>
      <c r="U5836">
        <v>0.330841099999999</v>
      </c>
      <c r="V5836">
        <v>-0.1126451</v>
      </c>
      <c r="W5836">
        <v>0.25885799999999998</v>
      </c>
      <c r="X5836">
        <v>0.95932450000000002</v>
      </c>
      <c r="Y5836">
        <v>-0.1319109</v>
      </c>
      <c r="Z5836">
        <v>6.5523179999999997E-3</v>
      </c>
      <c r="AA5836">
        <v>0.99123989999999995</v>
      </c>
      <c r="AB5836">
        <v>33</v>
      </c>
      <c r="AC5836">
        <v>15.604100000000001</v>
      </c>
      <c r="AD5836">
        <v>-1.1112543923410001</v>
      </c>
      <c r="AE5836">
        <v>1.6708799999999999</v>
      </c>
      <c r="AF5836">
        <v>-2.08853626143138</v>
      </c>
      <c r="AG5836">
        <v>-1.1112543923410001</v>
      </c>
      <c r="AH5836">
        <v>15.474704286652999</v>
      </c>
      <c r="AI5836">
        <v>94.070636858721201</v>
      </c>
      <c r="AJ5836">
        <v>97.686452110942199</v>
      </c>
      <c r="AK5836">
        <v>15.6544991232287</v>
      </c>
      <c r="AL5836">
        <v>74.997688372756301</v>
      </c>
      <c r="AM5836">
        <v>96.697076271164093</v>
      </c>
      <c r="AN5836">
        <v>0.99999993950912802</v>
      </c>
    </row>
    <row r="5837" spans="1:40" x14ac:dyDescent="0.25">
      <c r="A5837" t="str">
        <f>"20190312172821999"</f>
        <v>20190312172821999</v>
      </c>
      <c r="B5837" t="str">
        <f>"1552382901995599"</f>
        <v>1552382901995599</v>
      </c>
      <c r="C5837" t="s">
        <v>40</v>
      </c>
      <c r="D5837">
        <v>3.584479</v>
      </c>
      <c r="E5837">
        <v>0.50272450000000002</v>
      </c>
      <c r="F5837" t="s">
        <v>52</v>
      </c>
      <c r="G5837">
        <v>-206.14830000000001</v>
      </c>
      <c r="H5837" s="1">
        <v>-2.4977109999999999E-6</v>
      </c>
      <c r="I5837">
        <v>-60.943269999999998</v>
      </c>
      <c r="J5837">
        <v>-221.73249999999999</v>
      </c>
      <c r="K5837">
        <v>1.1114790000000001</v>
      </c>
      <c r="L5837">
        <v>-62.629460000000002</v>
      </c>
      <c r="M5837">
        <v>0.99954609999999999</v>
      </c>
      <c r="N5837">
        <v>0</v>
      </c>
      <c r="O5837">
        <v>-2.6400420000000001E-2</v>
      </c>
      <c r="P5837">
        <v>0.96565529999999999</v>
      </c>
      <c r="Q5837">
        <v>0.24518239999999999</v>
      </c>
      <c r="R5837">
        <v>8.5997160000000003E-2</v>
      </c>
      <c r="S5837">
        <v>3.1330110000000002</v>
      </c>
      <c r="T5837">
        <v>-0.22073880000000001</v>
      </c>
      <c r="U5837">
        <v>0.33410640000000003</v>
      </c>
      <c r="V5837">
        <v>-0.1121827</v>
      </c>
      <c r="W5837">
        <v>0.25882480000000002</v>
      </c>
      <c r="X5837">
        <v>0.95938769999999995</v>
      </c>
      <c r="Y5837">
        <v>-0.1318686</v>
      </c>
      <c r="Z5837">
        <v>6.4798470000000004E-3</v>
      </c>
      <c r="AA5837">
        <v>0.99124599999999996</v>
      </c>
      <c r="AB5837">
        <v>33</v>
      </c>
      <c r="AC5837">
        <v>15.5841999999999</v>
      </c>
      <c r="AD5837">
        <v>-1.1114814977109999</v>
      </c>
      <c r="AE5837">
        <v>1.6861899999999901</v>
      </c>
      <c r="AF5837">
        <v>-2.0865839174023302</v>
      </c>
      <c r="AG5837">
        <v>-1.1114814977109999</v>
      </c>
      <c r="AH5837">
        <v>15.456533296617501</v>
      </c>
      <c r="AI5837">
        <v>94.076218912973303</v>
      </c>
      <c r="AJ5837">
        <v>97.688272740862203</v>
      </c>
      <c r="AK5837">
        <v>15.6362925629307</v>
      </c>
      <c r="AL5837">
        <v>74.999658592095003</v>
      </c>
      <c r="AM5837">
        <v>96.669398029773205</v>
      </c>
      <c r="AN5837">
        <v>0.99999999709280996</v>
      </c>
    </row>
    <row r="5838" spans="1:40" x14ac:dyDescent="0.25">
      <c r="A5838" t="str">
        <f>"20190312172822014"</f>
        <v>20190312172822014</v>
      </c>
      <c r="B5838" t="str">
        <f>"1552382902005360"</f>
        <v>1552382902005360</v>
      </c>
      <c r="C5838" t="s">
        <v>40</v>
      </c>
      <c r="D5838">
        <v>3.5886879999999999</v>
      </c>
      <c r="E5838">
        <v>0.50283880000000003</v>
      </c>
      <c r="F5838" t="s">
        <v>52</v>
      </c>
      <c r="G5838">
        <v>-206.0224</v>
      </c>
      <c r="H5838" s="1">
        <v>-2.5777189999999998E-6</v>
      </c>
      <c r="I5838">
        <v>-60.943109999999997</v>
      </c>
      <c r="J5838">
        <v>-221.52959999999999</v>
      </c>
      <c r="K5838">
        <v>1.1117239999999999</v>
      </c>
      <c r="L5838">
        <v>-62.633699999999997</v>
      </c>
      <c r="M5838">
        <v>0.99957940000000001</v>
      </c>
      <c r="N5838">
        <v>0</v>
      </c>
      <c r="O5838">
        <v>-2.5106650000000001E-2</v>
      </c>
      <c r="P5838">
        <v>0.96571649999999998</v>
      </c>
      <c r="Q5838">
        <v>0.24456559999999999</v>
      </c>
      <c r="R5838">
        <v>8.7061490000000005E-2</v>
      </c>
      <c r="S5838">
        <v>3.1330110000000002</v>
      </c>
      <c r="T5838">
        <v>-0.2216601</v>
      </c>
      <c r="U5838">
        <v>0.33630369999999998</v>
      </c>
      <c r="V5838">
        <v>-0.1121557</v>
      </c>
      <c r="W5838">
        <v>0.25814860000000001</v>
      </c>
      <c r="X5838">
        <v>0.95957300000000001</v>
      </c>
      <c r="Y5838">
        <v>-0.13127440000000001</v>
      </c>
      <c r="Z5838">
        <v>6.3944469999999897E-3</v>
      </c>
      <c r="AA5838">
        <v>0.99132540000000002</v>
      </c>
      <c r="AB5838">
        <v>33</v>
      </c>
      <c r="AC5838">
        <v>15.5071999999999</v>
      </c>
      <c r="AD5838">
        <v>-1.111726577719</v>
      </c>
      <c r="AE5838">
        <v>1.69059</v>
      </c>
      <c r="AF5838">
        <v>-2.0689233005811798</v>
      </c>
      <c r="AG5838">
        <v>-1.111726577719</v>
      </c>
      <c r="AH5838">
        <v>15.381733870780399</v>
      </c>
      <c r="AI5838">
        <v>94.097139524576093</v>
      </c>
      <c r="AJ5838">
        <v>97.660603825954098</v>
      </c>
      <c r="AK5838">
        <v>15.560016596353901</v>
      </c>
      <c r="AL5838">
        <v>75.0397646323065</v>
      </c>
      <c r="AM5838">
        <v>96.666531294536099</v>
      </c>
      <c r="AN5838">
        <v>0.99999997152672404</v>
      </c>
    </row>
    <row r="5839" spans="1:40" x14ac:dyDescent="0.25">
      <c r="A5839" t="str">
        <f>"20190312172822024"</f>
        <v>20190312172822024</v>
      </c>
      <c r="B5839" t="str">
        <f>"1552382902015119"</f>
        <v>1552382902015119</v>
      </c>
      <c r="C5839" t="s">
        <v>40</v>
      </c>
      <c r="D5839">
        <v>3.587507</v>
      </c>
      <c r="E5839">
        <v>0.50290379999999901</v>
      </c>
      <c r="F5839" t="s">
        <v>52</v>
      </c>
      <c r="G5839">
        <v>-205.9982</v>
      </c>
      <c r="H5839" s="1">
        <v>-2.5932649999999999E-6</v>
      </c>
      <c r="I5839">
        <v>-60.944040000000001</v>
      </c>
      <c r="J5839">
        <v>-221.3665</v>
      </c>
      <c r="K5839">
        <v>1.1119220000000001</v>
      </c>
      <c r="L5839">
        <v>-62.636780000000002</v>
      </c>
      <c r="M5839">
        <v>0.99960819999999995</v>
      </c>
      <c r="N5839">
        <v>0</v>
      </c>
      <c r="O5839">
        <v>-2.3928629999999999E-2</v>
      </c>
      <c r="P5839">
        <v>0.96585790000000005</v>
      </c>
      <c r="Q5839">
        <v>0.2436276</v>
      </c>
      <c r="R5839">
        <v>8.8114789999999998E-2</v>
      </c>
      <c r="S5839">
        <v>3.132568</v>
      </c>
      <c r="T5839">
        <v>-0.2242268</v>
      </c>
      <c r="U5839">
        <v>0.34078979999999998</v>
      </c>
      <c r="V5839">
        <v>-0.1122027</v>
      </c>
      <c r="W5839">
        <v>0.25716309999999998</v>
      </c>
      <c r="X5839">
        <v>0.95983209999999997</v>
      </c>
      <c r="Y5839">
        <v>-0.13151769999999999</v>
      </c>
      <c r="Z5839">
        <v>6.3933810000000001E-3</v>
      </c>
      <c r="AA5839">
        <v>0.99129319999999999</v>
      </c>
      <c r="AB5839">
        <v>33</v>
      </c>
      <c r="AC5839">
        <v>15.3683</v>
      </c>
      <c r="AD5839">
        <v>-1.1119245932649999</v>
      </c>
      <c r="AE5839">
        <v>1.6927399999999999</v>
      </c>
      <c r="AF5839">
        <v>-2.0494365887511199</v>
      </c>
      <c r="AG5839">
        <v>-1.1119245932649999</v>
      </c>
      <c r="AH5839">
        <v>15.2445440399483</v>
      </c>
      <c r="AI5839">
        <v>94.134654214794494</v>
      </c>
      <c r="AJ5839">
        <v>97.656786747056401</v>
      </c>
      <c r="AK5839">
        <v>15.421825106592999</v>
      </c>
      <c r="AL5839">
        <v>75.098202861690496</v>
      </c>
      <c r="AM5839">
        <v>96.6675156922051</v>
      </c>
      <c r="AN5839">
        <v>0.99999998303965398</v>
      </c>
    </row>
    <row r="5840" spans="1:40" x14ac:dyDescent="0.25">
      <c r="A5840" t="str">
        <f>"20190312172822035"</f>
        <v>20190312172822035</v>
      </c>
      <c r="B5840" t="str">
        <f>"1552382902025855"</f>
        <v>1552382902025855</v>
      </c>
      <c r="C5840" t="s">
        <v>40</v>
      </c>
      <c r="D5840">
        <v>3.5690819999999999</v>
      </c>
      <c r="E5840">
        <v>0.50299269999999996</v>
      </c>
      <c r="F5840" t="s">
        <v>52</v>
      </c>
      <c r="G5840">
        <v>-206.102</v>
      </c>
      <c r="H5840" s="1">
        <v>-2.5290599999999998E-6</v>
      </c>
      <c r="I5840">
        <v>-60.95675</v>
      </c>
      <c r="J5840">
        <v>-221.20400000000001</v>
      </c>
      <c r="K5840">
        <v>1.1121209999999999</v>
      </c>
      <c r="L5840">
        <v>-62.639499999999998</v>
      </c>
      <c r="M5840">
        <v>0.9996389</v>
      </c>
      <c r="N5840">
        <v>0</v>
      </c>
      <c r="O5840">
        <v>-2.2606299999999999E-2</v>
      </c>
      <c r="P5840">
        <v>0.96598859999999998</v>
      </c>
      <c r="Q5840">
        <v>0.2426372</v>
      </c>
      <c r="R5840">
        <v>8.9405620000000005E-2</v>
      </c>
      <c r="S5840">
        <v>3.132126</v>
      </c>
      <c r="T5840">
        <v>-0.22815640000000001</v>
      </c>
      <c r="U5840">
        <v>0.34472659999999899</v>
      </c>
      <c r="V5840">
        <v>-0.112344</v>
      </c>
      <c r="W5840">
        <v>0.25612760000000001</v>
      </c>
      <c r="X5840">
        <v>0.96009239999999996</v>
      </c>
      <c r="Y5840">
        <v>-0.13144239999999999</v>
      </c>
      <c r="Z5840">
        <v>6.4069230000000001E-3</v>
      </c>
      <c r="AA5840">
        <v>0.99130309999999999</v>
      </c>
      <c r="AB5840">
        <v>33</v>
      </c>
      <c r="AC5840">
        <v>15.102</v>
      </c>
      <c r="AD5840">
        <v>-1.11212352906</v>
      </c>
      <c r="AE5840">
        <v>1.68274999999999</v>
      </c>
      <c r="AF5840">
        <v>-2.0129738205309602</v>
      </c>
      <c r="AG5840">
        <v>-1.11212352906</v>
      </c>
      <c r="AH5840">
        <v>14.9798559539077</v>
      </c>
      <c r="AI5840">
        <v>94.208234343652506</v>
      </c>
      <c r="AJ5840">
        <v>97.653485129230006</v>
      </c>
      <c r="AK5840">
        <v>15.1553609902851</v>
      </c>
      <c r="AL5840">
        <v>75.159588515290395</v>
      </c>
      <c r="AM5840">
        <v>96.674042919616895</v>
      </c>
      <c r="AN5840">
        <v>0.99999996917775902</v>
      </c>
    </row>
    <row r="5841" spans="1:40" x14ac:dyDescent="0.25">
      <c r="A5841" t="str">
        <f>"20190312172822047"</f>
        <v>20190312172822047</v>
      </c>
      <c r="B5841" t="str">
        <f>"1552382902035617"</f>
        <v>1552382902035617</v>
      </c>
      <c r="C5841" t="s">
        <v>40</v>
      </c>
      <c r="D5841">
        <v>3.6419709999999998</v>
      </c>
      <c r="E5841">
        <v>0.5030019</v>
      </c>
      <c r="F5841" t="s">
        <v>52</v>
      </c>
      <c r="G5841">
        <v>-206.20580000000001</v>
      </c>
      <c r="H5841" s="1">
        <v>-2.4650129999999998E-6</v>
      </c>
      <c r="I5841">
        <v>-60.970579999999998</v>
      </c>
      <c r="J5841">
        <v>-221.0326</v>
      </c>
      <c r="K5841">
        <v>1.112328</v>
      </c>
      <c r="L5841">
        <v>-62.642150000000001</v>
      </c>
      <c r="M5841">
        <v>0.99967090000000003</v>
      </c>
      <c r="N5841">
        <v>0</v>
      </c>
      <c r="O5841">
        <v>-2.114129E-2</v>
      </c>
      <c r="P5841">
        <v>0.96616199999999997</v>
      </c>
      <c r="Q5841">
        <v>0.24118800000000001</v>
      </c>
      <c r="R5841">
        <v>9.143097E-2</v>
      </c>
      <c r="S5841">
        <v>3.131729</v>
      </c>
      <c r="T5841">
        <v>-0.2322186</v>
      </c>
      <c r="U5841">
        <v>0.34848020000000002</v>
      </c>
      <c r="V5841">
        <v>-0.113085199999999</v>
      </c>
      <c r="W5841">
        <v>0.2546274</v>
      </c>
      <c r="X5841">
        <v>0.96040440000000005</v>
      </c>
      <c r="Y5841">
        <v>-0.13116729999999999</v>
      </c>
      <c r="Z5841">
        <v>6.4027229999999999E-3</v>
      </c>
      <c r="AA5841">
        <v>0.99133959999999999</v>
      </c>
      <c r="AB5841">
        <v>33</v>
      </c>
      <c r="AC5841">
        <v>14.826799999999899</v>
      </c>
      <c r="AD5841">
        <v>-1.1123304650129999</v>
      </c>
      <c r="AE5841">
        <v>1.67156999999999</v>
      </c>
      <c r="AF5841">
        <v>-1.9737179541613299</v>
      </c>
      <c r="AG5841">
        <v>-1.1123304650129999</v>
      </c>
      <c r="AH5841">
        <v>14.7064101985641</v>
      </c>
      <c r="AI5841">
        <v>94.2870825550755</v>
      </c>
      <c r="AJ5841">
        <v>97.643877264966093</v>
      </c>
      <c r="AK5841">
        <v>14.879897262898201</v>
      </c>
      <c r="AL5841">
        <v>75.248491921144506</v>
      </c>
      <c r="AM5841">
        <v>96.715512026947493</v>
      </c>
      <c r="AN5841">
        <v>0.99999999341458001</v>
      </c>
    </row>
    <row r="5842" spans="1:40" x14ac:dyDescent="0.25">
      <c r="A5842" t="str">
        <f>"20190312172822060"</f>
        <v>20190312172822060</v>
      </c>
      <c r="B5842" t="str">
        <f>"1552382902055135"</f>
        <v>1552382902055135</v>
      </c>
      <c r="C5842" t="s">
        <v>40</v>
      </c>
      <c r="D5842">
        <v>3.556257</v>
      </c>
      <c r="E5842">
        <v>0.50308819999999999</v>
      </c>
      <c r="F5842" t="s">
        <v>52</v>
      </c>
      <c r="G5842">
        <v>-206.386</v>
      </c>
      <c r="H5842" s="1">
        <v>-2.3519209999999998E-6</v>
      </c>
      <c r="I5842">
        <v>-60.981059999999999</v>
      </c>
      <c r="J5842">
        <v>-220.8579</v>
      </c>
      <c r="K5842">
        <v>1.1125290000000001</v>
      </c>
      <c r="L5842">
        <v>-62.644199999999998</v>
      </c>
      <c r="M5842">
        <v>0.99970550000000002</v>
      </c>
      <c r="N5842">
        <v>0</v>
      </c>
      <c r="O5842">
        <v>-1.9433160000000001E-2</v>
      </c>
      <c r="P5842">
        <v>0.96614100000000003</v>
      </c>
      <c r="Q5842">
        <v>0.24038780000000001</v>
      </c>
      <c r="R5842">
        <v>9.3730869999999994E-2</v>
      </c>
      <c r="S5842">
        <v>3.1308289999999999</v>
      </c>
      <c r="T5842">
        <v>-0.23777000000000001</v>
      </c>
      <c r="U5842">
        <v>0.355072</v>
      </c>
      <c r="V5842">
        <v>-0.1138617</v>
      </c>
      <c r="W5842">
        <v>0.25377509999999998</v>
      </c>
      <c r="X5842">
        <v>0.96053829999999996</v>
      </c>
      <c r="Y5842">
        <v>-0.13154979999999999</v>
      </c>
      <c r="Z5842">
        <v>6.4417299999999997E-3</v>
      </c>
      <c r="AA5842">
        <v>0.99128870000000002</v>
      </c>
      <c r="AB5842">
        <v>33</v>
      </c>
      <c r="AC5842">
        <v>14.4719</v>
      </c>
      <c r="AD5842">
        <v>-1.1125313519210001</v>
      </c>
      <c r="AE5842">
        <v>1.6631399999999901</v>
      </c>
      <c r="AF5842">
        <v>-1.93281664004743</v>
      </c>
      <c r="AG5842">
        <v>-1.1125313519210001</v>
      </c>
      <c r="AH5842">
        <v>14.3531245031113</v>
      </c>
      <c r="AI5842">
        <v>94.392724152249599</v>
      </c>
      <c r="AJ5842">
        <v>97.6694126271953</v>
      </c>
      <c r="AK5842">
        <v>14.525346439065199</v>
      </c>
      <c r="AL5842">
        <v>75.298984658290905</v>
      </c>
      <c r="AM5842">
        <v>96.760264868452097</v>
      </c>
      <c r="AN5842">
        <v>1.0000000569368901</v>
      </c>
    </row>
    <row r="5843" spans="1:40" x14ac:dyDescent="0.25">
      <c r="A5843" t="str">
        <f>"20190312172822072"</f>
        <v>20190312172822072</v>
      </c>
      <c r="B5843" t="str">
        <f>"1552382902065872"</f>
        <v>1552382902065872</v>
      </c>
      <c r="C5843" t="s">
        <v>40</v>
      </c>
      <c r="D5843">
        <v>3.5829439999999999</v>
      </c>
      <c r="E5843">
        <v>0.50318379999999996</v>
      </c>
      <c r="F5843" t="s">
        <v>52</v>
      </c>
      <c r="G5843">
        <v>-206.43180000000001</v>
      </c>
      <c r="H5843" s="1">
        <v>-2.3221740000000001E-6</v>
      </c>
      <c r="I5843">
        <v>-60.976489999999998</v>
      </c>
      <c r="J5843">
        <v>-220.66749999999999</v>
      </c>
      <c r="K5843">
        <v>1.112738</v>
      </c>
      <c r="L5843">
        <v>-62.646149999999999</v>
      </c>
      <c r="M5843">
        <v>0.9997414</v>
      </c>
      <c r="N5843">
        <v>0</v>
      </c>
      <c r="O5843">
        <v>-1.7479930000000001E-2</v>
      </c>
      <c r="P5843">
        <v>0.96605890000000005</v>
      </c>
      <c r="Q5843">
        <v>0.2396953</v>
      </c>
      <c r="R5843">
        <v>9.6315579999999998E-2</v>
      </c>
      <c r="S5843">
        <v>3.1300810000000001</v>
      </c>
      <c r="T5843">
        <v>-0.24138989999999999</v>
      </c>
      <c r="U5843">
        <v>0.36184690000000003</v>
      </c>
      <c r="V5843">
        <v>-0.1146938</v>
      </c>
      <c r="W5843">
        <v>0.25302550000000001</v>
      </c>
      <c r="X5843">
        <v>0.96063699999999996</v>
      </c>
      <c r="Y5843">
        <v>-0.13174930000000001</v>
      </c>
      <c r="Z5843">
        <v>6.3979429999999997E-3</v>
      </c>
      <c r="AA5843">
        <v>0.99126239999999999</v>
      </c>
      <c r="AB5843">
        <v>33</v>
      </c>
      <c r="AC5843">
        <v>14.2356999999999</v>
      </c>
      <c r="AD5843">
        <v>-1.112740322174</v>
      </c>
      <c r="AE5843">
        <v>1.6696599999999899</v>
      </c>
      <c r="AF5843">
        <v>-1.9067781876093199</v>
      </c>
      <c r="AG5843">
        <v>-1.112740322174</v>
      </c>
      <c r="AH5843">
        <v>14.1192401647585</v>
      </c>
      <c r="AI5843">
        <v>94.465805113941897</v>
      </c>
      <c r="AJ5843">
        <v>97.6911608475789</v>
      </c>
      <c r="AK5843">
        <v>14.2907990298466</v>
      </c>
      <c r="AL5843">
        <v>75.343381932512898</v>
      </c>
      <c r="AM5843">
        <v>96.808513560181794</v>
      </c>
      <c r="AN5843">
        <v>1.0000000085888401</v>
      </c>
    </row>
    <row r="5844" spans="1:40" x14ac:dyDescent="0.25">
      <c r="A5844" t="str">
        <f>"20190312172822086"</f>
        <v>20190312172822086</v>
      </c>
      <c r="B5844" t="str">
        <f>"1552382902075631"</f>
        <v>1552382902075631</v>
      </c>
      <c r="C5844" t="s">
        <v>40</v>
      </c>
      <c r="D5844">
        <v>3.5657100000000002</v>
      </c>
      <c r="E5844">
        <v>0.50323469999999904</v>
      </c>
      <c r="F5844" t="s">
        <v>52</v>
      </c>
      <c r="G5844">
        <v>-206.38980000000001</v>
      </c>
      <c r="H5844" s="1">
        <v>-2.3464449999999999E-6</v>
      </c>
      <c r="I5844">
        <v>-60.958979999999997</v>
      </c>
      <c r="J5844">
        <v>-220.4563</v>
      </c>
      <c r="K5844">
        <v>1.1129709999999999</v>
      </c>
      <c r="L5844">
        <v>-62.647799999999997</v>
      </c>
      <c r="M5844">
        <v>0.99977930000000004</v>
      </c>
      <c r="N5844">
        <v>0</v>
      </c>
      <c r="O5844">
        <v>-1.5139629999999999E-2</v>
      </c>
      <c r="P5844">
        <v>0.96551520000000002</v>
      </c>
      <c r="Q5844">
        <v>0.24026890000000001</v>
      </c>
      <c r="R5844">
        <v>0.100256</v>
      </c>
      <c r="S5844">
        <v>3.1290439999999999</v>
      </c>
      <c r="T5844">
        <v>-0.2438631</v>
      </c>
      <c r="U5844">
        <v>0.369751</v>
      </c>
      <c r="V5844">
        <v>-0.11651839999999999</v>
      </c>
      <c r="W5844">
        <v>0.25352469999999999</v>
      </c>
      <c r="X5844">
        <v>0.96028570000000002</v>
      </c>
      <c r="Y5844">
        <v>-0.1319341</v>
      </c>
      <c r="Z5844">
        <v>6.2900780000000002E-3</v>
      </c>
      <c r="AA5844">
        <v>0.99123850000000002</v>
      </c>
      <c r="AB5844">
        <v>33</v>
      </c>
      <c r="AC5844">
        <v>14.0664999999999</v>
      </c>
      <c r="AD5844">
        <v>-1.112973346445</v>
      </c>
      <c r="AE5844">
        <v>1.68881999999999</v>
      </c>
      <c r="AF5844">
        <v>-1.8899470252775099</v>
      </c>
      <c r="AG5844">
        <v>-1.112973346445</v>
      </c>
      <c r="AH5844">
        <v>13.953206173186</v>
      </c>
      <c r="AI5844">
        <v>94.519429284254997</v>
      </c>
      <c r="AJ5844">
        <v>97.713708391948401</v>
      </c>
      <c r="AK5844">
        <v>14.124537937210199</v>
      </c>
      <c r="AL5844">
        <v>75.313815252086499</v>
      </c>
      <c r="AM5844">
        <v>96.918291023337801</v>
      </c>
      <c r="AN5844">
        <v>0.99999996833656901</v>
      </c>
    </row>
    <row r="5845" spans="1:40" x14ac:dyDescent="0.25">
      <c r="A5845" t="str">
        <f>"20190312172822098"</f>
        <v>20190312172822098</v>
      </c>
      <c r="B5845" t="str">
        <f>"1552382902095151"</f>
        <v>1552382902095151</v>
      </c>
      <c r="C5845" t="s">
        <v>40</v>
      </c>
      <c r="D5845">
        <v>3.558767</v>
      </c>
      <c r="E5845">
        <v>0.50311229999999996</v>
      </c>
      <c r="F5845" t="s">
        <v>52</v>
      </c>
      <c r="G5845">
        <v>-206.08420000000001</v>
      </c>
      <c r="H5845" s="1">
        <v>-2.531545E-6</v>
      </c>
      <c r="I5845">
        <v>-60.8934</v>
      </c>
      <c r="J5845">
        <v>-220.29409999999999</v>
      </c>
      <c r="K5845">
        <v>1.1131450000000001</v>
      </c>
      <c r="L5845">
        <v>-62.648409999999998</v>
      </c>
      <c r="M5845">
        <v>0.9998068</v>
      </c>
      <c r="N5845">
        <v>0</v>
      </c>
      <c r="O5845">
        <v>-1.3187880000000001E-2</v>
      </c>
      <c r="P5845">
        <v>0.96510549999999995</v>
      </c>
      <c r="Q5845">
        <v>0.24079110000000001</v>
      </c>
      <c r="R5845">
        <v>0.10291210000000001</v>
      </c>
      <c r="S5845">
        <v>3.1277620000000002</v>
      </c>
      <c r="T5845">
        <v>-0.24221400000000001</v>
      </c>
      <c r="U5845">
        <v>0.38180540000000002</v>
      </c>
      <c r="V5845">
        <v>-0.11739479999999999</v>
      </c>
      <c r="W5845">
        <v>0.2539978</v>
      </c>
      <c r="X5845">
        <v>0.96005390000000002</v>
      </c>
      <c r="Y5845">
        <v>-0.1338181</v>
      </c>
      <c r="Z5845">
        <v>6.1709260000000002E-3</v>
      </c>
      <c r="AA5845">
        <v>0.9909867</v>
      </c>
      <c r="AB5845">
        <v>33</v>
      </c>
      <c r="AC5845">
        <v>14.2098999999999</v>
      </c>
      <c r="AD5845">
        <v>-1.1131475315449999</v>
      </c>
      <c r="AE5845">
        <v>1.75500999999999</v>
      </c>
      <c r="AF5845">
        <v>-1.93060647033567</v>
      </c>
      <c r="AG5845">
        <v>-1.1131475315449999</v>
      </c>
      <c r="AH5845">
        <v>14.100289740578299</v>
      </c>
      <c r="AI5845">
        <v>94.472299467841694</v>
      </c>
      <c r="AJ5845">
        <v>97.796438289579896</v>
      </c>
      <c r="AK5845">
        <v>14.275311188851299</v>
      </c>
      <c r="AL5845">
        <v>75.285791123755601</v>
      </c>
      <c r="AM5845">
        <v>96.971483672583105</v>
      </c>
      <c r="AN5845">
        <v>0.99999995618854398</v>
      </c>
    </row>
    <row r="5846" spans="1:40" x14ac:dyDescent="0.25">
      <c r="A5846" t="str">
        <f>"20190312172822108"</f>
        <v>20190312172822108</v>
      </c>
      <c r="B5846" t="str">
        <f>"1552382902104911"</f>
        <v>1552382902104911</v>
      </c>
      <c r="C5846" t="s">
        <v>40</v>
      </c>
      <c r="D5846">
        <v>3.5960420000000002</v>
      </c>
      <c r="E5846">
        <v>0.4771705</v>
      </c>
      <c r="F5846" t="s">
        <v>52</v>
      </c>
      <c r="G5846">
        <v>-205.86019999999999</v>
      </c>
      <c r="H5846" s="1">
        <v>-2.6665549999999998E-6</v>
      </c>
      <c r="I5846">
        <v>-60.840609999999998</v>
      </c>
      <c r="J5846">
        <v>-220.1386</v>
      </c>
      <c r="K5846">
        <v>1.1133059999999999</v>
      </c>
      <c r="L5846">
        <v>-62.648859999999999</v>
      </c>
      <c r="M5846">
        <v>0.99983010000000005</v>
      </c>
      <c r="N5846">
        <v>0</v>
      </c>
      <c r="O5846">
        <v>-1.129112E-2</v>
      </c>
      <c r="P5846">
        <v>0.96447240000000001</v>
      </c>
      <c r="Q5846">
        <v>0.24204129999999999</v>
      </c>
      <c r="R5846">
        <v>0.10587249999999999</v>
      </c>
      <c r="S5846">
        <v>3.1268769999999999</v>
      </c>
      <c r="T5846">
        <v>-0.24114630000000001</v>
      </c>
      <c r="U5846">
        <v>0.39163209999999998</v>
      </c>
      <c r="V5846">
        <v>-0.11862640000000001</v>
      </c>
      <c r="W5846">
        <v>0.25519310000000001</v>
      </c>
      <c r="X5846">
        <v>0.95958540000000003</v>
      </c>
      <c r="Y5846">
        <v>-0.135045</v>
      </c>
      <c r="Z5846">
        <v>6.0458530000000003E-3</v>
      </c>
      <c r="AA5846">
        <v>0.99082099999999995</v>
      </c>
      <c r="AB5846">
        <v>33</v>
      </c>
      <c r="AC5846">
        <v>14.2784</v>
      </c>
      <c r="AD5846">
        <v>-1.1133086665549901</v>
      </c>
      <c r="AE5846">
        <v>1.8082499999999999</v>
      </c>
      <c r="AF5846">
        <v>-1.9576571252061601</v>
      </c>
      <c r="AG5846">
        <v>-1.1133086665549901</v>
      </c>
      <c r="AH5846">
        <v>14.1722691846664</v>
      </c>
      <c r="AI5846">
        <v>94.449592305429405</v>
      </c>
      <c r="AJ5846">
        <v>97.864665015136893</v>
      </c>
      <c r="AK5846">
        <v>14.350090294125</v>
      </c>
      <c r="AL5846">
        <v>75.214971569535805</v>
      </c>
      <c r="AM5846">
        <v>97.047295682088702</v>
      </c>
      <c r="AN5846">
        <v>0.99999994047886298</v>
      </c>
    </row>
    <row r="5847" spans="1:40" x14ac:dyDescent="0.25">
      <c r="A5847" t="str">
        <f>"20190312172822119"</f>
        <v>20190312172822119</v>
      </c>
      <c r="B5847" t="str">
        <f>"1552382902115647"</f>
        <v>1552382902115647</v>
      </c>
      <c r="C5847" t="s">
        <v>40</v>
      </c>
      <c r="D5847">
        <v>3.5320580000000001</v>
      </c>
      <c r="E5847">
        <v>0.47204239999999997</v>
      </c>
      <c r="F5847" t="s">
        <v>52</v>
      </c>
      <c r="G5847">
        <v>-202.65729999999999</v>
      </c>
      <c r="H5847" s="1">
        <v>-4.6024930000000004E-6</v>
      </c>
      <c r="I5847">
        <v>-59.239170000000001</v>
      </c>
      <c r="J5847">
        <v>-219.97370000000001</v>
      </c>
      <c r="K5847">
        <v>1.1134679999999999</v>
      </c>
      <c r="L5847">
        <v>-62.648679999999999</v>
      </c>
      <c r="M5847">
        <v>0.99985210000000002</v>
      </c>
      <c r="N5847">
        <v>0</v>
      </c>
      <c r="O5847">
        <v>-9.1331780000000005E-3</v>
      </c>
      <c r="P5847">
        <v>0.96381320000000004</v>
      </c>
      <c r="Q5847">
        <v>0.24344289999999999</v>
      </c>
      <c r="R5847">
        <v>0.10862810000000001</v>
      </c>
      <c r="S5847">
        <v>3.0937190000000001</v>
      </c>
      <c r="T5847">
        <v>-0.1970258</v>
      </c>
      <c r="U5847">
        <v>0.60342410000000002</v>
      </c>
      <c r="V5847">
        <v>-0.119404</v>
      </c>
      <c r="W5847">
        <v>0.25654510000000003</v>
      </c>
      <c r="X5847">
        <v>0.95912839999999999</v>
      </c>
      <c r="Y5847">
        <v>-0.19998949999999999</v>
      </c>
      <c r="Z5847">
        <v>6.8784249999999996E-3</v>
      </c>
      <c r="AA5847">
        <v>0.97977389999999998</v>
      </c>
      <c r="AB5847">
        <v>33</v>
      </c>
      <c r="AC5847">
        <v>17.316400000000002</v>
      </c>
      <c r="AD5847">
        <v>-1.113472602493</v>
      </c>
      <c r="AE5847">
        <v>3.4095100000000098</v>
      </c>
      <c r="AF5847">
        <v>-3.5533944336043501</v>
      </c>
      <c r="AG5847">
        <v>-1.113472602493</v>
      </c>
      <c r="AH5847">
        <v>17.2160082380802</v>
      </c>
      <c r="AI5847">
        <v>93.6243554628835</v>
      </c>
      <c r="AJ5847">
        <v>101.662117013786</v>
      </c>
      <c r="AK5847">
        <v>17.614124244222801</v>
      </c>
      <c r="AL5847">
        <v>75.134841043695999</v>
      </c>
      <c r="AM5847">
        <v>97.096367105686198</v>
      </c>
      <c r="AN5847">
        <v>0.99999999561828501</v>
      </c>
    </row>
    <row r="5848" spans="1:40" x14ac:dyDescent="0.25">
      <c r="A5848" t="str">
        <f>"20190312172822131"</f>
        <v>20190312172822131</v>
      </c>
      <c r="B5848" t="str">
        <f>"1552382902125407"</f>
        <v>1552382902125407</v>
      </c>
      <c r="C5848" t="s">
        <v>40</v>
      </c>
      <c r="D5848">
        <v>3.52617</v>
      </c>
      <c r="E5848">
        <v>0.46900019999999998</v>
      </c>
      <c r="F5848" t="s">
        <v>52</v>
      </c>
      <c r="G5848">
        <v>-200.87950000000001</v>
      </c>
      <c r="H5848" s="1">
        <v>-5.6469600000000001E-6</v>
      </c>
      <c r="I5848">
        <v>-58.613959999999999</v>
      </c>
      <c r="J5848">
        <v>-219.81200000000001</v>
      </c>
      <c r="K5848">
        <v>1.113621</v>
      </c>
      <c r="L5848">
        <v>-62.64828</v>
      </c>
      <c r="M5848">
        <v>0.99986920000000001</v>
      </c>
      <c r="N5848">
        <v>0</v>
      </c>
      <c r="O5848">
        <v>-6.9810779999999999E-3</v>
      </c>
      <c r="P5848">
        <v>0.96308479999999996</v>
      </c>
      <c r="Q5848">
        <v>0.2450136</v>
      </c>
      <c r="R5848">
        <v>0.1115168</v>
      </c>
      <c r="S5848">
        <v>3.0845950000000002</v>
      </c>
      <c r="T5848">
        <v>-0.17987739999999999</v>
      </c>
      <c r="U5848">
        <v>0.6517944</v>
      </c>
      <c r="V5848">
        <v>-0.12031940000000001</v>
      </c>
      <c r="W5848">
        <v>0.25806479999999998</v>
      </c>
      <c r="X5848">
        <v>0.95860619999999996</v>
      </c>
      <c r="Y5848">
        <v>-0.21320890000000001</v>
      </c>
      <c r="Z5848">
        <v>6.5461149999999999E-3</v>
      </c>
      <c r="AA5848">
        <v>0.97698470000000004</v>
      </c>
      <c r="AB5848">
        <v>33</v>
      </c>
      <c r="AC5848">
        <v>18.932500000000001</v>
      </c>
      <c r="AD5848">
        <v>-1.11362664696</v>
      </c>
      <c r="AE5848">
        <v>4.0343200000000001</v>
      </c>
      <c r="AF5848">
        <v>-4.1526612775078204</v>
      </c>
      <c r="AG5848">
        <v>-1.11362664696</v>
      </c>
      <c r="AH5848">
        <v>18.841513450481902</v>
      </c>
      <c r="AI5848">
        <v>93.303428523052304</v>
      </c>
      <c r="AJ5848">
        <v>102.429252933387</v>
      </c>
      <c r="AK5848">
        <v>19.325821822091299</v>
      </c>
      <c r="AL5848">
        <v>75.044735198171395</v>
      </c>
      <c r="AM5848">
        <v>97.154064507172706</v>
      </c>
      <c r="AN5848">
        <v>1.0000000228469099</v>
      </c>
    </row>
    <row r="5849" spans="1:40" x14ac:dyDescent="0.25">
      <c r="A5849" t="str">
        <f>"20190312172822142"</f>
        <v>20190312172822142</v>
      </c>
      <c r="B5849" t="str">
        <f>"1552382902135167"</f>
        <v>1552382902135167</v>
      </c>
      <c r="C5849" t="s">
        <v>40</v>
      </c>
      <c r="D5849">
        <v>3.5653999999999999</v>
      </c>
      <c r="E5849">
        <v>0.46709070000000003</v>
      </c>
      <c r="F5849" t="s">
        <v>52</v>
      </c>
      <c r="G5849">
        <v>-199.39330000000001</v>
      </c>
      <c r="H5849" s="1">
        <v>-8.0224040000000006E-6</v>
      </c>
      <c r="I5849">
        <v>-58.107399999999998</v>
      </c>
      <c r="J5849">
        <v>-219.64599999999999</v>
      </c>
      <c r="K5849">
        <v>1.1137649999999999</v>
      </c>
      <c r="L5849">
        <v>-62.647309999999997</v>
      </c>
      <c r="M5849">
        <v>0.99988259999999995</v>
      </c>
      <c r="N5849">
        <v>0</v>
      </c>
      <c r="O5849">
        <v>-4.6773520000000001E-3</v>
      </c>
      <c r="P5849">
        <v>0.96239980000000003</v>
      </c>
      <c r="Q5849">
        <v>0.2463031</v>
      </c>
      <c r="R5849">
        <v>0.114549</v>
      </c>
      <c r="S5849">
        <v>3.0783999999999998</v>
      </c>
      <c r="T5849">
        <v>-0.1678946</v>
      </c>
      <c r="U5849">
        <v>0.68460080000000001</v>
      </c>
      <c r="V5849">
        <v>-0.1212279</v>
      </c>
      <c r="W5849">
        <v>0.25930710000000001</v>
      </c>
      <c r="X5849">
        <v>0.95815640000000002</v>
      </c>
      <c r="Y5849">
        <v>-0.221329</v>
      </c>
      <c r="Z5849">
        <v>6.2103899999999997E-3</v>
      </c>
      <c r="AA5849">
        <v>0.97517940000000003</v>
      </c>
      <c r="AB5849">
        <v>33</v>
      </c>
      <c r="AC5849">
        <v>20.252699999999901</v>
      </c>
      <c r="AD5849">
        <v>-1.1137730224039999</v>
      </c>
      <c r="AE5849">
        <v>4.5399099999999901</v>
      </c>
      <c r="AF5849">
        <v>-4.6212918558306502</v>
      </c>
      <c r="AG5849">
        <v>-1.1137730224039999</v>
      </c>
      <c r="AH5849">
        <v>20.173150383992699</v>
      </c>
      <c r="AI5849">
        <v>93.080493445861194</v>
      </c>
      <c r="AJ5849">
        <v>102.902762408027</v>
      </c>
      <c r="AK5849">
        <v>20.725656206194898</v>
      </c>
      <c r="AL5849">
        <v>74.971048590357</v>
      </c>
      <c r="AM5849">
        <v>97.210864893745196</v>
      </c>
      <c r="AN5849">
        <v>1.00000003135488</v>
      </c>
    </row>
    <row r="5850" spans="1:40" x14ac:dyDescent="0.25">
      <c r="A5850" t="str">
        <f>"20190312172822153"</f>
        <v>20190312172822153</v>
      </c>
      <c r="B5850" t="str">
        <f>"1552382902144927"</f>
        <v>1552382902144927</v>
      </c>
      <c r="C5850" t="s">
        <v>40</v>
      </c>
      <c r="D5850">
        <v>3.5357219999999998</v>
      </c>
      <c r="E5850">
        <v>0.46555360000000001</v>
      </c>
      <c r="F5850" t="s">
        <v>52</v>
      </c>
      <c r="G5850">
        <v>-198.14510000000001</v>
      </c>
      <c r="H5850" s="1">
        <v>-8.0309499999999997E-6</v>
      </c>
      <c r="I5850">
        <v>-57.683070000000001</v>
      </c>
      <c r="J5850">
        <v>-219.4872</v>
      </c>
      <c r="K5850">
        <v>1.1138950000000001</v>
      </c>
      <c r="L5850">
        <v>-62.646030000000003</v>
      </c>
      <c r="M5850">
        <v>0.99989059999999996</v>
      </c>
      <c r="N5850">
        <v>0</v>
      </c>
      <c r="O5850">
        <v>-2.420859E-3</v>
      </c>
      <c r="P5850">
        <v>0.96171589999999996</v>
      </c>
      <c r="Q5850">
        <v>0.24756639999999999</v>
      </c>
      <c r="R5850">
        <v>0.11753130000000001</v>
      </c>
      <c r="S5850">
        <v>3.073502</v>
      </c>
      <c r="T5850">
        <v>-0.1592112</v>
      </c>
      <c r="U5850">
        <v>0.70962519999999996</v>
      </c>
      <c r="V5850">
        <v>-0.1221271</v>
      </c>
      <c r="W5850">
        <v>0.26052540000000002</v>
      </c>
      <c r="X5850">
        <v>0.9577116</v>
      </c>
      <c r="Y5850">
        <v>-0.22703280000000001</v>
      </c>
      <c r="Z5850">
        <v>5.9239219999999999E-3</v>
      </c>
      <c r="AA5850">
        <v>0.97386910000000004</v>
      </c>
      <c r="AB5850">
        <v>33</v>
      </c>
      <c r="AC5850">
        <v>21.342099999999899</v>
      </c>
      <c r="AD5850">
        <v>-1.11390303095</v>
      </c>
      <c r="AE5850">
        <v>4.9629600000000096</v>
      </c>
      <c r="AF5850">
        <v>-5.00169113684629</v>
      </c>
      <c r="AG5850">
        <v>-1.11390303095</v>
      </c>
      <c r="AH5850">
        <v>21.275039763582299</v>
      </c>
      <c r="AI5850">
        <v>92.917709944712001</v>
      </c>
      <c r="AJ5850">
        <v>103.22980033381501</v>
      </c>
      <c r="AK5850">
        <v>21.883441482837501</v>
      </c>
      <c r="AL5850">
        <v>74.898760368203199</v>
      </c>
      <c r="AM5850">
        <v>97.267119356023898</v>
      </c>
      <c r="AN5850">
        <v>1.0000000106870599</v>
      </c>
    </row>
    <row r="5851" spans="1:40" x14ac:dyDescent="0.25">
      <c r="A5851" t="str">
        <f>"20190312172822165"</f>
        <v>20190312172822165</v>
      </c>
      <c r="B5851" t="str">
        <f>"1552382902155663"</f>
        <v>1552382902155663</v>
      </c>
      <c r="C5851" t="s">
        <v>40</v>
      </c>
      <c r="D5851">
        <v>3.7211310000000002</v>
      </c>
      <c r="E5851">
        <v>0.46502149999999998</v>
      </c>
      <c r="F5851" t="s">
        <v>52</v>
      </c>
      <c r="G5851">
        <v>-197.6591</v>
      </c>
      <c r="H5851" s="1">
        <v>-8.0610729999999992E-6</v>
      </c>
      <c r="I5851">
        <v>-57.441499999999998</v>
      </c>
      <c r="J5851">
        <v>-219.31399999999999</v>
      </c>
      <c r="K5851">
        <v>1.1140209999999999</v>
      </c>
      <c r="L5851">
        <v>-62.644199999999998</v>
      </c>
      <c r="M5851">
        <v>0.99989329999999998</v>
      </c>
      <c r="N5851">
        <v>0</v>
      </c>
      <c r="O5851" s="1">
        <v>9.9354579999999998E-5</v>
      </c>
      <c r="P5851">
        <v>0.9610554</v>
      </c>
      <c r="Q5851">
        <v>0.24866379999999999</v>
      </c>
      <c r="R5851">
        <v>0.1205774</v>
      </c>
      <c r="S5851">
        <v>3.0702970000000001</v>
      </c>
      <c r="T5851">
        <v>-0.15667890000000001</v>
      </c>
      <c r="U5851">
        <v>0.73205569999999998</v>
      </c>
      <c r="V5851">
        <v>-0.1228397</v>
      </c>
      <c r="W5851">
        <v>0.26157989999999998</v>
      </c>
      <c r="X5851">
        <v>0.95733290000000004</v>
      </c>
      <c r="Y5851">
        <v>-0.23154849999999999</v>
      </c>
      <c r="Z5851">
        <v>5.8177300000000001E-3</v>
      </c>
      <c r="AA5851">
        <v>0.97280599999999995</v>
      </c>
      <c r="AB5851">
        <v>33</v>
      </c>
      <c r="AC5851">
        <v>21.654900000000001</v>
      </c>
      <c r="AD5851">
        <v>-1.1140290610729999</v>
      </c>
      <c r="AE5851">
        <v>5.2027000000000001</v>
      </c>
      <c r="AF5851">
        <v>-5.1875682891343704</v>
      </c>
      <c r="AG5851">
        <v>-1.1140290610729999</v>
      </c>
      <c r="AH5851">
        <v>21.601367547708101</v>
      </c>
      <c r="AI5851">
        <v>92.870772384915895</v>
      </c>
      <c r="AJ5851">
        <v>103.503858977005</v>
      </c>
      <c r="AK5851">
        <v>22.243448595811799</v>
      </c>
      <c r="AL5851">
        <v>74.836170868291504</v>
      </c>
      <c r="AM5851">
        <v>97.311925103371493</v>
      </c>
      <c r="AN5851">
        <v>0.99999995870125402</v>
      </c>
    </row>
    <row r="5852" spans="1:40" x14ac:dyDescent="0.25">
      <c r="A5852" t="str">
        <f>"20190312172822176"</f>
        <v>20190312172822176</v>
      </c>
      <c r="B5852" t="str">
        <f>"1552382902165423"</f>
        <v>1552382902165423</v>
      </c>
      <c r="C5852" t="s">
        <v>40</v>
      </c>
      <c r="D5852">
        <v>3.5268679999999999</v>
      </c>
      <c r="E5852">
        <v>0.46434320000000001</v>
      </c>
      <c r="F5852" t="s">
        <v>52</v>
      </c>
      <c r="G5852">
        <v>-197.0941</v>
      </c>
      <c r="H5852" s="1">
        <v>-8.0691539999999998E-6</v>
      </c>
      <c r="I5852">
        <v>-57.237419999999901</v>
      </c>
      <c r="J5852">
        <v>-219.15539999999999</v>
      </c>
      <c r="K5852">
        <v>1.1141319999999999</v>
      </c>
      <c r="L5852">
        <v>-62.641939999999998</v>
      </c>
      <c r="M5852">
        <v>0.99989019999999995</v>
      </c>
      <c r="N5852">
        <v>0</v>
      </c>
      <c r="O5852">
        <v>2.4760440000000002E-3</v>
      </c>
      <c r="P5852">
        <v>0.96053259999999996</v>
      </c>
      <c r="Q5852">
        <v>0.24914059999999999</v>
      </c>
      <c r="R5852">
        <v>0.12371749999999999</v>
      </c>
      <c r="S5852">
        <v>3.067688</v>
      </c>
      <c r="T5852">
        <v>-0.153803</v>
      </c>
      <c r="U5852">
        <v>0.74646000000000001</v>
      </c>
      <c r="V5852">
        <v>-0.1237675</v>
      </c>
      <c r="W5852">
        <v>0.26201809999999998</v>
      </c>
      <c r="X5852">
        <v>0.95709359999999999</v>
      </c>
      <c r="Y5852">
        <v>-0.23375000000000001</v>
      </c>
      <c r="Z5852">
        <v>5.6496799999999998E-3</v>
      </c>
      <c r="AA5852">
        <v>0.97228029999999999</v>
      </c>
      <c r="AB5852">
        <v>33</v>
      </c>
      <c r="AC5852">
        <v>22.0612999999999</v>
      </c>
      <c r="AD5852">
        <v>-1.114140069154</v>
      </c>
      <c r="AE5852">
        <v>5.4045200000000104</v>
      </c>
      <c r="AF5852">
        <v>-5.3370316495005099</v>
      </c>
      <c r="AG5852">
        <v>-1.114140069154</v>
      </c>
      <c r="AH5852">
        <v>22.0216303306375</v>
      </c>
      <c r="AI5852">
        <v>92.814942948357995</v>
      </c>
      <c r="AJ5852">
        <v>103.62319716805401</v>
      </c>
      <c r="AK5852">
        <v>22.686502977337</v>
      </c>
      <c r="AL5852">
        <v>74.810157477049898</v>
      </c>
      <c r="AM5852">
        <v>97.368368819302205</v>
      </c>
      <c r="AN5852">
        <v>1.0000000189724001</v>
      </c>
    </row>
    <row r="5853" spans="1:40" x14ac:dyDescent="0.25">
      <c r="A5853" t="str">
        <f>"20190312172822186"</f>
        <v>20190312172822186</v>
      </c>
      <c r="B5853" t="str">
        <f>"1552382902175184"</f>
        <v>1552382902175184</v>
      </c>
      <c r="C5853" t="s">
        <v>40</v>
      </c>
      <c r="D5853">
        <v>3.557925</v>
      </c>
      <c r="E5853">
        <v>0.46377960000000001</v>
      </c>
      <c r="F5853" t="s">
        <v>52</v>
      </c>
      <c r="G5853">
        <v>-196.67740000000001</v>
      </c>
      <c r="H5853" s="1">
        <v>-8.0887150000000004E-6</v>
      </c>
      <c r="I5853">
        <v>-57.048180000000002</v>
      </c>
      <c r="J5853">
        <v>-218.99680000000001</v>
      </c>
      <c r="K5853">
        <v>1.114236</v>
      </c>
      <c r="L5853">
        <v>-62.639560000000003</v>
      </c>
      <c r="M5853">
        <v>0.99988140000000003</v>
      </c>
      <c r="N5853">
        <v>0</v>
      </c>
      <c r="O5853">
        <v>4.8733700000000001E-3</v>
      </c>
      <c r="P5853">
        <v>0.95997909999999997</v>
      </c>
      <c r="Q5853">
        <v>0.24957370000000001</v>
      </c>
      <c r="R5853">
        <v>0.12709509999999999</v>
      </c>
      <c r="S5853">
        <v>3.0644529999999999</v>
      </c>
      <c r="T5853">
        <v>-0.1518921</v>
      </c>
      <c r="U5853">
        <v>0.76260380000000005</v>
      </c>
      <c r="V5853">
        <v>-0.12491240000000001</v>
      </c>
      <c r="W5853">
        <v>0.26241140000000002</v>
      </c>
      <c r="X5853">
        <v>0.9568371</v>
      </c>
      <c r="Y5853">
        <v>-0.23648939999999999</v>
      </c>
      <c r="Z5853">
        <v>5.5316990000000002E-3</v>
      </c>
      <c r="AA5853">
        <v>0.97161839999999999</v>
      </c>
      <c r="AB5853">
        <v>33</v>
      </c>
      <c r="AC5853">
        <v>22.319400000000002</v>
      </c>
      <c r="AD5853">
        <v>-1.114244088715</v>
      </c>
      <c r="AE5853">
        <v>5.5913799999999902</v>
      </c>
      <c r="AF5853">
        <v>-5.4697042907949296</v>
      </c>
      <c r="AG5853">
        <v>-1.114244088715</v>
      </c>
      <c r="AH5853">
        <v>22.294104808773699</v>
      </c>
      <c r="AI5853">
        <v>92.778943301832996</v>
      </c>
      <c r="AJ5853">
        <v>103.784843032382</v>
      </c>
      <c r="AK5853">
        <v>22.982304369722399</v>
      </c>
      <c r="AL5853">
        <v>74.786806345281803</v>
      </c>
      <c r="AM5853">
        <v>97.437740921244995</v>
      </c>
      <c r="AN5853">
        <v>1.00000004323006</v>
      </c>
    </row>
    <row r="5854" spans="1:40" x14ac:dyDescent="0.25">
      <c r="A5854" t="str">
        <f>"20190312172822200"</f>
        <v>20190312172822200</v>
      </c>
      <c r="B5854" t="str">
        <f>"1552382902195680"</f>
        <v>1552382902195680</v>
      </c>
      <c r="C5854" t="s">
        <v>40</v>
      </c>
      <c r="D5854">
        <v>3.5340029999999998</v>
      </c>
      <c r="E5854">
        <v>0.4631517</v>
      </c>
      <c r="F5854" t="s">
        <v>52</v>
      </c>
      <c r="G5854">
        <v>-196.69890000000001</v>
      </c>
      <c r="H5854" s="1">
        <v>-8.1185709999999995E-6</v>
      </c>
      <c r="I5854">
        <v>-56.970010000000002</v>
      </c>
      <c r="J5854">
        <v>-218.82560000000001</v>
      </c>
      <c r="K5854">
        <v>1.114331</v>
      </c>
      <c r="L5854">
        <v>-62.636139999999997</v>
      </c>
      <c r="M5854">
        <v>0.99986470000000005</v>
      </c>
      <c r="N5854">
        <v>0</v>
      </c>
      <c r="O5854">
        <v>7.5407039999999996E-3</v>
      </c>
      <c r="P5854">
        <v>0.95950789999999997</v>
      </c>
      <c r="Q5854">
        <v>0.249615</v>
      </c>
      <c r="R5854">
        <v>0.13052549999999999</v>
      </c>
      <c r="S5854">
        <v>3.061798</v>
      </c>
      <c r="T5854">
        <v>-0.15300050000000001</v>
      </c>
      <c r="U5854">
        <v>0.77850339999999996</v>
      </c>
      <c r="V5854">
        <v>-0.1258456</v>
      </c>
      <c r="W5854">
        <v>0.26241750000000003</v>
      </c>
      <c r="X5854">
        <v>0.95671309999999998</v>
      </c>
      <c r="Y5854">
        <v>-0.23883570000000001</v>
      </c>
      <c r="Z5854">
        <v>5.4998180000000001E-3</v>
      </c>
      <c r="AA5854">
        <v>0.97104440000000003</v>
      </c>
      <c r="AB5854">
        <v>33</v>
      </c>
      <c r="AC5854">
        <v>22.1267</v>
      </c>
      <c r="AD5854">
        <v>-1.1143391185710001</v>
      </c>
      <c r="AE5854">
        <v>5.6661300000000097</v>
      </c>
      <c r="AF5854">
        <v>-5.4860421466317097</v>
      </c>
      <c r="AG5854">
        <v>-1.1143391185710001</v>
      </c>
      <c r="AH5854">
        <v>22.116160588233701</v>
      </c>
      <c r="AI5854">
        <v>92.799741514251807</v>
      </c>
      <c r="AJ5854">
        <v>103.931354346023</v>
      </c>
      <c r="AK5854">
        <v>22.813657516284799</v>
      </c>
      <c r="AL5854">
        <v>74.786443591650198</v>
      </c>
      <c r="AM5854">
        <v>97.493638113985</v>
      </c>
      <c r="AN5854">
        <v>1.00000000752861</v>
      </c>
    </row>
    <row r="5855" spans="1:40" x14ac:dyDescent="0.25">
      <c r="A5855" t="str">
        <f>"20190312172822212"</f>
        <v>20190312172822212</v>
      </c>
      <c r="B5855" t="str">
        <f>"1552382902205440"</f>
        <v>1552382902205440</v>
      </c>
      <c r="C5855" t="s">
        <v>40</v>
      </c>
      <c r="D5855">
        <v>3.5630389999999998</v>
      </c>
      <c r="E5855">
        <v>0.46286260000000001</v>
      </c>
      <c r="F5855" t="s">
        <v>52</v>
      </c>
      <c r="G5855">
        <v>-197.10300000000001</v>
      </c>
      <c r="H5855" s="1">
        <v>-8.1577259999999993E-6</v>
      </c>
      <c r="I5855">
        <v>-56.987960000000001</v>
      </c>
      <c r="J5855">
        <v>-218.63849999999999</v>
      </c>
      <c r="K5855">
        <v>1.1144320000000001</v>
      </c>
      <c r="L5855">
        <v>-62.632080000000002</v>
      </c>
      <c r="M5855">
        <v>0.99983820000000001</v>
      </c>
      <c r="N5855">
        <v>0</v>
      </c>
      <c r="O5855">
        <v>1.048466E-2</v>
      </c>
      <c r="P5855">
        <v>0.95900730000000001</v>
      </c>
      <c r="Q5855">
        <v>0.249446</v>
      </c>
      <c r="R5855">
        <v>0.13446859999999999</v>
      </c>
      <c r="S5855">
        <v>3.0592190000000001</v>
      </c>
      <c r="T5855">
        <v>-0.15693389999999999</v>
      </c>
      <c r="U5855">
        <v>0.795440699999999</v>
      </c>
      <c r="V5855">
        <v>-0.12702759999999999</v>
      </c>
      <c r="W5855">
        <v>0.26220949999999998</v>
      </c>
      <c r="X5855">
        <v>0.95661390000000002</v>
      </c>
      <c r="Y5855">
        <v>-0.24120069999999999</v>
      </c>
      <c r="Z5855">
        <v>5.5530619999999897E-3</v>
      </c>
      <c r="AA5855">
        <v>0.97045939999999997</v>
      </c>
      <c r="AB5855">
        <v>33</v>
      </c>
      <c r="AC5855">
        <v>21.535499999999999</v>
      </c>
      <c r="AD5855">
        <v>-1.1144401577259999</v>
      </c>
      <c r="AE5855">
        <v>5.64412</v>
      </c>
      <c r="AF5855">
        <v>-5.4044505188064402</v>
      </c>
      <c r="AG5855">
        <v>-1.1144401577259999</v>
      </c>
      <c r="AH5855">
        <v>21.5395245341129</v>
      </c>
      <c r="AI5855">
        <v>92.872907444949206</v>
      </c>
      <c r="AJ5855">
        <v>104.08522606735799</v>
      </c>
      <c r="AK5855">
        <v>22.2351338973038</v>
      </c>
      <c r="AL5855">
        <v>74.7987933562096</v>
      </c>
      <c r="AM5855">
        <v>97.563985994429601</v>
      </c>
      <c r="AN5855">
        <v>0.99999999336260903</v>
      </c>
    </row>
    <row r="5856" spans="1:40" x14ac:dyDescent="0.25">
      <c r="A5856" t="str">
        <f>"20190312172822223"</f>
        <v>20190312172822223</v>
      </c>
      <c r="B5856" t="str">
        <f>"1552382902215199"</f>
        <v>1552382902215199</v>
      </c>
      <c r="C5856" t="s">
        <v>40</v>
      </c>
      <c r="D5856">
        <v>3.571577</v>
      </c>
      <c r="E5856">
        <v>0.46261219999999997</v>
      </c>
      <c r="F5856" t="s">
        <v>52</v>
      </c>
      <c r="G5856">
        <v>-197.23079999999999</v>
      </c>
      <c r="H5856" s="1">
        <v>-8.1857369999999998E-6</v>
      </c>
      <c r="I5856">
        <v>-56.949089999999998</v>
      </c>
      <c r="J5856">
        <v>-218.4657</v>
      </c>
      <c r="K5856">
        <v>1.1145179999999999</v>
      </c>
      <c r="L5856">
        <v>-62.627719999999997</v>
      </c>
      <c r="M5856">
        <v>0.99980519999999995</v>
      </c>
      <c r="N5856">
        <v>0</v>
      </c>
      <c r="O5856">
        <v>1.3251539999999999E-2</v>
      </c>
      <c r="P5856">
        <v>0.95849189999999995</v>
      </c>
      <c r="Q5856">
        <v>0.24934020000000001</v>
      </c>
      <c r="R5856">
        <v>0.138286299999999</v>
      </c>
      <c r="S5856">
        <v>3.055847</v>
      </c>
      <c r="T5856">
        <v>-0.15908050000000001</v>
      </c>
      <c r="U5856">
        <v>0.81121829999999995</v>
      </c>
      <c r="V5856">
        <v>-0.12824739999999901</v>
      </c>
      <c r="W5856">
        <v>0.26206819999999997</v>
      </c>
      <c r="X5856">
        <v>0.9564899</v>
      </c>
      <c r="Y5856">
        <v>-0.2434548</v>
      </c>
      <c r="Z5856">
        <v>5.5475460000000004E-3</v>
      </c>
      <c r="AA5856">
        <v>0.96989639999999999</v>
      </c>
      <c r="AB5856">
        <v>33</v>
      </c>
      <c r="AC5856">
        <v>21.2349</v>
      </c>
      <c r="AD5856">
        <v>-1.1145261857369999</v>
      </c>
      <c r="AE5856">
        <v>5.6786299999999903</v>
      </c>
      <c r="AF5856">
        <v>-5.3828673134451996</v>
      </c>
      <c r="AG5856">
        <v>-1.1145261857369999</v>
      </c>
      <c r="AH5856">
        <v>21.253653018158399</v>
      </c>
      <c r="AI5856">
        <v>92.910082668301001</v>
      </c>
      <c r="AJ5856">
        <v>104.212328551</v>
      </c>
      <c r="AK5856">
        <v>21.953022474117802</v>
      </c>
      <c r="AL5856">
        <v>74.807183236750802</v>
      </c>
      <c r="AM5856">
        <v>97.6367454608842</v>
      </c>
      <c r="AN5856">
        <v>1.0000000329300001</v>
      </c>
    </row>
    <row r="5857" spans="1:40" x14ac:dyDescent="0.25">
      <c r="A5857" t="str">
        <f>"20190312172822236"</f>
        <v>20190312172822236</v>
      </c>
      <c r="B5857" t="str">
        <f>"1552382902224960"</f>
        <v>1552382902224960</v>
      </c>
      <c r="C5857" t="s">
        <v>40</v>
      </c>
      <c r="D5857">
        <v>3.5653969999999999</v>
      </c>
      <c r="E5857">
        <v>0.46249810000000002</v>
      </c>
      <c r="F5857" t="s">
        <v>52</v>
      </c>
      <c r="G5857">
        <v>-197.30330000000001</v>
      </c>
      <c r="H5857" s="1">
        <v>-8.2105659999999993E-6</v>
      </c>
      <c r="I5857">
        <v>-56.901600000000002</v>
      </c>
      <c r="J5857">
        <v>-218.2884</v>
      </c>
      <c r="K5857">
        <v>1.114601</v>
      </c>
      <c r="L5857">
        <v>-62.62265</v>
      </c>
      <c r="M5857">
        <v>0.99976279999999995</v>
      </c>
      <c r="N5857">
        <v>0</v>
      </c>
      <c r="O5857">
        <v>1.6130189999999999E-2</v>
      </c>
      <c r="P5857">
        <v>0.95796689999999995</v>
      </c>
      <c r="Q5857">
        <v>0.24923380000000001</v>
      </c>
      <c r="R5857">
        <v>0.1420631</v>
      </c>
      <c r="S5857">
        <v>3.0525509999999998</v>
      </c>
      <c r="T5857">
        <v>-0.16076389999999999</v>
      </c>
      <c r="U5857">
        <v>0.82595830000000003</v>
      </c>
      <c r="V5857">
        <v>-0.12931589999999901</v>
      </c>
      <c r="W5857">
        <v>0.26192880000000002</v>
      </c>
      <c r="X5857">
        <v>0.95638420000000002</v>
      </c>
      <c r="Y5857">
        <v>-0.2452858</v>
      </c>
      <c r="Z5857">
        <v>5.5072230000000003E-3</v>
      </c>
      <c r="AA5857">
        <v>0.96943520000000005</v>
      </c>
      <c r="AB5857">
        <v>33</v>
      </c>
      <c r="AC5857">
        <v>20.9850999999999</v>
      </c>
      <c r="AD5857">
        <v>-1.1146092105659999</v>
      </c>
      <c r="AE5857">
        <v>5.7210499999999902</v>
      </c>
      <c r="AF5857">
        <v>-5.3676803239623201</v>
      </c>
      <c r="AG5857">
        <v>-1.1146092105659999</v>
      </c>
      <c r="AH5857">
        <v>21.019464517926501</v>
      </c>
      <c r="AI5857">
        <v>92.941194885460803</v>
      </c>
      <c r="AJ5857">
        <v>104.325300808961</v>
      </c>
      <c r="AK5857">
        <v>21.722620338552701</v>
      </c>
      <c r="AL5857">
        <v>74.815459137570997</v>
      </c>
      <c r="AM5857">
        <v>97.700452008221802</v>
      </c>
      <c r="AN5857">
        <v>1.0000000181359401</v>
      </c>
    </row>
    <row r="5858" spans="1:40" x14ac:dyDescent="0.25">
      <c r="A5858" t="str">
        <f>"20190312172822250"</f>
        <v>20190312172822250</v>
      </c>
      <c r="B5858" t="str">
        <f>"1552382902245456"</f>
        <v>1552382902245456</v>
      </c>
      <c r="C5858" t="s">
        <v>40</v>
      </c>
      <c r="D5858">
        <v>3.5588890000000002</v>
      </c>
      <c r="E5858">
        <v>0.46236690000000003</v>
      </c>
      <c r="F5858" t="s">
        <v>52</v>
      </c>
      <c r="G5858">
        <v>-197.4006</v>
      </c>
      <c r="H5858" s="1">
        <v>-8.2318070000000005E-6</v>
      </c>
      <c r="I5858">
        <v>-56.872259999999997</v>
      </c>
      <c r="J5858">
        <v>-218.10419999999999</v>
      </c>
      <c r="K5858">
        <v>1.1146739999999999</v>
      </c>
      <c r="L5858">
        <v>-62.61703</v>
      </c>
      <c r="M5858">
        <v>0.99970970000000003</v>
      </c>
      <c r="N5858">
        <v>0</v>
      </c>
      <c r="O5858">
        <v>1.9144049999999999E-2</v>
      </c>
      <c r="P5858">
        <v>0.95741370000000003</v>
      </c>
      <c r="Q5858">
        <v>0.24890909999999999</v>
      </c>
      <c r="R5858">
        <v>0.14629909999999999</v>
      </c>
      <c r="S5858">
        <v>3.0494379999999999</v>
      </c>
      <c r="T5858">
        <v>-0.16272349999999999</v>
      </c>
      <c r="U5858">
        <v>0.83950809999999998</v>
      </c>
      <c r="V5858">
        <v>-0.13071169999999999</v>
      </c>
      <c r="W5858">
        <v>0.26156839999999998</v>
      </c>
      <c r="X5858">
        <v>0.95629299999999995</v>
      </c>
      <c r="Y5858">
        <v>-0.24661620000000001</v>
      </c>
      <c r="Z5858">
        <v>5.45379E-3</v>
      </c>
      <c r="AA5858">
        <v>0.96909789999999996</v>
      </c>
      <c r="AB5858">
        <v>33</v>
      </c>
      <c r="AC5858">
        <v>20.703599999999899</v>
      </c>
      <c r="AD5858">
        <v>-1.114682231807</v>
      </c>
      <c r="AE5858">
        <v>5.7447700000000097</v>
      </c>
      <c r="AF5858">
        <v>-5.3329700027148599</v>
      </c>
      <c r="AG5858">
        <v>-1.114682231807</v>
      </c>
      <c r="AH5858">
        <v>20.753935294103599</v>
      </c>
      <c r="AI5858">
        <v>92.9778127293024</v>
      </c>
      <c r="AJ5858">
        <v>104.41104600082799</v>
      </c>
      <c r="AK5858">
        <v>21.457141368775201</v>
      </c>
      <c r="AL5858">
        <v>74.836853234025199</v>
      </c>
      <c r="AM5858">
        <v>97.783288424770106</v>
      </c>
      <c r="AN5858">
        <v>0.99999993912222296</v>
      </c>
    </row>
    <row r="5859" spans="1:40" x14ac:dyDescent="0.25">
      <c r="A5859" t="str">
        <f>"20190312172822263"</f>
        <v>20190312172822263</v>
      </c>
      <c r="B5859" t="str">
        <f>"1552382902255216"</f>
        <v>1552382902255216</v>
      </c>
      <c r="C5859" t="s">
        <v>40</v>
      </c>
      <c r="D5859">
        <v>3.534707</v>
      </c>
      <c r="E5859">
        <v>0.46240619999999999</v>
      </c>
      <c r="F5859" t="s">
        <v>52</v>
      </c>
      <c r="G5859">
        <v>-197.7081</v>
      </c>
      <c r="H5859" s="1">
        <v>-8.2589399999999992E-6</v>
      </c>
      <c r="I5859">
        <v>-56.89349</v>
      </c>
      <c r="J5859">
        <v>-217.89959999999999</v>
      </c>
      <c r="K5859">
        <v>1.114743</v>
      </c>
      <c r="L5859">
        <v>-62.609830000000002</v>
      </c>
      <c r="M5859">
        <v>0.99963860000000004</v>
      </c>
      <c r="N5859">
        <v>0</v>
      </c>
      <c r="O5859">
        <v>2.254281E-2</v>
      </c>
      <c r="P5859">
        <v>0.95685480000000001</v>
      </c>
      <c r="Q5859">
        <v>0.2485301</v>
      </c>
      <c r="R5859">
        <v>0.15053820000000001</v>
      </c>
      <c r="S5859">
        <v>3.0461119999999999</v>
      </c>
      <c r="T5859">
        <v>-0.16647490000000001</v>
      </c>
      <c r="U5859">
        <v>0.85479740000000004</v>
      </c>
      <c r="V5859">
        <v>-0.13174050000000001</v>
      </c>
      <c r="W5859">
        <v>0.26115919999999998</v>
      </c>
      <c r="X5859">
        <v>0.95626369999999905</v>
      </c>
      <c r="Y5859">
        <v>-0.2480957</v>
      </c>
      <c r="Z5859">
        <v>5.4393530000000001E-3</v>
      </c>
      <c r="AA5859">
        <v>0.96872029999999998</v>
      </c>
      <c r="AB5859">
        <v>32</v>
      </c>
      <c r="AC5859">
        <v>20.191499999999898</v>
      </c>
      <c r="AD5859">
        <v>-1.1147512589399999</v>
      </c>
      <c r="AE5859">
        <v>5.7163399999999998</v>
      </c>
      <c r="AF5859">
        <v>-5.24486481252766</v>
      </c>
      <c r="AG5859">
        <v>-1.1147512589399999</v>
      </c>
      <c r="AH5859">
        <v>20.258078588030902</v>
      </c>
      <c r="AI5859">
        <v>93.049324456321699</v>
      </c>
      <c r="AJ5859">
        <v>104.515293717714</v>
      </c>
      <c r="AK5859">
        <v>20.955691955882401</v>
      </c>
      <c r="AL5859">
        <v>74.861143535197996</v>
      </c>
      <c r="AM5859">
        <v>97.844026508922695</v>
      </c>
      <c r="AN5859">
        <v>0.99999997551128905</v>
      </c>
    </row>
    <row r="5860" spans="1:40" x14ac:dyDescent="0.25">
      <c r="A5860" t="str">
        <f>"20190312172822277"</f>
        <v>20190312172822277</v>
      </c>
      <c r="B5860" t="str">
        <f>"1552382902264975"</f>
        <v>1552382902264975</v>
      </c>
      <c r="C5860" t="s">
        <v>40</v>
      </c>
      <c r="D5860">
        <v>3.544883</v>
      </c>
      <c r="E5860">
        <v>0.46246559999999998</v>
      </c>
      <c r="F5860" t="s">
        <v>52</v>
      </c>
      <c r="G5860">
        <v>-197.7559</v>
      </c>
      <c r="H5860" s="1">
        <v>-8.2758210000000004E-6</v>
      </c>
      <c r="I5860">
        <v>-56.86074</v>
      </c>
      <c r="J5860">
        <v>-217.69749999999999</v>
      </c>
      <c r="K5860">
        <v>1.1147990000000001</v>
      </c>
      <c r="L5860">
        <v>-62.602049999999998</v>
      </c>
      <c r="M5860">
        <v>0.99955640000000001</v>
      </c>
      <c r="N5860">
        <v>0</v>
      </c>
      <c r="O5860">
        <v>2.5930600000000002E-2</v>
      </c>
      <c r="P5860">
        <v>0.95606179999999996</v>
      </c>
      <c r="Q5860">
        <v>0.24792690000000001</v>
      </c>
      <c r="R5860">
        <v>0.1564555</v>
      </c>
      <c r="S5860">
        <v>3.0424039999999999</v>
      </c>
      <c r="T5860">
        <v>-0.16836690000000001</v>
      </c>
      <c r="U5860">
        <v>0.86831669999999905</v>
      </c>
      <c r="V5860">
        <v>-0.1344562</v>
      </c>
      <c r="W5860">
        <v>0.26050649999999997</v>
      </c>
      <c r="X5860">
        <v>0.95606369999999896</v>
      </c>
      <c r="Y5860">
        <v>-0.24910089999999999</v>
      </c>
      <c r="Z5860">
        <v>5.3481819999999999E-3</v>
      </c>
      <c r="AA5860">
        <v>0.96846279999999996</v>
      </c>
      <c r="AB5860">
        <v>32</v>
      </c>
      <c r="AC5860">
        <v>19.941599999999902</v>
      </c>
      <c r="AD5860">
        <v>-1.1148072758209999</v>
      </c>
      <c r="AE5860">
        <v>5.7413099999999897</v>
      </c>
      <c r="AF5860">
        <v>-5.2071979593908697</v>
      </c>
      <c r="AG5860">
        <v>-1.1148072758209999</v>
      </c>
      <c r="AH5860">
        <v>20.025989833272099</v>
      </c>
      <c r="AI5860">
        <v>93.083913216929304</v>
      </c>
      <c r="AJ5860">
        <v>104.575396967038</v>
      </c>
      <c r="AK5860">
        <v>20.721920148789899</v>
      </c>
      <c r="AL5860">
        <v>74.899881086751293</v>
      </c>
      <c r="AM5860">
        <v>98.005301372661606</v>
      </c>
      <c r="AN5860">
        <v>0.99999995235918804</v>
      </c>
    </row>
    <row r="5861" spans="1:40" x14ac:dyDescent="0.25">
      <c r="A5861" t="str">
        <f>"20190312172822291"</f>
        <v>20190312172822291</v>
      </c>
      <c r="B5861" t="str">
        <f>"1552382902285472"</f>
        <v>1552382902285472</v>
      </c>
      <c r="C5861" t="s">
        <v>40</v>
      </c>
      <c r="D5861">
        <v>3.5859109999999998</v>
      </c>
      <c r="E5861">
        <v>0.46259549999999999</v>
      </c>
      <c r="F5861" t="s">
        <v>52</v>
      </c>
      <c r="G5861">
        <v>-197.88820000000001</v>
      </c>
      <c r="H5861" s="1">
        <v>-8.3064090000000002E-6</v>
      </c>
      <c r="I5861">
        <v>-56.815969999999901</v>
      </c>
      <c r="J5861">
        <v>-217.50360000000001</v>
      </c>
      <c r="K5861">
        <v>1.114851</v>
      </c>
      <c r="L5861">
        <v>-62.594019999999901</v>
      </c>
      <c r="M5861">
        <v>0.99946619999999997</v>
      </c>
      <c r="N5861">
        <v>0</v>
      </c>
      <c r="O5861">
        <v>2.9201999999999999E-2</v>
      </c>
      <c r="P5861">
        <v>0.95548840000000002</v>
      </c>
      <c r="Q5861">
        <v>0.24757699999999999</v>
      </c>
      <c r="R5861">
        <v>0.1604612</v>
      </c>
      <c r="S5861">
        <v>3.0370330000000001</v>
      </c>
      <c r="T5861">
        <v>-0.17091519999999999</v>
      </c>
      <c r="U5861">
        <v>0.88708500000000001</v>
      </c>
      <c r="V5861">
        <v>-0.13536609999999999</v>
      </c>
      <c r="W5861">
        <v>0.26013180000000002</v>
      </c>
      <c r="X5861">
        <v>0.95603740000000004</v>
      </c>
      <c r="Y5861">
        <v>-0.25189660000000003</v>
      </c>
      <c r="Z5861">
        <v>5.330881E-3</v>
      </c>
      <c r="AA5861">
        <v>0.96773949999999997</v>
      </c>
      <c r="AB5861">
        <v>32</v>
      </c>
      <c r="AC5861">
        <v>19.615399999999902</v>
      </c>
      <c r="AD5861">
        <v>-1.114859306409</v>
      </c>
      <c r="AE5861">
        <v>5.7780500000000004</v>
      </c>
      <c r="AF5861">
        <v>-5.1872961839853904</v>
      </c>
      <c r="AG5861">
        <v>-1.114859306409</v>
      </c>
      <c r="AH5861">
        <v>19.7171740943541</v>
      </c>
      <c r="AI5861">
        <v>93.129921485348106</v>
      </c>
      <c r="AJ5861">
        <v>104.73966605027201</v>
      </c>
      <c r="AK5861">
        <v>20.418567707862</v>
      </c>
      <c r="AL5861">
        <v>74.922117512547501</v>
      </c>
      <c r="AM5861">
        <v>98.058984785889606</v>
      </c>
      <c r="AN5861">
        <v>1.0000000222995999</v>
      </c>
    </row>
    <row r="5862" spans="1:40" x14ac:dyDescent="0.25">
      <c r="A5862" t="str">
        <f>"20190312172822303"</f>
        <v>20190312172822303</v>
      </c>
      <c r="B5862" t="str">
        <f>"1552382902295231"</f>
        <v>1552382902295231</v>
      </c>
      <c r="C5862" t="s">
        <v>40</v>
      </c>
      <c r="D5862">
        <v>3.5408979999999999</v>
      </c>
      <c r="E5862">
        <v>0.46275909999999898</v>
      </c>
      <c r="F5862" t="s">
        <v>52</v>
      </c>
      <c r="G5862">
        <v>-198.03909999999999</v>
      </c>
      <c r="H5862" s="1">
        <v>-8.3217269999999907E-6</v>
      </c>
      <c r="I5862">
        <v>-56.8206699999999</v>
      </c>
      <c r="J5862">
        <v>-217.32239999999999</v>
      </c>
      <c r="K5862">
        <v>1.1148899999999999</v>
      </c>
      <c r="L5862">
        <v>-62.585819999999998</v>
      </c>
      <c r="M5862">
        <v>0.99937129999999996</v>
      </c>
      <c r="N5862">
        <v>0</v>
      </c>
      <c r="O5862">
        <v>3.2287440000000001E-2</v>
      </c>
      <c r="P5862">
        <v>0.95493919999999999</v>
      </c>
      <c r="Q5862">
        <v>0.24707080000000001</v>
      </c>
      <c r="R5862">
        <v>0.164460299999999</v>
      </c>
      <c r="S5862">
        <v>3.0336609999999999</v>
      </c>
      <c r="T5862">
        <v>-0.173757299999999</v>
      </c>
      <c r="U5862">
        <v>0.89981080000000002</v>
      </c>
      <c r="V5862">
        <v>-0.1364397</v>
      </c>
      <c r="W5862">
        <v>0.25960179999999999</v>
      </c>
      <c r="X5862">
        <v>0.95602880000000001</v>
      </c>
      <c r="Y5862">
        <v>-0.25292609999999999</v>
      </c>
      <c r="Z5862">
        <v>5.2784520000000003E-3</v>
      </c>
      <c r="AA5862">
        <v>0.96747119999999998</v>
      </c>
      <c r="AB5862">
        <v>32</v>
      </c>
      <c r="AC5862">
        <v>19.283300000000001</v>
      </c>
      <c r="AD5862">
        <v>-1.1148983217270001</v>
      </c>
      <c r="AE5862">
        <v>5.7651500000000002</v>
      </c>
      <c r="AF5862">
        <v>-5.12374611902995</v>
      </c>
      <c r="AG5862">
        <v>-1.1148983217270001</v>
      </c>
      <c r="AH5862">
        <v>19.399877277706199</v>
      </c>
      <c r="AI5862">
        <v>93.180316496632003</v>
      </c>
      <c r="AJ5862">
        <v>104.79469229153101</v>
      </c>
      <c r="AK5862">
        <v>20.0960446593384</v>
      </c>
      <c r="AL5862">
        <v>74.953563951238806</v>
      </c>
      <c r="AM5862">
        <v>98.122123818749998</v>
      </c>
      <c r="AN5862">
        <v>0.99999997636438398</v>
      </c>
    </row>
    <row r="5863" spans="1:40" x14ac:dyDescent="0.25">
      <c r="A5863" t="str">
        <f>"20190312172822314"</f>
        <v>20190312172822314</v>
      </c>
      <c r="B5863" t="str">
        <f>"1552382902304992"</f>
        <v>1552382902304992</v>
      </c>
      <c r="C5863" t="s">
        <v>40</v>
      </c>
      <c r="D5863">
        <v>3.5716950000000001</v>
      </c>
      <c r="E5863">
        <v>0.46293200000000001</v>
      </c>
      <c r="F5863" t="s">
        <v>52</v>
      </c>
      <c r="G5863">
        <v>-198.1885</v>
      </c>
      <c r="H5863" s="1">
        <v>-8.3349959999999997E-6</v>
      </c>
      <c r="I5863">
        <v>-56.830750000000002</v>
      </c>
      <c r="J5863">
        <v>-217.17140000000001</v>
      </c>
      <c r="K5863">
        <v>1.1149199999999999</v>
      </c>
      <c r="L5863">
        <v>-62.578519999999997</v>
      </c>
      <c r="M5863">
        <v>0.99928439999999996</v>
      </c>
      <c r="N5863">
        <v>0</v>
      </c>
      <c r="O5863">
        <v>3.4871810000000003E-2</v>
      </c>
      <c r="P5863">
        <v>0.95444450000000003</v>
      </c>
      <c r="Q5863">
        <v>0.2468052</v>
      </c>
      <c r="R5863">
        <v>0.1676995</v>
      </c>
      <c r="S5863">
        <v>3.0302730000000002</v>
      </c>
      <c r="T5863">
        <v>-0.176568</v>
      </c>
      <c r="U5863">
        <v>0.91143799999999997</v>
      </c>
      <c r="V5863">
        <v>-0.13723099999999999</v>
      </c>
      <c r="W5863">
        <v>0.25931759999999998</v>
      </c>
      <c r="X5863">
        <v>0.95599270000000003</v>
      </c>
      <c r="Y5863">
        <v>-0.25411790000000001</v>
      </c>
      <c r="Z5863">
        <v>5.2537349999999998E-3</v>
      </c>
      <c r="AA5863">
        <v>0.96715899999999999</v>
      </c>
      <c r="AB5863">
        <v>32</v>
      </c>
      <c r="AC5863">
        <v>18.982900000000001</v>
      </c>
      <c r="AD5863">
        <v>-1.114928334996</v>
      </c>
      <c r="AE5863">
        <v>5.7477699999999903</v>
      </c>
      <c r="AF5863">
        <v>-5.0662255081618097</v>
      </c>
      <c r="AG5863">
        <v>-1.114928334996</v>
      </c>
      <c r="AH5863">
        <v>19.111418459556301</v>
      </c>
      <c r="AI5863">
        <v>93.227526730484399</v>
      </c>
      <c r="AJ5863">
        <v>104.846988033583</v>
      </c>
      <c r="AK5863">
        <v>19.802929622356299</v>
      </c>
      <c r="AL5863">
        <v>74.970425252215705</v>
      </c>
      <c r="AM5863">
        <v>98.168899521105303</v>
      </c>
      <c r="AN5863">
        <v>1.00000000374202</v>
      </c>
    </row>
    <row r="5864" spans="1:40" x14ac:dyDescent="0.25">
      <c r="A5864" t="str">
        <f>"20190312172822324"</f>
        <v>20190312172822324</v>
      </c>
      <c r="B5864" t="str">
        <f>"1552382902315728"</f>
        <v>1552382902315728</v>
      </c>
      <c r="C5864" t="s">
        <v>40</v>
      </c>
      <c r="D5864">
        <v>3.540591</v>
      </c>
      <c r="E5864">
        <v>0.46315390000000001</v>
      </c>
      <c r="F5864" t="s">
        <v>52</v>
      </c>
      <c r="G5864">
        <v>-198.24289999999999</v>
      </c>
      <c r="H5864" s="1">
        <v>-8.3437409999999999E-6</v>
      </c>
      <c r="I5864">
        <v>-56.823279999999997</v>
      </c>
      <c r="J5864">
        <v>-217.0154</v>
      </c>
      <c r="K5864">
        <v>1.114951</v>
      </c>
      <c r="L5864">
        <v>-62.570650000000001</v>
      </c>
      <c r="M5864">
        <v>0.99918720000000005</v>
      </c>
      <c r="N5864">
        <v>0</v>
      </c>
      <c r="O5864">
        <v>3.7552910000000002E-2</v>
      </c>
      <c r="P5864">
        <v>0.95398439999999995</v>
      </c>
      <c r="Q5864">
        <v>0.24626580000000001</v>
      </c>
      <c r="R5864">
        <v>0.1710759</v>
      </c>
      <c r="S5864">
        <v>3.0275569999999998</v>
      </c>
      <c r="T5864">
        <v>-0.1783293</v>
      </c>
      <c r="U5864">
        <v>0.92053220000000002</v>
      </c>
      <c r="V5864">
        <v>-0.1380605</v>
      </c>
      <c r="W5864">
        <v>0.25876080000000001</v>
      </c>
      <c r="X5864">
        <v>0.95602419999999999</v>
      </c>
      <c r="Y5864">
        <v>-0.2544207</v>
      </c>
      <c r="Z5864">
        <v>5.1632630000000004E-3</v>
      </c>
      <c r="AA5864">
        <v>0.96707980000000004</v>
      </c>
      <c r="AB5864">
        <v>32</v>
      </c>
      <c r="AC5864">
        <v>18.772500000000001</v>
      </c>
      <c r="AD5864">
        <v>-1.1149593437409999</v>
      </c>
      <c r="AE5864">
        <v>5.7473699999999903</v>
      </c>
      <c r="AF5864">
        <v>-5.0220800424752303</v>
      </c>
      <c r="AG5864">
        <v>-1.1149593437409999</v>
      </c>
      <c r="AH5864">
        <v>18.914106858357801</v>
      </c>
      <c r="AI5864">
        <v>93.260866492493804</v>
      </c>
      <c r="AJ5864">
        <v>104.87008037624599</v>
      </c>
      <c r="AK5864">
        <v>19.601220894133199</v>
      </c>
      <c r="AL5864">
        <v>75.003455847892596</v>
      </c>
      <c r="AM5864">
        <v>98.217337417719904</v>
      </c>
      <c r="AN5864">
        <v>1.0000000621312599</v>
      </c>
    </row>
    <row r="5865" spans="1:40" x14ac:dyDescent="0.25">
      <c r="A5865" t="str">
        <f>"20190312172822334"</f>
        <v>20190312172822334</v>
      </c>
      <c r="B5865" t="str">
        <f>"1552382902325488"</f>
        <v>1552382902325488</v>
      </c>
      <c r="C5865" t="s">
        <v>40</v>
      </c>
      <c r="D5865">
        <v>3.546389</v>
      </c>
      <c r="E5865">
        <v>0.46335379999999998</v>
      </c>
      <c r="F5865" t="s">
        <v>52</v>
      </c>
      <c r="G5865">
        <v>-198.3809</v>
      </c>
      <c r="H5865" s="1">
        <v>-8.3521150000000002E-6</v>
      </c>
      <c r="I5865">
        <v>-56.843649999999997</v>
      </c>
      <c r="J5865">
        <v>-216.87889999999999</v>
      </c>
      <c r="K5865">
        <v>1.114975</v>
      </c>
      <c r="L5865">
        <v>-62.563319999999997</v>
      </c>
      <c r="M5865">
        <v>0.99909570000000003</v>
      </c>
      <c r="N5865">
        <v>0</v>
      </c>
      <c r="O5865">
        <v>3.9911339999999997E-2</v>
      </c>
      <c r="P5865">
        <v>0.95350480000000004</v>
      </c>
      <c r="Q5865">
        <v>0.24597369999999999</v>
      </c>
      <c r="R5865">
        <v>0.1741431</v>
      </c>
      <c r="S5865">
        <v>3.0247190000000002</v>
      </c>
      <c r="T5865">
        <v>-0.18097830000000001</v>
      </c>
      <c r="U5865">
        <v>0.92959590000000003</v>
      </c>
      <c r="V5865">
        <v>-0.1388915</v>
      </c>
      <c r="W5865">
        <v>0.25845220000000002</v>
      </c>
      <c r="X5865">
        <v>0.95598720000000004</v>
      </c>
      <c r="Y5865">
        <v>-0.25503310000000001</v>
      </c>
      <c r="Z5865">
        <v>5.1228580000000001E-3</v>
      </c>
      <c r="AA5865">
        <v>0.96691879999999997</v>
      </c>
      <c r="AB5865">
        <v>32</v>
      </c>
      <c r="AC5865">
        <v>18.497999999999902</v>
      </c>
      <c r="AD5865">
        <v>-1.1149833521150001</v>
      </c>
      <c r="AE5865">
        <v>5.7196699999999998</v>
      </c>
      <c r="AF5865">
        <v>-4.9603033992892502</v>
      </c>
      <c r="AG5865">
        <v>-1.1149833521150001</v>
      </c>
      <c r="AH5865">
        <v>18.6497173335806</v>
      </c>
      <c r="AI5865">
        <v>93.306693702336602</v>
      </c>
      <c r="AJ5865">
        <v>104.89425394852699</v>
      </c>
      <c r="AK5865">
        <v>19.330280761306899</v>
      </c>
      <c r="AL5865">
        <v>75.0217583768396</v>
      </c>
      <c r="AM5865">
        <v>98.266432429211605</v>
      </c>
      <c r="AN5865">
        <v>0.999999957510464</v>
      </c>
    </row>
    <row r="5866" spans="1:40" x14ac:dyDescent="0.25">
      <c r="A5866" t="str">
        <f>"20190312172822345"</f>
        <v>20190312172822345</v>
      </c>
      <c r="B5866" t="str">
        <f>"1552382902335248"</f>
        <v>1552382902335248</v>
      </c>
      <c r="C5866" t="s">
        <v>40</v>
      </c>
      <c r="D5866">
        <v>3.5198450000000001</v>
      </c>
      <c r="E5866">
        <v>0.46358880000000002</v>
      </c>
      <c r="F5866" t="s">
        <v>52</v>
      </c>
      <c r="G5866">
        <v>-198.4752</v>
      </c>
      <c r="H5866" s="1">
        <v>-8.3591549999999998E-6</v>
      </c>
      <c r="I5866">
        <v>-56.8538</v>
      </c>
      <c r="J5866">
        <v>-216.7184</v>
      </c>
      <c r="K5866">
        <v>1.115003</v>
      </c>
      <c r="L5866">
        <v>-62.554380000000002</v>
      </c>
      <c r="M5866">
        <v>0.9989808</v>
      </c>
      <c r="N5866">
        <v>0</v>
      </c>
      <c r="O5866">
        <v>4.269129E-2</v>
      </c>
      <c r="P5866">
        <v>0.95281830000000001</v>
      </c>
      <c r="Q5866">
        <v>0.24607680000000001</v>
      </c>
      <c r="R5866">
        <v>0.17771799999999999</v>
      </c>
      <c r="S5866">
        <v>3.022278</v>
      </c>
      <c r="T5866">
        <v>-0.18310360000000001</v>
      </c>
      <c r="U5866">
        <v>0.93762210000000001</v>
      </c>
      <c r="V5866">
        <v>-0.13983999999999999</v>
      </c>
      <c r="W5866">
        <v>0.25853510000000002</v>
      </c>
      <c r="X5866">
        <v>0.95582650000000002</v>
      </c>
      <c r="Y5866">
        <v>-0.25490259999999998</v>
      </c>
      <c r="Z5866">
        <v>5.0172890000000003E-3</v>
      </c>
      <c r="AA5866">
        <v>0.96695370000000003</v>
      </c>
      <c r="AB5866">
        <v>32</v>
      </c>
      <c r="AC5866">
        <v>18.243200000000002</v>
      </c>
      <c r="AD5866">
        <v>-1.1150113591549999</v>
      </c>
      <c r="AE5866">
        <v>5.7005800000000004</v>
      </c>
      <c r="AF5866">
        <v>-4.8997970093564502</v>
      </c>
      <c r="AG5866">
        <v>-1.1150113591549999</v>
      </c>
      <c r="AH5866">
        <v>18.4073105901284</v>
      </c>
      <c r="AI5866">
        <v>93.350046127112705</v>
      </c>
      <c r="AJ5866">
        <v>104.90578555103799</v>
      </c>
      <c r="AK5866">
        <v>19.0808895029921</v>
      </c>
      <c r="AL5866">
        <v>75.016841495214393</v>
      </c>
      <c r="AM5866">
        <v>98.323476041207996</v>
      </c>
      <c r="AN5866">
        <v>0.99999996081712905</v>
      </c>
    </row>
    <row r="5867" spans="1:40" x14ac:dyDescent="0.25">
      <c r="A5867" t="str">
        <f>"20190312172822356"</f>
        <v>20190312172822356</v>
      </c>
      <c r="B5867" t="str">
        <f>"1552382902345008"</f>
        <v>1552382902345008</v>
      </c>
      <c r="C5867" t="s">
        <v>40</v>
      </c>
      <c r="D5867">
        <v>3.5305939999999998</v>
      </c>
      <c r="E5867">
        <v>0.46380729999999998</v>
      </c>
      <c r="F5867" t="s">
        <v>52</v>
      </c>
      <c r="G5867">
        <v>-198.41569999999999</v>
      </c>
      <c r="H5867" s="1">
        <v>-8.3671039999999992E-6</v>
      </c>
      <c r="I5867">
        <v>-56.812109999999997</v>
      </c>
      <c r="J5867">
        <v>-216.56489999999999</v>
      </c>
      <c r="K5867">
        <v>1.1150260000000001</v>
      </c>
      <c r="L5867">
        <v>-62.545229999999997</v>
      </c>
      <c r="M5867">
        <v>0.99886299999999995</v>
      </c>
      <c r="N5867">
        <v>0</v>
      </c>
      <c r="O5867">
        <v>4.5362149999999997E-2</v>
      </c>
      <c r="P5867">
        <v>0.95221270000000002</v>
      </c>
      <c r="Q5867">
        <v>0.2461045</v>
      </c>
      <c r="R5867">
        <v>0.18089620000000001</v>
      </c>
      <c r="S5867">
        <v>3.0193629999999998</v>
      </c>
      <c r="T5867">
        <v>-0.1839423</v>
      </c>
      <c r="U5867">
        <v>0.94729609999999997</v>
      </c>
      <c r="V5867">
        <v>-0.14049130000000001</v>
      </c>
      <c r="W5867">
        <v>0.25854749999999999</v>
      </c>
      <c r="X5867">
        <v>0.95572769999999996</v>
      </c>
      <c r="Y5867">
        <v>-0.25540479999999999</v>
      </c>
      <c r="Z5867">
        <v>4.8993700000000001E-3</v>
      </c>
      <c r="AA5867">
        <v>0.96682179999999995</v>
      </c>
      <c r="AB5867">
        <v>32</v>
      </c>
      <c r="AC5867">
        <v>18.1492</v>
      </c>
      <c r="AD5867">
        <v>-1.1150343671039999</v>
      </c>
      <c r="AE5867">
        <v>5.7331200000000004</v>
      </c>
      <c r="AF5867">
        <v>-4.8870691937609498</v>
      </c>
      <c r="AG5867">
        <v>-1.1150343671039999</v>
      </c>
      <c r="AH5867">
        <v>18.327706345325002</v>
      </c>
      <c r="AI5867">
        <v>93.364247045548694</v>
      </c>
      <c r="AJ5867">
        <v>104.93048564754299</v>
      </c>
      <c r="AK5867">
        <v>19.000830687759301</v>
      </c>
      <c r="AL5867">
        <v>75.0161070186914</v>
      </c>
      <c r="AM5867">
        <v>98.362547672841998</v>
      </c>
      <c r="AN5867">
        <v>1.00000002583961</v>
      </c>
    </row>
    <row r="5868" spans="1:40" x14ac:dyDescent="0.25">
      <c r="A5868" t="str">
        <f>"20190312172822368"</f>
        <v>20190312172822368</v>
      </c>
      <c r="B5868" t="str">
        <f>"1552382902365504"</f>
        <v>1552382902365504</v>
      </c>
      <c r="C5868" t="s">
        <v>40</v>
      </c>
      <c r="D5868">
        <v>3.5332910000000002</v>
      </c>
      <c r="E5868">
        <v>0.46404869999999998</v>
      </c>
      <c r="F5868" t="s">
        <v>52</v>
      </c>
      <c r="G5868">
        <v>-198.38390000000001</v>
      </c>
      <c r="H5868" s="1">
        <v>-8.3726469999999902E-6</v>
      </c>
      <c r="I5868">
        <v>-56.78613</v>
      </c>
      <c r="J5868">
        <v>-216.398</v>
      </c>
      <c r="K5868">
        <v>1.115051</v>
      </c>
      <c r="L5868">
        <v>-62.535130000000002</v>
      </c>
      <c r="M5868">
        <v>0.99872669999999997</v>
      </c>
      <c r="N5868">
        <v>0</v>
      </c>
      <c r="O5868">
        <v>4.8271189999999999E-2</v>
      </c>
      <c r="P5868">
        <v>0.95158180000000003</v>
      </c>
      <c r="Q5868">
        <v>0.24623100000000001</v>
      </c>
      <c r="R5868">
        <v>0.1840183</v>
      </c>
      <c r="S5868">
        <v>3.0168300000000001</v>
      </c>
      <c r="T5868">
        <v>-0.1850214</v>
      </c>
      <c r="U5868">
        <v>0.95562740000000002</v>
      </c>
      <c r="V5868">
        <v>-0.14086179999999901</v>
      </c>
      <c r="W5868">
        <v>0.25866230000000001</v>
      </c>
      <c r="X5868">
        <v>0.95564210000000005</v>
      </c>
      <c r="Y5868">
        <v>-0.25525039999999999</v>
      </c>
      <c r="Z5868">
        <v>4.7521890000000004E-3</v>
      </c>
      <c r="AA5868">
        <v>0.96686329999999998</v>
      </c>
      <c r="AB5868">
        <v>32</v>
      </c>
      <c r="AC5868">
        <v>18.0140999999999</v>
      </c>
      <c r="AD5868">
        <v>-1.1150593726469999</v>
      </c>
      <c r="AE5868">
        <v>5.7489999999999899</v>
      </c>
      <c r="AF5868">
        <v>-4.8557561093654398</v>
      </c>
      <c r="AG5868">
        <v>-1.1150593726469999</v>
      </c>
      <c r="AH5868">
        <v>18.207323485315701</v>
      </c>
      <c r="AI5868">
        <v>93.386478529321707</v>
      </c>
      <c r="AJ5868">
        <v>104.93279754749901</v>
      </c>
      <c r="AK5868">
        <v>18.8766616036072</v>
      </c>
      <c r="AL5868">
        <v>75.009297865462699</v>
      </c>
      <c r="AM5868">
        <v>98.385028418002406</v>
      </c>
      <c r="AN5868">
        <v>1.00000002771646</v>
      </c>
    </row>
    <row r="5869" spans="1:40" x14ac:dyDescent="0.25">
      <c r="A5869" t="str">
        <f>"20190312172822378"</f>
        <v>20190312172822378</v>
      </c>
      <c r="B5869" t="str">
        <f>"1552382902365504"</f>
        <v>1552382902365504</v>
      </c>
      <c r="C5869" t="s">
        <v>40</v>
      </c>
      <c r="D5869">
        <v>3.5332910000000002</v>
      </c>
      <c r="E5869">
        <v>0.46404869999999998</v>
      </c>
      <c r="F5869" t="s">
        <v>52</v>
      </c>
      <c r="G5869">
        <v>-198.30119999999999</v>
      </c>
      <c r="H5869" s="1">
        <v>-8.376032E-6</v>
      </c>
      <c r="I5869">
        <v>-56.749969999999998</v>
      </c>
      <c r="J5869">
        <v>-216.25399999999999</v>
      </c>
      <c r="K5869">
        <v>1.1150709999999999</v>
      </c>
      <c r="L5869">
        <v>-62.525669999999998</v>
      </c>
      <c r="M5869">
        <v>0.99860139999999997</v>
      </c>
      <c r="N5869">
        <v>0</v>
      </c>
      <c r="O5869">
        <v>5.0795750000000001E-2</v>
      </c>
      <c r="P5869">
        <v>0.95103819999999994</v>
      </c>
      <c r="Q5869">
        <v>0.24615300000000001</v>
      </c>
      <c r="R5869">
        <v>0.1869093</v>
      </c>
      <c r="S5869">
        <v>3.0143589999999998</v>
      </c>
      <c r="T5869">
        <v>-0.1857337</v>
      </c>
      <c r="U5869">
        <v>0.96362300000000001</v>
      </c>
      <c r="V5869">
        <v>-0.14136009999999999</v>
      </c>
      <c r="W5869">
        <v>0.25857380000000002</v>
      </c>
      <c r="X5869">
        <v>0.95559249999999996</v>
      </c>
      <c r="Y5869">
        <v>-0.2553646</v>
      </c>
      <c r="Z5869">
        <v>4.6248490000000003E-3</v>
      </c>
      <c r="AA5869">
        <v>0.96683379999999997</v>
      </c>
      <c r="AB5869">
        <v>32</v>
      </c>
      <c r="AC5869">
        <v>17.9528</v>
      </c>
      <c r="AD5869">
        <v>-1.1150793760319999</v>
      </c>
      <c r="AE5869">
        <v>5.7756999999999996</v>
      </c>
      <c r="AF5869">
        <v>-4.8393000140447802</v>
      </c>
      <c r="AG5869">
        <v>-1.1150793760319999</v>
      </c>
      <c r="AH5869">
        <v>18.159545424950402</v>
      </c>
      <c r="AI5869">
        <v>93.395600807223801</v>
      </c>
      <c r="AJ5869">
        <v>104.92185680043301</v>
      </c>
      <c r="AK5869">
        <v>18.826346344461601</v>
      </c>
      <c r="AL5869">
        <v>75.014547572257598</v>
      </c>
      <c r="AM5869">
        <v>98.414697115357995</v>
      </c>
      <c r="AN5869">
        <v>1.00000005698734</v>
      </c>
    </row>
    <row r="5870" spans="1:40" x14ac:dyDescent="0.25">
      <c r="A5870" t="str">
        <f>"20190312172822387"</f>
        <v>20190312172822387</v>
      </c>
      <c r="B5870" t="str">
        <f>"1552382902375263"</f>
        <v>1552382902375263</v>
      </c>
      <c r="C5870" t="s">
        <v>40</v>
      </c>
      <c r="D5870">
        <v>3.5160309999999999</v>
      </c>
      <c r="E5870">
        <v>0.47135159999999998</v>
      </c>
      <c r="F5870" t="s">
        <v>52</v>
      </c>
      <c r="G5870">
        <v>-198.2056</v>
      </c>
      <c r="H5870" s="1">
        <v>-8.3839199999999992E-6</v>
      </c>
      <c r="I5870">
        <v>-56.696869999999997</v>
      </c>
      <c r="J5870">
        <v>-216.1121</v>
      </c>
      <c r="K5870">
        <v>1.115089</v>
      </c>
      <c r="L5870">
        <v>-62.516300000000001</v>
      </c>
      <c r="M5870">
        <v>0.99847189999999997</v>
      </c>
      <c r="N5870">
        <v>0</v>
      </c>
      <c r="O5870">
        <v>5.32814E-2</v>
      </c>
      <c r="P5870">
        <v>0.95046850000000005</v>
      </c>
      <c r="Q5870">
        <v>0.2462818</v>
      </c>
      <c r="R5870">
        <v>0.1896187</v>
      </c>
      <c r="S5870">
        <v>3.0114589999999999</v>
      </c>
      <c r="T5870">
        <v>-0.18605659999999999</v>
      </c>
      <c r="U5870">
        <v>0.97256469999999995</v>
      </c>
      <c r="V5870">
        <v>-0.14172000000000001</v>
      </c>
      <c r="W5870">
        <v>0.25869259999999999</v>
      </c>
      <c r="X5870">
        <v>0.955507</v>
      </c>
      <c r="Y5870">
        <v>-0.2558318</v>
      </c>
      <c r="Z5870">
        <v>4.5003049999999996E-3</v>
      </c>
      <c r="AA5870">
        <v>0.96671079999999998</v>
      </c>
      <c r="AB5870">
        <v>32</v>
      </c>
      <c r="AC5870">
        <v>17.906499999999902</v>
      </c>
      <c r="AD5870">
        <v>-1.11509738392</v>
      </c>
      <c r="AE5870">
        <v>5.8194299999999997</v>
      </c>
      <c r="AF5870">
        <v>-4.8399996415724598</v>
      </c>
      <c r="AG5870">
        <v>-1.11509738392</v>
      </c>
      <c r="AH5870">
        <v>18.127577061702802</v>
      </c>
      <c r="AI5870">
        <v>93.401200027593205</v>
      </c>
      <c r="AJ5870">
        <v>104.94905918120701</v>
      </c>
      <c r="AK5870">
        <v>18.7956933586931</v>
      </c>
      <c r="AL5870">
        <v>75.007500565663705</v>
      </c>
      <c r="AM5870">
        <v>98.436556866023395</v>
      </c>
      <c r="AN5870">
        <v>1.00000002337187</v>
      </c>
    </row>
    <row r="5871" spans="1:40" x14ac:dyDescent="0.25">
      <c r="A5871" t="str">
        <f>"20190312172822398"</f>
        <v>20190312172822398</v>
      </c>
      <c r="B5871" t="str">
        <f>"1552382902395760"</f>
        <v>1552382902395760</v>
      </c>
      <c r="C5871" t="s">
        <v>40</v>
      </c>
      <c r="D5871">
        <v>3.5139149999999999</v>
      </c>
      <c r="E5871">
        <v>0.4714699</v>
      </c>
      <c r="F5871" t="s">
        <v>52</v>
      </c>
      <c r="G5871">
        <v>-200.61269999999999</v>
      </c>
      <c r="H5871" s="1">
        <v>-5.8853829999999998E-6</v>
      </c>
      <c r="I5871">
        <v>-57.765050000000002</v>
      </c>
      <c r="J5871">
        <v>-215.95760000000001</v>
      </c>
      <c r="K5871">
        <v>1.1151070000000001</v>
      </c>
      <c r="L5871">
        <v>-62.505339999999997</v>
      </c>
      <c r="M5871">
        <v>0.99832310000000002</v>
      </c>
      <c r="N5871">
        <v>0</v>
      </c>
      <c r="O5871">
        <v>5.5999779999999999E-2</v>
      </c>
      <c r="P5871">
        <v>0.94989860000000004</v>
      </c>
      <c r="Q5871">
        <v>0.2461817</v>
      </c>
      <c r="R5871">
        <v>0.19258049999999999</v>
      </c>
      <c r="S5871">
        <v>3.0276339999999999</v>
      </c>
      <c r="T5871">
        <v>-0.21782080000000001</v>
      </c>
      <c r="U5871">
        <v>0.92810060000000005</v>
      </c>
      <c r="V5871">
        <v>-0.14210429999999999</v>
      </c>
      <c r="W5871">
        <v>0.25858389999999998</v>
      </c>
      <c r="X5871">
        <v>0.95547930000000003</v>
      </c>
      <c r="Y5871">
        <v>-0.23864579999999999</v>
      </c>
      <c r="Z5871">
        <v>4.4574200000000001E-3</v>
      </c>
      <c r="AA5871">
        <v>0.97109650000000003</v>
      </c>
      <c r="AB5871">
        <v>32</v>
      </c>
      <c r="AC5871">
        <v>15.344900000000001</v>
      </c>
      <c r="AD5871">
        <v>-1.1151128853829999</v>
      </c>
      <c r="AE5871">
        <v>4.7402899999999999</v>
      </c>
      <c r="AF5871">
        <v>-3.8548626439707601</v>
      </c>
      <c r="AG5871">
        <v>-1.1151128853829999</v>
      </c>
      <c r="AH5871">
        <v>15.511520067387799</v>
      </c>
      <c r="AI5871">
        <v>93.990898840267903</v>
      </c>
      <c r="AJ5871">
        <v>103.956196208816</v>
      </c>
      <c r="AK5871">
        <v>16.0221939057047</v>
      </c>
      <c r="AL5871">
        <v>75.013947315934004</v>
      </c>
      <c r="AM5871">
        <v>98.459345278710302</v>
      </c>
      <c r="AN5871">
        <v>0.99999997907309401</v>
      </c>
    </row>
    <row r="5872" spans="1:40" x14ac:dyDescent="0.25">
      <c r="A5872" t="str">
        <f>"20190312172822411"</f>
        <v>20190312172822411</v>
      </c>
      <c r="B5872" t="str">
        <f>"1552382902405519"</f>
        <v>1552382902405519</v>
      </c>
      <c r="C5872" t="s">
        <v>40</v>
      </c>
      <c r="D5872">
        <v>3.5644900000000002</v>
      </c>
      <c r="E5872">
        <v>0.47125299999999998</v>
      </c>
      <c r="F5872" t="s">
        <v>52</v>
      </c>
      <c r="G5872">
        <v>-200.48169999999999</v>
      </c>
      <c r="H5872" s="1">
        <v>-5.9427580000000002E-6</v>
      </c>
      <c r="I5872">
        <v>-57.715020000000003</v>
      </c>
      <c r="J5872">
        <v>-215.791</v>
      </c>
      <c r="K5872">
        <v>1.11512099999999</v>
      </c>
      <c r="L5872">
        <v>-62.49335</v>
      </c>
      <c r="M5872">
        <v>0.99815410000000004</v>
      </c>
      <c r="N5872">
        <v>0</v>
      </c>
      <c r="O5872">
        <v>5.893321E-2</v>
      </c>
      <c r="P5872">
        <v>0.949264</v>
      </c>
      <c r="Q5872">
        <v>0.24628839999999999</v>
      </c>
      <c r="R5872">
        <v>0.19555040000000001</v>
      </c>
      <c r="S5872">
        <v>3.024902</v>
      </c>
      <c r="T5872">
        <v>-0.21795870000000001</v>
      </c>
      <c r="U5872">
        <v>0.93630979999999997</v>
      </c>
      <c r="V5872">
        <v>-0.14229800000000001</v>
      </c>
      <c r="W5872">
        <v>0.25868390000000002</v>
      </c>
      <c r="X5872">
        <v>0.95542340000000003</v>
      </c>
      <c r="Y5872">
        <v>-0.23845160000000001</v>
      </c>
      <c r="Z5872">
        <v>4.2504259999999999E-3</v>
      </c>
      <c r="AA5872">
        <v>0.97114509999999998</v>
      </c>
      <c r="AB5872">
        <v>32</v>
      </c>
      <c r="AC5872">
        <v>15.3093</v>
      </c>
      <c r="AD5872">
        <v>-1.11512694275799</v>
      </c>
      <c r="AE5872">
        <v>4.7783300000000004</v>
      </c>
      <c r="AF5872">
        <v>-3.8490907766866802</v>
      </c>
      <c r="AG5872">
        <v>-1.11512694275799</v>
      </c>
      <c r="AH5872">
        <v>15.4894321495585</v>
      </c>
      <c r="AI5872">
        <v>93.996638663457304</v>
      </c>
      <c r="AJ5872">
        <v>103.955211443406</v>
      </c>
      <c r="AK5872">
        <v>15.999422371492599</v>
      </c>
      <c r="AL5872">
        <v>75.008015894392003</v>
      </c>
      <c r="AM5872">
        <v>98.471197309048904</v>
      </c>
      <c r="AN5872">
        <v>0.99999997709538402</v>
      </c>
    </row>
    <row r="5873" spans="1:40" x14ac:dyDescent="0.25">
      <c r="A5873" t="str">
        <f>"20190312172822422"</f>
        <v>20190312172822422</v>
      </c>
      <c r="B5873" t="str">
        <f>"1552382902415280"</f>
        <v>1552382902415280</v>
      </c>
      <c r="C5873" t="s">
        <v>40</v>
      </c>
      <c r="D5873">
        <v>3.5206909999999998</v>
      </c>
      <c r="E5873">
        <v>0.47120299999999998</v>
      </c>
      <c r="F5873" t="s">
        <v>52</v>
      </c>
      <c r="G5873">
        <v>-200.15260000000001</v>
      </c>
      <c r="H5873" s="1">
        <v>-6.0867200000000002E-6</v>
      </c>
      <c r="I5873">
        <v>-57.590629999999997</v>
      </c>
      <c r="J5873">
        <v>-215.63120000000001</v>
      </c>
      <c r="K5873">
        <v>1.1151329999999999</v>
      </c>
      <c r="L5873">
        <v>-62.481200000000001</v>
      </c>
      <c r="M5873">
        <v>0.99798359999999997</v>
      </c>
      <c r="N5873">
        <v>0</v>
      </c>
      <c r="O5873">
        <v>6.1755999999999901E-2</v>
      </c>
      <c r="P5873">
        <v>0.94878130000000005</v>
      </c>
      <c r="Q5873">
        <v>0.24597949999999999</v>
      </c>
      <c r="R5873">
        <v>0.19826340000000001</v>
      </c>
      <c r="S5873">
        <v>3.0211329999999998</v>
      </c>
      <c r="T5873">
        <v>-0.21542849999999999</v>
      </c>
      <c r="U5873">
        <v>0.94714359999999997</v>
      </c>
      <c r="V5873">
        <v>-0.14232539999999999</v>
      </c>
      <c r="W5873">
        <v>0.25837300000000002</v>
      </c>
      <c r="X5873">
        <v>0.95550349999999995</v>
      </c>
      <c r="Y5873">
        <v>-0.23923549999999999</v>
      </c>
      <c r="Z5873">
        <v>4.0361959999999997E-3</v>
      </c>
      <c r="AA5873">
        <v>0.97095319999999996</v>
      </c>
      <c r="AB5873">
        <v>32</v>
      </c>
      <c r="AC5873">
        <v>15.4786</v>
      </c>
      <c r="AD5873">
        <v>-1.11513908672</v>
      </c>
      <c r="AE5873">
        <v>4.8905699999999896</v>
      </c>
      <c r="AF5873">
        <v>-3.9067970713536999</v>
      </c>
      <c r="AG5873">
        <v>-1.11513908672</v>
      </c>
      <c r="AH5873">
        <v>15.677120097736699</v>
      </c>
      <c r="AI5873">
        <v>93.948334589423098</v>
      </c>
      <c r="AJ5873">
        <v>103.99329713965599</v>
      </c>
      <c r="AK5873">
        <v>16.195020626671901</v>
      </c>
      <c r="AL5873">
        <v>75.026456900884597</v>
      </c>
      <c r="AM5873">
        <v>98.472104826862505</v>
      </c>
      <c r="AN5873">
        <v>1.0000000325631999</v>
      </c>
    </row>
    <row r="5874" spans="1:40" x14ac:dyDescent="0.25">
      <c r="A5874" t="str">
        <f>"20190312172822432"</f>
        <v>20190312172822432</v>
      </c>
      <c r="B5874" t="str">
        <f>"1552382902425040"</f>
        <v>1552382902425040</v>
      </c>
      <c r="C5874" t="s">
        <v>40</v>
      </c>
      <c r="D5874">
        <v>3.5359180000000001</v>
      </c>
      <c r="E5874">
        <v>0.47120400000000001</v>
      </c>
      <c r="F5874" t="s">
        <v>52</v>
      </c>
      <c r="G5874">
        <v>-199.99879999999999</v>
      </c>
      <c r="H5874" s="1">
        <v>-6.1541309999999999E-6</v>
      </c>
      <c r="I5874">
        <v>-57.531759999999998</v>
      </c>
      <c r="J5874">
        <v>-215.4777</v>
      </c>
      <c r="K5874">
        <v>1.115143</v>
      </c>
      <c r="L5874">
        <v>-62.469180000000001</v>
      </c>
      <c r="M5874">
        <v>0.99781180000000003</v>
      </c>
      <c r="N5874">
        <v>0</v>
      </c>
      <c r="O5874">
        <v>6.4470310000000003E-2</v>
      </c>
      <c r="P5874">
        <v>0.94831120000000002</v>
      </c>
      <c r="Q5874">
        <v>0.2456632</v>
      </c>
      <c r="R5874">
        <v>0.2008868</v>
      </c>
      <c r="S5874">
        <v>3.0180660000000001</v>
      </c>
      <c r="T5874">
        <v>-0.21529509999999999</v>
      </c>
      <c r="U5874">
        <v>0.95556640000000004</v>
      </c>
      <c r="V5874">
        <v>-0.14236660000000001</v>
      </c>
      <c r="W5874">
        <v>0.25805460000000002</v>
      </c>
      <c r="X5874">
        <v>0.95558330000000002</v>
      </c>
      <c r="Y5874">
        <v>-0.23934739999999999</v>
      </c>
      <c r="Z5874">
        <v>3.852341E-3</v>
      </c>
      <c r="AA5874">
        <v>0.97092630000000002</v>
      </c>
      <c r="AB5874">
        <v>32</v>
      </c>
      <c r="AC5874">
        <v>15.478899999999999</v>
      </c>
      <c r="AD5874">
        <v>-1.1151491541309999</v>
      </c>
      <c r="AE5874">
        <v>4.9374200000000004</v>
      </c>
      <c r="AF5874">
        <v>-3.9106863755726899</v>
      </c>
      <c r="AG5874">
        <v>-1.1151491541309999</v>
      </c>
      <c r="AH5874">
        <v>15.6911230749621</v>
      </c>
      <c r="AI5874">
        <v>93.944834166593793</v>
      </c>
      <c r="AJ5874">
        <v>103.99467132210199</v>
      </c>
      <c r="AK5874">
        <v>16.209514765027802</v>
      </c>
      <c r="AL5874">
        <v>75.045338748903703</v>
      </c>
      <c r="AM5874">
        <v>98.473824277925601</v>
      </c>
      <c r="AN5874">
        <v>0.99999993430780199</v>
      </c>
    </row>
    <row r="5875" spans="1:40" x14ac:dyDescent="0.25">
      <c r="A5875" t="str">
        <f>"20190312172822443"</f>
        <v>20190312172822443</v>
      </c>
      <c r="B5875" t="str">
        <f>"1552382902435776"</f>
        <v>1552382902435776</v>
      </c>
      <c r="C5875" t="s">
        <v>40</v>
      </c>
      <c r="D5875">
        <v>3.5247519999999999</v>
      </c>
      <c r="E5875">
        <v>0.471248</v>
      </c>
      <c r="F5875" t="s">
        <v>52</v>
      </c>
      <c r="G5875">
        <v>-199.80799999999999</v>
      </c>
      <c r="H5875" s="1">
        <v>-8.2956090000000003E-6</v>
      </c>
      <c r="I5875">
        <v>-57.461939999999998</v>
      </c>
      <c r="J5875">
        <v>-215.31890000000001</v>
      </c>
      <c r="K5875">
        <v>1.1151500000000001</v>
      </c>
      <c r="L5875">
        <v>-62.456270000000004</v>
      </c>
      <c r="M5875">
        <v>0.99762589999999995</v>
      </c>
      <c r="N5875">
        <v>0</v>
      </c>
      <c r="O5875">
        <v>6.7284220000000006E-2</v>
      </c>
      <c r="P5875">
        <v>0.94788430000000001</v>
      </c>
      <c r="Q5875">
        <v>0.2452799</v>
      </c>
      <c r="R5875">
        <v>0.20335400000000001</v>
      </c>
      <c r="S5875">
        <v>3.014999</v>
      </c>
      <c r="T5875">
        <v>-0.21456600000000001</v>
      </c>
      <c r="U5875">
        <v>0.96343990000000002</v>
      </c>
      <c r="V5875">
        <v>-0.1421519</v>
      </c>
      <c r="W5875">
        <v>0.25767370000000001</v>
      </c>
      <c r="X5875">
        <v>0.95571810000000001</v>
      </c>
      <c r="Y5875">
        <v>-0.239205</v>
      </c>
      <c r="Z5875">
        <v>3.6428530000000001E-3</v>
      </c>
      <c r="AA5875">
        <v>0.9709622</v>
      </c>
      <c r="AB5875">
        <v>32</v>
      </c>
      <c r="AC5875">
        <v>15.510899999999999</v>
      </c>
      <c r="AD5875">
        <v>-1.115158295609</v>
      </c>
      <c r="AE5875">
        <v>4.9943299999999899</v>
      </c>
      <c r="AF5875">
        <v>-3.9208954769914199</v>
      </c>
      <c r="AG5875">
        <v>-1.115158295609</v>
      </c>
      <c r="AH5875">
        <v>15.738110987556</v>
      </c>
      <c r="AI5875">
        <v>93.933213348361406</v>
      </c>
      <c r="AJ5875">
        <v>103.98952402105</v>
      </c>
      <c r="AK5875">
        <v>16.2574640341718</v>
      </c>
      <c r="AL5875">
        <v>75.067927496919694</v>
      </c>
      <c r="AM5875">
        <v>98.460054060045096</v>
      </c>
      <c r="AN5875">
        <v>0.99999999250645399</v>
      </c>
    </row>
    <row r="5876" spans="1:40" x14ac:dyDescent="0.25">
      <c r="A5876" t="str">
        <f>"20190312172822456"</f>
        <v>20190312172822456</v>
      </c>
      <c r="B5876" t="str">
        <f>"1552382902445536"</f>
        <v>1552382902445536</v>
      </c>
      <c r="C5876" t="s">
        <v>40</v>
      </c>
      <c r="D5876">
        <v>3.4981230000000001</v>
      </c>
      <c r="E5876">
        <v>0.47143639999999998</v>
      </c>
      <c r="F5876" t="s">
        <v>52</v>
      </c>
      <c r="G5876">
        <v>-199.75020000000001</v>
      </c>
      <c r="H5876" s="1">
        <v>-8.2963390000000005E-6</v>
      </c>
      <c r="I5876">
        <v>-57.44135</v>
      </c>
      <c r="J5876">
        <v>-215.1448</v>
      </c>
      <c r="K5876">
        <v>1.115157</v>
      </c>
      <c r="L5876">
        <v>-62.44153</v>
      </c>
      <c r="M5876">
        <v>0.99741279999999999</v>
      </c>
      <c r="N5876">
        <v>0</v>
      </c>
      <c r="O5876">
        <v>7.0374969999999995E-2</v>
      </c>
      <c r="P5876">
        <v>0.94740349999999995</v>
      </c>
      <c r="Q5876">
        <v>0.24483160000000001</v>
      </c>
      <c r="R5876">
        <v>0.2061172</v>
      </c>
      <c r="S5876">
        <v>3.0125730000000002</v>
      </c>
      <c r="T5876">
        <v>-0.21578549999999999</v>
      </c>
      <c r="U5876">
        <v>0.97039790000000004</v>
      </c>
      <c r="V5876">
        <v>-0.14196879999999901</v>
      </c>
      <c r="W5876">
        <v>0.2572276</v>
      </c>
      <c r="X5876">
        <v>0.95586550000000003</v>
      </c>
      <c r="Y5876">
        <v>-0.2384608</v>
      </c>
      <c r="Z5876">
        <v>3.4250359999999998E-3</v>
      </c>
      <c r="AA5876">
        <v>0.97114610000000001</v>
      </c>
      <c r="AB5876">
        <v>32</v>
      </c>
      <c r="AC5876">
        <v>15.394599999999899</v>
      </c>
      <c r="AD5876">
        <v>-1.115165296339</v>
      </c>
      <c r="AE5876">
        <v>5.0001800000000003</v>
      </c>
      <c r="AF5876">
        <v>-3.8858243500564802</v>
      </c>
      <c r="AG5876">
        <v>-1.115165296339</v>
      </c>
      <c r="AH5876">
        <v>15.634138550929899</v>
      </c>
      <c r="AI5876">
        <v>93.959854812885098</v>
      </c>
      <c r="AJ5876">
        <v>103.957884164785</v>
      </c>
      <c r="AK5876">
        <v>16.1483594444551</v>
      </c>
      <c r="AL5876">
        <v>75.094379140910902</v>
      </c>
      <c r="AM5876">
        <v>98.448030281800499</v>
      </c>
      <c r="AN5876">
        <v>1.0000000162327201</v>
      </c>
    </row>
    <row r="5877" spans="1:40" x14ac:dyDescent="0.25">
      <c r="A5877" t="str">
        <f>"20190312172822468"</f>
        <v>20190312172822468</v>
      </c>
      <c r="B5877" t="str">
        <f>"1552382902465057"</f>
        <v>1552382902465057</v>
      </c>
      <c r="C5877" t="s">
        <v>40</v>
      </c>
      <c r="D5877">
        <v>3.5145520000000001</v>
      </c>
      <c r="E5877">
        <v>0.47164620000000002</v>
      </c>
      <c r="F5877" t="s">
        <v>52</v>
      </c>
      <c r="G5877">
        <v>-199.6712</v>
      </c>
      <c r="H5877" s="1">
        <v>-8.2964749999999992E-6</v>
      </c>
      <c r="I5877">
        <v>-57.41563</v>
      </c>
      <c r="J5877">
        <v>-214.9691</v>
      </c>
      <c r="K5877">
        <v>1.115164</v>
      </c>
      <c r="L5877">
        <v>-62.42633</v>
      </c>
      <c r="M5877">
        <v>0.99718739999999995</v>
      </c>
      <c r="N5877">
        <v>0</v>
      </c>
      <c r="O5877">
        <v>7.3500060000000006E-2</v>
      </c>
      <c r="P5877">
        <v>0.94699659999999997</v>
      </c>
      <c r="Q5877">
        <v>0.2441535</v>
      </c>
      <c r="R5877">
        <v>0.2087735</v>
      </c>
      <c r="S5877">
        <v>3.0099179999999999</v>
      </c>
      <c r="T5877">
        <v>-0.21692059999999999</v>
      </c>
      <c r="U5877">
        <v>0.97763060000000002</v>
      </c>
      <c r="V5877">
        <v>-0.14163770000000001</v>
      </c>
      <c r="W5877">
        <v>0.25655430000000001</v>
      </c>
      <c r="X5877">
        <v>0.95609549999999999</v>
      </c>
      <c r="Y5877">
        <v>-0.23778489999999999</v>
      </c>
      <c r="Z5877">
        <v>3.2033750000000001E-3</v>
      </c>
      <c r="AA5877">
        <v>0.97131259999999997</v>
      </c>
      <c r="AB5877">
        <v>32</v>
      </c>
      <c r="AC5877">
        <v>15.297899999999901</v>
      </c>
      <c r="AD5877">
        <v>-1.1151722964749999</v>
      </c>
      <c r="AE5877">
        <v>5.0106999999999999</v>
      </c>
      <c r="AF5877">
        <v>-3.8541302987171502</v>
      </c>
      <c r="AG5877">
        <v>-1.1151722964749999</v>
      </c>
      <c r="AH5877">
        <v>15.5502125656565</v>
      </c>
      <c r="AI5877">
        <v>93.981829382636306</v>
      </c>
      <c r="AJ5877">
        <v>103.920280359934</v>
      </c>
      <c r="AK5877">
        <v>16.059484439029099</v>
      </c>
      <c r="AL5877">
        <v>75.1342953712754</v>
      </c>
      <c r="AM5877">
        <v>98.426612621369401</v>
      </c>
      <c r="AN5877">
        <v>0.999999976015014</v>
      </c>
    </row>
    <row r="5878" spans="1:40" x14ac:dyDescent="0.25">
      <c r="A5878" t="str">
        <f>"20190312172822482"</f>
        <v>20190312172822482</v>
      </c>
      <c r="B5878" t="str">
        <f>"1552382902475791"</f>
        <v>1552382902475791</v>
      </c>
      <c r="C5878" t="s">
        <v>40</v>
      </c>
      <c r="D5878">
        <v>3.5010089999999998</v>
      </c>
      <c r="E5878">
        <v>0.47449360000000002</v>
      </c>
      <c r="F5878" t="s">
        <v>52</v>
      </c>
      <c r="G5878">
        <v>-199.65530000000001</v>
      </c>
      <c r="H5878" s="1">
        <v>-8.2942909999999999E-6</v>
      </c>
      <c r="I5878">
        <v>-57.416759999999996</v>
      </c>
      <c r="J5878">
        <v>-214.7773</v>
      </c>
      <c r="K5878">
        <v>1.1151709999999999</v>
      </c>
      <c r="L5878">
        <v>-62.40878</v>
      </c>
      <c r="M5878">
        <v>0.99692879999999995</v>
      </c>
      <c r="N5878">
        <v>0</v>
      </c>
      <c r="O5878">
        <v>7.6926809999999998E-2</v>
      </c>
      <c r="P5878">
        <v>0.94652769999999997</v>
      </c>
      <c r="Q5878">
        <v>0.24342069999999999</v>
      </c>
      <c r="R5878">
        <v>0.21173510000000001</v>
      </c>
      <c r="S5878">
        <v>3.0074770000000002</v>
      </c>
      <c r="T5878">
        <v>-0.2190076</v>
      </c>
      <c r="U5878">
        <v>0.98382570000000003</v>
      </c>
      <c r="V5878">
        <v>-0.14132400000000001</v>
      </c>
      <c r="W5878">
        <v>0.2558261</v>
      </c>
      <c r="X5878">
        <v>0.95633699999999999</v>
      </c>
      <c r="Y5878">
        <v>-0.23649049999999999</v>
      </c>
      <c r="Z5878">
        <v>2.9488639999999998E-3</v>
      </c>
      <c r="AA5878">
        <v>0.97162930000000003</v>
      </c>
      <c r="AB5878">
        <v>32</v>
      </c>
      <c r="AC5878">
        <v>15.1219999999999</v>
      </c>
      <c r="AD5878">
        <v>-1.1151792942909999</v>
      </c>
      <c r="AE5878">
        <v>4.9920200000000099</v>
      </c>
      <c r="AF5878">
        <v>-3.7952001641072601</v>
      </c>
      <c r="AG5878">
        <v>-1.1151792942909999</v>
      </c>
      <c r="AH5878">
        <v>15.385789901713</v>
      </c>
      <c r="AI5878">
        <v>94.025372315602695</v>
      </c>
      <c r="AJ5878">
        <v>103.85648719448299</v>
      </c>
      <c r="AK5878">
        <v>15.8861480555769</v>
      </c>
      <c r="AL5878">
        <v>75.177458462775306</v>
      </c>
      <c r="AM5878">
        <v>98.406123450910798</v>
      </c>
      <c r="AN5878">
        <v>0.99999996199310404</v>
      </c>
    </row>
    <row r="5879" spans="1:40" x14ac:dyDescent="0.25">
      <c r="A5879" t="str">
        <f>"20190312172822495"</f>
        <v>20190312172822495</v>
      </c>
      <c r="B5879" t="str">
        <f>"1552382902485551"</f>
        <v>1552382902485551</v>
      </c>
      <c r="C5879" t="s">
        <v>40</v>
      </c>
      <c r="D5879">
        <v>3.5061270000000002</v>
      </c>
      <c r="E5879">
        <v>0.47464329999999999</v>
      </c>
      <c r="F5879" t="s">
        <v>52</v>
      </c>
      <c r="G5879">
        <v>-199.8665</v>
      </c>
      <c r="H5879" s="1">
        <v>-8.2542729999999994E-6</v>
      </c>
      <c r="I5879">
        <v>-57.598460000000003</v>
      </c>
      <c r="J5879">
        <v>-214.60149999999999</v>
      </c>
      <c r="K5879">
        <v>1.115173</v>
      </c>
      <c r="L5879">
        <v>-62.392180000000003</v>
      </c>
      <c r="M5879">
        <v>0.99668069999999997</v>
      </c>
      <c r="N5879">
        <v>0</v>
      </c>
      <c r="O5879">
        <v>8.0075740000000006E-2</v>
      </c>
      <c r="P5879">
        <v>0.94605139999999999</v>
      </c>
      <c r="Q5879">
        <v>0.24281739999999999</v>
      </c>
      <c r="R5879">
        <v>0.2145377</v>
      </c>
      <c r="S5879">
        <v>3.0101619999999998</v>
      </c>
      <c r="T5879">
        <v>-0.22513030000000001</v>
      </c>
      <c r="U5879">
        <v>0.97109990000000002</v>
      </c>
      <c r="V5879">
        <v>-0.14112140000000001</v>
      </c>
      <c r="W5879">
        <v>0.25522539999999999</v>
      </c>
      <c r="X5879">
        <v>0.95652740000000003</v>
      </c>
      <c r="Y5879">
        <v>-0.22944729999999999</v>
      </c>
      <c r="Z5879">
        <v>2.5462240000000001E-3</v>
      </c>
      <c r="AA5879">
        <v>0.97331769999999995</v>
      </c>
      <c r="AB5879">
        <v>32</v>
      </c>
      <c r="AC5879">
        <v>14.7349999999999</v>
      </c>
      <c r="AD5879">
        <v>-1.115181254273</v>
      </c>
      <c r="AE5879">
        <v>4.7937200000000004</v>
      </c>
      <c r="AF5879">
        <v>-3.5797381147265099</v>
      </c>
      <c r="AG5879">
        <v>-1.115181254273</v>
      </c>
      <c r="AH5879">
        <v>14.993911598675499</v>
      </c>
      <c r="AI5879">
        <v>94.137707723829195</v>
      </c>
      <c r="AJ5879">
        <v>103.42778430168001</v>
      </c>
      <c r="AK5879">
        <v>15.4555989605322</v>
      </c>
      <c r="AL5879">
        <v>75.213057839100699</v>
      </c>
      <c r="AM5879">
        <v>98.392597279153307</v>
      </c>
      <c r="AN5879">
        <v>0.99999996064693897</v>
      </c>
    </row>
    <row r="5880" spans="1:40" x14ac:dyDescent="0.25">
      <c r="A5880" t="str">
        <f>"20190312172822508"</f>
        <v>20190312172822508</v>
      </c>
      <c r="B5880" t="str">
        <f>"1552382902505071"</f>
        <v>1552382902505071</v>
      </c>
      <c r="C5880" t="s">
        <v>40</v>
      </c>
      <c r="D5880">
        <v>3.3308620000000002</v>
      </c>
      <c r="E5880">
        <v>0.47564109999999998</v>
      </c>
      <c r="F5880" t="s">
        <v>52</v>
      </c>
      <c r="G5880">
        <v>-200.2337</v>
      </c>
      <c r="H5880" s="1">
        <v>-6.0367570000000002E-6</v>
      </c>
      <c r="I5880">
        <v>-57.714199999999998</v>
      </c>
      <c r="J5880">
        <v>-214.41079999999999</v>
      </c>
      <c r="K5880">
        <v>1.115184</v>
      </c>
      <c r="L5880">
        <v>-62.373750000000001</v>
      </c>
      <c r="M5880">
        <v>0.99639990000000001</v>
      </c>
      <c r="N5880">
        <v>0</v>
      </c>
      <c r="O5880">
        <v>8.3498199999999995E-2</v>
      </c>
      <c r="P5880">
        <v>0.94566620000000001</v>
      </c>
      <c r="Q5880">
        <v>0.2416103</v>
      </c>
      <c r="R5880">
        <v>0.21757770000000001</v>
      </c>
      <c r="S5880">
        <v>3.0088499999999998</v>
      </c>
      <c r="T5880">
        <v>-0.23353660000000001</v>
      </c>
      <c r="U5880">
        <v>0.97964479999999998</v>
      </c>
      <c r="V5880">
        <v>-0.140877</v>
      </c>
      <c r="W5880">
        <v>0.25402329999999901</v>
      </c>
      <c r="X5880">
        <v>0.95688340000000005</v>
      </c>
      <c r="Y5880">
        <v>-0.2287131</v>
      </c>
      <c r="Z5880">
        <v>2.3571320000000001E-3</v>
      </c>
      <c r="AA5880">
        <v>0.973491</v>
      </c>
      <c r="AB5880">
        <v>32</v>
      </c>
      <c r="AC5880">
        <v>14.1770999999999</v>
      </c>
      <c r="AD5880">
        <v>-1.115190036757</v>
      </c>
      <c r="AE5880">
        <v>4.6595500000000003</v>
      </c>
      <c r="AF5880">
        <v>-3.4401740105377798</v>
      </c>
      <c r="AG5880">
        <v>-1.115190036757</v>
      </c>
      <c r="AH5880">
        <v>14.436071373300001</v>
      </c>
      <c r="AI5880">
        <v>94.297470533322297</v>
      </c>
      <c r="AJ5880">
        <v>103.403818423316</v>
      </c>
      <c r="AK5880">
        <v>14.882157193628601</v>
      </c>
      <c r="AL5880">
        <v>75.284281250183795</v>
      </c>
      <c r="AM5880">
        <v>98.375196268643506</v>
      </c>
      <c r="AN5880">
        <v>1.00000000363372</v>
      </c>
    </row>
    <row r="5881" spans="1:40" x14ac:dyDescent="0.25">
      <c r="A5881" t="str">
        <f>"20190312172822601"</f>
        <v>20190312172822601</v>
      </c>
      <c r="B5881" t="str">
        <f>"1552382902595840"</f>
        <v>1552382902595840</v>
      </c>
      <c r="C5881" t="s">
        <v>40</v>
      </c>
      <c r="D5881">
        <v>4.8387650000000004</v>
      </c>
      <c r="E5881">
        <v>0.47564109999999998</v>
      </c>
      <c r="F5881" t="s">
        <v>52</v>
      </c>
      <c r="G5881">
        <v>-200.51650000000001</v>
      </c>
      <c r="H5881" s="1">
        <v>-5.9098800000000002E-6</v>
      </c>
      <c r="I5881">
        <v>-57.841169999999998</v>
      </c>
      <c r="J5881">
        <v>-213.09200000000001</v>
      </c>
      <c r="K5881">
        <v>1.115335</v>
      </c>
      <c r="L5881">
        <v>-62.2258</v>
      </c>
      <c r="M5881">
        <v>0.9940561</v>
      </c>
      <c r="N5881">
        <v>0</v>
      </c>
      <c r="O5881">
        <v>0.1078742</v>
      </c>
      <c r="P5881">
        <v>0.94243460000000001</v>
      </c>
      <c r="Q5881">
        <v>0.23258590000000001</v>
      </c>
      <c r="R5881">
        <v>0.24025170000000001</v>
      </c>
      <c r="S5881">
        <v>3.00827</v>
      </c>
      <c r="T5881">
        <v>-0.24145140000000001</v>
      </c>
      <c r="U5881">
        <v>0.98135380000000005</v>
      </c>
      <c r="V5881">
        <v>-0.14020929999999901</v>
      </c>
      <c r="W5881">
        <v>0.24498809999999999</v>
      </c>
      <c r="X5881">
        <v>0.95933429999999997</v>
      </c>
      <c r="Y5881">
        <v>-0.20547509999999999</v>
      </c>
      <c r="Z5881">
        <v>-3.5404410000000001E-4</v>
      </c>
      <c r="AA5881">
        <v>0.97866229999999999</v>
      </c>
      <c r="AB5881">
        <v>32</v>
      </c>
      <c r="AC5881">
        <v>12.5755</v>
      </c>
      <c r="AD5881">
        <v>-1.11534090988</v>
      </c>
      <c r="AE5881">
        <v>4.3846299999999996</v>
      </c>
      <c r="AF5881">
        <v>-2.9814095590132701</v>
      </c>
      <c r="AG5881">
        <v>-1.11534090988</v>
      </c>
      <c r="AH5881">
        <v>12.8847715757007</v>
      </c>
      <c r="AI5881">
        <v>94.820602072902204</v>
      </c>
      <c r="AJ5881">
        <v>103.028390854417</v>
      </c>
      <c r="AK5881">
        <v>13.272156074346499</v>
      </c>
      <c r="AL5881">
        <v>75.818870363581198</v>
      </c>
      <c r="AM5881">
        <v>98.315061568753407</v>
      </c>
      <c r="AN5881">
        <v>1.0000000580522901</v>
      </c>
    </row>
    <row r="5882" spans="1:40" x14ac:dyDescent="0.25">
      <c r="A5882" t="str">
        <f>"20190312172822645"</f>
        <v>20190312172822645</v>
      </c>
      <c r="B5882" t="str">
        <f>"1552382902635856"</f>
        <v>1552382902635856</v>
      </c>
      <c r="C5882" t="s">
        <v>40</v>
      </c>
      <c r="D5882">
        <v>2.6534529999999998</v>
      </c>
      <c r="E5882">
        <v>0.46979120000000002</v>
      </c>
      <c r="F5882" t="s">
        <v>52</v>
      </c>
      <c r="G5882">
        <v>-200.82</v>
      </c>
      <c r="H5882" s="1">
        <v>-5.7849339999999898E-6</v>
      </c>
      <c r="I5882">
        <v>-57.905709999999999</v>
      </c>
      <c r="J5882">
        <v>-212.48500000000001</v>
      </c>
      <c r="K5882">
        <v>1.115499</v>
      </c>
      <c r="L5882">
        <v>-62.146000000000001</v>
      </c>
      <c r="M5882">
        <v>0.99269629999999998</v>
      </c>
      <c r="N5882">
        <v>0</v>
      </c>
      <c r="O5882">
        <v>0.1197415</v>
      </c>
      <c r="P5882">
        <v>0.93978799999999996</v>
      </c>
      <c r="Q5882">
        <v>0.23120270000000001</v>
      </c>
      <c r="R5882">
        <v>0.25168210000000002</v>
      </c>
      <c r="S5882">
        <v>2.9824980000000001</v>
      </c>
      <c r="T5882">
        <v>-0.2710651</v>
      </c>
      <c r="U5882">
        <v>1.0499270000000001</v>
      </c>
      <c r="V5882">
        <v>-0.14044479999999901</v>
      </c>
      <c r="W5882">
        <v>0.24356159999999999</v>
      </c>
      <c r="X5882">
        <v>0.95966300000000004</v>
      </c>
      <c r="Y5882">
        <v>-0.21635370000000001</v>
      </c>
      <c r="Z5882">
        <v>-9.4720069999999995E-4</v>
      </c>
      <c r="AA5882">
        <v>0.97631460000000003</v>
      </c>
      <c r="AB5882">
        <v>32</v>
      </c>
      <c r="AC5882">
        <v>11.664999999999999</v>
      </c>
      <c r="AD5882">
        <v>-1.1155047849339901</v>
      </c>
      <c r="AE5882">
        <v>4.2402899999999999</v>
      </c>
      <c r="AF5882">
        <v>-2.7903009009000299</v>
      </c>
      <c r="AG5882">
        <v>-1.1155047849339901</v>
      </c>
      <c r="AH5882">
        <v>11.991982129319</v>
      </c>
      <c r="AI5882">
        <v>95.176900397892496</v>
      </c>
      <c r="AJ5882">
        <v>103.098546193589</v>
      </c>
      <c r="AK5882">
        <v>12.362757193793</v>
      </c>
      <c r="AL5882">
        <v>75.903155804098702</v>
      </c>
      <c r="AM5882">
        <v>98.326019292143101</v>
      </c>
      <c r="AN5882">
        <v>1.0000000342052899</v>
      </c>
    </row>
    <row r="5883" spans="1:40" x14ac:dyDescent="0.25">
      <c r="A5883" t="str">
        <f>"20190312172822656"</f>
        <v>20190312172822656</v>
      </c>
      <c r="B5883" t="str">
        <f>"1552382902645616"</f>
        <v>1552382902645616</v>
      </c>
      <c r="C5883" t="s">
        <v>40</v>
      </c>
      <c r="D5883">
        <v>4.1620019999999904</v>
      </c>
      <c r="E5883">
        <v>0.46420459999999902</v>
      </c>
      <c r="F5883" t="s">
        <v>52</v>
      </c>
      <c r="G5883">
        <v>-202.399</v>
      </c>
      <c r="H5883" s="1">
        <v>-4.9475529999999996E-6</v>
      </c>
      <c r="I5883">
        <v>-58.276429999999998</v>
      </c>
      <c r="J5883">
        <v>-212.33629999999999</v>
      </c>
      <c r="K5883">
        <v>1.1155459999999999</v>
      </c>
      <c r="L5883">
        <v>-62.125059999999998</v>
      </c>
      <c r="M5883">
        <v>0.99232949999999998</v>
      </c>
      <c r="N5883">
        <v>0</v>
      </c>
      <c r="O5883">
        <v>0.1227443</v>
      </c>
      <c r="P5883">
        <v>0.93903139999999996</v>
      </c>
      <c r="Q5883">
        <v>0.2311279</v>
      </c>
      <c r="R5883">
        <v>0.25455870000000003</v>
      </c>
      <c r="S5883">
        <v>2.9680179999999998</v>
      </c>
      <c r="T5883">
        <v>-0.32826129999999998</v>
      </c>
      <c r="U5883">
        <v>1.1387020000000001</v>
      </c>
      <c r="V5883">
        <v>-0.1405052</v>
      </c>
      <c r="W5883">
        <v>0.24347369999999999</v>
      </c>
      <c r="X5883">
        <v>0.95967639999999999</v>
      </c>
      <c r="Y5883">
        <v>-0.24025869999999999</v>
      </c>
      <c r="Z5883">
        <v>-1.8175689999999999E-4</v>
      </c>
      <c r="AA5883">
        <v>0.97070889999999999</v>
      </c>
      <c r="AB5883">
        <v>32</v>
      </c>
      <c r="AC5883">
        <v>9.9372999999999898</v>
      </c>
      <c r="AD5883">
        <v>-1.1155509475530001</v>
      </c>
      <c r="AE5883">
        <v>3.8486299999999898</v>
      </c>
      <c r="AF5883">
        <v>-2.5714638582345599</v>
      </c>
      <c r="AG5883">
        <v>-1.1155509475530001</v>
      </c>
      <c r="AH5883">
        <v>10.222566794112</v>
      </c>
      <c r="AI5883">
        <v>96.041092575095604</v>
      </c>
      <c r="AJ5883">
        <v>104.119677082889</v>
      </c>
      <c r="AK5883">
        <v>10.5998939688506</v>
      </c>
      <c r="AL5883">
        <v>75.908347542544604</v>
      </c>
      <c r="AM5883">
        <v>98.329435096038907</v>
      </c>
      <c r="AN5883">
        <v>0.99999997326784396</v>
      </c>
    </row>
    <row r="5884" spans="1:40" x14ac:dyDescent="0.25">
      <c r="A5884" t="str">
        <f>"20190312172822669"</f>
        <v>20190312172822669</v>
      </c>
      <c r="B5884" t="str">
        <f>"1552382902665135"</f>
        <v>1552382902665135</v>
      </c>
      <c r="C5884" t="s">
        <v>40</v>
      </c>
      <c r="D5884">
        <v>3.669956</v>
      </c>
      <c r="E5884">
        <v>0.45853650000000001</v>
      </c>
      <c r="F5884" t="s">
        <v>52</v>
      </c>
      <c r="G5884">
        <v>-202.66159999999999</v>
      </c>
      <c r="H5884" s="1">
        <v>-4.8262889999999998E-6</v>
      </c>
      <c r="I5884">
        <v>-58.22</v>
      </c>
      <c r="J5884">
        <v>-212.1696</v>
      </c>
      <c r="K5884">
        <v>1.1156010000000001</v>
      </c>
      <c r="L5884">
        <v>-62.101379999999999</v>
      </c>
      <c r="M5884">
        <v>0.99190489999999998</v>
      </c>
      <c r="N5884">
        <v>0</v>
      </c>
      <c r="O5884">
        <v>0.12612889999999999</v>
      </c>
      <c r="P5884">
        <v>0.93818179999999995</v>
      </c>
      <c r="Q5884">
        <v>0.2309428</v>
      </c>
      <c r="R5884">
        <v>0.25783879999999998</v>
      </c>
      <c r="S5884">
        <v>2.9553219999999998</v>
      </c>
      <c r="T5884">
        <v>-0.34076489999999998</v>
      </c>
      <c r="U5884">
        <v>1.192871</v>
      </c>
      <c r="V5884">
        <v>-0.1406095</v>
      </c>
      <c r="W5884">
        <v>0.24327299999999999</v>
      </c>
      <c r="X5884">
        <v>0.95971200000000001</v>
      </c>
      <c r="Y5884">
        <v>-0.25361119999999998</v>
      </c>
      <c r="Z5884">
        <v>1.856033E-4</v>
      </c>
      <c r="AA5884">
        <v>0.9673062</v>
      </c>
      <c r="AB5884">
        <v>32</v>
      </c>
      <c r="AC5884">
        <v>9.5080000000000098</v>
      </c>
      <c r="AD5884">
        <v>-1.1156058262890001</v>
      </c>
      <c r="AE5884">
        <v>3.8813800000000001</v>
      </c>
      <c r="AF5884">
        <v>-2.62009411667638</v>
      </c>
      <c r="AG5884">
        <v>-1.1156058262890001</v>
      </c>
      <c r="AH5884">
        <v>9.8059423767394094</v>
      </c>
      <c r="AI5884">
        <v>96.272344508516895</v>
      </c>
      <c r="AJ5884">
        <v>104.959649622515</v>
      </c>
      <c r="AK5884">
        <v>10.2110712188205</v>
      </c>
      <c r="AL5884">
        <v>75.920202991587004</v>
      </c>
      <c r="AM5884">
        <v>98.335226510793504</v>
      </c>
      <c r="AN5884">
        <v>0.99999995348162396</v>
      </c>
    </row>
    <row r="5885" spans="1:40" x14ac:dyDescent="0.25">
      <c r="A5885" t="str">
        <f>"20190312172822680"</f>
        <v>20190312172822680</v>
      </c>
      <c r="B5885" t="str">
        <f>"1552382902675872"</f>
        <v>1552382902675872</v>
      </c>
      <c r="C5885" t="s">
        <v>40</v>
      </c>
      <c r="D5885">
        <v>3.7059319999999998</v>
      </c>
      <c r="E5885">
        <v>0.45657930000000002</v>
      </c>
      <c r="F5885" t="s">
        <v>52</v>
      </c>
      <c r="G5885">
        <v>-201.00729999999999</v>
      </c>
      <c r="H5885" s="1">
        <v>-5.7964979999999998E-6</v>
      </c>
      <c r="I5885">
        <v>-57.377830000000003</v>
      </c>
      <c r="J5885">
        <v>-211.99539999999999</v>
      </c>
      <c r="K5885">
        <v>1.1156629999999901</v>
      </c>
      <c r="L5885">
        <v>-62.075589999999998</v>
      </c>
      <c r="M5885">
        <v>0.99143760000000003</v>
      </c>
      <c r="N5885">
        <v>0</v>
      </c>
      <c r="O5885">
        <v>0.12975039999999999</v>
      </c>
      <c r="P5885">
        <v>0.93710090000000001</v>
      </c>
      <c r="Q5885">
        <v>0.23096040000000001</v>
      </c>
      <c r="R5885">
        <v>0.2617235</v>
      </c>
      <c r="S5885">
        <v>2.9290919999999998</v>
      </c>
      <c r="T5885">
        <v>-0.29274539999999999</v>
      </c>
      <c r="U5885">
        <v>1.2395020000000001</v>
      </c>
      <c r="V5885">
        <v>-0.14111949999999901</v>
      </c>
      <c r="W5885">
        <v>0.24326739999999999</v>
      </c>
      <c r="X5885">
        <v>0.95963860000000001</v>
      </c>
      <c r="Y5885">
        <v>-0.26634029999999997</v>
      </c>
      <c r="Z5885">
        <v>4.3247640000000003E-4</v>
      </c>
      <c r="AA5885">
        <v>0.96387889999999998</v>
      </c>
      <c r="AB5885">
        <v>32</v>
      </c>
      <c r="AC5885">
        <v>10.988099999999999</v>
      </c>
      <c r="AD5885">
        <v>-1.1156687964980001</v>
      </c>
      <c r="AE5885">
        <v>4.6977599999999997</v>
      </c>
      <c r="AF5885">
        <v>-3.20424673324223</v>
      </c>
      <c r="AG5885">
        <v>-1.1156687964980001</v>
      </c>
      <c r="AH5885">
        <v>11.405386126199501</v>
      </c>
      <c r="AI5885">
        <v>95.379881399554506</v>
      </c>
      <c r="AJ5885">
        <v>105.692258533298</v>
      </c>
      <c r="AK5885">
        <v>11.8993590868869</v>
      </c>
      <c r="AL5885">
        <v>75.920534337510006</v>
      </c>
      <c r="AM5885">
        <v>98.365662670335396</v>
      </c>
      <c r="AN5885">
        <v>0.99999999189648403</v>
      </c>
    </row>
    <row r="5886" spans="1:40" x14ac:dyDescent="0.25">
      <c r="A5886" t="str">
        <f>"20190312172822694"</f>
        <v>20190312172822694</v>
      </c>
      <c r="B5886" t="str">
        <f>"1552382902685631"</f>
        <v>1552382902685631</v>
      </c>
      <c r="C5886" t="s">
        <v>40</v>
      </c>
      <c r="D5886">
        <v>3.3444370000000001</v>
      </c>
      <c r="E5886">
        <v>0.45603680000000002</v>
      </c>
      <c r="F5886" t="s">
        <v>52</v>
      </c>
      <c r="G5886">
        <v>-199.62039999999999</v>
      </c>
      <c r="H5886" s="1">
        <v>-8.5367090000000004E-6</v>
      </c>
      <c r="I5886">
        <v>-56.714939999999999</v>
      </c>
      <c r="J5886">
        <v>-211.81739999999999</v>
      </c>
      <c r="K5886">
        <v>1.1157269999999999</v>
      </c>
      <c r="L5886">
        <v>-62.048679999999997</v>
      </c>
      <c r="M5886">
        <v>0.99094159999999998</v>
      </c>
      <c r="N5886">
        <v>0</v>
      </c>
      <c r="O5886">
        <v>0.13348479999999999</v>
      </c>
      <c r="P5886">
        <v>0.93609989999999998</v>
      </c>
      <c r="Q5886">
        <v>0.2307853</v>
      </c>
      <c r="R5886">
        <v>0.26543339999999999</v>
      </c>
      <c r="S5886">
        <v>2.913589</v>
      </c>
      <c r="T5886">
        <v>-0.26267430000000003</v>
      </c>
      <c r="U5886">
        <v>1.2621150000000001</v>
      </c>
      <c r="V5886">
        <v>-0.14133519999999999</v>
      </c>
      <c r="W5886">
        <v>0.2430737</v>
      </c>
      <c r="X5886">
        <v>0.95965590000000001</v>
      </c>
      <c r="Y5886">
        <v>-0.27096799999999999</v>
      </c>
      <c r="Z5886">
        <v>2.751462E-4</v>
      </c>
      <c r="AA5886">
        <v>0.96258829999999995</v>
      </c>
      <c r="AB5886">
        <v>32</v>
      </c>
      <c r="AC5886">
        <v>12.196999999999999</v>
      </c>
      <c r="AD5886">
        <v>-1.1157355367090001</v>
      </c>
      <c r="AE5886">
        <v>5.3337399999999899</v>
      </c>
      <c r="AF5886">
        <v>-3.6321921715357202</v>
      </c>
      <c r="AG5886">
        <v>-1.1157355367090001</v>
      </c>
      <c r="AH5886">
        <v>12.710587329558001</v>
      </c>
      <c r="AI5886">
        <v>94.824417973557999</v>
      </c>
      <c r="AJ5886">
        <v>105.94787884116499</v>
      </c>
      <c r="AK5886">
        <v>13.266375391234799</v>
      </c>
      <c r="AL5886">
        <v>75.9319754288518</v>
      </c>
      <c r="AM5886">
        <v>98.378119258323494</v>
      </c>
      <c r="AN5886">
        <v>0.99999995439776901</v>
      </c>
    </row>
    <row r="5887" spans="1:40" x14ac:dyDescent="0.25">
      <c r="A5887" t="str">
        <f>"20190312172822706"</f>
        <v>20190312172822706</v>
      </c>
      <c r="B5887" t="str">
        <f>"1552382902695392"</f>
        <v>1552382902695392</v>
      </c>
      <c r="C5887" t="s">
        <v>40</v>
      </c>
      <c r="D5887">
        <v>3.3568690000000001</v>
      </c>
      <c r="E5887">
        <v>0.45569939999999998</v>
      </c>
      <c r="F5887" t="s">
        <v>52</v>
      </c>
      <c r="G5887">
        <v>-199.31800000000001</v>
      </c>
      <c r="H5887" s="1">
        <v>-8.5582719999999906E-6</v>
      </c>
      <c r="I5887">
        <v>-56.556609999999999</v>
      </c>
      <c r="J5887">
        <v>-211.64609999999999</v>
      </c>
      <c r="K5887">
        <v>1.1157889999999999</v>
      </c>
      <c r="L5887">
        <v>-62.022190000000002</v>
      </c>
      <c r="M5887">
        <v>0.99044500000000002</v>
      </c>
      <c r="N5887">
        <v>0</v>
      </c>
      <c r="O5887">
        <v>0.13712099999999999</v>
      </c>
      <c r="P5887">
        <v>0.93499540000000003</v>
      </c>
      <c r="Q5887">
        <v>0.2309514</v>
      </c>
      <c r="R5887">
        <v>0.26915620000000001</v>
      </c>
      <c r="S5887">
        <v>2.9066160000000001</v>
      </c>
      <c r="T5887">
        <v>-0.25945430000000003</v>
      </c>
      <c r="U5887">
        <v>1.2771300000000001</v>
      </c>
      <c r="V5887">
        <v>-0.14167630000000001</v>
      </c>
      <c r="W5887">
        <v>0.2432184</v>
      </c>
      <c r="X5887">
        <v>0.95956900000000001</v>
      </c>
      <c r="Y5887">
        <v>-0.2724704</v>
      </c>
      <c r="Z5887" s="1">
        <v>3.3807940000000001E-5</v>
      </c>
      <c r="AA5887">
        <v>0.96216420000000002</v>
      </c>
      <c r="AB5887">
        <v>32</v>
      </c>
      <c r="AC5887">
        <v>12.328099999999999</v>
      </c>
      <c r="AD5887">
        <v>-1.1157975582719999</v>
      </c>
      <c r="AE5887">
        <v>5.4655800000000001</v>
      </c>
      <c r="AF5887">
        <v>-3.6980010416996301</v>
      </c>
      <c r="AG5887">
        <v>-1.1157975582719999</v>
      </c>
      <c r="AH5887">
        <v>12.8730234711847</v>
      </c>
      <c r="AI5887">
        <v>94.762196384573798</v>
      </c>
      <c r="AJ5887">
        <v>106.02763736190801</v>
      </c>
      <c r="AK5887">
        <v>13.440050192805399</v>
      </c>
      <c r="AL5887">
        <v>75.923429094423497</v>
      </c>
      <c r="AM5887">
        <v>98.398800781427497</v>
      </c>
      <c r="AN5887">
        <v>1.0000000149206201</v>
      </c>
    </row>
    <row r="5888" spans="1:40" x14ac:dyDescent="0.25">
      <c r="A5888" t="str">
        <f>"20190312172822715"</f>
        <v>20190312172822715</v>
      </c>
      <c r="B5888" t="str">
        <f>"1552382902705152"</f>
        <v>1552382902705152</v>
      </c>
      <c r="C5888" t="s">
        <v>40</v>
      </c>
      <c r="D5888">
        <v>3.3485960000000001</v>
      </c>
      <c r="E5888">
        <v>0.45531480000000002</v>
      </c>
      <c r="F5888" t="s">
        <v>52</v>
      </c>
      <c r="G5888">
        <v>-199.0153</v>
      </c>
      <c r="H5888" s="1">
        <v>-8.5792629999999998E-6</v>
      </c>
      <c r="I5888">
        <v>-56.399810000000002</v>
      </c>
      <c r="J5888">
        <v>-211.50630000000001</v>
      </c>
      <c r="K5888">
        <v>1.1158380000000001</v>
      </c>
      <c r="L5888">
        <v>-61.999850000000002</v>
      </c>
      <c r="M5888">
        <v>0.99002190000000001</v>
      </c>
      <c r="N5888">
        <v>0</v>
      </c>
      <c r="O5888">
        <v>0.14014190000000001</v>
      </c>
      <c r="P5888">
        <v>0.93403380000000003</v>
      </c>
      <c r="Q5888">
        <v>0.23100699999999999</v>
      </c>
      <c r="R5888">
        <v>0.27242739999999999</v>
      </c>
      <c r="S5888">
        <v>2.900223</v>
      </c>
      <c r="T5888">
        <v>-0.2562046</v>
      </c>
      <c r="U5888">
        <v>1.290985</v>
      </c>
      <c r="V5888">
        <v>-0.14214209999999999</v>
      </c>
      <c r="W5888">
        <v>0.243254</v>
      </c>
      <c r="X5888">
        <v>0.95949110000000004</v>
      </c>
      <c r="Y5888">
        <v>-0.27417390000000003</v>
      </c>
      <c r="Z5888">
        <v>-1.4276990000000001E-4</v>
      </c>
      <c r="AA5888">
        <v>0.96168010000000004</v>
      </c>
      <c r="AB5888">
        <v>32</v>
      </c>
      <c r="AC5888">
        <v>12.491</v>
      </c>
      <c r="AD5888">
        <v>-1.1158465792629999</v>
      </c>
      <c r="AE5888">
        <v>5.6000399999999999</v>
      </c>
      <c r="AF5888">
        <v>-3.76901738023752</v>
      </c>
      <c r="AG5888">
        <v>-1.1158465792629999</v>
      </c>
      <c r="AH5888">
        <v>13.0657725300848</v>
      </c>
      <c r="AI5888">
        <v>94.690977854002895</v>
      </c>
      <c r="AJ5888">
        <v>106.09099664071201</v>
      </c>
      <c r="AK5888">
        <v>13.6442301874787</v>
      </c>
      <c r="AL5888">
        <v>75.921326397496699</v>
      </c>
      <c r="AM5888">
        <v>98.426692658173707</v>
      </c>
      <c r="AN5888">
        <v>1.0000000280437999</v>
      </c>
    </row>
    <row r="5889" spans="1:40" x14ac:dyDescent="0.25">
      <c r="A5889" t="str">
        <f>"20190312172822726"</f>
        <v>20190312172822726</v>
      </c>
      <c r="B5889" t="str">
        <f>"1552382902715888"</f>
        <v>1552382902715888</v>
      </c>
      <c r="C5889" t="s">
        <v>40</v>
      </c>
      <c r="D5889">
        <v>3.3253629999999998</v>
      </c>
      <c r="E5889">
        <v>0.45511499999999999</v>
      </c>
      <c r="F5889" t="s">
        <v>52</v>
      </c>
      <c r="G5889">
        <v>-198.66820000000001</v>
      </c>
      <c r="H5889" s="1">
        <v>-8.6045970000000007E-6</v>
      </c>
      <c r="I5889">
        <v>-56.2164</v>
      </c>
      <c r="J5889">
        <v>-211.35589999999999</v>
      </c>
      <c r="K5889">
        <v>1.115891</v>
      </c>
      <c r="L5889">
        <v>-61.975589999999997</v>
      </c>
      <c r="M5889">
        <v>0.9895545</v>
      </c>
      <c r="N5889">
        <v>0</v>
      </c>
      <c r="O5889">
        <v>0.14340510000000001</v>
      </c>
      <c r="P5889">
        <v>0.93292779999999997</v>
      </c>
      <c r="Q5889">
        <v>0.23140260000000001</v>
      </c>
      <c r="R5889">
        <v>0.27585969999999999</v>
      </c>
      <c r="S5889">
        <v>2.8938449999999998</v>
      </c>
      <c r="T5889">
        <v>-0.25152340000000001</v>
      </c>
      <c r="U5889">
        <v>1.30365</v>
      </c>
      <c r="V5889">
        <v>-0.142559299999999</v>
      </c>
      <c r="W5889">
        <v>0.24362819999999999</v>
      </c>
      <c r="X5889">
        <v>0.95933420000000003</v>
      </c>
      <c r="Y5889">
        <v>-0.27531670000000003</v>
      </c>
      <c r="Z5889">
        <v>-3.5614430000000002E-4</v>
      </c>
      <c r="AA5889">
        <v>0.96135349999999997</v>
      </c>
      <c r="AB5889">
        <v>32</v>
      </c>
      <c r="AC5889">
        <v>12.6876999999999</v>
      </c>
      <c r="AD5889">
        <v>-1.115899604597</v>
      </c>
      <c r="AE5889">
        <v>5.7591900000000003</v>
      </c>
      <c r="AF5889">
        <v>-3.8552451043063298</v>
      </c>
      <c r="AG5889">
        <v>-1.115899604597</v>
      </c>
      <c r="AH5889">
        <v>13.2972320111848</v>
      </c>
      <c r="AI5889">
        <v>94.608104693029006</v>
      </c>
      <c r="AJ5889">
        <v>106.168374424973</v>
      </c>
      <c r="AK5889">
        <v>13.8897273515751</v>
      </c>
      <c r="AL5889">
        <v>75.899220617265996</v>
      </c>
      <c r="AM5889">
        <v>98.452431323500804</v>
      </c>
      <c r="AN5889">
        <v>0.99999998057068396</v>
      </c>
    </row>
    <row r="5890" spans="1:40" x14ac:dyDescent="0.25">
      <c r="A5890" t="str">
        <f>"20190312172822737"</f>
        <v>20190312172822737</v>
      </c>
      <c r="B5890" t="str">
        <f>"1552382902725648"</f>
        <v>1552382902725648</v>
      </c>
      <c r="C5890" t="s">
        <v>40</v>
      </c>
      <c r="D5890">
        <v>3.3668589999999998</v>
      </c>
      <c r="E5890">
        <v>0.45488580000000001</v>
      </c>
      <c r="F5890" t="s">
        <v>52</v>
      </c>
      <c r="G5890">
        <v>-198.29929999999999</v>
      </c>
      <c r="H5890" s="1">
        <v>-8.6290919999999999E-6</v>
      </c>
      <c r="I5890">
        <v>-56.028390000000002</v>
      </c>
      <c r="J5890">
        <v>-211.21449999999999</v>
      </c>
      <c r="K5890">
        <v>1.1159209999999999</v>
      </c>
      <c r="L5890">
        <v>-61.951900000000002</v>
      </c>
      <c r="M5890">
        <v>0.98914979999999997</v>
      </c>
      <c r="N5890">
        <v>0</v>
      </c>
      <c r="O5890">
        <v>0.14618339999999999</v>
      </c>
      <c r="P5890">
        <v>0.93197129999999995</v>
      </c>
      <c r="Q5890">
        <v>0.23146520000000001</v>
      </c>
      <c r="R5890">
        <v>0.2790222</v>
      </c>
      <c r="S5890">
        <v>2.8879389999999998</v>
      </c>
      <c r="T5890">
        <v>-0.24682029999999999</v>
      </c>
      <c r="U5890">
        <v>1.3154300000000001</v>
      </c>
      <c r="V5890">
        <v>-0.14316300000000001</v>
      </c>
      <c r="W5890">
        <v>0.24353250000000001</v>
      </c>
      <c r="X5890">
        <v>0.95926860000000003</v>
      </c>
      <c r="Y5890">
        <v>-0.2766247</v>
      </c>
      <c r="Z5890">
        <v>-5.164519E-4</v>
      </c>
      <c r="AA5890">
        <v>0.96097790000000005</v>
      </c>
      <c r="AB5890">
        <v>32</v>
      </c>
      <c r="AC5890">
        <v>12.9152</v>
      </c>
      <c r="AD5890">
        <v>-1.115929629092</v>
      </c>
      <c r="AE5890">
        <v>5.9235100000000003</v>
      </c>
      <c r="AF5890">
        <v>-3.9473261880894799</v>
      </c>
      <c r="AG5890">
        <v>-1.115929629092</v>
      </c>
      <c r="AH5890">
        <v>13.558806566959801</v>
      </c>
      <c r="AI5890">
        <v>94.518254423326198</v>
      </c>
      <c r="AJ5890">
        <v>106.23167105228499</v>
      </c>
      <c r="AK5890">
        <v>14.1657304256609</v>
      </c>
      <c r="AL5890">
        <v>75.904874166610995</v>
      </c>
      <c r="AM5890">
        <v>98.488276764532898</v>
      </c>
      <c r="AN5890">
        <v>0.99999998503560406</v>
      </c>
    </row>
    <row r="5891" spans="1:40" x14ac:dyDescent="0.25">
      <c r="A5891" t="str">
        <f>"20190312172822747"</f>
        <v>20190312172822747</v>
      </c>
      <c r="B5891" t="str">
        <f>"1552382902745168"</f>
        <v>1552382902745168</v>
      </c>
      <c r="C5891" t="s">
        <v>40</v>
      </c>
      <c r="D5891">
        <v>3.3500719999999999</v>
      </c>
      <c r="E5891">
        <v>0.45421929999999999</v>
      </c>
      <c r="F5891" t="s">
        <v>52</v>
      </c>
      <c r="G5891">
        <v>-197.98099999999999</v>
      </c>
      <c r="H5891" s="1">
        <v>-8.6530039999999993E-6</v>
      </c>
      <c r="I5891">
        <v>-55.858280000000001</v>
      </c>
      <c r="J5891">
        <v>-211.06780000000001</v>
      </c>
      <c r="K5891">
        <v>1.11595</v>
      </c>
      <c r="L5891">
        <v>-61.927219999999998</v>
      </c>
      <c r="M5891">
        <v>0.98872700000000002</v>
      </c>
      <c r="N5891">
        <v>0</v>
      </c>
      <c r="O5891">
        <v>0.14903129999999901</v>
      </c>
      <c r="P5891">
        <v>0.93098749999999997</v>
      </c>
      <c r="Q5891">
        <v>0.23167289999999999</v>
      </c>
      <c r="R5891">
        <v>0.28211740000000002</v>
      </c>
      <c r="S5891">
        <v>2.882034</v>
      </c>
      <c r="T5891">
        <v>-0.2430302</v>
      </c>
      <c r="U5891">
        <v>1.3270869999999999</v>
      </c>
      <c r="V5891">
        <v>-0.1436412</v>
      </c>
      <c r="W5891">
        <v>0.2435621</v>
      </c>
      <c r="X5891">
        <v>0.95918959999999998</v>
      </c>
      <c r="Y5891">
        <v>-0.27782839999999998</v>
      </c>
      <c r="Z5891">
        <v>-6.827135E-4</v>
      </c>
      <c r="AA5891">
        <v>0.96063050000000005</v>
      </c>
      <c r="AB5891">
        <v>32</v>
      </c>
      <c r="AC5891">
        <v>13.0868</v>
      </c>
      <c r="AD5891">
        <v>-1.115958653004</v>
      </c>
      <c r="AE5891">
        <v>6.0689399999999898</v>
      </c>
      <c r="AF5891">
        <v>-4.0265076565296898</v>
      </c>
      <c r="AG5891">
        <v>-1.115958653004</v>
      </c>
      <c r="AH5891">
        <v>13.762814297050401</v>
      </c>
      <c r="AI5891">
        <v>94.449952125010796</v>
      </c>
      <c r="AJ5891">
        <v>106.30758988724401</v>
      </c>
      <c r="AK5891">
        <v>14.3830867687851</v>
      </c>
      <c r="AL5891">
        <v>75.903125628083998</v>
      </c>
      <c r="AM5891">
        <v>98.516905760288495</v>
      </c>
      <c r="AN5891">
        <v>0.99999998982100402</v>
      </c>
    </row>
    <row r="5892" spans="1:40" x14ac:dyDescent="0.25">
      <c r="A5892" t="str">
        <f>"20190312172822757"</f>
        <v>20190312172822757</v>
      </c>
      <c r="B5892" t="str">
        <f>"1552382902754928"</f>
        <v>1552382902754928</v>
      </c>
      <c r="C5892" t="s">
        <v>40</v>
      </c>
      <c r="D5892">
        <v>3.3581099999999999</v>
      </c>
      <c r="E5892">
        <v>0.45414710000000003</v>
      </c>
      <c r="F5892" t="s">
        <v>52</v>
      </c>
      <c r="G5892">
        <v>-197.38579999999999</v>
      </c>
      <c r="H5892" s="1">
        <v>-8.6965379999999994E-6</v>
      </c>
      <c r="I5892">
        <v>-55.543529999999997</v>
      </c>
      <c r="J5892">
        <v>-210.9349</v>
      </c>
      <c r="K5892">
        <v>1.1159159999999999</v>
      </c>
      <c r="L5892">
        <v>-61.904049999999998</v>
      </c>
      <c r="M5892">
        <v>0.98829330000000004</v>
      </c>
      <c r="N5892">
        <v>0</v>
      </c>
      <c r="O5892">
        <v>0.15187200000000001</v>
      </c>
      <c r="P5892">
        <v>0.93010269999999995</v>
      </c>
      <c r="Q5892">
        <v>0.23155310000000001</v>
      </c>
      <c r="R5892">
        <v>0.28511760000000003</v>
      </c>
      <c r="S5892">
        <v>2.8743289999999999</v>
      </c>
      <c r="T5892">
        <v>-0.23444219999999999</v>
      </c>
      <c r="U5892">
        <v>1.3410949999999999</v>
      </c>
      <c r="V5892">
        <v>-0.14395160000000001</v>
      </c>
      <c r="W5892">
        <v>0.24353250000000001</v>
      </c>
      <c r="X5892">
        <v>0.95915059999999996</v>
      </c>
      <c r="Y5892">
        <v>-0.27992399999999901</v>
      </c>
      <c r="Z5892">
        <v>-7.9191479999999996E-4</v>
      </c>
      <c r="AA5892">
        <v>0.96002189999999998</v>
      </c>
      <c r="AB5892">
        <v>32</v>
      </c>
      <c r="AC5892">
        <v>13.549099999999999</v>
      </c>
      <c r="AD5892">
        <v>-1.1159246965380001</v>
      </c>
      <c r="AE5892">
        <v>6.3605199999999904</v>
      </c>
      <c r="AF5892">
        <v>-4.20540147578199</v>
      </c>
      <c r="AG5892">
        <v>-1.1159246965380001</v>
      </c>
      <c r="AH5892">
        <v>14.2786190122562</v>
      </c>
      <c r="AI5892">
        <v>94.287418734599797</v>
      </c>
      <c r="AJ5892">
        <v>106.41098686829299</v>
      </c>
      <c r="AK5892">
        <v>14.926809786354699</v>
      </c>
      <c r="AL5892">
        <v>75.9048744910843</v>
      </c>
      <c r="AM5892">
        <v>98.535381434848404</v>
      </c>
      <c r="AN5892">
        <v>1.0000000075895801</v>
      </c>
    </row>
    <row r="5893" spans="1:40" x14ac:dyDescent="0.25">
      <c r="A5893" t="str">
        <f>"20190312172822768"</f>
        <v>20190312172822768</v>
      </c>
      <c r="B5893" t="str">
        <f>"1552382902765664"</f>
        <v>1552382902765664</v>
      </c>
      <c r="C5893" t="s">
        <v>40</v>
      </c>
      <c r="D5893">
        <v>3.3523299999999998</v>
      </c>
      <c r="E5893">
        <v>0.45408419999999999</v>
      </c>
      <c r="F5893" t="s">
        <v>52</v>
      </c>
      <c r="G5893">
        <v>-197.1626</v>
      </c>
      <c r="H5893" s="1">
        <v>-8.7154120000000008E-6</v>
      </c>
      <c r="I5893">
        <v>-55.418219999999998</v>
      </c>
      <c r="J5893">
        <v>-210.78970000000001</v>
      </c>
      <c r="K5893">
        <v>1.11588</v>
      </c>
      <c r="L5893">
        <v>-61.878689999999999</v>
      </c>
      <c r="M5893">
        <v>0.9878093</v>
      </c>
      <c r="N5893">
        <v>0</v>
      </c>
      <c r="O5893">
        <v>0.1549797</v>
      </c>
      <c r="P5893">
        <v>0.92909909999999996</v>
      </c>
      <c r="Q5893">
        <v>0.2311589</v>
      </c>
      <c r="R5893">
        <v>0.28868739999999998</v>
      </c>
      <c r="S5893">
        <v>2.8691249999999999</v>
      </c>
      <c r="T5893">
        <v>-0.23247609999999999</v>
      </c>
      <c r="U5893">
        <v>1.3511660000000001</v>
      </c>
      <c r="V5893">
        <v>-0.14457579999999901</v>
      </c>
      <c r="W5893">
        <v>0.2432397</v>
      </c>
      <c r="X5893">
        <v>0.95913099999999996</v>
      </c>
      <c r="Y5893">
        <v>-0.28034579999999998</v>
      </c>
      <c r="Z5893">
        <v>-1.001778E-3</v>
      </c>
      <c r="AA5893">
        <v>0.95989860000000005</v>
      </c>
      <c r="AB5893">
        <v>32</v>
      </c>
      <c r="AC5893">
        <v>13.6271</v>
      </c>
      <c r="AD5893">
        <v>-1.1158887154120001</v>
      </c>
      <c r="AE5893">
        <v>6.4604699999999999</v>
      </c>
      <c r="AF5893">
        <v>-4.2469933355124798</v>
      </c>
      <c r="AG5893">
        <v>-1.1158887154120001</v>
      </c>
      <c r="AH5893">
        <v>14.385008293532101</v>
      </c>
      <c r="AI5893">
        <v>94.254869703645099</v>
      </c>
      <c r="AJ5893">
        <v>106.44857473977299</v>
      </c>
      <c r="AK5893">
        <v>15.040299984443701</v>
      </c>
      <c r="AL5893">
        <v>75.922170614530799</v>
      </c>
      <c r="AM5893">
        <v>98.572016314666499</v>
      </c>
      <c r="AN5893">
        <v>0.999999994381365</v>
      </c>
    </row>
    <row r="5894" spans="1:40" x14ac:dyDescent="0.25">
      <c r="A5894" t="str">
        <f>"20190312172822779"</f>
        <v>20190312172822779</v>
      </c>
      <c r="B5894" t="str">
        <f>"1552382902775424"</f>
        <v>1552382902775424</v>
      </c>
      <c r="C5894" t="s">
        <v>40</v>
      </c>
      <c r="D5894">
        <v>3.301285</v>
      </c>
      <c r="E5894">
        <v>0.45393169999999999</v>
      </c>
      <c r="F5894" t="s">
        <v>52</v>
      </c>
      <c r="G5894">
        <v>-197.01689999999999</v>
      </c>
      <c r="H5894" s="1">
        <v>-8.7319239999999992E-6</v>
      </c>
      <c r="I5894">
        <v>-55.324489999999997</v>
      </c>
      <c r="J5894">
        <v>-210.6412</v>
      </c>
      <c r="K5894">
        <v>1.1158060000000001</v>
      </c>
      <c r="L5894">
        <v>-61.851869999999998</v>
      </c>
      <c r="M5894">
        <v>0.98722869999999996</v>
      </c>
      <c r="N5894">
        <v>0</v>
      </c>
      <c r="O5894">
        <v>0.15862079999999901</v>
      </c>
      <c r="P5894">
        <v>0.92801480000000003</v>
      </c>
      <c r="Q5894">
        <v>0.2308769</v>
      </c>
      <c r="R5894">
        <v>0.29237750000000001</v>
      </c>
      <c r="S5894">
        <v>2.8632970000000002</v>
      </c>
      <c r="T5894">
        <v>-0.23198659999999999</v>
      </c>
      <c r="U5894">
        <v>1.362579</v>
      </c>
      <c r="V5894">
        <v>-0.1447881</v>
      </c>
      <c r="W5894">
        <v>0.24313940000000001</v>
      </c>
      <c r="X5894">
        <v>0.95912439999999999</v>
      </c>
      <c r="Y5894">
        <v>-0.28069349999999998</v>
      </c>
      <c r="Z5894">
        <v>-1.2585960000000001E-3</v>
      </c>
      <c r="AA5894">
        <v>0.95979669999999895</v>
      </c>
      <c r="AB5894">
        <v>31</v>
      </c>
      <c r="AC5894">
        <v>13.6243</v>
      </c>
      <c r="AD5894">
        <v>-1.1158147319239999</v>
      </c>
      <c r="AE5894">
        <v>6.5273799999999902</v>
      </c>
      <c r="AF5894">
        <v>-4.26014824402231</v>
      </c>
      <c r="AG5894">
        <v>-1.1158147319239999</v>
      </c>
      <c r="AH5894">
        <v>14.408661315958099</v>
      </c>
      <c r="AI5894">
        <v>94.247137415096503</v>
      </c>
      <c r="AJ5894">
        <v>106.471145918532</v>
      </c>
      <c r="AK5894">
        <v>15.0666328851211</v>
      </c>
      <c r="AL5894">
        <v>75.928095157178106</v>
      </c>
      <c r="AM5894">
        <v>98.584474548853905</v>
      </c>
      <c r="AN5894">
        <v>0.99999998820466396</v>
      </c>
    </row>
    <row r="5895" spans="1:40" x14ac:dyDescent="0.25">
      <c r="A5895" t="str">
        <f>"20190312172822791"</f>
        <v>20190312172822791</v>
      </c>
      <c r="B5895" t="str">
        <f>"1552382902785184"</f>
        <v>1552382902785184</v>
      </c>
      <c r="C5895" t="s">
        <v>40</v>
      </c>
      <c r="D5895">
        <v>3.3165460000000002</v>
      </c>
      <c r="E5895">
        <v>0.4536849</v>
      </c>
      <c r="F5895" t="s">
        <v>52</v>
      </c>
      <c r="G5895">
        <v>-196.79910000000001</v>
      </c>
      <c r="H5895" s="1">
        <v>-8.7545019999999994E-6</v>
      </c>
      <c r="I5895">
        <v>-55.190379999999998</v>
      </c>
      <c r="J5895">
        <v>-210.47929999999999</v>
      </c>
      <c r="K5895">
        <v>1.1157429999999999</v>
      </c>
      <c r="L5895">
        <v>-61.822360000000003</v>
      </c>
      <c r="M5895">
        <v>0.98657300000000003</v>
      </c>
      <c r="N5895">
        <v>0</v>
      </c>
      <c r="O5895">
        <v>0.16263520000000001</v>
      </c>
      <c r="P5895">
        <v>0.92680180000000001</v>
      </c>
      <c r="Q5895">
        <v>0.23054720000000001</v>
      </c>
      <c r="R5895">
        <v>0.29645680000000002</v>
      </c>
      <c r="S5895">
        <v>2.856827</v>
      </c>
      <c r="T5895">
        <v>-0.2302901</v>
      </c>
      <c r="U5895">
        <v>1.3748469999999999</v>
      </c>
      <c r="V5895">
        <v>-0.14505199999999999</v>
      </c>
      <c r="W5895">
        <v>0.24298069999999999</v>
      </c>
      <c r="X5895">
        <v>0.95912470000000005</v>
      </c>
      <c r="Y5895">
        <v>-0.28099829999999998</v>
      </c>
      <c r="Z5895">
        <v>-1.536082E-3</v>
      </c>
      <c r="AA5895">
        <v>0.95970699999999998</v>
      </c>
      <c r="AB5895">
        <v>31</v>
      </c>
      <c r="AC5895">
        <v>13.6801999999999</v>
      </c>
      <c r="AD5895">
        <v>-1.1157517545019999</v>
      </c>
      <c r="AE5895">
        <v>6.6319799999999898</v>
      </c>
      <c r="AF5895">
        <v>-4.2953974079531196</v>
      </c>
      <c r="AG5895">
        <v>-1.1157517545019999</v>
      </c>
      <c r="AH5895">
        <v>14.4986468345702</v>
      </c>
      <c r="AI5895">
        <v>94.219953656990697</v>
      </c>
      <c r="AJ5895">
        <v>106.502552377103</v>
      </c>
      <c r="AK5895">
        <v>15.1626548105375</v>
      </c>
      <c r="AL5895">
        <v>75.937468515245996</v>
      </c>
      <c r="AM5895">
        <v>98.599884772060093</v>
      </c>
      <c r="AN5895">
        <v>0.99999994671328796</v>
      </c>
    </row>
    <row r="5896" spans="1:40" x14ac:dyDescent="0.25">
      <c r="A5896" t="str">
        <f>"20190312172822800"</f>
        <v>20190312172822800</v>
      </c>
      <c r="B5896" t="str">
        <f>"1552382902794944"</f>
        <v>1552382902794944</v>
      </c>
      <c r="C5896" t="s">
        <v>40</v>
      </c>
      <c r="D5896">
        <v>3.2884329999999999</v>
      </c>
      <c r="E5896">
        <v>0.45358290000000001</v>
      </c>
      <c r="F5896" t="s">
        <v>52</v>
      </c>
      <c r="G5896">
        <v>-196.59059999999999</v>
      </c>
      <c r="H5896" s="1">
        <v>-8.7798399999999996E-6</v>
      </c>
      <c r="I5896">
        <v>-55.051380000000002</v>
      </c>
      <c r="J5896">
        <v>-210.33199999999999</v>
      </c>
      <c r="K5896">
        <v>1.1157509999999999</v>
      </c>
      <c r="L5896">
        <v>-61.794800000000002</v>
      </c>
      <c r="M5896">
        <v>0.98593750000000002</v>
      </c>
      <c r="N5896">
        <v>0</v>
      </c>
      <c r="O5896">
        <v>0.16643649999999999</v>
      </c>
      <c r="P5896">
        <v>0.92571349999999997</v>
      </c>
      <c r="Q5896">
        <v>0.22990389999999999</v>
      </c>
      <c r="R5896">
        <v>0.30033070000000001</v>
      </c>
      <c r="S5896">
        <v>2.8495180000000002</v>
      </c>
      <c r="T5896">
        <v>-0.22891690000000001</v>
      </c>
      <c r="U5896">
        <v>1.3891910000000001</v>
      </c>
      <c r="V5896">
        <v>-0.145345899999999</v>
      </c>
      <c r="W5896">
        <v>0.2424103</v>
      </c>
      <c r="X5896">
        <v>0.95922459999999998</v>
      </c>
      <c r="Y5896">
        <v>-0.28218140000000003</v>
      </c>
      <c r="Z5896">
        <v>-1.763106E-3</v>
      </c>
      <c r="AA5896">
        <v>0.95935950000000003</v>
      </c>
      <c r="AB5896">
        <v>31</v>
      </c>
      <c r="AC5896">
        <v>13.741400000000001</v>
      </c>
      <c r="AD5896">
        <v>-1.1157597798400001</v>
      </c>
      <c r="AE5896">
        <v>6.7434199999999898</v>
      </c>
      <c r="AF5896">
        <v>-4.3389589056435902</v>
      </c>
      <c r="AG5896">
        <v>-1.1157597798400001</v>
      </c>
      <c r="AH5896">
        <v>14.5946252975573</v>
      </c>
      <c r="AI5896">
        <v>94.191150558428006</v>
      </c>
      <c r="AJ5896">
        <v>106.55712998807</v>
      </c>
      <c r="AK5896">
        <v>15.266780009133299</v>
      </c>
      <c r="AL5896">
        <v>75.971158125980295</v>
      </c>
      <c r="AM5896">
        <v>98.616164323441794</v>
      </c>
      <c r="AN5896">
        <v>1.0000000087190299</v>
      </c>
    </row>
    <row r="5897" spans="1:40" x14ac:dyDescent="0.25">
      <c r="A5897" t="str">
        <f>"20190312172822812"</f>
        <v>20190312172822812</v>
      </c>
      <c r="B5897" t="str">
        <f>"1552382902805680"</f>
        <v>1552382902805680</v>
      </c>
      <c r="C5897" t="s">
        <v>40</v>
      </c>
      <c r="D5897">
        <v>3.5831499999999998</v>
      </c>
      <c r="E5897">
        <v>0.45347690000000002</v>
      </c>
      <c r="F5897" t="s">
        <v>52</v>
      </c>
      <c r="G5897">
        <v>-196.4752</v>
      </c>
      <c r="H5897" s="1">
        <v>-8.7983750000000003E-6</v>
      </c>
      <c r="I5897">
        <v>-54.961599999999997</v>
      </c>
      <c r="J5897">
        <v>-210.18219999999999</v>
      </c>
      <c r="K5897">
        <v>1.115791</v>
      </c>
      <c r="L5897">
        <v>-61.766269999999999</v>
      </c>
      <c r="M5897">
        <v>0.9852824</v>
      </c>
      <c r="N5897">
        <v>0</v>
      </c>
      <c r="O5897">
        <v>0.170267</v>
      </c>
      <c r="P5897">
        <v>0.92466930000000003</v>
      </c>
      <c r="Q5897">
        <v>0.22973730000000001</v>
      </c>
      <c r="R5897">
        <v>0.30365740000000002</v>
      </c>
      <c r="S5897">
        <v>2.8427730000000002</v>
      </c>
      <c r="T5897">
        <v>-0.2289021</v>
      </c>
      <c r="U5897">
        <v>1.4018550000000001</v>
      </c>
      <c r="V5897">
        <v>-0.14509629999999901</v>
      </c>
      <c r="W5897">
        <v>0.2422831</v>
      </c>
      <c r="X5897">
        <v>0.95929450000000005</v>
      </c>
      <c r="Y5897">
        <v>-0.28280100000000002</v>
      </c>
      <c r="Z5897">
        <v>-2.0229269999999999E-3</v>
      </c>
      <c r="AA5897">
        <v>0.95917649999999999</v>
      </c>
      <c r="AB5897">
        <v>31</v>
      </c>
      <c r="AC5897">
        <v>13.706999999999899</v>
      </c>
      <c r="AD5897">
        <v>-1.1157997983750001</v>
      </c>
      <c r="AE5897">
        <v>6.8046699999999998</v>
      </c>
      <c r="AF5897">
        <v>-4.3480538613311097</v>
      </c>
      <c r="AG5897">
        <v>-1.1157997983750001</v>
      </c>
      <c r="AH5897">
        <v>14.5879919420621</v>
      </c>
      <c r="AI5897">
        <v>94.192332710176302</v>
      </c>
      <c r="AJ5897">
        <v>106.597058720422</v>
      </c>
      <c r="AK5897">
        <v>15.263030186459</v>
      </c>
      <c r="AL5897">
        <v>75.978669775839805</v>
      </c>
      <c r="AM5897">
        <v>98.600972048436603</v>
      </c>
      <c r="AN5897">
        <v>0.99999998727477402</v>
      </c>
    </row>
    <row r="5898" spans="1:40" x14ac:dyDescent="0.25">
      <c r="A5898" t="str">
        <f>"20190312172822823"</f>
        <v>20190312172822823</v>
      </c>
      <c r="B5898" t="str">
        <f>"1552382902815440"</f>
        <v>1552382902815440</v>
      </c>
      <c r="C5898" t="s">
        <v>40</v>
      </c>
      <c r="D5898">
        <v>4.1156639999999998</v>
      </c>
      <c r="E5898">
        <v>0.45332230000000001</v>
      </c>
      <c r="F5898" t="s">
        <v>52</v>
      </c>
      <c r="G5898">
        <v>-196.19130000000001</v>
      </c>
      <c r="H5898" s="1">
        <v>-8.8242840000000008E-6</v>
      </c>
      <c r="I5898">
        <v>-54.796810000000001</v>
      </c>
      <c r="J5898">
        <v>-210.0273</v>
      </c>
      <c r="K5898">
        <v>1.1158939999999999</v>
      </c>
      <c r="L5898">
        <v>-61.736080000000001</v>
      </c>
      <c r="M5898">
        <v>0.98459980000000002</v>
      </c>
      <c r="N5898">
        <v>0</v>
      </c>
      <c r="O5898">
        <v>0.17416899999999999</v>
      </c>
      <c r="P5898">
        <v>0.92351289999999997</v>
      </c>
      <c r="Q5898">
        <v>0.2296464</v>
      </c>
      <c r="R5898">
        <v>0.30722460000000001</v>
      </c>
      <c r="S5898">
        <v>2.8365779999999998</v>
      </c>
      <c r="T5898">
        <v>-0.2262236</v>
      </c>
      <c r="U5898">
        <v>1.413025</v>
      </c>
      <c r="V5898">
        <v>-0.1450737</v>
      </c>
      <c r="W5898">
        <v>0.24216750000000001</v>
      </c>
      <c r="X5898">
        <v>0.95932720000000005</v>
      </c>
      <c r="Y5898">
        <v>-0.28287859999999998</v>
      </c>
      <c r="Z5898">
        <v>-2.2820370000000002E-3</v>
      </c>
      <c r="AA5898">
        <v>0.95915300000000003</v>
      </c>
      <c r="AB5898">
        <v>31</v>
      </c>
      <c r="AC5898">
        <v>13.835999999999901</v>
      </c>
      <c r="AD5898">
        <v>-1.1159028242839999</v>
      </c>
      <c r="AE5898">
        <v>6.9392699999999996</v>
      </c>
      <c r="AF5898">
        <v>-4.4002368650055601</v>
      </c>
      <c r="AG5898">
        <v>-1.1159028242839999</v>
      </c>
      <c r="AH5898">
        <v>14.756526820802801</v>
      </c>
      <c r="AI5898">
        <v>94.144851639805196</v>
      </c>
      <c r="AJ5898">
        <v>106.604012051792</v>
      </c>
      <c r="AK5898">
        <v>15.4389898437194</v>
      </c>
      <c r="AL5898">
        <v>75.985497743756895</v>
      </c>
      <c r="AM5898">
        <v>98.599363655059307</v>
      </c>
      <c r="AN5898">
        <v>1.0000000765738799</v>
      </c>
    </row>
    <row r="5899" spans="1:40" x14ac:dyDescent="0.25">
      <c r="A5899" t="str">
        <f>"20190312172822834"</f>
        <v>20190312172822834</v>
      </c>
      <c r="B5899" t="str">
        <f>"1552382902825201"</f>
        <v>1552382902825201</v>
      </c>
      <c r="C5899" t="s">
        <v>40</v>
      </c>
      <c r="D5899">
        <v>3.3393649999999999</v>
      </c>
      <c r="E5899">
        <v>0.45323180000000002</v>
      </c>
      <c r="F5899" t="s">
        <v>52</v>
      </c>
      <c r="G5899">
        <v>-195.6078</v>
      </c>
      <c r="H5899" s="1">
        <v>-8.8759010000000002E-6</v>
      </c>
      <c r="I5899">
        <v>-54.472149999999999</v>
      </c>
      <c r="J5899">
        <v>-209.8723</v>
      </c>
      <c r="K5899">
        <v>1.116023</v>
      </c>
      <c r="L5899">
        <v>-61.70505</v>
      </c>
      <c r="M5899">
        <v>0.98391459999999997</v>
      </c>
      <c r="N5899">
        <v>0</v>
      </c>
      <c r="O5899">
        <v>0.17799860000000001</v>
      </c>
      <c r="P5899">
        <v>0.92235449999999997</v>
      </c>
      <c r="Q5899">
        <v>0.22970380000000001</v>
      </c>
      <c r="R5899">
        <v>0.31064170000000002</v>
      </c>
      <c r="S5899">
        <v>2.828827</v>
      </c>
      <c r="T5899">
        <v>-0.21891949999999999</v>
      </c>
      <c r="U5899">
        <v>1.425049</v>
      </c>
      <c r="V5899">
        <v>-0.14498810000000001</v>
      </c>
      <c r="W5899">
        <v>0.2421809</v>
      </c>
      <c r="X5899">
        <v>0.95933670000000004</v>
      </c>
      <c r="Y5899">
        <v>-0.28347670000000003</v>
      </c>
      <c r="Z5899">
        <v>-2.459213E-3</v>
      </c>
      <c r="AA5899">
        <v>0.95897600000000005</v>
      </c>
      <c r="AB5899">
        <v>31</v>
      </c>
      <c r="AC5899">
        <v>14.2644999999999</v>
      </c>
      <c r="AD5899">
        <v>-1.1160318759009999</v>
      </c>
      <c r="AE5899">
        <v>7.2328999999999999</v>
      </c>
      <c r="AF5899">
        <v>-4.5558342698307497</v>
      </c>
      <c r="AG5899">
        <v>-1.1160318759009999</v>
      </c>
      <c r="AH5899">
        <v>15.2499901529937</v>
      </c>
      <c r="AI5899">
        <v>94.011031567504503</v>
      </c>
      <c r="AJ5899">
        <v>106.633169560079</v>
      </c>
      <c r="AK5899">
        <v>15.9550416078617</v>
      </c>
      <c r="AL5899">
        <v>75.984705626166004</v>
      </c>
      <c r="AM5899">
        <v>98.594281598055105</v>
      </c>
      <c r="AN5899">
        <v>1.00000002071665</v>
      </c>
    </row>
    <row r="5900" spans="1:40" x14ac:dyDescent="0.25">
      <c r="A5900" t="str">
        <f>"20190312172822845"</f>
        <v>20190312172822845</v>
      </c>
      <c r="B5900" t="str">
        <f>"1552382902834960"</f>
        <v>1552382902834960</v>
      </c>
      <c r="C5900" t="s">
        <v>40</v>
      </c>
      <c r="D5900">
        <v>3.357612</v>
      </c>
      <c r="E5900">
        <v>0.45327279999999998</v>
      </c>
      <c r="F5900" t="s">
        <v>52</v>
      </c>
      <c r="G5900">
        <v>-195.21770000000001</v>
      </c>
      <c r="H5900" s="1">
        <v>-8.9190849999999997E-6</v>
      </c>
      <c r="I5900">
        <v>-54.246200000000002</v>
      </c>
      <c r="J5900">
        <v>-209.72120000000001</v>
      </c>
      <c r="K5900">
        <v>1.11616</v>
      </c>
      <c r="L5900">
        <v>-61.674349999999997</v>
      </c>
      <c r="M5900">
        <v>0.98323879999999997</v>
      </c>
      <c r="N5900">
        <v>0</v>
      </c>
      <c r="O5900">
        <v>0.18169360000000001</v>
      </c>
      <c r="P5900">
        <v>0.92134799999999994</v>
      </c>
      <c r="Q5900">
        <v>0.2296948</v>
      </c>
      <c r="R5900">
        <v>0.31362109999999999</v>
      </c>
      <c r="S5900">
        <v>2.822311</v>
      </c>
      <c r="T5900">
        <v>-0.2149354</v>
      </c>
      <c r="U5900">
        <v>1.436493</v>
      </c>
      <c r="V5900">
        <v>-0.1445794</v>
      </c>
      <c r="W5900">
        <v>0.24212349999999999</v>
      </c>
      <c r="X5900">
        <v>0.95941279999999995</v>
      </c>
      <c r="Y5900">
        <v>-0.28387289999999998</v>
      </c>
      <c r="Z5900">
        <v>-2.658133E-3</v>
      </c>
      <c r="AA5900">
        <v>0.95885819999999999</v>
      </c>
      <c r="AB5900">
        <v>31</v>
      </c>
      <c r="AC5900">
        <v>14.503500000000001</v>
      </c>
      <c r="AD5900">
        <v>-1.1161689190849999</v>
      </c>
      <c r="AE5900">
        <v>7.4281499999999898</v>
      </c>
      <c r="AF5900">
        <v>-4.6471824771850496</v>
      </c>
      <c r="AG5900">
        <v>-1.1161689190849999</v>
      </c>
      <c r="AH5900">
        <v>15.5389311236178</v>
      </c>
      <c r="AI5900">
        <v>93.936817929470195</v>
      </c>
      <c r="AJ5900">
        <v>106.650191823105</v>
      </c>
      <c r="AK5900">
        <v>16.257321996464398</v>
      </c>
      <c r="AL5900">
        <v>75.988094367499599</v>
      </c>
      <c r="AM5900">
        <v>98.569746134169094</v>
      </c>
      <c r="AN5900">
        <v>0.99999995648022399</v>
      </c>
    </row>
    <row r="5901" spans="1:40" x14ac:dyDescent="0.25">
      <c r="A5901" t="str">
        <f>"20190312172822858"</f>
        <v>20190312172822858</v>
      </c>
      <c r="B5901" t="str">
        <f>"1552382902855457"</f>
        <v>1552382902855457</v>
      </c>
      <c r="C5901" t="s">
        <v>40</v>
      </c>
      <c r="D5901">
        <v>3.3452540000000002</v>
      </c>
      <c r="E5901">
        <v>0.45358939999999998</v>
      </c>
      <c r="F5901" t="s">
        <v>52</v>
      </c>
      <c r="G5901">
        <v>-194.94550000000001</v>
      </c>
      <c r="H5901" s="1">
        <v>-8.9493129999999997E-6</v>
      </c>
      <c r="I5901">
        <v>-54.088259999999998</v>
      </c>
      <c r="J5901">
        <v>-209.57230000000001</v>
      </c>
      <c r="K5901">
        <v>1.1162810000000001</v>
      </c>
      <c r="L5901">
        <v>-61.643070000000002</v>
      </c>
      <c r="M5901">
        <v>0.98255800000000004</v>
      </c>
      <c r="N5901">
        <v>0</v>
      </c>
      <c r="O5901">
        <v>0.1853409</v>
      </c>
      <c r="P5901">
        <v>0.92027440000000005</v>
      </c>
      <c r="Q5901">
        <v>0.22961799999999999</v>
      </c>
      <c r="R5901">
        <v>0.31681340000000002</v>
      </c>
      <c r="S5901">
        <v>2.8168639999999998</v>
      </c>
      <c r="T5901">
        <v>-0.2127889</v>
      </c>
      <c r="U5901">
        <v>1.4462280000000001</v>
      </c>
      <c r="V5901">
        <v>-0.14442349999999901</v>
      </c>
      <c r="W5901">
        <v>0.24199909999999999</v>
      </c>
      <c r="X5901">
        <v>0.95946770000000003</v>
      </c>
      <c r="Y5901">
        <v>-0.28370329999999999</v>
      </c>
      <c r="Z5901">
        <v>-2.8894239999999998E-3</v>
      </c>
      <c r="AA5901">
        <v>0.95890779999999998</v>
      </c>
      <c r="AB5901">
        <v>31</v>
      </c>
      <c r="AC5901">
        <v>14.626799999999999</v>
      </c>
      <c r="AD5901">
        <v>-1.1162899493130001</v>
      </c>
      <c r="AE5901">
        <v>7.55480999999999</v>
      </c>
      <c r="AF5901">
        <v>-4.6910644111570603</v>
      </c>
      <c r="AG5901">
        <v>-1.1162899493130001</v>
      </c>
      <c r="AH5901">
        <v>15.7015038769685</v>
      </c>
      <c r="AI5901">
        <v>93.896925320526194</v>
      </c>
      <c r="AJ5901">
        <v>106.634319921208</v>
      </c>
      <c r="AK5901">
        <v>16.425267503423498</v>
      </c>
      <c r="AL5901">
        <v>75.995440900144899</v>
      </c>
      <c r="AM5901">
        <v>98.560159783605997</v>
      </c>
      <c r="AN5901">
        <v>0.99999998954817504</v>
      </c>
    </row>
    <row r="5902" spans="1:40" x14ac:dyDescent="0.25">
      <c r="A5902" t="str">
        <f>"20190312172822870"</f>
        <v>20190312172822870</v>
      </c>
      <c r="B5902" t="str">
        <f>"1552382902865217"</f>
        <v>1552382902865217</v>
      </c>
      <c r="C5902" t="s">
        <v>40</v>
      </c>
      <c r="D5902">
        <v>3.341758</v>
      </c>
      <c r="E5902">
        <v>0.45362959999999902</v>
      </c>
      <c r="F5902" t="s">
        <v>52</v>
      </c>
      <c r="G5902">
        <v>-194.63980000000001</v>
      </c>
      <c r="H5902" s="1">
        <v>-8.9792830000000007E-6</v>
      </c>
      <c r="I5902">
        <v>-53.921840000000003</v>
      </c>
      <c r="J5902">
        <v>-209.40860000000001</v>
      </c>
      <c r="K5902">
        <v>1.116409</v>
      </c>
      <c r="L5902">
        <v>-61.608310000000003</v>
      </c>
      <c r="M5902">
        <v>0.98178989999999999</v>
      </c>
      <c r="N5902">
        <v>0</v>
      </c>
      <c r="O5902">
        <v>0.18936700000000001</v>
      </c>
      <c r="P5902">
        <v>0.91904260000000004</v>
      </c>
      <c r="Q5902">
        <v>0.2296578</v>
      </c>
      <c r="R5902">
        <v>0.32034069999999998</v>
      </c>
      <c r="S5902">
        <v>2.8118129999999999</v>
      </c>
      <c r="T5902">
        <v>-0.2101991</v>
      </c>
      <c r="U5902">
        <v>1.453918</v>
      </c>
      <c r="V5902">
        <v>-0.14425779999999999</v>
      </c>
      <c r="W5902">
        <v>0.24198749999999999</v>
      </c>
      <c r="X5902">
        <v>0.95949549999999995</v>
      </c>
      <c r="Y5902">
        <v>-0.28255999999999998</v>
      </c>
      <c r="Z5902">
        <v>-3.169289E-3</v>
      </c>
      <c r="AA5902">
        <v>0.9592444</v>
      </c>
      <c r="AB5902">
        <v>31</v>
      </c>
      <c r="AC5902">
        <v>14.768800000000001</v>
      </c>
      <c r="AD5902">
        <v>-1.116417979283</v>
      </c>
      <c r="AE5902">
        <v>7.6864699999999901</v>
      </c>
      <c r="AF5902">
        <v>-4.7290550107934504</v>
      </c>
      <c r="AG5902">
        <v>-1.116417979283</v>
      </c>
      <c r="AH5902">
        <v>15.885819066913999</v>
      </c>
      <c r="AI5902">
        <v>93.853419445807205</v>
      </c>
      <c r="AJ5902">
        <v>106.577760497528</v>
      </c>
      <c r="AK5902">
        <v>16.612332702733401</v>
      </c>
      <c r="AL5902">
        <v>75.996125164916805</v>
      </c>
      <c r="AM5902">
        <v>98.550239714430006</v>
      </c>
      <c r="AN5902">
        <v>0.999999938768668</v>
      </c>
    </row>
    <row r="5903" spans="1:40" x14ac:dyDescent="0.25">
      <c r="A5903" t="str">
        <f>"20190312172822881"</f>
        <v>20190312172822881</v>
      </c>
      <c r="B5903" t="str">
        <f>"1552382902875953"</f>
        <v>1552382902875953</v>
      </c>
      <c r="C5903" t="s">
        <v>40</v>
      </c>
      <c r="D5903">
        <v>3.3631720000000001</v>
      </c>
      <c r="E5903">
        <v>0.45369199999999998</v>
      </c>
      <c r="F5903" t="s">
        <v>52</v>
      </c>
      <c r="G5903">
        <v>-194.3963</v>
      </c>
      <c r="H5903" s="1">
        <v>-9.0115740000000008E-6</v>
      </c>
      <c r="I5903">
        <v>-53.76614</v>
      </c>
      <c r="J5903">
        <v>-209.24889999999999</v>
      </c>
      <c r="K5903">
        <v>1.116503</v>
      </c>
      <c r="L5903">
        <v>-61.573270000000001</v>
      </c>
      <c r="M5903">
        <v>0.98100319999999996</v>
      </c>
      <c r="N5903">
        <v>0</v>
      </c>
      <c r="O5903">
        <v>0.19340160000000001</v>
      </c>
      <c r="P5903">
        <v>0.91778249999999995</v>
      </c>
      <c r="Q5903">
        <v>0.22941230000000001</v>
      </c>
      <c r="R5903">
        <v>0.32410709999999998</v>
      </c>
      <c r="S5903">
        <v>2.8055569999999999</v>
      </c>
      <c r="T5903">
        <v>-0.20864079999999999</v>
      </c>
      <c r="U5903">
        <v>1.465576</v>
      </c>
      <c r="V5903">
        <v>-0.14429410000000001</v>
      </c>
      <c r="W5903">
        <v>0.24169969999999999</v>
      </c>
      <c r="X5903">
        <v>0.95956269999999999</v>
      </c>
      <c r="Y5903">
        <v>-0.28263670000000002</v>
      </c>
      <c r="Z5903">
        <v>-3.4165319999999999E-3</v>
      </c>
      <c r="AA5903">
        <v>0.95922090000000004</v>
      </c>
      <c r="AB5903">
        <v>31</v>
      </c>
      <c r="AC5903">
        <v>14.852599999999899</v>
      </c>
      <c r="AD5903">
        <v>-1.1165120115739999</v>
      </c>
      <c r="AE5903">
        <v>7.8071299999999901</v>
      </c>
      <c r="AF5903">
        <v>-4.76574904427427</v>
      </c>
      <c r="AG5903">
        <v>-1.1165120115739999</v>
      </c>
      <c r="AH5903">
        <v>16.0113055265052</v>
      </c>
      <c r="AI5903">
        <v>93.823672886875499</v>
      </c>
      <c r="AJ5903">
        <v>106.57558413392699</v>
      </c>
      <c r="AK5903">
        <v>16.7427855414828</v>
      </c>
      <c r="AL5903">
        <v>76.013121000934802</v>
      </c>
      <c r="AM5903">
        <v>98.551769341448704</v>
      </c>
      <c r="AN5903">
        <v>1.00000005375309</v>
      </c>
    </row>
    <row r="5904" spans="1:40" x14ac:dyDescent="0.25">
      <c r="A5904" t="str">
        <f>"20190312172822894"</f>
        <v>20190312172822894</v>
      </c>
      <c r="B5904" t="str">
        <f>"1552382902885712"</f>
        <v>1552382902885712</v>
      </c>
      <c r="C5904" t="s">
        <v>40</v>
      </c>
      <c r="D5904">
        <v>3.3326289999999998</v>
      </c>
      <c r="E5904">
        <v>0.45373350000000001</v>
      </c>
      <c r="F5904" t="s">
        <v>52</v>
      </c>
      <c r="G5904">
        <v>-194.25899999999999</v>
      </c>
      <c r="H5904" s="1">
        <v>-9.0351840000000007E-6</v>
      </c>
      <c r="I5904">
        <v>-53.663469999999997</v>
      </c>
      <c r="J5904">
        <v>-209.0855</v>
      </c>
      <c r="K5904">
        <v>1.116584</v>
      </c>
      <c r="L5904">
        <v>-61.536799999999999</v>
      </c>
      <c r="M5904">
        <v>0.98016669999999995</v>
      </c>
      <c r="N5904">
        <v>0</v>
      </c>
      <c r="O5904">
        <v>0.1975982</v>
      </c>
      <c r="P5904">
        <v>0.91646309999999997</v>
      </c>
      <c r="Q5904">
        <v>0.2292168</v>
      </c>
      <c r="R5904">
        <v>0.32795609999999997</v>
      </c>
      <c r="S5904">
        <v>2.7992249999999999</v>
      </c>
      <c r="T5904">
        <v>-0.20849809999999999</v>
      </c>
      <c r="U5904">
        <v>1.4770810000000001</v>
      </c>
      <c r="V5904">
        <v>-0.14425460000000001</v>
      </c>
      <c r="W5904">
        <v>0.2414683</v>
      </c>
      <c r="X5904">
        <v>0.95962689999999995</v>
      </c>
      <c r="Y5904">
        <v>-0.28251989999999999</v>
      </c>
      <c r="Z5904">
        <v>-3.7026049999999999E-3</v>
      </c>
      <c r="AA5904">
        <v>0.9592543</v>
      </c>
      <c r="AB5904">
        <v>31</v>
      </c>
      <c r="AC5904">
        <v>14.8264999999999</v>
      </c>
      <c r="AD5904">
        <v>-1.1165930351839899</v>
      </c>
      <c r="AE5904">
        <v>7.8733300000000002</v>
      </c>
      <c r="AF5904">
        <v>-4.7669429836986001</v>
      </c>
      <c r="AG5904">
        <v>-1.1165930351839899</v>
      </c>
      <c r="AH5904">
        <v>16.019162672985399</v>
      </c>
      <c r="AI5904">
        <v>93.8221539670526</v>
      </c>
      <c r="AJ5904">
        <v>106.57182291202101</v>
      </c>
      <c r="AK5904">
        <v>16.750644708775301</v>
      </c>
      <c r="AL5904">
        <v>76.026784006853006</v>
      </c>
      <c r="AM5904">
        <v>98.548899408196604</v>
      </c>
      <c r="AN5904">
        <v>1.0000000583648201</v>
      </c>
    </row>
    <row r="5905" spans="1:40" x14ac:dyDescent="0.25">
      <c r="A5905" t="str">
        <f>"20190312172822905"</f>
        <v>20190312172822905</v>
      </c>
      <c r="B5905" t="str">
        <f>"1552382902895979"</f>
        <v>1552382902895979</v>
      </c>
      <c r="C5905" t="s">
        <v>40</v>
      </c>
      <c r="D5905">
        <v>3.3722720000000002</v>
      </c>
      <c r="E5905">
        <v>0.45377220000000001</v>
      </c>
      <c r="F5905" t="s">
        <v>52</v>
      </c>
      <c r="G5905">
        <v>-194.09950000000001</v>
      </c>
      <c r="H5905" s="1">
        <v>-9.0618220000000004E-6</v>
      </c>
      <c r="I5905">
        <v>-53.546370000000003</v>
      </c>
      <c r="J5905">
        <v>-208.91929999999999</v>
      </c>
      <c r="K5905">
        <v>1.116649</v>
      </c>
      <c r="L5905">
        <v>-61.498989999999999</v>
      </c>
      <c r="M5905">
        <v>0.97927830000000005</v>
      </c>
      <c r="N5905">
        <v>0</v>
      </c>
      <c r="O5905">
        <v>0.20195569999999999</v>
      </c>
      <c r="P5905">
        <v>0.91498310000000005</v>
      </c>
      <c r="Q5905">
        <v>0.2293248</v>
      </c>
      <c r="R5905">
        <v>0.33198850000000002</v>
      </c>
      <c r="S5905">
        <v>2.7926479999999998</v>
      </c>
      <c r="T5905">
        <v>-0.2080766</v>
      </c>
      <c r="U5905">
        <v>1.4890139999999901</v>
      </c>
      <c r="V5905">
        <v>-0.14426050000000001</v>
      </c>
      <c r="W5905">
        <v>0.24154419999999999</v>
      </c>
      <c r="X5905">
        <v>0.95960679999999998</v>
      </c>
      <c r="Y5905">
        <v>-0.28239249999999999</v>
      </c>
      <c r="Z5905">
        <v>-3.9943610000000001E-3</v>
      </c>
      <c r="AA5905">
        <v>0.95929059999999999</v>
      </c>
      <c r="AB5905">
        <v>31</v>
      </c>
      <c r="AC5905">
        <v>14.819799999999899</v>
      </c>
      <c r="AD5905">
        <v>-1.1166580618219999</v>
      </c>
      <c r="AE5905">
        <v>7.9526199999999996</v>
      </c>
      <c r="AF5905">
        <v>-4.7743855745708004</v>
      </c>
      <c r="AG5905">
        <v>-1.1166580618219999</v>
      </c>
      <c r="AH5905">
        <v>16.049872965350499</v>
      </c>
      <c r="AI5905">
        <v>93.815193544700904</v>
      </c>
      <c r="AJ5905">
        <v>106.566260459871</v>
      </c>
      <c r="AK5905">
        <v>16.782136486323498</v>
      </c>
      <c r="AL5905">
        <v>76.022301080715295</v>
      </c>
      <c r="AM5905">
        <v>98.549420317660406</v>
      </c>
      <c r="AN5905">
        <v>0.99999995151006305</v>
      </c>
    </row>
    <row r="5906" spans="1:40" x14ac:dyDescent="0.25">
      <c r="A5906" t="str">
        <f>"20190312172822917"</f>
        <v>20190312172822917</v>
      </c>
      <c r="B5906" t="str">
        <f>"1552382902905739"</f>
        <v>1552382902905739</v>
      </c>
      <c r="C5906" t="s">
        <v>40</v>
      </c>
      <c r="D5906">
        <v>3.35066</v>
      </c>
      <c r="E5906">
        <v>0.45380520000000002</v>
      </c>
      <c r="F5906" t="s">
        <v>52</v>
      </c>
      <c r="G5906">
        <v>-193.8861</v>
      </c>
      <c r="H5906" s="1">
        <v>-9.094727E-6</v>
      </c>
      <c r="I5906">
        <v>-53.39725</v>
      </c>
      <c r="J5906">
        <v>-208.76859999999999</v>
      </c>
      <c r="K5906">
        <v>1.1167049999999901</v>
      </c>
      <c r="L5906">
        <v>-61.463709999999999</v>
      </c>
      <c r="M5906">
        <v>0.9784332</v>
      </c>
      <c r="N5906">
        <v>0</v>
      </c>
      <c r="O5906">
        <v>0.20601149999999999</v>
      </c>
      <c r="P5906">
        <v>0.91363190000000005</v>
      </c>
      <c r="Q5906">
        <v>0.22920199999999999</v>
      </c>
      <c r="R5906">
        <v>0.33577259999999998</v>
      </c>
      <c r="S5906">
        <v>2.785873</v>
      </c>
      <c r="T5906">
        <v>-0.20693339999999999</v>
      </c>
      <c r="U5906">
        <v>1.5013729999999901</v>
      </c>
      <c r="V5906">
        <v>-0.14427779999999901</v>
      </c>
      <c r="W5906">
        <v>0.2413989</v>
      </c>
      <c r="X5906">
        <v>0.95964079999999996</v>
      </c>
      <c r="Y5906">
        <v>-0.28269949999999999</v>
      </c>
      <c r="Z5906">
        <v>-4.2350799999999996E-3</v>
      </c>
      <c r="AA5906">
        <v>0.95919920000000003</v>
      </c>
      <c r="AB5906">
        <v>31</v>
      </c>
      <c r="AC5906">
        <v>14.882499999999901</v>
      </c>
      <c r="AD5906">
        <v>-1.11671409472699</v>
      </c>
      <c r="AE5906">
        <v>8.0664599999999993</v>
      </c>
      <c r="AF5906">
        <v>-4.8061601271837304</v>
      </c>
      <c r="AG5906">
        <v>-1.11671409472699</v>
      </c>
      <c r="AH5906">
        <v>16.154859771390701</v>
      </c>
      <c r="AI5906">
        <v>93.790626841883693</v>
      </c>
      <c r="AJ5906">
        <v>106.56803275427001</v>
      </c>
      <c r="AK5906">
        <v>16.891587248414201</v>
      </c>
      <c r="AL5906">
        <v>76.030880557860598</v>
      </c>
      <c r="AM5906">
        <v>98.550131963680201</v>
      </c>
      <c r="AN5906">
        <v>0.99999998875934404</v>
      </c>
    </row>
    <row r="5907" spans="1:40" x14ac:dyDescent="0.25">
      <c r="A5907" t="str">
        <f>"20190312172822929"</f>
        <v>20190312172822929</v>
      </c>
      <c r="B5907" t="str">
        <f>"1552382902925259"</f>
        <v>1552382902925259</v>
      </c>
      <c r="C5907" t="s">
        <v>40</v>
      </c>
      <c r="D5907">
        <v>3.9647559999999999</v>
      </c>
      <c r="E5907">
        <v>0.45402439999999999</v>
      </c>
      <c r="F5907" t="s">
        <v>52</v>
      </c>
      <c r="G5907">
        <v>-193.73920000000001</v>
      </c>
      <c r="H5907" s="1">
        <v>-9.1221940000000008E-6</v>
      </c>
      <c r="I5907">
        <v>-53.281329999999997</v>
      </c>
      <c r="J5907">
        <v>-208.614</v>
      </c>
      <c r="K5907">
        <v>1.1167579999999999</v>
      </c>
      <c r="L5907">
        <v>-61.427250000000001</v>
      </c>
      <c r="M5907">
        <v>0.97754189999999996</v>
      </c>
      <c r="N5907">
        <v>0</v>
      </c>
      <c r="O5907">
        <v>0.21020030000000001</v>
      </c>
      <c r="P5907">
        <v>0.91209399999999996</v>
      </c>
      <c r="Q5907">
        <v>0.22935449999999999</v>
      </c>
      <c r="R5907">
        <v>0.3398254</v>
      </c>
      <c r="S5907">
        <v>2.779312</v>
      </c>
      <c r="T5907">
        <v>-0.20650789999999999</v>
      </c>
      <c r="U5907">
        <v>1.513123</v>
      </c>
      <c r="V5907">
        <v>-0.1444685</v>
      </c>
      <c r="W5907">
        <v>0.2415252</v>
      </c>
      <c r="X5907">
        <v>0.9595804</v>
      </c>
      <c r="Y5907">
        <v>-0.28267890000000001</v>
      </c>
      <c r="Z5907">
        <v>-4.5087840000000001E-3</v>
      </c>
      <c r="AA5907">
        <v>0.95920399999999995</v>
      </c>
      <c r="AB5907">
        <v>31</v>
      </c>
      <c r="AC5907">
        <v>14.874799999999899</v>
      </c>
      <c r="AD5907">
        <v>-1.1167671221940001</v>
      </c>
      <c r="AE5907">
        <v>8.1459199999999896</v>
      </c>
      <c r="AF5907">
        <v>-4.8159581993363503</v>
      </c>
      <c r="AG5907">
        <v>-1.1167671221940001</v>
      </c>
      <c r="AH5907">
        <v>16.1846849659835</v>
      </c>
      <c r="AI5907">
        <v>93.783781983895807</v>
      </c>
      <c r="AJ5907">
        <v>106.57104076709901</v>
      </c>
      <c r="AK5907">
        <v>16.922903108837499</v>
      </c>
      <c r="AL5907">
        <v>76.023424418525096</v>
      </c>
      <c r="AM5907">
        <v>98.561796687799102</v>
      </c>
      <c r="AN5907">
        <v>1.0000000568957199</v>
      </c>
    </row>
    <row r="5908" spans="1:40" x14ac:dyDescent="0.25">
      <c r="A5908" t="str">
        <f>"20190312172822937"</f>
        <v>20190312172822937</v>
      </c>
      <c r="B5908" t="str">
        <f>"1552382902935995"</f>
        <v>1552382902935995</v>
      </c>
      <c r="C5908" t="s">
        <v>40</v>
      </c>
      <c r="D5908">
        <v>3.3641290000000001</v>
      </c>
      <c r="E5908">
        <v>0.45411439999999997</v>
      </c>
      <c r="F5908" t="s">
        <v>52</v>
      </c>
      <c r="G5908">
        <v>-193.4632</v>
      </c>
      <c r="H5908" s="1">
        <v>-9.1615030000000002E-6</v>
      </c>
      <c r="I5908">
        <v>-53.097410000000004</v>
      </c>
      <c r="J5908">
        <v>-208.48</v>
      </c>
      <c r="K5908">
        <v>1.1168070000000001</v>
      </c>
      <c r="L5908">
        <v>-61.394620000000003</v>
      </c>
      <c r="M5908">
        <v>0.97673460000000001</v>
      </c>
      <c r="N5908">
        <v>0</v>
      </c>
      <c r="O5908">
        <v>0.21392069999999999</v>
      </c>
      <c r="P5908">
        <v>0.91064650000000003</v>
      </c>
      <c r="Q5908">
        <v>0.2296367</v>
      </c>
      <c r="R5908">
        <v>0.34349689999999999</v>
      </c>
      <c r="S5908">
        <v>2.772583</v>
      </c>
      <c r="T5908">
        <v>-0.20436750000000001</v>
      </c>
      <c r="U5908">
        <v>1.5243530000000001</v>
      </c>
      <c r="V5908">
        <v>-0.14472750000000001</v>
      </c>
      <c r="W5908">
        <v>0.24178340000000001</v>
      </c>
      <c r="X5908">
        <v>0.95947629999999995</v>
      </c>
      <c r="Y5908">
        <v>-0.28300229999999998</v>
      </c>
      <c r="Z5908">
        <v>-4.6996159999999898E-3</v>
      </c>
      <c r="AA5908">
        <v>0.95910770000000001</v>
      </c>
      <c r="AB5908">
        <v>31</v>
      </c>
      <c r="AC5908">
        <v>15.0167999999999</v>
      </c>
      <c r="AD5908">
        <v>-1.1168161615029999</v>
      </c>
      <c r="AE5908">
        <v>8.2972099999999998</v>
      </c>
      <c r="AF5908">
        <v>-4.8716807506710396</v>
      </c>
      <c r="AG5908">
        <v>-1.1168161615029999</v>
      </c>
      <c r="AH5908">
        <v>16.3748561109803</v>
      </c>
      <c r="AI5908">
        <v>93.740181703091594</v>
      </c>
      <c r="AJ5908">
        <v>106.568259362346</v>
      </c>
      <c r="AK5908">
        <v>17.1206443900445</v>
      </c>
      <c r="AL5908">
        <v>76.008178222200698</v>
      </c>
      <c r="AM5908">
        <v>98.577834734691706</v>
      </c>
      <c r="AN5908">
        <v>1.0000000160167499</v>
      </c>
    </row>
    <row r="5909" spans="1:40" x14ac:dyDescent="0.25">
      <c r="A5909" t="str">
        <f>"20190312172822947"</f>
        <v>20190312172822947</v>
      </c>
      <c r="B5909" t="str">
        <f>"1552382902935995"</f>
        <v>1552382902935995</v>
      </c>
      <c r="C5909" t="s">
        <v>40</v>
      </c>
      <c r="D5909">
        <v>3.3641290000000001</v>
      </c>
      <c r="E5909">
        <v>0.45411439999999997</v>
      </c>
      <c r="F5909" t="s">
        <v>52</v>
      </c>
      <c r="G5909">
        <v>-193.2551</v>
      </c>
      <c r="H5909" s="1">
        <v>-9.1965090000000004E-6</v>
      </c>
      <c r="I5909">
        <v>-52.943939999999998</v>
      </c>
      <c r="J5909">
        <v>-208.3596</v>
      </c>
      <c r="K5909">
        <v>1.116854</v>
      </c>
      <c r="L5909">
        <v>-61.365229999999997</v>
      </c>
      <c r="M5909">
        <v>0.97599689999999995</v>
      </c>
      <c r="N5909">
        <v>0</v>
      </c>
      <c r="O5909">
        <v>0.2172618</v>
      </c>
      <c r="P5909">
        <v>0.9094371</v>
      </c>
      <c r="Q5909">
        <v>0.2299128</v>
      </c>
      <c r="R5909">
        <v>0.34650330000000001</v>
      </c>
      <c r="S5909">
        <v>2.7663730000000002</v>
      </c>
      <c r="T5909">
        <v>-0.20292589999999999</v>
      </c>
      <c r="U5909">
        <v>1.5354920000000001</v>
      </c>
      <c r="V5909">
        <v>-0.14465699999999901</v>
      </c>
      <c r="W5909">
        <v>0.24204349999999999</v>
      </c>
      <c r="X5909">
        <v>0.95942130000000003</v>
      </c>
      <c r="Y5909">
        <v>-0.2835935</v>
      </c>
      <c r="Z5909">
        <v>-4.8678280000000003E-3</v>
      </c>
      <c r="AA5909">
        <v>0.95893220000000001</v>
      </c>
      <c r="AB5909">
        <v>31</v>
      </c>
      <c r="AC5909">
        <v>15.1045</v>
      </c>
      <c r="AD5909">
        <v>-1.1168631965089999</v>
      </c>
      <c r="AE5909">
        <v>8.4212899999999902</v>
      </c>
      <c r="AF5909">
        <v>-4.9175724872703697</v>
      </c>
      <c r="AG5909">
        <v>-1.1168631965089999</v>
      </c>
      <c r="AH5909">
        <v>16.504613947142399</v>
      </c>
      <c r="AI5909">
        <v>93.710568202447206</v>
      </c>
      <c r="AJ5909">
        <v>106.59149798474699</v>
      </c>
      <c r="AK5909">
        <v>17.257815160427501</v>
      </c>
      <c r="AL5909">
        <v>75.992818702335398</v>
      </c>
      <c r="AM5909">
        <v>98.574202585681604</v>
      </c>
      <c r="AN5909">
        <v>0.99999996721746898</v>
      </c>
    </row>
    <row r="5910" spans="1:40" x14ac:dyDescent="0.25">
      <c r="A5910" t="str">
        <f>"20190312172822958"</f>
        <v>20190312172822958</v>
      </c>
      <c r="B5910" t="str">
        <f>"1552382902955515"</f>
        <v>1552382902955515</v>
      </c>
      <c r="C5910" t="s">
        <v>40</v>
      </c>
      <c r="D5910">
        <v>3.3531789999999999</v>
      </c>
      <c r="E5910">
        <v>0.45430350000000003</v>
      </c>
      <c r="F5910" t="s">
        <v>52</v>
      </c>
      <c r="G5910">
        <v>-193.06299999999999</v>
      </c>
      <c r="H5910" s="1">
        <v>-9.2283540000000004E-6</v>
      </c>
      <c r="I5910">
        <v>-52.803569999999901</v>
      </c>
      <c r="J5910">
        <v>-208.2227</v>
      </c>
      <c r="K5910">
        <v>1.116914</v>
      </c>
      <c r="L5910">
        <v>-61.330779999999997</v>
      </c>
      <c r="M5910">
        <v>0.9751282</v>
      </c>
      <c r="N5910">
        <v>0</v>
      </c>
      <c r="O5910">
        <v>0.22112770000000001</v>
      </c>
      <c r="P5910">
        <v>0.90796739999999998</v>
      </c>
      <c r="Q5910">
        <v>0.2301146</v>
      </c>
      <c r="R5910">
        <v>0.35020370000000001</v>
      </c>
      <c r="S5910">
        <v>2.7609249999999999</v>
      </c>
      <c r="T5910">
        <v>-0.20158590000000001</v>
      </c>
      <c r="U5910">
        <v>1.5453190000000001</v>
      </c>
      <c r="V5910">
        <v>-0.1448082</v>
      </c>
      <c r="W5910">
        <v>0.24222160000000001</v>
      </c>
      <c r="X5910">
        <v>0.95935360000000003</v>
      </c>
      <c r="Y5910">
        <v>-0.28320869999999998</v>
      </c>
      <c r="Z5910">
        <v>-5.1025039999999999E-3</v>
      </c>
      <c r="AA5910">
        <v>0.95904480000000003</v>
      </c>
      <c r="AB5910">
        <v>31</v>
      </c>
      <c r="AC5910">
        <v>15.159700000000001</v>
      </c>
      <c r="AD5910">
        <v>-1.116923228354</v>
      </c>
      <c r="AE5910">
        <v>8.5272100000000002</v>
      </c>
      <c r="AF5910">
        <v>-4.9430747005350097</v>
      </c>
      <c r="AG5910">
        <v>-1.116923228354</v>
      </c>
      <c r="AH5910">
        <v>16.601690890510898</v>
      </c>
      <c r="AI5910">
        <v>93.689336262754196</v>
      </c>
      <c r="AJ5910">
        <v>106.58065032296901</v>
      </c>
      <c r="AK5910">
        <v>17.357927451662501</v>
      </c>
      <c r="AL5910">
        <v>75.982302174135796</v>
      </c>
      <c r="AM5910">
        <v>98.583627870280097</v>
      </c>
      <c r="AN5910">
        <v>1.00000002406337</v>
      </c>
    </row>
    <row r="5911" spans="1:40" x14ac:dyDescent="0.25">
      <c r="A5911" t="str">
        <f>"20190312172822969"</f>
        <v>20190312172822969</v>
      </c>
      <c r="B5911" t="str">
        <f>"1552382902965275"</f>
        <v>1552382902965275</v>
      </c>
      <c r="C5911" t="s">
        <v>40</v>
      </c>
      <c r="D5911">
        <v>3.4220489999999999</v>
      </c>
      <c r="E5911">
        <v>0.45453470000000001</v>
      </c>
      <c r="F5911" t="s">
        <v>52</v>
      </c>
      <c r="G5911">
        <v>-192.8571</v>
      </c>
      <c r="H5911" s="1">
        <v>-9.2639639999999996E-6</v>
      </c>
      <c r="I5911">
        <v>-52.649079999999998</v>
      </c>
      <c r="J5911">
        <v>-208.08109999999999</v>
      </c>
      <c r="K5911">
        <v>1.116973</v>
      </c>
      <c r="L5911">
        <v>-61.295009999999998</v>
      </c>
      <c r="M5911">
        <v>0.97421210000000003</v>
      </c>
      <c r="N5911">
        <v>0</v>
      </c>
      <c r="O5911">
        <v>0.22513030000000001</v>
      </c>
      <c r="P5911">
        <v>0.90642619999999896</v>
      </c>
      <c r="Q5911">
        <v>0.2303067</v>
      </c>
      <c r="R5911">
        <v>0.35404869999999999</v>
      </c>
      <c r="S5911">
        <v>2.7545320000000002</v>
      </c>
      <c r="T5911">
        <v>-0.20022670000000001</v>
      </c>
      <c r="U5911">
        <v>1.556335</v>
      </c>
      <c r="V5911">
        <v>-0.14498129999999901</v>
      </c>
      <c r="W5911">
        <v>0.24238860000000001</v>
      </c>
      <c r="X5911">
        <v>0.95928530000000001</v>
      </c>
      <c r="Y5911">
        <v>-0.28314040000000001</v>
      </c>
      <c r="Z5911">
        <v>-5.3321260000000004E-3</v>
      </c>
      <c r="AA5911">
        <v>0.95906360000000002</v>
      </c>
      <c r="AB5911">
        <v>31</v>
      </c>
      <c r="AC5911">
        <v>15.223999999999901</v>
      </c>
      <c r="AD5911">
        <v>-1.1169822639639999</v>
      </c>
      <c r="AE5911">
        <v>8.6459299999999892</v>
      </c>
      <c r="AF5911">
        <v>-4.9758997651967798</v>
      </c>
      <c r="AG5911">
        <v>-1.1169822639639999</v>
      </c>
      <c r="AH5911">
        <v>16.711749074732701</v>
      </c>
      <c r="AI5911">
        <v>93.665295787300906</v>
      </c>
      <c r="AJ5911">
        <v>106.580825934492</v>
      </c>
      <c r="AK5911">
        <v>17.4725437469226</v>
      </c>
      <c r="AL5911">
        <v>75.972440237730098</v>
      </c>
      <c r="AM5911">
        <v>98.594338139098198</v>
      </c>
      <c r="AN5911">
        <v>1.00000004877786</v>
      </c>
    </row>
    <row r="5912" spans="1:40" x14ac:dyDescent="0.25">
      <c r="A5912" t="str">
        <f>"20190312172822979"</f>
        <v>20190312172822979</v>
      </c>
      <c r="B5912" t="str">
        <f>"1552382902976011"</f>
        <v>1552382902976011</v>
      </c>
      <c r="C5912" t="s">
        <v>40</v>
      </c>
      <c r="D5912">
        <v>3.3805149999999999</v>
      </c>
      <c r="E5912">
        <v>0.45471260000000002</v>
      </c>
      <c r="F5912" t="s">
        <v>52</v>
      </c>
      <c r="G5912">
        <v>-192.66909999999999</v>
      </c>
      <c r="H5912" s="1">
        <v>-9.2969090000000003E-6</v>
      </c>
      <c r="I5912">
        <v>-52.506819999999998</v>
      </c>
      <c r="J5912">
        <v>-207.9333</v>
      </c>
      <c r="K5912">
        <v>1.117048</v>
      </c>
      <c r="L5912">
        <v>-61.256469999999901</v>
      </c>
      <c r="M5912">
        <v>0.97322140000000001</v>
      </c>
      <c r="N5912">
        <v>0</v>
      </c>
      <c r="O5912">
        <v>0.22937489999999999</v>
      </c>
      <c r="P5912">
        <v>0.90482119999999999</v>
      </c>
      <c r="Q5912">
        <v>0.23048189999999999</v>
      </c>
      <c r="R5912">
        <v>0.35801769999999999</v>
      </c>
      <c r="S5912">
        <v>2.7481990000000001</v>
      </c>
      <c r="T5912">
        <v>-0.19917609999999999</v>
      </c>
      <c r="U5912">
        <v>1.567078</v>
      </c>
      <c r="V5912">
        <v>-0.1450562</v>
      </c>
      <c r="W5912">
        <v>0.24253759999999999</v>
      </c>
      <c r="X5912">
        <v>0.95923630000000004</v>
      </c>
      <c r="Y5912">
        <v>-0.28274909999999998</v>
      </c>
      <c r="Z5912">
        <v>-5.5932809999999899E-3</v>
      </c>
      <c r="AA5912">
        <v>0.95917759999999996</v>
      </c>
      <c r="AB5912">
        <v>31</v>
      </c>
      <c r="AC5912">
        <v>15.264200000000001</v>
      </c>
      <c r="AD5912">
        <v>-1.117057296909</v>
      </c>
      <c r="AE5912">
        <v>8.7496499999999902</v>
      </c>
      <c r="AF5912">
        <v>-4.9945588670532004</v>
      </c>
      <c r="AG5912">
        <v>-1.117057296909</v>
      </c>
      <c r="AH5912">
        <v>16.7966048288758</v>
      </c>
      <c r="AI5912">
        <v>93.647464356969905</v>
      </c>
      <c r="AJ5912">
        <v>106.56012287479</v>
      </c>
      <c r="AK5912">
        <v>17.559025287824198</v>
      </c>
      <c r="AL5912">
        <v>75.963640378049405</v>
      </c>
      <c r="AM5912">
        <v>98.599144456893598</v>
      </c>
      <c r="AN5912">
        <v>1.00000003390494</v>
      </c>
    </row>
    <row r="5913" spans="1:40" x14ac:dyDescent="0.25">
      <c r="A5913" t="str">
        <f>"20190312172822993"</f>
        <v>20190312172822993</v>
      </c>
      <c r="B5913" t="str">
        <f>"1552382902985771"</f>
        <v>1552382902985771</v>
      </c>
      <c r="C5913" t="s">
        <v>40</v>
      </c>
      <c r="D5913">
        <v>3.4957129999999998</v>
      </c>
      <c r="E5913">
        <v>0.45493800000000001</v>
      </c>
      <c r="F5913" t="s">
        <v>52</v>
      </c>
      <c r="G5913">
        <v>-192.49109999999999</v>
      </c>
      <c r="H5913" s="1">
        <v>-9.3320089999999994E-6</v>
      </c>
      <c r="I5913">
        <v>-52.361359999999998</v>
      </c>
      <c r="J5913">
        <v>-207.7604</v>
      </c>
      <c r="K5913">
        <v>1.117137</v>
      </c>
      <c r="L5913">
        <v>-61.210819999999998</v>
      </c>
      <c r="M5913">
        <v>0.97203099999999998</v>
      </c>
      <c r="N5913">
        <v>0</v>
      </c>
      <c r="O5913">
        <v>0.2343682</v>
      </c>
      <c r="P5913">
        <v>0.90289589999999997</v>
      </c>
      <c r="Q5913">
        <v>0.2308568</v>
      </c>
      <c r="R5913">
        <v>0.36260740000000002</v>
      </c>
      <c r="S5913">
        <v>2.7412719999999999</v>
      </c>
      <c r="T5913">
        <v>-0.19829769999999999</v>
      </c>
      <c r="U5913">
        <v>1.5790409999999999</v>
      </c>
      <c r="V5913">
        <v>-0.1450776</v>
      </c>
      <c r="W5913">
        <v>0.24288170000000001</v>
      </c>
      <c r="X5913">
        <v>0.95914600000000005</v>
      </c>
      <c r="Y5913">
        <v>-0.28202759999999999</v>
      </c>
      <c r="Z5913">
        <v>-5.9155910000000004E-3</v>
      </c>
      <c r="AA5913">
        <v>0.95938809999999997</v>
      </c>
      <c r="AB5913">
        <v>31</v>
      </c>
      <c r="AC5913">
        <v>15.269299999999999</v>
      </c>
      <c r="AD5913">
        <v>-1.117146332009</v>
      </c>
      <c r="AE5913">
        <v>8.8494600000000005</v>
      </c>
      <c r="AF5913">
        <v>-5.0038320494541502</v>
      </c>
      <c r="AG5913">
        <v>-1.117146332009</v>
      </c>
      <c r="AH5913">
        <v>16.850668239881902</v>
      </c>
      <c r="AI5913">
        <v>93.636482103121196</v>
      </c>
      <c r="AJ5913">
        <v>106.538868507356</v>
      </c>
      <c r="AK5913">
        <v>17.6133861377314</v>
      </c>
      <c r="AL5913">
        <v>75.943317301711105</v>
      </c>
      <c r="AM5913">
        <v>98.601191696718402</v>
      </c>
      <c r="AN5913">
        <v>1.00000003976632</v>
      </c>
    </row>
    <row r="5914" spans="1:40" x14ac:dyDescent="0.25">
      <c r="A5914" t="str">
        <f>"20190312172823002"</f>
        <v>20190312172823002</v>
      </c>
      <c r="B5914" t="str">
        <f>"1552382902996036"</f>
        <v>1552382902996036</v>
      </c>
      <c r="C5914" t="s">
        <v>40</v>
      </c>
      <c r="D5914">
        <v>3.3373140000000001</v>
      </c>
      <c r="E5914">
        <v>0.4551962</v>
      </c>
      <c r="F5914" t="s">
        <v>52</v>
      </c>
      <c r="G5914">
        <v>-192.22399999999999</v>
      </c>
      <c r="H5914" s="1">
        <v>-9.3786569999999995E-6</v>
      </c>
      <c r="I5914">
        <v>-52.159689999999998</v>
      </c>
      <c r="J5914">
        <v>-207.62129999999999</v>
      </c>
      <c r="K5914">
        <v>1.1172059999999999</v>
      </c>
      <c r="L5914">
        <v>-61.173340000000003</v>
      </c>
      <c r="M5914">
        <v>0.97104489999999999</v>
      </c>
      <c r="N5914">
        <v>0</v>
      </c>
      <c r="O5914">
        <v>0.2384212</v>
      </c>
      <c r="P5914">
        <v>0.90131070000000002</v>
      </c>
      <c r="Q5914">
        <v>0.2309543</v>
      </c>
      <c r="R5914">
        <v>0.36646859999999998</v>
      </c>
      <c r="S5914">
        <v>2.7333829999999999</v>
      </c>
      <c r="T5914">
        <v>-0.196545</v>
      </c>
      <c r="U5914">
        <v>1.5924069999999999</v>
      </c>
      <c r="V5914">
        <v>-0.1452282</v>
      </c>
      <c r="W5914">
        <v>0.242952</v>
      </c>
      <c r="X5914">
        <v>0.9591054</v>
      </c>
      <c r="Y5914">
        <v>-0.28273989999999999</v>
      </c>
      <c r="Z5914">
        <v>-6.1011850000000003E-3</v>
      </c>
      <c r="AA5914">
        <v>0.95917719999999995</v>
      </c>
      <c r="AB5914">
        <v>31</v>
      </c>
      <c r="AC5914">
        <v>15.3972999999999</v>
      </c>
      <c r="AD5914">
        <v>-1.1172153786569901</v>
      </c>
      <c r="AE5914">
        <v>9.0136499999999895</v>
      </c>
      <c r="AF5914">
        <v>-5.0623434469847597</v>
      </c>
      <c r="AG5914">
        <v>-1.1172153786569901</v>
      </c>
      <c r="AH5914">
        <v>17.035659018249799</v>
      </c>
      <c r="AI5914">
        <v>93.597113713190296</v>
      </c>
      <c r="AJ5914">
        <v>106.549926857676</v>
      </c>
      <c r="AK5914">
        <v>17.806997769517899</v>
      </c>
      <c r="AL5914">
        <v>75.939164987139904</v>
      </c>
      <c r="AM5914">
        <v>98.610345559075796</v>
      </c>
      <c r="AN5914">
        <v>1.0000000363441901</v>
      </c>
    </row>
    <row r="5915" spans="1:40" x14ac:dyDescent="0.25">
      <c r="A5915" t="str">
        <f>"20190312172823013"</f>
        <v>20190312172823013</v>
      </c>
      <c r="B5915" t="str">
        <f>"1552382903005798"</f>
        <v>1552382903005798</v>
      </c>
      <c r="C5915" t="s">
        <v>40</v>
      </c>
      <c r="D5915">
        <v>3.3967890000000001</v>
      </c>
      <c r="E5915">
        <v>0.45544869999999998</v>
      </c>
      <c r="F5915" t="s">
        <v>52</v>
      </c>
      <c r="G5915">
        <v>-192.0789</v>
      </c>
      <c r="H5915" s="1">
        <v>-9.4088399999999897E-6</v>
      </c>
      <c r="I5915">
        <v>-52.036799999999999</v>
      </c>
      <c r="J5915">
        <v>-207.48830000000001</v>
      </c>
      <c r="K5915">
        <v>1.1172759999999999</v>
      </c>
      <c r="L5915">
        <v>-61.136780000000002</v>
      </c>
      <c r="M5915">
        <v>0.97007659999999996</v>
      </c>
      <c r="N5915">
        <v>0</v>
      </c>
      <c r="O5915">
        <v>0.24233099999999999</v>
      </c>
      <c r="P5915">
        <v>0.89974339999999997</v>
      </c>
      <c r="Q5915">
        <v>0.23120950000000001</v>
      </c>
      <c r="R5915">
        <v>0.37014049999999998</v>
      </c>
      <c r="S5915">
        <v>2.726944</v>
      </c>
      <c r="T5915">
        <v>-0.1960181</v>
      </c>
      <c r="U5915">
        <v>1.603027</v>
      </c>
      <c r="V5915">
        <v>-0.1453325</v>
      </c>
      <c r="W5915">
        <v>0.24318190000000001</v>
      </c>
      <c r="X5915">
        <v>0.95903130000000003</v>
      </c>
      <c r="Y5915">
        <v>-0.28264899999999998</v>
      </c>
      <c r="Z5915">
        <v>-6.3388530000000002E-3</v>
      </c>
      <c r="AA5915">
        <v>0.95920249999999996</v>
      </c>
      <c r="AB5915">
        <v>31</v>
      </c>
      <c r="AC5915">
        <v>15.4094</v>
      </c>
      <c r="AD5915">
        <v>-1.1172854088399999</v>
      </c>
      <c r="AE5915">
        <v>9.0999800000000004</v>
      </c>
      <c r="AF5915">
        <v>-5.07430181938002</v>
      </c>
      <c r="AG5915">
        <v>-1.1172854088399999</v>
      </c>
      <c r="AH5915">
        <v>17.088843552418702</v>
      </c>
      <c r="AI5915">
        <v>93.586391832252204</v>
      </c>
      <c r="AJ5915">
        <v>106.538077400153</v>
      </c>
      <c r="AK5915">
        <v>17.861283257314199</v>
      </c>
      <c r="AL5915">
        <v>75.925584954468704</v>
      </c>
      <c r="AM5915">
        <v>98.617092316857693</v>
      </c>
      <c r="AN5915">
        <v>1.00000000321177</v>
      </c>
    </row>
    <row r="5916" spans="1:40" x14ac:dyDescent="0.25">
      <c r="A5916" t="str">
        <f>"20190312172823025"</f>
        <v>20190312172823025</v>
      </c>
      <c r="B5916" t="str">
        <f>"1552382903015557"</f>
        <v>1552382903015557</v>
      </c>
      <c r="C5916" t="s">
        <v>40</v>
      </c>
      <c r="D5916">
        <v>3.4516629999999999</v>
      </c>
      <c r="E5916">
        <v>0.45559929999999899</v>
      </c>
      <c r="F5916" t="s">
        <v>52</v>
      </c>
      <c r="G5916">
        <v>-191.87700000000001</v>
      </c>
      <c r="H5916" s="1">
        <v>-9.4462949999999993E-6</v>
      </c>
      <c r="I5916">
        <v>-51.878300000000003</v>
      </c>
      <c r="J5916">
        <v>-207.3314</v>
      </c>
      <c r="K5916">
        <v>1.117359</v>
      </c>
      <c r="L5916">
        <v>-61.09308</v>
      </c>
      <c r="M5916">
        <v>0.9689046</v>
      </c>
      <c r="N5916">
        <v>0</v>
      </c>
      <c r="O5916">
        <v>0.24697520000000001</v>
      </c>
      <c r="P5916">
        <v>0.89788299999999999</v>
      </c>
      <c r="Q5916">
        <v>0.2313598</v>
      </c>
      <c r="R5916">
        <v>0.37453799999999998</v>
      </c>
      <c r="S5916">
        <v>2.7205659999999998</v>
      </c>
      <c r="T5916">
        <v>-0.1947081</v>
      </c>
      <c r="U5916">
        <v>1.613464</v>
      </c>
      <c r="V5916">
        <v>-0.14548620000000001</v>
      </c>
      <c r="W5916">
        <v>0.2433022</v>
      </c>
      <c r="X5916">
        <v>0.95897750000000004</v>
      </c>
      <c r="Y5916">
        <v>-0.28177360000000001</v>
      </c>
      <c r="Z5916">
        <v>-6.6207080000000003E-3</v>
      </c>
      <c r="AA5916">
        <v>0.95945809999999998</v>
      </c>
      <c r="AB5916">
        <v>31</v>
      </c>
      <c r="AC5916">
        <v>15.4543999999999</v>
      </c>
      <c r="AD5916">
        <v>-1.117368446295</v>
      </c>
      <c r="AE5916">
        <v>9.2147799999999993</v>
      </c>
      <c r="AF5916">
        <v>-5.09233169274858</v>
      </c>
      <c r="AG5916">
        <v>-1.117368446295</v>
      </c>
      <c r="AH5916">
        <v>17.185347061559199</v>
      </c>
      <c r="AI5916">
        <v>93.5671688206086</v>
      </c>
      <c r="AJ5916">
        <v>106.505516872456</v>
      </c>
      <c r="AK5916">
        <v>17.958744609242299</v>
      </c>
      <c r="AL5916">
        <v>75.918479088922496</v>
      </c>
      <c r="AM5916">
        <v>98.6265451766333</v>
      </c>
      <c r="AN5916">
        <v>1.00000002021076</v>
      </c>
    </row>
    <row r="5917" spans="1:40" x14ac:dyDescent="0.25">
      <c r="A5917" t="str">
        <f>"20190312172823036"</f>
        <v>20190312172823036</v>
      </c>
      <c r="B5917" t="str">
        <f>"1552382903025317"</f>
        <v>1552382903025317</v>
      </c>
      <c r="C5917" t="s">
        <v>40</v>
      </c>
      <c r="D5917">
        <v>3.4270089999999902</v>
      </c>
      <c r="E5917">
        <v>0.45577230000000002</v>
      </c>
      <c r="F5917" t="s">
        <v>52</v>
      </c>
      <c r="G5917">
        <v>-191.7208</v>
      </c>
      <c r="H5917" s="1">
        <v>-9.4842839999999995E-6</v>
      </c>
      <c r="I5917">
        <v>-51.730899999999998</v>
      </c>
      <c r="J5917">
        <v>-207.19110000000001</v>
      </c>
      <c r="K5917">
        <v>1.117434</v>
      </c>
      <c r="L5917">
        <v>-61.052979999999998</v>
      </c>
      <c r="M5917">
        <v>0.9678213</v>
      </c>
      <c r="N5917">
        <v>0</v>
      </c>
      <c r="O5917">
        <v>0.25118699999999999</v>
      </c>
      <c r="P5917">
        <v>0.89632029999999996</v>
      </c>
      <c r="Q5917">
        <v>0.2313393</v>
      </c>
      <c r="R5917">
        <v>0.37827559999999999</v>
      </c>
      <c r="S5917">
        <v>2.7126009999999998</v>
      </c>
      <c r="T5917">
        <v>-0.1941611</v>
      </c>
      <c r="U5917">
        <v>1.6268309999999999</v>
      </c>
      <c r="V5917">
        <v>-0.14534729999999901</v>
      </c>
      <c r="W5917">
        <v>0.2432619</v>
      </c>
      <c r="X5917">
        <v>0.95900879999999999</v>
      </c>
      <c r="Y5917">
        <v>-0.28232699999999999</v>
      </c>
      <c r="Z5917">
        <v>-6.8525089999999997E-3</v>
      </c>
      <c r="AA5917">
        <v>0.95929370000000003</v>
      </c>
      <c r="AB5917">
        <v>31</v>
      </c>
      <c r="AC5917">
        <v>15.4703</v>
      </c>
      <c r="AD5917">
        <v>-1.117443484284</v>
      </c>
      <c r="AE5917">
        <v>9.3220799999999997</v>
      </c>
      <c r="AF5917">
        <v>-5.1171660355086903</v>
      </c>
      <c r="AG5917">
        <v>-1.117443484284</v>
      </c>
      <c r="AH5917">
        <v>17.250010868957698</v>
      </c>
      <c r="AI5917">
        <v>93.553751508133502</v>
      </c>
      <c r="AJ5917">
        <v>106.5228380543</v>
      </c>
      <c r="AK5917">
        <v>18.027671595485899</v>
      </c>
      <c r="AL5917">
        <v>75.920859829530798</v>
      </c>
      <c r="AM5917">
        <v>98.618155823704598</v>
      </c>
      <c r="AN5917">
        <v>1.0000000340431601</v>
      </c>
    </row>
    <row r="5918" spans="1:40" x14ac:dyDescent="0.25">
      <c r="A5918" t="str">
        <f>"20190312172823046"</f>
        <v>20190312172823046</v>
      </c>
      <c r="B5918" t="str">
        <f>"1552382903035077"</f>
        <v>1552382903035077</v>
      </c>
      <c r="C5918" t="s">
        <v>40</v>
      </c>
      <c r="D5918">
        <v>3.4369369999999999</v>
      </c>
      <c r="E5918">
        <v>0.45592919999999998</v>
      </c>
      <c r="F5918" t="s">
        <v>52</v>
      </c>
      <c r="G5918">
        <v>-191.62479999999999</v>
      </c>
      <c r="H5918" s="1">
        <v>-9.5114890000000002E-6</v>
      </c>
      <c r="I5918">
        <v>-51.629710000000003</v>
      </c>
      <c r="J5918">
        <v>-207.04820000000001</v>
      </c>
      <c r="K5918">
        <v>1.1175060000000001</v>
      </c>
      <c r="L5918">
        <v>-61.011870000000002</v>
      </c>
      <c r="M5918">
        <v>0.96669430000000001</v>
      </c>
      <c r="N5918">
        <v>0</v>
      </c>
      <c r="O5918">
        <v>0.25548999999999999</v>
      </c>
      <c r="P5918">
        <v>0.89463680000000001</v>
      </c>
      <c r="Q5918">
        <v>0.23145089999999999</v>
      </c>
      <c r="R5918">
        <v>0.38217230000000002</v>
      </c>
      <c r="S5918">
        <v>2.7058559999999998</v>
      </c>
      <c r="T5918">
        <v>-0.19424330000000001</v>
      </c>
      <c r="U5918">
        <v>1.638031</v>
      </c>
      <c r="V5918">
        <v>-0.1453024</v>
      </c>
      <c r="W5918">
        <v>0.24335119999999999</v>
      </c>
      <c r="X5918">
        <v>0.95899290000000004</v>
      </c>
      <c r="Y5918">
        <v>-0.28203250000000002</v>
      </c>
      <c r="Z5918">
        <v>-7.1386560000000002E-3</v>
      </c>
      <c r="AA5918">
        <v>0.95937830000000002</v>
      </c>
      <c r="AB5918">
        <v>31</v>
      </c>
      <c r="AC5918">
        <v>15.423400000000001</v>
      </c>
      <c r="AD5918">
        <v>-1.1175155114890001</v>
      </c>
      <c r="AE5918">
        <v>9.3821600000000007</v>
      </c>
      <c r="AF5918">
        <v>-5.1101567361462203</v>
      </c>
      <c r="AG5918">
        <v>-1.1175155114890001</v>
      </c>
      <c r="AH5918">
        <v>17.242653317657599</v>
      </c>
      <c r="AI5918">
        <v>93.555763176930895</v>
      </c>
      <c r="AJ5918">
        <v>106.50809547249099</v>
      </c>
      <c r="AK5918">
        <v>18.018646903120299</v>
      </c>
      <c r="AL5918">
        <v>75.915584138830496</v>
      </c>
      <c r="AM5918">
        <v>98.615674200929107</v>
      </c>
      <c r="AN5918">
        <v>0.99999998811880497</v>
      </c>
    </row>
    <row r="5919" spans="1:40" x14ac:dyDescent="0.25">
      <c r="A5919" t="str">
        <f>"20190312172823058"</f>
        <v>20190312172823058</v>
      </c>
      <c r="B5919" t="str">
        <f>"1552382903055573"</f>
        <v>1552382903055573</v>
      </c>
      <c r="C5919" t="s">
        <v>40</v>
      </c>
      <c r="D5919">
        <v>3.3454320000000002</v>
      </c>
      <c r="E5919">
        <v>0.45635779999999898</v>
      </c>
      <c r="F5919" t="s">
        <v>52</v>
      </c>
      <c r="G5919">
        <v>-191.48240000000001</v>
      </c>
      <c r="H5919" s="1">
        <v>-9.5455739999999994E-6</v>
      </c>
      <c r="I5919">
        <v>-51.496839999999999</v>
      </c>
      <c r="J5919">
        <v>-206.8991</v>
      </c>
      <c r="K5919">
        <v>1.1175809999999999</v>
      </c>
      <c r="L5919">
        <v>-60.967649999999999</v>
      </c>
      <c r="M5919">
        <v>0.9654758</v>
      </c>
      <c r="N5919">
        <v>0</v>
      </c>
      <c r="O5919">
        <v>0.26005679999999998</v>
      </c>
      <c r="P5919">
        <v>0.89285170000000003</v>
      </c>
      <c r="Q5919">
        <v>0.2314968</v>
      </c>
      <c r="R5919">
        <v>0.38629669999999999</v>
      </c>
      <c r="S5919">
        <v>2.6987459999999999</v>
      </c>
      <c r="T5919">
        <v>-0.1937516</v>
      </c>
      <c r="U5919">
        <v>1.649689</v>
      </c>
      <c r="V5919">
        <v>-0.1452379</v>
      </c>
      <c r="W5919">
        <v>0.24337619999999999</v>
      </c>
      <c r="X5919">
        <v>0.95899639999999997</v>
      </c>
      <c r="Y5919">
        <v>-0.28164800000000001</v>
      </c>
      <c r="Z5919">
        <v>-7.4229459999999997E-3</v>
      </c>
      <c r="AA5919">
        <v>0.95948909999999998</v>
      </c>
      <c r="AB5919">
        <v>31</v>
      </c>
      <c r="AC5919">
        <v>15.416699999999899</v>
      </c>
      <c r="AD5919">
        <v>-1.1175905455739901</v>
      </c>
      <c r="AE5919">
        <v>9.4708100000000002</v>
      </c>
      <c r="AF5919">
        <v>-5.1156851930223803</v>
      </c>
      <c r="AG5919">
        <v>-1.1175905455739901</v>
      </c>
      <c r="AH5919">
        <v>17.283427097585701</v>
      </c>
      <c r="AI5919">
        <v>93.5479991876215</v>
      </c>
      <c r="AJ5919">
        <v>106.488115974004</v>
      </c>
      <c r="AK5919">
        <v>18.059238518255</v>
      </c>
      <c r="AL5919">
        <v>75.914108360365702</v>
      </c>
      <c r="AM5919">
        <v>98.611876083091801</v>
      </c>
      <c r="AN5919">
        <v>1.0000000587679001</v>
      </c>
    </row>
    <row r="5920" spans="1:40" x14ac:dyDescent="0.25">
      <c r="A5920" t="str">
        <f>"20190312172823070"</f>
        <v>20190312172823070</v>
      </c>
      <c r="B5920" t="str">
        <f>"1552382903065333"</f>
        <v>1552382903065333</v>
      </c>
      <c r="C5920" t="s">
        <v>40</v>
      </c>
      <c r="D5920">
        <v>3.3496779999999999</v>
      </c>
      <c r="E5920">
        <v>0.45659110000000003</v>
      </c>
      <c r="F5920" t="s">
        <v>52</v>
      </c>
      <c r="G5920">
        <v>-191.33879999999999</v>
      </c>
      <c r="H5920" s="1">
        <v>-9.5762380000000005E-6</v>
      </c>
      <c r="I5920">
        <v>-51.373049999999999</v>
      </c>
      <c r="J5920">
        <v>-206.74469999999999</v>
      </c>
      <c r="K5920">
        <v>1.117661</v>
      </c>
      <c r="L5920">
        <v>-60.921509999999998</v>
      </c>
      <c r="M5920">
        <v>0.96418409999999999</v>
      </c>
      <c r="N5920">
        <v>0</v>
      </c>
      <c r="O5920">
        <v>0.26480520000000002</v>
      </c>
      <c r="P5920">
        <v>0.89107109999999901</v>
      </c>
      <c r="Q5920">
        <v>0.2314107</v>
      </c>
      <c r="R5920">
        <v>0.39043739999999999</v>
      </c>
      <c r="S5920">
        <v>2.6920009999999999</v>
      </c>
      <c r="T5920">
        <v>-0.19334860000000001</v>
      </c>
      <c r="U5920">
        <v>1.6599119999999901</v>
      </c>
      <c r="V5920">
        <v>-0.14500350000000001</v>
      </c>
      <c r="W5920">
        <v>0.24327209999999999</v>
      </c>
      <c r="X5920">
        <v>0.95905819999999997</v>
      </c>
      <c r="Y5920">
        <v>-0.28064919999999999</v>
      </c>
      <c r="Z5920">
        <v>-7.7411169999999996E-3</v>
      </c>
      <c r="AA5920">
        <v>0.95977920000000005</v>
      </c>
      <c r="AB5920">
        <v>31</v>
      </c>
      <c r="AC5920">
        <v>15.405900000000001</v>
      </c>
      <c r="AD5920">
        <v>-1.1176705762379999</v>
      </c>
      <c r="AE5920">
        <v>9.5484600000000004</v>
      </c>
      <c r="AF5920">
        <v>-5.1080698788099896</v>
      </c>
      <c r="AG5920">
        <v>-1.1176705762379999</v>
      </c>
      <c r="AH5920">
        <v>17.318725951183001</v>
      </c>
      <c r="AI5920">
        <v>93.542040230167402</v>
      </c>
      <c r="AJ5920">
        <v>106.43315488090199</v>
      </c>
      <c r="AK5920">
        <v>18.0908770925009</v>
      </c>
      <c r="AL5920">
        <v>75.920256540582699</v>
      </c>
      <c r="AM5920">
        <v>98.597639464204306</v>
      </c>
      <c r="AN5920">
        <v>0.99999998031894899</v>
      </c>
    </row>
    <row r="5921" spans="1:40" x14ac:dyDescent="0.25">
      <c r="A5921" t="str">
        <f>"20190312172823081"</f>
        <v>20190312172823081</v>
      </c>
      <c r="B5921" t="str">
        <f>"1552382903075092"</f>
        <v>1552382903075092</v>
      </c>
      <c r="C5921" t="s">
        <v>40</v>
      </c>
      <c r="D5921">
        <v>3.3889369999999999</v>
      </c>
      <c r="E5921">
        <v>0.45680470000000001</v>
      </c>
      <c r="F5921" t="s">
        <v>52</v>
      </c>
      <c r="G5921">
        <v>-191.2629</v>
      </c>
      <c r="H5921" s="1">
        <v>-9.6014779999999993E-6</v>
      </c>
      <c r="I5921">
        <v>-51.282780000000002</v>
      </c>
      <c r="J5921">
        <v>-206.59219999999999</v>
      </c>
      <c r="K5921">
        <v>1.117737</v>
      </c>
      <c r="L5921">
        <v>-60.874659999999999</v>
      </c>
      <c r="M5921">
        <v>0.96286419999999995</v>
      </c>
      <c r="N5921">
        <v>0</v>
      </c>
      <c r="O5921">
        <v>0.2695651</v>
      </c>
      <c r="P5921">
        <v>0.88932599999999995</v>
      </c>
      <c r="Q5921">
        <v>0.23106950000000001</v>
      </c>
      <c r="R5921">
        <v>0.39459630000000001</v>
      </c>
      <c r="S5921">
        <v>2.6846920000000001</v>
      </c>
      <c r="T5921">
        <v>-0.19381490000000001</v>
      </c>
      <c r="U5921">
        <v>1.671448</v>
      </c>
      <c r="V5921">
        <v>-0.1447552</v>
      </c>
      <c r="W5921">
        <v>0.24291689999999999</v>
      </c>
      <c r="X5921">
        <v>0.95918579999999998</v>
      </c>
      <c r="Y5921">
        <v>-0.2800609</v>
      </c>
      <c r="Z5921">
        <v>-8.0815290000000005E-3</v>
      </c>
      <c r="AA5921">
        <v>0.95994820000000003</v>
      </c>
      <c r="AB5921">
        <v>31</v>
      </c>
      <c r="AC5921">
        <v>15.3292999999999</v>
      </c>
      <c r="AD5921">
        <v>-1.117746601478</v>
      </c>
      <c r="AE5921">
        <v>9.5918799999999997</v>
      </c>
      <c r="AF5921">
        <v>-5.0845863961547204</v>
      </c>
      <c r="AG5921">
        <v>-1.117746601478</v>
      </c>
      <c r="AH5921">
        <v>17.2816120360452</v>
      </c>
      <c r="AI5921">
        <v>93.550564833652203</v>
      </c>
      <c r="AJ5921">
        <v>106.394908687553</v>
      </c>
      <c r="AK5921">
        <v>18.048725463296801</v>
      </c>
      <c r="AL5921">
        <v>75.941238279828795</v>
      </c>
      <c r="AM5921">
        <v>98.582011751229004</v>
      </c>
      <c r="AN5921">
        <v>1.0000000435771399</v>
      </c>
    </row>
    <row r="5922" spans="1:40" x14ac:dyDescent="0.25">
      <c r="A5922" t="str">
        <f>"20190312172823094"</f>
        <v>20190312172823094</v>
      </c>
      <c r="B5922" t="str">
        <f>"1552382903085829"</f>
        <v>1552382903085829</v>
      </c>
      <c r="C5922" t="s">
        <v>40</v>
      </c>
      <c r="D5922">
        <v>3.3899300000000001</v>
      </c>
      <c r="E5922">
        <v>0.45681240000000001</v>
      </c>
      <c r="F5922" t="s">
        <v>52</v>
      </c>
      <c r="G5922">
        <v>-191.25620000000001</v>
      </c>
      <c r="H5922" s="1">
        <v>-9.6184499999999994E-6</v>
      </c>
      <c r="I5922">
        <v>-51.234259999999999</v>
      </c>
      <c r="J5922">
        <v>-206.44290000000001</v>
      </c>
      <c r="K5922">
        <v>1.1178079999999999</v>
      </c>
      <c r="L5922">
        <v>-60.828159999999997</v>
      </c>
      <c r="M5922">
        <v>0.96153770000000005</v>
      </c>
      <c r="N5922">
        <v>0</v>
      </c>
      <c r="O5922">
        <v>0.27425890000000003</v>
      </c>
      <c r="P5922">
        <v>0.88749889999999998</v>
      </c>
      <c r="Q5922">
        <v>0.23107130000000001</v>
      </c>
      <c r="R5922">
        <v>0.39868779999999998</v>
      </c>
      <c r="S5922">
        <v>2.677292</v>
      </c>
      <c r="T5922">
        <v>-0.1951319</v>
      </c>
      <c r="U5922">
        <v>1.6829829999999999</v>
      </c>
      <c r="V5922">
        <v>-0.14453070000000001</v>
      </c>
      <c r="W5922">
        <v>0.24290390000000001</v>
      </c>
      <c r="X5922">
        <v>0.95922289999999999</v>
      </c>
      <c r="Y5922">
        <v>-0.27954669999999998</v>
      </c>
      <c r="Z5922">
        <v>-8.4539650000000008E-3</v>
      </c>
      <c r="AA5922">
        <v>0.96009489999999997</v>
      </c>
      <c r="AB5922">
        <v>31</v>
      </c>
      <c r="AC5922">
        <v>15.1867</v>
      </c>
      <c r="AD5922">
        <v>-1.1178176184499999</v>
      </c>
      <c r="AE5922">
        <v>9.5938999999999908</v>
      </c>
      <c r="AF5922">
        <v>-5.0408642159227401</v>
      </c>
      <c r="AG5922">
        <v>-1.1178176184499999</v>
      </c>
      <c r="AH5922">
        <v>17.169271114550501</v>
      </c>
      <c r="AI5922">
        <v>93.574562469819199</v>
      </c>
      <c r="AJ5922">
        <v>106.362135111575</v>
      </c>
      <c r="AK5922">
        <v>17.9288510194163</v>
      </c>
      <c r="AL5922">
        <v>75.9420054958902</v>
      </c>
      <c r="AM5922">
        <v>98.5685731873116</v>
      </c>
      <c r="AN5922">
        <v>0.99999999988105504</v>
      </c>
    </row>
    <row r="5923" spans="1:40" x14ac:dyDescent="0.25">
      <c r="A5923" t="str">
        <f>"20190312172823105"</f>
        <v>20190312172823105</v>
      </c>
      <c r="B5923" t="str">
        <f>"1552382903095120"</f>
        <v>1552382903095120</v>
      </c>
      <c r="C5923" t="s">
        <v>40</v>
      </c>
      <c r="D5923">
        <v>3.343804</v>
      </c>
      <c r="E5923">
        <v>0.45657710000000001</v>
      </c>
      <c r="F5923" t="s">
        <v>52</v>
      </c>
      <c r="G5923">
        <v>-191.15280000000001</v>
      </c>
      <c r="H5923" s="1">
        <v>-9.650991E-6</v>
      </c>
      <c r="I5923">
        <v>-51.116329999999998</v>
      </c>
      <c r="J5923">
        <v>-206.27529999999999</v>
      </c>
      <c r="K5923">
        <v>1.117883</v>
      </c>
      <c r="L5923">
        <v>-60.775120000000001</v>
      </c>
      <c r="M5923">
        <v>0.96000810000000003</v>
      </c>
      <c r="N5923">
        <v>0</v>
      </c>
      <c r="O5923">
        <v>0.27956589999999998</v>
      </c>
      <c r="P5923">
        <v>0.88546389999999997</v>
      </c>
      <c r="Q5923">
        <v>0.23093250000000001</v>
      </c>
      <c r="R5923">
        <v>0.40326679999999998</v>
      </c>
      <c r="S5923">
        <v>2.669403</v>
      </c>
      <c r="T5923">
        <v>-0.19515279999999999</v>
      </c>
      <c r="U5923">
        <v>1.6955260000000001</v>
      </c>
      <c r="V5923">
        <v>-0.14421529999999999</v>
      </c>
      <c r="W5923">
        <v>0.24275169999999999</v>
      </c>
      <c r="X5923">
        <v>0.95930890000000002</v>
      </c>
      <c r="Y5923">
        <v>-0.27875240000000001</v>
      </c>
      <c r="Z5923">
        <v>-8.8203840000000006E-3</v>
      </c>
      <c r="AA5923">
        <v>0.96032249999999997</v>
      </c>
      <c r="AB5923">
        <v>31</v>
      </c>
      <c r="AC5923">
        <v>15.122499999999899</v>
      </c>
      <c r="AD5923">
        <v>-1.1178926509910001</v>
      </c>
      <c r="AE5923">
        <v>9.6587899999999909</v>
      </c>
      <c r="AF5923">
        <v>-5.0258484653810296</v>
      </c>
      <c r="AG5923">
        <v>-1.1178926509910001</v>
      </c>
      <c r="AH5923">
        <v>17.1533724298972</v>
      </c>
      <c r="AI5923">
        <v>93.578687979133704</v>
      </c>
      <c r="AJ5923">
        <v>106.33030870760599</v>
      </c>
      <c r="AK5923">
        <v>17.909411561937802</v>
      </c>
      <c r="AL5923">
        <v>75.950995020267797</v>
      </c>
      <c r="AM5923">
        <v>98.5493960311818</v>
      </c>
      <c r="AN5923">
        <v>1.00000000311309</v>
      </c>
    </row>
    <row r="5924" spans="1:40" x14ac:dyDescent="0.25">
      <c r="A5924" t="str">
        <f>"20190312172823116"</f>
        <v>20190312172823116</v>
      </c>
      <c r="B5924" t="str">
        <f>"1552382903105857"</f>
        <v>1552382903105857</v>
      </c>
      <c r="C5924" t="s">
        <v>40</v>
      </c>
      <c r="D5924">
        <v>3.3663189999999998</v>
      </c>
      <c r="E5924">
        <v>0.45657710000000001</v>
      </c>
      <c r="F5924" t="s">
        <v>52</v>
      </c>
      <c r="G5924">
        <v>-191.06780000000001</v>
      </c>
      <c r="H5924" s="1">
        <v>-9.6878140000000006E-6</v>
      </c>
      <c r="I5924">
        <v>-50.991709999999998</v>
      </c>
      <c r="J5924">
        <v>-206.14060000000001</v>
      </c>
      <c r="K5924">
        <v>1.117944</v>
      </c>
      <c r="L5924">
        <v>-60.731259999999999</v>
      </c>
      <c r="M5924">
        <v>0.95873640000000004</v>
      </c>
      <c r="N5924">
        <v>0</v>
      </c>
      <c r="O5924">
        <v>0.28389579999999998</v>
      </c>
      <c r="P5924">
        <v>0.88366710000000004</v>
      </c>
      <c r="Q5924">
        <v>0.23096369999999999</v>
      </c>
      <c r="R5924">
        <v>0.40717100000000001</v>
      </c>
      <c r="S5924">
        <v>2.6597599999999999</v>
      </c>
      <c r="T5924">
        <v>-0.1955162</v>
      </c>
      <c r="U5924">
        <v>1.71109</v>
      </c>
      <c r="V5924">
        <v>-0.1441547</v>
      </c>
      <c r="W5924">
        <v>0.24276929999999999</v>
      </c>
      <c r="X5924">
        <v>0.95931359999999999</v>
      </c>
      <c r="Y5924">
        <v>-0.27998240000000002</v>
      </c>
      <c r="Z5924">
        <v>-9.0759469999999991E-3</v>
      </c>
      <c r="AA5924">
        <v>0.95996219999999999</v>
      </c>
      <c r="AB5924">
        <v>31</v>
      </c>
      <c r="AC5924">
        <v>15.072800000000001</v>
      </c>
      <c r="AD5924">
        <v>-1.117953687814</v>
      </c>
      <c r="AE5924">
        <v>9.7395499999999995</v>
      </c>
      <c r="AF5924">
        <v>-5.0395746478069601</v>
      </c>
      <c r="AG5924">
        <v>-1.117953687814</v>
      </c>
      <c r="AH5924">
        <v>17.1512581661326</v>
      </c>
      <c r="AI5924">
        <v>93.5785162938854</v>
      </c>
      <c r="AJ5924">
        <v>106.37443328885099</v>
      </c>
      <c r="AK5924">
        <v>17.9112475768788</v>
      </c>
      <c r="AL5924">
        <v>75.949956146302995</v>
      </c>
      <c r="AM5924">
        <v>98.545815336020695</v>
      </c>
      <c r="AN5924">
        <v>1.0000000468497601</v>
      </c>
    </row>
    <row r="5925" spans="1:40" x14ac:dyDescent="0.25">
      <c r="A5925" t="str">
        <f>"20190312172823127"</f>
        <v>20190312172823127</v>
      </c>
      <c r="B5925" t="str">
        <f>"1552382903115616"</f>
        <v>1552382903115616</v>
      </c>
      <c r="C5925" t="s">
        <v>40</v>
      </c>
      <c r="D5925">
        <v>3.4850050000000001</v>
      </c>
      <c r="E5925">
        <v>0.43528709999999998</v>
      </c>
      <c r="F5925" t="s">
        <v>52</v>
      </c>
      <c r="G5925">
        <v>-190.96770000000001</v>
      </c>
      <c r="H5925" s="1">
        <v>-9.7203159999999995E-6</v>
      </c>
      <c r="I5925">
        <v>-50.87482</v>
      </c>
      <c r="J5925">
        <v>-206.0018</v>
      </c>
      <c r="K5925">
        <v>1.118007</v>
      </c>
      <c r="L5925">
        <v>-60.685940000000002</v>
      </c>
      <c r="M5925">
        <v>0.95740340000000002</v>
      </c>
      <c r="N5925">
        <v>0</v>
      </c>
      <c r="O5925">
        <v>0.28835939999999999</v>
      </c>
      <c r="P5925">
        <v>0.88196019999999897</v>
      </c>
      <c r="Q5925">
        <v>0.230929</v>
      </c>
      <c r="R5925">
        <v>0.41087459999999998</v>
      </c>
      <c r="S5925">
        <v>2.652161</v>
      </c>
      <c r="T5925">
        <v>-0.19541430000000001</v>
      </c>
      <c r="U5925">
        <v>1.7228699999999999</v>
      </c>
      <c r="V5925">
        <v>-0.14373810000000001</v>
      </c>
      <c r="W5925">
        <v>0.24272769999999999</v>
      </c>
      <c r="X5925">
        <v>0.95938659999999998</v>
      </c>
      <c r="Y5925">
        <v>-0.27977299999999999</v>
      </c>
      <c r="Z5925">
        <v>-9.3650420000000005E-3</v>
      </c>
      <c r="AA5925">
        <v>0.96002050000000005</v>
      </c>
      <c r="AB5925">
        <v>31</v>
      </c>
      <c r="AC5925">
        <v>15.034099999999899</v>
      </c>
      <c r="AD5925">
        <v>-1.1180167203160001</v>
      </c>
      <c r="AE5925">
        <v>9.8111200000000007</v>
      </c>
      <c r="AF5925">
        <v>-5.0390076205953802</v>
      </c>
      <c r="AG5925">
        <v>-1.1180167203160001</v>
      </c>
      <c r="AH5925">
        <v>17.158239619757499</v>
      </c>
      <c r="AI5925">
        <v>93.577412426269106</v>
      </c>
      <c r="AJ5925">
        <v>106.366384348922</v>
      </c>
      <c r="AK5925">
        <v>17.917777374338101</v>
      </c>
      <c r="AL5925">
        <v>75.952412655873601</v>
      </c>
      <c r="AM5925">
        <v>98.520842569500005</v>
      </c>
      <c r="AN5925">
        <v>1.0000000129992299</v>
      </c>
    </row>
    <row r="5926" spans="1:40" x14ac:dyDescent="0.25">
      <c r="A5926" t="str">
        <f>"20190312172823137"</f>
        <v>20190312172823137</v>
      </c>
      <c r="B5926" t="str">
        <f>"1552382903125376"</f>
        <v>1552382903125376</v>
      </c>
      <c r="C5926" t="s">
        <v>40</v>
      </c>
      <c r="D5926">
        <v>3.4222939999999999</v>
      </c>
      <c r="E5926">
        <v>0.4355716</v>
      </c>
      <c r="F5926" t="s">
        <v>52</v>
      </c>
      <c r="G5926">
        <v>-188.90710000000001</v>
      </c>
      <c r="H5926" s="1">
        <v>-4.4704980000000002E-6</v>
      </c>
      <c r="I5926">
        <v>-48.150730000000003</v>
      </c>
      <c r="J5926">
        <v>-205.8794</v>
      </c>
      <c r="K5926">
        <v>1.118055</v>
      </c>
      <c r="L5926">
        <v>-60.644779999999997</v>
      </c>
      <c r="M5926">
        <v>0.95618829999999999</v>
      </c>
      <c r="N5926">
        <v>0</v>
      </c>
      <c r="O5926">
        <v>0.29236289999999998</v>
      </c>
      <c r="P5926">
        <v>0.88033680000000003</v>
      </c>
      <c r="Q5926">
        <v>0.23113149999999999</v>
      </c>
      <c r="R5926">
        <v>0.41422829999999999</v>
      </c>
      <c r="S5926">
        <v>2.5681919999999998</v>
      </c>
      <c r="T5926">
        <v>-0.1679629</v>
      </c>
      <c r="U5926">
        <v>1.8832089999999999</v>
      </c>
      <c r="V5926">
        <v>-0.14342299999999999</v>
      </c>
      <c r="W5926">
        <v>0.24292330000000001</v>
      </c>
      <c r="X5926">
        <v>0.95938429999999997</v>
      </c>
      <c r="Y5926">
        <v>-0.32963999999999999</v>
      </c>
      <c r="Z5926">
        <v>-6.8643849999999998E-3</v>
      </c>
      <c r="AA5926">
        <v>0.94408170000000002</v>
      </c>
      <c r="AB5926">
        <v>31</v>
      </c>
      <c r="AC5926">
        <v>16.972299999999901</v>
      </c>
      <c r="AD5926">
        <v>-1.118059470498</v>
      </c>
      <c r="AE5926">
        <v>12.49405</v>
      </c>
      <c r="AF5926">
        <v>-6.9657848077345896</v>
      </c>
      <c r="AG5926">
        <v>-1.118059470498</v>
      </c>
      <c r="AH5926">
        <v>19.827972560582701</v>
      </c>
      <c r="AI5926">
        <v>93.045292688988695</v>
      </c>
      <c r="AJ5926">
        <v>109.35693607723999</v>
      </c>
      <c r="AK5926">
        <v>21.0456815244947</v>
      </c>
      <c r="AL5926">
        <v>75.940860511704699</v>
      </c>
      <c r="AM5926">
        <v>98.502456735957395</v>
      </c>
      <c r="AN5926">
        <v>1.0000000608491799</v>
      </c>
    </row>
    <row r="5927" spans="1:40" x14ac:dyDescent="0.25">
      <c r="A5927" t="str">
        <f>"20190312172823147"</f>
        <v>20190312172823147</v>
      </c>
      <c r="B5927" t="str">
        <f>"1552382903135137"</f>
        <v>1552382903135137</v>
      </c>
      <c r="C5927" t="s">
        <v>40</v>
      </c>
      <c r="D5927">
        <v>3.3503599999999998</v>
      </c>
      <c r="E5927">
        <v>0.43589830000000002</v>
      </c>
      <c r="F5927" t="s">
        <v>52</v>
      </c>
      <c r="G5927">
        <v>-188.4051</v>
      </c>
      <c r="H5927" s="1">
        <v>-4.5849690000000004E-6</v>
      </c>
      <c r="I5927">
        <v>-47.745669999999997</v>
      </c>
      <c r="J5927">
        <v>-205.74170000000001</v>
      </c>
      <c r="K5927">
        <v>1.1181140000000001</v>
      </c>
      <c r="L5927">
        <v>-60.598390000000002</v>
      </c>
      <c r="M5927">
        <v>0.95480069999999995</v>
      </c>
      <c r="N5927">
        <v>0</v>
      </c>
      <c r="O5927">
        <v>0.29686299999999999</v>
      </c>
      <c r="P5927">
        <v>0.87855329999999998</v>
      </c>
      <c r="Q5927">
        <v>0.23138</v>
      </c>
      <c r="R5927">
        <v>0.41786050000000002</v>
      </c>
      <c r="S5927">
        <v>2.5612029999999999</v>
      </c>
      <c r="T5927">
        <v>-0.1638743</v>
      </c>
      <c r="U5927">
        <v>1.890625</v>
      </c>
      <c r="V5927">
        <v>-0.1429222</v>
      </c>
      <c r="W5927">
        <v>0.2431671</v>
      </c>
      <c r="X5927">
        <v>0.95939719999999995</v>
      </c>
      <c r="Y5927">
        <v>-0.3282022</v>
      </c>
      <c r="Z5927">
        <v>-6.9821900000000001E-3</v>
      </c>
      <c r="AA5927">
        <v>0.94458169999999997</v>
      </c>
      <c r="AB5927">
        <v>31</v>
      </c>
      <c r="AC5927">
        <v>17.336600000000001</v>
      </c>
      <c r="AD5927">
        <v>-1.1181185849690001</v>
      </c>
      <c r="AE5927">
        <v>12.8527199999999</v>
      </c>
      <c r="AF5927">
        <v>-7.1069265564863402</v>
      </c>
      <c r="AG5927">
        <v>-1.1181185849690001</v>
      </c>
      <c r="AH5927">
        <v>20.3162831020929</v>
      </c>
      <c r="AI5927">
        <v>92.9737742059894</v>
      </c>
      <c r="AJ5927">
        <v>109.280567497235</v>
      </c>
      <c r="AK5927">
        <v>21.552492972594401</v>
      </c>
      <c r="AL5927">
        <v>75.926458992272799</v>
      </c>
      <c r="AM5927">
        <v>98.473087552888302</v>
      </c>
      <c r="AN5927">
        <v>0.99999999057154398</v>
      </c>
    </row>
    <row r="5928" spans="1:40" x14ac:dyDescent="0.25">
      <c r="A5928" t="str">
        <f>"20190312172823159"</f>
        <v>20190312172823159</v>
      </c>
      <c r="B5928" t="str">
        <f>"1552382903155633"</f>
        <v>1552382903155633</v>
      </c>
      <c r="C5928" t="s">
        <v>40</v>
      </c>
      <c r="D5928">
        <v>3.359016</v>
      </c>
      <c r="E5928">
        <v>0.4365735</v>
      </c>
      <c r="F5928" t="s">
        <v>52</v>
      </c>
      <c r="G5928">
        <v>-188.19040000000001</v>
      </c>
      <c r="H5928" s="1">
        <v>-4.649142E-6</v>
      </c>
      <c r="I5928">
        <v>-47.542189999999998</v>
      </c>
      <c r="J5928">
        <v>-205.60300000000001</v>
      </c>
      <c r="K5928">
        <v>1.1181749999999999</v>
      </c>
      <c r="L5928">
        <v>-60.550229999999999</v>
      </c>
      <c r="M5928">
        <v>0.95335579999999998</v>
      </c>
      <c r="N5928">
        <v>0</v>
      </c>
      <c r="O5928">
        <v>0.30147069999999998</v>
      </c>
      <c r="P5928">
        <v>0.87662799999999996</v>
      </c>
      <c r="Q5928">
        <v>0.23171549999999999</v>
      </c>
      <c r="R5928">
        <v>0.42170049999999998</v>
      </c>
      <c r="S5928">
        <v>2.553925</v>
      </c>
      <c r="T5928">
        <v>-0.1627004</v>
      </c>
      <c r="U5928">
        <v>1.8998409999999999</v>
      </c>
      <c r="V5928">
        <v>-0.14255139999999999</v>
      </c>
      <c r="W5928">
        <v>0.2434964</v>
      </c>
      <c r="X5928">
        <v>0.95936889999999997</v>
      </c>
      <c r="Y5928">
        <v>-0.32713049999999999</v>
      </c>
      <c r="Z5928">
        <v>-7.2092579999999996E-3</v>
      </c>
      <c r="AA5928">
        <v>0.94495169999999995</v>
      </c>
      <c r="AB5928">
        <v>31</v>
      </c>
      <c r="AC5928">
        <v>17.412599999999902</v>
      </c>
      <c r="AD5928">
        <v>-1.118179649142</v>
      </c>
      <c r="AE5928">
        <v>13.008039999999999</v>
      </c>
      <c r="AF5928">
        <v>-7.1338364237025598</v>
      </c>
      <c r="AG5928">
        <v>-1.118179649142</v>
      </c>
      <c r="AH5928">
        <v>20.4701090043826</v>
      </c>
      <c r="AI5928">
        <v>92.952833145540296</v>
      </c>
      <c r="AJ5928">
        <v>109.213454497325</v>
      </c>
      <c r="AK5928">
        <v>21.706388702389098</v>
      </c>
      <c r="AL5928">
        <v>75.907007565312796</v>
      </c>
      <c r="AM5928">
        <v>98.4516684041281</v>
      </c>
      <c r="AN5928">
        <v>1.00000004237106</v>
      </c>
    </row>
    <row r="5929" spans="1:40" x14ac:dyDescent="0.25">
      <c r="A5929" t="str">
        <f>"20190312172823170"</f>
        <v>20190312172823170</v>
      </c>
      <c r="B5929" t="str">
        <f>"1552382903165392"</f>
        <v>1552382903165392</v>
      </c>
      <c r="C5929" t="s">
        <v>40</v>
      </c>
      <c r="D5929">
        <v>3.3543199999999902</v>
      </c>
      <c r="E5929">
        <v>0.43697350000000001</v>
      </c>
      <c r="F5929" t="s">
        <v>52</v>
      </c>
      <c r="G5929">
        <v>-188.18520000000001</v>
      </c>
      <c r="H5929" s="1">
        <v>-4.6629349999999998E-6</v>
      </c>
      <c r="I5929">
        <v>-47.512949999999996</v>
      </c>
      <c r="J5929">
        <v>-205.4562</v>
      </c>
      <c r="K5929">
        <v>1.1182460000000001</v>
      </c>
      <c r="L5929">
        <v>-60.498989999999999</v>
      </c>
      <c r="M5929">
        <v>0.95179650000000005</v>
      </c>
      <c r="N5929">
        <v>0</v>
      </c>
      <c r="O5929">
        <v>0.30635770000000001</v>
      </c>
      <c r="P5929">
        <v>0.87468849999999998</v>
      </c>
      <c r="Q5929">
        <v>0.2315103</v>
      </c>
      <c r="R5929">
        <v>0.42582019999999998</v>
      </c>
      <c r="S5929">
        <v>2.5480040000000002</v>
      </c>
      <c r="T5929">
        <v>-0.163576</v>
      </c>
      <c r="U5929">
        <v>1.9071959999999999</v>
      </c>
      <c r="V5929">
        <v>-0.14215700000000001</v>
      </c>
      <c r="W5929">
        <v>0.243286</v>
      </c>
      <c r="X5929">
        <v>0.95948080000000002</v>
      </c>
      <c r="Y5929">
        <v>-0.32509090000000002</v>
      </c>
      <c r="Z5929">
        <v>-7.5674760000000001E-3</v>
      </c>
      <c r="AA5929">
        <v>0.94565250000000001</v>
      </c>
      <c r="AB5929">
        <v>31</v>
      </c>
      <c r="AC5929">
        <v>17.270999999999901</v>
      </c>
      <c r="AD5929">
        <v>-1.11825066293499</v>
      </c>
      <c r="AE5929">
        <v>12.986039999999999</v>
      </c>
      <c r="AF5929">
        <v>-7.0508877479102701</v>
      </c>
      <c r="AG5929">
        <v>-1.11825066293499</v>
      </c>
      <c r="AH5929">
        <v>20.364643377152699</v>
      </c>
      <c r="AI5929">
        <v>92.970370352053607</v>
      </c>
      <c r="AJ5929">
        <v>109.097481962511</v>
      </c>
      <c r="AK5929">
        <v>21.5797173859482</v>
      </c>
      <c r="AL5929">
        <v>75.919436433741197</v>
      </c>
      <c r="AM5929">
        <v>98.427652469034498</v>
      </c>
      <c r="AN5929">
        <v>1.0000000480068101</v>
      </c>
    </row>
    <row r="5930" spans="1:40" x14ac:dyDescent="0.25">
      <c r="A5930" t="str">
        <f>"20190312172823181"</f>
        <v>20190312172823181</v>
      </c>
      <c r="B5930" t="str">
        <f>"1552382903175152"</f>
        <v>1552382903175152</v>
      </c>
      <c r="C5930" t="s">
        <v>40</v>
      </c>
      <c r="D5930">
        <v>3.3492929999999999</v>
      </c>
      <c r="E5930">
        <v>0.43729800000000002</v>
      </c>
      <c r="F5930" t="s">
        <v>52</v>
      </c>
      <c r="G5930">
        <v>-188.39019999999999</v>
      </c>
      <c r="H5930" s="1">
        <v>-4.6441229999999997E-6</v>
      </c>
      <c r="I5930">
        <v>-47.62285</v>
      </c>
      <c r="J5930">
        <v>-205.31110000000001</v>
      </c>
      <c r="K5930">
        <v>1.1183110000000001</v>
      </c>
      <c r="L5930">
        <v>-60.44708</v>
      </c>
      <c r="M5930">
        <v>0.95020709999999997</v>
      </c>
      <c r="N5930">
        <v>0</v>
      </c>
      <c r="O5930">
        <v>0.31125249999999999</v>
      </c>
      <c r="P5930">
        <v>0.87264219999999904</v>
      </c>
      <c r="Q5930">
        <v>0.2315248</v>
      </c>
      <c r="R5930">
        <v>0.4299907</v>
      </c>
      <c r="S5930">
        <v>2.5406490000000002</v>
      </c>
      <c r="T5930">
        <v>-0.1664765</v>
      </c>
      <c r="U5930">
        <v>1.916901</v>
      </c>
      <c r="V5930">
        <v>-0.1418336</v>
      </c>
      <c r="W5930">
        <v>0.24329429999999999</v>
      </c>
      <c r="X5930">
        <v>0.95952649999999995</v>
      </c>
      <c r="Y5930">
        <v>-0.32384740000000001</v>
      </c>
      <c r="Z5930">
        <v>-8.0048769999999901E-3</v>
      </c>
      <c r="AA5930">
        <v>0.94607540000000001</v>
      </c>
      <c r="AB5930">
        <v>31</v>
      </c>
      <c r="AC5930">
        <v>16.9209</v>
      </c>
      <c r="AD5930">
        <v>-1.118315644123</v>
      </c>
      <c r="AE5930">
        <v>12.82423</v>
      </c>
      <c r="AF5930">
        <v>-6.9006470426143096</v>
      </c>
      <c r="AG5930">
        <v>-1.118315644123</v>
      </c>
      <c r="AH5930">
        <v>20.016690868904501</v>
      </c>
      <c r="AI5930">
        <v>93.023469967720104</v>
      </c>
      <c r="AJ5930">
        <v>109.021358902394</v>
      </c>
      <c r="AK5930">
        <v>21.202298762820899</v>
      </c>
      <c r="AL5930">
        <v>75.918945390701694</v>
      </c>
      <c r="AM5930">
        <v>98.408359642533199</v>
      </c>
      <c r="AN5930">
        <v>0.99999999535184902</v>
      </c>
    </row>
    <row r="5931" spans="1:40" x14ac:dyDescent="0.25">
      <c r="A5931" t="str">
        <f>"20190312172823194"</f>
        <v>20190312172823194</v>
      </c>
      <c r="B5931" t="str">
        <f>"1552382903185888"</f>
        <v>1552382903185888</v>
      </c>
      <c r="C5931" t="s">
        <v>40</v>
      </c>
      <c r="D5931">
        <v>3.3295729999999999</v>
      </c>
      <c r="E5931">
        <v>0.4376526</v>
      </c>
      <c r="F5931" t="s">
        <v>52</v>
      </c>
      <c r="G5931">
        <v>-188.40690000000001</v>
      </c>
      <c r="H5931" s="1">
        <v>-4.6667940000000002E-6</v>
      </c>
      <c r="I5931">
        <v>-47.583689999999997</v>
      </c>
      <c r="J5931">
        <v>-205.16489999999999</v>
      </c>
      <c r="K5931">
        <v>1.1183749999999999</v>
      </c>
      <c r="L5931">
        <v>-60.3940699999999</v>
      </c>
      <c r="M5931">
        <v>0.94856770000000001</v>
      </c>
      <c r="N5931">
        <v>0</v>
      </c>
      <c r="O5931">
        <v>0.31621290000000002</v>
      </c>
      <c r="P5931">
        <v>0.87036619999999998</v>
      </c>
      <c r="Q5931">
        <v>0.23156650000000001</v>
      </c>
      <c r="R5931">
        <v>0.43455709999999997</v>
      </c>
      <c r="S5931">
        <v>2.532654</v>
      </c>
      <c r="T5931">
        <v>-0.16755059999999999</v>
      </c>
      <c r="U5931">
        <v>1.927246</v>
      </c>
      <c r="V5931">
        <v>-0.1418866</v>
      </c>
      <c r="W5931">
        <v>0.2433216</v>
      </c>
      <c r="X5931">
        <v>0.95951180000000003</v>
      </c>
      <c r="Y5931">
        <v>-0.32279770000000002</v>
      </c>
      <c r="Z5931">
        <v>-8.3605239999999994E-3</v>
      </c>
      <c r="AA5931">
        <v>0.94643109999999997</v>
      </c>
      <c r="AB5931">
        <v>31</v>
      </c>
      <c r="AC5931">
        <v>16.7579999999999</v>
      </c>
      <c r="AD5931">
        <v>-1.11837966679399</v>
      </c>
      <c r="AE5931">
        <v>12.810379999999901</v>
      </c>
      <c r="AF5931">
        <v>-6.8339894749687602</v>
      </c>
      <c r="AG5931">
        <v>-1.11837966679399</v>
      </c>
      <c r="AH5931">
        <v>19.893263942675102</v>
      </c>
      <c r="AI5931">
        <v>93.043500154637698</v>
      </c>
      <c r="AJ5931">
        <v>108.959279623698</v>
      </c>
      <c r="AK5931">
        <v>21.064095886508401</v>
      </c>
      <c r="AL5931">
        <v>75.917333559079196</v>
      </c>
      <c r="AM5931">
        <v>98.411583735118896</v>
      </c>
      <c r="AN5931">
        <v>1.0000000513126699</v>
      </c>
    </row>
    <row r="5932" spans="1:40" x14ac:dyDescent="0.25">
      <c r="A5932" t="str">
        <f>"20190312172823203"</f>
        <v>20190312172823203</v>
      </c>
      <c r="B5932" t="str">
        <f>"1552382903195037"</f>
        <v>1552382903195037</v>
      </c>
      <c r="C5932" t="s">
        <v>40</v>
      </c>
      <c r="D5932">
        <v>3.3343590000000001</v>
      </c>
      <c r="E5932">
        <v>0.43805719999999998</v>
      </c>
      <c r="F5932" t="s">
        <v>52</v>
      </c>
      <c r="G5932">
        <v>-188.41739999999999</v>
      </c>
      <c r="H5932" s="1">
        <v>-4.6945249999999997E-6</v>
      </c>
      <c r="I5932">
        <v>-47.532310000000003</v>
      </c>
      <c r="J5932">
        <v>-205.0247</v>
      </c>
      <c r="K5932">
        <v>1.11843</v>
      </c>
      <c r="L5932">
        <v>-60.342410000000001</v>
      </c>
      <c r="M5932">
        <v>0.9469571</v>
      </c>
      <c r="N5932">
        <v>0</v>
      </c>
      <c r="O5932">
        <v>0.32100390000000001</v>
      </c>
      <c r="P5932">
        <v>0.86825350000000001</v>
      </c>
      <c r="Q5932">
        <v>0.23151430000000001</v>
      </c>
      <c r="R5932">
        <v>0.43879049999999997</v>
      </c>
      <c r="S5932">
        <v>2.523911</v>
      </c>
      <c r="T5932">
        <v>-0.16854469999999999</v>
      </c>
      <c r="U5932">
        <v>1.9383239999999999</v>
      </c>
      <c r="V5932">
        <v>-0.14173559999999999</v>
      </c>
      <c r="W5932">
        <v>0.2432619</v>
      </c>
      <c r="X5932">
        <v>0.95954919999999999</v>
      </c>
      <c r="Y5932">
        <v>-0.32221620000000001</v>
      </c>
      <c r="Z5932">
        <v>-8.6941369999999994E-3</v>
      </c>
      <c r="AA5932">
        <v>0.94662619999999997</v>
      </c>
      <c r="AB5932">
        <v>31</v>
      </c>
      <c r="AC5932">
        <v>16.607299999999999</v>
      </c>
      <c r="AD5932">
        <v>-1.1184346945250001</v>
      </c>
      <c r="AE5932">
        <v>12.8101</v>
      </c>
      <c r="AF5932">
        <v>-6.7811022646463996</v>
      </c>
      <c r="AG5932">
        <v>-1.1184346945250001</v>
      </c>
      <c r="AH5932">
        <v>19.784503173400999</v>
      </c>
      <c r="AI5932">
        <v>93.061085560148797</v>
      </c>
      <c r="AJ5932">
        <v>108.91905731408799</v>
      </c>
      <c r="AK5932">
        <v>20.944230945724101</v>
      </c>
      <c r="AL5932">
        <v>75.920859336894907</v>
      </c>
      <c r="AM5932">
        <v>98.402436911138096</v>
      </c>
      <c r="AN5932">
        <v>0.99999999975980403</v>
      </c>
    </row>
    <row r="5933" spans="1:40" x14ac:dyDescent="0.25">
      <c r="A5933" t="str">
        <f>"20190312172823215"</f>
        <v>20190312172823215</v>
      </c>
      <c r="B5933" t="str">
        <f>"1552382903205772"</f>
        <v>1552382903205772</v>
      </c>
      <c r="C5933" t="s">
        <v>40</v>
      </c>
      <c r="D5933">
        <v>3.3731390000000001</v>
      </c>
      <c r="E5933">
        <v>0.4383687</v>
      </c>
      <c r="F5933" t="s">
        <v>52</v>
      </c>
      <c r="G5933">
        <v>-188.5042</v>
      </c>
      <c r="H5933" s="1">
        <v>-4.7006840000000001E-6</v>
      </c>
      <c r="I5933">
        <v>-47.550780000000003</v>
      </c>
      <c r="J5933">
        <v>-204.8869</v>
      </c>
      <c r="K5933">
        <v>1.118485</v>
      </c>
      <c r="L5933">
        <v>-60.290649999999999</v>
      </c>
      <c r="M5933">
        <v>0.94533180000000006</v>
      </c>
      <c r="N5933">
        <v>0</v>
      </c>
      <c r="O5933">
        <v>0.32575850000000001</v>
      </c>
      <c r="P5933">
        <v>0.86617770000000005</v>
      </c>
      <c r="Q5933">
        <v>0.2315469</v>
      </c>
      <c r="R5933">
        <v>0.442857</v>
      </c>
      <c r="S5933">
        <v>2.5160830000000001</v>
      </c>
      <c r="T5933">
        <v>-0.17033909999999999</v>
      </c>
      <c r="U5933">
        <v>1.9481809999999999</v>
      </c>
      <c r="V5933">
        <v>-0.1414463</v>
      </c>
      <c r="W5933">
        <v>0.2432906</v>
      </c>
      <c r="X5933">
        <v>0.95958469999999996</v>
      </c>
      <c r="Y5933">
        <v>-0.32120969999999999</v>
      </c>
      <c r="Z5933">
        <v>-9.0833770000000001E-3</v>
      </c>
      <c r="AA5933">
        <v>0.94696460000000005</v>
      </c>
      <c r="AB5933">
        <v>31</v>
      </c>
      <c r="AC5933">
        <v>16.3827</v>
      </c>
      <c r="AD5933">
        <v>-1.118489700684</v>
      </c>
      <c r="AE5933">
        <v>12.73987</v>
      </c>
      <c r="AF5933">
        <v>-6.6879430756124698</v>
      </c>
      <c r="AG5933">
        <v>-1.118489700684</v>
      </c>
      <c r="AH5933">
        <v>19.582578612378601</v>
      </c>
      <c r="AI5933">
        <v>93.093897081573004</v>
      </c>
      <c r="AJ5933">
        <v>108.856326463109</v>
      </c>
      <c r="AK5933">
        <v>20.723344008705698</v>
      </c>
      <c r="AL5933">
        <v>75.919165228400701</v>
      </c>
      <c r="AM5933">
        <v>98.385224780909994</v>
      </c>
      <c r="AN5933">
        <v>1.0000000841530601</v>
      </c>
    </row>
    <row r="5934" spans="1:40" x14ac:dyDescent="0.25">
      <c r="A5934" t="str">
        <f>"20190312172823226"</f>
        <v>20190312172823226</v>
      </c>
      <c r="B5934" t="str">
        <f>"1552382903215533"</f>
        <v>1552382903215533</v>
      </c>
      <c r="C5934" t="s">
        <v>40</v>
      </c>
      <c r="D5934">
        <v>3.3557779999999999</v>
      </c>
      <c r="E5934">
        <v>0.43863550000000001</v>
      </c>
      <c r="F5934" t="s">
        <v>52</v>
      </c>
      <c r="G5934">
        <v>-188.3905</v>
      </c>
      <c r="H5934" s="1">
        <v>-4.7511290000000003E-6</v>
      </c>
      <c r="I5934">
        <v>-47.410299999999999</v>
      </c>
      <c r="J5934">
        <v>-204.74090000000001</v>
      </c>
      <c r="K5934">
        <v>1.118541</v>
      </c>
      <c r="L5934">
        <v>-60.235289999999999</v>
      </c>
      <c r="M5934">
        <v>0.94357449999999998</v>
      </c>
      <c r="N5934">
        <v>0</v>
      </c>
      <c r="O5934">
        <v>0.330814</v>
      </c>
      <c r="P5934">
        <v>0.86378290000000002</v>
      </c>
      <c r="Q5934">
        <v>0.23171559999999999</v>
      </c>
      <c r="R5934">
        <v>0.44742290000000001</v>
      </c>
      <c r="S5934">
        <v>2.5078130000000001</v>
      </c>
      <c r="T5934">
        <v>-0.1700354</v>
      </c>
      <c r="U5934">
        <v>1.958099</v>
      </c>
      <c r="V5934">
        <v>-0.14142539999999901</v>
      </c>
      <c r="W5934">
        <v>0.24344789999999999</v>
      </c>
      <c r="X5934">
        <v>0.95954779999999995</v>
      </c>
      <c r="Y5934">
        <v>-0.31998929999999998</v>
      </c>
      <c r="Z5934">
        <v>-9.3872529999999999E-3</v>
      </c>
      <c r="AA5934">
        <v>0.94737459999999996</v>
      </c>
      <c r="AB5934">
        <v>31</v>
      </c>
      <c r="AC5934">
        <v>16.3504</v>
      </c>
      <c r="AD5934">
        <v>-1.118545751129</v>
      </c>
      <c r="AE5934">
        <v>12.82499</v>
      </c>
      <c r="AF5934">
        <v>-6.67382283242467</v>
      </c>
      <c r="AG5934">
        <v>-1.118545751129</v>
      </c>
      <c r="AH5934">
        <v>19.615926733489101</v>
      </c>
      <c r="AI5934">
        <v>93.090026527653293</v>
      </c>
      <c r="AJ5934">
        <v>108.789572850688</v>
      </c>
      <c r="AK5934">
        <v>20.750316561671301</v>
      </c>
      <c r="AL5934">
        <v>75.909872047543303</v>
      </c>
      <c r="AM5934">
        <v>98.384321227356097</v>
      </c>
      <c r="AN5934">
        <v>1.0000000021322</v>
      </c>
    </row>
    <row r="5935" spans="1:40" x14ac:dyDescent="0.25">
      <c r="A5935" t="str">
        <f>"20190312172823238"</f>
        <v>20190312172823238</v>
      </c>
      <c r="B5935" t="str">
        <f>"1552382903225293"</f>
        <v>1552382903225293</v>
      </c>
      <c r="C5935" t="s">
        <v>40</v>
      </c>
      <c r="D5935">
        <v>3.328983</v>
      </c>
      <c r="E5935">
        <v>0.43863550000000001</v>
      </c>
      <c r="F5935" t="s">
        <v>52</v>
      </c>
      <c r="G5935">
        <v>-188.22550000000001</v>
      </c>
      <c r="H5935" s="1">
        <v>-4.8203159999999998E-6</v>
      </c>
      <c r="I5935">
        <v>-47.214449999999999</v>
      </c>
      <c r="J5935">
        <v>-204.59880000000001</v>
      </c>
      <c r="K5935">
        <v>1.118587</v>
      </c>
      <c r="L5935">
        <v>-60.179960000000001</v>
      </c>
      <c r="M5935">
        <v>0.94181099999999995</v>
      </c>
      <c r="N5935">
        <v>0</v>
      </c>
      <c r="O5935">
        <v>0.33580140000000003</v>
      </c>
      <c r="P5935">
        <v>0.86147030000000002</v>
      </c>
      <c r="Q5935">
        <v>0.2315749</v>
      </c>
      <c r="R5935">
        <v>0.45193169999999999</v>
      </c>
      <c r="S5935">
        <v>2.4982449999999998</v>
      </c>
      <c r="T5935">
        <v>-0.16919989999999999</v>
      </c>
      <c r="U5935">
        <v>1.969635</v>
      </c>
      <c r="V5935">
        <v>-0.14137910000000001</v>
      </c>
      <c r="W5935">
        <v>0.24329890000000001</v>
      </c>
      <c r="X5935">
        <v>0.95959240000000001</v>
      </c>
      <c r="Y5935">
        <v>-0.31944479999999997</v>
      </c>
      <c r="Z5935">
        <v>-9.6376210000000007E-3</v>
      </c>
      <c r="AA5935">
        <v>0.94755590000000001</v>
      </c>
      <c r="AB5935">
        <v>31</v>
      </c>
      <c r="AC5935">
        <v>16.3733</v>
      </c>
      <c r="AD5935">
        <v>-1.1185918203159999</v>
      </c>
      <c r="AE5935">
        <v>12.965509999999901</v>
      </c>
      <c r="AF5935">
        <v>-6.6944495604441103</v>
      </c>
      <c r="AG5935">
        <v>-1.1185918203159999</v>
      </c>
      <c r="AH5935">
        <v>19.720090748163098</v>
      </c>
      <c r="AI5935">
        <v>93.074564510710601</v>
      </c>
      <c r="AJ5935">
        <v>108.750991997748</v>
      </c>
      <c r="AK5935">
        <v>20.855428111012198</v>
      </c>
      <c r="AL5935">
        <v>75.918673579723603</v>
      </c>
      <c r="AM5935">
        <v>98.381231330299201</v>
      </c>
      <c r="AN5935">
        <v>0.99999998939788903</v>
      </c>
    </row>
    <row r="5936" spans="1:40" x14ac:dyDescent="0.25">
      <c r="A5936" t="str">
        <f>"20190312172823249"</f>
        <v>20190312172823249</v>
      </c>
      <c r="B5936" t="str">
        <f>"1552382903245790"</f>
        <v>1552382903245790</v>
      </c>
      <c r="C5936" t="s">
        <v>40</v>
      </c>
      <c r="D5936">
        <v>3.2177470000000001</v>
      </c>
      <c r="E5936">
        <v>0.43951190000000001</v>
      </c>
      <c r="F5936" t="s">
        <v>52</v>
      </c>
      <c r="G5936">
        <v>-188.17500000000001</v>
      </c>
      <c r="H5936" s="1">
        <v>-4.8751869999999998E-6</v>
      </c>
      <c r="I5936">
        <v>-47.087539999999997</v>
      </c>
      <c r="J5936">
        <v>-204.4563</v>
      </c>
      <c r="K5936">
        <v>1.1186400000000001</v>
      </c>
      <c r="L5936">
        <v>-60.124079999999999</v>
      </c>
      <c r="M5936">
        <v>0.94000839999999997</v>
      </c>
      <c r="N5936">
        <v>0</v>
      </c>
      <c r="O5936">
        <v>0.34081440000000002</v>
      </c>
      <c r="P5936">
        <v>0.85918209999999995</v>
      </c>
      <c r="Q5936">
        <v>0.2317553</v>
      </c>
      <c r="R5936">
        <v>0.45617489999999999</v>
      </c>
      <c r="S5936">
        <v>2.4876559999999999</v>
      </c>
      <c r="T5936">
        <v>-0.1694292</v>
      </c>
      <c r="U5936">
        <v>1.983063</v>
      </c>
      <c r="V5936">
        <v>-0.14104920000000001</v>
      </c>
      <c r="W5936">
        <v>0.2434761</v>
      </c>
      <c r="X5936">
        <v>0.959596</v>
      </c>
      <c r="Y5936">
        <v>-0.3194958</v>
      </c>
      <c r="Z5936">
        <v>-9.9316449999999994E-3</v>
      </c>
      <c r="AA5936">
        <v>0.94753560000000003</v>
      </c>
      <c r="AB5936">
        <v>31</v>
      </c>
      <c r="AC5936">
        <v>16.281299999999899</v>
      </c>
      <c r="AD5936">
        <v>-1.118644875187</v>
      </c>
      <c r="AE5936">
        <v>13.03654</v>
      </c>
      <c r="AF5936">
        <v>-6.6870906959741498</v>
      </c>
      <c r="AG5936">
        <v>-1.118644875187</v>
      </c>
      <c r="AH5936">
        <v>19.693220852360199</v>
      </c>
      <c r="AI5936">
        <v>93.078813463036894</v>
      </c>
      <c r="AJ5936">
        <v>108.75559050365</v>
      </c>
      <c r="AK5936">
        <v>20.8276617956218</v>
      </c>
      <c r="AL5936">
        <v>75.9082059443719</v>
      </c>
      <c r="AM5936">
        <v>98.361920122423797</v>
      </c>
      <c r="AN5936">
        <v>0.99999998565392401</v>
      </c>
    </row>
    <row r="5937" spans="1:40" x14ac:dyDescent="0.25">
      <c r="A5937" t="str">
        <f>"20190312172823262"</f>
        <v>20190312172823262</v>
      </c>
      <c r="B5937" t="str">
        <f>"1552382903255548"</f>
        <v>1552382903255548</v>
      </c>
      <c r="C5937" t="s">
        <v>40</v>
      </c>
      <c r="D5937">
        <v>3.2315260000000001</v>
      </c>
      <c r="E5937">
        <v>0.43951190000000001</v>
      </c>
      <c r="F5937" t="s">
        <v>52</v>
      </c>
      <c r="G5937">
        <v>-188.435</v>
      </c>
      <c r="H5937" s="1">
        <v>-4.828017E-6</v>
      </c>
      <c r="I5937">
        <v>-47.273240000000001</v>
      </c>
      <c r="J5937">
        <v>-204.3022</v>
      </c>
      <c r="K5937">
        <v>1.1186969999999901</v>
      </c>
      <c r="L5937">
        <v>-60.062190000000001</v>
      </c>
      <c r="M5937">
        <v>0.93799960000000004</v>
      </c>
      <c r="N5937">
        <v>0</v>
      </c>
      <c r="O5937">
        <v>0.34630429999999901</v>
      </c>
      <c r="P5937">
        <v>0.85645859999999996</v>
      </c>
      <c r="Q5937">
        <v>0.2317804</v>
      </c>
      <c r="R5937">
        <v>0.46125539999999998</v>
      </c>
      <c r="S5937">
        <v>2.481598</v>
      </c>
      <c r="T5937">
        <v>-0.1732706</v>
      </c>
      <c r="U5937">
        <v>1.9905090000000001</v>
      </c>
      <c r="V5937">
        <v>-0.14115800000000001</v>
      </c>
      <c r="W5937">
        <v>0.24348900000000001</v>
      </c>
      <c r="X5937">
        <v>0.95957669999999995</v>
      </c>
      <c r="Y5937">
        <v>-0.31682460000000001</v>
      </c>
      <c r="Z5937">
        <v>-1.0547259999999999E-2</v>
      </c>
      <c r="AA5937">
        <v>0.94842550000000003</v>
      </c>
      <c r="AB5937">
        <v>30</v>
      </c>
      <c r="AC5937">
        <v>15.867199999999899</v>
      </c>
      <c r="AD5937">
        <v>-1.11870182801699</v>
      </c>
      <c r="AE5937">
        <v>12.78895</v>
      </c>
      <c r="AF5937">
        <v>-6.4823652047440499</v>
      </c>
      <c r="AG5937">
        <v>-1.11870182801699</v>
      </c>
      <c r="AH5937">
        <v>19.256492405865298</v>
      </c>
      <c r="AI5937">
        <v>93.151455712939097</v>
      </c>
      <c r="AJ5937">
        <v>108.60491635933499</v>
      </c>
      <c r="AK5937">
        <v>20.3490798859515</v>
      </c>
      <c r="AL5937">
        <v>75.907443506495298</v>
      </c>
      <c r="AM5937">
        <v>98.368444815638</v>
      </c>
      <c r="AN5937">
        <v>0.99999995863394397</v>
      </c>
    </row>
    <row r="5938" spans="1:40" x14ac:dyDescent="0.25">
      <c r="A5938" t="str">
        <f>"20190312172823275"</f>
        <v>20190312172823275</v>
      </c>
      <c r="B5938" t="str">
        <f>"1552382903265308"</f>
        <v>1552382903265308</v>
      </c>
      <c r="C5938" t="s">
        <v>40</v>
      </c>
      <c r="D5938">
        <v>3.3490730000000002</v>
      </c>
      <c r="E5938">
        <v>0.4395211</v>
      </c>
      <c r="F5938" t="s">
        <v>52</v>
      </c>
      <c r="G5938">
        <v>-188.33670000000001</v>
      </c>
      <c r="H5938" s="1">
        <v>-4.8987360000000004E-6</v>
      </c>
      <c r="I5938">
        <v>-47.097940000000001</v>
      </c>
      <c r="J5938">
        <v>-204.14150000000001</v>
      </c>
      <c r="K5938">
        <v>1.1187560000000001</v>
      </c>
      <c r="L5938">
        <v>-59.996639999999999</v>
      </c>
      <c r="M5938">
        <v>0.93585309999999999</v>
      </c>
      <c r="N5938">
        <v>0</v>
      </c>
      <c r="O5938">
        <v>0.35206369999999998</v>
      </c>
      <c r="P5938">
        <v>0.85367719999999903</v>
      </c>
      <c r="Q5938">
        <v>0.2317565</v>
      </c>
      <c r="R5938">
        <v>0.466395</v>
      </c>
      <c r="S5938">
        <v>2.4696199999999999</v>
      </c>
      <c r="T5938">
        <v>-0.17304600000000001</v>
      </c>
      <c r="U5938">
        <v>2.0053709999999998</v>
      </c>
      <c r="V5938">
        <v>-0.14105809999999999</v>
      </c>
      <c r="W5938">
        <v>0.2434576</v>
      </c>
      <c r="X5938">
        <v>0.95959939999999999</v>
      </c>
      <c r="Y5938">
        <v>-0.31669229999999998</v>
      </c>
      <c r="Z5938">
        <v>-1.0869210000000001E-2</v>
      </c>
      <c r="AA5938">
        <v>0.94846609999999998</v>
      </c>
      <c r="AB5938">
        <v>30</v>
      </c>
      <c r="AC5938">
        <v>15.8048</v>
      </c>
      <c r="AD5938">
        <v>-1.1187608987359901</v>
      </c>
      <c r="AE5938">
        <v>12.8986999999999</v>
      </c>
      <c r="AF5938">
        <v>-6.4882275124070903</v>
      </c>
      <c r="AG5938">
        <v>-1.1187608987359901</v>
      </c>
      <c r="AH5938">
        <v>19.276386182646601</v>
      </c>
      <c r="AI5938">
        <v>93.148416898807</v>
      </c>
      <c r="AJ5938">
        <v>108.60268815832001</v>
      </c>
      <c r="AK5938">
        <v>20.3697762988165</v>
      </c>
      <c r="AL5938">
        <v>75.909299000743502</v>
      </c>
      <c r="AM5938">
        <v>98.362411076206499</v>
      </c>
      <c r="AN5938">
        <v>0.99999999952686403</v>
      </c>
    </row>
    <row r="5939" spans="1:40" x14ac:dyDescent="0.25">
      <c r="A5939" t="str">
        <f>"20190312172823287"</f>
        <v>20190312172823287</v>
      </c>
      <c r="B5939" t="str">
        <f>"1552382903275068"</f>
        <v>1552382903275068</v>
      </c>
      <c r="C5939" t="s">
        <v>40</v>
      </c>
      <c r="D5939">
        <v>3.2605010000000001</v>
      </c>
      <c r="E5939">
        <v>0.43961359999999999</v>
      </c>
      <c r="F5939" t="s">
        <v>52</v>
      </c>
      <c r="G5939">
        <v>-188.2542</v>
      </c>
      <c r="H5939" s="1">
        <v>-4.9651479999999997E-6</v>
      </c>
      <c r="I5939">
        <v>-46.936790000000002</v>
      </c>
      <c r="J5939">
        <v>-203.9837</v>
      </c>
      <c r="K5939">
        <v>1.118811</v>
      </c>
      <c r="L5939">
        <v>-59.931399999999996</v>
      </c>
      <c r="M5939">
        <v>0.93369349999999995</v>
      </c>
      <c r="N5939">
        <v>0</v>
      </c>
      <c r="O5939">
        <v>0.35775079999999998</v>
      </c>
      <c r="P5939">
        <v>0.85092119999999905</v>
      </c>
      <c r="Q5939">
        <v>0.2316674</v>
      </c>
      <c r="R5939">
        <v>0.47144799999999998</v>
      </c>
      <c r="S5939">
        <v>2.4575040000000001</v>
      </c>
      <c r="T5939">
        <v>-0.1730537</v>
      </c>
      <c r="U5939">
        <v>2.0201419999999999</v>
      </c>
      <c r="V5939">
        <v>-0.14093020000000001</v>
      </c>
      <c r="W5939">
        <v>0.2433632</v>
      </c>
      <c r="X5939">
        <v>0.95964210000000005</v>
      </c>
      <c r="Y5939">
        <v>-0.31662449999999998</v>
      </c>
      <c r="Z5939">
        <v>-1.1199870000000001E-2</v>
      </c>
      <c r="AA5939">
        <v>0.94848480000000002</v>
      </c>
      <c r="AB5939">
        <v>30</v>
      </c>
      <c r="AC5939">
        <v>15.7295</v>
      </c>
      <c r="AD5939">
        <v>-1.1188159651480001</v>
      </c>
      <c r="AE5939">
        <v>12.9946099999999</v>
      </c>
      <c r="AF5939">
        <v>-6.48698618829353</v>
      </c>
      <c r="AG5939">
        <v>-1.1188159651480001</v>
      </c>
      <c r="AH5939">
        <v>19.279621835728999</v>
      </c>
      <c r="AI5939">
        <v>93.148158999347501</v>
      </c>
      <c r="AJ5939">
        <v>108.59646711540999</v>
      </c>
      <c r="AK5939">
        <v>20.372446026427401</v>
      </c>
      <c r="AL5939">
        <v>75.914874935534101</v>
      </c>
      <c r="AM5939">
        <v>98.354569288576101</v>
      </c>
      <c r="AN5939">
        <v>0.99999996423934401</v>
      </c>
    </row>
    <row r="5940" spans="1:40" x14ac:dyDescent="0.25">
      <c r="A5940" t="str">
        <f>"20190312172823299"</f>
        <v>20190312172823299</v>
      </c>
      <c r="B5940" t="str">
        <f>"1552382903295095"</f>
        <v>1552382903295095</v>
      </c>
      <c r="C5940" t="s">
        <v>40</v>
      </c>
      <c r="D5940">
        <v>3.2419760000000002</v>
      </c>
      <c r="E5940">
        <v>0.43982909999999997</v>
      </c>
      <c r="F5940" t="s">
        <v>52</v>
      </c>
      <c r="G5940">
        <v>-188.14009999999999</v>
      </c>
      <c r="H5940" s="1">
        <v>-5.0363530000000004E-6</v>
      </c>
      <c r="I5940">
        <v>-46.754939999999998</v>
      </c>
      <c r="J5940">
        <v>-203.83500000000001</v>
      </c>
      <c r="K5940">
        <v>1.1188610000000001</v>
      </c>
      <c r="L5940">
        <v>-59.868229999999997</v>
      </c>
      <c r="M5940">
        <v>0.93159449999999999</v>
      </c>
      <c r="N5940">
        <v>0</v>
      </c>
      <c r="O5940">
        <v>0.36318139999999999</v>
      </c>
      <c r="P5940">
        <v>0.84814149999999999</v>
      </c>
      <c r="Q5940">
        <v>0.23177529999999999</v>
      </c>
      <c r="R5940">
        <v>0.47637819999999997</v>
      </c>
      <c r="S5940">
        <v>2.4457089999999999</v>
      </c>
      <c r="T5940">
        <v>-0.17270720000000001</v>
      </c>
      <c r="U5940">
        <v>2.0339969999999998</v>
      </c>
      <c r="V5940">
        <v>-0.14095450000000001</v>
      </c>
      <c r="W5940">
        <v>0.24346209999999999</v>
      </c>
      <c r="X5940">
        <v>0.95961339999999995</v>
      </c>
      <c r="Y5940">
        <v>-0.3165327</v>
      </c>
      <c r="Z5940">
        <v>-1.1494010000000001E-2</v>
      </c>
      <c r="AA5940">
        <v>0.94851200000000002</v>
      </c>
      <c r="AB5940">
        <v>30</v>
      </c>
      <c r="AC5940">
        <v>15.694900000000001</v>
      </c>
      <c r="AD5940">
        <v>-1.1188660363529901</v>
      </c>
      <c r="AE5940">
        <v>13.113289999999999</v>
      </c>
      <c r="AF5940">
        <v>-6.4974799147015903</v>
      </c>
      <c r="AG5940">
        <v>-1.1188660363529901</v>
      </c>
      <c r="AH5940">
        <v>19.328178602149901</v>
      </c>
      <c r="AI5940">
        <v>93.140692550692606</v>
      </c>
      <c r="AJ5940">
        <v>108.580903469487</v>
      </c>
      <c r="AK5940">
        <v>20.421743180391299</v>
      </c>
      <c r="AL5940">
        <v>75.909032046592799</v>
      </c>
      <c r="AM5940">
        <v>98.356235875260396</v>
      </c>
      <c r="AN5940">
        <v>0.999999921333106</v>
      </c>
    </row>
    <row r="5941" spans="1:40" x14ac:dyDescent="0.25">
      <c r="A5941" t="str">
        <f>"20190312172823316"</f>
        <v>20190312172823316</v>
      </c>
      <c r="B5941" t="str">
        <f>"1552382903305831"</f>
        <v>1552382903305831</v>
      </c>
      <c r="C5941" t="s">
        <v>40</v>
      </c>
      <c r="D5941">
        <v>3.3351039999999998</v>
      </c>
      <c r="E5941">
        <v>0.44005369999999999</v>
      </c>
      <c r="F5941" t="s">
        <v>52</v>
      </c>
      <c r="G5941">
        <v>-188.0361</v>
      </c>
      <c r="H5941" s="1">
        <v>-5.1022820000000002E-6</v>
      </c>
      <c r="I5941">
        <v>-46.587119999999999</v>
      </c>
      <c r="J5941">
        <v>-203.63149999999999</v>
      </c>
      <c r="K5941">
        <v>1.118935</v>
      </c>
      <c r="L5941">
        <v>-59.780520000000003</v>
      </c>
      <c r="M5941">
        <v>0.92864690000000005</v>
      </c>
      <c r="N5941">
        <v>0</v>
      </c>
      <c r="O5941">
        <v>0.37065310000000001</v>
      </c>
      <c r="P5941">
        <v>0.84436959999999905</v>
      </c>
      <c r="Q5941">
        <v>0.23126769999999999</v>
      </c>
      <c r="R5941">
        <v>0.48327559999999897</v>
      </c>
      <c r="S5941">
        <v>2.4346920000000001</v>
      </c>
      <c r="T5941">
        <v>-0.17242360000000001</v>
      </c>
      <c r="U5941">
        <v>2.0466920000000002</v>
      </c>
      <c r="V5941">
        <v>-0.14104610000000001</v>
      </c>
      <c r="W5941">
        <v>0.2429441</v>
      </c>
      <c r="X5941">
        <v>0.95973129999999995</v>
      </c>
      <c r="Y5941">
        <v>-0.31393579999999999</v>
      </c>
      <c r="Z5941">
        <v>-1.197753E-2</v>
      </c>
      <c r="AA5941">
        <v>0.94936869999999995</v>
      </c>
      <c r="AB5941">
        <v>30</v>
      </c>
      <c r="AC5941">
        <v>15.5953999999999</v>
      </c>
      <c r="AD5941">
        <v>-1.118940102282</v>
      </c>
      <c r="AE5941">
        <v>13.193399999999899</v>
      </c>
      <c r="AF5941">
        <v>-6.4529134157587</v>
      </c>
      <c r="AG5941">
        <v>-1.118940102282</v>
      </c>
      <c r="AH5941">
        <v>19.317074939271599</v>
      </c>
      <c r="AI5941">
        <v>93.144699924279095</v>
      </c>
      <c r="AJ5941">
        <v>108.472015477848</v>
      </c>
      <c r="AK5941">
        <v>20.3970954479604</v>
      </c>
      <c r="AL5941">
        <v>75.9396311272628</v>
      </c>
      <c r="AM5941">
        <v>98.360576792103302</v>
      </c>
      <c r="AN5941">
        <v>1.0000000031248499</v>
      </c>
    </row>
    <row r="5942" spans="1:40" x14ac:dyDescent="0.25">
      <c r="A5942" t="str">
        <f>"20190312172823326"</f>
        <v>20190312172823326</v>
      </c>
      <c r="B5942" t="str">
        <f>"1552382903315591"</f>
        <v>1552382903315591</v>
      </c>
      <c r="C5942" t="s">
        <v>40</v>
      </c>
      <c r="D5942">
        <v>3.2750219999999999</v>
      </c>
      <c r="E5942">
        <v>0.44005369999999999</v>
      </c>
      <c r="F5942" t="s">
        <v>52</v>
      </c>
      <c r="G5942">
        <v>-188.1686</v>
      </c>
      <c r="H5942" s="1">
        <v>-5.1262710000000002E-6</v>
      </c>
      <c r="I5942">
        <v>-46.586329999999997</v>
      </c>
      <c r="J5942">
        <v>-203.4967</v>
      </c>
      <c r="K5942">
        <v>1.118981</v>
      </c>
      <c r="L5942">
        <v>-59.721620000000001</v>
      </c>
      <c r="M5942">
        <v>0.92664500000000005</v>
      </c>
      <c r="N5942">
        <v>0</v>
      </c>
      <c r="O5942">
        <v>0.37562960000000001</v>
      </c>
      <c r="P5942">
        <v>0.84183229999999998</v>
      </c>
      <c r="Q5942">
        <v>0.23126640000000001</v>
      </c>
      <c r="R5942">
        <v>0.48768230000000001</v>
      </c>
      <c r="S5942">
        <v>2.4193570000000002</v>
      </c>
      <c r="T5942">
        <v>-0.17507200000000001</v>
      </c>
      <c r="U5942">
        <v>2.0643919999999998</v>
      </c>
      <c r="V5942">
        <v>-0.14093929999999999</v>
      </c>
      <c r="W5942">
        <v>0.2429386</v>
      </c>
      <c r="X5942">
        <v>0.95974839999999995</v>
      </c>
      <c r="Y5942">
        <v>-0.31583739999999999</v>
      </c>
      <c r="Z5942">
        <v>-1.2401239999999999E-2</v>
      </c>
      <c r="AA5942">
        <v>0.94873229999999997</v>
      </c>
      <c r="AB5942">
        <v>30</v>
      </c>
      <c r="AC5942">
        <v>15.328099999999999</v>
      </c>
      <c r="AD5942">
        <v>-1.1189861262709999</v>
      </c>
      <c r="AE5942">
        <v>13.1352899999999</v>
      </c>
      <c r="AF5942">
        <v>-6.3951540039684396</v>
      </c>
      <c r="AG5942">
        <v>-1.1189861262709999</v>
      </c>
      <c r="AH5942">
        <v>19.081292774146601</v>
      </c>
      <c r="AI5942">
        <v>93.182557145234</v>
      </c>
      <c r="AJ5942">
        <v>108.52873485532901</v>
      </c>
      <c r="AK5942">
        <v>20.155541635440098</v>
      </c>
      <c r="AL5942">
        <v>75.939956235525898</v>
      </c>
      <c r="AM5942">
        <v>98.354188801360294</v>
      </c>
      <c r="AN5942">
        <v>1.0000000204785</v>
      </c>
    </row>
    <row r="5943" spans="1:40" x14ac:dyDescent="0.25">
      <c r="A5943" t="str">
        <f>"20190312172823338"</f>
        <v>20190312172823338</v>
      </c>
      <c r="B5943" t="str">
        <f>"1552382903325351"</f>
        <v>1552382903325351</v>
      </c>
      <c r="C5943" t="s">
        <v>40</v>
      </c>
      <c r="D5943">
        <v>3.1395430000000002</v>
      </c>
      <c r="E5943">
        <v>0.44797550000000003</v>
      </c>
      <c r="F5943" t="s">
        <v>52</v>
      </c>
      <c r="G5943">
        <v>-188.10749999999999</v>
      </c>
      <c r="H5943" s="1">
        <v>-5.1834469999999996E-6</v>
      </c>
      <c r="I5943">
        <v>-46.451099999999997</v>
      </c>
      <c r="J5943">
        <v>-203.36850000000001</v>
      </c>
      <c r="K5943">
        <v>1.119019</v>
      </c>
      <c r="L5943">
        <v>-59.664149999999999</v>
      </c>
      <c r="M5943">
        <v>0.92468859999999997</v>
      </c>
      <c r="N5943">
        <v>0</v>
      </c>
      <c r="O5943">
        <v>0.38041979999999997</v>
      </c>
      <c r="P5943">
        <v>0.83928819999999904</v>
      </c>
      <c r="Q5943">
        <v>0.2311357</v>
      </c>
      <c r="R5943">
        <v>0.49210939999999997</v>
      </c>
      <c r="S5943">
        <v>2.4085540000000001</v>
      </c>
      <c r="T5943">
        <v>-0.17513229999999999</v>
      </c>
      <c r="U5943">
        <v>2.076965</v>
      </c>
      <c r="V5943">
        <v>-0.14103579999999999</v>
      </c>
      <c r="W5943">
        <v>0.2428003</v>
      </c>
      <c r="X5943">
        <v>0.95976919999999999</v>
      </c>
      <c r="Y5943">
        <v>-0.31587859999999901</v>
      </c>
      <c r="Z5943">
        <v>-1.2685409999999999E-2</v>
      </c>
      <c r="AA5943">
        <v>0.94871479999999997</v>
      </c>
      <c r="AB5943">
        <v>30</v>
      </c>
      <c r="AC5943">
        <v>15.260999999999999</v>
      </c>
      <c r="AD5943">
        <v>-1.1190241834469901</v>
      </c>
      <c r="AE5943">
        <v>13.213050000000001</v>
      </c>
      <c r="AF5943">
        <v>-6.3934659197431696</v>
      </c>
      <c r="AG5943">
        <v>-1.1190241834469901</v>
      </c>
      <c r="AH5943">
        <v>19.0817575665391</v>
      </c>
      <c r="AI5943">
        <v>93.182680260974294</v>
      </c>
      <c r="AJ5943">
        <v>108.52375734314199</v>
      </c>
      <c r="AK5943">
        <v>20.155448231637699</v>
      </c>
      <c r="AL5943">
        <v>75.9481245224259</v>
      </c>
      <c r="AM5943">
        <v>98.3596494244333</v>
      </c>
      <c r="AN5943">
        <v>0.99999999991518496</v>
      </c>
    </row>
    <row r="5944" spans="1:40" x14ac:dyDescent="0.25">
      <c r="A5944" t="str">
        <f>"20190312172823349"</f>
        <v>20190312172823349</v>
      </c>
      <c r="B5944" t="str">
        <f>"1552382903345847"</f>
        <v>1552382903345847</v>
      </c>
      <c r="C5944" t="s">
        <v>40</v>
      </c>
      <c r="D5944">
        <v>3.375874</v>
      </c>
      <c r="E5944">
        <v>0.45085979999999998</v>
      </c>
      <c r="F5944" t="s">
        <v>52</v>
      </c>
      <c r="G5944">
        <v>-187.6978</v>
      </c>
      <c r="H5944" s="1">
        <v>-5.0626259999999999E-6</v>
      </c>
      <c r="I5944">
        <v>-46.546239999999997</v>
      </c>
      <c r="J5944">
        <v>-203.22819999999999</v>
      </c>
      <c r="K5944">
        <v>1.1190639999999901</v>
      </c>
      <c r="L5944">
        <v>-59.600920000000002</v>
      </c>
      <c r="M5944">
        <v>0.92251360000000004</v>
      </c>
      <c r="N5944">
        <v>0</v>
      </c>
      <c r="O5944">
        <v>0.38566400000000001</v>
      </c>
      <c r="P5944">
        <v>0.8364665</v>
      </c>
      <c r="Q5944">
        <v>0.23126389999999999</v>
      </c>
      <c r="R5944">
        <v>0.49683090000000002</v>
      </c>
      <c r="S5944">
        <v>2.4296720000000001</v>
      </c>
      <c r="T5944">
        <v>-0.17349979999999901</v>
      </c>
      <c r="U5944">
        <v>2.0338750000000001</v>
      </c>
      <c r="V5944">
        <v>-0.14103689999999999</v>
      </c>
      <c r="W5944">
        <v>0.242922</v>
      </c>
      <c r="X5944">
        <v>0.95973830000000004</v>
      </c>
      <c r="Y5944">
        <v>-0.29655759999999998</v>
      </c>
      <c r="Z5944">
        <v>-1.344511E-2</v>
      </c>
      <c r="AA5944">
        <v>0.95492030000000006</v>
      </c>
      <c r="AB5944">
        <v>30</v>
      </c>
      <c r="AC5944">
        <v>15.530399999999901</v>
      </c>
      <c r="AD5944">
        <v>-1.11906906262599</v>
      </c>
      <c r="AE5944">
        <v>13.0546799999999</v>
      </c>
      <c r="AF5944">
        <v>-6.0359419258581797</v>
      </c>
      <c r="AG5944">
        <v>-1.11906906262599</v>
      </c>
      <c r="AH5944">
        <v>19.3052363886367</v>
      </c>
      <c r="AI5944">
        <v>93.166715983106002</v>
      </c>
      <c r="AJ5944">
        <v>107.36228599732</v>
      </c>
      <c r="AK5944">
        <v>20.257765486854701</v>
      </c>
      <c r="AL5944">
        <v>75.940937210398999</v>
      </c>
      <c r="AM5944">
        <v>98.359979051487798</v>
      </c>
      <c r="AN5944">
        <v>1.00000005486624</v>
      </c>
    </row>
    <row r="5945" spans="1:40" x14ac:dyDescent="0.25">
      <c r="A5945" t="str">
        <f>"20190312172823360"</f>
        <v>20190312172823360</v>
      </c>
      <c r="B5945" t="str">
        <f>"1552382903355607"</f>
        <v>1552382903355607</v>
      </c>
      <c r="C5945" t="s">
        <v>40</v>
      </c>
      <c r="D5945">
        <v>3.4895510000000001</v>
      </c>
      <c r="E5945">
        <v>0.4510884</v>
      </c>
      <c r="F5945" t="s">
        <v>52</v>
      </c>
      <c r="G5945">
        <v>-188.76740000000001</v>
      </c>
      <c r="H5945" s="1">
        <v>-4.7594550000000002E-6</v>
      </c>
      <c r="I5945">
        <v>-47.527079999999998</v>
      </c>
      <c r="J5945">
        <v>-203.09350000000001</v>
      </c>
      <c r="K5945">
        <v>1.1191059999999999</v>
      </c>
      <c r="L5945">
        <v>-59.538789999999999</v>
      </c>
      <c r="M5945">
        <v>0.9203692</v>
      </c>
      <c r="N5945">
        <v>0</v>
      </c>
      <c r="O5945">
        <v>0.39075349999999998</v>
      </c>
      <c r="P5945">
        <v>0.83367479999999905</v>
      </c>
      <c r="Q5945">
        <v>0.2312988</v>
      </c>
      <c r="R5945">
        <v>0.50148499999999996</v>
      </c>
      <c r="S5945">
        <v>2.432312</v>
      </c>
      <c r="T5945">
        <v>-0.1882277</v>
      </c>
      <c r="U5945">
        <v>2.0308229999999998</v>
      </c>
      <c r="V5945">
        <v>-0.14111370000000001</v>
      </c>
      <c r="W5945">
        <v>0.24294969999999999</v>
      </c>
      <c r="X5945">
        <v>0.95972000000000002</v>
      </c>
      <c r="Y5945">
        <v>-0.2900953</v>
      </c>
      <c r="Z5945">
        <v>-1.509396E-2</v>
      </c>
      <c r="AA5945">
        <v>0.95687869999999997</v>
      </c>
      <c r="AB5945">
        <v>30</v>
      </c>
      <c r="AC5945">
        <v>14.326099999999901</v>
      </c>
      <c r="AD5945">
        <v>-1.1191107594549901</v>
      </c>
      <c r="AE5945">
        <v>12.011710000000001</v>
      </c>
      <c r="AF5945">
        <v>-5.4383809679614004</v>
      </c>
      <c r="AG5945">
        <v>-1.1191107594549901</v>
      </c>
      <c r="AH5945">
        <v>17.8171521859379</v>
      </c>
      <c r="AI5945">
        <v>93.437894119942797</v>
      </c>
      <c r="AJ5945">
        <v>106.97391339827701</v>
      </c>
      <c r="AK5945">
        <v>18.66224285721</v>
      </c>
      <c r="AL5945">
        <v>75.939301115869796</v>
      </c>
      <c r="AM5945">
        <v>98.364624229980805</v>
      </c>
      <c r="AN5945">
        <v>1.00000005572888</v>
      </c>
    </row>
    <row r="5946" spans="1:40" x14ac:dyDescent="0.25">
      <c r="A5946" t="str">
        <f>"20190312172823372"</f>
        <v>20190312172823372</v>
      </c>
      <c r="B5946" t="str">
        <f>"1552382903365367"</f>
        <v>1552382903365367</v>
      </c>
      <c r="C5946" t="s">
        <v>40</v>
      </c>
      <c r="D5946">
        <v>3.3044099999999998</v>
      </c>
      <c r="E5946">
        <v>0.45170729999999998</v>
      </c>
      <c r="F5946" t="s">
        <v>52</v>
      </c>
      <c r="G5946">
        <v>-188.9007</v>
      </c>
      <c r="H5946" s="1">
        <v>-4.7635659999999999E-6</v>
      </c>
      <c r="I5946">
        <v>-47.566090000000003</v>
      </c>
      <c r="J5946">
        <v>-202.95419999999999</v>
      </c>
      <c r="K5946">
        <v>1.119151</v>
      </c>
      <c r="L5946">
        <v>-59.473849999999999</v>
      </c>
      <c r="M5946">
        <v>0.91811010000000004</v>
      </c>
      <c r="N5946">
        <v>0</v>
      </c>
      <c r="O5946">
        <v>0.39603169999999999</v>
      </c>
      <c r="P5946">
        <v>0.8308508</v>
      </c>
      <c r="Q5946">
        <v>0.23113410000000001</v>
      </c>
      <c r="R5946">
        <v>0.50622520000000004</v>
      </c>
      <c r="S5946">
        <v>2.4223330000000001</v>
      </c>
      <c r="T5946">
        <v>-0.1910028</v>
      </c>
      <c r="U5946">
        <v>2.0434269999999999</v>
      </c>
      <c r="V5946">
        <v>-0.1410708</v>
      </c>
      <c r="W5946">
        <v>0.24278179999999999</v>
      </c>
      <c r="X5946">
        <v>0.95976870000000003</v>
      </c>
      <c r="Y5946">
        <v>-0.28946539999999998</v>
      </c>
      <c r="Z5946">
        <v>-1.567033E-2</v>
      </c>
      <c r="AA5946">
        <v>0.95706020000000003</v>
      </c>
      <c r="AB5946">
        <v>30</v>
      </c>
      <c r="AC5946">
        <v>14.0534999999999</v>
      </c>
      <c r="AD5946">
        <v>-1.1191557635660001</v>
      </c>
      <c r="AE5946">
        <v>11.9077599999999</v>
      </c>
      <c r="AF5946">
        <v>-5.3478861673890998</v>
      </c>
      <c r="AG5946">
        <v>-1.1191557635660001</v>
      </c>
      <c r="AH5946">
        <v>17.555754262334101</v>
      </c>
      <c r="AI5946">
        <v>93.489689663547793</v>
      </c>
      <c r="AJ5946">
        <v>106.941940587085</v>
      </c>
      <c r="AK5946">
        <v>18.3863238251135</v>
      </c>
      <c r="AL5946">
        <v>75.949216691526004</v>
      </c>
      <c r="AM5946">
        <v>98.361698954925998</v>
      </c>
      <c r="AN5946">
        <v>0.99999996526178403</v>
      </c>
    </row>
    <row r="5947" spans="1:40" x14ac:dyDescent="0.25">
      <c r="A5947" t="str">
        <f>"20190312172823382"</f>
        <v>20190312172823382</v>
      </c>
      <c r="B5947" t="str">
        <f>"1552382903375127"</f>
        <v>1552382903375127</v>
      </c>
      <c r="C5947" t="s">
        <v>40</v>
      </c>
      <c r="D5947">
        <v>3.525185</v>
      </c>
      <c r="E5947">
        <v>0.452735</v>
      </c>
      <c r="F5947" t="s">
        <v>52</v>
      </c>
      <c r="G5947">
        <v>-188.9264</v>
      </c>
      <c r="H5947" s="1">
        <v>-4.7786679999999996E-6</v>
      </c>
      <c r="I5947">
        <v>-47.54515</v>
      </c>
      <c r="J5947">
        <v>-202.82140000000001</v>
      </c>
      <c r="K5947">
        <v>1.1191869999999999</v>
      </c>
      <c r="L5947">
        <v>-59.410919999999997</v>
      </c>
      <c r="M5947">
        <v>0.91590919999999998</v>
      </c>
      <c r="N5947">
        <v>0</v>
      </c>
      <c r="O5947">
        <v>0.40109529999999999</v>
      </c>
      <c r="P5947">
        <v>0.82796209999999903</v>
      </c>
      <c r="Q5947">
        <v>0.23122509999999999</v>
      </c>
      <c r="R5947">
        <v>0.51089510000000005</v>
      </c>
      <c r="S5947">
        <v>2.4137420000000001</v>
      </c>
      <c r="T5947">
        <v>-0.1925714</v>
      </c>
      <c r="U5947">
        <v>2.0525509999999998</v>
      </c>
      <c r="V5947">
        <v>-0.14120920000000001</v>
      </c>
      <c r="W5947">
        <v>0.2428651</v>
      </c>
      <c r="X5947">
        <v>0.95972729999999995</v>
      </c>
      <c r="Y5947">
        <v>-0.28797209999999901</v>
      </c>
      <c r="Z5947">
        <v>-1.6173489999999999E-2</v>
      </c>
      <c r="AA5947">
        <v>0.95750219999999997</v>
      </c>
      <c r="AB5947">
        <v>30</v>
      </c>
      <c r="AC5947">
        <v>13.895</v>
      </c>
      <c r="AD5947">
        <v>-1.1191917786679999</v>
      </c>
      <c r="AE5947">
        <v>11.8657699999999</v>
      </c>
      <c r="AF5947">
        <v>-5.2755727160943904</v>
      </c>
      <c r="AG5947">
        <v>-1.1191917786679999</v>
      </c>
      <c r="AH5947">
        <v>17.422534338824399</v>
      </c>
      <c r="AI5947">
        <v>93.518196271453604</v>
      </c>
      <c r="AJ5947">
        <v>106.846400711196</v>
      </c>
      <c r="AK5947">
        <v>18.2381183379139</v>
      </c>
      <c r="AL5947">
        <v>75.944297093095699</v>
      </c>
      <c r="AM5947">
        <v>98.370142130858397</v>
      </c>
      <c r="AN5947">
        <v>0.999999992663969</v>
      </c>
    </row>
    <row r="5948" spans="1:40" x14ac:dyDescent="0.25">
      <c r="A5948" t="str">
        <f>"20190312172823396"</f>
        <v>20190312172823396</v>
      </c>
      <c r="B5948" t="str">
        <f>"1552382903385864"</f>
        <v>1552382903385864</v>
      </c>
      <c r="C5948" t="s">
        <v>40</v>
      </c>
      <c r="D5948">
        <v>3.3152409999999999</v>
      </c>
      <c r="E5948">
        <v>0.45320460000000001</v>
      </c>
      <c r="F5948" t="s">
        <v>52</v>
      </c>
      <c r="G5948">
        <v>-188.8202</v>
      </c>
      <c r="H5948" s="1">
        <v>-4.8174419999999997E-6</v>
      </c>
      <c r="I5948">
        <v>-47.430520000000001</v>
      </c>
      <c r="J5948">
        <v>-202.66489999999999</v>
      </c>
      <c r="K5948">
        <v>1.119227</v>
      </c>
      <c r="L5948">
        <v>-59.335479999999997</v>
      </c>
      <c r="M5948">
        <v>0.91325599999999996</v>
      </c>
      <c r="N5948">
        <v>0</v>
      </c>
      <c r="O5948">
        <v>0.40709990000000001</v>
      </c>
      <c r="P5948">
        <v>0.82453069999999895</v>
      </c>
      <c r="Q5948">
        <v>0.23101279999999999</v>
      </c>
      <c r="R5948">
        <v>0.51650980000000002</v>
      </c>
      <c r="S5948">
        <v>2.406479</v>
      </c>
      <c r="T5948">
        <v>-0.19236230000000001</v>
      </c>
      <c r="U5948">
        <v>2.0591430000000002</v>
      </c>
      <c r="V5948">
        <v>-0.14142589999999999</v>
      </c>
      <c r="W5948">
        <v>0.24264440000000001</v>
      </c>
      <c r="X5948">
        <v>0.95975120000000003</v>
      </c>
      <c r="Y5948">
        <v>-0.2846379</v>
      </c>
      <c r="Z5948">
        <v>-1.6648719999999999E-2</v>
      </c>
      <c r="AA5948">
        <v>0.95849059999999997</v>
      </c>
      <c r="AB5948">
        <v>30</v>
      </c>
      <c r="AC5948">
        <v>13.8446999999999</v>
      </c>
      <c r="AD5948">
        <v>-1.119231817442</v>
      </c>
      <c r="AE5948">
        <v>11.904960000000001</v>
      </c>
      <c r="AF5948">
        <v>-5.2171087113171497</v>
      </c>
      <c r="AG5948">
        <v>-1.119231817442</v>
      </c>
      <c r="AH5948">
        <v>17.4268257905863</v>
      </c>
      <c r="AI5948">
        <v>93.520780835808793</v>
      </c>
      <c r="AJ5948">
        <v>106.66624290095299</v>
      </c>
      <c r="AK5948">
        <v>18.225398769363601</v>
      </c>
      <c r="AL5948">
        <v>75.957331970781297</v>
      </c>
      <c r="AM5948">
        <v>98.382598803831598</v>
      </c>
      <c r="AN5948">
        <v>0.99999997797180395</v>
      </c>
    </row>
    <row r="5949" spans="1:40" x14ac:dyDescent="0.25">
      <c r="A5949" t="str">
        <f>"20190312172823406"</f>
        <v>20190312172823406</v>
      </c>
      <c r="B5949" t="str">
        <f>"1552382903395041"</f>
        <v>1552382903395041</v>
      </c>
      <c r="C5949" t="s">
        <v>40</v>
      </c>
      <c r="D5949">
        <v>3.2967770000000001</v>
      </c>
      <c r="E5949">
        <v>0.4537447</v>
      </c>
      <c r="F5949" t="s">
        <v>52</v>
      </c>
      <c r="G5949">
        <v>-188.83320000000001</v>
      </c>
      <c r="H5949" s="1">
        <v>-4.8521240000000003E-6</v>
      </c>
      <c r="I5949">
        <v>-47.366199999999999</v>
      </c>
      <c r="J5949">
        <v>-202.53970000000001</v>
      </c>
      <c r="K5949">
        <v>1.1192599999999999</v>
      </c>
      <c r="L5949">
        <v>-59.274540000000002</v>
      </c>
      <c r="M5949">
        <v>0.91109530000000005</v>
      </c>
      <c r="N5949">
        <v>0</v>
      </c>
      <c r="O5949">
        <v>0.41191260000000002</v>
      </c>
      <c r="P5949">
        <v>0.8217409</v>
      </c>
      <c r="Q5949">
        <v>0.23080800000000001</v>
      </c>
      <c r="R5949">
        <v>0.52102740000000003</v>
      </c>
      <c r="S5949">
        <v>2.394638</v>
      </c>
      <c r="T5949">
        <v>-0.19376930000000001</v>
      </c>
      <c r="U5949">
        <v>2.0722049999999999</v>
      </c>
      <c r="V5949">
        <v>-0.14162040000000001</v>
      </c>
      <c r="W5949">
        <v>0.24243210000000001</v>
      </c>
      <c r="X5949">
        <v>0.95977619999999997</v>
      </c>
      <c r="Y5949">
        <v>-0.2849235</v>
      </c>
      <c r="Z5949">
        <v>-1.7077490000000001E-2</v>
      </c>
      <c r="AA5949">
        <v>0.95839819999999998</v>
      </c>
      <c r="AB5949">
        <v>30</v>
      </c>
      <c r="AC5949">
        <v>13.7065</v>
      </c>
      <c r="AD5949">
        <v>-1.1192648521240001</v>
      </c>
      <c r="AE5949">
        <v>11.908340000000001</v>
      </c>
      <c r="AF5949">
        <v>-5.1846584199924601</v>
      </c>
      <c r="AG5949">
        <v>-1.1192648521240001</v>
      </c>
      <c r="AH5949">
        <v>17.329302421977498</v>
      </c>
      <c r="AI5949">
        <v>93.540830741688097</v>
      </c>
      <c r="AJ5949">
        <v>106.656367123206</v>
      </c>
      <c r="AK5949">
        <v>18.1228628856909</v>
      </c>
      <c r="AL5949">
        <v>75.969870656523995</v>
      </c>
      <c r="AM5949">
        <v>98.393747544296701</v>
      </c>
      <c r="AN5949">
        <v>1.0000000074465001</v>
      </c>
    </row>
    <row r="5950" spans="1:40" x14ac:dyDescent="0.25">
      <c r="A5950" t="str">
        <f>"20190312172823417"</f>
        <v>20190312172823417</v>
      </c>
      <c r="B5950" t="str">
        <f>"1552382903405778"</f>
        <v>1552382903405778</v>
      </c>
      <c r="C5950" t="s">
        <v>40</v>
      </c>
      <c r="D5950">
        <v>3.2906040000000001</v>
      </c>
      <c r="E5950">
        <v>0.4541193</v>
      </c>
      <c r="F5950" t="s">
        <v>52</v>
      </c>
      <c r="G5950">
        <v>-188.81559999999999</v>
      </c>
      <c r="H5950" s="1">
        <v>-4.88061699999999E-6</v>
      </c>
      <c r="I5950">
        <v>-47.303370000000001</v>
      </c>
      <c r="J5950">
        <v>-202.41210000000001</v>
      </c>
      <c r="K5950">
        <v>1.1192879999999901</v>
      </c>
      <c r="L5950">
        <v>-59.210970000000003</v>
      </c>
      <c r="M5950">
        <v>0.90884160000000003</v>
      </c>
      <c r="N5950">
        <v>0</v>
      </c>
      <c r="O5950">
        <v>0.4168615</v>
      </c>
      <c r="P5950">
        <v>0.81881059999999894</v>
      </c>
      <c r="Q5950">
        <v>0.23077259999999999</v>
      </c>
      <c r="R5950">
        <v>0.52563629999999995</v>
      </c>
      <c r="S5950">
        <v>2.3858799999999998</v>
      </c>
      <c r="T5950">
        <v>-0.19458030000000001</v>
      </c>
      <c r="U5950">
        <v>2.0811459999999999</v>
      </c>
      <c r="V5950">
        <v>-0.14180589999999901</v>
      </c>
      <c r="W5950">
        <v>0.24238950000000001</v>
      </c>
      <c r="X5950">
        <v>0.95975960000000005</v>
      </c>
      <c r="Y5950">
        <v>-0.28350340000000002</v>
      </c>
      <c r="Z5950">
        <v>-1.751894E-2</v>
      </c>
      <c r="AA5950">
        <v>0.95881119999999997</v>
      </c>
      <c r="AB5950">
        <v>30</v>
      </c>
      <c r="AC5950">
        <v>13.596500000000001</v>
      </c>
      <c r="AD5950">
        <v>-1.1192928806169999</v>
      </c>
      <c r="AE5950">
        <v>11.907599999999899</v>
      </c>
      <c r="AF5950">
        <v>-5.1351717261127101</v>
      </c>
      <c r="AG5950">
        <v>-1.1192928806169999</v>
      </c>
      <c r="AH5950">
        <v>17.256722446553901</v>
      </c>
      <c r="AI5950">
        <v>93.557337983158007</v>
      </c>
      <c r="AJ5950">
        <v>106.571697102009</v>
      </c>
      <c r="AK5950">
        <v>18.039325785812</v>
      </c>
      <c r="AL5950">
        <v>75.972386909166403</v>
      </c>
      <c r="AM5950">
        <v>98.404728359862204</v>
      </c>
      <c r="AN5950">
        <v>1.0000000363885999</v>
      </c>
    </row>
    <row r="5951" spans="1:40" x14ac:dyDescent="0.25">
      <c r="A5951" t="str">
        <f>"20190312172823429"</f>
        <v>20190312172823429</v>
      </c>
      <c r="B5951" t="str">
        <f>"1552382903425298"</f>
        <v>1552382903425298</v>
      </c>
      <c r="C5951" t="s">
        <v>40</v>
      </c>
      <c r="D5951">
        <v>3.3706019999999999</v>
      </c>
      <c r="E5951">
        <v>0.45544309999999899</v>
      </c>
      <c r="F5951" t="s">
        <v>52</v>
      </c>
      <c r="G5951">
        <v>-188.73609999999999</v>
      </c>
      <c r="H5951" s="1">
        <v>-4.9333229999999901E-6</v>
      </c>
      <c r="I5951">
        <v>-47.170490000000001</v>
      </c>
      <c r="J5951">
        <v>-202.27969999999999</v>
      </c>
      <c r="K5951">
        <v>1.1193169999999999</v>
      </c>
      <c r="L5951">
        <v>-59.144739999999999</v>
      </c>
      <c r="M5951">
        <v>0.90646950000000004</v>
      </c>
      <c r="N5951">
        <v>0</v>
      </c>
      <c r="O5951">
        <v>0.42199449999999999</v>
      </c>
      <c r="P5951">
        <v>0.81570089999999995</v>
      </c>
      <c r="Q5951">
        <v>0.2306387</v>
      </c>
      <c r="R5951">
        <v>0.53050719999999996</v>
      </c>
      <c r="S5951">
        <v>2.3758699999999999</v>
      </c>
      <c r="T5951">
        <v>-0.1944497</v>
      </c>
      <c r="U5951">
        <v>2.091736</v>
      </c>
      <c r="V5951">
        <v>-0.1420981</v>
      </c>
      <c r="W5951">
        <v>0.24224660000000001</v>
      </c>
      <c r="X5951">
        <v>0.95975239999999995</v>
      </c>
      <c r="Y5951">
        <v>-0.28249950000000001</v>
      </c>
      <c r="Z5951">
        <v>-1.7875930000000002E-2</v>
      </c>
      <c r="AA5951">
        <v>0.95910079999999998</v>
      </c>
      <c r="AB5951">
        <v>30</v>
      </c>
      <c r="AC5951">
        <v>13.5435999999999</v>
      </c>
      <c r="AD5951">
        <v>-1.119321933323</v>
      </c>
      <c r="AE5951">
        <v>11.97425</v>
      </c>
      <c r="AF5951">
        <v>-5.1199402081644996</v>
      </c>
      <c r="AG5951">
        <v>-1.119321933323</v>
      </c>
      <c r="AH5951">
        <v>17.265762338479099</v>
      </c>
      <c r="AI5951">
        <v>93.556577266847199</v>
      </c>
      <c r="AJ5951">
        <v>106.51704748062799</v>
      </c>
      <c r="AK5951">
        <v>18.043647592835502</v>
      </c>
      <c r="AL5951">
        <v>75.980825140959695</v>
      </c>
      <c r="AM5951">
        <v>98.421860982015005</v>
      </c>
      <c r="AN5951">
        <v>0.99999997727046397</v>
      </c>
    </row>
    <row r="5952" spans="1:40" x14ac:dyDescent="0.25">
      <c r="A5952" t="str">
        <f>"20190312172823439"</f>
        <v>20190312172823439</v>
      </c>
      <c r="B5952" t="str">
        <f>"1552382903435058"</f>
        <v>1552382903435058</v>
      </c>
      <c r="C5952" t="s">
        <v>40</v>
      </c>
      <c r="D5952">
        <v>3.4085350000000001</v>
      </c>
      <c r="E5952">
        <v>0.45601599999999998</v>
      </c>
      <c r="F5952" t="s">
        <v>52</v>
      </c>
      <c r="G5952">
        <v>-188.64590000000001</v>
      </c>
      <c r="H5952" s="1">
        <v>-4.9613210000000002E-6</v>
      </c>
      <c r="I5952">
        <v>-47.082949999999997</v>
      </c>
      <c r="J5952">
        <v>-202.1474</v>
      </c>
      <c r="K5952">
        <v>1.1193390000000001</v>
      </c>
      <c r="L5952">
        <v>-59.076929999999997</v>
      </c>
      <c r="M5952">
        <v>0.90404059999999997</v>
      </c>
      <c r="N5952">
        <v>0</v>
      </c>
      <c r="O5952">
        <v>0.42717300000000002</v>
      </c>
      <c r="P5952">
        <v>0.81252409999999997</v>
      </c>
      <c r="Q5952">
        <v>0.23038600000000001</v>
      </c>
      <c r="R5952">
        <v>0.53546879999999997</v>
      </c>
      <c r="S5952">
        <v>2.3694609999999998</v>
      </c>
      <c r="T5952">
        <v>-0.19453000000000001</v>
      </c>
      <c r="U5952">
        <v>2.0962519999999998</v>
      </c>
      <c r="V5952">
        <v>-0.1424376</v>
      </c>
      <c r="W5952">
        <v>0.2419838</v>
      </c>
      <c r="X5952">
        <v>0.95976839999999997</v>
      </c>
      <c r="Y5952">
        <v>-0.27933540000000001</v>
      </c>
      <c r="Z5952">
        <v>-1.8326490000000001E-2</v>
      </c>
      <c r="AA5952">
        <v>0.9600187</v>
      </c>
      <c r="AB5952">
        <v>30</v>
      </c>
      <c r="AC5952">
        <v>13.501499999999901</v>
      </c>
      <c r="AD5952">
        <v>-1.1193439613209999</v>
      </c>
      <c r="AE5952">
        <v>11.993980000000001</v>
      </c>
      <c r="AF5952">
        <v>-5.0567360246795499</v>
      </c>
      <c r="AG5952">
        <v>-1.1193439613209999</v>
      </c>
      <c r="AH5952">
        <v>17.265108853475802</v>
      </c>
      <c r="AI5952">
        <v>93.560293902977193</v>
      </c>
      <c r="AJ5952">
        <v>106.324652608964</v>
      </c>
      <c r="AK5952">
        <v>18.025190535730999</v>
      </c>
      <c r="AL5952">
        <v>75.996344606320903</v>
      </c>
      <c r="AM5952">
        <v>98.441554150321593</v>
      </c>
      <c r="AN5952">
        <v>1.0000000054973699</v>
      </c>
    </row>
    <row r="5953" spans="1:40" x14ac:dyDescent="0.25">
      <c r="A5953" t="str">
        <f>"20190312172823450"</f>
        <v>20190312172823450</v>
      </c>
      <c r="B5953" t="str">
        <f>"1552382903445794"</f>
        <v>1552382903445794</v>
      </c>
      <c r="C5953" t="s">
        <v>40</v>
      </c>
      <c r="D5953">
        <v>3.3908119999999999</v>
      </c>
      <c r="E5953">
        <v>0.45601599999999998</v>
      </c>
      <c r="F5953" t="s">
        <v>52</v>
      </c>
      <c r="G5953">
        <v>-188.62450000000001</v>
      </c>
      <c r="H5953" s="1">
        <v>-4.9958359999999998E-6</v>
      </c>
      <c r="I5953">
        <v>-47.006810000000002</v>
      </c>
      <c r="J5953">
        <v>-202.02809999999999</v>
      </c>
      <c r="K5953">
        <v>1.1193610000000001</v>
      </c>
      <c r="L5953">
        <v>-59.015439999999998</v>
      </c>
      <c r="M5953">
        <v>0.90181929999999999</v>
      </c>
      <c r="N5953">
        <v>0</v>
      </c>
      <c r="O5953">
        <v>0.43184230000000001</v>
      </c>
      <c r="P5953">
        <v>0.80965209999999999</v>
      </c>
      <c r="Q5953">
        <v>0.23036100000000001</v>
      </c>
      <c r="R5953">
        <v>0.53981219999999996</v>
      </c>
      <c r="S5953">
        <v>2.359604</v>
      </c>
      <c r="T5953">
        <v>-0.1953136</v>
      </c>
      <c r="U5953">
        <v>2.1061100000000001</v>
      </c>
      <c r="V5953">
        <v>-0.1426251</v>
      </c>
      <c r="W5953">
        <v>0.2419528</v>
      </c>
      <c r="X5953">
        <v>0.95974839999999995</v>
      </c>
      <c r="Y5953">
        <v>-0.2786034</v>
      </c>
      <c r="Z5953">
        <v>-1.873404E-2</v>
      </c>
      <c r="AA5953">
        <v>0.96022350000000001</v>
      </c>
      <c r="AB5953">
        <v>30</v>
      </c>
      <c r="AC5953">
        <v>13.4035999999999</v>
      </c>
      <c r="AD5953">
        <v>-1.119365995836</v>
      </c>
      <c r="AE5953">
        <v>12.00863</v>
      </c>
      <c r="AF5953">
        <v>-5.0225318160730499</v>
      </c>
      <c r="AG5953">
        <v>-1.119365995836</v>
      </c>
      <c r="AH5953">
        <v>17.208903778303998</v>
      </c>
      <c r="AI5953">
        <v>93.572951559856804</v>
      </c>
      <c r="AJ5953">
        <v>106.270232382462</v>
      </c>
      <c r="AK5953">
        <v>17.9617698272477</v>
      </c>
      <c r="AL5953">
        <v>75.998175578663194</v>
      </c>
      <c r="AM5953">
        <v>98.452679497830005</v>
      </c>
      <c r="AN5953">
        <v>1.0000000339402</v>
      </c>
    </row>
    <row r="5954" spans="1:40" x14ac:dyDescent="0.25">
      <c r="A5954" t="str">
        <f>"20190312172823464"</f>
        <v>20190312172823464</v>
      </c>
      <c r="B5954" t="str">
        <f>"1552382903455554"</f>
        <v>1552382903455554</v>
      </c>
      <c r="C5954" t="s">
        <v>40</v>
      </c>
      <c r="D5954">
        <v>3.2361</v>
      </c>
      <c r="E5954">
        <v>0.46424559999999998</v>
      </c>
      <c r="F5954" t="s">
        <v>52</v>
      </c>
      <c r="G5954">
        <v>-188.5933</v>
      </c>
      <c r="H5954" s="1">
        <v>-5.0452779999999996E-6</v>
      </c>
      <c r="I5954">
        <v>-46.897500000000001</v>
      </c>
      <c r="J5954">
        <v>-201.86080000000001</v>
      </c>
      <c r="K5954">
        <v>1.1193900000000001</v>
      </c>
      <c r="L5954">
        <v>-58.927460000000004</v>
      </c>
      <c r="M5954">
        <v>0.89863340000000003</v>
      </c>
      <c r="N5954">
        <v>0</v>
      </c>
      <c r="O5954">
        <v>0.43843330000000003</v>
      </c>
      <c r="P5954">
        <v>0.80546809999999902</v>
      </c>
      <c r="Q5954">
        <v>0.23025129999999999</v>
      </c>
      <c r="R5954">
        <v>0.54608199999999996</v>
      </c>
      <c r="S5954">
        <v>2.3485870000000002</v>
      </c>
      <c r="T5954">
        <v>-0.1956801</v>
      </c>
      <c r="U5954">
        <v>2.1183779999999999</v>
      </c>
      <c r="V5954">
        <v>-0.14305329999999999</v>
      </c>
      <c r="W5954">
        <v>0.24183109999999999</v>
      </c>
      <c r="X5954">
        <v>0.95971530000000005</v>
      </c>
      <c r="Y5954">
        <v>-0.27659129999999998</v>
      </c>
      <c r="Z5954">
        <v>-1.9263700000000002E-2</v>
      </c>
      <c r="AA5954">
        <v>0.96079460000000005</v>
      </c>
      <c r="AB5954">
        <v>30</v>
      </c>
      <c r="AC5954">
        <v>13.2675</v>
      </c>
      <c r="AD5954">
        <v>-1.1193950452779999</v>
      </c>
      <c r="AE5954">
        <v>12.0299599999999</v>
      </c>
      <c r="AF5954">
        <v>-4.97476037512088</v>
      </c>
      <c r="AG5954">
        <v>-1.1193950452779999</v>
      </c>
      <c r="AH5954">
        <v>17.132039342777801</v>
      </c>
      <c r="AI5954">
        <v>93.590454131703794</v>
      </c>
      <c r="AJ5954">
        <v>106.192113255807</v>
      </c>
      <c r="AK5954">
        <v>17.874788337201402</v>
      </c>
      <c r="AL5954">
        <v>76.005361290694296</v>
      </c>
      <c r="AM5954">
        <v>98.477976684883402</v>
      </c>
      <c r="AN5954">
        <v>0.99999999231109504</v>
      </c>
    </row>
    <row r="5955" spans="1:40" x14ac:dyDescent="0.25">
      <c r="A5955" t="str">
        <f>"20190312172823475"</f>
        <v>20190312172823475</v>
      </c>
      <c r="B5955" t="str">
        <f>"1552382903465313"</f>
        <v>1552382903465313</v>
      </c>
      <c r="C5955" t="s">
        <v>40</v>
      </c>
      <c r="D5955">
        <v>3.2623030000000002</v>
      </c>
      <c r="E5955">
        <v>0.46417959999999903</v>
      </c>
      <c r="F5955" t="s">
        <v>52</v>
      </c>
      <c r="G5955">
        <v>-188.03579999999999</v>
      </c>
      <c r="H5955" s="1">
        <v>-5.0021559999999998E-6</v>
      </c>
      <c r="I5955">
        <v>-46.786000000000001</v>
      </c>
      <c r="J5955">
        <v>-201.74189999999999</v>
      </c>
      <c r="K5955">
        <v>1.1194040000000001</v>
      </c>
      <c r="L5955">
        <v>-58.863919999999901</v>
      </c>
      <c r="M5955">
        <v>0.89632230000000002</v>
      </c>
      <c r="N5955">
        <v>0</v>
      </c>
      <c r="O5955">
        <v>0.44313859999999999</v>
      </c>
      <c r="P5955">
        <v>0.80252400000000002</v>
      </c>
      <c r="Q5955">
        <v>0.23001830000000001</v>
      </c>
      <c r="R5955">
        <v>0.55049689999999996</v>
      </c>
      <c r="S5955">
        <v>2.3689119999999999</v>
      </c>
      <c r="T5955">
        <v>-0.1918088</v>
      </c>
      <c r="U5955">
        <v>2.080444</v>
      </c>
      <c r="V5955">
        <v>-0.143269799999999</v>
      </c>
      <c r="W5955">
        <v>0.24159230000000001</v>
      </c>
      <c r="X5955">
        <v>0.95974309999999996</v>
      </c>
      <c r="Y5955">
        <v>-0.2587991</v>
      </c>
      <c r="Z5955">
        <v>-1.9761440000000002E-2</v>
      </c>
      <c r="AA5955">
        <v>0.96572899999999995</v>
      </c>
      <c r="AB5955">
        <v>30</v>
      </c>
      <c r="AC5955">
        <v>13.7060999999999</v>
      </c>
      <c r="AD5955">
        <v>-1.1194090021559999</v>
      </c>
      <c r="AE5955">
        <v>12.077919999999899</v>
      </c>
      <c r="AF5955">
        <v>-4.7347865599650101</v>
      </c>
      <c r="AG5955">
        <v>-1.1194090021559999</v>
      </c>
      <c r="AH5955">
        <v>17.573360989741701</v>
      </c>
      <c r="AI5955">
        <v>93.519593393910696</v>
      </c>
      <c r="AJ5955">
        <v>105.079118770184</v>
      </c>
      <c r="AK5955">
        <v>18.234426142829602</v>
      </c>
      <c r="AL5955">
        <v>76.019460971125497</v>
      </c>
      <c r="AM5955">
        <v>98.490378203743404</v>
      </c>
      <c r="AN5955">
        <v>0.999999946504468</v>
      </c>
    </row>
    <row r="5956" spans="1:40" x14ac:dyDescent="0.25">
      <c r="A5956" t="str">
        <f>"20190312172823486"</f>
        <v>20190312172823486</v>
      </c>
      <c r="B5956" t="str">
        <f>"1552382903475073"</f>
        <v>1552382903475073</v>
      </c>
      <c r="C5956" t="s">
        <v>40</v>
      </c>
      <c r="D5956">
        <v>3.2394820000000002</v>
      </c>
      <c r="E5956">
        <v>0.46488740000000001</v>
      </c>
      <c r="F5956" t="s">
        <v>52</v>
      </c>
      <c r="G5956">
        <v>-188.06739999999999</v>
      </c>
      <c r="H5956" s="1">
        <v>-5.0418529999999997E-6</v>
      </c>
      <c r="I5956">
        <v>-46.718290000000003</v>
      </c>
      <c r="J5956">
        <v>-201.59360000000001</v>
      </c>
      <c r="K5956">
        <v>1.1194269999999999</v>
      </c>
      <c r="L5956">
        <v>-58.783909999999999</v>
      </c>
      <c r="M5956">
        <v>0.89339219999999897</v>
      </c>
      <c r="N5956">
        <v>0</v>
      </c>
      <c r="O5956">
        <v>0.44901609999999997</v>
      </c>
      <c r="P5956">
        <v>0.79879140000000004</v>
      </c>
      <c r="Q5956">
        <v>0.22995370000000001</v>
      </c>
      <c r="R5956">
        <v>0.55592589999999997</v>
      </c>
      <c r="S5956">
        <v>2.3573</v>
      </c>
      <c r="T5956">
        <v>-0.1929717</v>
      </c>
      <c r="U5956">
        <v>2.09375</v>
      </c>
      <c r="V5956">
        <v>-0.1434802</v>
      </c>
      <c r="W5956">
        <v>0.24152109999999999</v>
      </c>
      <c r="X5956">
        <v>0.95972970000000002</v>
      </c>
      <c r="Y5956">
        <v>-0.25787739999999998</v>
      </c>
      <c r="Z5956">
        <v>-2.0289669999999999E-2</v>
      </c>
      <c r="AA5956">
        <v>0.96596459999999995</v>
      </c>
      <c r="AB5956">
        <v>30</v>
      </c>
      <c r="AC5956">
        <v>13.526199999999999</v>
      </c>
      <c r="AD5956">
        <v>-1.1194320418529999</v>
      </c>
      <c r="AE5956">
        <v>12.0656199999999</v>
      </c>
      <c r="AF5956">
        <v>-4.6885188167913103</v>
      </c>
      <c r="AG5956">
        <v>-1.1194320418529999</v>
      </c>
      <c r="AH5956">
        <v>17.437404458343099</v>
      </c>
      <c r="AI5956">
        <v>93.547528868072405</v>
      </c>
      <c r="AJ5956">
        <v>105.049592506865</v>
      </c>
      <c r="AK5956">
        <v>18.091390522444001</v>
      </c>
      <c r="AL5956">
        <v>76.023666446673602</v>
      </c>
      <c r="AM5956">
        <v>98.502781672913798</v>
      </c>
      <c r="AN5956">
        <v>1.00000005329966</v>
      </c>
    </row>
    <row r="5957" spans="1:40" x14ac:dyDescent="0.25">
      <c r="A5957" t="str">
        <f>"20190312172823500"</f>
        <v>20190312172823500</v>
      </c>
      <c r="B5957" t="str">
        <f>"1552382903495570"</f>
        <v>1552382903495570</v>
      </c>
      <c r="C5957" t="s">
        <v>40</v>
      </c>
      <c r="D5957">
        <v>3.2819400000000001</v>
      </c>
      <c r="E5957">
        <v>0.46588210000000002</v>
      </c>
      <c r="F5957" t="s">
        <v>52</v>
      </c>
      <c r="G5957">
        <v>-187.99529999999999</v>
      </c>
      <c r="H5957" s="1">
        <v>-5.095002E-6</v>
      </c>
      <c r="I5957">
        <v>-46.587150000000001</v>
      </c>
      <c r="J5957">
        <v>-201.44839999999999</v>
      </c>
      <c r="K5957">
        <v>1.119451</v>
      </c>
      <c r="L5957">
        <v>-58.703699999999998</v>
      </c>
      <c r="M5957">
        <v>0.89045280000000004</v>
      </c>
      <c r="N5957">
        <v>0</v>
      </c>
      <c r="O5957">
        <v>0.45481729999999998</v>
      </c>
      <c r="P5957">
        <v>0.79507680000000003</v>
      </c>
      <c r="Q5957">
        <v>0.22972319999999999</v>
      </c>
      <c r="R5957">
        <v>0.56132009999999999</v>
      </c>
      <c r="S5957">
        <v>2.346527</v>
      </c>
      <c r="T5957">
        <v>-0.1931696</v>
      </c>
      <c r="U5957">
        <v>2.1046749999999999</v>
      </c>
      <c r="V5957">
        <v>-0.1437137</v>
      </c>
      <c r="W5957">
        <v>0.24128369999999999</v>
      </c>
      <c r="X5957">
        <v>0.95975440000000001</v>
      </c>
      <c r="Y5957">
        <v>-0.25630009999999998</v>
      </c>
      <c r="Z5957">
        <v>-2.0739199999999999E-2</v>
      </c>
      <c r="AA5957">
        <v>0.96637479999999998</v>
      </c>
      <c r="AB5957">
        <v>30</v>
      </c>
      <c r="AC5957">
        <v>13.453099999999999</v>
      </c>
      <c r="AD5957">
        <v>-1.1194560950020001</v>
      </c>
      <c r="AE5957">
        <v>12.116549999999901</v>
      </c>
      <c r="AF5957">
        <v>-4.6532725409828002</v>
      </c>
      <c r="AG5957">
        <v>-1.1194560950020001</v>
      </c>
      <c r="AH5957">
        <v>17.425603986004202</v>
      </c>
      <c r="AI5957">
        <v>93.551630923408794</v>
      </c>
      <c r="AJ5957">
        <v>104.95119919077401</v>
      </c>
      <c r="AK5957">
        <v>18.070910369052999</v>
      </c>
      <c r="AL5957">
        <v>76.0376819563769</v>
      </c>
      <c r="AM5957">
        <v>98.516200402565005</v>
      </c>
      <c r="AN5957">
        <v>0.99999997988636902</v>
      </c>
    </row>
    <row r="5958" spans="1:40" x14ac:dyDescent="0.25">
      <c r="A5958" t="str">
        <f>"20190312172823514"</f>
        <v>20190312172823514</v>
      </c>
      <c r="B5958" t="str">
        <f>"1552382903505329"</f>
        <v>1552382903505329</v>
      </c>
      <c r="C5958" t="s">
        <v>40</v>
      </c>
      <c r="D5958">
        <v>3.2025290000000002</v>
      </c>
      <c r="E5958">
        <v>0.46625070000000002</v>
      </c>
      <c r="F5958" t="s">
        <v>52</v>
      </c>
      <c r="G5958">
        <v>-188.10390000000001</v>
      </c>
      <c r="H5958" s="1">
        <v>-5.0926659999999999E-6</v>
      </c>
      <c r="I5958">
        <v>-46.630209999999998</v>
      </c>
      <c r="J5958">
        <v>-201.28399999999999</v>
      </c>
      <c r="K5958">
        <v>1.1194809999999999</v>
      </c>
      <c r="L5958">
        <v>-58.611759999999997</v>
      </c>
      <c r="M5958">
        <v>0.88705809999999996</v>
      </c>
      <c r="N5958">
        <v>0</v>
      </c>
      <c r="O5958">
        <v>0.46140300000000001</v>
      </c>
      <c r="P5958">
        <v>0.79089279999999995</v>
      </c>
      <c r="Q5958">
        <v>0.22968269999999999</v>
      </c>
      <c r="R5958">
        <v>0.56721650000000001</v>
      </c>
      <c r="S5958">
        <v>2.3370669999999998</v>
      </c>
      <c r="T5958">
        <v>-0.19605400000000001</v>
      </c>
      <c r="U5958">
        <v>2.114471</v>
      </c>
      <c r="V5958">
        <v>-0.14374819999999999</v>
      </c>
      <c r="W5958">
        <v>0.2412407</v>
      </c>
      <c r="X5958">
        <v>0.9597601</v>
      </c>
      <c r="Y5958">
        <v>-0.25333280000000002</v>
      </c>
      <c r="Z5958">
        <v>-2.157388E-2</v>
      </c>
      <c r="AA5958">
        <v>0.96713859999999996</v>
      </c>
      <c r="AB5958">
        <v>30</v>
      </c>
      <c r="AC5958">
        <v>13.180099999999999</v>
      </c>
      <c r="AD5958">
        <v>-1.119486092666</v>
      </c>
      <c r="AE5958">
        <v>11.98155</v>
      </c>
      <c r="AF5958">
        <v>-4.5296357343684504</v>
      </c>
      <c r="AG5958">
        <v>-1.119486092666</v>
      </c>
      <c r="AH5958">
        <v>17.154103058371401</v>
      </c>
      <c r="AI5958">
        <v>93.610454001511201</v>
      </c>
      <c r="AJ5958">
        <v>104.791651782665</v>
      </c>
      <c r="AK5958">
        <v>17.777347966864099</v>
      </c>
      <c r="AL5958">
        <v>76.040221452784493</v>
      </c>
      <c r="AM5958">
        <v>98.518164970914199</v>
      </c>
      <c r="AN5958">
        <v>1.00000003494586</v>
      </c>
    </row>
    <row r="5959" spans="1:40" x14ac:dyDescent="0.25">
      <c r="A5959" t="str">
        <f>"20190312172823528"</f>
        <v>20190312172823528</v>
      </c>
      <c r="B5959" t="str">
        <f>"1552382903525826"</f>
        <v>1552382903525826</v>
      </c>
      <c r="C5959" t="s">
        <v>40</v>
      </c>
      <c r="D5959">
        <v>3.5559349999999998</v>
      </c>
      <c r="E5959">
        <v>0.4662287</v>
      </c>
      <c r="F5959" t="s">
        <v>52</v>
      </c>
      <c r="G5959">
        <v>-188.02860000000001</v>
      </c>
      <c r="H5959" s="1">
        <v>-5.1635739999999997E-6</v>
      </c>
      <c r="I5959">
        <v>-46.462679999999999</v>
      </c>
      <c r="J5959">
        <v>-201.1198</v>
      </c>
      <c r="K5959">
        <v>1.119507</v>
      </c>
      <c r="L5959">
        <v>-58.518590000000003</v>
      </c>
      <c r="M5959">
        <v>0.88359560000000004</v>
      </c>
      <c r="N5959">
        <v>0</v>
      </c>
      <c r="O5959">
        <v>0.46799940000000001</v>
      </c>
      <c r="P5959">
        <v>0.78674709999999903</v>
      </c>
      <c r="Q5959">
        <v>0.22941420000000001</v>
      </c>
      <c r="R5959">
        <v>0.57306060000000003</v>
      </c>
      <c r="S5959">
        <v>2.3230900000000001</v>
      </c>
      <c r="T5959">
        <v>-0.19619790000000001</v>
      </c>
      <c r="U5959">
        <v>2.1292110000000002</v>
      </c>
      <c r="V5959">
        <v>-0.14368120000000001</v>
      </c>
      <c r="W5959">
        <v>0.2409732</v>
      </c>
      <c r="X5959">
        <v>0.9598373</v>
      </c>
      <c r="Y5959">
        <v>-0.25236960000000003</v>
      </c>
      <c r="Z5959">
        <v>-2.2058120000000001E-2</v>
      </c>
      <c r="AA5959">
        <v>0.96737949999999995</v>
      </c>
      <c r="AB5959">
        <v>30</v>
      </c>
      <c r="AC5959">
        <v>13.091199999999899</v>
      </c>
      <c r="AD5959">
        <v>-1.119512163574</v>
      </c>
      <c r="AE5959">
        <v>12.055910000000001</v>
      </c>
      <c r="AF5959">
        <v>-4.5085672137645796</v>
      </c>
      <c r="AG5959">
        <v>-1.119512163574</v>
      </c>
      <c r="AH5959">
        <v>17.143672019688299</v>
      </c>
      <c r="AI5959">
        <v>93.613677465356005</v>
      </c>
      <c r="AJ5959">
        <v>104.734418639195</v>
      </c>
      <c r="AK5959">
        <v>17.761924899178702</v>
      </c>
      <c r="AL5959">
        <v>76.056013569660607</v>
      </c>
      <c r="AM5959">
        <v>98.513578151912796</v>
      </c>
      <c r="AN5959">
        <v>1.00000000641148</v>
      </c>
    </row>
    <row r="5960" spans="1:40" x14ac:dyDescent="0.25">
      <c r="A5960" t="str">
        <f>"20190312172823540"</f>
        <v>20190312172823540</v>
      </c>
      <c r="B5960" t="str">
        <f>"1552382903535585"</f>
        <v>1552382903535585</v>
      </c>
      <c r="C5960" t="s">
        <v>40</v>
      </c>
      <c r="D5960">
        <v>3.2051419999999999</v>
      </c>
      <c r="E5960">
        <v>0.46680359999999999</v>
      </c>
      <c r="F5960" t="s">
        <v>52</v>
      </c>
      <c r="G5960">
        <v>-188.14269999999999</v>
      </c>
      <c r="H5960" s="1">
        <v>-5.1914419999999999E-6</v>
      </c>
      <c r="I5960">
        <v>-46.447650000000003</v>
      </c>
      <c r="J5960">
        <v>-200.9864</v>
      </c>
      <c r="K5960">
        <v>1.119529</v>
      </c>
      <c r="L5960">
        <v>-58.441009999999999</v>
      </c>
      <c r="M5960">
        <v>0.88071080000000002</v>
      </c>
      <c r="N5960">
        <v>0</v>
      </c>
      <c r="O5960">
        <v>0.47340549999999998</v>
      </c>
      <c r="P5960">
        <v>0.78310570000000002</v>
      </c>
      <c r="Q5960">
        <v>0.22932540000000001</v>
      </c>
      <c r="R5960">
        <v>0.57806179999999996</v>
      </c>
      <c r="S5960">
        <v>2.307693</v>
      </c>
      <c r="T5960">
        <v>-0.19908020000000001</v>
      </c>
      <c r="U5960">
        <v>2.1465450000000001</v>
      </c>
      <c r="V5960">
        <v>-0.14391399999999999</v>
      </c>
      <c r="W5960">
        <v>0.24087739999999999</v>
      </c>
      <c r="X5960">
        <v>0.95982650000000003</v>
      </c>
      <c r="Y5960">
        <v>-0.25357089999999999</v>
      </c>
      <c r="Z5960">
        <v>-2.270747E-2</v>
      </c>
      <c r="AA5960">
        <v>0.96705030000000003</v>
      </c>
      <c r="AB5960">
        <v>30</v>
      </c>
      <c r="AC5960">
        <v>12.8437</v>
      </c>
      <c r="AD5960">
        <v>-1.1195341914420001</v>
      </c>
      <c r="AE5960">
        <v>11.9933599999999</v>
      </c>
      <c r="AF5960">
        <v>-4.4648101627096599</v>
      </c>
      <c r="AG5960">
        <v>-1.1195341914420001</v>
      </c>
      <c r="AH5960">
        <v>16.9226253727781</v>
      </c>
      <c r="AI5960">
        <v>93.660060487036503</v>
      </c>
      <c r="AJ5960">
        <v>104.779932151389</v>
      </c>
      <c r="AK5960">
        <v>17.537478042815501</v>
      </c>
      <c r="AL5960">
        <v>76.061669512387496</v>
      </c>
      <c r="AM5960">
        <v>98.527264217291602</v>
      </c>
      <c r="AN5960">
        <v>1.0000000356645</v>
      </c>
    </row>
    <row r="5961" spans="1:40" x14ac:dyDescent="0.25">
      <c r="A5961" t="str">
        <f>"20190312172823551"</f>
        <v>20190312172823551</v>
      </c>
      <c r="B5961" t="str">
        <f>"1552382903545345"</f>
        <v>1552382903545345</v>
      </c>
      <c r="C5961" t="s">
        <v>40</v>
      </c>
      <c r="D5961">
        <v>3.2498969999999998</v>
      </c>
      <c r="E5961">
        <v>0.46650079999999999</v>
      </c>
      <c r="F5961" t="s">
        <v>52</v>
      </c>
      <c r="G5961">
        <v>-188.23349999999999</v>
      </c>
      <c r="H5961" s="1">
        <v>-5.2000699999999898E-6</v>
      </c>
      <c r="I5961">
        <v>-46.46264</v>
      </c>
      <c r="J5961">
        <v>-200.8674</v>
      </c>
      <c r="K5961">
        <v>1.119548</v>
      </c>
      <c r="L5961">
        <v>-58.371459999999999</v>
      </c>
      <c r="M5961">
        <v>0.87810359999999998</v>
      </c>
      <c r="N5961">
        <v>0</v>
      </c>
      <c r="O5961">
        <v>0.47822419999999999</v>
      </c>
      <c r="P5961">
        <v>0.78011549999999996</v>
      </c>
      <c r="Q5961">
        <v>0.22920109999999999</v>
      </c>
      <c r="R5961">
        <v>0.58213959999999998</v>
      </c>
      <c r="S5961">
        <v>2.2971949999999999</v>
      </c>
      <c r="T5961">
        <v>-0.2016637</v>
      </c>
      <c r="U5961">
        <v>2.1576840000000002</v>
      </c>
      <c r="V5961">
        <v>-0.1436519</v>
      </c>
      <c r="W5961">
        <v>0.2407589</v>
      </c>
      <c r="X5961">
        <v>0.95989539999999995</v>
      </c>
      <c r="Y5961">
        <v>-0.2529845</v>
      </c>
      <c r="Z5961">
        <v>-2.3348500000000001E-2</v>
      </c>
      <c r="AA5961">
        <v>0.96718850000000001</v>
      </c>
      <c r="AB5961">
        <v>30</v>
      </c>
      <c r="AC5961">
        <v>12.633900000000001</v>
      </c>
      <c r="AD5961">
        <v>-1.1195532000699999</v>
      </c>
      <c r="AE5961">
        <v>11.90882</v>
      </c>
      <c r="AF5961">
        <v>-4.3975758232440603</v>
      </c>
      <c r="AG5961">
        <v>-1.1195532000699999</v>
      </c>
      <c r="AH5961">
        <v>16.721408439443401</v>
      </c>
      <c r="AI5961">
        <v>93.704814418329505</v>
      </c>
      <c r="AJ5961">
        <v>104.73460627772</v>
      </c>
      <c r="AK5961">
        <v>17.326210569182599</v>
      </c>
      <c r="AL5961">
        <v>76.068663684224603</v>
      </c>
      <c r="AM5961">
        <v>98.511359810783404</v>
      </c>
      <c r="AN5961">
        <v>0.99999994762198796</v>
      </c>
    </row>
    <row r="5962" spans="1:40" x14ac:dyDescent="0.25">
      <c r="A5962" t="str">
        <f>"20190312172823561"</f>
        <v>20190312172823561</v>
      </c>
      <c r="B5962" t="str">
        <f>"1552382903555106"</f>
        <v>1552382903555106</v>
      </c>
      <c r="C5962" t="s">
        <v>40</v>
      </c>
      <c r="D5962">
        <v>3.1620460000000001</v>
      </c>
      <c r="E5962">
        <v>0.46650079999999999</v>
      </c>
      <c r="F5962" t="s">
        <v>52</v>
      </c>
      <c r="G5962">
        <v>-188.08090000000001</v>
      </c>
      <c r="H5962" s="1">
        <v>-5.295127E-6</v>
      </c>
      <c r="I5962">
        <v>-46.219740000000002</v>
      </c>
      <c r="J5962">
        <v>-200.73699999999999</v>
      </c>
      <c r="K5962">
        <v>1.1195660000000001</v>
      </c>
      <c r="L5962">
        <v>-58.293729999999996</v>
      </c>
      <c r="M5962">
        <v>0.875187099999999</v>
      </c>
      <c r="N5962">
        <v>0</v>
      </c>
      <c r="O5962">
        <v>0.48354049999999998</v>
      </c>
      <c r="P5962">
        <v>0.77659959999999995</v>
      </c>
      <c r="Q5962">
        <v>0.22887779999999999</v>
      </c>
      <c r="R5962">
        <v>0.58694799999999903</v>
      </c>
      <c r="S5962">
        <v>2.284348</v>
      </c>
      <c r="T5962">
        <v>-0.2000103</v>
      </c>
      <c r="U5962">
        <v>2.1709290000000001</v>
      </c>
      <c r="V5962">
        <v>-0.14371970000000001</v>
      </c>
      <c r="W5962">
        <v>0.24043349999999999</v>
      </c>
      <c r="X5962">
        <v>0.95996680000000001</v>
      </c>
      <c r="Y5962">
        <v>-0.25278270000000003</v>
      </c>
      <c r="Z5962">
        <v>-2.3525879999999999E-2</v>
      </c>
      <c r="AA5962">
        <v>0.96723700000000001</v>
      </c>
      <c r="AB5962">
        <v>30</v>
      </c>
      <c r="AC5962">
        <v>12.656099999999901</v>
      </c>
      <c r="AD5962">
        <v>-1.119571295127</v>
      </c>
      <c r="AE5962">
        <v>12.07399</v>
      </c>
      <c r="AF5962">
        <v>-4.4296412988704397</v>
      </c>
      <c r="AG5962">
        <v>-1.119571295127</v>
      </c>
      <c r="AH5962">
        <v>16.8476948383937</v>
      </c>
      <c r="AI5962">
        <v>93.677241125276495</v>
      </c>
      <c r="AJ5962">
        <v>104.730958846031</v>
      </c>
      <c r="AK5962">
        <v>17.456230500574001</v>
      </c>
      <c r="AL5962">
        <v>76.087871841591095</v>
      </c>
      <c r="AM5962">
        <v>98.514694009592205</v>
      </c>
      <c r="AN5962">
        <v>0.999999938596288</v>
      </c>
    </row>
    <row r="5963" spans="1:40" x14ac:dyDescent="0.25">
      <c r="A5963" t="str">
        <f>"20190312172823573"</f>
        <v>20190312172823573</v>
      </c>
      <c r="B5963" t="str">
        <f>"1552382903565842"</f>
        <v>1552382903565842</v>
      </c>
      <c r="C5963" t="s">
        <v>40</v>
      </c>
      <c r="D5963">
        <v>3.0748229999999999</v>
      </c>
      <c r="E5963">
        <v>0.44938620000000001</v>
      </c>
      <c r="F5963" t="s">
        <v>52</v>
      </c>
      <c r="G5963">
        <v>-188.09690000000001</v>
      </c>
      <c r="H5963" s="1">
        <v>-5.3399170000000002E-6</v>
      </c>
      <c r="I5963">
        <v>-46.136389999999999</v>
      </c>
      <c r="J5963">
        <v>-200.6087</v>
      </c>
      <c r="K5963">
        <v>1.1195759999999999</v>
      </c>
      <c r="L5963">
        <v>-58.2164</v>
      </c>
      <c r="M5963">
        <v>0.87227219999999905</v>
      </c>
      <c r="N5963">
        <v>0</v>
      </c>
      <c r="O5963">
        <v>0.48877920000000002</v>
      </c>
      <c r="P5963">
        <v>0.77318330000000002</v>
      </c>
      <c r="Q5963">
        <v>0.2285422</v>
      </c>
      <c r="R5963">
        <v>0.59157090000000001</v>
      </c>
      <c r="S5963">
        <v>2.271255</v>
      </c>
      <c r="T5963">
        <v>-0.20117189999999999</v>
      </c>
      <c r="U5963">
        <v>2.1845089999999998</v>
      </c>
      <c r="V5963">
        <v>-0.14364589999999999</v>
      </c>
      <c r="W5963">
        <v>0.24010029999999999</v>
      </c>
      <c r="X5963">
        <v>0.96006130000000001</v>
      </c>
      <c r="Y5963">
        <v>-0.252783799999999</v>
      </c>
      <c r="Z5963">
        <v>-2.4020489999999999E-2</v>
      </c>
      <c r="AA5963">
        <v>0.96722450000000004</v>
      </c>
      <c r="AB5963">
        <v>30</v>
      </c>
      <c r="AC5963">
        <v>12.5117999999999</v>
      </c>
      <c r="AD5963">
        <v>-1.119581339917</v>
      </c>
      <c r="AE5963">
        <v>12.0800099999999</v>
      </c>
      <c r="AF5963">
        <v>-4.4038216484397301</v>
      </c>
      <c r="AG5963">
        <v>-1.119581339917</v>
      </c>
      <c r="AH5963">
        <v>16.750722629174</v>
      </c>
      <c r="AI5963">
        <v>93.698520862056895</v>
      </c>
      <c r="AJ5963">
        <v>104.72992399805</v>
      </c>
      <c r="AK5963">
        <v>17.356088732415401</v>
      </c>
      <c r="AL5963">
        <v>76.107539765546903</v>
      </c>
      <c r="AM5963">
        <v>98.509560337227398</v>
      </c>
      <c r="AN5963">
        <v>0.99999999920229499</v>
      </c>
    </row>
    <row r="5964" spans="1:40" x14ac:dyDescent="0.25">
      <c r="A5964" t="str">
        <f>"20190312172823584"</f>
        <v>20190312172823584</v>
      </c>
      <c r="B5964" t="str">
        <f>"1552382903575602"</f>
        <v>1552382903575602</v>
      </c>
      <c r="C5964" t="s">
        <v>40</v>
      </c>
      <c r="D5964">
        <v>3.199236</v>
      </c>
      <c r="E5964">
        <v>0.44703080000000001</v>
      </c>
      <c r="F5964" t="s">
        <v>52</v>
      </c>
      <c r="G5964">
        <v>-186.50299999999999</v>
      </c>
      <c r="H5964" s="1">
        <v>-6.3656880000000004E-6</v>
      </c>
      <c r="I5964">
        <v>-43.279719999999998</v>
      </c>
      <c r="J5964">
        <v>-200.482</v>
      </c>
      <c r="K5964">
        <v>1.1195919999999999</v>
      </c>
      <c r="L5964">
        <v>-58.139069999999997</v>
      </c>
      <c r="M5964">
        <v>0.86934299999999998</v>
      </c>
      <c r="N5964">
        <v>0</v>
      </c>
      <c r="O5964">
        <v>0.49397020000000003</v>
      </c>
      <c r="P5964">
        <v>0.76979359999999997</v>
      </c>
      <c r="Q5964">
        <v>0.2282853</v>
      </c>
      <c r="R5964">
        <v>0.59607339999999998</v>
      </c>
      <c r="S5964">
        <v>2.1716000000000002</v>
      </c>
      <c r="T5964">
        <v>-0.17236189999999901</v>
      </c>
      <c r="U5964">
        <v>2.2995299999999999</v>
      </c>
      <c r="V5964">
        <v>-0.14349310000000001</v>
      </c>
      <c r="W5964">
        <v>0.23984710000000001</v>
      </c>
      <c r="X5964">
        <v>0.96014739999999998</v>
      </c>
      <c r="Y5964">
        <v>-0.29314259999999998</v>
      </c>
      <c r="Z5964">
        <v>-1.9803189999999998E-2</v>
      </c>
      <c r="AA5964">
        <v>0.95586369999999998</v>
      </c>
      <c r="AB5964">
        <v>30</v>
      </c>
      <c r="AC5964">
        <v>13.978999999999999</v>
      </c>
      <c r="AD5964">
        <v>-1.119598365688</v>
      </c>
      <c r="AE5964">
        <v>14.8593499999999</v>
      </c>
      <c r="AF5964">
        <v>-5.9953166827653703</v>
      </c>
      <c r="AG5964">
        <v>-1.119598365688</v>
      </c>
      <c r="AH5964">
        <v>19.436388049822298</v>
      </c>
      <c r="AI5964">
        <v>93.1506137395032</v>
      </c>
      <c r="AJ5964">
        <v>107.142816676959</v>
      </c>
      <c r="AK5964">
        <v>20.3708248004436</v>
      </c>
      <c r="AL5964">
        <v>76.122483250593604</v>
      </c>
      <c r="AM5964">
        <v>98.499889658517802</v>
      </c>
      <c r="AN5964">
        <v>0.99999996542638903</v>
      </c>
    </row>
    <row r="5965" spans="1:40" x14ac:dyDescent="0.25">
      <c r="A5965" t="str">
        <f>"20190312172823595"</f>
        <v>20190312172823595</v>
      </c>
      <c r="B5965" t="str">
        <f>"1552382903585362"</f>
        <v>1552382903585362</v>
      </c>
      <c r="C5965" t="s">
        <v>40</v>
      </c>
      <c r="D5965">
        <v>3.1816089999999999</v>
      </c>
      <c r="E5965">
        <v>0.44611849999999997</v>
      </c>
      <c r="F5965" t="s">
        <v>52</v>
      </c>
      <c r="G5965">
        <v>-185.92330000000001</v>
      </c>
      <c r="H5965" s="1">
        <v>-6.6069799999999999E-6</v>
      </c>
      <c r="I5965">
        <v>-42.364089999999997</v>
      </c>
      <c r="J5965">
        <v>-200.36510000000001</v>
      </c>
      <c r="K5965">
        <v>1.1196060000000001</v>
      </c>
      <c r="L5965">
        <v>-58.06653</v>
      </c>
      <c r="M5965">
        <v>0.86658999999999997</v>
      </c>
      <c r="N5965">
        <v>0</v>
      </c>
      <c r="O5965">
        <v>0.49878400000000001</v>
      </c>
      <c r="P5965">
        <v>0.76648689999999997</v>
      </c>
      <c r="Q5965">
        <v>0.22791629999999999</v>
      </c>
      <c r="R5965">
        <v>0.60045990000000005</v>
      </c>
      <c r="S5965">
        <v>2.1457519999999999</v>
      </c>
      <c r="T5965">
        <v>-0.165013299999999</v>
      </c>
      <c r="U5965">
        <v>2.3250120000000001</v>
      </c>
      <c r="V5965">
        <v>-0.14359820000000001</v>
      </c>
      <c r="W5965">
        <v>0.2394763</v>
      </c>
      <c r="X5965">
        <v>0.96022430000000003</v>
      </c>
      <c r="Y5965">
        <v>-0.2987802</v>
      </c>
      <c r="Z5965">
        <v>-1.9090449999999998E-2</v>
      </c>
      <c r="AA5965">
        <v>0.95413099999999995</v>
      </c>
      <c r="AB5965">
        <v>30</v>
      </c>
      <c r="AC5965">
        <v>14.441800000000001</v>
      </c>
      <c r="AD5965">
        <v>-1.1196126069800001</v>
      </c>
      <c r="AE5965">
        <v>15.702439999999999</v>
      </c>
      <c r="AF5965">
        <v>-6.38740319393498</v>
      </c>
      <c r="AG5965">
        <v>-1.1196126069800001</v>
      </c>
      <c r="AH5965">
        <v>20.2937562921161</v>
      </c>
      <c r="AI5965">
        <v>93.012421169308197</v>
      </c>
      <c r="AJ5965">
        <v>107.47125004736201</v>
      </c>
      <c r="AK5965">
        <v>21.304670764773601</v>
      </c>
      <c r="AL5965">
        <v>76.144367100391406</v>
      </c>
      <c r="AM5965">
        <v>98.505353027788104</v>
      </c>
      <c r="AN5965">
        <v>1.0000000238077</v>
      </c>
    </row>
    <row r="5966" spans="1:40" x14ac:dyDescent="0.25">
      <c r="A5966" t="str">
        <f>"20190312172823607"</f>
        <v>20190312172823607</v>
      </c>
      <c r="B5966" t="str">
        <f>"1552382903595122"</f>
        <v>1552382903595122</v>
      </c>
      <c r="C5966" t="s">
        <v>40</v>
      </c>
      <c r="D5966">
        <v>3.1127829999999999</v>
      </c>
      <c r="E5966">
        <v>0.44529980000000002</v>
      </c>
      <c r="F5966" t="s">
        <v>52</v>
      </c>
      <c r="G5966">
        <v>-185.6917</v>
      </c>
      <c r="H5966" s="1">
        <v>-6.728928E-6</v>
      </c>
      <c r="I5966">
        <v>-41.921970000000002</v>
      </c>
      <c r="J5966">
        <v>-200.2311</v>
      </c>
      <c r="K5966">
        <v>1.1196269999999999</v>
      </c>
      <c r="L5966">
        <v>-57.982729999999997</v>
      </c>
      <c r="M5966">
        <v>0.86338809999999999</v>
      </c>
      <c r="N5966">
        <v>0</v>
      </c>
      <c r="O5966">
        <v>0.50430600000000003</v>
      </c>
      <c r="P5966">
        <v>0.76267569999999996</v>
      </c>
      <c r="Q5966">
        <v>0.22763920000000001</v>
      </c>
      <c r="R5966">
        <v>0.60539759999999998</v>
      </c>
      <c r="S5966">
        <v>2.1280209999999999</v>
      </c>
      <c r="T5966">
        <v>-0.16237209999999999</v>
      </c>
      <c r="U5966">
        <v>2.34137</v>
      </c>
      <c r="V5966">
        <v>-0.14363210000000001</v>
      </c>
      <c r="W5966">
        <v>0.23919799999999999</v>
      </c>
      <c r="X5966">
        <v>0.96028860000000005</v>
      </c>
      <c r="Y5966">
        <v>-0.29996070000000002</v>
      </c>
      <c r="Z5966">
        <v>-1.9065060000000002E-2</v>
      </c>
      <c r="AA5966">
        <v>0.95376099999999997</v>
      </c>
      <c r="AB5966">
        <v>30</v>
      </c>
      <c r="AC5966">
        <v>14.539400000000001</v>
      </c>
      <c r="AD5966">
        <v>-1.1196337289280001</v>
      </c>
      <c r="AE5966">
        <v>16.060759999999998</v>
      </c>
      <c r="AF5966">
        <v>-6.5177266708096102</v>
      </c>
      <c r="AG5966">
        <v>-1.1196337289280001</v>
      </c>
      <c r="AH5966">
        <v>20.600103223615999</v>
      </c>
      <c r="AI5966">
        <v>92.966360776662398</v>
      </c>
      <c r="AJ5966">
        <v>107.557002237783</v>
      </c>
      <c r="AK5966">
        <v>21.6355862750694</v>
      </c>
      <c r="AL5966">
        <v>76.160789894592597</v>
      </c>
      <c r="AM5966">
        <v>98.506770245927399</v>
      </c>
      <c r="AN5966">
        <v>1.00000002932218</v>
      </c>
    </row>
    <row r="5967" spans="1:40" x14ac:dyDescent="0.25">
      <c r="A5967" t="str">
        <f>"20190312172823618"</f>
        <v>20190312172823618</v>
      </c>
      <c r="B5967" t="str">
        <f>"1552382903615618"</f>
        <v>1552382903615618</v>
      </c>
      <c r="C5967" t="s">
        <v>40</v>
      </c>
      <c r="D5967">
        <v>3.105451</v>
      </c>
      <c r="E5967">
        <v>0.44562400000000002</v>
      </c>
      <c r="F5967" t="s">
        <v>52</v>
      </c>
      <c r="G5967">
        <v>-185.61080000000001</v>
      </c>
      <c r="H5967" s="1">
        <v>-6.8192580000000002E-6</v>
      </c>
      <c r="I5967">
        <v>-41.624940000000002</v>
      </c>
      <c r="J5967">
        <v>-200.113</v>
      </c>
      <c r="K5967">
        <v>1.119642</v>
      </c>
      <c r="L5967">
        <v>-57.9071</v>
      </c>
      <c r="M5967">
        <v>0.86050190000000004</v>
      </c>
      <c r="N5967">
        <v>0</v>
      </c>
      <c r="O5967">
        <v>0.50921479999999997</v>
      </c>
      <c r="P5967">
        <v>0.75936369999999997</v>
      </c>
      <c r="Q5967">
        <v>0.22727459999999999</v>
      </c>
      <c r="R5967">
        <v>0.60968279999999997</v>
      </c>
      <c r="S5967">
        <v>2.1088260000000001</v>
      </c>
      <c r="T5967">
        <v>-0.16149520000000001</v>
      </c>
      <c r="U5967">
        <v>2.3594360000000001</v>
      </c>
      <c r="V5967">
        <v>-0.14351610000000001</v>
      </c>
      <c r="W5967">
        <v>0.23883679999999999</v>
      </c>
      <c r="X5967">
        <v>0.96039580000000002</v>
      </c>
      <c r="Y5967">
        <v>-0.30247069999999998</v>
      </c>
      <c r="Z5967">
        <v>-1.9172600000000001E-2</v>
      </c>
      <c r="AA5967">
        <v>0.95296590000000003</v>
      </c>
      <c r="AB5967">
        <v>30</v>
      </c>
      <c r="AC5967">
        <v>14.502199999999901</v>
      </c>
      <c r="AD5967">
        <v>-1.1196488192579901</v>
      </c>
      <c r="AE5967">
        <v>16.282159999999902</v>
      </c>
      <c r="AF5967">
        <v>-6.6094512352881498</v>
      </c>
      <c r="AG5967">
        <v>-1.1196488192579901</v>
      </c>
      <c r="AH5967">
        <v>20.7181164323251</v>
      </c>
      <c r="AI5967">
        <v>92.947304016955201</v>
      </c>
      <c r="AJ5967">
        <v>107.69361684677401</v>
      </c>
      <c r="AK5967">
        <v>21.775647122726301</v>
      </c>
      <c r="AL5967">
        <v>76.182102330937894</v>
      </c>
      <c r="AM5967">
        <v>98.499065498896201</v>
      </c>
      <c r="AN5967">
        <v>0.99999999032554499</v>
      </c>
    </row>
    <row r="5968" spans="1:40" x14ac:dyDescent="0.25">
      <c r="A5968" t="str">
        <f>"20190312172823631"</f>
        <v>20190312172823631</v>
      </c>
      <c r="B5968" t="str">
        <f>"1552382903625378"</f>
        <v>1552382903625378</v>
      </c>
      <c r="C5968" t="s">
        <v>40</v>
      </c>
      <c r="D5968">
        <v>3.1473420000000001</v>
      </c>
      <c r="E5968">
        <v>0.44563950000000002</v>
      </c>
      <c r="F5968" t="s">
        <v>52</v>
      </c>
      <c r="G5968">
        <v>-185.5951</v>
      </c>
      <c r="H5968" s="1">
        <v>-6.8549159999999998E-6</v>
      </c>
      <c r="I5968">
        <v>-41.51314</v>
      </c>
      <c r="J5968">
        <v>-199.98070000000001</v>
      </c>
      <c r="K5968">
        <v>1.119661</v>
      </c>
      <c r="L5968">
        <v>-57.822020000000002</v>
      </c>
      <c r="M5968">
        <v>0.85722790000000004</v>
      </c>
      <c r="N5968">
        <v>0</v>
      </c>
      <c r="O5968">
        <v>0.51470700000000003</v>
      </c>
      <c r="P5968">
        <v>0.75558080000000005</v>
      </c>
      <c r="Q5968">
        <v>0.22702459999999999</v>
      </c>
      <c r="R5968">
        <v>0.61445709999999998</v>
      </c>
      <c r="S5968">
        <v>2.0974270000000002</v>
      </c>
      <c r="T5968">
        <v>-0.16175789999999901</v>
      </c>
      <c r="U5968">
        <v>2.3684690000000002</v>
      </c>
      <c r="V5968">
        <v>-0.14339370000000001</v>
      </c>
      <c r="W5968">
        <v>0.23859</v>
      </c>
      <c r="X5968">
        <v>0.96047539999999998</v>
      </c>
      <c r="Y5968">
        <v>-0.30075590000000002</v>
      </c>
      <c r="Z5968">
        <v>-1.955552E-2</v>
      </c>
      <c r="AA5968">
        <v>0.95350060000000003</v>
      </c>
      <c r="AB5968">
        <v>30</v>
      </c>
      <c r="AC5968">
        <v>14.3856</v>
      </c>
      <c r="AD5968">
        <v>-1.119667854916</v>
      </c>
      <c r="AE5968">
        <v>16.308879999999899</v>
      </c>
      <c r="AF5968">
        <v>-6.5594492859981299</v>
      </c>
      <c r="AG5968">
        <v>-1.119667854916</v>
      </c>
      <c r="AH5968">
        <v>20.673686215359201</v>
      </c>
      <c r="AI5968">
        <v>92.955153653375007</v>
      </c>
      <c r="AJ5968">
        <v>107.603448953312</v>
      </c>
      <c r="AK5968">
        <v>21.718225820081301</v>
      </c>
      <c r="AL5968">
        <v>76.196663584481399</v>
      </c>
      <c r="AM5968">
        <v>98.491229152119203</v>
      </c>
      <c r="AN5968">
        <v>0.99999996765242405</v>
      </c>
    </row>
    <row r="5969" spans="1:40" x14ac:dyDescent="0.25">
      <c r="A5969" t="str">
        <f>"20190312172823642"</f>
        <v>20190312172823642</v>
      </c>
      <c r="B5969" t="str">
        <f>"1552382903635138"</f>
        <v>1552382903635138</v>
      </c>
      <c r="C5969" t="s">
        <v>40</v>
      </c>
      <c r="D5969">
        <v>3.0316640000000001</v>
      </c>
      <c r="E5969">
        <v>0.44571749999999999</v>
      </c>
      <c r="F5969" t="s">
        <v>52</v>
      </c>
      <c r="G5969">
        <v>-185.63050000000001</v>
      </c>
      <c r="H5969" s="1">
        <v>-6.8910770000000004E-6</v>
      </c>
      <c r="I5969">
        <v>-41.417020000000001</v>
      </c>
      <c r="J5969">
        <v>-199.84010000000001</v>
      </c>
      <c r="K5969">
        <v>1.119678</v>
      </c>
      <c r="L5969">
        <v>-57.729860000000002</v>
      </c>
      <c r="M5969">
        <v>0.85367559999999998</v>
      </c>
      <c r="N5969">
        <v>0</v>
      </c>
      <c r="O5969">
        <v>0.52057749999999903</v>
      </c>
      <c r="P5969">
        <v>0.75134350000000005</v>
      </c>
      <c r="Q5969">
        <v>0.22671259999999999</v>
      </c>
      <c r="R5969">
        <v>0.61974560000000001</v>
      </c>
      <c r="S5969">
        <v>2.0828859999999998</v>
      </c>
      <c r="T5969">
        <v>-0.1625162</v>
      </c>
      <c r="U5969">
        <v>2.3811339999999999</v>
      </c>
      <c r="V5969">
        <v>-0.14349899999999999</v>
      </c>
      <c r="W5969">
        <v>0.2382756</v>
      </c>
      <c r="X5969">
        <v>0.96053770000000005</v>
      </c>
      <c r="Y5969">
        <v>-0.3000311</v>
      </c>
      <c r="Z5969">
        <v>-1.9994040000000001E-2</v>
      </c>
      <c r="AA5969">
        <v>0.95371989999999995</v>
      </c>
      <c r="AB5969">
        <v>30</v>
      </c>
      <c r="AC5969">
        <v>14.209599999999901</v>
      </c>
      <c r="AD5969">
        <v>-1.1196848910770001</v>
      </c>
      <c r="AE5969">
        <v>16.312839999999898</v>
      </c>
      <c r="AF5969">
        <v>-6.5120055549036904</v>
      </c>
      <c r="AG5969">
        <v>-1.1196848910770001</v>
      </c>
      <c r="AH5969">
        <v>20.569830217043599</v>
      </c>
      <c r="AI5969">
        <v>92.970694155844001</v>
      </c>
      <c r="AJ5969">
        <v>107.56676763036</v>
      </c>
      <c r="AK5969">
        <v>21.6050416745814</v>
      </c>
      <c r="AL5969">
        <v>76.215212078585296</v>
      </c>
      <c r="AM5969">
        <v>98.496830528383498</v>
      </c>
      <c r="AN5969">
        <v>0.99999994883882304</v>
      </c>
    </row>
    <row r="5970" spans="1:40" x14ac:dyDescent="0.25">
      <c r="A5970" t="str">
        <f>"20190312172823654"</f>
        <v>20190312172823654</v>
      </c>
      <c r="B5970" t="str">
        <f>"1552382903645874"</f>
        <v>1552382903645874</v>
      </c>
      <c r="C5970" t="s">
        <v>40</v>
      </c>
      <c r="D5970">
        <v>3.0316239999999999</v>
      </c>
      <c r="E5970">
        <v>0.44541940000000002</v>
      </c>
      <c r="F5970" t="s">
        <v>52</v>
      </c>
      <c r="G5970">
        <v>-185.7433</v>
      </c>
      <c r="H5970" s="1">
        <v>-6.9102880000000002E-6</v>
      </c>
      <c r="I5970">
        <v>-41.39752</v>
      </c>
      <c r="J5970">
        <v>-199.71979999999999</v>
      </c>
      <c r="K5970">
        <v>1.1196919999999999</v>
      </c>
      <c r="L5970">
        <v>-57.6498699999999</v>
      </c>
      <c r="M5970">
        <v>0.85058099999999903</v>
      </c>
      <c r="N5970">
        <v>0</v>
      </c>
      <c r="O5970">
        <v>0.52561840000000004</v>
      </c>
      <c r="P5970">
        <v>0.74777510000000003</v>
      </c>
      <c r="Q5970">
        <v>0.22657079999999999</v>
      </c>
      <c r="R5970">
        <v>0.62409789999999998</v>
      </c>
      <c r="S5970">
        <v>2.0670169999999999</v>
      </c>
      <c r="T5970">
        <v>-0.16417909999999999</v>
      </c>
      <c r="U5970">
        <v>2.394806</v>
      </c>
      <c r="V5970">
        <v>-0.14337659999999999</v>
      </c>
      <c r="W5970">
        <v>0.2381376</v>
      </c>
      <c r="X5970">
        <v>0.96059019999999995</v>
      </c>
      <c r="Y5970">
        <v>-0.30071120000000001</v>
      </c>
      <c r="Z5970">
        <v>-2.0468710000000001E-2</v>
      </c>
      <c r="AA5970">
        <v>0.9534956</v>
      </c>
      <c r="AB5970">
        <v>30</v>
      </c>
      <c r="AC5970">
        <v>13.9764999999999</v>
      </c>
      <c r="AD5970">
        <v>-1.1196989102879999</v>
      </c>
      <c r="AE5970">
        <v>16.2523499999999</v>
      </c>
      <c r="AF5970">
        <v>-6.4607744735091597</v>
      </c>
      <c r="AG5970">
        <v>-1.1196989102879999</v>
      </c>
      <c r="AH5970">
        <v>20.377502302480899</v>
      </c>
      <c r="AI5970">
        <v>92.998310493250202</v>
      </c>
      <c r="AJ5970">
        <v>107.59144146298701</v>
      </c>
      <c r="AK5970">
        <v>21.406492765861099</v>
      </c>
      <c r="AL5970">
        <v>76.223353248422001</v>
      </c>
      <c r="AM5970">
        <v>98.489231433548696</v>
      </c>
      <c r="AN5970">
        <v>0.99999994914867796</v>
      </c>
    </row>
    <row r="5971" spans="1:40" x14ac:dyDescent="0.25">
      <c r="A5971" t="str">
        <f>"20190312172823665"</f>
        <v>20190312172823665</v>
      </c>
      <c r="B5971" t="str">
        <f>"1552382903655634"</f>
        <v>1552382903655634</v>
      </c>
      <c r="C5971" t="s">
        <v>40</v>
      </c>
      <c r="D5971">
        <v>3.2297229999999999</v>
      </c>
      <c r="E5971">
        <v>0.44541839999999999</v>
      </c>
      <c r="F5971" t="s">
        <v>52</v>
      </c>
      <c r="G5971">
        <v>-185.5282</v>
      </c>
      <c r="H5971" s="1">
        <v>-7.0213589999999997E-6</v>
      </c>
      <c r="I5971">
        <v>-40.993450000000003</v>
      </c>
      <c r="J5971">
        <v>-199.6009</v>
      </c>
      <c r="K5971">
        <v>1.1197060000000001</v>
      </c>
      <c r="L5971">
        <v>-57.570039999999999</v>
      </c>
      <c r="M5971">
        <v>0.84747640000000002</v>
      </c>
      <c r="N5971">
        <v>0</v>
      </c>
      <c r="O5971">
        <v>0.53060940000000001</v>
      </c>
      <c r="P5971">
        <v>0.74426719999999902</v>
      </c>
      <c r="Q5971">
        <v>0.22634689999999999</v>
      </c>
      <c r="R5971">
        <v>0.62835779999999997</v>
      </c>
      <c r="S5971">
        <v>2.0514220000000001</v>
      </c>
      <c r="T5971">
        <v>-0.16185439999999901</v>
      </c>
      <c r="U5971">
        <v>2.407715</v>
      </c>
      <c r="V5971">
        <v>-0.14318110000000001</v>
      </c>
      <c r="W5971">
        <v>0.23791950000000001</v>
      </c>
      <c r="X5971">
        <v>0.96067349999999996</v>
      </c>
      <c r="Y5971">
        <v>-0.30120429999999998</v>
      </c>
      <c r="Z5971">
        <v>-2.0449700000000001E-2</v>
      </c>
      <c r="AA5971">
        <v>0.95334039999999998</v>
      </c>
      <c r="AB5971">
        <v>30</v>
      </c>
      <c r="AC5971">
        <v>14.0726999999999</v>
      </c>
      <c r="AD5971">
        <v>-1.1197130213590001</v>
      </c>
      <c r="AE5971">
        <v>16.576589999999999</v>
      </c>
      <c r="AF5971">
        <v>-6.5645365352647804</v>
      </c>
      <c r="AG5971">
        <v>-1.1197130213590001</v>
      </c>
      <c r="AH5971">
        <v>20.669627603555199</v>
      </c>
      <c r="AI5971">
        <v>92.955589483627193</v>
      </c>
      <c r="AJ5971">
        <v>107.619502594324</v>
      </c>
      <c r="AK5971">
        <v>21.715902063756801</v>
      </c>
      <c r="AL5971">
        <v>76.236220592862196</v>
      </c>
      <c r="AM5971">
        <v>98.4770999083064</v>
      </c>
      <c r="AN5971">
        <v>1.00000004473985</v>
      </c>
    </row>
    <row r="5972" spans="1:40" x14ac:dyDescent="0.25">
      <c r="A5972" t="str">
        <f>"20190312172823677"</f>
        <v>20190312172823677</v>
      </c>
      <c r="B5972" t="str">
        <f>"1552382903665394"</f>
        <v>1552382903665394</v>
      </c>
      <c r="C5972" t="s">
        <v>40</v>
      </c>
      <c r="D5972">
        <v>3.1252840000000002</v>
      </c>
      <c r="E5972">
        <v>0.4458415</v>
      </c>
      <c r="F5972" t="s">
        <v>52</v>
      </c>
      <c r="G5972">
        <v>-185.5309</v>
      </c>
      <c r="H5972" s="1">
        <v>-7.0642290000000002E-6</v>
      </c>
      <c r="I5972">
        <v>-40.86627</v>
      </c>
      <c r="J5972">
        <v>-199.47739999999999</v>
      </c>
      <c r="K5972">
        <v>1.1197159999999999</v>
      </c>
      <c r="L5972">
        <v>-57.485529999999997</v>
      </c>
      <c r="M5972">
        <v>0.84419049999999995</v>
      </c>
      <c r="N5972">
        <v>0</v>
      </c>
      <c r="O5972">
        <v>0.53582169999999996</v>
      </c>
      <c r="P5972">
        <v>0.74066549999999998</v>
      </c>
      <c r="Q5972">
        <v>0.2258791</v>
      </c>
      <c r="R5972">
        <v>0.63276650000000001</v>
      </c>
      <c r="S5972">
        <v>2.0377200000000002</v>
      </c>
      <c r="T5972">
        <v>-0.1621649</v>
      </c>
      <c r="U5972">
        <v>2.4191590000000001</v>
      </c>
      <c r="V5972">
        <v>-0.14288519999999999</v>
      </c>
      <c r="W5972">
        <v>0.2374609</v>
      </c>
      <c r="X5972">
        <v>0.96083099999999999</v>
      </c>
      <c r="Y5972">
        <v>-0.30071490000000001</v>
      </c>
      <c r="Z5972">
        <v>-2.0793929999999999E-2</v>
      </c>
      <c r="AA5972">
        <v>0.95348739999999998</v>
      </c>
      <c r="AB5972">
        <v>30</v>
      </c>
      <c r="AC5972">
        <v>13.946499999999901</v>
      </c>
      <c r="AD5972">
        <v>-1.1197230642289999</v>
      </c>
      <c r="AE5972">
        <v>16.619260000000001</v>
      </c>
      <c r="AF5972">
        <v>-6.5403418640869999</v>
      </c>
      <c r="AG5972">
        <v>-1.1197230642289999</v>
      </c>
      <c r="AH5972">
        <v>20.625979185074598</v>
      </c>
      <c r="AI5972">
        <v>92.962286484853806</v>
      </c>
      <c r="AJ5972">
        <v>107.593427235476</v>
      </c>
      <c r="AK5972">
        <v>21.667045686544999</v>
      </c>
      <c r="AL5972">
        <v>76.263271556819703</v>
      </c>
      <c r="AM5972">
        <v>98.458468109344906</v>
      </c>
      <c r="AN5972">
        <v>1.00000003498442</v>
      </c>
    </row>
    <row r="5973" spans="1:40" x14ac:dyDescent="0.25">
      <c r="A5973" t="str">
        <f>"20190312172823689"</f>
        <v>20190312172823689</v>
      </c>
      <c r="B5973" t="str">
        <f>"1552382903685890"</f>
        <v>1552382903685890</v>
      </c>
      <c r="C5973" t="s">
        <v>40</v>
      </c>
      <c r="D5973">
        <v>3.1108470000000001</v>
      </c>
      <c r="E5973">
        <v>0.44674170000000002</v>
      </c>
      <c r="F5973" t="s">
        <v>52</v>
      </c>
      <c r="G5973">
        <v>-185.7303</v>
      </c>
      <c r="H5973" s="1">
        <v>-7.040409E-6</v>
      </c>
      <c r="I5973">
        <v>-41.004449999999999</v>
      </c>
      <c r="J5973">
        <v>-199.3466</v>
      </c>
      <c r="K5973">
        <v>1.1197280000000001</v>
      </c>
      <c r="L5973">
        <v>-57.395510000000002</v>
      </c>
      <c r="M5973">
        <v>0.84066689999999999</v>
      </c>
      <c r="N5973">
        <v>0</v>
      </c>
      <c r="O5973">
        <v>0.54133299999999995</v>
      </c>
      <c r="P5973">
        <v>0.73678859999999902</v>
      </c>
      <c r="Q5973">
        <v>0.225353</v>
      </c>
      <c r="R5973">
        <v>0.63746269999999905</v>
      </c>
      <c r="S5973">
        <v>2.025833</v>
      </c>
      <c r="T5973">
        <v>-0.1650085</v>
      </c>
      <c r="U5973">
        <v>2.428741</v>
      </c>
      <c r="V5973">
        <v>-0.14261460000000001</v>
      </c>
      <c r="W5973">
        <v>0.23694390000000001</v>
      </c>
      <c r="X5973">
        <v>0.96099880000000004</v>
      </c>
      <c r="Y5973">
        <v>-0.29909150000000001</v>
      </c>
      <c r="Z5973">
        <v>-2.1513540000000001E-2</v>
      </c>
      <c r="AA5973">
        <v>0.95398190000000005</v>
      </c>
      <c r="AB5973">
        <v>30</v>
      </c>
      <c r="AC5973">
        <v>13.616299999999899</v>
      </c>
      <c r="AD5973">
        <v>-1.1197350404090001</v>
      </c>
      <c r="AE5973">
        <v>16.3910599999999</v>
      </c>
      <c r="AF5973">
        <v>-6.39158218180284</v>
      </c>
      <c r="AG5973">
        <v>-1.1197350404090001</v>
      </c>
      <c r="AH5973">
        <v>20.2662499208705</v>
      </c>
      <c r="AI5973">
        <v>93.016284875406996</v>
      </c>
      <c r="AJ5973">
        <v>107.50426378940099</v>
      </c>
      <c r="AK5973">
        <v>21.279732498380799</v>
      </c>
      <c r="AL5973">
        <v>76.293763429700803</v>
      </c>
      <c r="AM5973">
        <v>98.441227375259103</v>
      </c>
      <c r="AN5973">
        <v>1.0000000147409001</v>
      </c>
    </row>
    <row r="5974" spans="1:40" x14ac:dyDescent="0.25">
      <c r="A5974" t="str">
        <f>"20190312172823709"</f>
        <v>20190312172823709</v>
      </c>
      <c r="B5974" t="str">
        <f>"1552382903705409"</f>
        <v>1552382903705409</v>
      </c>
      <c r="C5974" t="s">
        <v>40</v>
      </c>
      <c r="D5974">
        <v>3.1260029999999999</v>
      </c>
      <c r="E5974">
        <v>0.44753779999999999</v>
      </c>
      <c r="F5974" t="s">
        <v>52</v>
      </c>
      <c r="G5974">
        <v>-185.85810000000001</v>
      </c>
      <c r="H5974" s="1">
        <v>-7.0256600000000001E-6</v>
      </c>
      <c r="I5974">
        <v>-41.091450000000002</v>
      </c>
      <c r="J5974">
        <v>-199.1345</v>
      </c>
      <c r="K5974">
        <v>1.1197349999999999</v>
      </c>
      <c r="L5974">
        <v>-57.24606</v>
      </c>
      <c r="M5974">
        <v>0.83480779999999999</v>
      </c>
      <c r="N5974">
        <v>0</v>
      </c>
      <c r="O5974">
        <v>0.55032539999999996</v>
      </c>
      <c r="P5974">
        <v>0.73030289999999998</v>
      </c>
      <c r="Q5974">
        <v>0.2241245</v>
      </c>
      <c r="R5974">
        <v>0.64531070000000001</v>
      </c>
      <c r="S5974">
        <v>2.0153050000000001</v>
      </c>
      <c r="T5974">
        <v>-0.16729869999999999</v>
      </c>
      <c r="U5974">
        <v>2.4359739999999999</v>
      </c>
      <c r="V5974">
        <v>-0.14235410000000001</v>
      </c>
      <c r="W5974">
        <v>0.23572770000000001</v>
      </c>
      <c r="X5974">
        <v>0.96133639999999998</v>
      </c>
      <c r="Y5974">
        <v>-0.29270099999999999</v>
      </c>
      <c r="Z5974">
        <v>-2.2493329999999999E-2</v>
      </c>
      <c r="AA5974">
        <v>0.95593939999999999</v>
      </c>
      <c r="AB5974">
        <v>30</v>
      </c>
      <c r="AC5974">
        <v>13.276399999999899</v>
      </c>
      <c r="AD5974">
        <v>-1.1197420256599999</v>
      </c>
      <c r="AE5974">
        <v>16.154609999999899</v>
      </c>
      <c r="AF5974">
        <v>-6.1627171277368102</v>
      </c>
      <c r="AG5974">
        <v>-1.1197420256599999</v>
      </c>
      <c r="AH5974">
        <v>19.918791122329299</v>
      </c>
      <c r="AI5974">
        <v>93.074044524760694</v>
      </c>
      <c r="AJ5974">
        <v>107.191655683791</v>
      </c>
      <c r="AK5974">
        <v>20.880400962996699</v>
      </c>
      <c r="AL5974">
        <v>76.365477320971706</v>
      </c>
      <c r="AM5974">
        <v>98.423113590300005</v>
      </c>
      <c r="AN5974">
        <v>0.99999995614952897</v>
      </c>
    </row>
    <row r="5975" spans="1:40" x14ac:dyDescent="0.25">
      <c r="A5975" t="str">
        <f>"20190312172823724"</f>
        <v>20190312172823724</v>
      </c>
      <c r="B5975" t="str">
        <f>"1552382903715170"</f>
        <v>1552382903715170</v>
      </c>
      <c r="C5975" t="s">
        <v>40</v>
      </c>
      <c r="D5975">
        <v>3.117194</v>
      </c>
      <c r="E5975">
        <v>0.44793569999999999</v>
      </c>
      <c r="F5975" t="s">
        <v>52</v>
      </c>
      <c r="G5975">
        <v>-186.0917</v>
      </c>
      <c r="H5975" s="1">
        <v>-7.01393299999999E-6</v>
      </c>
      <c r="I5975">
        <v>-41.204979999999999</v>
      </c>
      <c r="J5975">
        <v>-198.96950000000001</v>
      </c>
      <c r="K5975">
        <v>1.119739</v>
      </c>
      <c r="L5975">
        <v>-57.127290000000002</v>
      </c>
      <c r="M5975">
        <v>0.83013709999999996</v>
      </c>
      <c r="N5975">
        <v>0</v>
      </c>
      <c r="O5975">
        <v>0.55734569999999894</v>
      </c>
      <c r="P5975">
        <v>0.72496549999999904</v>
      </c>
      <c r="Q5975">
        <v>0.2238155</v>
      </c>
      <c r="R5975">
        <v>0.65140759999999998</v>
      </c>
      <c r="S5975">
        <v>1.9937290000000001</v>
      </c>
      <c r="T5975">
        <v>-0.17116500000000001</v>
      </c>
      <c r="U5975">
        <v>2.4520569999999999</v>
      </c>
      <c r="V5975">
        <v>-0.1422457</v>
      </c>
      <c r="W5975">
        <v>0.2354251</v>
      </c>
      <c r="X5975">
        <v>0.96142660000000002</v>
      </c>
      <c r="Y5975">
        <v>-0.29278569999999998</v>
      </c>
      <c r="Z5975">
        <v>-2.3436760000000001E-2</v>
      </c>
      <c r="AA5975">
        <v>0.95589080000000004</v>
      </c>
      <c r="AB5975">
        <v>30</v>
      </c>
      <c r="AC5975">
        <v>12.877800000000001</v>
      </c>
      <c r="AD5975">
        <v>-1.119746013933</v>
      </c>
      <c r="AE5975">
        <v>15.92231</v>
      </c>
      <c r="AF5975">
        <v>-6.0230250696349401</v>
      </c>
      <c r="AG5975">
        <v>-1.119746013933</v>
      </c>
      <c r="AH5975">
        <v>19.508572399837501</v>
      </c>
      <c r="AI5975">
        <v>93.139146252871299</v>
      </c>
      <c r="AJ5975">
        <v>107.157411228611</v>
      </c>
      <c r="AK5975">
        <v>20.447861971484301</v>
      </c>
      <c r="AL5975">
        <v>76.383317192423306</v>
      </c>
      <c r="AM5975">
        <v>98.416013114324599</v>
      </c>
      <c r="AN5975">
        <v>0.99999996203302899</v>
      </c>
    </row>
    <row r="5976" spans="1:40" x14ac:dyDescent="0.25">
      <c r="A5976" t="str">
        <f>"20190312172823742"</f>
        <v>20190312172823742</v>
      </c>
      <c r="B5976" t="str">
        <f>"1552382903735666"</f>
        <v>1552382903735666</v>
      </c>
      <c r="C5976" t="s">
        <v>40</v>
      </c>
      <c r="D5976">
        <v>3.1259939999999999</v>
      </c>
      <c r="E5976">
        <v>0.4487469</v>
      </c>
      <c r="F5976" t="s">
        <v>52</v>
      </c>
      <c r="G5976">
        <v>-186.09209999999999</v>
      </c>
      <c r="H5976" s="1">
        <v>-7.0650899999999903E-6</v>
      </c>
      <c r="I5976">
        <v>-41.052280000000003</v>
      </c>
      <c r="J5976">
        <v>-198.78890000000001</v>
      </c>
      <c r="K5976">
        <v>1.1197349999999999</v>
      </c>
      <c r="L5976">
        <v>-56.994840000000003</v>
      </c>
      <c r="M5976">
        <v>0.82491489999999901</v>
      </c>
      <c r="N5976">
        <v>0</v>
      </c>
      <c r="O5976">
        <v>0.56504619999999905</v>
      </c>
      <c r="P5976">
        <v>0.71921000000000002</v>
      </c>
      <c r="Q5976">
        <v>0.22295419999999999</v>
      </c>
      <c r="R5976">
        <v>0.658049</v>
      </c>
      <c r="S5976">
        <v>1.9754179999999999</v>
      </c>
      <c r="T5976">
        <v>-0.17177149999999999</v>
      </c>
      <c r="U5976">
        <v>2.4659420000000001</v>
      </c>
      <c r="V5976">
        <v>-0.14197309999999999</v>
      </c>
      <c r="W5976">
        <v>0.23457649999999999</v>
      </c>
      <c r="X5976">
        <v>0.96167429999999998</v>
      </c>
      <c r="Y5976">
        <v>-0.29084759999999998</v>
      </c>
      <c r="Z5976">
        <v>-2.4031759999999999E-2</v>
      </c>
      <c r="AA5976">
        <v>0.95646750000000003</v>
      </c>
      <c r="AB5976">
        <v>30</v>
      </c>
      <c r="AC5976">
        <v>12.6968</v>
      </c>
      <c r="AD5976">
        <v>-1.1197420650900001</v>
      </c>
      <c r="AE5976">
        <v>15.94256</v>
      </c>
      <c r="AF5976">
        <v>-5.9596990983231297</v>
      </c>
      <c r="AG5976">
        <v>-1.1197420650900001</v>
      </c>
      <c r="AH5976">
        <v>19.425745809978199</v>
      </c>
      <c r="AI5976">
        <v>93.154212258083604</v>
      </c>
      <c r="AJ5976">
        <v>107.055690735798</v>
      </c>
      <c r="AK5976">
        <v>20.3502195543137</v>
      </c>
      <c r="AL5976">
        <v>76.433339465823195</v>
      </c>
      <c r="AM5976">
        <v>98.397982213525395</v>
      </c>
      <c r="AN5976">
        <v>0.99999997737817403</v>
      </c>
    </row>
    <row r="5977" spans="1:40" x14ac:dyDescent="0.25">
      <c r="A5977" t="str">
        <f>"20190312172823754"</f>
        <v>20190312172823754</v>
      </c>
      <c r="B5977" t="str">
        <f>"1552382903745426"</f>
        <v>1552382903745426</v>
      </c>
      <c r="C5977" t="s">
        <v>40</v>
      </c>
      <c r="D5977">
        <v>3.1112549999999999</v>
      </c>
      <c r="E5977">
        <v>0.4487469</v>
      </c>
      <c r="F5977" t="s">
        <v>52</v>
      </c>
      <c r="G5977">
        <v>-186.233</v>
      </c>
      <c r="H5977" s="1">
        <v>-7.0663530000000004E-6</v>
      </c>
      <c r="I5977">
        <v>-41.095849999999999</v>
      </c>
      <c r="J5977">
        <v>-198.66489999999999</v>
      </c>
      <c r="K5977">
        <v>1.119734</v>
      </c>
      <c r="L5977">
        <v>-56.902439999999999</v>
      </c>
      <c r="M5977">
        <v>0.82126219999999905</v>
      </c>
      <c r="N5977">
        <v>0</v>
      </c>
      <c r="O5977">
        <v>0.57034219999999902</v>
      </c>
      <c r="P5977">
        <v>0.71525869999999903</v>
      </c>
      <c r="Q5977">
        <v>0.2227973</v>
      </c>
      <c r="R5977">
        <v>0.6623945</v>
      </c>
      <c r="S5977">
        <v>1.9574739999999999</v>
      </c>
      <c r="T5977">
        <v>-0.174568899999999</v>
      </c>
      <c r="U5977">
        <v>2.4786679999999999</v>
      </c>
      <c r="V5977">
        <v>-0.14157829999999999</v>
      </c>
      <c r="W5977">
        <v>0.23443230000000001</v>
      </c>
      <c r="X5977">
        <v>0.9617677</v>
      </c>
      <c r="Y5977">
        <v>-0.29135630000000001</v>
      </c>
      <c r="Z5977">
        <v>-2.4741659999999999E-2</v>
      </c>
      <c r="AA5977">
        <v>0.95629459999999999</v>
      </c>
      <c r="AB5977">
        <v>29</v>
      </c>
      <c r="AC5977">
        <v>12.431899999999899</v>
      </c>
      <c r="AD5977">
        <v>-1.1197410663529901</v>
      </c>
      <c r="AE5977">
        <v>15.80659</v>
      </c>
      <c r="AF5977">
        <v>-5.8734091736515799</v>
      </c>
      <c r="AG5977">
        <v>-1.1197410663529901</v>
      </c>
      <c r="AH5977">
        <v>19.167875828327698</v>
      </c>
      <c r="AI5977">
        <v>93.196891122440803</v>
      </c>
      <c r="AJ5977">
        <v>107.036081013109</v>
      </c>
      <c r="AK5977">
        <v>20.0788002417227</v>
      </c>
      <c r="AL5977">
        <v>76.441839012499301</v>
      </c>
      <c r="AM5977">
        <v>98.374158924114695</v>
      </c>
      <c r="AN5977">
        <v>1.0000000135387299</v>
      </c>
    </row>
    <row r="5978" spans="1:40" x14ac:dyDescent="0.25">
      <c r="A5978" t="str">
        <f>"20190312172823765"</f>
        <v>20190312172823765</v>
      </c>
      <c r="B5978" t="str">
        <f>"1552382903755186"</f>
        <v>1552382903755186</v>
      </c>
      <c r="C5978" t="s">
        <v>40</v>
      </c>
      <c r="D5978">
        <v>3.1158380000000001</v>
      </c>
      <c r="E5978">
        <v>0.45729160000000002</v>
      </c>
      <c r="F5978" t="s">
        <v>52</v>
      </c>
      <c r="G5978">
        <v>-186.24100000000001</v>
      </c>
      <c r="H5978" s="1">
        <v>-7.1076980000000001E-6</v>
      </c>
      <c r="I5978">
        <v>-40.975029999999997</v>
      </c>
      <c r="J5978">
        <v>-198.5333</v>
      </c>
      <c r="K5978">
        <v>1.1197239999999999</v>
      </c>
      <c r="L5978">
        <v>-56.803310000000003</v>
      </c>
      <c r="M5978">
        <v>0.81733109999999998</v>
      </c>
      <c r="N5978">
        <v>0</v>
      </c>
      <c r="O5978">
        <v>0.57596150000000002</v>
      </c>
      <c r="P5978">
        <v>0.71074040000000005</v>
      </c>
      <c r="Q5978">
        <v>0.22276589999999999</v>
      </c>
      <c r="R5978">
        <v>0.66725069999999997</v>
      </c>
      <c r="S5978">
        <v>1.9425349999999999</v>
      </c>
      <c r="T5978">
        <v>-0.1750767</v>
      </c>
      <c r="U5978">
        <v>2.490326</v>
      </c>
      <c r="V5978">
        <v>-0.1415237</v>
      </c>
      <c r="W5978">
        <v>0.23440549999999999</v>
      </c>
      <c r="X5978">
        <v>0.96178229999999998</v>
      </c>
      <c r="Y5978">
        <v>-0.29054089999999999</v>
      </c>
      <c r="Z5978">
        <v>-2.5177100000000001E-2</v>
      </c>
      <c r="AA5978">
        <v>0.95653129999999997</v>
      </c>
      <c r="AB5978">
        <v>29</v>
      </c>
      <c r="AC5978">
        <v>12.292299999999999</v>
      </c>
      <c r="AD5978">
        <v>-1.1197311076980001</v>
      </c>
      <c r="AE5978">
        <v>15.828279999999999</v>
      </c>
      <c r="AF5978">
        <v>-5.8395222925922097</v>
      </c>
      <c r="AG5978">
        <v>-1.1197311076980001</v>
      </c>
      <c r="AH5978">
        <v>19.105998124130501</v>
      </c>
      <c r="AI5978">
        <v>93.2078944316345</v>
      </c>
      <c r="AJ5978">
        <v>106.995152425366</v>
      </c>
      <c r="AK5978">
        <v>20.009822155094401</v>
      </c>
      <c r="AL5978">
        <v>76.443418977734495</v>
      </c>
      <c r="AM5978">
        <v>98.370849908113499</v>
      </c>
      <c r="AN5978">
        <v>1.00000004434261</v>
      </c>
    </row>
    <row r="5979" spans="1:40" x14ac:dyDescent="0.25">
      <c r="A5979" t="str">
        <f>"20190312172823778"</f>
        <v>20190312172823778</v>
      </c>
      <c r="B5979" t="str">
        <f>"1552382903775682"</f>
        <v>1552382903775682</v>
      </c>
      <c r="C5979" t="s">
        <v>40</v>
      </c>
      <c r="D5979">
        <v>3.108295</v>
      </c>
      <c r="E5979">
        <v>0.45753739999999998</v>
      </c>
      <c r="F5979" t="s">
        <v>52</v>
      </c>
      <c r="G5979">
        <v>-185.4889</v>
      </c>
      <c r="H5979" s="1">
        <v>-7.1546849999999899E-6</v>
      </c>
      <c r="I5979">
        <v>-40.581949999999999</v>
      </c>
      <c r="J5979">
        <v>-198.41040000000001</v>
      </c>
      <c r="K5979">
        <v>1.1197170000000001</v>
      </c>
      <c r="L5979">
        <v>-56.708799999999997</v>
      </c>
      <c r="M5979">
        <v>0.81359139999999996</v>
      </c>
      <c r="N5979">
        <v>0</v>
      </c>
      <c r="O5979">
        <v>0.58123219999999898</v>
      </c>
      <c r="P5979">
        <v>0.7067348</v>
      </c>
      <c r="Q5979">
        <v>0.2225577</v>
      </c>
      <c r="R5979">
        <v>0.67156090000000002</v>
      </c>
      <c r="S5979">
        <v>1.9718929999999999</v>
      </c>
      <c r="T5979">
        <v>-0.16926739999999901</v>
      </c>
      <c r="U5979">
        <v>2.4521480000000002</v>
      </c>
      <c r="V5979">
        <v>-0.1411095</v>
      </c>
      <c r="W5979">
        <v>0.23421120000000001</v>
      </c>
      <c r="X5979">
        <v>0.96189049999999998</v>
      </c>
      <c r="Y5979">
        <v>-0.27012350000000002</v>
      </c>
      <c r="Z5979">
        <v>-2.5221250000000001E-2</v>
      </c>
      <c r="AA5979">
        <v>0.96249530000000005</v>
      </c>
      <c r="AB5979">
        <v>29</v>
      </c>
      <c r="AC5979">
        <v>12.9215</v>
      </c>
      <c r="AD5979">
        <v>-1.1197241546850001</v>
      </c>
      <c r="AE5979">
        <v>16.126849999999902</v>
      </c>
      <c r="AF5979">
        <v>-5.5945174069478796</v>
      </c>
      <c r="AG5979">
        <v>-1.1197241546850001</v>
      </c>
      <c r="AH5979">
        <v>19.8304126017666</v>
      </c>
      <c r="AI5979">
        <v>93.110608844338998</v>
      </c>
      <c r="AJ5979">
        <v>105.754717413715</v>
      </c>
      <c r="AK5979">
        <v>20.634865426155201</v>
      </c>
      <c r="AL5979">
        <v>76.454870481332506</v>
      </c>
      <c r="AM5979">
        <v>98.345770758919301</v>
      </c>
      <c r="AN5979">
        <v>1.00000005559296</v>
      </c>
    </row>
    <row r="5980" spans="1:40" x14ac:dyDescent="0.25">
      <c r="A5980" t="str">
        <f>"20190312172823790"</f>
        <v>20190312172823790</v>
      </c>
      <c r="B5980" t="str">
        <f>"1552382903785442"</f>
        <v>1552382903785442</v>
      </c>
      <c r="C5980" t="s">
        <v>40</v>
      </c>
      <c r="D5980">
        <v>3.0863689999999999</v>
      </c>
      <c r="E5980">
        <v>0.45780199999999999</v>
      </c>
      <c r="F5980" t="s">
        <v>41</v>
      </c>
      <c r="G5980">
        <v>-185.08770000000001</v>
      </c>
      <c r="H5980" s="1">
        <v>-1.4413669999999901E-6</v>
      </c>
      <c r="I5980">
        <v>-39.9572</v>
      </c>
      <c r="J5980">
        <v>-198.29069999999999</v>
      </c>
      <c r="K5980">
        <v>1.119707</v>
      </c>
      <c r="L5980">
        <v>-56.616149999999998</v>
      </c>
      <c r="M5980">
        <v>0.80990549999999994</v>
      </c>
      <c r="N5980">
        <v>0</v>
      </c>
      <c r="O5980">
        <v>0.58635719999999902</v>
      </c>
      <c r="P5980">
        <v>0.70264019999999905</v>
      </c>
      <c r="Q5980">
        <v>0.22249669999999999</v>
      </c>
      <c r="R5980">
        <v>0.67586389999999996</v>
      </c>
      <c r="S5980">
        <v>1.9576720000000001</v>
      </c>
      <c r="T5980">
        <v>-0.16453400000000001</v>
      </c>
      <c r="U5980">
        <v>2.4615170000000002</v>
      </c>
      <c r="V5980">
        <v>-0.14089299999999999</v>
      </c>
      <c r="W5980">
        <v>0.23415929999999999</v>
      </c>
      <c r="X5980">
        <v>0.96193479999999998</v>
      </c>
      <c r="Y5980">
        <v>-0.26922200000000002</v>
      </c>
      <c r="Z5980">
        <v>-2.4843959999999998E-2</v>
      </c>
      <c r="AA5980">
        <v>0.96275759999999999</v>
      </c>
      <c r="AB5980">
        <v>29</v>
      </c>
      <c r="AC5980">
        <v>13.2029999999999</v>
      </c>
      <c r="AD5980">
        <v>-1.119708441367</v>
      </c>
      <c r="AE5980">
        <v>16.658949999999901</v>
      </c>
      <c r="AF5980">
        <v>-5.7352724520671003</v>
      </c>
      <c r="AG5980">
        <v>-1.119708441367</v>
      </c>
      <c r="AH5980">
        <v>20.407091367407801</v>
      </c>
      <c r="AI5980">
        <v>93.023676283331199</v>
      </c>
      <c r="AJ5980">
        <v>105.697652316282</v>
      </c>
      <c r="AK5980">
        <v>21.227257834464499</v>
      </c>
      <c r="AL5980">
        <v>76.457928246758797</v>
      </c>
      <c r="AM5980">
        <v>98.332767663968994</v>
      </c>
      <c r="AN5980">
        <v>0.99999998733826401</v>
      </c>
    </row>
    <row r="5981" spans="1:40" x14ac:dyDescent="0.25">
      <c r="A5981" t="str">
        <f>"20190312172823810"</f>
        <v>20190312172823810</v>
      </c>
      <c r="B5981" t="str">
        <f>"1552382903805938"</f>
        <v>1552382903805938</v>
      </c>
      <c r="C5981" t="s">
        <v>40</v>
      </c>
      <c r="D5981">
        <v>3.1183100000000001</v>
      </c>
      <c r="E5981">
        <v>0.45862910000000001</v>
      </c>
      <c r="F5981" t="s">
        <v>41</v>
      </c>
      <c r="G5981">
        <v>-185.04339999999999</v>
      </c>
      <c r="H5981" s="1">
        <v>-1.5165330000000001E-6</v>
      </c>
      <c r="I5981">
        <v>-39.770969999999998</v>
      </c>
      <c r="J5981">
        <v>-198.0883</v>
      </c>
      <c r="K5981">
        <v>1.1196900000000001</v>
      </c>
      <c r="L5981">
        <v>-56.456180000000003</v>
      </c>
      <c r="M5981">
        <v>0.80354680000000001</v>
      </c>
      <c r="N5981">
        <v>0</v>
      </c>
      <c r="O5981">
        <v>0.5950415</v>
      </c>
      <c r="P5981">
        <v>0.69605839999999997</v>
      </c>
      <c r="Q5981">
        <v>0.22161049999999999</v>
      </c>
      <c r="R5981">
        <v>0.68292869999999894</v>
      </c>
      <c r="S5981">
        <v>1.9439390000000001</v>
      </c>
      <c r="T5981">
        <v>-0.16430819999999999</v>
      </c>
      <c r="U5981">
        <v>2.4718930000000001</v>
      </c>
      <c r="V5981">
        <v>-0.14005889999999999</v>
      </c>
      <c r="W5981">
        <v>0.23330149999999999</v>
      </c>
      <c r="X5981">
        <v>0.96226500000000004</v>
      </c>
      <c r="Y5981">
        <v>-0.26413049999999999</v>
      </c>
      <c r="Z5981">
        <v>-2.5424479999999999E-2</v>
      </c>
      <c r="AA5981">
        <v>0.9641518</v>
      </c>
      <c r="AB5981">
        <v>29</v>
      </c>
      <c r="AC5981">
        <v>13.0449</v>
      </c>
      <c r="AD5981">
        <v>-1.1196915165329999</v>
      </c>
      <c r="AE5981">
        <v>16.685210000000001</v>
      </c>
      <c r="AF5981">
        <v>-5.6300270333058098</v>
      </c>
      <c r="AG5981">
        <v>-1.1196915165329999</v>
      </c>
      <c r="AH5981">
        <v>20.356116997591101</v>
      </c>
      <c r="AI5981">
        <v>93.034686030986293</v>
      </c>
      <c r="AJ5981">
        <v>105.460202454678</v>
      </c>
      <c r="AK5981">
        <v>21.149997936348999</v>
      </c>
      <c r="AL5981">
        <v>76.508476968975103</v>
      </c>
      <c r="AM5981">
        <v>98.281320257764307</v>
      </c>
      <c r="AN5981">
        <v>1.0000000077982301</v>
      </c>
    </row>
    <row r="5982" spans="1:40" x14ac:dyDescent="0.25">
      <c r="A5982" t="str">
        <f>"20190312172823822"</f>
        <v>20190312172823822</v>
      </c>
      <c r="B5982" t="str">
        <f>"1552382903815698"</f>
        <v>1552382903815698</v>
      </c>
      <c r="C5982" t="s">
        <v>40</v>
      </c>
      <c r="D5982">
        <v>3.13551</v>
      </c>
      <c r="E5982">
        <v>0.45908959999999999</v>
      </c>
      <c r="F5982" t="s">
        <v>41</v>
      </c>
      <c r="G5982">
        <v>-185.33009999999999</v>
      </c>
      <c r="H5982" s="1">
        <v>-1.3747799999999901E-6</v>
      </c>
      <c r="I5982">
        <v>-39.963340000000002</v>
      </c>
      <c r="J5982">
        <v>-197.9648</v>
      </c>
      <c r="K5982">
        <v>1.119678</v>
      </c>
      <c r="L5982">
        <v>-56.35669</v>
      </c>
      <c r="M5982">
        <v>0.79958839999999998</v>
      </c>
      <c r="N5982">
        <v>0</v>
      </c>
      <c r="O5982">
        <v>0.60035000000000005</v>
      </c>
      <c r="P5982">
        <v>0.69188559999999999</v>
      </c>
      <c r="Q5982">
        <v>0.22136459999999999</v>
      </c>
      <c r="R5982">
        <v>0.68723509999999999</v>
      </c>
      <c r="S5982">
        <v>1.9237519999999999</v>
      </c>
      <c r="T5982">
        <v>-0.16883299999999901</v>
      </c>
      <c r="U5982">
        <v>2.4868769999999998</v>
      </c>
      <c r="V5982">
        <v>-0.13959839999999901</v>
      </c>
      <c r="W5982">
        <v>0.2330711</v>
      </c>
      <c r="X5982">
        <v>0.96238769999999996</v>
      </c>
      <c r="Y5982">
        <v>-0.26547019999999999</v>
      </c>
      <c r="Z5982">
        <v>-2.6411130000000001E-2</v>
      </c>
      <c r="AA5982">
        <v>0.96375719999999998</v>
      </c>
      <c r="AB5982">
        <v>29</v>
      </c>
      <c r="AC5982">
        <v>12.6347</v>
      </c>
      <c r="AD5982">
        <v>-1.11967937478</v>
      </c>
      <c r="AE5982">
        <v>16.393349999999899</v>
      </c>
      <c r="AF5982">
        <v>-5.5072310492003798</v>
      </c>
      <c r="AG5982">
        <v>-1.11967937478</v>
      </c>
      <c r="AH5982">
        <v>19.888478445867602</v>
      </c>
      <c r="AI5982">
        <v>93.105606916301298</v>
      </c>
      <c r="AJ5982">
        <v>105.47770810694</v>
      </c>
      <c r="AK5982">
        <v>20.6672410017236</v>
      </c>
      <c r="AL5982">
        <v>76.522051610002606</v>
      </c>
      <c r="AM5982">
        <v>98.253429977372505</v>
      </c>
      <c r="AN5982">
        <v>0.99999996802452895</v>
      </c>
    </row>
    <row r="5983" spans="1:40" x14ac:dyDescent="0.25">
      <c r="A5983" t="str">
        <f>"20190312172823835"</f>
        <v>20190312172823835</v>
      </c>
      <c r="B5983" t="str">
        <f>"1552382903825458"</f>
        <v>1552382903825458</v>
      </c>
      <c r="C5983" t="s">
        <v>40</v>
      </c>
      <c r="D5983">
        <v>3.1158579999999998</v>
      </c>
      <c r="E5983">
        <v>0.45908959999999999</v>
      </c>
      <c r="F5983" t="s">
        <v>41</v>
      </c>
      <c r="G5983">
        <v>-185.34819999999999</v>
      </c>
      <c r="H5983" s="1">
        <v>-1.3995769999999999E-6</v>
      </c>
      <c r="I5983">
        <v>-39.876339999999999</v>
      </c>
      <c r="J5983">
        <v>-197.84289999999999</v>
      </c>
      <c r="K5983">
        <v>1.1196630000000001</v>
      </c>
      <c r="L5983">
        <v>-56.25714</v>
      </c>
      <c r="M5983">
        <v>0.79562429999999995</v>
      </c>
      <c r="N5983">
        <v>0</v>
      </c>
      <c r="O5983">
        <v>0.60559370000000001</v>
      </c>
      <c r="P5983">
        <v>0.68790890000000005</v>
      </c>
      <c r="Q5983">
        <v>0.2207829</v>
      </c>
      <c r="R5983">
        <v>0.69140179999999996</v>
      </c>
      <c r="S5983">
        <v>1.9109039999999999</v>
      </c>
      <c r="T5983">
        <v>-0.16958529999999999</v>
      </c>
      <c r="U5983">
        <v>2.4960939999999998</v>
      </c>
      <c r="V5983">
        <v>-0.13895070000000001</v>
      </c>
      <c r="W5983">
        <v>0.23251040000000001</v>
      </c>
      <c r="X5983">
        <v>0.96261699999999994</v>
      </c>
      <c r="Y5983">
        <v>-0.26398509999999997</v>
      </c>
      <c r="Z5983">
        <v>-2.6878050000000001E-2</v>
      </c>
      <c r="AA5983">
        <v>0.96415220000000001</v>
      </c>
      <c r="AB5983">
        <v>29</v>
      </c>
      <c r="AC5983">
        <v>12.4946999999999</v>
      </c>
      <c r="AD5983">
        <v>-1.1196643995769999</v>
      </c>
      <c r="AE5983">
        <v>16.380800000000001</v>
      </c>
      <c r="AF5983">
        <v>-5.4508027267789796</v>
      </c>
      <c r="AG5983">
        <v>-1.1196643995769999</v>
      </c>
      <c r="AH5983">
        <v>19.805066381009699</v>
      </c>
      <c r="AI5983">
        <v>93.119963208641806</v>
      </c>
      <c r="AJ5983">
        <v>105.388110227966</v>
      </c>
      <c r="AK5983">
        <v>20.571960360892799</v>
      </c>
      <c r="AL5983">
        <v>76.555084443552303</v>
      </c>
      <c r="AM5983">
        <v>98.213729857780393</v>
      </c>
      <c r="AN5983">
        <v>0.99999993591382297</v>
      </c>
    </row>
    <row r="5984" spans="1:40" x14ac:dyDescent="0.25">
      <c r="A5984" t="str">
        <f>"20190312172823853"</f>
        <v>20190312172823853</v>
      </c>
      <c r="B5984" t="str">
        <f>"1552382903845954"</f>
        <v>1552382903845954</v>
      </c>
      <c r="C5984" t="s">
        <v>40</v>
      </c>
      <c r="D5984">
        <v>3.1214</v>
      </c>
      <c r="E5984">
        <v>0.46475260000000002</v>
      </c>
      <c r="F5984" t="s">
        <v>41</v>
      </c>
      <c r="G5984">
        <v>-185.44640000000001</v>
      </c>
      <c r="H5984" s="1">
        <v>-1.3800280000000001E-6</v>
      </c>
      <c r="I5984">
        <v>-39.85698</v>
      </c>
      <c r="J5984">
        <v>-197.6592</v>
      </c>
      <c r="K5984">
        <v>1.1196410000000001</v>
      </c>
      <c r="L5984">
        <v>-56.10483</v>
      </c>
      <c r="M5984">
        <v>0.78954780000000002</v>
      </c>
      <c r="N5984">
        <v>0</v>
      </c>
      <c r="O5984">
        <v>0.61349489999999995</v>
      </c>
      <c r="P5984">
        <v>0.68184449999999996</v>
      </c>
      <c r="Q5984">
        <v>0.21923690000000001</v>
      </c>
      <c r="R5984">
        <v>0.69787060000000001</v>
      </c>
      <c r="S5984">
        <v>1.8955230000000001</v>
      </c>
      <c r="T5984">
        <v>-0.171206</v>
      </c>
      <c r="U5984">
        <v>2.5077210000000001</v>
      </c>
      <c r="V5984">
        <v>-0.13809759999999999</v>
      </c>
      <c r="W5984">
        <v>0.23099549999999999</v>
      </c>
      <c r="X5984">
        <v>0.96310439999999997</v>
      </c>
      <c r="Y5984">
        <v>-0.2602989</v>
      </c>
      <c r="Z5984">
        <v>-2.7692540000000002E-2</v>
      </c>
      <c r="AA5984">
        <v>0.96513090000000001</v>
      </c>
      <c r="AB5984">
        <v>29</v>
      </c>
      <c r="AC5984">
        <v>12.2127999999999</v>
      </c>
      <c r="AD5984">
        <v>-1.119642380028</v>
      </c>
      <c r="AE5984">
        <v>16.24785</v>
      </c>
      <c r="AF5984">
        <v>-5.3204557789136402</v>
      </c>
      <c r="AG5984">
        <v>-1.119642380028</v>
      </c>
      <c r="AH5984">
        <v>19.5535682415791</v>
      </c>
      <c r="AI5984">
        <v>93.162460315000601</v>
      </c>
      <c r="AJ5984">
        <v>105.22147010358999</v>
      </c>
      <c r="AK5984">
        <v>20.295390603105499</v>
      </c>
      <c r="AL5984">
        <v>76.644311614737006</v>
      </c>
      <c r="AM5984">
        <v>98.1599068936451</v>
      </c>
      <c r="AN5984">
        <v>0.99999997672268404</v>
      </c>
    </row>
    <row r="5985" spans="1:40" x14ac:dyDescent="0.25">
      <c r="A5985" t="str">
        <f>"20190312172823866"</f>
        <v>20190312172823866</v>
      </c>
      <c r="B5985" t="str">
        <f>"1552382903855714"</f>
        <v>1552382903855714</v>
      </c>
      <c r="C5985" t="s">
        <v>40</v>
      </c>
      <c r="D5985">
        <v>3.1339440000000001</v>
      </c>
      <c r="E5985">
        <v>0.46514640000000002</v>
      </c>
      <c r="F5985" t="s">
        <v>52</v>
      </c>
      <c r="G5985">
        <v>-185.9393</v>
      </c>
      <c r="H5985" s="1">
        <v>-7.1436279999999996E-6</v>
      </c>
      <c r="I5985">
        <v>-40.766300000000001</v>
      </c>
      <c r="J5985">
        <v>-197.53360000000001</v>
      </c>
      <c r="K5985">
        <v>1.1196299999999999</v>
      </c>
      <c r="L5985">
        <v>-55.999079999999999</v>
      </c>
      <c r="M5985">
        <v>0.78532029999999997</v>
      </c>
      <c r="N5985">
        <v>0</v>
      </c>
      <c r="O5985">
        <v>0.61889709999999998</v>
      </c>
      <c r="P5985">
        <v>0.67742720000000001</v>
      </c>
      <c r="Q5985">
        <v>0.21840119999999999</v>
      </c>
      <c r="R5985">
        <v>0.70241960000000003</v>
      </c>
      <c r="S5985">
        <v>1.9056850000000001</v>
      </c>
      <c r="T5985">
        <v>-0.18205740000000001</v>
      </c>
      <c r="U5985">
        <v>2.4940799999999999</v>
      </c>
      <c r="V5985">
        <v>-0.13774449999999999</v>
      </c>
      <c r="W5985">
        <v>0.23017380000000001</v>
      </c>
      <c r="X5985">
        <v>0.96335170000000003</v>
      </c>
      <c r="Y5985">
        <v>-0.24869830000000001</v>
      </c>
      <c r="Z5985">
        <v>-3.011059E-2</v>
      </c>
      <c r="AA5985">
        <v>0.96811290000000005</v>
      </c>
      <c r="AB5985">
        <v>29</v>
      </c>
      <c r="AC5985">
        <v>11.5943</v>
      </c>
      <c r="AD5985">
        <v>-1.1196371436279999</v>
      </c>
      <c r="AE5985">
        <v>15.23278</v>
      </c>
      <c r="AF5985">
        <v>-4.77118239798929</v>
      </c>
      <c r="AG5985">
        <v>-1.1196371436279999</v>
      </c>
      <c r="AH5985">
        <v>18.471784675192598</v>
      </c>
      <c r="AI5985">
        <v>93.3586803775558</v>
      </c>
      <c r="AJ5985">
        <v>104.482711756246</v>
      </c>
      <c r="AK5985">
        <v>19.110850266143501</v>
      </c>
      <c r="AL5985">
        <v>76.692695866429403</v>
      </c>
      <c r="AM5985">
        <v>98.1372614056515</v>
      </c>
      <c r="AN5985">
        <v>1.00000001168979</v>
      </c>
    </row>
    <row r="5986" spans="1:40" x14ac:dyDescent="0.25">
      <c r="A5986" t="str">
        <f>"20190312172823879"</f>
        <v>20190312172823879</v>
      </c>
      <c r="B5986" t="str">
        <f>"1552382903875234"</f>
        <v>1552382903875234</v>
      </c>
      <c r="C5986" t="s">
        <v>40</v>
      </c>
      <c r="D5986">
        <v>3.1091069999999998</v>
      </c>
      <c r="E5986">
        <v>0.46552490000000002</v>
      </c>
      <c r="F5986" t="s">
        <v>52</v>
      </c>
      <c r="G5986">
        <v>-186.0103</v>
      </c>
      <c r="H5986" s="1">
        <v>-7.157169E-6</v>
      </c>
      <c r="I5986">
        <v>-40.74973</v>
      </c>
      <c r="J5986">
        <v>-197.41300000000001</v>
      </c>
      <c r="K5986">
        <v>1.1196140000000001</v>
      </c>
      <c r="L5986">
        <v>-55.8955699999999</v>
      </c>
      <c r="M5986">
        <v>0.78119249999999996</v>
      </c>
      <c r="N5986">
        <v>0</v>
      </c>
      <c r="O5986">
        <v>0.62409939999999997</v>
      </c>
      <c r="P5986">
        <v>0.6732359</v>
      </c>
      <c r="Q5986">
        <v>0.2180684</v>
      </c>
      <c r="R5986">
        <v>0.70654059999999996</v>
      </c>
      <c r="S5986">
        <v>1.8918299999999999</v>
      </c>
      <c r="T5986">
        <v>-0.18381700000000001</v>
      </c>
      <c r="U5986">
        <v>2.503571</v>
      </c>
      <c r="V5986">
        <v>-0.1371426</v>
      </c>
      <c r="W5986">
        <v>0.22986010000000001</v>
      </c>
      <c r="X5986">
        <v>0.96351249999999999</v>
      </c>
      <c r="Y5986">
        <v>-0.24745449999999999</v>
      </c>
      <c r="Z5986">
        <v>-3.0773450000000001E-2</v>
      </c>
      <c r="AA5986">
        <v>0.96841069999999996</v>
      </c>
      <c r="AB5986">
        <v>29</v>
      </c>
      <c r="AC5986">
        <v>11.4026999999999</v>
      </c>
      <c r="AD5986">
        <v>-1.11962115716899</v>
      </c>
      <c r="AE5986">
        <v>15.1458399999999</v>
      </c>
      <c r="AF5986">
        <v>-4.6995693210304799</v>
      </c>
      <c r="AG5986">
        <v>-1.11962115716899</v>
      </c>
      <c r="AH5986">
        <v>18.2985801942107</v>
      </c>
      <c r="AI5986">
        <v>93.391549844302503</v>
      </c>
      <c r="AJ5986">
        <v>104.40379657782501</v>
      </c>
      <c r="AK5986">
        <v>18.925578999404799</v>
      </c>
      <c r="AL5986">
        <v>76.711165257012993</v>
      </c>
      <c r="AM5986">
        <v>98.100843063612203</v>
      </c>
      <c r="AN5986">
        <v>1.0000000479815001</v>
      </c>
    </row>
    <row r="5987" spans="1:40" x14ac:dyDescent="0.25">
      <c r="A5987" t="str">
        <f>"20190312172823891"</f>
        <v>20190312172823891</v>
      </c>
      <c r="B5987" t="str">
        <f>"1552382903885970"</f>
        <v>1552382903885970</v>
      </c>
      <c r="C5987" t="s">
        <v>40</v>
      </c>
      <c r="D5987">
        <v>3.0827059999999999</v>
      </c>
      <c r="E5987">
        <v>0.46227970000000002</v>
      </c>
      <c r="F5987" t="s">
        <v>52</v>
      </c>
      <c r="G5987">
        <v>-186.03790000000001</v>
      </c>
      <c r="H5987" s="1">
        <v>-7.1830810000000004E-6</v>
      </c>
      <c r="I5987">
        <v>-40.681579999999997</v>
      </c>
      <c r="J5987">
        <v>-197.29089999999999</v>
      </c>
      <c r="K5987">
        <v>1.1195999999999999</v>
      </c>
      <c r="L5987">
        <v>-55.789859999999997</v>
      </c>
      <c r="M5987">
        <v>0.77696189999999998</v>
      </c>
      <c r="N5987">
        <v>0</v>
      </c>
      <c r="O5987">
        <v>0.62935839999999998</v>
      </c>
      <c r="P5987">
        <v>0.66900019999999905</v>
      </c>
      <c r="Q5987">
        <v>0.2174471</v>
      </c>
      <c r="R5987">
        <v>0.71074300000000001</v>
      </c>
      <c r="S5987">
        <v>1.8788149999999999</v>
      </c>
      <c r="T5987">
        <v>-0.18492649999999999</v>
      </c>
      <c r="U5987">
        <v>2.5128780000000002</v>
      </c>
      <c r="V5987">
        <v>-0.136522799999999</v>
      </c>
      <c r="W5987">
        <v>0.22925909999999999</v>
      </c>
      <c r="X5987">
        <v>0.96374360000000003</v>
      </c>
      <c r="Y5987">
        <v>-0.24586359999999999</v>
      </c>
      <c r="Z5987">
        <v>-3.1341330000000001E-2</v>
      </c>
      <c r="AA5987">
        <v>0.96879760000000004</v>
      </c>
      <c r="AB5987">
        <v>29</v>
      </c>
      <c r="AC5987">
        <v>11.252999999999901</v>
      </c>
      <c r="AD5987">
        <v>-1.1196071830809999</v>
      </c>
      <c r="AE5987">
        <v>15.108279999999899</v>
      </c>
      <c r="AF5987">
        <v>-4.64055149883455</v>
      </c>
      <c r="AG5987">
        <v>-1.1196071830809999</v>
      </c>
      <c r="AH5987">
        <v>18.189601298212001</v>
      </c>
      <c r="AI5987">
        <v>93.413174360728306</v>
      </c>
      <c r="AJ5987">
        <v>104.312067749878</v>
      </c>
      <c r="AK5987">
        <v>18.8055798593305</v>
      </c>
      <c r="AL5987">
        <v>76.746543768542594</v>
      </c>
      <c r="AM5987">
        <v>98.062806527763598</v>
      </c>
      <c r="AN5987">
        <v>0.99999996819680403</v>
      </c>
    </row>
    <row r="5988" spans="1:40" x14ac:dyDescent="0.25">
      <c r="A5988" t="str">
        <f>"20190312172823914"</f>
        <v>20190312172823914</v>
      </c>
      <c r="B5988" t="str">
        <f>"1552382903905490"</f>
        <v>1552382903905490</v>
      </c>
      <c r="C5988" t="s">
        <v>40</v>
      </c>
      <c r="D5988">
        <v>3.1159409999999998</v>
      </c>
      <c r="E5988">
        <v>0.45852399999999999</v>
      </c>
      <c r="F5988" t="s">
        <v>52</v>
      </c>
      <c r="G5988">
        <v>-186.55680000000001</v>
      </c>
      <c r="H5988" s="1">
        <v>-7.1388930000000004E-6</v>
      </c>
      <c r="I5988">
        <v>-40.987949999999998</v>
      </c>
      <c r="J5988">
        <v>-197.07929999999999</v>
      </c>
      <c r="K5988">
        <v>1.119577</v>
      </c>
      <c r="L5988">
        <v>-55.60275</v>
      </c>
      <c r="M5988">
        <v>0.76947639999999995</v>
      </c>
      <c r="N5988">
        <v>0</v>
      </c>
      <c r="O5988">
        <v>0.63848890000000003</v>
      </c>
      <c r="P5988">
        <v>0.66176679999999999</v>
      </c>
      <c r="Q5988">
        <v>0.21624550000000001</v>
      </c>
      <c r="R5988">
        <v>0.71784579999999998</v>
      </c>
      <c r="S5988">
        <v>1.8445590000000001</v>
      </c>
      <c r="T5988">
        <v>-0.19239490000000001</v>
      </c>
      <c r="U5988">
        <v>2.5435789999999998</v>
      </c>
      <c r="V5988">
        <v>-0.1351387</v>
      </c>
      <c r="W5988">
        <v>0.2281</v>
      </c>
      <c r="X5988">
        <v>0.96421369999999895</v>
      </c>
      <c r="Y5988">
        <v>-0.24858710000000001</v>
      </c>
      <c r="Z5988">
        <v>-3.3106099999999999E-2</v>
      </c>
      <c r="AA5988">
        <v>0.9680436</v>
      </c>
      <c r="AB5988">
        <v>29</v>
      </c>
      <c r="AC5988">
        <v>10.5224999999999</v>
      </c>
      <c r="AD5988">
        <v>-1.1195841388929999</v>
      </c>
      <c r="AE5988">
        <v>14.614800000000001</v>
      </c>
      <c r="AF5988">
        <v>-4.51035070413627</v>
      </c>
      <c r="AG5988">
        <v>-1.1195841388929999</v>
      </c>
      <c r="AH5988">
        <v>17.363169176157399</v>
      </c>
      <c r="AI5988">
        <v>93.571149217927299</v>
      </c>
      <c r="AJ5988">
        <v>104.561625369241</v>
      </c>
      <c r="AK5988">
        <v>17.974325466014701</v>
      </c>
      <c r="AL5988">
        <v>76.8147643532686</v>
      </c>
      <c r="AM5988">
        <v>97.978281224798295</v>
      </c>
      <c r="AN5988">
        <v>1.00000006875268</v>
      </c>
    </row>
    <row r="5989" spans="1:40" x14ac:dyDescent="0.25">
      <c r="A5989" t="str">
        <f>"20190312172823932"</f>
        <v>20190312172823932</v>
      </c>
      <c r="B5989" t="str">
        <f>"1552382903925986"</f>
        <v>1552382903925986</v>
      </c>
      <c r="C5989" t="s">
        <v>40</v>
      </c>
      <c r="D5989">
        <v>3.1507969999999998</v>
      </c>
      <c r="E5989">
        <v>0.45668989999999998</v>
      </c>
      <c r="F5989" t="s">
        <v>41</v>
      </c>
      <c r="G5989">
        <v>-186.45740000000001</v>
      </c>
      <c r="H5989" s="1">
        <v>-9.4927580000000005E-7</v>
      </c>
      <c r="I5989">
        <v>-40.33231</v>
      </c>
      <c r="J5989">
        <v>-196.8956</v>
      </c>
      <c r="K5989">
        <v>1.1195520000000001</v>
      </c>
      <c r="L5989">
        <v>-55.436770000000003</v>
      </c>
      <c r="M5989">
        <v>0.762826</v>
      </c>
      <c r="N5989">
        <v>0</v>
      </c>
      <c r="O5989">
        <v>0.64641979999999999</v>
      </c>
      <c r="P5989">
        <v>0.65567929999999996</v>
      </c>
      <c r="Q5989">
        <v>0.2148871</v>
      </c>
      <c r="R5989">
        <v>0.72381499999999999</v>
      </c>
      <c r="S5989">
        <v>1.795364</v>
      </c>
      <c r="T5989">
        <v>-0.1892366</v>
      </c>
      <c r="U5989">
        <v>2.5810849999999999</v>
      </c>
      <c r="V5989">
        <v>-0.13356299999999999</v>
      </c>
      <c r="W5989">
        <v>0.22678909999999999</v>
      </c>
      <c r="X5989">
        <v>0.96474219999999999</v>
      </c>
      <c r="Y5989">
        <v>-0.25757639999999998</v>
      </c>
      <c r="Z5989">
        <v>-3.285283E-2</v>
      </c>
      <c r="AA5989">
        <v>0.96569930000000004</v>
      </c>
      <c r="AB5989">
        <v>29</v>
      </c>
      <c r="AC5989">
        <v>10.438199999999901</v>
      </c>
      <c r="AD5989">
        <v>-1.1195529492758001</v>
      </c>
      <c r="AE5989">
        <v>15.1044599999999</v>
      </c>
      <c r="AF5989">
        <v>-4.75749458770927</v>
      </c>
      <c r="AG5989">
        <v>-1.1195529492758001</v>
      </c>
      <c r="AH5989">
        <v>17.662788308650999</v>
      </c>
      <c r="AI5989">
        <v>93.502336081688696</v>
      </c>
      <c r="AJ5989">
        <v>105.074925900686</v>
      </c>
      <c r="AK5989">
        <v>18.3265175195544</v>
      </c>
      <c r="AL5989">
        <v>76.891893208104307</v>
      </c>
      <c r="AM5989">
        <v>97.882166790362504</v>
      </c>
      <c r="AN5989">
        <v>0.99999994165432304</v>
      </c>
    </row>
    <row r="5990" spans="1:40" x14ac:dyDescent="0.25">
      <c r="A5990" t="str">
        <f>"20190312172823945"</f>
        <v>20190312172823945</v>
      </c>
      <c r="B5990" t="str">
        <f>"1552382903935746"</f>
        <v>1552382903935746</v>
      </c>
      <c r="C5990" t="s">
        <v>40</v>
      </c>
      <c r="D5990">
        <v>3.0768249999999999</v>
      </c>
      <c r="E5990">
        <v>0.45612940000000002</v>
      </c>
      <c r="F5990" t="s">
        <v>41</v>
      </c>
      <c r="G5990">
        <v>-186.62899999999999</v>
      </c>
      <c r="H5990" s="1">
        <v>-9.3455509999999999E-7</v>
      </c>
      <c r="I5990">
        <v>-40.241419999999998</v>
      </c>
      <c r="J5990">
        <v>-196.77199999999999</v>
      </c>
      <c r="K5990">
        <v>1.1195360000000001</v>
      </c>
      <c r="L5990">
        <v>-55.323210000000003</v>
      </c>
      <c r="M5990">
        <v>0.75826879999999997</v>
      </c>
      <c r="N5990">
        <v>0</v>
      </c>
      <c r="O5990">
        <v>0.65175959999999999</v>
      </c>
      <c r="P5990">
        <v>0.65129569999999903</v>
      </c>
      <c r="Q5990">
        <v>0.2143506</v>
      </c>
      <c r="R5990">
        <v>0.72792019999999902</v>
      </c>
      <c r="S5990">
        <v>1.7610319999999999</v>
      </c>
      <c r="T5990">
        <v>-0.19203600000000001</v>
      </c>
      <c r="U5990">
        <v>2.6064449999999999</v>
      </c>
      <c r="V5990">
        <v>-0.13271379999999999</v>
      </c>
      <c r="W5990">
        <v>0.22627729999999999</v>
      </c>
      <c r="X5990">
        <v>0.96497960000000005</v>
      </c>
      <c r="Y5990">
        <v>-0.26389780000000002</v>
      </c>
      <c r="Z5990">
        <v>-3.3529330000000003E-2</v>
      </c>
      <c r="AA5990">
        <v>0.96396769999999998</v>
      </c>
      <c r="AB5990">
        <v>29</v>
      </c>
      <c r="AC5990">
        <v>10.142999999999899</v>
      </c>
      <c r="AD5990">
        <v>-1.1195369345551001</v>
      </c>
      <c r="AE5990">
        <v>15.0817899999999</v>
      </c>
      <c r="AF5990">
        <v>-4.80758642205919</v>
      </c>
      <c r="AG5990">
        <v>-1.1195369345551001</v>
      </c>
      <c r="AH5990">
        <v>17.456672650194299</v>
      </c>
      <c r="AI5990">
        <v>93.538115977876501</v>
      </c>
      <c r="AJ5990">
        <v>105.397613317121</v>
      </c>
      <c r="AK5990">
        <v>18.141159559670999</v>
      </c>
      <c r="AL5990">
        <v>76.922000620249904</v>
      </c>
      <c r="AM5990">
        <v>97.830772550134199</v>
      </c>
      <c r="AN5990">
        <v>0.99999999881094503</v>
      </c>
    </row>
    <row r="5991" spans="1:40" x14ac:dyDescent="0.25">
      <c r="A5991" t="str">
        <f>"20190312172823965"</f>
        <v>20190312172823965</v>
      </c>
      <c r="B5991" t="str">
        <f>"1552382903955266"</f>
        <v>1552382903955266</v>
      </c>
      <c r="C5991" t="s">
        <v>40</v>
      </c>
      <c r="D5991">
        <v>3.0901909999999999</v>
      </c>
      <c r="E5991">
        <v>0.45501019999999998</v>
      </c>
      <c r="F5991" t="s">
        <v>41</v>
      </c>
      <c r="G5991">
        <v>-186.68100000000001</v>
      </c>
      <c r="H5991" s="1">
        <v>-9.5591700000000008E-7</v>
      </c>
      <c r="I5991">
        <v>-40.137920000000001</v>
      </c>
      <c r="J5991">
        <v>-196.59360000000001</v>
      </c>
      <c r="K5991">
        <v>1.119516</v>
      </c>
      <c r="L5991">
        <v>-55.15616</v>
      </c>
      <c r="M5991">
        <v>0.75156460000000003</v>
      </c>
      <c r="N5991">
        <v>0</v>
      </c>
      <c r="O5991">
        <v>0.65947929999999999</v>
      </c>
      <c r="P5991">
        <v>0.64523359999999996</v>
      </c>
      <c r="Q5991">
        <v>0.21262500000000001</v>
      </c>
      <c r="R5991">
        <v>0.73380129999999999</v>
      </c>
      <c r="S5991">
        <v>1.7412259999999999</v>
      </c>
      <c r="T5991">
        <v>-0.19317960000000001</v>
      </c>
      <c r="U5991">
        <v>2.6202700000000001</v>
      </c>
      <c r="V5991">
        <v>-0.13117390000000001</v>
      </c>
      <c r="W5991">
        <v>0.22459889999999999</v>
      </c>
      <c r="X5991">
        <v>0.9655821</v>
      </c>
      <c r="Y5991">
        <v>-0.26145010000000002</v>
      </c>
      <c r="Z5991">
        <v>-3.4311349999999997E-2</v>
      </c>
      <c r="AA5991">
        <v>0.96460690000000004</v>
      </c>
      <c r="AB5991">
        <v>29</v>
      </c>
      <c r="AC5991">
        <v>9.9126000000000207</v>
      </c>
      <c r="AD5991">
        <v>-1.119516955917</v>
      </c>
      <c r="AE5991">
        <v>15.01824</v>
      </c>
      <c r="AF5991">
        <v>-4.7322710967169099</v>
      </c>
      <c r="AG5991">
        <v>-1.119516955917</v>
      </c>
      <c r="AH5991">
        <v>17.2893210889927</v>
      </c>
      <c r="AI5991">
        <v>93.573749295445694</v>
      </c>
      <c r="AJ5991">
        <v>105.30754760553501</v>
      </c>
      <c r="AK5991">
        <v>17.9601874061964</v>
      </c>
      <c r="AL5991">
        <v>77.020707159692293</v>
      </c>
      <c r="AM5991">
        <v>97.736247132099905</v>
      </c>
      <c r="AN5991">
        <v>1.00000002488141</v>
      </c>
    </row>
    <row r="5992" spans="1:40" x14ac:dyDescent="0.25">
      <c r="A5992" t="str">
        <f>"20190312172823977"</f>
        <v>20190312172823977</v>
      </c>
      <c r="B5992" t="str">
        <f>"1552382903965026"</f>
        <v>1552382903965026</v>
      </c>
      <c r="C5992" t="s">
        <v>40</v>
      </c>
      <c r="D5992">
        <v>3.1167560000000001</v>
      </c>
      <c r="E5992">
        <v>0.4548045</v>
      </c>
      <c r="F5992" t="s">
        <v>41</v>
      </c>
      <c r="G5992">
        <v>-186.87299999999999</v>
      </c>
      <c r="H5992" s="1">
        <v>-8.9789219999999999E-7</v>
      </c>
      <c r="I5992">
        <v>-40.15831</v>
      </c>
      <c r="J5992">
        <v>-196.4803</v>
      </c>
      <c r="K5992">
        <v>1.1195010000000001</v>
      </c>
      <c r="L5992">
        <v>-55.048099999999998</v>
      </c>
      <c r="M5992">
        <v>0.74722889999999997</v>
      </c>
      <c r="N5992">
        <v>0</v>
      </c>
      <c r="O5992">
        <v>0.66438779999999997</v>
      </c>
      <c r="P5992">
        <v>0.64113310000000001</v>
      </c>
      <c r="Q5992">
        <v>0.21185380000000001</v>
      </c>
      <c r="R5992">
        <v>0.73760859999999995</v>
      </c>
      <c r="S5992">
        <v>1.7114259999999999</v>
      </c>
      <c r="T5992">
        <v>-0.19710530000000001</v>
      </c>
      <c r="U5992">
        <v>2.6405639999999999</v>
      </c>
      <c r="V5992">
        <v>-0.13036989999999901</v>
      </c>
      <c r="W5992">
        <v>0.22385160000000001</v>
      </c>
      <c r="X5992">
        <v>0.96586450000000001</v>
      </c>
      <c r="Y5992">
        <v>-0.26619579999999998</v>
      </c>
      <c r="Z5992">
        <v>-3.5225609999999997E-2</v>
      </c>
      <c r="AA5992">
        <v>0.96327510000000005</v>
      </c>
      <c r="AB5992">
        <v>29</v>
      </c>
      <c r="AC5992">
        <v>9.6073000000000093</v>
      </c>
      <c r="AD5992">
        <v>-1.1195018978922</v>
      </c>
      <c r="AE5992">
        <v>14.8897899999999</v>
      </c>
      <c r="AF5992">
        <v>-4.7248145671755504</v>
      </c>
      <c r="AG5992">
        <v>-1.1195018978922</v>
      </c>
      <c r="AH5992">
        <v>17.005603340835702</v>
      </c>
      <c r="AI5992">
        <v>93.629334406544501</v>
      </c>
      <c r="AJ5992">
        <v>105.52735099662701</v>
      </c>
      <c r="AK5992">
        <v>17.685239669832601</v>
      </c>
      <c r="AL5992">
        <v>77.064643231618803</v>
      </c>
      <c r="AM5992">
        <v>97.687177283990806</v>
      </c>
      <c r="AN5992">
        <v>1.0000000410044001</v>
      </c>
    </row>
    <row r="5993" spans="1:40" x14ac:dyDescent="0.25">
      <c r="A5993" t="str">
        <f>"20190312172823992"</f>
        <v>20190312172823992</v>
      </c>
      <c r="B5993" t="str">
        <f>"1552382903985522"</f>
        <v>1552382903985522</v>
      </c>
      <c r="C5993" t="s">
        <v>40</v>
      </c>
      <c r="D5993">
        <v>3.1039659999999998</v>
      </c>
      <c r="E5993">
        <v>0.45467790000000002</v>
      </c>
      <c r="F5993" t="s">
        <v>41</v>
      </c>
      <c r="G5993">
        <v>-186.98169999999999</v>
      </c>
      <c r="H5993" s="1">
        <v>-8.5809469999999897E-7</v>
      </c>
      <c r="I5993">
        <v>-40.190269999999998</v>
      </c>
      <c r="J5993">
        <v>-196.3443</v>
      </c>
      <c r="K5993">
        <v>1.11948</v>
      </c>
      <c r="L5993">
        <v>-54.916870000000003</v>
      </c>
      <c r="M5993">
        <v>0.74195049999999996</v>
      </c>
      <c r="N5993">
        <v>0</v>
      </c>
      <c r="O5993">
        <v>0.67027740000000002</v>
      </c>
      <c r="P5993">
        <v>0.63570799999999905</v>
      </c>
      <c r="Q5993">
        <v>0.2110766</v>
      </c>
      <c r="R5993">
        <v>0.74251060000000002</v>
      </c>
      <c r="S5993">
        <v>1.694977</v>
      </c>
      <c r="T5993">
        <v>-0.19976949999999999</v>
      </c>
      <c r="U5993">
        <v>2.6513059999999999</v>
      </c>
      <c r="V5993">
        <v>-0.1299469</v>
      </c>
      <c r="W5993">
        <v>0.2230898</v>
      </c>
      <c r="X5993">
        <v>0.96609769999999995</v>
      </c>
      <c r="Y5993">
        <v>-0.26460630000000002</v>
      </c>
      <c r="Z5993">
        <v>-3.6156790000000001E-2</v>
      </c>
      <c r="AA5993">
        <v>0.96367849999999999</v>
      </c>
      <c r="AB5993">
        <v>29</v>
      </c>
      <c r="AC5993">
        <v>9.3626000000000094</v>
      </c>
      <c r="AD5993">
        <v>-1.1194808580947</v>
      </c>
      <c r="AE5993">
        <v>14.7265999999999</v>
      </c>
      <c r="AF5993">
        <v>-4.6323582583959899</v>
      </c>
      <c r="AG5993">
        <v>-1.1194808580947</v>
      </c>
      <c r="AH5993">
        <v>16.7505580919977</v>
      </c>
      <c r="AI5993">
        <v>93.685594319246405</v>
      </c>
      <c r="AJ5993">
        <v>105.458755733354</v>
      </c>
      <c r="AK5993">
        <v>17.415314433542701</v>
      </c>
      <c r="AL5993">
        <v>77.109423227090602</v>
      </c>
      <c r="AM5993">
        <v>97.660704529186603</v>
      </c>
      <c r="AN5993">
        <v>1.00000001081447</v>
      </c>
    </row>
    <row r="5994" spans="1:40" x14ac:dyDescent="0.25">
      <c r="A5994" t="str">
        <f>"20190312172824009"</f>
        <v>20190312172824009</v>
      </c>
      <c r="B5994" t="str">
        <f>"1552382904005042"</f>
        <v>1552382904005042</v>
      </c>
      <c r="C5994" t="s">
        <v>40</v>
      </c>
      <c r="D5994">
        <v>3.1387269999999998</v>
      </c>
      <c r="E5994">
        <v>0.45477780000000001</v>
      </c>
      <c r="F5994" t="s">
        <v>41</v>
      </c>
      <c r="G5994">
        <v>-187.0959</v>
      </c>
      <c r="H5994" s="1">
        <v>-8.2440190000000001E-7</v>
      </c>
      <c r="I5994">
        <v>-40.19997</v>
      </c>
      <c r="J5994">
        <v>-196.1841</v>
      </c>
      <c r="K5994">
        <v>1.119448</v>
      </c>
      <c r="L5994">
        <v>-54.75949</v>
      </c>
      <c r="M5994">
        <v>0.73561480000000001</v>
      </c>
      <c r="N5994">
        <v>0</v>
      </c>
      <c r="O5994">
        <v>0.67722469999999901</v>
      </c>
      <c r="P5994">
        <v>0.62986529999999996</v>
      </c>
      <c r="Q5994">
        <v>0.20956340000000001</v>
      </c>
      <c r="R5994">
        <v>0.74789910000000004</v>
      </c>
      <c r="S5994">
        <v>1.674377</v>
      </c>
      <c r="T5994">
        <v>-0.202677</v>
      </c>
      <c r="U5994">
        <v>2.6644290000000002</v>
      </c>
      <c r="V5994">
        <v>-0.12870219999999999</v>
      </c>
      <c r="W5994">
        <v>0.2216147</v>
      </c>
      <c r="X5994">
        <v>0.96660369999999995</v>
      </c>
      <c r="Y5994">
        <v>-0.26304110000000003</v>
      </c>
      <c r="Z5994">
        <v>-3.7221169999999998E-2</v>
      </c>
      <c r="AA5994">
        <v>0.96406639999999999</v>
      </c>
      <c r="AB5994">
        <v>29</v>
      </c>
      <c r="AC5994">
        <v>9.0882000000000005</v>
      </c>
      <c r="AD5994">
        <v>-1.1194488244018901</v>
      </c>
      <c r="AE5994">
        <v>14.559519999999999</v>
      </c>
      <c r="AF5994">
        <v>-4.5366863578205896</v>
      </c>
      <c r="AG5994">
        <v>-1.1194488244018901</v>
      </c>
      <c r="AH5994">
        <v>16.4773496242283</v>
      </c>
      <c r="AI5994">
        <v>93.747594702943005</v>
      </c>
      <c r="AJ5994">
        <v>105.393755892754</v>
      </c>
      <c r="AK5994">
        <v>17.127105401052098</v>
      </c>
      <c r="AL5994">
        <v>77.196110478481003</v>
      </c>
      <c r="AM5994">
        <v>97.5842593176679</v>
      </c>
      <c r="AN5994">
        <v>1.0000000221973</v>
      </c>
    </row>
    <row r="5995" spans="1:40" x14ac:dyDescent="0.25">
      <c r="A5995" t="str">
        <f>"20190312172824022"</f>
        <v>20190312172824022</v>
      </c>
      <c r="B5995" t="str">
        <f>"1552382904015778"</f>
        <v>1552382904015778</v>
      </c>
      <c r="C5995" t="s">
        <v>40</v>
      </c>
      <c r="D5995">
        <v>3.1314669999999998</v>
      </c>
      <c r="E5995">
        <v>0.45483709999999999</v>
      </c>
      <c r="F5995" t="s">
        <v>41</v>
      </c>
      <c r="G5995">
        <v>-187.28129999999999</v>
      </c>
      <c r="H5995" s="1">
        <v>-7.274969E-7</v>
      </c>
      <c r="I5995">
        <v>-40.339820000000003</v>
      </c>
      <c r="J5995">
        <v>-196.0677</v>
      </c>
      <c r="K5995">
        <v>1.119432</v>
      </c>
      <c r="L5995">
        <v>-54.643039999999999</v>
      </c>
      <c r="M5995">
        <v>0.73092900000000005</v>
      </c>
      <c r="N5995">
        <v>0</v>
      </c>
      <c r="O5995">
        <v>0.68227950000000004</v>
      </c>
      <c r="P5995">
        <v>0.625220199999999</v>
      </c>
      <c r="Q5995">
        <v>0.20898849999999999</v>
      </c>
      <c r="R5995">
        <v>0.75194649999999996</v>
      </c>
      <c r="S5995">
        <v>1.653</v>
      </c>
      <c r="T5995">
        <v>-0.20785090000000001</v>
      </c>
      <c r="U5995">
        <v>2.6773380000000002</v>
      </c>
      <c r="V5995">
        <v>-0.12812100000000001</v>
      </c>
      <c r="W5995">
        <v>0.22105810000000001</v>
      </c>
      <c r="X5995">
        <v>0.96680829999999995</v>
      </c>
      <c r="Y5995">
        <v>-0.26407180000000002</v>
      </c>
      <c r="Z5995">
        <v>-3.8520720000000001E-2</v>
      </c>
      <c r="AA5995">
        <v>0.96373350000000002</v>
      </c>
      <c r="AB5995">
        <v>29</v>
      </c>
      <c r="AC5995">
        <v>8.7864000000000093</v>
      </c>
      <c r="AD5995">
        <v>-1.1194327274969</v>
      </c>
      <c r="AE5995">
        <v>14.3032199999999</v>
      </c>
      <c r="AF5995">
        <v>-4.4406391844490196</v>
      </c>
      <c r="AG5995">
        <v>-1.1194327274969</v>
      </c>
      <c r="AH5995">
        <v>16.111300743981001</v>
      </c>
      <c r="AI5995">
        <v>93.832146584613298</v>
      </c>
      <c r="AJ5995">
        <v>105.40941219920001</v>
      </c>
      <c r="AK5995">
        <v>16.7495199232951</v>
      </c>
      <c r="AL5995">
        <v>77.228811870438506</v>
      </c>
      <c r="AM5995">
        <v>97.548826527860797</v>
      </c>
      <c r="AN5995">
        <v>0.99999998158274905</v>
      </c>
    </row>
    <row r="5996" spans="1:40" x14ac:dyDescent="0.25">
      <c r="A5996" t="str">
        <f>"20190312172824036"</f>
        <v>20190312172824036</v>
      </c>
      <c r="B5996" t="str">
        <f>"1552382904025538"</f>
        <v>1552382904025538</v>
      </c>
      <c r="C5996" t="s">
        <v>40</v>
      </c>
      <c r="D5996">
        <v>3.2005569999999999</v>
      </c>
      <c r="E5996">
        <v>0.45481850000000001</v>
      </c>
      <c r="F5996" t="s">
        <v>41</v>
      </c>
      <c r="G5996">
        <v>-187.33709999999999</v>
      </c>
      <c r="H5996" s="1">
        <v>-7.2492200000000001E-7</v>
      </c>
      <c r="I5996">
        <v>-40.30377</v>
      </c>
      <c r="J5996">
        <v>-195.95050000000001</v>
      </c>
      <c r="K5996">
        <v>1.119416</v>
      </c>
      <c r="L5996">
        <v>-54.524169999999998</v>
      </c>
      <c r="M5996">
        <v>0.72614060000000002</v>
      </c>
      <c r="N5996">
        <v>0</v>
      </c>
      <c r="O5996">
        <v>0.68737349999999997</v>
      </c>
      <c r="P5996">
        <v>0.6204056</v>
      </c>
      <c r="Q5996">
        <v>0.20836189999999999</v>
      </c>
      <c r="R5996">
        <v>0.75609669999999995</v>
      </c>
      <c r="S5996">
        <v>1.6362760000000001</v>
      </c>
      <c r="T5996">
        <v>-0.20980190000000001</v>
      </c>
      <c r="U5996">
        <v>2.6874389999999999</v>
      </c>
      <c r="V5996">
        <v>-0.12763659999999999</v>
      </c>
      <c r="W5996">
        <v>0.220447</v>
      </c>
      <c r="X5996">
        <v>0.96701190000000004</v>
      </c>
      <c r="Y5996">
        <v>-0.26332919999999999</v>
      </c>
      <c r="Z5996">
        <v>-3.9283310000000002E-2</v>
      </c>
      <c r="AA5996">
        <v>0.96390589999999998</v>
      </c>
      <c r="AB5996">
        <v>29</v>
      </c>
      <c r="AC5996">
        <v>8.6134000000000093</v>
      </c>
      <c r="AD5996">
        <v>-1.119416724922</v>
      </c>
      <c r="AE5996">
        <v>14.2203999999999</v>
      </c>
      <c r="AF5996">
        <v>-4.3860262720916996</v>
      </c>
      <c r="AG5996">
        <v>-1.119416724922</v>
      </c>
      <c r="AH5996">
        <v>15.9588208130951</v>
      </c>
      <c r="AI5996">
        <v>93.869373659257704</v>
      </c>
      <c r="AJ5996">
        <v>105.367407521326</v>
      </c>
      <c r="AK5996">
        <v>16.5883779197362</v>
      </c>
      <c r="AL5996">
        <v>77.264711172564802</v>
      </c>
      <c r="AM5996">
        <v>97.519047904301502</v>
      </c>
      <c r="AN5996">
        <v>0.999999998105085</v>
      </c>
    </row>
    <row r="5997" spans="1:40" x14ac:dyDescent="0.25">
      <c r="A5997" t="str">
        <f>"20190312172824055"</f>
        <v>20190312172824055</v>
      </c>
      <c r="B5997" t="str">
        <f>"1552382904045058"</f>
        <v>1552382904045058</v>
      </c>
      <c r="C5997" t="s">
        <v>40</v>
      </c>
      <c r="D5997">
        <v>3.2335479999999999</v>
      </c>
      <c r="E5997">
        <v>0.45506059999999998</v>
      </c>
      <c r="F5997" t="s">
        <v>41</v>
      </c>
      <c r="G5997">
        <v>-187.39580000000001</v>
      </c>
      <c r="H5997" s="1">
        <v>-7.2190449999999899E-7</v>
      </c>
      <c r="I5997">
        <v>-40.266710000000003</v>
      </c>
      <c r="J5997">
        <v>-195.7775</v>
      </c>
      <c r="K5997">
        <v>1.119391</v>
      </c>
      <c r="L5997">
        <v>-54.345790000000001</v>
      </c>
      <c r="M5997">
        <v>0.71894749999999996</v>
      </c>
      <c r="N5997">
        <v>0</v>
      </c>
      <c r="O5997">
        <v>0.69489369999999995</v>
      </c>
      <c r="P5997">
        <v>0.61334290000000002</v>
      </c>
      <c r="Q5997">
        <v>0.20744850000000001</v>
      </c>
      <c r="R5997">
        <v>0.76208640000000005</v>
      </c>
      <c r="S5997">
        <v>1.6187590000000001</v>
      </c>
      <c r="T5997">
        <v>-0.21182229999999999</v>
      </c>
      <c r="U5997">
        <v>2.6978759999999999</v>
      </c>
      <c r="V5997">
        <v>-0.1267144</v>
      </c>
      <c r="W5997">
        <v>0.21956129999999999</v>
      </c>
      <c r="X5997">
        <v>0.96733460000000004</v>
      </c>
      <c r="Y5997">
        <v>-0.2595577</v>
      </c>
      <c r="Z5997">
        <v>-4.032782E-2</v>
      </c>
      <c r="AA5997">
        <v>0.9648852</v>
      </c>
      <c r="AB5997">
        <v>29</v>
      </c>
      <c r="AC5997">
        <v>8.3816999999999897</v>
      </c>
      <c r="AD5997">
        <v>-1.1193917219045</v>
      </c>
      <c r="AE5997">
        <v>14.079079999999999</v>
      </c>
      <c r="AF5997">
        <v>-4.27827088002467</v>
      </c>
      <c r="AG5997">
        <v>-1.1193917219045</v>
      </c>
      <c r="AH5997">
        <v>15.737888912085401</v>
      </c>
      <c r="AI5997">
        <v>93.926411067987601</v>
      </c>
      <c r="AJ5997">
        <v>105.208072469699</v>
      </c>
      <c r="AK5997">
        <v>16.347409181857401</v>
      </c>
      <c r="AL5997">
        <v>77.316732213496493</v>
      </c>
      <c r="AM5997">
        <v>97.462873902709504</v>
      </c>
      <c r="AN5997">
        <v>0.99999996599110397</v>
      </c>
    </row>
    <row r="5998" spans="1:40" x14ac:dyDescent="0.25">
      <c r="A5998" t="str">
        <f>"20190312172824078"</f>
        <v>20190312172824078</v>
      </c>
      <c r="B5998" t="str">
        <f>"1552382904075314"</f>
        <v>1552382904075314</v>
      </c>
      <c r="C5998" t="s">
        <v>40</v>
      </c>
      <c r="D5998">
        <v>3.1563159999999999</v>
      </c>
      <c r="E5998">
        <v>0.45543119999999998</v>
      </c>
      <c r="F5998" t="s">
        <v>41</v>
      </c>
      <c r="G5998">
        <v>-187.4256</v>
      </c>
      <c r="H5998" s="1">
        <v>-7.5696349999999996E-7</v>
      </c>
      <c r="I5998">
        <v>-40.140430000000002</v>
      </c>
      <c r="J5998">
        <v>-195.58320000000001</v>
      </c>
      <c r="K5998">
        <v>1.1193660000000001</v>
      </c>
      <c r="L5998">
        <v>-54.140839999999997</v>
      </c>
      <c r="M5998">
        <v>0.71067389999999997</v>
      </c>
      <c r="N5998">
        <v>0</v>
      </c>
      <c r="O5998">
        <v>0.70335300000000001</v>
      </c>
      <c r="P5998">
        <v>0.60472079999999995</v>
      </c>
      <c r="Q5998">
        <v>0.20614170000000001</v>
      </c>
      <c r="R5998">
        <v>0.76929729999999996</v>
      </c>
      <c r="S5998">
        <v>1.5942689999999999</v>
      </c>
      <c r="T5998">
        <v>-0.21367649999999999</v>
      </c>
      <c r="U5998">
        <v>2.7116090000000002</v>
      </c>
      <c r="V5998">
        <v>-0.1263668</v>
      </c>
      <c r="W5998">
        <v>0.21826980000000001</v>
      </c>
      <c r="X5998">
        <v>0.96767230000000004</v>
      </c>
      <c r="Y5998">
        <v>-0.25676110000000002</v>
      </c>
      <c r="Z5998">
        <v>-4.1406779999999997E-2</v>
      </c>
      <c r="AA5998">
        <v>0.96558750000000004</v>
      </c>
      <c r="AB5998">
        <v>29</v>
      </c>
      <c r="AC5998">
        <v>8.1576000000000004</v>
      </c>
      <c r="AD5998">
        <v>-1.1193667569635</v>
      </c>
      <c r="AE5998">
        <v>14.00041</v>
      </c>
      <c r="AF5998">
        <v>-4.1925453950381</v>
      </c>
      <c r="AG5998">
        <v>-1.1193667569635</v>
      </c>
      <c r="AH5998">
        <v>15.5721656228518</v>
      </c>
      <c r="AI5998">
        <v>93.9705812466445</v>
      </c>
      <c r="AJ5998">
        <v>105.068622868482</v>
      </c>
      <c r="AK5998">
        <v>16.165480537601599</v>
      </c>
      <c r="AL5998">
        <v>77.392569379502206</v>
      </c>
      <c r="AM5998">
        <v>97.440063506444901</v>
      </c>
      <c r="AN5998">
        <v>0.99999997696078402</v>
      </c>
    </row>
    <row r="5999" spans="1:40" x14ac:dyDescent="0.25">
      <c r="A5999" t="str">
        <f>"20190312172824090"</f>
        <v>20190312172824090</v>
      </c>
      <c r="B5999" t="str">
        <f>"1552382904085074"</f>
        <v>1552382904085074</v>
      </c>
      <c r="C5999" t="s">
        <v>40</v>
      </c>
      <c r="D5999">
        <v>3.1740270000000002</v>
      </c>
      <c r="E5999">
        <v>0.45558460000000001</v>
      </c>
      <c r="F5999" t="s">
        <v>41</v>
      </c>
      <c r="G5999">
        <v>-187.48740000000001</v>
      </c>
      <c r="H5999" s="1">
        <v>-7.7769829999999996E-7</v>
      </c>
      <c r="I5999">
        <v>-40.031140000000001</v>
      </c>
      <c r="J5999">
        <v>-195.47130000000001</v>
      </c>
      <c r="K5999">
        <v>1.119351</v>
      </c>
      <c r="L5999">
        <v>-54.020870000000002</v>
      </c>
      <c r="M5999">
        <v>0.70582100000000003</v>
      </c>
      <c r="N5999">
        <v>0</v>
      </c>
      <c r="O5999">
        <v>0.70822289999999999</v>
      </c>
      <c r="P5999">
        <v>0.59960729999999995</v>
      </c>
      <c r="Q5999">
        <v>0.2057052</v>
      </c>
      <c r="R5999">
        <v>0.77340569999999997</v>
      </c>
      <c r="S5999">
        <v>1.5649569999999999</v>
      </c>
      <c r="T5999">
        <v>-0.2163795</v>
      </c>
      <c r="U5999">
        <v>2.7274780000000001</v>
      </c>
      <c r="V5999">
        <v>-0.12619230000000001</v>
      </c>
      <c r="W5999">
        <v>0.21784029999999999</v>
      </c>
      <c r="X5999">
        <v>0.96779190000000004</v>
      </c>
      <c r="Y5999">
        <v>-0.26036019999999999</v>
      </c>
      <c r="Z5999">
        <v>-4.2227779999999999E-2</v>
      </c>
      <c r="AA5999">
        <v>0.96458770000000005</v>
      </c>
      <c r="AB5999">
        <v>29</v>
      </c>
      <c r="AC5999">
        <v>7.9839000000000002</v>
      </c>
      <c r="AD5999">
        <v>-1.1193517776983</v>
      </c>
      <c r="AE5999">
        <v>13.9897299999999</v>
      </c>
      <c r="AF5999">
        <v>-4.2000818041074597</v>
      </c>
      <c r="AG5999">
        <v>-1.1193517776983</v>
      </c>
      <c r="AH5999">
        <v>15.470186054855301</v>
      </c>
      <c r="AI5999">
        <v>93.994347873399605</v>
      </c>
      <c r="AJ5999">
        <v>105.189394673232</v>
      </c>
      <c r="AK5999">
        <v>16.069234335688499</v>
      </c>
      <c r="AL5999">
        <v>77.417785330601305</v>
      </c>
      <c r="AM5999">
        <v>97.428996454092399</v>
      </c>
      <c r="AN5999">
        <v>1.00000002729449</v>
      </c>
    </row>
    <row r="6000" spans="1:40" x14ac:dyDescent="0.25">
      <c r="A6000" t="str">
        <f>"20190312172824113"</f>
        <v>20190312172824113</v>
      </c>
      <c r="B6000" t="str">
        <f>"1552382904105569"</f>
        <v>1552382904105569</v>
      </c>
      <c r="C6000" t="s">
        <v>40</v>
      </c>
      <c r="D6000">
        <v>3.2479100000000001</v>
      </c>
      <c r="E6000">
        <v>0.456011</v>
      </c>
      <c r="F6000" t="s">
        <v>41</v>
      </c>
      <c r="G6000">
        <v>-187.5018</v>
      </c>
      <c r="H6000" s="1">
        <v>-8.0852489999999998E-7</v>
      </c>
      <c r="I6000">
        <v>-39.929299999999998</v>
      </c>
      <c r="J6000">
        <v>-195.28649999999999</v>
      </c>
      <c r="K6000">
        <v>1.1193299999999999</v>
      </c>
      <c r="L6000">
        <v>-53.818449999999999</v>
      </c>
      <c r="M6000">
        <v>0.69763549999999996</v>
      </c>
      <c r="N6000">
        <v>0</v>
      </c>
      <c r="O6000">
        <v>0.71628760000000002</v>
      </c>
      <c r="P6000">
        <v>0.59115059999999997</v>
      </c>
      <c r="Q6000">
        <v>0.20487079999999999</v>
      </c>
      <c r="R6000">
        <v>0.78010829999999998</v>
      </c>
      <c r="S6000">
        <v>1.5477909999999999</v>
      </c>
      <c r="T6000">
        <v>-0.21739420000000001</v>
      </c>
      <c r="U6000">
        <v>2.7367859999999999</v>
      </c>
      <c r="V6000">
        <v>-0.12572749999999999</v>
      </c>
      <c r="W6000">
        <v>0.21702199999999999</v>
      </c>
      <c r="X6000">
        <v>0.96803620000000001</v>
      </c>
      <c r="Y6000">
        <v>-0.25527100000000003</v>
      </c>
      <c r="Z6000">
        <v>-4.3190470000000002E-2</v>
      </c>
      <c r="AA6000">
        <v>0.9659044</v>
      </c>
      <c r="AB6000">
        <v>29</v>
      </c>
      <c r="AC6000">
        <v>7.7846999999999804</v>
      </c>
      <c r="AD6000">
        <v>-1.1193308085249001</v>
      </c>
      <c r="AE6000">
        <v>13.889150000000001</v>
      </c>
      <c r="AF6000">
        <v>-4.0937349893816402</v>
      </c>
      <c r="AG6000">
        <v>-1.1193308085249001</v>
      </c>
      <c r="AH6000">
        <v>15.3056861134081</v>
      </c>
      <c r="AI6000">
        <v>94.041137305619401</v>
      </c>
      <c r="AJ6000">
        <v>104.974111847244</v>
      </c>
      <c r="AK6000">
        <v>15.8831859217341</v>
      </c>
      <c r="AL6000">
        <v>77.465819546309604</v>
      </c>
      <c r="AM6000">
        <v>97.400090165620199</v>
      </c>
      <c r="AN6000">
        <v>1.0000000186253399</v>
      </c>
    </row>
    <row r="6001" spans="1:40" x14ac:dyDescent="0.25">
      <c r="A6001" t="str">
        <f>"20190312172824135"</f>
        <v>20190312172824135</v>
      </c>
      <c r="B6001" t="str">
        <f>"1552382904125090"</f>
        <v>1552382904125090</v>
      </c>
      <c r="C6001" t="s">
        <v>40</v>
      </c>
      <c r="D6001">
        <v>3.1538680000000001</v>
      </c>
      <c r="E6001">
        <v>0.45653270000000001</v>
      </c>
      <c r="F6001" t="s">
        <v>41</v>
      </c>
      <c r="G6001">
        <v>-187.52889999999999</v>
      </c>
      <c r="H6001" s="1">
        <v>-8.543605E-7</v>
      </c>
      <c r="I6001">
        <v>-39.773400000000002</v>
      </c>
      <c r="J6001">
        <v>-195.09479999999999</v>
      </c>
      <c r="K6001">
        <v>1.1193010000000001</v>
      </c>
      <c r="L6001">
        <v>-53.6034199999999</v>
      </c>
      <c r="M6001">
        <v>0.68893139999999997</v>
      </c>
      <c r="N6001">
        <v>0</v>
      </c>
      <c r="O6001">
        <v>0.72466319999999995</v>
      </c>
      <c r="P6001">
        <v>0.58177299999999998</v>
      </c>
      <c r="Q6001">
        <v>0.20447070000000001</v>
      </c>
      <c r="R6001">
        <v>0.7872306</v>
      </c>
      <c r="S6001">
        <v>1.51976</v>
      </c>
      <c r="T6001">
        <v>-0.2192849</v>
      </c>
      <c r="U6001">
        <v>2.7515260000000001</v>
      </c>
      <c r="V6001">
        <v>-0.12566540000000001</v>
      </c>
      <c r="W6001">
        <v>0.21662680000000001</v>
      </c>
      <c r="X6001">
        <v>0.96813269999999996</v>
      </c>
      <c r="Y6001">
        <v>-0.25334050000000002</v>
      </c>
      <c r="Z6001">
        <v>-4.4285789999999998E-2</v>
      </c>
      <c r="AA6001">
        <v>0.96636299999999997</v>
      </c>
      <c r="AB6001">
        <v>29</v>
      </c>
      <c r="AC6001">
        <v>7.5658999999999903</v>
      </c>
      <c r="AD6001">
        <v>-1.1193018543605</v>
      </c>
      <c r="AE6001">
        <v>13.8300199999999</v>
      </c>
      <c r="AF6001">
        <v>-4.0253913246332402</v>
      </c>
      <c r="AG6001">
        <v>-1.1193018543605</v>
      </c>
      <c r="AH6001">
        <v>15.159870342344901</v>
      </c>
      <c r="AI6001">
        <v>94.081730046981704</v>
      </c>
      <c r="AJ6001">
        <v>104.870565576483</v>
      </c>
      <c r="AK6001">
        <v>15.725084443471699</v>
      </c>
      <c r="AL6001">
        <v>77.489013686344094</v>
      </c>
      <c r="AM6001">
        <v>97.395746464364805</v>
      </c>
      <c r="AN6001">
        <v>0.99999994402234305</v>
      </c>
    </row>
    <row r="6002" spans="1:40" x14ac:dyDescent="0.25">
      <c r="A6002" t="str">
        <f>"20190312172824157"</f>
        <v>20190312172824157</v>
      </c>
      <c r="B6002" t="str">
        <f>"1552382904145586"</f>
        <v>1552382904145586</v>
      </c>
      <c r="C6002" t="s">
        <v>40</v>
      </c>
      <c r="D6002">
        <v>3.2068029999999998</v>
      </c>
      <c r="E6002">
        <v>0.45668720000000002</v>
      </c>
      <c r="F6002" t="s">
        <v>41</v>
      </c>
      <c r="G6002">
        <v>-187.5257</v>
      </c>
      <c r="H6002" s="1">
        <v>-9.3198900000000005E-7</v>
      </c>
      <c r="I6002">
        <v>-39.547829999999998</v>
      </c>
      <c r="J6002">
        <v>-194.91470000000001</v>
      </c>
      <c r="K6002">
        <v>1.1192770000000001</v>
      </c>
      <c r="L6002">
        <v>-53.39658</v>
      </c>
      <c r="M6002">
        <v>0.68054769999999998</v>
      </c>
      <c r="N6002">
        <v>0</v>
      </c>
      <c r="O6002">
        <v>0.73254229999999998</v>
      </c>
      <c r="P6002">
        <v>0.57263509999999995</v>
      </c>
      <c r="Q6002">
        <v>0.20395669999999999</v>
      </c>
      <c r="R6002">
        <v>0.79403449999999998</v>
      </c>
      <c r="S6002">
        <v>1.49002099999999</v>
      </c>
      <c r="T6002">
        <v>-0.2203397</v>
      </c>
      <c r="U6002">
        <v>2.7669069999999998</v>
      </c>
      <c r="V6002">
        <v>-0.12578159999999999</v>
      </c>
      <c r="W6002">
        <v>0.21611379999999999</v>
      </c>
      <c r="X6002">
        <v>0.96823230000000005</v>
      </c>
      <c r="Y6002">
        <v>-0.25251839999999998</v>
      </c>
      <c r="Z6002">
        <v>-4.5155309999999997E-2</v>
      </c>
      <c r="AA6002">
        <v>0.96653789999999995</v>
      </c>
      <c r="AB6002">
        <v>29</v>
      </c>
      <c r="AC6002">
        <v>7.3890000000000002</v>
      </c>
      <c r="AD6002">
        <v>-1.1192779319890001</v>
      </c>
      <c r="AE6002">
        <v>13.848750000000001</v>
      </c>
      <c r="AF6002">
        <v>-3.9921558955483598</v>
      </c>
      <c r="AG6002">
        <v>-1.1192779319890001</v>
      </c>
      <c r="AH6002">
        <v>15.098387458662801</v>
      </c>
      <c r="AI6002">
        <v>94.099340330695995</v>
      </c>
      <c r="AJ6002">
        <v>104.81060511546301</v>
      </c>
      <c r="AK6002">
        <v>15.657311251786</v>
      </c>
      <c r="AL6002">
        <v>77.519120124662805</v>
      </c>
      <c r="AM6002">
        <v>97.401756296966596</v>
      </c>
      <c r="AN6002">
        <v>0.99999998610614405</v>
      </c>
    </row>
    <row r="6003" spans="1:40" x14ac:dyDescent="0.25">
      <c r="A6003" t="str">
        <f>"20190312172824179"</f>
        <v>20190312172824179</v>
      </c>
      <c r="B6003" t="str">
        <f>"1552382904175842"</f>
        <v>1552382904175842</v>
      </c>
      <c r="C6003" t="s">
        <v>40</v>
      </c>
      <c r="D6003">
        <v>3.7784840000000002</v>
      </c>
      <c r="E6003">
        <v>0.4567755</v>
      </c>
      <c r="F6003" t="s">
        <v>41</v>
      </c>
      <c r="G6003">
        <v>-187.5778</v>
      </c>
      <c r="H6003" s="1">
        <v>-9.6800640000000001E-7</v>
      </c>
      <c r="I6003">
        <v>-39.401269999999997</v>
      </c>
      <c r="J6003">
        <v>-194.73589999999999</v>
      </c>
      <c r="K6003">
        <v>1.1192580000000001</v>
      </c>
      <c r="L6003">
        <v>-53.186369999999997</v>
      </c>
      <c r="M6003">
        <v>0.67201759999999999</v>
      </c>
      <c r="N6003">
        <v>0</v>
      </c>
      <c r="O6003">
        <v>0.74037559999999902</v>
      </c>
      <c r="P6003">
        <v>0.56343100000000002</v>
      </c>
      <c r="Q6003">
        <v>0.20355880000000001</v>
      </c>
      <c r="R6003">
        <v>0.80069299999999999</v>
      </c>
      <c r="S6003">
        <v>1.4590299999999901</v>
      </c>
      <c r="T6003">
        <v>-0.2225801</v>
      </c>
      <c r="U6003">
        <v>2.783112</v>
      </c>
      <c r="V6003">
        <v>-0.12579009999999999</v>
      </c>
      <c r="W6003">
        <v>0.21571889999999999</v>
      </c>
      <c r="X6003">
        <v>0.96831929999999999</v>
      </c>
      <c r="Y6003">
        <v>-0.25209019999999999</v>
      </c>
      <c r="Z6003">
        <v>-4.6257189999999997E-2</v>
      </c>
      <c r="AA6003">
        <v>0.96659759999999995</v>
      </c>
      <c r="AB6003">
        <v>29</v>
      </c>
      <c r="AC6003">
        <v>7.1580999999999904</v>
      </c>
      <c r="AD6003">
        <v>-1.11925896800639</v>
      </c>
      <c r="AE6003">
        <v>13.7850999999999</v>
      </c>
      <c r="AF6003">
        <v>-3.9441364435981199</v>
      </c>
      <c r="AG6003">
        <v>-1.11925896800639</v>
      </c>
      <c r="AH6003">
        <v>14.940718315206301</v>
      </c>
      <c r="AI6003">
        <v>94.142812793003998</v>
      </c>
      <c r="AJ6003">
        <v>104.787913316673</v>
      </c>
      <c r="AK6003">
        <v>15.4930312301216</v>
      </c>
      <c r="AL6003">
        <v>77.542293383899505</v>
      </c>
      <c r="AM6003">
        <v>97.401593250914303</v>
      </c>
      <c r="AN6003">
        <v>1.0000000299138501</v>
      </c>
    </row>
    <row r="6004" spans="1:40" x14ac:dyDescent="0.25">
      <c r="A6004" t="str">
        <f>"20190312172824202"</f>
        <v>20190312172824202</v>
      </c>
      <c r="B6004" t="str">
        <f>"1552382904195362"</f>
        <v>1552382904195362</v>
      </c>
      <c r="C6004" t="s">
        <v>40</v>
      </c>
      <c r="D6004">
        <v>3.2448480000000002</v>
      </c>
      <c r="E6004">
        <v>0.4568777</v>
      </c>
      <c r="F6004" t="s">
        <v>41</v>
      </c>
      <c r="G6004">
        <v>-187.58</v>
      </c>
      <c r="H6004" s="1">
        <v>-1.0509359999999999E-6</v>
      </c>
      <c r="I6004">
        <v>-39.155810000000002</v>
      </c>
      <c r="J6004">
        <v>-194.55240000000001</v>
      </c>
      <c r="K6004">
        <v>1.1192279999999999</v>
      </c>
      <c r="L6004">
        <v>-52.965580000000003</v>
      </c>
      <c r="M6004">
        <v>0.66304680000000005</v>
      </c>
      <c r="N6004">
        <v>0</v>
      </c>
      <c r="O6004">
        <v>0.74842019999999998</v>
      </c>
      <c r="P6004">
        <v>0.55329949999999894</v>
      </c>
      <c r="Q6004">
        <v>0.20310210000000001</v>
      </c>
      <c r="R6004">
        <v>0.80784239999999996</v>
      </c>
      <c r="S6004">
        <v>1.4275359999999999</v>
      </c>
      <c r="T6004">
        <v>-0.22328290000000001</v>
      </c>
      <c r="U6004">
        <v>2.7989809999999999</v>
      </c>
      <c r="V6004">
        <v>-0.12637370000000001</v>
      </c>
      <c r="W6004">
        <v>0.21525140000000001</v>
      </c>
      <c r="X6004">
        <v>0.96834730000000002</v>
      </c>
      <c r="Y6004">
        <v>-0.2512913</v>
      </c>
      <c r="Z6004">
        <v>-4.7079240000000001E-2</v>
      </c>
      <c r="AA6004">
        <v>0.96676589999999996</v>
      </c>
      <c r="AB6004">
        <v>29</v>
      </c>
      <c r="AC6004">
        <v>6.9723999999999897</v>
      </c>
      <c r="AD6004">
        <v>-1.1192290509359999</v>
      </c>
      <c r="AE6004">
        <v>13.80977</v>
      </c>
      <c r="AF6004">
        <v>-3.9181952119993899</v>
      </c>
      <c r="AG6004">
        <v>-1.1192290509359999</v>
      </c>
      <c r="AH6004">
        <v>14.882407132530901</v>
      </c>
      <c r="AI6004">
        <v>94.159601336909603</v>
      </c>
      <c r="AJ6004">
        <v>104.749943848149</v>
      </c>
      <c r="AK6004">
        <v>15.4301966755515</v>
      </c>
      <c r="AL6004">
        <v>77.569723011543601</v>
      </c>
      <c r="AM6004">
        <v>97.435336776803993</v>
      </c>
      <c r="AN6004">
        <v>0.99999998533546997</v>
      </c>
    </row>
    <row r="6005" spans="1:40" x14ac:dyDescent="0.25">
      <c r="A6005" t="str">
        <f>"20190312172824225"</f>
        <v>20190312172824225</v>
      </c>
      <c r="B6005" t="str">
        <f>"1552382904215858"</f>
        <v>1552382904215858</v>
      </c>
      <c r="C6005" t="s">
        <v>40</v>
      </c>
      <c r="D6005">
        <v>3.2481339999999999</v>
      </c>
      <c r="E6005">
        <v>0.45709559999999999</v>
      </c>
      <c r="F6005" t="s">
        <v>41</v>
      </c>
      <c r="G6005">
        <v>-187.61539999999999</v>
      </c>
      <c r="H6005" s="1">
        <v>-1.1138390000000001E-6</v>
      </c>
      <c r="I6005">
        <v>-38.943269999999998</v>
      </c>
      <c r="J6005">
        <v>-194.369</v>
      </c>
      <c r="K6005">
        <v>1.1192</v>
      </c>
      <c r="L6005">
        <v>-52.739229999999999</v>
      </c>
      <c r="M6005">
        <v>0.65383950000000002</v>
      </c>
      <c r="N6005">
        <v>0</v>
      </c>
      <c r="O6005">
        <v>0.75647730000000002</v>
      </c>
      <c r="P6005">
        <v>0.54319839999999997</v>
      </c>
      <c r="Q6005">
        <v>0.2029465</v>
      </c>
      <c r="R6005">
        <v>0.81470750000000003</v>
      </c>
      <c r="S6005">
        <v>1.393097</v>
      </c>
      <c r="T6005">
        <v>-0.2247651</v>
      </c>
      <c r="U6005">
        <v>2.815979</v>
      </c>
      <c r="V6005">
        <v>-0.12659010000000001</v>
      </c>
      <c r="W6005">
        <v>0.21509259999999999</v>
      </c>
      <c r="X6005">
        <v>0.9683543</v>
      </c>
      <c r="Y6005">
        <v>-0.25128349999999999</v>
      </c>
      <c r="Z6005">
        <v>-4.8053209999999999E-2</v>
      </c>
      <c r="AA6005">
        <v>0.96672000000000002</v>
      </c>
      <c r="AB6005">
        <v>29</v>
      </c>
      <c r="AC6005">
        <v>6.7536000000000298</v>
      </c>
      <c r="AD6005">
        <v>-1.1192011138389999</v>
      </c>
      <c r="AE6005">
        <v>13.795959999999999</v>
      </c>
      <c r="AF6005">
        <v>-3.8912016116670101</v>
      </c>
      <c r="AG6005">
        <v>-1.1192011138389999</v>
      </c>
      <c r="AH6005">
        <v>14.775410762473999</v>
      </c>
      <c r="AI6005">
        <v>94.189430254090297</v>
      </c>
      <c r="AJ6005">
        <v>104.754208721984</v>
      </c>
      <c r="AK6005">
        <v>15.3201443960457</v>
      </c>
      <c r="AL6005">
        <v>77.5790395621774</v>
      </c>
      <c r="AM6005">
        <v>97.447872851415198</v>
      </c>
      <c r="AN6005">
        <v>0.99999996516062895</v>
      </c>
    </row>
    <row r="6006" spans="1:40" x14ac:dyDescent="0.25">
      <c r="A6006" t="str">
        <f>"20190312172824247"</f>
        <v>20190312172824247</v>
      </c>
      <c r="B6006" t="str">
        <f>"1552382904235378"</f>
        <v>1552382904235378</v>
      </c>
      <c r="C6006" t="s">
        <v>40</v>
      </c>
      <c r="D6006">
        <v>3.2487970000000002</v>
      </c>
      <c r="E6006">
        <v>0.45741500000000002</v>
      </c>
      <c r="F6006" t="s">
        <v>41</v>
      </c>
      <c r="G6006">
        <v>-187.6206</v>
      </c>
      <c r="H6006" s="1">
        <v>-1.2020460000000001E-6</v>
      </c>
      <c r="I6006">
        <v>-38.680030000000002</v>
      </c>
      <c r="J6006">
        <v>-194.20060000000001</v>
      </c>
      <c r="K6006">
        <v>1.1191709999999999</v>
      </c>
      <c r="L6006">
        <v>-52.526429999999998</v>
      </c>
      <c r="M6006">
        <v>0.64517469999999999</v>
      </c>
      <c r="N6006">
        <v>0</v>
      </c>
      <c r="O6006">
        <v>0.76388069999999997</v>
      </c>
      <c r="P6006">
        <v>0.53370109999999904</v>
      </c>
      <c r="Q6006">
        <v>0.2027195</v>
      </c>
      <c r="R6006">
        <v>0.82101639999999998</v>
      </c>
      <c r="S6006">
        <v>1.3593900000000001</v>
      </c>
      <c r="T6006">
        <v>-0.2254525</v>
      </c>
      <c r="U6006">
        <v>2.8320919999999998</v>
      </c>
      <c r="V6006">
        <v>-0.12681689999999901</v>
      </c>
      <c r="W6006">
        <v>0.21486259999999999</v>
      </c>
      <c r="X6006">
        <v>0.96837569999999995</v>
      </c>
      <c r="Y6006">
        <v>-0.25175950000000002</v>
      </c>
      <c r="Z6006">
        <v>-4.8801120000000003E-2</v>
      </c>
      <c r="AA6006">
        <v>0.96655860000000005</v>
      </c>
      <c r="AB6006">
        <v>29</v>
      </c>
      <c r="AC6006">
        <v>6.5800000000000098</v>
      </c>
      <c r="AD6006">
        <v>-1.119172202046</v>
      </c>
      <c r="AE6006">
        <v>13.846399999999999</v>
      </c>
      <c r="AF6006">
        <v>-3.886758169793</v>
      </c>
      <c r="AG6006">
        <v>-1.119172202046</v>
      </c>
      <c r="AH6006">
        <v>14.7454093266496</v>
      </c>
      <c r="AI6006">
        <v>94.197574053652701</v>
      </c>
      <c r="AJ6006">
        <v>104.766771829954</v>
      </c>
      <c r="AK6006">
        <v>15.2900795190453</v>
      </c>
      <c r="AL6006">
        <v>77.592533267282406</v>
      </c>
      <c r="AM6006">
        <v>97.460903300518495</v>
      </c>
      <c r="AN6006">
        <v>0.99999997967742904</v>
      </c>
    </row>
    <row r="6007" spans="1:40" x14ac:dyDescent="0.25">
      <c r="A6007" t="str">
        <f>"20190312172824269"</f>
        <v>20190312172824269</v>
      </c>
      <c r="B6007" t="str">
        <f>"1552382904265634"</f>
        <v>1552382904265634</v>
      </c>
      <c r="C6007" t="s">
        <v>40</v>
      </c>
      <c r="D6007">
        <v>3.2260879999999998</v>
      </c>
      <c r="E6007">
        <v>0.45806079999999999</v>
      </c>
      <c r="F6007" t="s">
        <v>41</v>
      </c>
      <c r="G6007">
        <v>-187.63239999999999</v>
      </c>
      <c r="H6007" s="1">
        <v>-1.2748630000000001E-6</v>
      </c>
      <c r="I6007">
        <v>-38.456809999999997</v>
      </c>
      <c r="J6007">
        <v>-194.03540000000001</v>
      </c>
      <c r="K6007">
        <v>1.1191530000000001</v>
      </c>
      <c r="L6007">
        <v>-52.312469999999998</v>
      </c>
      <c r="M6007">
        <v>0.6364571</v>
      </c>
      <c r="N6007">
        <v>0</v>
      </c>
      <c r="O6007">
        <v>0.77115919999999905</v>
      </c>
      <c r="P6007">
        <v>0.52405290000000004</v>
      </c>
      <c r="Q6007">
        <v>0.2023461</v>
      </c>
      <c r="R6007">
        <v>0.82729969999999997</v>
      </c>
      <c r="S6007">
        <v>1.328705</v>
      </c>
      <c r="T6007">
        <v>-0.2264013</v>
      </c>
      <c r="U6007">
        <v>2.8461910000000001</v>
      </c>
      <c r="V6007">
        <v>-0.12719349999999999</v>
      </c>
      <c r="W6007">
        <v>0.21448349999999999</v>
      </c>
      <c r="X6007">
        <v>0.9684104</v>
      </c>
      <c r="Y6007">
        <v>-0.25117220000000001</v>
      </c>
      <c r="Z6007">
        <v>-4.962884E-2</v>
      </c>
      <c r="AA6007">
        <v>0.96666929999999995</v>
      </c>
      <c r="AB6007">
        <v>28</v>
      </c>
      <c r="AC6007">
        <v>6.4030000000000102</v>
      </c>
      <c r="AD6007">
        <v>-1.1191542748629999</v>
      </c>
      <c r="AE6007">
        <v>13.85566</v>
      </c>
      <c r="AF6007">
        <v>-3.8605041757576601</v>
      </c>
      <c r="AG6007">
        <v>-1.1191542748629999</v>
      </c>
      <c r="AH6007">
        <v>14.6829586542126</v>
      </c>
      <c r="AI6007">
        <v>94.215985689246807</v>
      </c>
      <c r="AJ6007">
        <v>104.73103601994499</v>
      </c>
      <c r="AK6007">
        <v>15.2231821122689</v>
      </c>
      <c r="AL6007">
        <v>77.614773225795901</v>
      </c>
      <c r="AM6007">
        <v>97.482543669241196</v>
      </c>
      <c r="AN6007">
        <v>1.0000000305213199</v>
      </c>
    </row>
    <row r="6008" spans="1:40" x14ac:dyDescent="0.25">
      <c r="A6008" t="str">
        <f>"20190312172824291"</f>
        <v>20190312172824291</v>
      </c>
      <c r="B6008" t="str">
        <f>"1552382904285155"</f>
        <v>1552382904285155</v>
      </c>
      <c r="C6008" t="s">
        <v>40</v>
      </c>
      <c r="D6008">
        <v>3.2125689999999998</v>
      </c>
      <c r="E6008">
        <v>0.47002050000000001</v>
      </c>
      <c r="F6008" t="s">
        <v>41</v>
      </c>
      <c r="G6008">
        <v>-187.6645</v>
      </c>
      <c r="H6008" s="1">
        <v>-1.319114E-6</v>
      </c>
      <c r="I6008">
        <v>-38.301740000000002</v>
      </c>
      <c r="J6008">
        <v>-193.87010000000001</v>
      </c>
      <c r="K6008">
        <v>1.1191279999999999</v>
      </c>
      <c r="L6008">
        <v>-52.09299</v>
      </c>
      <c r="M6008">
        <v>0.62751199999999996</v>
      </c>
      <c r="N6008">
        <v>0</v>
      </c>
      <c r="O6008">
        <v>0.77845559999999903</v>
      </c>
      <c r="P6008">
        <v>0.51484399999999997</v>
      </c>
      <c r="Q6008">
        <v>0.20243040000000001</v>
      </c>
      <c r="R6008">
        <v>0.83304120000000004</v>
      </c>
      <c r="S6008">
        <v>1.2998959999999999</v>
      </c>
      <c r="T6008">
        <v>-0.2283462</v>
      </c>
      <c r="U6008">
        <v>2.858673</v>
      </c>
      <c r="V6008">
        <v>-0.12672900000000001</v>
      </c>
      <c r="W6008">
        <v>0.21458079999999999</v>
      </c>
      <c r="X6008">
        <v>0.96844969999999997</v>
      </c>
      <c r="Y6008">
        <v>-0.24967929999999999</v>
      </c>
      <c r="Z6008">
        <v>-5.0711979999999997E-2</v>
      </c>
      <c r="AA6008">
        <v>0.96699979999999996</v>
      </c>
      <c r="AB6008">
        <v>28</v>
      </c>
      <c r="AC6008">
        <v>6.2055999999999996</v>
      </c>
      <c r="AD6008">
        <v>-1.1191293191139999</v>
      </c>
      <c r="AE6008">
        <v>13.7912499999999</v>
      </c>
      <c r="AF6008">
        <v>-3.8030151518454098</v>
      </c>
      <c r="AG6008">
        <v>-1.1191293191139999</v>
      </c>
      <c r="AH6008">
        <v>14.551998130609499</v>
      </c>
      <c r="AI6008">
        <v>94.255341566148999</v>
      </c>
      <c r="AJ6008">
        <v>104.646092708425</v>
      </c>
      <c r="AK6008">
        <v>15.082308320390799</v>
      </c>
      <c r="AL6008">
        <v>77.609064945817593</v>
      </c>
      <c r="AM6008">
        <v>97.455226866925699</v>
      </c>
      <c r="AN6008">
        <v>0.99999999029986497</v>
      </c>
    </row>
    <row r="6009" spans="1:40" x14ac:dyDescent="0.25">
      <c r="A6009" t="str">
        <f>"20190312172824315"</f>
        <v>20190312172824315</v>
      </c>
      <c r="B6009" t="str">
        <f>"1552382904305650"</f>
        <v>1552382904305650</v>
      </c>
      <c r="C6009" t="s">
        <v>40</v>
      </c>
      <c r="D6009">
        <v>3.2551839999999999</v>
      </c>
      <c r="E6009">
        <v>0.4700299</v>
      </c>
      <c r="F6009" t="s">
        <v>41</v>
      </c>
      <c r="G6009">
        <v>-187.70050000000001</v>
      </c>
      <c r="H6009" s="1">
        <v>-1.0122889999999999E-6</v>
      </c>
      <c r="I6009">
        <v>-39.175139999999999</v>
      </c>
      <c r="J6009">
        <v>-193.69</v>
      </c>
      <c r="K6009">
        <v>1.1190990000000001</v>
      </c>
      <c r="L6009">
        <v>-51.8476</v>
      </c>
      <c r="M6009">
        <v>0.61750380000000005</v>
      </c>
      <c r="N6009">
        <v>0</v>
      </c>
      <c r="O6009">
        <v>0.78641839999999996</v>
      </c>
      <c r="P6009">
        <v>0.50431930000000003</v>
      </c>
      <c r="Q6009">
        <v>0.20240030000000001</v>
      </c>
      <c r="R6009">
        <v>0.83946189999999998</v>
      </c>
      <c r="S6009">
        <v>1.3499300000000001</v>
      </c>
      <c r="T6009">
        <v>-0.2448699</v>
      </c>
      <c r="U6009">
        <v>2.8264770000000001</v>
      </c>
      <c r="V6009">
        <v>-0.1265172</v>
      </c>
      <c r="W6009">
        <v>0.2145581</v>
      </c>
      <c r="X6009">
        <v>0.96848239999999997</v>
      </c>
      <c r="Y6009">
        <v>-0.2191476</v>
      </c>
      <c r="Z6009">
        <v>-5.5989110000000002E-2</v>
      </c>
      <c r="AA6009">
        <v>0.97408399999999995</v>
      </c>
      <c r="AB6009">
        <v>28</v>
      </c>
      <c r="AC6009">
        <v>5.9894999999999898</v>
      </c>
      <c r="AD6009">
        <v>-1.119100012289</v>
      </c>
      <c r="AE6009">
        <v>12.672459999999999</v>
      </c>
      <c r="AF6009">
        <v>-3.0956719052834001</v>
      </c>
      <c r="AG6009">
        <v>-1.119100012289</v>
      </c>
      <c r="AH6009">
        <v>13.579438383928</v>
      </c>
      <c r="AI6009">
        <v>94.593843470864698</v>
      </c>
      <c r="AJ6009">
        <v>102.842117894203</v>
      </c>
      <c r="AK6009">
        <v>13.972713272860201</v>
      </c>
      <c r="AL6009">
        <v>77.610396315338093</v>
      </c>
      <c r="AM6009">
        <v>97.442658402245598</v>
      </c>
      <c r="AN6009">
        <v>0.999999969640604</v>
      </c>
    </row>
    <row r="6010" spans="1:40" x14ac:dyDescent="0.25">
      <c r="A6010" t="str">
        <f>"20190312172824337"</f>
        <v>20190312172824337</v>
      </c>
      <c r="B6010" t="str">
        <f>"1552382904325170"</f>
        <v>1552382904325170</v>
      </c>
      <c r="C6010" t="s">
        <v>40</v>
      </c>
      <c r="D6010">
        <v>3.2804489999999999</v>
      </c>
      <c r="E6010">
        <v>0.4702945</v>
      </c>
      <c r="F6010" t="s">
        <v>41</v>
      </c>
      <c r="G6010">
        <v>-187.5608</v>
      </c>
      <c r="H6010" s="1">
        <v>-1.2457640000000001E-6</v>
      </c>
      <c r="I6010">
        <v>-38.598309999999998</v>
      </c>
      <c r="J6010">
        <v>-193.52799999999999</v>
      </c>
      <c r="K6010">
        <v>1.1190709999999999</v>
      </c>
      <c r="L6010">
        <v>-51.621339999999996</v>
      </c>
      <c r="M6010">
        <v>0.60826899999999995</v>
      </c>
      <c r="N6010">
        <v>0</v>
      </c>
      <c r="O6010">
        <v>0.79358280000000003</v>
      </c>
      <c r="P6010">
        <v>0.49454019999999999</v>
      </c>
      <c r="Q6010">
        <v>0.20250960000000001</v>
      </c>
      <c r="R6010">
        <v>0.84523369999999998</v>
      </c>
      <c r="S6010">
        <v>1.31462099999999</v>
      </c>
      <c r="T6010">
        <v>-0.2400322</v>
      </c>
      <c r="U6010">
        <v>2.8417970000000001</v>
      </c>
      <c r="V6010">
        <v>-0.12641050000000001</v>
      </c>
      <c r="W6010">
        <v>0.21467159999999999</v>
      </c>
      <c r="X6010">
        <v>0.96847119999999998</v>
      </c>
      <c r="Y6010">
        <v>-0.2196864</v>
      </c>
      <c r="Z6010">
        <v>-5.552091E-2</v>
      </c>
      <c r="AA6010">
        <v>0.97398940000000001</v>
      </c>
      <c r="AB6010">
        <v>28</v>
      </c>
      <c r="AC6010">
        <v>5.9671999999999903</v>
      </c>
      <c r="AD6010">
        <v>-1.1190722457640001</v>
      </c>
      <c r="AE6010">
        <v>13.02303</v>
      </c>
      <c r="AF6010">
        <v>-3.1670849553822098</v>
      </c>
      <c r="AG6010">
        <v>-1.1190722457640001</v>
      </c>
      <c r="AH6010">
        <v>13.881442877283799</v>
      </c>
      <c r="AI6010">
        <v>94.494023458230203</v>
      </c>
      <c r="AJ6010">
        <v>102.852184717569</v>
      </c>
      <c r="AK6010">
        <v>14.2820588908302</v>
      </c>
      <c r="AL6010">
        <v>77.603738328062093</v>
      </c>
      <c r="AM6010">
        <v>97.436536855985693</v>
      </c>
      <c r="AN6010">
        <v>0.99999998779312405</v>
      </c>
    </row>
    <row r="6011" spans="1:40" x14ac:dyDescent="0.25">
      <c r="A6011" t="str">
        <f>"20190312172824359"</f>
        <v>20190312172824359</v>
      </c>
      <c r="B6011" t="str">
        <f>"1552382904355426"</f>
        <v>1552382904355426</v>
      </c>
      <c r="C6011" t="s">
        <v>40</v>
      </c>
      <c r="D6011">
        <v>3.2335449999999999</v>
      </c>
      <c r="E6011">
        <v>0.47082210000000002</v>
      </c>
      <c r="F6011" t="s">
        <v>41</v>
      </c>
      <c r="G6011">
        <v>-187.4742</v>
      </c>
      <c r="H6011" s="1">
        <v>-1.4181029999999999E-6</v>
      </c>
      <c r="I6011">
        <v>-38.159599999999998</v>
      </c>
      <c r="J6011">
        <v>-193.3733</v>
      </c>
      <c r="K6011">
        <v>1.119043</v>
      </c>
      <c r="L6011">
        <v>-51.399929999999998</v>
      </c>
      <c r="M6011">
        <v>0.59923359999999903</v>
      </c>
      <c r="N6011">
        <v>0</v>
      </c>
      <c r="O6011">
        <v>0.80042749999999996</v>
      </c>
      <c r="P6011">
        <v>0.4850177</v>
      </c>
      <c r="Q6011">
        <v>0.20242650000000001</v>
      </c>
      <c r="R6011">
        <v>0.85075339999999999</v>
      </c>
      <c r="S6011">
        <v>1.28389</v>
      </c>
      <c r="T6011">
        <v>-0.23733399999999999</v>
      </c>
      <c r="U6011">
        <v>2.8549799999999999</v>
      </c>
      <c r="V6011">
        <v>-0.1262991</v>
      </c>
      <c r="W6011">
        <v>0.21459439999999999</v>
      </c>
      <c r="X6011">
        <v>0.96850290000000006</v>
      </c>
      <c r="Y6011">
        <v>-0.21901960000000001</v>
      </c>
      <c r="Z6011">
        <v>-5.5521620000000001E-2</v>
      </c>
      <c r="AA6011">
        <v>0.97413950000000005</v>
      </c>
      <c r="AB6011">
        <v>28</v>
      </c>
      <c r="AC6011">
        <v>5.8990999999999998</v>
      </c>
      <c r="AD6011">
        <v>-1.1190444181029999</v>
      </c>
      <c r="AE6011">
        <v>13.240329999999901</v>
      </c>
      <c r="AF6011">
        <v>-3.19359183854076</v>
      </c>
      <c r="AG6011">
        <v>-1.1190444181029999</v>
      </c>
      <c r="AH6011">
        <v>14.050778768634</v>
      </c>
      <c r="AI6011">
        <v>94.440797129272795</v>
      </c>
      <c r="AJ6011">
        <v>102.80516962198899</v>
      </c>
      <c r="AK6011">
        <v>14.452531724441201</v>
      </c>
      <c r="AL6011">
        <v>77.608267804522001</v>
      </c>
      <c r="AM6011">
        <v>97.429816145225203</v>
      </c>
      <c r="AN6011">
        <v>1.00000004324028</v>
      </c>
    </row>
    <row r="6012" spans="1:40" x14ac:dyDescent="0.25">
      <c r="A6012" t="str">
        <f>"20190312172824381"</f>
        <v>20190312172824381</v>
      </c>
      <c r="B6012" t="str">
        <f>"1552382904375922"</f>
        <v>1552382904375922</v>
      </c>
      <c r="C6012" t="s">
        <v>40</v>
      </c>
      <c r="D6012">
        <v>3.4345050000000001</v>
      </c>
      <c r="E6012">
        <v>0.47801329999999997</v>
      </c>
      <c r="F6012" t="s">
        <v>41</v>
      </c>
      <c r="G6012">
        <v>-187.4623</v>
      </c>
      <c r="H6012" s="1">
        <v>-1.507802E-6</v>
      </c>
      <c r="I6012">
        <v>-37.90531</v>
      </c>
      <c r="J6012">
        <v>-193.21979999999999</v>
      </c>
      <c r="K6012">
        <v>1.1190070000000001</v>
      </c>
      <c r="L6012">
        <v>-51.174900000000001</v>
      </c>
      <c r="M6012">
        <v>0.590059</v>
      </c>
      <c r="N6012">
        <v>0</v>
      </c>
      <c r="O6012">
        <v>0.80721480000000001</v>
      </c>
      <c r="P6012">
        <v>0.47531010000000001</v>
      </c>
      <c r="Q6012">
        <v>0.20251</v>
      </c>
      <c r="R6012">
        <v>0.85619509999999899</v>
      </c>
      <c r="S6012">
        <v>1.255768</v>
      </c>
      <c r="T6012">
        <v>-0.23773929999999999</v>
      </c>
      <c r="U6012">
        <v>2.8669129999999998</v>
      </c>
      <c r="V6012">
        <v>-0.12623099999999901</v>
      </c>
      <c r="W6012">
        <v>0.21468280000000001</v>
      </c>
      <c r="X6012">
        <v>0.96849220000000003</v>
      </c>
      <c r="Y6012">
        <v>-0.21740129999999999</v>
      </c>
      <c r="Z6012">
        <v>-5.6252969999999999E-2</v>
      </c>
      <c r="AA6012">
        <v>0.97445999999999999</v>
      </c>
      <c r="AB6012">
        <v>28</v>
      </c>
      <c r="AC6012">
        <v>5.7574999999999896</v>
      </c>
      <c r="AD6012">
        <v>-1.11900850780199</v>
      </c>
      <c r="AE6012">
        <v>13.2695899999999</v>
      </c>
      <c r="AF6012">
        <v>-3.1637412267267702</v>
      </c>
      <c r="AG6012">
        <v>-1.11900850780199</v>
      </c>
      <c r="AH6012">
        <v>14.0263862068953</v>
      </c>
      <c r="AI6012">
        <v>94.450000658462699</v>
      </c>
      <c r="AJ6012">
        <v>102.71072330877</v>
      </c>
      <c r="AK6012">
        <v>14.4222379891335</v>
      </c>
      <c r="AL6012">
        <v>77.603082152134405</v>
      </c>
      <c r="AM6012">
        <v>97.4259358658596</v>
      </c>
      <c r="AN6012">
        <v>1.00000005571883</v>
      </c>
    </row>
    <row r="6013" spans="1:40" x14ac:dyDescent="0.25">
      <c r="A6013" t="str">
        <f>"20190312172824403"</f>
        <v>20190312172824403</v>
      </c>
      <c r="B6013" t="str">
        <f>"1552382904395443"</f>
        <v>1552382904395443</v>
      </c>
      <c r="C6013" t="s">
        <v>40</v>
      </c>
      <c r="D6013">
        <v>3.325888</v>
      </c>
      <c r="E6013">
        <v>0.47832190000000002</v>
      </c>
      <c r="F6013" t="s">
        <v>41</v>
      </c>
      <c r="G6013">
        <v>-187.31540000000001</v>
      </c>
      <c r="H6013" s="1">
        <v>-1.5316549999999999E-6</v>
      </c>
      <c r="I6013">
        <v>-37.950119999999998</v>
      </c>
      <c r="J6013">
        <v>-193.06870000000001</v>
      </c>
      <c r="K6013">
        <v>1.1189659999999999</v>
      </c>
      <c r="L6013">
        <v>-50.94791</v>
      </c>
      <c r="M6013">
        <v>0.5808198</v>
      </c>
      <c r="N6013">
        <v>0</v>
      </c>
      <c r="O6013">
        <v>0.81388819999999995</v>
      </c>
      <c r="P6013">
        <v>0.46569880000000002</v>
      </c>
      <c r="Q6013">
        <v>0.2025324</v>
      </c>
      <c r="R6013">
        <v>0.86145539999999998</v>
      </c>
      <c r="S6013">
        <v>1.274078</v>
      </c>
      <c r="T6013">
        <v>-0.2414645</v>
      </c>
      <c r="U6013">
        <v>2.8536990000000002</v>
      </c>
      <c r="V6013">
        <v>-0.1260038</v>
      </c>
      <c r="W6013">
        <v>0.2147145</v>
      </c>
      <c r="X6013">
        <v>0.96851469999999995</v>
      </c>
      <c r="Y6013">
        <v>-0.19940849999999999</v>
      </c>
      <c r="Z6013">
        <v>-5.8223539999999997E-2</v>
      </c>
      <c r="AA6013">
        <v>0.97818519999999998</v>
      </c>
      <c r="AB6013">
        <v>28</v>
      </c>
      <c r="AC6013">
        <v>5.7532999999999896</v>
      </c>
      <c r="AD6013">
        <v>-1.1189675316549901</v>
      </c>
      <c r="AE6013">
        <v>12.99779</v>
      </c>
      <c r="AF6013">
        <v>-2.8495080047546701</v>
      </c>
      <c r="AG6013">
        <v>-1.1189675316549901</v>
      </c>
      <c r="AH6013">
        <v>13.836264685904201</v>
      </c>
      <c r="AI6013">
        <v>94.528928489634097</v>
      </c>
      <c r="AJ6013">
        <v>101.63707134693399</v>
      </c>
      <c r="AK6013">
        <v>14.1708858108609</v>
      </c>
      <c r="AL6013">
        <v>77.601221796891295</v>
      </c>
      <c r="AM6013">
        <v>97.412548597022194</v>
      </c>
      <c r="AN6013">
        <v>0.99999999912038895</v>
      </c>
    </row>
    <row r="6014" spans="1:40" x14ac:dyDescent="0.25">
      <c r="A6014" t="str">
        <f>"20190312172824426"</f>
        <v>20190312172824426</v>
      </c>
      <c r="B6014" t="str">
        <f>"1552382904415938"</f>
        <v>1552382904415938</v>
      </c>
      <c r="C6014" t="s">
        <v>40</v>
      </c>
      <c r="D6014">
        <v>3.3501479999999999</v>
      </c>
      <c r="E6014">
        <v>0.4789042</v>
      </c>
      <c r="F6014" t="s">
        <v>41</v>
      </c>
      <c r="G6014">
        <v>-187.37289999999999</v>
      </c>
      <c r="H6014" s="1">
        <v>-1.556904E-6</v>
      </c>
      <c r="I6014">
        <v>-37.830970000000001</v>
      </c>
      <c r="J6014">
        <v>-192.9101</v>
      </c>
      <c r="K6014">
        <v>1.118914</v>
      </c>
      <c r="L6014">
        <v>-50.703769999999999</v>
      </c>
      <c r="M6014">
        <v>0.57090689999999999</v>
      </c>
      <c r="N6014">
        <v>0</v>
      </c>
      <c r="O6014">
        <v>0.82087219999999905</v>
      </c>
      <c r="P6014">
        <v>0.4553875</v>
      </c>
      <c r="Q6014">
        <v>0.20289289999999999</v>
      </c>
      <c r="R6014">
        <v>0.86686609999999997</v>
      </c>
      <c r="S6014">
        <v>1.244934</v>
      </c>
      <c r="T6014">
        <v>-0.24457309999999999</v>
      </c>
      <c r="U6014">
        <v>2.8669739999999999</v>
      </c>
      <c r="V6014">
        <v>-0.12574340000000001</v>
      </c>
      <c r="W6014">
        <v>0.2150852</v>
      </c>
      <c r="X6014">
        <v>0.9684663</v>
      </c>
      <c r="Y6014">
        <v>-0.1975779</v>
      </c>
      <c r="Z6014">
        <v>-5.9625740000000003E-2</v>
      </c>
      <c r="AA6014">
        <v>0.97847220000000001</v>
      </c>
      <c r="AB6014">
        <v>28</v>
      </c>
      <c r="AC6014">
        <v>5.5372000000000101</v>
      </c>
      <c r="AD6014">
        <v>-1.1189155569039999</v>
      </c>
      <c r="AE6014">
        <v>12.8727999999999</v>
      </c>
      <c r="AF6014">
        <v>-2.7864001554703401</v>
      </c>
      <c r="AG6014">
        <v>-1.1189155569039999</v>
      </c>
      <c r="AH6014">
        <v>13.6427760386168</v>
      </c>
      <c r="AI6014">
        <v>94.594209433398504</v>
      </c>
      <c r="AJ6014">
        <v>101.54332965383701</v>
      </c>
      <c r="AK6014">
        <v>13.969299763758601</v>
      </c>
      <c r="AL6014">
        <v>77.57947427917</v>
      </c>
      <c r="AM6014">
        <v>97.397765228918104</v>
      </c>
      <c r="AN6014">
        <v>1.00000001006914</v>
      </c>
    </row>
    <row r="6015" spans="1:40" x14ac:dyDescent="0.25">
      <c r="A6015" t="str">
        <f>"20190312172824449"</f>
        <v>20190312172824449</v>
      </c>
      <c r="B6015" t="str">
        <f>"1552382904445219"</f>
        <v>1552382904445219</v>
      </c>
      <c r="C6015" t="s">
        <v>40</v>
      </c>
      <c r="D6015">
        <v>3.3284539999999998</v>
      </c>
      <c r="E6015">
        <v>0.4813289</v>
      </c>
      <c r="F6015" t="s">
        <v>41</v>
      </c>
      <c r="G6015">
        <v>-187.4315</v>
      </c>
      <c r="H6015" s="1">
        <v>-1.5906869999999999E-6</v>
      </c>
      <c r="I6015">
        <v>-37.721310000000003</v>
      </c>
      <c r="J6015">
        <v>-192.7662</v>
      </c>
      <c r="K6015">
        <v>1.11886</v>
      </c>
      <c r="L6015">
        <v>-50.476349999999996</v>
      </c>
      <c r="M6015">
        <v>0.56171070000000001</v>
      </c>
      <c r="N6015">
        <v>0</v>
      </c>
      <c r="O6015">
        <v>0.827192499999999</v>
      </c>
      <c r="P6015">
        <v>0.44567420000000002</v>
      </c>
      <c r="Q6015">
        <v>0.203093</v>
      </c>
      <c r="R6015">
        <v>0.87185309999999905</v>
      </c>
      <c r="S6015">
        <v>1.2154849999999999</v>
      </c>
      <c r="T6015">
        <v>-0.24824460000000001</v>
      </c>
      <c r="U6015">
        <v>2.8803100000000001</v>
      </c>
      <c r="V6015">
        <v>-0.12570249999999999</v>
      </c>
      <c r="W6015">
        <v>0.21529239999999999</v>
      </c>
      <c r="X6015">
        <v>0.9684256</v>
      </c>
      <c r="Y6015">
        <v>-0.1967883</v>
      </c>
      <c r="Z6015">
        <v>-6.1093519999999998E-2</v>
      </c>
      <c r="AA6015">
        <v>0.97854070000000004</v>
      </c>
      <c r="AB6015">
        <v>28</v>
      </c>
      <c r="AC6015">
        <v>5.33469999999999</v>
      </c>
      <c r="AD6015">
        <v>-1.1188615906870001</v>
      </c>
      <c r="AE6015">
        <v>12.755039999999999</v>
      </c>
      <c r="AF6015">
        <v>-2.7342335343398401</v>
      </c>
      <c r="AG6015">
        <v>-1.1188615906870001</v>
      </c>
      <c r="AH6015">
        <v>13.460858673839899</v>
      </c>
      <c r="AI6015">
        <v>94.656814413866599</v>
      </c>
      <c r="AJ6015">
        <v>101.481977522479</v>
      </c>
      <c r="AK6015">
        <v>13.781240891752599</v>
      </c>
      <c r="AL6015">
        <v>77.567318167469097</v>
      </c>
      <c r="AM6015">
        <v>97.3956929961805</v>
      </c>
      <c r="AN6015">
        <v>1.00000003936968</v>
      </c>
    </row>
    <row r="6016" spans="1:40" x14ac:dyDescent="0.25">
      <c r="A6016" t="str">
        <f>"20190312172824471"</f>
        <v>20190312172824471</v>
      </c>
      <c r="B6016" t="str">
        <f>"1552382904465715"</f>
        <v>1552382904465715</v>
      </c>
      <c r="C6016" t="s">
        <v>40</v>
      </c>
      <c r="D6016">
        <v>3.178607</v>
      </c>
      <c r="E6016">
        <v>0.45637949999999999</v>
      </c>
      <c r="F6016" t="s">
        <v>41</v>
      </c>
      <c r="G6016">
        <v>-187.6354</v>
      </c>
      <c r="H6016" s="1">
        <v>-1.3826929999999999E-6</v>
      </c>
      <c r="I6016">
        <v>-38.137659999999997</v>
      </c>
      <c r="J6016">
        <v>-192.62020000000001</v>
      </c>
      <c r="K6016">
        <v>1.1187860000000001</v>
      </c>
      <c r="L6016">
        <v>-50.239379999999997</v>
      </c>
      <c r="M6016">
        <v>0.55217680000000002</v>
      </c>
      <c r="N6016">
        <v>0</v>
      </c>
      <c r="O6016">
        <v>0.83358719999999997</v>
      </c>
      <c r="P6016">
        <v>0.43579580000000001</v>
      </c>
      <c r="Q6016">
        <v>0.2033288</v>
      </c>
      <c r="R6016">
        <v>0.8767779</v>
      </c>
      <c r="S6016">
        <v>1.2009430000000001</v>
      </c>
      <c r="T6016">
        <v>-0.26188420000000001</v>
      </c>
      <c r="U6016">
        <v>2.8880309999999998</v>
      </c>
      <c r="V6016">
        <v>-0.1254632</v>
      </c>
      <c r="W6016">
        <v>0.2155397</v>
      </c>
      <c r="X6016">
        <v>0.96840159999999997</v>
      </c>
      <c r="Y6016">
        <v>-0.19076789999999999</v>
      </c>
      <c r="Z6016">
        <v>-6.5154519999999994E-2</v>
      </c>
      <c r="AA6016">
        <v>0.97947059999999997</v>
      </c>
      <c r="AB6016">
        <v>28</v>
      </c>
      <c r="AC6016">
        <v>4.9847999999999999</v>
      </c>
      <c r="AD6016">
        <v>-1.1187873826929999</v>
      </c>
      <c r="AE6016">
        <v>12.10172</v>
      </c>
      <c r="AF6016">
        <v>-2.5089850911632801</v>
      </c>
      <c r="AG6016">
        <v>-1.1187873826929999</v>
      </c>
      <c r="AH6016">
        <v>12.748672661289</v>
      </c>
      <c r="AI6016">
        <v>94.921343275045501</v>
      </c>
      <c r="AJ6016">
        <v>101.13373014396601</v>
      </c>
      <c r="AK6016">
        <v>13.041293878294899</v>
      </c>
      <c r="AL6016">
        <v>77.552807991404904</v>
      </c>
      <c r="AM6016">
        <v>97.381950159091801</v>
      </c>
      <c r="AN6016">
        <v>1.0000000178564401</v>
      </c>
    </row>
    <row r="6017" spans="1:40" x14ac:dyDescent="0.25">
      <c r="A6017" t="str">
        <f>"20190312172824493"</f>
        <v>20190312172824493</v>
      </c>
      <c r="B6017" t="str">
        <f>"1552382904485234"</f>
        <v>1552382904485234</v>
      </c>
      <c r="C6017" t="s">
        <v>40</v>
      </c>
      <c r="D6017">
        <v>3.169187</v>
      </c>
      <c r="E6017">
        <v>0.44948389999999999</v>
      </c>
      <c r="F6017" t="s">
        <v>41</v>
      </c>
      <c r="G6017">
        <v>-187.4187</v>
      </c>
      <c r="H6017" s="1">
        <v>-2.9389060000000001E-6</v>
      </c>
      <c r="I6017">
        <v>-34.583889999999997</v>
      </c>
      <c r="J6017">
        <v>-192.4812</v>
      </c>
      <c r="K6017">
        <v>1.1187210000000001</v>
      </c>
      <c r="L6017">
        <v>-50.008150000000001</v>
      </c>
      <c r="M6017">
        <v>0.54290919999999998</v>
      </c>
      <c r="N6017">
        <v>0</v>
      </c>
      <c r="O6017">
        <v>0.83965279999999998</v>
      </c>
      <c r="P6017">
        <v>0.42662800000000001</v>
      </c>
      <c r="Q6017">
        <v>0.2030903</v>
      </c>
      <c r="R6017">
        <v>0.88133019999999995</v>
      </c>
      <c r="S6017">
        <v>0.98977660000000001</v>
      </c>
      <c r="T6017">
        <v>-0.21289089999999999</v>
      </c>
      <c r="U6017">
        <v>2.979034</v>
      </c>
      <c r="V6017">
        <v>-0.1248242</v>
      </c>
      <c r="W6017">
        <v>0.21532219999999999</v>
      </c>
      <c r="X6017">
        <v>0.96853250000000002</v>
      </c>
      <c r="Y6017">
        <v>-0.25099070000000001</v>
      </c>
      <c r="Z6017">
        <v>-5.2148880000000002E-2</v>
      </c>
      <c r="AA6017">
        <v>0.96658370000000005</v>
      </c>
      <c r="AB6017">
        <v>28</v>
      </c>
      <c r="AC6017">
        <v>5.0625</v>
      </c>
      <c r="AD6017">
        <v>-1.11872393890599</v>
      </c>
      <c r="AE6017">
        <v>15.424259999999901</v>
      </c>
      <c r="AF6017">
        <v>-4.1042192821467998</v>
      </c>
      <c r="AG6017">
        <v>-1.11872393890599</v>
      </c>
      <c r="AH6017">
        <v>15.6271148643121</v>
      </c>
      <c r="AI6017">
        <v>93.960864674170494</v>
      </c>
      <c r="AJ6017">
        <v>104.715512420884</v>
      </c>
      <c r="AK6017">
        <v>16.195767291173102</v>
      </c>
      <c r="AL6017">
        <v>77.565568833909595</v>
      </c>
      <c r="AM6017">
        <v>97.343782685425893</v>
      </c>
      <c r="AN6017">
        <v>0.99999996713736405</v>
      </c>
    </row>
    <row r="6018" spans="1:40" x14ac:dyDescent="0.25">
      <c r="A6018" t="str">
        <f>"20190312172824518"</f>
        <v>20190312172824518</v>
      </c>
      <c r="B6018" t="str">
        <f>"1552382904505731"</f>
        <v>1552382904505731</v>
      </c>
      <c r="C6018" t="s">
        <v>40</v>
      </c>
      <c r="D6018">
        <v>3.2648839999999999</v>
      </c>
      <c r="E6018">
        <v>0.44694479999999998</v>
      </c>
      <c r="F6018" t="s">
        <v>41</v>
      </c>
      <c r="G6018">
        <v>-187.5273</v>
      </c>
      <c r="H6018" s="1">
        <v>-3.341503E-6</v>
      </c>
      <c r="I6018">
        <v>-33.600490000000001</v>
      </c>
      <c r="J6018">
        <v>-192.3263</v>
      </c>
      <c r="K6018">
        <v>1.1186469999999999</v>
      </c>
      <c r="L6018">
        <v>-49.743650000000002</v>
      </c>
      <c r="M6018">
        <v>0.53235880000000002</v>
      </c>
      <c r="N6018">
        <v>0</v>
      </c>
      <c r="O6018">
        <v>0.84638159999999896</v>
      </c>
      <c r="P6018">
        <v>0.41591620000000001</v>
      </c>
      <c r="Q6018">
        <v>0.2024136</v>
      </c>
      <c r="R6018">
        <v>0.8865904</v>
      </c>
      <c r="S6018">
        <v>0.90913390000000005</v>
      </c>
      <c r="T6018">
        <v>-0.20531079999999999</v>
      </c>
      <c r="U6018">
        <v>3.0111690000000002</v>
      </c>
      <c r="V6018">
        <v>-0.1244682</v>
      </c>
      <c r="W6018">
        <v>0.2146614</v>
      </c>
      <c r="X6018">
        <v>0.96872499999999995</v>
      </c>
      <c r="Y6018">
        <v>-0.26544620000000002</v>
      </c>
      <c r="Z6018">
        <v>-5.046076E-2</v>
      </c>
      <c r="AA6018">
        <v>0.96280429999999995</v>
      </c>
      <c r="AB6018">
        <v>28</v>
      </c>
      <c r="AC6018">
        <v>4.7990000000000004</v>
      </c>
      <c r="AD6018">
        <v>-1.118650341503</v>
      </c>
      <c r="AE6018">
        <v>16.143160000000002</v>
      </c>
      <c r="AF6018">
        <v>-4.5127841692651396</v>
      </c>
      <c r="AG6018">
        <v>-1.118650341503</v>
      </c>
      <c r="AH6018">
        <v>16.148699759510901</v>
      </c>
      <c r="AI6018">
        <v>93.816876795789497</v>
      </c>
      <c r="AJ6018">
        <v>105.613119389422</v>
      </c>
      <c r="AK6018">
        <v>16.804675047966398</v>
      </c>
      <c r="AL6018">
        <v>77.604336691344301</v>
      </c>
      <c r="AM6018">
        <v>97.321626398744897</v>
      </c>
      <c r="AN6018">
        <v>0.99999998754309904</v>
      </c>
    </row>
    <row r="6019" spans="1:40" x14ac:dyDescent="0.25">
      <c r="A6019" t="str">
        <f>"20190312172824539"</f>
        <v>20190312172824539</v>
      </c>
      <c r="B6019" t="str">
        <f>"1552382904535987"</f>
        <v>1552382904535987</v>
      </c>
      <c r="C6019" t="s">
        <v>40</v>
      </c>
      <c r="D6019">
        <v>3.23739</v>
      </c>
      <c r="E6019">
        <v>0.44670280000000001</v>
      </c>
      <c r="F6019" t="s">
        <v>41</v>
      </c>
      <c r="G6019">
        <v>-187.54990000000001</v>
      </c>
      <c r="H6019" s="1">
        <v>-3.67233E-6</v>
      </c>
      <c r="I6019">
        <v>-32.82</v>
      </c>
      <c r="J6019">
        <v>-192.19200000000001</v>
      </c>
      <c r="K6019">
        <v>1.1185799999999999</v>
      </c>
      <c r="L6019">
        <v>-49.508119999999998</v>
      </c>
      <c r="M6019">
        <v>0.52301030000000004</v>
      </c>
      <c r="N6019">
        <v>0</v>
      </c>
      <c r="O6019">
        <v>0.85219029999999996</v>
      </c>
      <c r="P6019">
        <v>0.40656870000000001</v>
      </c>
      <c r="Q6019">
        <v>0.20167760000000001</v>
      </c>
      <c r="R6019">
        <v>0.8910825</v>
      </c>
      <c r="S6019">
        <v>0.8547363</v>
      </c>
      <c r="T6019">
        <v>-0.20018159999999999</v>
      </c>
      <c r="U6019">
        <v>3.028473</v>
      </c>
      <c r="V6019">
        <v>-0.124029</v>
      </c>
      <c r="W6019">
        <v>0.21394270000000001</v>
      </c>
      <c r="X6019">
        <v>0.96894029999999998</v>
      </c>
      <c r="Y6019">
        <v>-0.27227259999999998</v>
      </c>
      <c r="Z6019">
        <v>-4.951216E-2</v>
      </c>
      <c r="AA6019">
        <v>0.96094550000000001</v>
      </c>
      <c r="AB6019">
        <v>28</v>
      </c>
      <c r="AC6019">
        <v>4.6420999999999903</v>
      </c>
      <c r="AD6019">
        <v>-1.11858367233</v>
      </c>
      <c r="AE6019">
        <v>16.688119999999898</v>
      </c>
      <c r="AF6019">
        <v>-4.7528393516000396</v>
      </c>
      <c r="AG6019">
        <v>-1.11858367233</v>
      </c>
      <c r="AH6019">
        <v>16.5821008237432</v>
      </c>
      <c r="AI6019">
        <v>93.710218162653206</v>
      </c>
      <c r="AJ6019">
        <v>105.99360933909099</v>
      </c>
      <c r="AK6019">
        <v>17.2860284352105</v>
      </c>
      <c r="AL6019">
        <v>77.646494616024995</v>
      </c>
      <c r="AM6019">
        <v>97.294466352982596</v>
      </c>
      <c r="AN6019">
        <v>0.99999998834418902</v>
      </c>
    </row>
    <row r="6020" spans="1:40" x14ac:dyDescent="0.25">
      <c r="A6020" t="str">
        <f>"20190312172824561"</f>
        <v>20190312172824561</v>
      </c>
      <c r="B6020" t="str">
        <f>"1552382904555507"</f>
        <v>1552382904555507</v>
      </c>
      <c r="C6020" t="s">
        <v>40</v>
      </c>
      <c r="D6020">
        <v>3.1771769999999999</v>
      </c>
      <c r="E6020">
        <v>0.4463936</v>
      </c>
      <c r="F6020" t="s">
        <v>41</v>
      </c>
      <c r="G6020">
        <v>-187.55029999999999</v>
      </c>
      <c r="H6020" s="1">
        <v>-3.8778840000000002E-6</v>
      </c>
      <c r="I6020">
        <v>-32.340670000000003</v>
      </c>
      <c r="J6020">
        <v>-192.06460000000001</v>
      </c>
      <c r="K6020">
        <v>1.1185099999999999</v>
      </c>
      <c r="L6020">
        <v>-49.279209999999999</v>
      </c>
      <c r="M6020">
        <v>0.51397409999999999</v>
      </c>
      <c r="N6020">
        <v>0</v>
      </c>
      <c r="O6020">
        <v>0.85767079999999996</v>
      </c>
      <c r="P6020">
        <v>0.39724209999999999</v>
      </c>
      <c r="Q6020">
        <v>0.20163439999999999</v>
      </c>
      <c r="R6020">
        <v>0.89528890000000005</v>
      </c>
      <c r="S6020">
        <v>0.82109069999999995</v>
      </c>
      <c r="T6020">
        <v>-0.19787379999999999</v>
      </c>
      <c r="U6020">
        <v>3.0368650000000001</v>
      </c>
      <c r="V6020">
        <v>-0.12387380000000001</v>
      </c>
      <c r="W6020">
        <v>0.2139083</v>
      </c>
      <c r="X6020">
        <v>0.96896780000000005</v>
      </c>
      <c r="Y6020">
        <v>-0.27268510000000001</v>
      </c>
      <c r="Z6020">
        <v>-4.9372239999999998E-2</v>
      </c>
      <c r="AA6020">
        <v>0.96083569999999996</v>
      </c>
      <c r="AB6020">
        <v>28</v>
      </c>
      <c r="AC6020">
        <v>4.51430000000002</v>
      </c>
      <c r="AD6020">
        <v>-1.118513877884</v>
      </c>
      <c r="AE6020">
        <v>16.9385399999999</v>
      </c>
      <c r="AF6020">
        <v>-4.8151432745519704</v>
      </c>
      <c r="AG6020">
        <v>-1.118513877884</v>
      </c>
      <c r="AH6020">
        <v>16.7815520237431</v>
      </c>
      <c r="AI6020">
        <v>93.665718030730005</v>
      </c>
      <c r="AJ6020">
        <v>106.009813090721</v>
      </c>
      <c r="AK6020">
        <v>17.494489600302099</v>
      </c>
      <c r="AL6020">
        <v>77.648512926892096</v>
      </c>
      <c r="AM6020">
        <v>97.285232224469198</v>
      </c>
      <c r="AN6020">
        <v>1.0000000382860801</v>
      </c>
    </row>
    <row r="6021" spans="1:40" x14ac:dyDescent="0.25">
      <c r="A6021" t="str">
        <f>"20190312172824582"</f>
        <v>20190312172824582</v>
      </c>
      <c r="B6021" t="str">
        <f>"1552382904575027"</f>
        <v>1552382904575027</v>
      </c>
      <c r="C6021" t="s">
        <v>40</v>
      </c>
      <c r="D6021">
        <v>3.1732469999999999</v>
      </c>
      <c r="E6021">
        <v>0.44644060000000002</v>
      </c>
      <c r="F6021" t="s">
        <v>41</v>
      </c>
      <c r="G6021">
        <v>-187.55930000000001</v>
      </c>
      <c r="H6021" s="1">
        <v>-4.0843839999999998E-6</v>
      </c>
      <c r="I6021">
        <v>-31.855619999999998</v>
      </c>
      <c r="J6021">
        <v>-191.9401</v>
      </c>
      <c r="K6021">
        <v>1.118444</v>
      </c>
      <c r="L6021">
        <v>-49.050020000000004</v>
      </c>
      <c r="M6021">
        <v>0.50497899999999996</v>
      </c>
      <c r="N6021">
        <v>0</v>
      </c>
      <c r="O6021">
        <v>0.86299780000000004</v>
      </c>
      <c r="P6021">
        <v>0.38848389999999999</v>
      </c>
      <c r="Q6021">
        <v>0.20128740000000001</v>
      </c>
      <c r="R6021">
        <v>0.89920169999999999</v>
      </c>
      <c r="S6021">
        <v>0.78749080000000005</v>
      </c>
      <c r="T6021">
        <v>-0.19550719999999999</v>
      </c>
      <c r="U6021">
        <v>3.0455019999999999</v>
      </c>
      <c r="V6021">
        <v>-0.123193899999999</v>
      </c>
      <c r="W6021">
        <v>0.21358269999999999</v>
      </c>
      <c r="X6021">
        <v>0.9691263</v>
      </c>
      <c r="Y6021">
        <v>-0.27321689999999998</v>
      </c>
      <c r="Z6021">
        <v>-4.9186359999999998E-2</v>
      </c>
      <c r="AA6021">
        <v>0.9606941</v>
      </c>
      <c r="AB6021">
        <v>28</v>
      </c>
      <c r="AC6021">
        <v>4.38079999999999</v>
      </c>
      <c r="AD6021">
        <v>-1.1184480843839999</v>
      </c>
      <c r="AE6021">
        <v>17.194400000000002</v>
      </c>
      <c r="AF6021">
        <v>-4.8833537983360404</v>
      </c>
      <c r="AG6021">
        <v>-1.1184480843839999</v>
      </c>
      <c r="AH6021">
        <v>16.985424206833098</v>
      </c>
      <c r="AI6021">
        <v>93.621076586458202</v>
      </c>
      <c r="AJ6021">
        <v>106.04008145258</v>
      </c>
      <c r="AK6021">
        <v>17.7088312974983</v>
      </c>
      <c r="AL6021">
        <v>77.667609869157403</v>
      </c>
      <c r="AM6021">
        <v>97.244499801703498</v>
      </c>
      <c r="AN6021">
        <v>1.0000000460440901</v>
      </c>
    </row>
    <row r="6022" spans="1:40" x14ac:dyDescent="0.25">
      <c r="A6022" t="str">
        <f>"20190312172824606"</f>
        <v>20190312172824606</v>
      </c>
      <c r="B6022" t="str">
        <f>"1552382904595522"</f>
        <v>1552382904595522</v>
      </c>
      <c r="C6022" t="s">
        <v>40</v>
      </c>
      <c r="D6022">
        <v>3.173975</v>
      </c>
      <c r="E6022">
        <v>0.44699879999999997</v>
      </c>
      <c r="F6022" t="s">
        <v>41</v>
      </c>
      <c r="G6022">
        <v>-187.6301</v>
      </c>
      <c r="H6022" s="1">
        <v>-4.1374169999999901E-6</v>
      </c>
      <c r="I6022">
        <v>-31.70271</v>
      </c>
      <c r="J6022">
        <v>-191.80459999999999</v>
      </c>
      <c r="K6022">
        <v>1.1183650000000001</v>
      </c>
      <c r="L6022">
        <v>-48.7941</v>
      </c>
      <c r="M6022">
        <v>0.49499149999999997</v>
      </c>
      <c r="N6022">
        <v>0</v>
      </c>
      <c r="O6022">
        <v>0.86876520000000002</v>
      </c>
      <c r="P6022">
        <v>0.37840829999999998</v>
      </c>
      <c r="Q6022">
        <v>0.20089989999999999</v>
      </c>
      <c r="R6022">
        <v>0.90357419999999999</v>
      </c>
      <c r="S6022">
        <v>0.75845340000000006</v>
      </c>
      <c r="T6022">
        <v>-0.19681760000000001</v>
      </c>
      <c r="U6022">
        <v>3.052673</v>
      </c>
      <c r="V6022">
        <v>-0.12284</v>
      </c>
      <c r="W6022">
        <v>0.21321000000000001</v>
      </c>
      <c r="X6022">
        <v>0.96925320000000004</v>
      </c>
      <c r="Y6022">
        <v>-0.2712637</v>
      </c>
      <c r="Z6022">
        <v>-4.9996470000000001E-2</v>
      </c>
      <c r="AA6022">
        <v>0.96120570000000005</v>
      </c>
      <c r="AB6022">
        <v>28</v>
      </c>
      <c r="AC6022">
        <v>4.1744999999999903</v>
      </c>
      <c r="AD6022">
        <v>-1.1183691374169999</v>
      </c>
      <c r="AE6022">
        <v>17.091390000000001</v>
      </c>
      <c r="AF6022">
        <v>-4.8145356270618098</v>
      </c>
      <c r="AG6022">
        <v>-1.1183691374169999</v>
      </c>
      <c r="AH6022">
        <v>16.84861686472</v>
      </c>
      <c r="AI6022">
        <v>93.651830592836902</v>
      </c>
      <c r="AJ6022">
        <v>105.947424038398</v>
      </c>
      <c r="AK6022">
        <v>17.558655788126298</v>
      </c>
      <c r="AL6022">
        <v>77.689466500337105</v>
      </c>
      <c r="AM6022">
        <v>97.2229728319695</v>
      </c>
      <c r="AN6022">
        <v>0.99999996770511901</v>
      </c>
    </row>
    <row r="6023" spans="1:40" x14ac:dyDescent="0.25">
      <c r="A6023" t="str">
        <f>"20190312172824627"</f>
        <v>20190312172824627</v>
      </c>
      <c r="B6023" t="str">
        <f>"1552382904616018"</f>
        <v>1552382904616018</v>
      </c>
      <c r="C6023" t="s">
        <v>40</v>
      </c>
      <c r="D6023">
        <v>3.2640989999999999</v>
      </c>
      <c r="E6023">
        <v>0.44761840000000003</v>
      </c>
      <c r="F6023" t="s">
        <v>41</v>
      </c>
      <c r="G6023">
        <v>-187.7149</v>
      </c>
      <c r="H6023" s="1">
        <v>-4.1561989999999999E-6</v>
      </c>
      <c r="I6023">
        <v>-31.623860000000001</v>
      </c>
      <c r="J6023">
        <v>-191.68379999999999</v>
      </c>
      <c r="K6023">
        <v>1.11829</v>
      </c>
      <c r="L6023">
        <v>-48.559750000000001</v>
      </c>
      <c r="M6023">
        <v>0.48589870000000002</v>
      </c>
      <c r="N6023">
        <v>0</v>
      </c>
      <c r="O6023">
        <v>0.87388359999999998</v>
      </c>
      <c r="P6023">
        <v>0.36982999999999999</v>
      </c>
      <c r="Q6023">
        <v>0.20127049999999999</v>
      </c>
      <c r="R6023">
        <v>0.90703690000000003</v>
      </c>
      <c r="S6023">
        <v>0.72868350000000004</v>
      </c>
      <c r="T6023">
        <v>-0.19926459999999999</v>
      </c>
      <c r="U6023">
        <v>3.0592959999999998</v>
      </c>
      <c r="V6023">
        <v>-0.1218345</v>
      </c>
      <c r="W6023">
        <v>0.2136064</v>
      </c>
      <c r="X6023">
        <v>0.96929290000000001</v>
      </c>
      <c r="Y6023">
        <v>-0.27054889999999998</v>
      </c>
      <c r="Z6023">
        <v>-5.1039950000000001E-2</v>
      </c>
      <c r="AA6023">
        <v>0.96135230000000005</v>
      </c>
      <c r="AB6023">
        <v>28</v>
      </c>
      <c r="AC6023">
        <v>3.9688999999999899</v>
      </c>
      <c r="AD6023">
        <v>-1.1182941561990001</v>
      </c>
      <c r="AE6023">
        <v>16.935890000000001</v>
      </c>
      <c r="AF6023">
        <v>-4.7417196316254797</v>
      </c>
      <c r="AG6023">
        <v>-1.1182941561990001</v>
      </c>
      <c r="AH6023">
        <v>16.661539243336001</v>
      </c>
      <c r="AI6023">
        <v>93.693602474679295</v>
      </c>
      <c r="AJ6023">
        <v>105.885861792545</v>
      </c>
      <c r="AK6023">
        <v>17.359187101991701</v>
      </c>
      <c r="AL6023">
        <v>77.666219715131007</v>
      </c>
      <c r="AM6023">
        <v>97.164176062460797</v>
      </c>
      <c r="AN6023">
        <v>1.0000000327508001</v>
      </c>
    </row>
    <row r="6024" spans="1:40" x14ac:dyDescent="0.25">
      <c r="A6024" t="str">
        <f>"20190312172824650"</f>
        <v>20190312172824650</v>
      </c>
      <c r="B6024" t="str">
        <f>"1552382904645298"</f>
        <v>1552382904645298</v>
      </c>
      <c r="C6024" t="s">
        <v>40</v>
      </c>
      <c r="D6024">
        <v>3.3611719999999998</v>
      </c>
      <c r="E6024">
        <v>0.45779540000000002</v>
      </c>
      <c r="F6024" t="s">
        <v>41</v>
      </c>
      <c r="G6024">
        <v>-187.74799999999999</v>
      </c>
      <c r="H6024" s="1">
        <v>-4.2249760000000004E-6</v>
      </c>
      <c r="I6024">
        <v>-31.449850000000001</v>
      </c>
      <c r="J6024">
        <v>-191.5635</v>
      </c>
      <c r="K6024">
        <v>1.1182270000000001</v>
      </c>
      <c r="L6024">
        <v>-48.320010000000003</v>
      </c>
      <c r="M6024">
        <v>0.47665170000000001</v>
      </c>
      <c r="N6024">
        <v>0</v>
      </c>
      <c r="O6024">
        <v>0.87896180000000002</v>
      </c>
      <c r="P6024">
        <v>0.36114629999999998</v>
      </c>
      <c r="Q6024">
        <v>0.20116600000000001</v>
      </c>
      <c r="R6024">
        <v>0.91055240000000004</v>
      </c>
      <c r="S6024">
        <v>0.70492549999999998</v>
      </c>
      <c r="T6024">
        <v>-0.2002931</v>
      </c>
      <c r="U6024">
        <v>3.0644840000000002</v>
      </c>
      <c r="V6024">
        <v>-0.12083770000000001</v>
      </c>
      <c r="W6024">
        <v>0.2135282</v>
      </c>
      <c r="X6024">
        <v>0.96943489999999999</v>
      </c>
      <c r="Y6024">
        <v>-0.26783079999999998</v>
      </c>
      <c r="Z6024">
        <v>-5.1755410000000002E-2</v>
      </c>
      <c r="AA6024">
        <v>0.96207489999999996</v>
      </c>
      <c r="AB6024">
        <v>28</v>
      </c>
      <c r="AC6024">
        <v>3.8155000000000099</v>
      </c>
      <c r="AD6024">
        <v>-1.118231224976</v>
      </c>
      <c r="AE6024">
        <v>16.870159999999899</v>
      </c>
      <c r="AF6024">
        <v>-4.6685355252903298</v>
      </c>
      <c r="AG6024">
        <v>-1.118231224976</v>
      </c>
      <c r="AH6024">
        <v>16.579500160222999</v>
      </c>
      <c r="AI6024">
        <v>93.714536970308998</v>
      </c>
      <c r="AJ6024">
        <v>105.72641368106299</v>
      </c>
      <c r="AK6024">
        <v>17.260518259491601</v>
      </c>
      <c r="AL6024">
        <v>77.670806070551393</v>
      </c>
      <c r="AM6024">
        <v>97.105133128121693</v>
      </c>
      <c r="AN6024">
        <v>1.0000000336372601</v>
      </c>
    </row>
    <row r="6025" spans="1:40" x14ac:dyDescent="0.25">
      <c r="A6025" t="str">
        <f>"20190312172824673"</f>
        <v>20190312172824673</v>
      </c>
      <c r="B6025" t="str">
        <f>"1552382904665796"</f>
        <v>1552382904665796</v>
      </c>
      <c r="C6025" t="s">
        <v>40</v>
      </c>
      <c r="D6025">
        <v>3.255255</v>
      </c>
      <c r="E6025">
        <v>0.45742949999999999</v>
      </c>
      <c r="F6025" t="s">
        <v>41</v>
      </c>
      <c r="G6025">
        <v>-187.39449999999999</v>
      </c>
      <c r="H6025" s="1">
        <v>-4.2895320000000002E-6</v>
      </c>
      <c r="I6025">
        <v>-31.445550000000001</v>
      </c>
      <c r="J6025">
        <v>-191.4384</v>
      </c>
      <c r="K6025">
        <v>1.1181620000000001</v>
      </c>
      <c r="L6025">
        <v>-48.063690000000001</v>
      </c>
      <c r="M6025">
        <v>0.46681669999999997</v>
      </c>
      <c r="N6025">
        <v>0</v>
      </c>
      <c r="O6025">
        <v>0.88422469999999997</v>
      </c>
      <c r="P6025">
        <v>0.351412</v>
      </c>
      <c r="Q6025">
        <v>0.2011095</v>
      </c>
      <c r="R6025">
        <v>0.9143656</v>
      </c>
      <c r="S6025">
        <v>0.75137330000000002</v>
      </c>
      <c r="T6025">
        <v>-0.2015352</v>
      </c>
      <c r="U6025">
        <v>3.041229</v>
      </c>
      <c r="V6025">
        <v>-0.1203308</v>
      </c>
      <c r="W6025">
        <v>0.21348619999999999</v>
      </c>
      <c r="X6025">
        <v>0.96950720000000001</v>
      </c>
      <c r="Y6025">
        <v>-0.241503</v>
      </c>
      <c r="Z6025">
        <v>-5.3110159999999997E-2</v>
      </c>
      <c r="AA6025">
        <v>0.96894559999999996</v>
      </c>
      <c r="AB6025">
        <v>28</v>
      </c>
      <c r="AC6025">
        <v>4.0438999999999998</v>
      </c>
      <c r="AD6025">
        <v>-1.1181662895319999</v>
      </c>
      <c r="AE6025">
        <v>16.61814</v>
      </c>
      <c r="AF6025">
        <v>-4.1645869677886003</v>
      </c>
      <c r="AG6025">
        <v>-1.1181662895319999</v>
      </c>
      <c r="AH6025">
        <v>16.513245272772799</v>
      </c>
      <c r="AI6025">
        <v>93.756504145941193</v>
      </c>
      <c r="AJ6025">
        <v>104.15464339090001</v>
      </c>
      <c r="AK6025">
        <v>17.066966628609499</v>
      </c>
      <c r="AL6025">
        <v>77.673269307662295</v>
      </c>
      <c r="AM6025">
        <v>97.075108349867094</v>
      </c>
      <c r="AN6025">
        <v>1.0000000349354501</v>
      </c>
    </row>
    <row r="6026" spans="1:40" x14ac:dyDescent="0.25">
      <c r="A6026" t="str">
        <f>"20190312172824695"</f>
        <v>20190312172824695</v>
      </c>
      <c r="B6026" t="str">
        <f>"1552382904685314"</f>
        <v>1552382904685314</v>
      </c>
      <c r="C6026" t="s">
        <v>40</v>
      </c>
      <c r="D6026">
        <v>3.277774</v>
      </c>
      <c r="E6026">
        <v>0.45806409999999997</v>
      </c>
      <c r="F6026" t="s">
        <v>41</v>
      </c>
      <c r="G6026">
        <v>-187.47550000000001</v>
      </c>
      <c r="H6026" s="1">
        <v>-4.3760990000000001E-6</v>
      </c>
      <c r="I6026">
        <v>-31.210260000000002</v>
      </c>
      <c r="J6026">
        <v>-191.3236</v>
      </c>
      <c r="K6026">
        <v>1.1181049999999999</v>
      </c>
      <c r="L6026">
        <v>-47.822270000000003</v>
      </c>
      <c r="M6026">
        <v>0.4575864</v>
      </c>
      <c r="N6026">
        <v>0</v>
      </c>
      <c r="O6026">
        <v>0.88903670000000001</v>
      </c>
      <c r="P6026">
        <v>0.34235310000000002</v>
      </c>
      <c r="Q6026">
        <v>0.20107739999999999</v>
      </c>
      <c r="R6026">
        <v>0.91780289999999998</v>
      </c>
      <c r="S6026">
        <v>0.71713260000000001</v>
      </c>
      <c r="T6026">
        <v>-0.202346</v>
      </c>
      <c r="U6026">
        <v>3.0498349999999999</v>
      </c>
      <c r="V6026">
        <v>-0.1197941</v>
      </c>
      <c r="W6026">
        <v>0.21346709999999999</v>
      </c>
      <c r="X6026">
        <v>0.96957780000000005</v>
      </c>
      <c r="Y6026">
        <v>-0.24232480000000001</v>
      </c>
      <c r="Z6026">
        <v>-5.3687230000000002E-2</v>
      </c>
      <c r="AA6026">
        <v>0.96870860000000003</v>
      </c>
      <c r="AB6026">
        <v>28</v>
      </c>
      <c r="AC6026">
        <v>3.8480999999999801</v>
      </c>
      <c r="AD6026">
        <v>-1.118109376099</v>
      </c>
      <c r="AE6026">
        <v>16.612010000000001</v>
      </c>
      <c r="AF6026">
        <v>-4.1629066113043596</v>
      </c>
      <c r="AG6026">
        <v>-1.118109376099</v>
      </c>
      <c r="AH6026">
        <v>16.460639562619299</v>
      </c>
      <c r="AI6026">
        <v>93.767655714252399</v>
      </c>
      <c r="AJ6026">
        <v>104.192555767092</v>
      </c>
      <c r="AK6026">
        <v>17.0156579315003</v>
      </c>
      <c r="AL6026">
        <v>77.674388662498401</v>
      </c>
      <c r="AM6026">
        <v>97.043361869403398</v>
      </c>
      <c r="AN6026">
        <v>0.99999996971502902</v>
      </c>
    </row>
    <row r="6027" spans="1:40" x14ac:dyDescent="0.25">
      <c r="A6027" t="str">
        <f>"20190312172824718"</f>
        <v>20190312172824718</v>
      </c>
      <c r="B6027" t="str">
        <f>"1552382904715571"</f>
        <v>1552382904715571</v>
      </c>
      <c r="C6027" t="s">
        <v>40</v>
      </c>
      <c r="D6027">
        <v>3.2339889999999998</v>
      </c>
      <c r="E6027">
        <v>0.45970519999999998</v>
      </c>
      <c r="F6027" t="s">
        <v>41</v>
      </c>
      <c r="G6027">
        <v>-187.56280000000001</v>
      </c>
      <c r="H6027" s="1">
        <v>-4.3597010000000002E-6</v>
      </c>
      <c r="I6027">
        <v>-31.21238</v>
      </c>
      <c r="J6027">
        <v>-191.20480000000001</v>
      </c>
      <c r="K6027">
        <v>1.118058</v>
      </c>
      <c r="L6027">
        <v>-47.565489999999997</v>
      </c>
      <c r="M6027">
        <v>0.44780520000000001</v>
      </c>
      <c r="N6027">
        <v>0</v>
      </c>
      <c r="O6027">
        <v>0.89400369999999996</v>
      </c>
      <c r="P6027">
        <v>0.33294279999999998</v>
      </c>
      <c r="Q6027">
        <v>0.2013278</v>
      </c>
      <c r="R6027">
        <v>0.92120369999999996</v>
      </c>
      <c r="S6027">
        <v>0.69184880000000004</v>
      </c>
      <c r="T6027">
        <v>-0.20569480000000001</v>
      </c>
      <c r="U6027">
        <v>3.0556640000000002</v>
      </c>
      <c r="V6027">
        <v>-0.1190269</v>
      </c>
      <c r="W6027">
        <v>0.21373410000000001</v>
      </c>
      <c r="X6027">
        <v>0.96961350000000002</v>
      </c>
      <c r="Y6027">
        <v>-0.23971729999999999</v>
      </c>
      <c r="Z6027">
        <v>-5.5016250000000003E-2</v>
      </c>
      <c r="AA6027">
        <v>0.96928259999999999</v>
      </c>
      <c r="AB6027">
        <v>28</v>
      </c>
      <c r="AC6027">
        <v>3.6419999999999901</v>
      </c>
      <c r="AD6027">
        <v>-1.118062359701</v>
      </c>
      <c r="AE6027">
        <v>16.353110000000001</v>
      </c>
      <c r="AF6027">
        <v>-4.0494751179899398</v>
      </c>
      <c r="AG6027">
        <v>-1.118062359701</v>
      </c>
      <c r="AH6027">
        <v>16.180438750036799</v>
      </c>
      <c r="AI6027">
        <v>93.834927003163997</v>
      </c>
      <c r="AJ6027">
        <v>104.050791454722</v>
      </c>
      <c r="AK6027">
        <v>16.7169049263041</v>
      </c>
      <c r="AL6027">
        <v>77.658729715845098</v>
      </c>
      <c r="AM6027">
        <v>96.998447560324706</v>
      </c>
      <c r="AN6027">
        <v>1.00000000390433</v>
      </c>
    </row>
    <row r="6028" spans="1:40" x14ac:dyDescent="0.25">
      <c r="A6028" t="str">
        <f>"20190312172824742"</f>
        <v>20190312172824742</v>
      </c>
      <c r="B6028" t="str">
        <f>"1552382904735091"</f>
        <v>1552382904735091</v>
      </c>
      <c r="C6028" t="s">
        <v>40</v>
      </c>
      <c r="D6028">
        <v>3.28173</v>
      </c>
      <c r="E6028">
        <v>0.46021450000000003</v>
      </c>
      <c r="F6028" t="s">
        <v>41</v>
      </c>
      <c r="G6028">
        <v>-187.6026</v>
      </c>
      <c r="H6028" s="1">
        <v>-4.3562309999999997E-6</v>
      </c>
      <c r="I6028">
        <v>-31.20401</v>
      </c>
      <c r="J6028">
        <v>-191.08519999999999</v>
      </c>
      <c r="K6028">
        <v>1.1180030000000001</v>
      </c>
      <c r="L6028">
        <v>-47.299500000000002</v>
      </c>
      <c r="M6028">
        <v>0.43770429999999999</v>
      </c>
      <c r="N6028">
        <v>0</v>
      </c>
      <c r="O6028">
        <v>0.89899249999999997</v>
      </c>
      <c r="P6028">
        <v>0.32352769999999997</v>
      </c>
      <c r="Q6028">
        <v>0.2013732</v>
      </c>
      <c r="R6028">
        <v>0.92454239999999999</v>
      </c>
      <c r="S6028">
        <v>0.67344669999999995</v>
      </c>
      <c r="T6028">
        <v>-0.20902989999999999</v>
      </c>
      <c r="U6028">
        <v>3.0588989999999998</v>
      </c>
      <c r="V6028">
        <v>-0.1179579</v>
      </c>
      <c r="W6028">
        <v>0.21380299999999999</v>
      </c>
      <c r="X6028">
        <v>0.9697289</v>
      </c>
      <c r="Y6028">
        <v>-0.23456679999999999</v>
      </c>
      <c r="Z6028">
        <v>-5.6411860000000001E-2</v>
      </c>
      <c r="AA6028">
        <v>0.97046180000000004</v>
      </c>
      <c r="AB6028">
        <v>28</v>
      </c>
      <c r="AC6028">
        <v>3.4825999999999899</v>
      </c>
      <c r="AD6028">
        <v>-1.118007356231</v>
      </c>
      <c r="AE6028">
        <v>16.095490000000002</v>
      </c>
      <c r="AF6028">
        <v>-3.8967189586386199</v>
      </c>
      <c r="AG6028">
        <v>-1.118007356231</v>
      </c>
      <c r="AH6028">
        <v>15.922505425649</v>
      </c>
      <c r="AI6028">
        <v>93.901690876911303</v>
      </c>
      <c r="AJ6028">
        <v>103.75172019028101</v>
      </c>
      <c r="AK6028">
        <v>16.430475894538901</v>
      </c>
      <c r="AL6028">
        <v>77.654688126725105</v>
      </c>
      <c r="AM6028">
        <v>96.935391013801393</v>
      </c>
      <c r="AN6028">
        <v>0.99999996423830895</v>
      </c>
    </row>
    <row r="6029" spans="1:40" x14ac:dyDescent="0.25">
      <c r="A6029" t="str">
        <f>"20190312172824765"</f>
        <v>20190312172824765</v>
      </c>
      <c r="B6029" t="str">
        <f>"1552382904755587"</f>
        <v>1552382904755587</v>
      </c>
      <c r="C6029" t="s">
        <v>40</v>
      </c>
      <c r="D6029">
        <v>3.412674</v>
      </c>
      <c r="E6029">
        <v>0.46732839999999998</v>
      </c>
      <c r="F6029" t="s">
        <v>41</v>
      </c>
      <c r="G6029">
        <v>-187.64439999999999</v>
      </c>
      <c r="H6029" s="1">
        <v>-4.447832E-6</v>
      </c>
      <c r="I6029">
        <v>-30.973230000000001</v>
      </c>
      <c r="J6029">
        <v>-190.97739999999999</v>
      </c>
      <c r="K6029">
        <v>1.117955</v>
      </c>
      <c r="L6029">
        <v>-47.052979999999998</v>
      </c>
      <c r="M6029">
        <v>0.428373</v>
      </c>
      <c r="N6029">
        <v>0</v>
      </c>
      <c r="O6029">
        <v>0.90347630000000001</v>
      </c>
      <c r="P6029">
        <v>0.31448330000000002</v>
      </c>
      <c r="Q6029">
        <v>0.2016155</v>
      </c>
      <c r="R6029">
        <v>0.92760520000000002</v>
      </c>
      <c r="S6029">
        <v>0.64585879999999996</v>
      </c>
      <c r="T6029">
        <v>-0.20985699999999999</v>
      </c>
      <c r="U6029">
        <v>3.0645449999999999</v>
      </c>
      <c r="V6029">
        <v>-0.1173413</v>
      </c>
      <c r="W6029">
        <v>0.21405779999999999</v>
      </c>
      <c r="X6029">
        <v>0.96974749999999998</v>
      </c>
      <c r="Y6029">
        <v>-0.2332323</v>
      </c>
      <c r="Z6029">
        <v>-5.7032939999999997E-2</v>
      </c>
      <c r="AA6029">
        <v>0.97074709999999997</v>
      </c>
      <c r="AB6029">
        <v>28</v>
      </c>
      <c r="AC6029">
        <v>3.33299999999999</v>
      </c>
      <c r="AD6029">
        <v>-1.1179594478319901</v>
      </c>
      <c r="AE6029">
        <v>16.079750000000001</v>
      </c>
      <c r="AF6029">
        <v>-3.8593973805260999</v>
      </c>
      <c r="AG6029">
        <v>-1.1179594478319901</v>
      </c>
      <c r="AH6029">
        <v>15.883636403409101</v>
      </c>
      <c r="AI6029">
        <v>93.912613558219803</v>
      </c>
      <c r="AJ6029">
        <v>103.657036828977</v>
      </c>
      <c r="AK6029">
        <v>16.3839765278003</v>
      </c>
      <c r="AL6029">
        <v>77.639743217767304</v>
      </c>
      <c r="AM6029">
        <v>96.899357018174797</v>
      </c>
      <c r="AN6029">
        <v>0.99999996809138902</v>
      </c>
    </row>
    <row r="6030" spans="1:40" x14ac:dyDescent="0.25">
      <c r="A6030" t="str">
        <f>"20190312172824784"</f>
        <v>20190312172824784</v>
      </c>
      <c r="B6030" t="str">
        <f>"1552382904775107"</f>
        <v>1552382904775107</v>
      </c>
      <c r="C6030" t="s">
        <v>40</v>
      </c>
      <c r="D6030">
        <v>3.3280850000000002</v>
      </c>
      <c r="E6030">
        <v>0.46861720000000001</v>
      </c>
      <c r="F6030" t="s">
        <v>41</v>
      </c>
      <c r="G6030">
        <v>-187.8278</v>
      </c>
      <c r="H6030" s="1">
        <v>-3.6926870000000001E-6</v>
      </c>
      <c r="I6030">
        <v>-32.657629999999997</v>
      </c>
      <c r="J6030">
        <v>-190.88120000000001</v>
      </c>
      <c r="K6030">
        <v>1.117907</v>
      </c>
      <c r="L6030">
        <v>-46.826540000000001</v>
      </c>
      <c r="M6030">
        <v>0.41982809999999998</v>
      </c>
      <c r="N6030">
        <v>0</v>
      </c>
      <c r="O6030">
        <v>0.90747869999999997</v>
      </c>
      <c r="P6030">
        <v>0.30662119999999998</v>
      </c>
      <c r="Q6030">
        <v>0.20134150000000001</v>
      </c>
      <c r="R6030">
        <v>0.93029300000000004</v>
      </c>
      <c r="S6030">
        <v>0.66926569999999996</v>
      </c>
      <c r="T6030">
        <v>-0.23755509999999999</v>
      </c>
      <c r="U6030">
        <v>3.0588679999999999</v>
      </c>
      <c r="V6030">
        <v>-0.1163892</v>
      </c>
      <c r="W6030">
        <v>0.21380579999999999</v>
      </c>
      <c r="X6030">
        <v>0.96991780000000005</v>
      </c>
      <c r="Y6030">
        <v>-0.2166727</v>
      </c>
      <c r="Z6030">
        <v>-6.5188250000000003E-2</v>
      </c>
      <c r="AA6030">
        <v>0.97406539999999997</v>
      </c>
      <c r="AB6030">
        <v>28</v>
      </c>
      <c r="AC6030">
        <v>3.0534000000000101</v>
      </c>
      <c r="AD6030">
        <v>-1.1179106926869999</v>
      </c>
      <c r="AE6030">
        <v>14.16891</v>
      </c>
      <c r="AF6030">
        <v>-3.1591782523641099</v>
      </c>
      <c r="AG6030">
        <v>-1.1179106926869999</v>
      </c>
      <c r="AH6030">
        <v>14.0578637652981</v>
      </c>
      <c r="AI6030">
        <v>94.436523255507495</v>
      </c>
      <c r="AJ6030">
        <v>102.665481785357</v>
      </c>
      <c r="AK6030">
        <v>14.4517703133809</v>
      </c>
      <c r="AL6030">
        <v>77.6545237522772</v>
      </c>
      <c r="AM6030">
        <v>96.842718905369694</v>
      </c>
      <c r="AN6030">
        <v>0.99999995237355799</v>
      </c>
    </row>
    <row r="6031" spans="1:40" x14ac:dyDescent="0.25">
      <c r="A6031" t="str">
        <f>"20190312172824809"</f>
        <v>20190312172824809</v>
      </c>
      <c r="B6031" t="str">
        <f>"1552382904805962"</f>
        <v>1552382904805962</v>
      </c>
      <c r="C6031" t="s">
        <v>40</v>
      </c>
      <c r="D6031">
        <v>3.4141689999999998</v>
      </c>
      <c r="E6031">
        <v>0.46945789999999998</v>
      </c>
      <c r="F6031" t="s">
        <v>41</v>
      </c>
      <c r="G6031">
        <v>-187.73240000000001</v>
      </c>
      <c r="H6031" s="1">
        <v>-3.9556230000000003E-6</v>
      </c>
      <c r="I6031">
        <v>-32.08419</v>
      </c>
      <c r="J6031">
        <v>-190.7696</v>
      </c>
      <c r="K6031">
        <v>1.1178509999999999</v>
      </c>
      <c r="L6031">
        <v>-46.556370000000001</v>
      </c>
      <c r="M6031">
        <v>0.40965770000000001</v>
      </c>
      <c r="N6031">
        <v>0</v>
      </c>
      <c r="O6031">
        <v>0.91211529999999996</v>
      </c>
      <c r="P6031">
        <v>0.29681299999999999</v>
      </c>
      <c r="Q6031">
        <v>0.2013383</v>
      </c>
      <c r="R6031">
        <v>0.93346929999999995</v>
      </c>
      <c r="S6031">
        <v>0.65350339999999996</v>
      </c>
      <c r="T6031">
        <v>-0.2320092</v>
      </c>
      <c r="U6031">
        <v>3.0596009999999998</v>
      </c>
      <c r="V6031">
        <v>-0.1157234</v>
      </c>
      <c r="W6031">
        <v>0.21381700000000001</v>
      </c>
      <c r="X6031">
        <v>0.96999500000000005</v>
      </c>
      <c r="Y6031">
        <v>-0.2105824</v>
      </c>
      <c r="Z6031">
        <v>-6.424755E-2</v>
      </c>
      <c r="AA6031">
        <v>0.97546259999999996</v>
      </c>
      <c r="AB6031">
        <v>27</v>
      </c>
      <c r="AC6031">
        <v>3.0371999999999799</v>
      </c>
      <c r="AD6031">
        <v>-1.117854955623</v>
      </c>
      <c r="AE6031">
        <v>14.47218</v>
      </c>
      <c r="AF6031">
        <v>-3.14077252671667</v>
      </c>
      <c r="AG6031">
        <v>-1.117854955623</v>
      </c>
      <c r="AH6031">
        <v>14.3640588649337</v>
      </c>
      <c r="AI6031">
        <v>94.347654076633304</v>
      </c>
      <c r="AJ6031">
        <v>102.33388973284499</v>
      </c>
      <c r="AK6031">
        <v>14.745854971539201</v>
      </c>
      <c r="AL6031">
        <v>77.653866911760701</v>
      </c>
      <c r="AM6031">
        <v>96.803406955662993</v>
      </c>
      <c r="AN6031">
        <v>0.99999995741077896</v>
      </c>
    </row>
    <row r="6032" spans="1:40" x14ac:dyDescent="0.25">
      <c r="A6032" t="str">
        <f>"20190312172824830"</f>
        <v>20190312172824830</v>
      </c>
      <c r="B6032" t="str">
        <f>"1552382904825482"</f>
        <v>1552382904825482</v>
      </c>
      <c r="C6032" t="s">
        <v>40</v>
      </c>
      <c r="D6032">
        <v>3.4179059999999999</v>
      </c>
      <c r="E6032">
        <v>0.47399150000000001</v>
      </c>
      <c r="F6032" t="s">
        <v>41</v>
      </c>
      <c r="G6032">
        <v>-187.77289999999999</v>
      </c>
      <c r="H6032" s="1">
        <v>-4.0138270000000001E-6</v>
      </c>
      <c r="I6032">
        <v>-31.931740000000001</v>
      </c>
      <c r="J6032">
        <v>-190.67449999999999</v>
      </c>
      <c r="K6032">
        <v>1.117804</v>
      </c>
      <c r="L6032">
        <v>-46.319209999999998</v>
      </c>
      <c r="M6032">
        <v>0.40075139999999998</v>
      </c>
      <c r="N6032">
        <v>0</v>
      </c>
      <c r="O6032">
        <v>0.91606359999999998</v>
      </c>
      <c r="P6032">
        <v>0.28872949999999997</v>
      </c>
      <c r="Q6032">
        <v>0.20113900000000001</v>
      </c>
      <c r="R6032">
        <v>0.93604399999999999</v>
      </c>
      <c r="S6032">
        <v>0.62796019999999997</v>
      </c>
      <c r="T6032">
        <v>-0.2342525</v>
      </c>
      <c r="U6032">
        <v>3.064667</v>
      </c>
      <c r="V6032">
        <v>-0.1146469</v>
      </c>
      <c r="W6032">
        <v>0.21364050000000001</v>
      </c>
      <c r="X6032">
        <v>0.97016170000000002</v>
      </c>
      <c r="Y6032">
        <v>-0.20918800000000001</v>
      </c>
      <c r="Z6032">
        <v>-6.5257889999999999E-2</v>
      </c>
      <c r="AA6032">
        <v>0.9756956</v>
      </c>
      <c r="AB6032">
        <v>27</v>
      </c>
      <c r="AC6032">
        <v>2.9016000000000002</v>
      </c>
      <c r="AD6032">
        <v>-1.1178080138269999</v>
      </c>
      <c r="AE6032">
        <v>14.387469999999899</v>
      </c>
      <c r="AF6032">
        <v>-3.0901755419572798</v>
      </c>
      <c r="AG6032">
        <v>-1.1178080138269999</v>
      </c>
      <c r="AH6032">
        <v>14.2615558970551</v>
      </c>
      <c r="AI6032">
        <v>94.380389648855896</v>
      </c>
      <c r="AJ6032">
        <v>102.225781794707</v>
      </c>
      <c r="AK6032">
        <v>14.635253883712201</v>
      </c>
      <c r="AL6032">
        <v>77.664218719647494</v>
      </c>
      <c r="AM6032">
        <v>96.739556730511694</v>
      </c>
      <c r="AN6032">
        <v>0.99999994953337301</v>
      </c>
    </row>
    <row r="6033" spans="1:40" x14ac:dyDescent="0.25">
      <c r="A6033" t="str">
        <f>"20190312172824853"</f>
        <v>20190312172824853</v>
      </c>
      <c r="B6033" t="str">
        <f>"1552382904845001"</f>
        <v>1552382904845001</v>
      </c>
      <c r="C6033" t="s">
        <v>40</v>
      </c>
      <c r="D6033">
        <v>3.3932959999999999</v>
      </c>
      <c r="E6033">
        <v>0.47443249999999998</v>
      </c>
      <c r="F6033" t="s">
        <v>41</v>
      </c>
      <c r="G6033">
        <v>-187.66370000000001</v>
      </c>
      <c r="H6033" s="1">
        <v>-4.0746750000000001E-6</v>
      </c>
      <c r="I6033">
        <v>-31.835059999999999</v>
      </c>
      <c r="J6033">
        <v>-190.5736</v>
      </c>
      <c r="K6033">
        <v>1.1177709999999901</v>
      </c>
      <c r="L6033">
        <v>-46.059449999999998</v>
      </c>
      <c r="M6033">
        <v>0.39101219999999998</v>
      </c>
      <c r="N6033">
        <v>0</v>
      </c>
      <c r="O6033">
        <v>0.92026300000000005</v>
      </c>
      <c r="P6033">
        <v>0.27993370000000001</v>
      </c>
      <c r="Q6033">
        <v>0.20123099999999999</v>
      </c>
      <c r="R6033">
        <v>0.93869230000000003</v>
      </c>
      <c r="S6033">
        <v>0.6359863</v>
      </c>
      <c r="T6033">
        <v>-0.23611869999999999</v>
      </c>
      <c r="U6033">
        <v>3.0595400000000001</v>
      </c>
      <c r="V6033">
        <v>-0.11342720000000001</v>
      </c>
      <c r="W6033">
        <v>0.2137559</v>
      </c>
      <c r="X6033">
        <v>0.97027969999999997</v>
      </c>
      <c r="Y6033">
        <v>-0.1960364</v>
      </c>
      <c r="Z6033">
        <v>-6.6439780000000004E-2</v>
      </c>
      <c r="AA6033">
        <v>0.97834319999999997</v>
      </c>
      <c r="AB6033">
        <v>27</v>
      </c>
      <c r="AC6033">
        <v>2.9098999999999902</v>
      </c>
      <c r="AD6033">
        <v>-1.1177750746749999</v>
      </c>
      <c r="AE6033">
        <v>14.22439</v>
      </c>
      <c r="AF6033">
        <v>-2.8673669612961801</v>
      </c>
      <c r="AG6033">
        <v>-1.1177750746749999</v>
      </c>
      <c r="AH6033">
        <v>14.145748305554701</v>
      </c>
      <c r="AI6033">
        <v>94.4283448668982</v>
      </c>
      <c r="AJ6033">
        <v>101.45869611991399</v>
      </c>
      <c r="AK6033">
        <v>14.476650494240801</v>
      </c>
      <c r="AL6033">
        <v>77.657451137056597</v>
      </c>
      <c r="AM6033">
        <v>96.6677017440187</v>
      </c>
      <c r="AN6033">
        <v>1.00000000535837</v>
      </c>
    </row>
    <row r="6034" spans="1:40" x14ac:dyDescent="0.25">
      <c r="A6034" t="str">
        <f>"20190312172824875"</f>
        <v>20190312172824875</v>
      </c>
      <c r="B6034" t="str">
        <f>"1552382904865498"</f>
        <v>1552382904865498</v>
      </c>
      <c r="C6034" t="s">
        <v>40</v>
      </c>
      <c r="D6034">
        <v>3.2761670000000001</v>
      </c>
      <c r="E6034">
        <v>0.4743578</v>
      </c>
      <c r="F6034" t="s">
        <v>41</v>
      </c>
      <c r="G6034">
        <v>-187.7099</v>
      </c>
      <c r="H6034" s="1">
        <v>-4.1347179999999996E-6</v>
      </c>
      <c r="I6034">
        <v>-31.675989999999999</v>
      </c>
      <c r="J6034">
        <v>-190.4838</v>
      </c>
      <c r="K6034">
        <v>1.1177440000000001</v>
      </c>
      <c r="L6034">
        <v>-45.821440000000003</v>
      </c>
      <c r="M6034">
        <v>0.38209539999999997</v>
      </c>
      <c r="N6034">
        <v>0</v>
      </c>
      <c r="O6034">
        <v>0.92400099999999996</v>
      </c>
      <c r="P6034">
        <v>0.27173330000000001</v>
      </c>
      <c r="Q6034">
        <v>0.20084840000000001</v>
      </c>
      <c r="R6034">
        <v>0.94118060000000003</v>
      </c>
      <c r="S6034">
        <v>0.61022949999999998</v>
      </c>
      <c r="T6034">
        <v>-0.2381916</v>
      </c>
      <c r="U6034">
        <v>3.0650330000000001</v>
      </c>
      <c r="V6034">
        <v>-0.1125138</v>
      </c>
      <c r="W6034">
        <v>0.21339259999999999</v>
      </c>
      <c r="X6034">
        <v>0.97046600000000005</v>
      </c>
      <c r="Y6034">
        <v>-0.1948095</v>
      </c>
      <c r="Z6034">
        <v>-6.738363E-2</v>
      </c>
      <c r="AA6034">
        <v>0.9785237</v>
      </c>
      <c r="AB6034">
        <v>27</v>
      </c>
      <c r="AC6034">
        <v>2.77389999999999</v>
      </c>
      <c r="AD6034">
        <v>-1.1177481347180001</v>
      </c>
      <c r="AE6034">
        <v>14.14545</v>
      </c>
      <c r="AF6034">
        <v>-2.8251584015223199</v>
      </c>
      <c r="AG6034">
        <v>-1.1177481347180001</v>
      </c>
      <c r="AH6034">
        <v>14.0474336364918</v>
      </c>
      <c r="AI6034">
        <v>94.460472912224702</v>
      </c>
      <c r="AJ6034">
        <v>101.371381410062</v>
      </c>
      <c r="AK6034">
        <v>14.372239653512599</v>
      </c>
      <c r="AL6034">
        <v>77.678758338938806</v>
      </c>
      <c r="AM6034">
        <v>96.613227625717201</v>
      </c>
      <c r="AN6034">
        <v>1.0000000070406001</v>
      </c>
    </row>
    <row r="6035" spans="1:40" x14ac:dyDescent="0.25">
      <c r="A6035" t="str">
        <f>"20190312172824897"</f>
        <v>20190312172824897</v>
      </c>
      <c r="B6035" t="str">
        <f>"1552382904885994"</f>
        <v>1552382904885994</v>
      </c>
      <c r="C6035" t="s">
        <v>40</v>
      </c>
      <c r="D6035">
        <v>3.247252</v>
      </c>
      <c r="E6035">
        <v>0.44821420000000001</v>
      </c>
      <c r="F6035" t="s">
        <v>41</v>
      </c>
      <c r="G6035">
        <v>-187.74600000000001</v>
      </c>
      <c r="H6035" s="1">
        <v>-4.2434650000000002E-6</v>
      </c>
      <c r="I6035">
        <v>-31.407589999999999</v>
      </c>
      <c r="J6035">
        <v>-190.38849999999999</v>
      </c>
      <c r="K6035">
        <v>1.117715</v>
      </c>
      <c r="L6035">
        <v>-45.560969999999998</v>
      </c>
      <c r="M6035">
        <v>0.37234129999999999</v>
      </c>
      <c r="N6035">
        <v>0</v>
      </c>
      <c r="O6035">
        <v>0.92797479999999999</v>
      </c>
      <c r="P6035">
        <v>0.26252789999999998</v>
      </c>
      <c r="Q6035">
        <v>0.20094960000000001</v>
      </c>
      <c r="R6035">
        <v>0.94376819999999895</v>
      </c>
      <c r="S6035">
        <v>0.58309940000000005</v>
      </c>
      <c r="T6035">
        <v>-0.2380621</v>
      </c>
      <c r="U6035">
        <v>3.0699160000000001</v>
      </c>
      <c r="V6035">
        <v>-0.1117455</v>
      </c>
      <c r="W6035">
        <v>0.21350630000000001</v>
      </c>
      <c r="X6035">
        <v>0.97052969999999905</v>
      </c>
      <c r="Y6035">
        <v>-0.1931108</v>
      </c>
      <c r="Z6035">
        <v>-6.7754419999999996E-2</v>
      </c>
      <c r="AA6035">
        <v>0.9788348</v>
      </c>
      <c r="AB6035">
        <v>27</v>
      </c>
      <c r="AC6035">
        <v>2.6425000000000098</v>
      </c>
      <c r="AD6035">
        <v>-1.1177192434649901</v>
      </c>
      <c r="AE6035">
        <v>14.15338</v>
      </c>
      <c r="AF6035">
        <v>-2.8011500706771901</v>
      </c>
      <c r="AG6035">
        <v>-1.1177192434649901</v>
      </c>
      <c r="AH6035">
        <v>14.034897356477201</v>
      </c>
      <c r="AI6035">
        <v>94.465637448047701</v>
      </c>
      <c r="AJ6035">
        <v>101.28704812184699</v>
      </c>
      <c r="AK6035">
        <v>14.3552806253489</v>
      </c>
      <c r="AL6035">
        <v>77.672089391663604</v>
      </c>
      <c r="AM6035">
        <v>96.568037845789107</v>
      </c>
      <c r="AN6035">
        <v>0.99999994774601297</v>
      </c>
    </row>
    <row r="6036" spans="1:40" x14ac:dyDescent="0.25">
      <c r="A6036" t="str">
        <f>"20190312172824921"</f>
        <v>20190312172824921</v>
      </c>
      <c r="B6036" t="str">
        <f>"1552382904915274"</f>
        <v>1552382904915274</v>
      </c>
      <c r="C6036" t="s">
        <v>40</v>
      </c>
      <c r="D6036">
        <v>3.2172450000000001</v>
      </c>
      <c r="E6036">
        <v>0.44497629999999999</v>
      </c>
      <c r="F6036" t="s">
        <v>41</v>
      </c>
      <c r="G6036">
        <v>-188.36269999999999</v>
      </c>
      <c r="H6036" s="1">
        <v>-1.4424959999999901E-6</v>
      </c>
      <c r="I6036">
        <v>-27.681699999999999</v>
      </c>
      <c r="J6036">
        <v>-190.2955</v>
      </c>
      <c r="K6036">
        <v>1.117696</v>
      </c>
      <c r="L6036">
        <v>-45.298400000000001</v>
      </c>
      <c r="M6036">
        <v>0.36250870000000002</v>
      </c>
      <c r="N6036">
        <v>0</v>
      </c>
      <c r="O6036">
        <v>0.93185989999999996</v>
      </c>
      <c r="P6036">
        <v>0.25313970000000002</v>
      </c>
      <c r="Q6036">
        <v>0.2011868</v>
      </c>
      <c r="R6036">
        <v>0.94627910000000004</v>
      </c>
      <c r="S6036">
        <v>0.35371399999999997</v>
      </c>
      <c r="T6036">
        <v>-0.19516559999999999</v>
      </c>
      <c r="U6036">
        <v>3.121918</v>
      </c>
      <c r="V6036">
        <v>-0.1110947</v>
      </c>
      <c r="W6036">
        <v>0.21375359999999999</v>
      </c>
      <c r="X6036">
        <v>0.97055009999999997</v>
      </c>
      <c r="Y6036">
        <v>-0.25549379999999999</v>
      </c>
      <c r="Z6036">
        <v>-5.4864719999999999E-2</v>
      </c>
      <c r="AA6036">
        <v>0.96525269999999996</v>
      </c>
      <c r="AB6036">
        <v>27</v>
      </c>
      <c r="AC6036">
        <v>1.9328000000000101</v>
      </c>
      <c r="AD6036">
        <v>-1.117697442496</v>
      </c>
      <c r="AE6036">
        <v>17.616700000000002</v>
      </c>
      <c r="AF6036">
        <v>-4.5674563702532396</v>
      </c>
      <c r="AG6036">
        <v>-1.117697442496</v>
      </c>
      <c r="AH6036">
        <v>17.0510559680719</v>
      </c>
      <c r="AI6036">
        <v>93.623002822526502</v>
      </c>
      <c r="AJ6036">
        <v>104.995735144317</v>
      </c>
      <c r="AK6036">
        <v>17.687549714232599</v>
      </c>
      <c r="AL6036">
        <v>77.657586786002994</v>
      </c>
      <c r="AM6036">
        <v>96.529981209575894</v>
      </c>
      <c r="AN6036">
        <v>1.0000000652455201</v>
      </c>
    </row>
    <row r="6037" spans="1:40" x14ac:dyDescent="0.25">
      <c r="A6037" t="str">
        <f>"20190312172824944"</f>
        <v>20190312172824944</v>
      </c>
      <c r="B6037" t="str">
        <f>"1552382904935769"</f>
        <v>1552382904935769</v>
      </c>
      <c r="C6037" t="s">
        <v>40</v>
      </c>
      <c r="D6037">
        <v>3.2159399999999998</v>
      </c>
      <c r="E6037">
        <v>0.44502599999999998</v>
      </c>
      <c r="F6037" t="s">
        <v>41</v>
      </c>
      <c r="G6037">
        <v>-188.55109999999999</v>
      </c>
      <c r="H6037" s="1">
        <v>-1.6999799999999999E-6</v>
      </c>
      <c r="I6037">
        <v>-27.003599999999999</v>
      </c>
      <c r="J6037">
        <v>-190.20660000000001</v>
      </c>
      <c r="K6037">
        <v>1.1176710000000001</v>
      </c>
      <c r="L6037">
        <v>-45.039059999999999</v>
      </c>
      <c r="M6037">
        <v>0.3527942</v>
      </c>
      <c r="N6037">
        <v>0</v>
      </c>
      <c r="O6037">
        <v>0.93558110000000005</v>
      </c>
      <c r="P6037">
        <v>0.24416260000000001</v>
      </c>
      <c r="Q6037">
        <v>0.20166500000000001</v>
      </c>
      <c r="R6037">
        <v>0.94853350000000003</v>
      </c>
      <c r="S6037">
        <v>0.29853819999999998</v>
      </c>
      <c r="T6037">
        <v>-0.19129090000000001</v>
      </c>
      <c r="U6037">
        <v>3.1311040000000001</v>
      </c>
      <c r="V6037">
        <v>-0.1101504</v>
      </c>
      <c r="W6037">
        <v>0.21424650000000001</v>
      </c>
      <c r="X6037">
        <v>0.970549</v>
      </c>
      <c r="Y6037">
        <v>-0.26256550000000001</v>
      </c>
      <c r="Z6037">
        <v>-5.3943600000000001E-2</v>
      </c>
      <c r="AA6037">
        <v>0.96340510000000001</v>
      </c>
      <c r="AB6037">
        <v>27</v>
      </c>
      <c r="AC6037">
        <v>1.65550000000001</v>
      </c>
      <c r="AD6037">
        <v>-1.11767269998</v>
      </c>
      <c r="AE6037">
        <v>18.03546</v>
      </c>
      <c r="AF6037">
        <v>-4.7962255876426303</v>
      </c>
      <c r="AG6037">
        <v>-1.11767269998</v>
      </c>
      <c r="AH6037">
        <v>17.3934048711039</v>
      </c>
      <c r="AI6037">
        <v>93.544739267933394</v>
      </c>
      <c r="AJ6037">
        <v>105.416176383166</v>
      </c>
      <c r="AK6037">
        <v>18.077154232953198</v>
      </c>
      <c r="AL6037">
        <v>77.628675337662401</v>
      </c>
      <c r="AM6037">
        <v>96.474957292394393</v>
      </c>
      <c r="AN6037">
        <v>1.0000000173917001</v>
      </c>
    </row>
    <row r="6038" spans="1:40" x14ac:dyDescent="0.25">
      <c r="A6038" t="str">
        <f>"20190312172824967"</f>
        <v>20190312172824967</v>
      </c>
      <c r="B6038" t="str">
        <f>"1552382904955290"</f>
        <v>1552382904955290</v>
      </c>
      <c r="C6038" t="s">
        <v>40</v>
      </c>
      <c r="D6038">
        <v>3.3147350000000002</v>
      </c>
      <c r="E6038">
        <v>0.44557639999999998</v>
      </c>
      <c r="F6038" t="s">
        <v>41</v>
      </c>
      <c r="G6038">
        <v>-188.6294</v>
      </c>
      <c r="H6038" s="1">
        <v>-1.8183109999999999E-6</v>
      </c>
      <c r="I6038">
        <v>-26.695409999999999</v>
      </c>
      <c r="J6038">
        <v>-190.1174</v>
      </c>
      <c r="K6038">
        <v>1.117651</v>
      </c>
      <c r="L6038">
        <v>-44.769710000000003</v>
      </c>
      <c r="M6038">
        <v>0.34269470000000002</v>
      </c>
      <c r="N6038">
        <v>0</v>
      </c>
      <c r="O6038">
        <v>0.93932760000000004</v>
      </c>
      <c r="P6038">
        <v>0.23457120000000001</v>
      </c>
      <c r="Q6038">
        <v>0.20241770000000001</v>
      </c>
      <c r="R6038">
        <v>0.95079089999999999</v>
      </c>
      <c r="S6038">
        <v>0.26947019999999999</v>
      </c>
      <c r="T6038">
        <v>-0.1909537</v>
      </c>
      <c r="U6038">
        <v>3.1340029999999999</v>
      </c>
      <c r="V6038">
        <v>-0.1094397</v>
      </c>
      <c r="W6038">
        <v>0.21500839999999999</v>
      </c>
      <c r="X6038">
        <v>0.97046089999999996</v>
      </c>
      <c r="Y6038">
        <v>-0.2611175</v>
      </c>
      <c r="Z6038">
        <v>-5.416878E-2</v>
      </c>
      <c r="AA6038">
        <v>0.96378589999999997</v>
      </c>
      <c r="AB6038">
        <v>27</v>
      </c>
      <c r="AC6038">
        <v>1.48799999999999</v>
      </c>
      <c r="AD6038">
        <v>-1.1176528183109999</v>
      </c>
      <c r="AE6038">
        <v>18.074300000000001</v>
      </c>
      <c r="AF6038">
        <v>-4.77863526998184</v>
      </c>
      <c r="AG6038">
        <v>-1.1176528183109999</v>
      </c>
      <c r="AH6038">
        <v>17.423403081285599</v>
      </c>
      <c r="AI6038">
        <v>93.539928703957003</v>
      </c>
      <c r="AJ6038">
        <v>105.33710953529599</v>
      </c>
      <c r="AK6038">
        <v>18.101366738419099</v>
      </c>
      <c r="AL6038">
        <v>77.583980001534499</v>
      </c>
      <c r="AM6038">
        <v>96.434110844470396</v>
      </c>
      <c r="AN6038">
        <v>1.0000000092177299</v>
      </c>
    </row>
    <row r="6039" spans="1:40" x14ac:dyDescent="0.25">
      <c r="A6039" t="str">
        <f>"20190312172824989"</f>
        <v>20190312172824989</v>
      </c>
      <c r="B6039" t="str">
        <f>"1552382904985545"</f>
        <v>1552382904985545</v>
      </c>
      <c r="C6039" t="s">
        <v>40</v>
      </c>
      <c r="D6039">
        <v>3.266534</v>
      </c>
      <c r="E6039">
        <v>0.44592850000000001</v>
      </c>
      <c r="F6039" t="s">
        <v>41</v>
      </c>
      <c r="G6039">
        <v>-188.67089999999999</v>
      </c>
      <c r="H6039" s="1">
        <v>-2.1041919999999999E-6</v>
      </c>
      <c r="I6039">
        <v>-26.011849999999999</v>
      </c>
      <c r="J6039">
        <v>-190.0419</v>
      </c>
      <c r="K6039">
        <v>1.11764</v>
      </c>
      <c r="L6039">
        <v>-44.532989999999998</v>
      </c>
      <c r="M6039">
        <v>0.33381090000000002</v>
      </c>
      <c r="N6039">
        <v>0</v>
      </c>
      <c r="O6039">
        <v>0.94252130000000001</v>
      </c>
      <c r="P6039">
        <v>0.22655159999999999</v>
      </c>
      <c r="Q6039">
        <v>0.20233509999999999</v>
      </c>
      <c r="R6039">
        <v>0.95275120000000002</v>
      </c>
      <c r="S6039">
        <v>0.2417908</v>
      </c>
      <c r="T6039">
        <v>-0.1868157</v>
      </c>
      <c r="U6039">
        <v>3.1353759999999999</v>
      </c>
      <c r="V6039">
        <v>-0.1084454</v>
      </c>
      <c r="W6039">
        <v>0.2149441</v>
      </c>
      <c r="X6039">
        <v>0.97058679999999997</v>
      </c>
      <c r="Y6039">
        <v>-0.260488</v>
      </c>
      <c r="Z6039">
        <v>-5.32795E-2</v>
      </c>
      <c r="AA6039">
        <v>0.96400589999999997</v>
      </c>
      <c r="AB6039">
        <v>27</v>
      </c>
      <c r="AC6039">
        <v>1.371</v>
      </c>
      <c r="AD6039">
        <v>-1.1176421041919999</v>
      </c>
      <c r="AE6039">
        <v>18.521139999999999</v>
      </c>
      <c r="AF6039">
        <v>-4.8732603813504403</v>
      </c>
      <c r="AG6039">
        <v>-1.1176421041919999</v>
      </c>
      <c r="AH6039">
        <v>17.8515786287835</v>
      </c>
      <c r="AI6039">
        <v>93.456318891789493</v>
      </c>
      <c r="AJ6039">
        <v>105.26900313293</v>
      </c>
      <c r="AK6039">
        <v>18.5385180140469</v>
      </c>
      <c r="AL6039">
        <v>77.587752879567603</v>
      </c>
      <c r="AM6039">
        <v>96.375317913021902</v>
      </c>
      <c r="AN6039">
        <v>1.0000000536200999</v>
      </c>
    </row>
    <row r="6040" spans="1:40" x14ac:dyDescent="0.25">
      <c r="A6040" t="str">
        <f>"20190312172825011"</f>
        <v>20190312172825011</v>
      </c>
      <c r="B6040" t="str">
        <f>"1552382905005310"</f>
        <v>1552382905005310</v>
      </c>
      <c r="C6040" t="s">
        <v>40</v>
      </c>
      <c r="D6040">
        <v>3.3587069999999999</v>
      </c>
      <c r="E6040">
        <v>0.44609379999999998</v>
      </c>
      <c r="F6040" t="s">
        <v>41</v>
      </c>
      <c r="G6040">
        <v>-188.70349999999999</v>
      </c>
      <c r="H6040" s="1">
        <v>-2.390513E-6</v>
      </c>
      <c r="I6040">
        <v>-25.330950000000001</v>
      </c>
      <c r="J6040">
        <v>-189.96469999999999</v>
      </c>
      <c r="K6040">
        <v>1.117615</v>
      </c>
      <c r="L6040">
        <v>-44.282470000000004</v>
      </c>
      <c r="M6040">
        <v>0.32440479999999999</v>
      </c>
      <c r="N6040">
        <v>0</v>
      </c>
      <c r="O6040">
        <v>0.94580019999999998</v>
      </c>
      <c r="P6040">
        <v>0.2175618</v>
      </c>
      <c r="Q6040">
        <v>0.2024967</v>
      </c>
      <c r="R6040">
        <v>0.95480989999999999</v>
      </c>
      <c r="S6040">
        <v>0.21855160000000001</v>
      </c>
      <c r="T6040">
        <v>-0.1825032</v>
      </c>
      <c r="U6040">
        <v>3.1355590000000002</v>
      </c>
      <c r="V6040">
        <v>-0.107903</v>
      </c>
      <c r="W6040">
        <v>0.2151141</v>
      </c>
      <c r="X6040">
        <v>0.97060950000000001</v>
      </c>
      <c r="Y6040">
        <v>-0.25797609999999999</v>
      </c>
      <c r="Z6040">
        <v>-5.2365689999999999E-2</v>
      </c>
      <c r="AA6040">
        <v>0.96473120000000001</v>
      </c>
      <c r="AB6040">
        <v>27</v>
      </c>
      <c r="AC6040">
        <v>1.2612000000000001</v>
      </c>
      <c r="AD6040">
        <v>-1.117617390513</v>
      </c>
      <c r="AE6040">
        <v>18.951519999999999</v>
      </c>
      <c r="AF6040">
        <v>-4.9385752935947398</v>
      </c>
      <c r="AG6040">
        <v>-1.117617390513</v>
      </c>
      <c r="AH6040">
        <v>18.272273730944502</v>
      </c>
      <c r="AI6040">
        <v>93.379164460599398</v>
      </c>
      <c r="AJ6040">
        <v>105.124366546538</v>
      </c>
      <c r="AK6040">
        <v>18.960869754856901</v>
      </c>
      <c r="AL6040">
        <v>77.5777782044443</v>
      </c>
      <c r="AM6040">
        <v>96.343544597123397</v>
      </c>
      <c r="AN6040">
        <v>0.99999996745902897</v>
      </c>
    </row>
    <row r="6041" spans="1:40" x14ac:dyDescent="0.25">
      <c r="A6041" t="str">
        <f>"20190312172825032"</f>
        <v>20190312172825032</v>
      </c>
      <c r="B6041" t="str">
        <f>"1552382905025804"</f>
        <v>1552382905025804</v>
      </c>
      <c r="C6041" t="s">
        <v>40</v>
      </c>
      <c r="D6041">
        <v>3.3072029999999999</v>
      </c>
      <c r="E6041">
        <v>0.44697569999999998</v>
      </c>
      <c r="F6041" t="s">
        <v>41</v>
      </c>
      <c r="G6041">
        <v>-188.79079999999999</v>
      </c>
      <c r="H6041" s="1">
        <v>-2.5253869999999998E-6</v>
      </c>
      <c r="I6041">
        <v>-24.98048</v>
      </c>
      <c r="J6041">
        <v>-189.8895</v>
      </c>
      <c r="K6041">
        <v>1.1175980000000001</v>
      </c>
      <c r="L6041">
        <v>-44.029389999999999</v>
      </c>
      <c r="M6041">
        <v>0.31489329999999999</v>
      </c>
      <c r="N6041">
        <v>0</v>
      </c>
      <c r="O6041">
        <v>0.9490094</v>
      </c>
      <c r="P6041">
        <v>0.2090109</v>
      </c>
      <c r="Q6041">
        <v>0.20224420000000001</v>
      </c>
      <c r="R6041">
        <v>0.95677160000000006</v>
      </c>
      <c r="S6041">
        <v>0.19079589999999999</v>
      </c>
      <c r="T6041">
        <v>-0.18163899999999999</v>
      </c>
      <c r="U6041">
        <v>3.1370239999999998</v>
      </c>
      <c r="V6041">
        <v>-0.1068403</v>
      </c>
      <c r="W6041">
        <v>0.21488119999999999</v>
      </c>
      <c r="X6041">
        <v>0.97077860000000005</v>
      </c>
      <c r="Y6041">
        <v>-0.25680700000000001</v>
      </c>
      <c r="Z6041">
        <v>-5.2392389999999997E-2</v>
      </c>
      <c r="AA6041">
        <v>0.96504160000000005</v>
      </c>
      <c r="AB6041">
        <v>27</v>
      </c>
      <c r="AC6041">
        <v>1.0987</v>
      </c>
      <c r="AD6041">
        <v>-1.1176005253869901</v>
      </c>
      <c r="AE6041">
        <v>19.048909999999999</v>
      </c>
      <c r="AF6041">
        <v>-4.9393054891883397</v>
      </c>
      <c r="AG6041">
        <v>-1.1176005253869901</v>
      </c>
      <c r="AH6041">
        <v>18.3626280832137</v>
      </c>
      <c r="AI6041">
        <v>93.363612813957999</v>
      </c>
      <c r="AJ6041">
        <v>105.055456382977</v>
      </c>
      <c r="AK6041">
        <v>19.048146360533401</v>
      </c>
      <c r="AL6041">
        <v>77.591441515032898</v>
      </c>
      <c r="AM6041">
        <v>96.280485608808107</v>
      </c>
      <c r="AN6041">
        <v>0.99999993501774198</v>
      </c>
    </row>
    <row r="6042" spans="1:40" x14ac:dyDescent="0.25">
      <c r="A6042" t="str">
        <f>"20190312172825055"</f>
        <v>20190312172825055</v>
      </c>
      <c r="B6042" t="str">
        <f>"1552382905045325"</f>
        <v>1552382905045325</v>
      </c>
      <c r="C6042" t="s">
        <v>40</v>
      </c>
      <c r="D6042">
        <v>3.4431379999999998</v>
      </c>
      <c r="E6042">
        <v>0.44787589999999999</v>
      </c>
      <c r="F6042" t="s">
        <v>41</v>
      </c>
      <c r="G6042">
        <v>-188.85130000000001</v>
      </c>
      <c r="H6042" s="1">
        <v>-2.5678990000000002E-6</v>
      </c>
      <c r="I6042">
        <v>-24.856369999999998</v>
      </c>
      <c r="J6042">
        <v>-189.81809999999999</v>
      </c>
      <c r="K6042">
        <v>1.117577</v>
      </c>
      <c r="L6042">
        <v>-43.780119999999997</v>
      </c>
      <c r="M6042">
        <v>0.30551879999999998</v>
      </c>
      <c r="N6042">
        <v>0</v>
      </c>
      <c r="O6042">
        <v>0.9520689</v>
      </c>
      <c r="P6042">
        <v>0.20052519999999999</v>
      </c>
      <c r="Q6042">
        <v>0.2020238</v>
      </c>
      <c r="R6042">
        <v>0.95863229999999999</v>
      </c>
      <c r="S6042">
        <v>0.1698761</v>
      </c>
      <c r="T6042">
        <v>-0.18286140000000001</v>
      </c>
      <c r="U6042">
        <v>3.1370849999999999</v>
      </c>
      <c r="V6042">
        <v>-0.1058646</v>
      </c>
      <c r="W6042">
        <v>0.2146796</v>
      </c>
      <c r="X6042">
        <v>0.97093019999999997</v>
      </c>
      <c r="Y6042">
        <v>-0.25369140000000001</v>
      </c>
      <c r="Z6042">
        <v>-5.3040770000000001E-2</v>
      </c>
      <c r="AA6042">
        <v>0.96582979999999996</v>
      </c>
      <c r="AB6042">
        <v>27</v>
      </c>
      <c r="AC6042">
        <v>0.96679999999997801</v>
      </c>
      <c r="AD6042">
        <v>-1.1175795678989999</v>
      </c>
      <c r="AE6042">
        <v>18.923749999999998</v>
      </c>
      <c r="AF6042">
        <v>-4.8447901415945003</v>
      </c>
      <c r="AG6042">
        <v>-1.1175795678989999</v>
      </c>
      <c r="AH6042">
        <v>18.250644666350901</v>
      </c>
      <c r="AI6042">
        <v>93.387112738120294</v>
      </c>
      <c r="AJ6042">
        <v>104.866774677777</v>
      </c>
      <c r="AK6042">
        <v>18.9157872250689</v>
      </c>
      <c r="AL6042">
        <v>77.603269787535893</v>
      </c>
      <c r="AM6042">
        <v>96.2226182057383</v>
      </c>
      <c r="AN6042">
        <v>1.0000000487306699</v>
      </c>
    </row>
    <row r="6043" spans="1:40" x14ac:dyDescent="0.25">
      <c r="A6043" t="str">
        <f>"20190312172825077"</f>
        <v>20190312172825077</v>
      </c>
      <c r="B6043" t="str">
        <f>"1552382905065820"</f>
        <v>1552382905065820</v>
      </c>
      <c r="C6043" t="s">
        <v>40</v>
      </c>
      <c r="D6043">
        <v>3.3224870000000002</v>
      </c>
      <c r="E6043">
        <v>0.44835940000000002</v>
      </c>
      <c r="F6043" t="s">
        <v>41</v>
      </c>
      <c r="G6043">
        <v>-188.91659999999999</v>
      </c>
      <c r="H6043" s="1">
        <v>-2.5633769999999999E-6</v>
      </c>
      <c r="I6043">
        <v>-24.8399</v>
      </c>
      <c r="J6043">
        <v>-189.7467</v>
      </c>
      <c r="K6043">
        <v>1.1175580000000001</v>
      </c>
      <c r="L6043">
        <v>-43.521360000000001</v>
      </c>
      <c r="M6043">
        <v>0.2957803</v>
      </c>
      <c r="N6043">
        <v>0</v>
      </c>
      <c r="O6043">
        <v>0.95513930000000002</v>
      </c>
      <c r="P6043">
        <v>0.1915664</v>
      </c>
      <c r="Q6043">
        <v>0.20146890000000001</v>
      </c>
      <c r="R6043">
        <v>0.96057930000000002</v>
      </c>
      <c r="S6043">
        <v>0.1493225</v>
      </c>
      <c r="T6043">
        <v>-0.18511459999999999</v>
      </c>
      <c r="U6043">
        <v>3.137238</v>
      </c>
      <c r="V6043">
        <v>-0.10502450000000001</v>
      </c>
      <c r="W6043">
        <v>0.2141412</v>
      </c>
      <c r="X6043">
        <v>0.97114029999999996</v>
      </c>
      <c r="Y6043">
        <v>-0.25012780000000001</v>
      </c>
      <c r="Z6043">
        <v>-5.3994279999999999E-2</v>
      </c>
      <c r="AA6043">
        <v>0.96670610000000001</v>
      </c>
      <c r="AB6043">
        <v>27</v>
      </c>
      <c r="AC6043">
        <v>0.83010000000001505</v>
      </c>
      <c r="AD6043">
        <v>-1.117560563377</v>
      </c>
      <c r="AE6043">
        <v>18.681459999999898</v>
      </c>
      <c r="AF6043">
        <v>-4.7164290989731601</v>
      </c>
      <c r="AG6043">
        <v>-1.117560563377</v>
      </c>
      <c r="AH6043">
        <v>18.026556682237398</v>
      </c>
      <c r="AI6043">
        <v>93.432282313060497</v>
      </c>
      <c r="AJ6043">
        <v>104.662079651874</v>
      </c>
      <c r="AK6043">
        <v>18.666825945413802</v>
      </c>
      <c r="AL6043">
        <v>77.634852227620897</v>
      </c>
      <c r="AM6043">
        <v>96.172295457021903</v>
      </c>
      <c r="AN6043">
        <v>1.00000004071088</v>
      </c>
    </row>
    <row r="6044" spans="1:40" x14ac:dyDescent="0.25">
      <c r="A6044" t="str">
        <f>"20190312172825099"</f>
        <v>20190312172825099</v>
      </c>
      <c r="B6044" t="str">
        <f>"1552382905096077"</f>
        <v>1552382905096077</v>
      </c>
      <c r="C6044" t="s">
        <v>40</v>
      </c>
      <c r="D6044">
        <v>3.3280660000000002</v>
      </c>
      <c r="E6044">
        <v>0.45793660000000003</v>
      </c>
      <c r="F6044" t="s">
        <v>41</v>
      </c>
      <c r="G6044">
        <v>-189.00980000000001</v>
      </c>
      <c r="H6044" s="1">
        <v>-2.5434009999999999E-6</v>
      </c>
      <c r="I6044">
        <v>-24.847930000000002</v>
      </c>
      <c r="J6044">
        <v>-189.67920000000001</v>
      </c>
      <c r="K6044">
        <v>1.11754</v>
      </c>
      <c r="L6044">
        <v>-43.266199999999998</v>
      </c>
      <c r="M6044">
        <v>0.28617700000000001</v>
      </c>
      <c r="N6044">
        <v>0</v>
      </c>
      <c r="O6044">
        <v>0.95806049999999998</v>
      </c>
      <c r="P6044">
        <v>0.18289720000000001</v>
      </c>
      <c r="Q6044">
        <v>0.20103850000000001</v>
      </c>
      <c r="R6044">
        <v>0.96235760000000004</v>
      </c>
      <c r="S6044">
        <v>0.1238403</v>
      </c>
      <c r="T6044">
        <v>-0.18779100000000001</v>
      </c>
      <c r="U6044">
        <v>3.1378170000000001</v>
      </c>
      <c r="V6044">
        <v>-0.104035199999999</v>
      </c>
      <c r="W6044">
        <v>0.2137308</v>
      </c>
      <c r="X6044">
        <v>0.97133709999999995</v>
      </c>
      <c r="Y6044">
        <v>-0.2482538</v>
      </c>
      <c r="Z6044">
        <v>-5.504527E-2</v>
      </c>
      <c r="AA6044">
        <v>0.96712980000000004</v>
      </c>
      <c r="AB6044">
        <v>27</v>
      </c>
      <c r="AC6044">
        <v>0.669399999999996</v>
      </c>
      <c r="AD6044">
        <v>-1.117542543401</v>
      </c>
      <c r="AE6044">
        <v>18.41827</v>
      </c>
      <c r="AF6044">
        <v>-4.6131143834186803</v>
      </c>
      <c r="AG6044">
        <v>-1.117542543401</v>
      </c>
      <c r="AH6044">
        <v>17.774021700732799</v>
      </c>
      <c r="AI6044">
        <v>93.482649270207105</v>
      </c>
      <c r="AJ6044">
        <v>104.549661505193</v>
      </c>
      <c r="AK6044">
        <v>18.396890309749001</v>
      </c>
      <c r="AL6044">
        <v>77.658922836524397</v>
      </c>
      <c r="AM6044">
        <v>96.113367279323796</v>
      </c>
      <c r="AN6044">
        <v>0.99999996977204397</v>
      </c>
    </row>
    <row r="6045" spans="1:40" x14ac:dyDescent="0.25">
      <c r="A6045" t="str">
        <f>"20190312172825122"</f>
        <v>20190312172825122</v>
      </c>
      <c r="B6045" t="str">
        <f>"1552382905116104"</f>
        <v>1552382905116104</v>
      </c>
      <c r="C6045" t="s">
        <v>40</v>
      </c>
      <c r="D6045">
        <v>3.320341</v>
      </c>
      <c r="E6045">
        <v>0.45933049999999997</v>
      </c>
      <c r="F6045" t="s">
        <v>41</v>
      </c>
      <c r="G6045">
        <v>-188.6781</v>
      </c>
      <c r="H6045" s="1">
        <v>-2.5414540000000001E-6</v>
      </c>
      <c r="I6045">
        <v>-24.98959</v>
      </c>
      <c r="J6045">
        <v>-189.61099999999999</v>
      </c>
      <c r="K6045">
        <v>1.1175200000000001</v>
      </c>
      <c r="L6045">
        <v>-42.998019999999997</v>
      </c>
      <c r="M6045">
        <v>0.27609089999999997</v>
      </c>
      <c r="N6045">
        <v>0</v>
      </c>
      <c r="O6045">
        <v>0.96101579999999998</v>
      </c>
      <c r="P6045">
        <v>0.1736587</v>
      </c>
      <c r="Q6045">
        <v>0.2011019</v>
      </c>
      <c r="R6045">
        <v>0.96405430000000003</v>
      </c>
      <c r="S6045">
        <v>0.17114260000000001</v>
      </c>
      <c r="T6045">
        <v>-0.1910645</v>
      </c>
      <c r="U6045">
        <v>3.1247250000000002</v>
      </c>
      <c r="V6045">
        <v>-0.1031213</v>
      </c>
      <c r="W6045">
        <v>0.21381140000000001</v>
      </c>
      <c r="X6045">
        <v>0.97141679999999997</v>
      </c>
      <c r="Y6045">
        <v>-0.22323090000000001</v>
      </c>
      <c r="Z6045">
        <v>-5.6672159999999999E-2</v>
      </c>
      <c r="AA6045">
        <v>0.9731168</v>
      </c>
      <c r="AB6045">
        <v>27</v>
      </c>
      <c r="AC6045">
        <v>0.93289999999998896</v>
      </c>
      <c r="AD6045">
        <v>-1.117522541454</v>
      </c>
      <c r="AE6045">
        <v>18.008430000000001</v>
      </c>
      <c r="AF6045">
        <v>-4.0602914864179098</v>
      </c>
      <c r="AG6045">
        <v>-1.117522541454</v>
      </c>
      <c r="AH6045">
        <v>17.498699635530802</v>
      </c>
      <c r="AI6045">
        <v>93.559807728604298</v>
      </c>
      <c r="AJ6045">
        <v>103.06339408369401</v>
      </c>
      <c r="AK6045">
        <v>17.998314157716599</v>
      </c>
      <c r="AL6045">
        <v>77.654195374996903</v>
      </c>
      <c r="AM6045">
        <v>96.059572109094802</v>
      </c>
      <c r="AN6045">
        <v>0.99999995830294397</v>
      </c>
    </row>
    <row r="6046" spans="1:40" x14ac:dyDescent="0.25">
      <c r="A6046" t="str">
        <f>"20190312172825166"</f>
        <v>20190312172825166</v>
      </c>
      <c r="B6046" t="str">
        <f>"1552382905156120"</f>
        <v>1552382905156120</v>
      </c>
      <c r="C6046" t="s">
        <v>40</v>
      </c>
      <c r="D6046">
        <v>3.3236680000000001</v>
      </c>
      <c r="E6046">
        <v>0.4615184</v>
      </c>
      <c r="F6046" t="s">
        <v>41</v>
      </c>
      <c r="G6046">
        <v>-188.70820000000001</v>
      </c>
      <c r="H6046" s="1">
        <v>-2.710556E-6</v>
      </c>
      <c r="I6046">
        <v>-24.582989999999999</v>
      </c>
      <c r="J6046">
        <v>-189.4907</v>
      </c>
      <c r="K6046">
        <v>1.117445</v>
      </c>
      <c r="L6046">
        <v>-42.493040000000001</v>
      </c>
      <c r="M6046">
        <v>0.25718269999999999</v>
      </c>
      <c r="N6046">
        <v>0</v>
      </c>
      <c r="O6046">
        <v>0.96624790000000005</v>
      </c>
      <c r="P6046">
        <v>0.1562152</v>
      </c>
      <c r="Q6046">
        <v>0.20166390000000001</v>
      </c>
      <c r="R6046">
        <v>0.96691700000000003</v>
      </c>
      <c r="S6046">
        <v>0.1531525</v>
      </c>
      <c r="T6046">
        <v>-0.1895696</v>
      </c>
      <c r="U6046">
        <v>3.1238100000000002</v>
      </c>
      <c r="V6046">
        <v>-0.1015392</v>
      </c>
      <c r="W6046">
        <v>0.21440519999999999</v>
      </c>
      <c r="X6046">
        <v>0.9714526</v>
      </c>
      <c r="Y6046">
        <v>-0.20965809999999999</v>
      </c>
      <c r="Z6046">
        <v>-5.6818479999999998E-2</v>
      </c>
      <c r="AA6046">
        <v>0.9761225</v>
      </c>
      <c r="AB6046">
        <v>27</v>
      </c>
      <c r="AC6046">
        <v>0.78249999999999797</v>
      </c>
      <c r="AD6046">
        <v>-1.1174477105559999</v>
      </c>
      <c r="AE6046">
        <v>17.910049999999998</v>
      </c>
      <c r="AF6046">
        <v>-3.8355908706434598</v>
      </c>
      <c r="AG6046">
        <v>-1.1174477105559999</v>
      </c>
      <c r="AH6046">
        <v>17.4409730515594</v>
      </c>
      <c r="AI6046">
        <v>93.580611281568395</v>
      </c>
      <c r="AJ6046">
        <v>102.402958900839</v>
      </c>
      <c r="AK6046">
        <v>17.892679723786799</v>
      </c>
      <c r="AL6046">
        <v>77.619365658792404</v>
      </c>
      <c r="AM6046">
        <v>95.9670630476474</v>
      </c>
      <c r="AN6046">
        <v>0.99999997648521899</v>
      </c>
    </row>
    <row r="6047" spans="1:40" x14ac:dyDescent="0.25">
      <c r="A6047" t="str">
        <f>"20190312172825190"</f>
        <v>20190312172825190</v>
      </c>
      <c r="B6047" t="str">
        <f>"1552382905185400"</f>
        <v>1552382905185400</v>
      </c>
      <c r="C6047" t="s">
        <v>40</v>
      </c>
      <c r="D6047">
        <v>3.3958620000000002</v>
      </c>
      <c r="E6047">
        <v>0.4683195</v>
      </c>
      <c r="F6047" t="s">
        <v>41</v>
      </c>
      <c r="G6047">
        <v>-188.80090000000001</v>
      </c>
      <c r="H6047" s="1">
        <v>-3.012847E-6</v>
      </c>
      <c r="I6047">
        <v>-23.839980000000001</v>
      </c>
      <c r="J6047">
        <v>-189.4316</v>
      </c>
      <c r="K6047">
        <v>1.11737999999999</v>
      </c>
      <c r="L6047">
        <v>-42.227539999999998</v>
      </c>
      <c r="M6047">
        <v>0.24731059999999999</v>
      </c>
      <c r="N6047">
        <v>0</v>
      </c>
      <c r="O6047">
        <v>0.96882190000000001</v>
      </c>
      <c r="P6047">
        <v>0.14705850000000001</v>
      </c>
      <c r="Q6047">
        <v>0.20172979999999999</v>
      </c>
      <c r="R6047">
        <v>0.96833820000000004</v>
      </c>
      <c r="S6047">
        <v>0.1154785</v>
      </c>
      <c r="T6047">
        <v>-0.18709039999999999</v>
      </c>
      <c r="U6047">
        <v>3.1230159999999998</v>
      </c>
      <c r="V6047">
        <v>-0.1007836</v>
      </c>
      <c r="W6047">
        <v>0.2144886</v>
      </c>
      <c r="X6047">
        <v>0.97151290000000001</v>
      </c>
      <c r="Y6047">
        <v>-0.21142140000000001</v>
      </c>
      <c r="Z6047">
        <v>-5.6323810000000002E-2</v>
      </c>
      <c r="AA6047">
        <v>0.97577080000000005</v>
      </c>
      <c r="AB6047">
        <v>27</v>
      </c>
      <c r="AC6047">
        <v>0.63069999999999005</v>
      </c>
      <c r="AD6047">
        <v>-1.1173830128469999</v>
      </c>
      <c r="AE6047">
        <v>18.387560000000001</v>
      </c>
      <c r="AF6047">
        <v>-3.9223712205905001</v>
      </c>
      <c r="AG6047">
        <v>-1.1173830128469999</v>
      </c>
      <c r="AH6047">
        <v>17.906194672591599</v>
      </c>
      <c r="AI6047">
        <v>93.488246421023604</v>
      </c>
      <c r="AJ6047">
        <v>102.35554889718701</v>
      </c>
      <c r="AK6047">
        <v>18.364785553941601</v>
      </c>
      <c r="AL6047">
        <v>77.614473723718405</v>
      </c>
      <c r="AM6047">
        <v>95.9226112059645</v>
      </c>
      <c r="AN6047">
        <v>1.00000000421266</v>
      </c>
    </row>
    <row r="6048" spans="1:40" x14ac:dyDescent="0.25">
      <c r="A6048" t="str">
        <f>"20190312172825213"</f>
        <v>20190312172825213</v>
      </c>
      <c r="B6048" t="str">
        <f>"1552382905205427"</f>
        <v>1552382905205427</v>
      </c>
      <c r="C6048" t="s">
        <v>40</v>
      </c>
      <c r="D6048">
        <v>3.2740879999999999</v>
      </c>
      <c r="E6048">
        <v>0.4694276</v>
      </c>
      <c r="F6048" t="s">
        <v>41</v>
      </c>
      <c r="G6048">
        <v>-188.59379999999999</v>
      </c>
      <c r="H6048" s="1">
        <v>-3.1089899999999999E-6</v>
      </c>
      <c r="I6048">
        <v>-23.701519999999999</v>
      </c>
      <c r="J6048">
        <v>-189.37530000000001</v>
      </c>
      <c r="K6048">
        <v>1.117299</v>
      </c>
      <c r="L6048">
        <v>-41.961460000000002</v>
      </c>
      <c r="M6048">
        <v>0.23750689999999999</v>
      </c>
      <c r="N6048">
        <v>0</v>
      </c>
      <c r="O6048">
        <v>0.97127200000000002</v>
      </c>
      <c r="P6048">
        <v>0.13835639999999999</v>
      </c>
      <c r="Q6048">
        <v>0.20229240000000001</v>
      </c>
      <c r="R6048">
        <v>0.96950259999999999</v>
      </c>
      <c r="S6048">
        <v>0.14091489999999901</v>
      </c>
      <c r="T6048">
        <v>-0.18793000000000001</v>
      </c>
      <c r="U6048">
        <v>3.1158450000000002</v>
      </c>
      <c r="V6048">
        <v>-9.9626569999999998E-2</v>
      </c>
      <c r="W6048">
        <v>0.2150763</v>
      </c>
      <c r="X6048">
        <v>0.97150230000000004</v>
      </c>
      <c r="Y6048">
        <v>-0.19347610000000001</v>
      </c>
      <c r="Z6048">
        <v>-5.70289E-2</v>
      </c>
      <c r="AA6048">
        <v>0.97944609999999999</v>
      </c>
      <c r="AB6048">
        <v>27</v>
      </c>
      <c r="AC6048">
        <v>0.78150000000002195</v>
      </c>
      <c r="AD6048">
        <v>-1.1173021089899999</v>
      </c>
      <c r="AE6048">
        <v>18.25994</v>
      </c>
      <c r="AF6048">
        <v>-3.5648856671778901</v>
      </c>
      <c r="AG6048">
        <v>-1.1173021089899999</v>
      </c>
      <c r="AH6048">
        <v>17.856229725611701</v>
      </c>
      <c r="AI6048">
        <v>93.511335763794904</v>
      </c>
      <c r="AJ6048">
        <v>101.29030766875699</v>
      </c>
      <c r="AK6048">
        <v>18.242853774468099</v>
      </c>
      <c r="AL6048">
        <v>77.579996223967797</v>
      </c>
      <c r="AM6048">
        <v>95.855156148688295</v>
      </c>
      <c r="AN6048">
        <v>0.99999999358847202</v>
      </c>
    </row>
    <row r="6049" spans="1:40" x14ac:dyDescent="0.25">
      <c r="A6049" t="str">
        <f>"20190312172825236"</f>
        <v>20190312172825236</v>
      </c>
      <c r="B6049" t="str">
        <f>"1552382905225923"</f>
        <v>1552382905225923</v>
      </c>
      <c r="C6049" t="s">
        <v>40</v>
      </c>
      <c r="D6049">
        <v>3.4652050000000001</v>
      </c>
      <c r="E6049">
        <v>0.46982410000000002</v>
      </c>
      <c r="F6049" t="s">
        <v>41</v>
      </c>
      <c r="G6049">
        <v>-188.61170000000001</v>
      </c>
      <c r="H6049" s="1">
        <v>-3.5517479999999999E-6</v>
      </c>
      <c r="I6049">
        <v>-22.66206</v>
      </c>
      <c r="J6049">
        <v>-189.32169999999999</v>
      </c>
      <c r="K6049">
        <v>1.117211</v>
      </c>
      <c r="L6049">
        <v>-41.695950000000003</v>
      </c>
      <c r="M6049">
        <v>0.22781650000000001</v>
      </c>
      <c r="N6049">
        <v>0</v>
      </c>
      <c r="O6049">
        <v>0.97359070000000003</v>
      </c>
      <c r="P6049">
        <v>0.12994420000000001</v>
      </c>
      <c r="Q6049">
        <v>0.20224610000000001</v>
      </c>
      <c r="R6049">
        <v>0.97067550000000002</v>
      </c>
      <c r="S6049">
        <v>0.12323000000000001</v>
      </c>
      <c r="T6049">
        <v>-0.18030289999999999</v>
      </c>
      <c r="U6049">
        <v>3.1144099999999999</v>
      </c>
      <c r="V6049">
        <v>-9.8320009999999999E-2</v>
      </c>
      <c r="W6049">
        <v>0.21506049999999999</v>
      </c>
      <c r="X6049">
        <v>0.97163889999999997</v>
      </c>
      <c r="Y6049">
        <v>-0.18922459999999999</v>
      </c>
      <c r="Z6049">
        <v>-5.4977499999999999E-2</v>
      </c>
      <c r="AA6049">
        <v>0.98039350000000003</v>
      </c>
      <c r="AB6049">
        <v>27</v>
      </c>
      <c r="AC6049">
        <v>0.70999999999997898</v>
      </c>
      <c r="AD6049">
        <v>-1.1172145517480001</v>
      </c>
      <c r="AE6049">
        <v>19.03389</v>
      </c>
      <c r="AF6049">
        <v>-3.6328885204288199</v>
      </c>
      <c r="AG6049">
        <v>-1.1172145517480001</v>
      </c>
      <c r="AH6049">
        <v>18.630933329505499</v>
      </c>
      <c r="AI6049">
        <v>93.368376194793896</v>
      </c>
      <c r="AJ6049">
        <v>101.033783925232</v>
      </c>
      <c r="AK6049">
        <v>19.014671285220199</v>
      </c>
      <c r="AL6049">
        <v>77.580923238693302</v>
      </c>
      <c r="AM6049">
        <v>95.778084456809793</v>
      </c>
      <c r="AN6049">
        <v>0.99999999750992996</v>
      </c>
    </row>
    <row r="6050" spans="1:40" x14ac:dyDescent="0.25">
      <c r="A6050" t="str">
        <f>"20190312172825258"</f>
        <v>20190312172825258</v>
      </c>
      <c r="B6050" t="str">
        <f>"1552382905245442"</f>
        <v>1552382905245442</v>
      </c>
      <c r="C6050" t="s">
        <v>40</v>
      </c>
      <c r="D6050">
        <v>3.403556</v>
      </c>
      <c r="E6050">
        <v>0.47068500000000002</v>
      </c>
      <c r="F6050" t="s">
        <v>41</v>
      </c>
      <c r="G6050">
        <v>-188.71039999999999</v>
      </c>
      <c r="H6050" s="1">
        <v>-3.5315599999999999E-6</v>
      </c>
      <c r="I6050">
        <v>-22.668299999999999</v>
      </c>
      <c r="J6050">
        <v>-189.27359999999999</v>
      </c>
      <c r="K6050">
        <v>1.1171199999999999</v>
      </c>
      <c r="L6050">
        <v>-41.445430000000002</v>
      </c>
      <c r="M6050">
        <v>0.2187828</v>
      </c>
      <c r="N6050">
        <v>0</v>
      </c>
      <c r="O6050">
        <v>0.97566070000000005</v>
      </c>
      <c r="P6050">
        <v>0.12189460000000001</v>
      </c>
      <c r="Q6050">
        <v>0.2020748</v>
      </c>
      <c r="R6050">
        <v>0.97175480000000003</v>
      </c>
      <c r="S6050">
        <v>0.1000977</v>
      </c>
      <c r="T6050">
        <v>-0.18291740000000001</v>
      </c>
      <c r="U6050">
        <v>3.115326</v>
      </c>
      <c r="V6050">
        <v>-9.7317299999999995E-2</v>
      </c>
      <c r="W6050">
        <v>0.2149143</v>
      </c>
      <c r="X6050">
        <v>0.97177219999999997</v>
      </c>
      <c r="Y6050">
        <v>-0.1874062</v>
      </c>
      <c r="Z6050">
        <v>-5.5954120000000003E-2</v>
      </c>
      <c r="AA6050">
        <v>0.98068759999999999</v>
      </c>
      <c r="AB6050">
        <v>27</v>
      </c>
      <c r="AC6050">
        <v>0.56319999999999404</v>
      </c>
      <c r="AD6050">
        <v>-1.1171235315600001</v>
      </c>
      <c r="AE6050">
        <v>18.77713</v>
      </c>
      <c r="AF6050">
        <v>-3.5464714786559899</v>
      </c>
      <c r="AG6050">
        <v>-1.1171235315600001</v>
      </c>
      <c r="AH6050">
        <v>18.380358888628201</v>
      </c>
      <c r="AI6050">
        <v>93.415212137742103</v>
      </c>
      <c r="AJ6050">
        <v>100.920955471235</v>
      </c>
      <c r="AK6050">
        <v>18.752680283321101</v>
      </c>
      <c r="AL6050">
        <v>77.589500613565093</v>
      </c>
      <c r="AM6050">
        <v>95.718770377034105</v>
      </c>
      <c r="AN6050">
        <v>1.00000001095831</v>
      </c>
    </row>
    <row r="6051" spans="1:40" x14ac:dyDescent="0.25">
      <c r="A6051" t="str">
        <f>"20190312172825300"</f>
        <v>20190312172825300</v>
      </c>
      <c r="B6051" t="str">
        <f>"1552382905295219"</f>
        <v>1552382905295219</v>
      </c>
      <c r="C6051" t="s">
        <v>40</v>
      </c>
      <c r="D6051">
        <v>3.4415749999999998</v>
      </c>
      <c r="E6051">
        <v>0.472244</v>
      </c>
      <c r="F6051" t="s">
        <v>41</v>
      </c>
      <c r="G6051">
        <v>-188.7756</v>
      </c>
      <c r="H6051" s="1">
        <v>-3.5373520000000002E-6</v>
      </c>
      <c r="I6051">
        <v>-22.627839999999999</v>
      </c>
      <c r="J6051">
        <v>-189.18559999999999</v>
      </c>
      <c r="K6051">
        <v>1.1168880000000001</v>
      </c>
      <c r="L6051">
        <v>-40.954650000000001</v>
      </c>
      <c r="M6051">
        <v>0.20150399999999999</v>
      </c>
      <c r="N6051">
        <v>0</v>
      </c>
      <c r="O6051">
        <v>0.97937580000000002</v>
      </c>
      <c r="P6051">
        <v>0.105875</v>
      </c>
      <c r="Q6051">
        <v>0.2012361</v>
      </c>
      <c r="R6051">
        <v>0.97380420000000001</v>
      </c>
      <c r="S6051">
        <v>8.2443240000000001E-2</v>
      </c>
      <c r="T6051">
        <v>-0.18494240000000001</v>
      </c>
      <c r="U6051">
        <v>3.1152950000000001</v>
      </c>
      <c r="V6051">
        <v>-9.6034679999999997E-2</v>
      </c>
      <c r="W6051">
        <v>0.21411649999999999</v>
      </c>
      <c r="X6051">
        <v>0.97207589999999999</v>
      </c>
      <c r="Y6051">
        <v>-0.17558470000000001</v>
      </c>
      <c r="Z6051">
        <v>-5.6970340000000001E-2</v>
      </c>
      <c r="AA6051">
        <v>0.98281459999999998</v>
      </c>
      <c r="AB6051">
        <v>27</v>
      </c>
      <c r="AC6051">
        <v>0.40999999999999598</v>
      </c>
      <c r="AD6051">
        <v>-1.1168915373520001</v>
      </c>
      <c r="AE6051">
        <v>18.326809999999998</v>
      </c>
      <c r="AF6051">
        <v>-3.2795678069429202</v>
      </c>
      <c r="AG6051">
        <v>-1.1168915373520001</v>
      </c>
      <c r="AH6051">
        <v>17.966731205790001</v>
      </c>
      <c r="AI6051">
        <v>93.499506358210894</v>
      </c>
      <c r="AJ6051">
        <v>100.344630328718</v>
      </c>
      <c r="AK6051">
        <v>18.297716850133298</v>
      </c>
      <c r="AL6051">
        <v>77.636301096091302</v>
      </c>
      <c r="AM6051">
        <v>95.642136202413695</v>
      </c>
      <c r="AN6051">
        <v>1.0000000453478799</v>
      </c>
    </row>
    <row r="6052" spans="1:40" x14ac:dyDescent="0.25">
      <c r="A6052" t="str">
        <f>"20190312172825324"</f>
        <v>20190312172825324</v>
      </c>
      <c r="B6052" t="str">
        <f>"1552382905315248"</f>
        <v>1552382905315248</v>
      </c>
      <c r="C6052" t="s">
        <v>40</v>
      </c>
      <c r="D6052">
        <v>3.382892</v>
      </c>
      <c r="E6052">
        <v>0.47316789999999997</v>
      </c>
      <c r="F6052" t="s">
        <v>41</v>
      </c>
      <c r="G6052">
        <v>-188.9237</v>
      </c>
      <c r="H6052" s="1">
        <v>-3.2760489999999999E-6</v>
      </c>
      <c r="I6052">
        <v>-23.175709999999999</v>
      </c>
      <c r="J6052">
        <v>-189.1412</v>
      </c>
      <c r="K6052">
        <v>1.1167290000000001</v>
      </c>
      <c r="L6052">
        <v>-40.68732</v>
      </c>
      <c r="M6052">
        <v>0.19234809999999999</v>
      </c>
      <c r="N6052">
        <v>0</v>
      </c>
      <c r="O6052">
        <v>0.98121550000000002</v>
      </c>
      <c r="P6052">
        <v>9.7527000000000003E-2</v>
      </c>
      <c r="Q6052">
        <v>0.20106969999999999</v>
      </c>
      <c r="R6052">
        <v>0.97470990000000002</v>
      </c>
      <c r="S6052">
        <v>4.5913700000000002E-2</v>
      </c>
      <c r="T6052">
        <v>-0.19575970000000001</v>
      </c>
      <c r="U6052">
        <v>3.1161500000000002</v>
      </c>
      <c r="V6052">
        <v>-9.5207070000000005E-2</v>
      </c>
      <c r="W6052">
        <v>0.21397350000000001</v>
      </c>
      <c r="X6052">
        <v>0.97218879999999996</v>
      </c>
      <c r="Y6052">
        <v>-0.177915299999999</v>
      </c>
      <c r="Z6052">
        <v>-6.0439519999999997E-2</v>
      </c>
      <c r="AA6052">
        <v>0.98218799999999995</v>
      </c>
      <c r="AB6052">
        <v>27</v>
      </c>
      <c r="AC6052">
        <v>0.217500000000001</v>
      </c>
      <c r="AD6052">
        <v>-1.1167322760489999</v>
      </c>
      <c r="AE6052">
        <v>17.511609999999902</v>
      </c>
      <c r="AF6052">
        <v>-3.1424773806658002</v>
      </c>
      <c r="AG6052">
        <v>-1.1167322760489999</v>
      </c>
      <c r="AH6052">
        <v>17.156618995809801</v>
      </c>
      <c r="AI6052">
        <v>93.663380777390401</v>
      </c>
      <c r="AJ6052">
        <v>100.379478757993</v>
      </c>
      <c r="AK6052">
        <v>17.477752442226301</v>
      </c>
      <c r="AL6052">
        <v>77.644688893841206</v>
      </c>
      <c r="AM6052">
        <v>95.593177486535097</v>
      </c>
      <c r="AN6052">
        <v>1.00000005386283</v>
      </c>
    </row>
    <row r="6053" spans="1:40" x14ac:dyDescent="0.25">
      <c r="A6053" t="str">
        <f>"20190312172825348"</f>
        <v>20190312172825348</v>
      </c>
      <c r="B6053" t="str">
        <f>"1552382905335743"</f>
        <v>1552382905335743</v>
      </c>
      <c r="C6053" t="s">
        <v>40</v>
      </c>
      <c r="D6053">
        <v>3.3559329999999998</v>
      </c>
      <c r="E6053">
        <v>0.47358990000000001</v>
      </c>
      <c r="F6053" t="s">
        <v>41</v>
      </c>
      <c r="G6053">
        <v>-188.98500000000001</v>
      </c>
      <c r="H6053" s="1">
        <v>-3.3088369999999999E-6</v>
      </c>
      <c r="I6053">
        <v>-23.073930000000001</v>
      </c>
      <c r="J6053">
        <v>-189.09690000000001</v>
      </c>
      <c r="K6053">
        <v>1.1165609999999999</v>
      </c>
      <c r="L6053">
        <v>-40.40625</v>
      </c>
      <c r="M6053">
        <v>0.18294199999999999</v>
      </c>
      <c r="N6053">
        <v>0</v>
      </c>
      <c r="O6053">
        <v>0.98301309999999997</v>
      </c>
      <c r="P6053">
        <v>8.8520470000000004E-2</v>
      </c>
      <c r="Q6053">
        <v>0.20027030000000001</v>
      </c>
      <c r="R6053">
        <v>0.97573350000000003</v>
      </c>
      <c r="S6053">
        <v>2.7633669999999999E-2</v>
      </c>
      <c r="T6053">
        <v>-0.19755039999999999</v>
      </c>
      <c r="U6053">
        <v>3.1158139999999999</v>
      </c>
      <c r="V6053">
        <v>-9.4800339999999997E-2</v>
      </c>
      <c r="W6053">
        <v>0.2131941</v>
      </c>
      <c r="X6053">
        <v>0.97239969999999998</v>
      </c>
      <c r="Y6053">
        <v>-0.17424999999999999</v>
      </c>
      <c r="Z6053">
        <v>-6.118966E-2</v>
      </c>
      <c r="AA6053">
        <v>0.98279850000000002</v>
      </c>
      <c r="AB6053">
        <v>27</v>
      </c>
      <c r="AC6053">
        <v>0.11189999999999101</v>
      </c>
      <c r="AD6053">
        <v>-1.1165643088370001</v>
      </c>
      <c r="AE6053">
        <v>17.332319999999999</v>
      </c>
      <c r="AF6053">
        <v>-3.04849210145469</v>
      </c>
      <c r="AG6053">
        <v>-1.1165643088370001</v>
      </c>
      <c r="AH6053">
        <v>16.9897186006582</v>
      </c>
      <c r="AI6053">
        <v>93.701131439650197</v>
      </c>
      <c r="AJ6053">
        <v>100.17242478162299</v>
      </c>
      <c r="AK6053">
        <v>17.297125717238401</v>
      </c>
      <c r="AL6053">
        <v>77.690399378730206</v>
      </c>
      <c r="AM6053">
        <v>95.568233324897903</v>
      </c>
      <c r="AN6053">
        <v>1.0000000026495</v>
      </c>
    </row>
    <row r="6054" spans="1:40" x14ac:dyDescent="0.25">
      <c r="A6054" t="str">
        <f>"20190312172825372"</f>
        <v>20190312172825372</v>
      </c>
      <c r="B6054" t="str">
        <f>"1552382905365999"</f>
        <v>1552382905365999</v>
      </c>
      <c r="C6054" t="s">
        <v>40</v>
      </c>
      <c r="D6054">
        <v>3.3980739999999998</v>
      </c>
      <c r="E6054">
        <v>0.48349789999999998</v>
      </c>
      <c r="F6054" t="s">
        <v>41</v>
      </c>
      <c r="G6054">
        <v>-189.07660000000001</v>
      </c>
      <c r="H6054" s="1">
        <v>-3.2775930000000002E-6</v>
      </c>
      <c r="I6054">
        <v>-23.10887</v>
      </c>
      <c r="J6054">
        <v>-189.05539999999999</v>
      </c>
      <c r="K6054">
        <v>1.116357</v>
      </c>
      <c r="L6054">
        <v>-40.126220000000004</v>
      </c>
      <c r="M6054">
        <v>0.17389679999999999</v>
      </c>
      <c r="N6054">
        <v>0</v>
      </c>
      <c r="O6054">
        <v>0.98465389999999997</v>
      </c>
      <c r="P6054">
        <v>8.0414719999999995E-2</v>
      </c>
      <c r="Q6054">
        <v>0.19935030000000001</v>
      </c>
      <c r="R6054">
        <v>0.97662320000000002</v>
      </c>
      <c r="S6054">
        <v>3.646851E-3</v>
      </c>
      <c r="T6054">
        <v>-0.2011114</v>
      </c>
      <c r="U6054">
        <v>3.1155400000000002</v>
      </c>
      <c r="V6054">
        <v>-9.3846070000000004E-2</v>
      </c>
      <c r="W6054">
        <v>0.2123061</v>
      </c>
      <c r="X6054">
        <v>0.97268650000000001</v>
      </c>
      <c r="Y6054">
        <v>-0.17276240000000001</v>
      </c>
      <c r="Z6054">
        <v>-6.2461259999999998E-2</v>
      </c>
      <c r="AA6054">
        <v>0.98298110000000005</v>
      </c>
      <c r="AB6054">
        <v>27</v>
      </c>
      <c r="AC6054">
        <v>-2.1200000000021601E-2</v>
      </c>
      <c r="AD6054">
        <v>-1.1163602775929999</v>
      </c>
      <c r="AE6054">
        <v>17.01735</v>
      </c>
      <c r="AF6054">
        <v>-2.9676886548338102</v>
      </c>
      <c r="AG6054">
        <v>-1.1163602775929999</v>
      </c>
      <c r="AH6054">
        <v>16.682534342047902</v>
      </c>
      <c r="AI6054">
        <v>93.769402653313605</v>
      </c>
      <c r="AJ6054">
        <v>100.086939335715</v>
      </c>
      <c r="AK6054">
        <v>16.981177470806401</v>
      </c>
      <c r="AL6054">
        <v>77.742470025154603</v>
      </c>
      <c r="AM6054">
        <v>95.510914525905505</v>
      </c>
      <c r="AN6054">
        <v>0.99999999611695201</v>
      </c>
    </row>
    <row r="6055" spans="1:40" x14ac:dyDescent="0.25">
      <c r="A6055" t="str">
        <f>"20190312172825394"</f>
        <v>20190312172825394</v>
      </c>
      <c r="B6055" t="str">
        <f>"1552382905385518"</f>
        <v>1552382905385518</v>
      </c>
      <c r="C6055" t="s">
        <v>40</v>
      </c>
      <c r="D6055">
        <v>3.3429929999999999</v>
      </c>
      <c r="E6055">
        <v>0.48509020000000003</v>
      </c>
      <c r="F6055" t="s">
        <v>41</v>
      </c>
      <c r="G6055">
        <v>-188.75980000000001</v>
      </c>
      <c r="H6055" s="1">
        <v>-2.8743179999999998E-6</v>
      </c>
      <c r="I6055">
        <v>-24.179939999999998</v>
      </c>
      <c r="J6055">
        <v>-189.02019999999999</v>
      </c>
      <c r="K6055">
        <v>1.116155</v>
      </c>
      <c r="L6055">
        <v>-39.875889999999998</v>
      </c>
      <c r="M6055">
        <v>0.16605780000000001</v>
      </c>
      <c r="N6055">
        <v>0</v>
      </c>
      <c r="O6055">
        <v>0.98600670000000001</v>
      </c>
      <c r="P6055">
        <v>7.3835780000000004E-2</v>
      </c>
      <c r="Q6055">
        <v>0.19926530000000001</v>
      </c>
      <c r="R6055">
        <v>0.97716000000000003</v>
      </c>
      <c r="S6055">
        <v>5.7693479999999998E-2</v>
      </c>
      <c r="T6055">
        <v>-0.2178292</v>
      </c>
      <c r="U6055">
        <v>3.1115110000000001</v>
      </c>
      <c r="V6055">
        <v>-9.2554869999999997E-2</v>
      </c>
      <c r="W6055">
        <v>0.21225440000000001</v>
      </c>
      <c r="X6055">
        <v>0.97282150000000001</v>
      </c>
      <c r="Y6055">
        <v>-0.1478071</v>
      </c>
      <c r="Z6055">
        <v>-6.7994570000000004E-2</v>
      </c>
      <c r="AA6055">
        <v>0.9866762</v>
      </c>
      <c r="AB6055">
        <v>26</v>
      </c>
      <c r="AC6055">
        <v>0.26039999999997498</v>
      </c>
      <c r="AD6055">
        <v>-1.1161578743179901</v>
      </c>
      <c r="AE6055">
        <v>15.69595</v>
      </c>
      <c r="AF6055">
        <v>-2.3381119926468998</v>
      </c>
      <c r="AG6055">
        <v>-1.1161578743179901</v>
      </c>
      <c r="AH6055">
        <v>15.443155044774199</v>
      </c>
      <c r="AI6055">
        <v>94.087457665942395</v>
      </c>
      <c r="AJ6055">
        <v>98.609264883549798</v>
      </c>
      <c r="AK6055">
        <v>15.658978696821</v>
      </c>
      <c r="AL6055">
        <v>77.745501383669193</v>
      </c>
      <c r="AM6055">
        <v>95.434798974440298</v>
      </c>
      <c r="AN6055">
        <v>1.00000000257116</v>
      </c>
    </row>
    <row r="6056" spans="1:40" x14ac:dyDescent="0.25">
      <c r="A6056" t="str">
        <f>"20190312172825414"</f>
        <v>20190312172825414</v>
      </c>
      <c r="B6056" t="str">
        <f>"1552382905405545"</f>
        <v>1552382905405545</v>
      </c>
      <c r="C6056" t="s">
        <v>40</v>
      </c>
      <c r="D6056">
        <v>3.3093970000000001</v>
      </c>
      <c r="E6056">
        <v>0.48651689999999997</v>
      </c>
      <c r="F6056" t="s">
        <v>41</v>
      </c>
      <c r="G6056">
        <v>-188.76410000000001</v>
      </c>
      <c r="H6056" s="1">
        <v>-2.9305440000000001E-6</v>
      </c>
      <c r="I6056">
        <v>-24.047059999999998</v>
      </c>
      <c r="J6056">
        <v>-188.98920000000001</v>
      </c>
      <c r="K6056">
        <v>1.1159840000000001</v>
      </c>
      <c r="L6056">
        <v>-39.643949999999997</v>
      </c>
      <c r="M6056">
        <v>0.15897939999999999</v>
      </c>
      <c r="N6056">
        <v>0</v>
      </c>
      <c r="O6056">
        <v>0.98717310000000003</v>
      </c>
      <c r="P6056">
        <v>6.8473249999999999E-2</v>
      </c>
      <c r="Q6056">
        <v>0.19943669999999999</v>
      </c>
      <c r="R6056">
        <v>0.97751549999999998</v>
      </c>
      <c r="S6056">
        <v>5.0338750000000002E-2</v>
      </c>
      <c r="T6056">
        <v>-0.2193737</v>
      </c>
      <c r="U6056">
        <v>3.1110530000000001</v>
      </c>
      <c r="V6056">
        <v>-9.0813340000000006E-2</v>
      </c>
      <c r="W6056">
        <v>0.21246080000000001</v>
      </c>
      <c r="X6056">
        <v>0.97294060000000004</v>
      </c>
      <c r="Y6056">
        <v>-0.14303959999999999</v>
      </c>
      <c r="Z6056">
        <v>-6.8633139999999995E-2</v>
      </c>
      <c r="AA6056">
        <v>0.98733439999999995</v>
      </c>
      <c r="AB6056">
        <v>26</v>
      </c>
      <c r="AC6056">
        <v>0.225099999999997</v>
      </c>
      <c r="AD6056">
        <v>-1.115986930544</v>
      </c>
      <c r="AE6056">
        <v>15.596889999999901</v>
      </c>
      <c r="AF6056">
        <v>-2.2461170642458801</v>
      </c>
      <c r="AG6056">
        <v>-1.115986930544</v>
      </c>
      <c r="AH6056">
        <v>15.3556747496123</v>
      </c>
      <c r="AI6056">
        <v>94.113096431588403</v>
      </c>
      <c r="AJ6056">
        <v>98.3217969111695</v>
      </c>
      <c r="AK6056">
        <v>15.5591521527145</v>
      </c>
      <c r="AL6056">
        <v>77.733399890905801</v>
      </c>
      <c r="AM6056">
        <v>95.332482933445604</v>
      </c>
      <c r="AN6056">
        <v>1.0000000326934699</v>
      </c>
    </row>
    <row r="6057" spans="1:40" x14ac:dyDescent="0.25">
      <c r="A6057" t="str">
        <f>"20190312172825434"</f>
        <v>20190312172825434</v>
      </c>
      <c r="B6057" t="str">
        <f>"1552382905426040"</f>
        <v>1552382905426040</v>
      </c>
      <c r="C6057" t="s">
        <v>40</v>
      </c>
      <c r="D6057">
        <v>3.33087</v>
      </c>
      <c r="E6057">
        <v>0.48799880000000001</v>
      </c>
      <c r="F6057" t="s">
        <v>41</v>
      </c>
      <c r="G6057">
        <v>-188.76079999999999</v>
      </c>
      <c r="H6057" s="1">
        <v>-3.016729E-6</v>
      </c>
      <c r="I6057">
        <v>-23.847519999999999</v>
      </c>
      <c r="J6057">
        <v>-188.95840000000001</v>
      </c>
      <c r="K6057">
        <v>1.1158090000000001</v>
      </c>
      <c r="L6057">
        <v>-39.40137</v>
      </c>
      <c r="M6057">
        <v>0.1517772</v>
      </c>
      <c r="N6057">
        <v>0</v>
      </c>
      <c r="O6057">
        <v>0.98830660000000004</v>
      </c>
      <c r="P6057">
        <v>6.3356179999999998E-2</v>
      </c>
      <c r="Q6057">
        <v>0.19995089999999999</v>
      </c>
      <c r="R6057">
        <v>0.97775540000000005</v>
      </c>
      <c r="S6057">
        <v>4.4967649999999998E-2</v>
      </c>
      <c r="T6057">
        <v>-0.21976399999999999</v>
      </c>
      <c r="U6057">
        <v>3.110687</v>
      </c>
      <c r="V6057">
        <v>-8.8705229999999996E-2</v>
      </c>
      <c r="W6057">
        <v>0.21301290000000001</v>
      </c>
      <c r="X6057">
        <v>0.97301439999999995</v>
      </c>
      <c r="Y6057">
        <v>-0.1375237</v>
      </c>
      <c r="Z6057">
        <v>-6.8910650000000004E-2</v>
      </c>
      <c r="AA6057">
        <v>0.98809840000000004</v>
      </c>
      <c r="AB6057">
        <v>26</v>
      </c>
      <c r="AC6057">
        <v>0.19760000000002201</v>
      </c>
      <c r="AD6057">
        <v>-1.115812016729</v>
      </c>
      <c r="AE6057">
        <v>15.553849999999899</v>
      </c>
      <c r="AF6057">
        <v>-2.1545752948396601</v>
      </c>
      <c r="AG6057">
        <v>-1.115812016729</v>
      </c>
      <c r="AH6057">
        <v>15.3247550171511</v>
      </c>
      <c r="AI6057">
        <v>94.124001312617693</v>
      </c>
      <c r="AJ6057">
        <v>98.003011644067797</v>
      </c>
      <c r="AK6057">
        <v>15.5156484715757</v>
      </c>
      <c r="AL6057">
        <v>77.701026275298801</v>
      </c>
      <c r="AM6057">
        <v>95.208992635897005</v>
      </c>
      <c r="AN6057">
        <v>1.0000000680015499</v>
      </c>
    </row>
    <row r="6058" spans="1:40" x14ac:dyDescent="0.25">
      <c r="A6058" t="str">
        <f>"20190312172825458"</f>
        <v>20190312172825458</v>
      </c>
      <c r="B6058" t="str">
        <f>"1552382905455320"</f>
        <v>1552382905455320</v>
      </c>
      <c r="C6058" t="s">
        <v>40</v>
      </c>
      <c r="D6058">
        <v>3.6941619999999999</v>
      </c>
      <c r="E6058">
        <v>0.48987019999999998</v>
      </c>
      <c r="F6058" t="s">
        <v>41</v>
      </c>
      <c r="G6058">
        <v>-188.7526</v>
      </c>
      <c r="H6058" s="1">
        <v>-3.0789560000000001E-6</v>
      </c>
      <c r="I6058">
        <v>-23.705880000000001</v>
      </c>
      <c r="J6058">
        <v>-188.9256</v>
      </c>
      <c r="K6058">
        <v>1.1156159999999999</v>
      </c>
      <c r="L6058">
        <v>-39.129089999999998</v>
      </c>
      <c r="M6058">
        <v>0.14395089999999999</v>
      </c>
      <c r="N6058">
        <v>0</v>
      </c>
      <c r="O6058">
        <v>0.9894773</v>
      </c>
      <c r="P6058">
        <v>5.7809859999999998E-2</v>
      </c>
      <c r="Q6058">
        <v>0.19979669999999999</v>
      </c>
      <c r="R6058">
        <v>0.97813050000000001</v>
      </c>
      <c r="S6058">
        <v>4.0786740000000002E-2</v>
      </c>
      <c r="T6058">
        <v>-0.22115360000000001</v>
      </c>
      <c r="U6058">
        <v>3.11084</v>
      </c>
      <c r="V6058">
        <v>-8.6419789999999996E-2</v>
      </c>
      <c r="W6058">
        <v>0.21290020000000001</v>
      </c>
      <c r="X6058">
        <v>0.97324469999999996</v>
      </c>
      <c r="Y6058">
        <v>-0.13101079999999901</v>
      </c>
      <c r="Z6058">
        <v>-6.9497030000000001E-2</v>
      </c>
      <c r="AA6058">
        <v>0.98894199999999999</v>
      </c>
      <c r="AB6058">
        <v>26</v>
      </c>
      <c r="AC6058">
        <v>0.17300000000000099</v>
      </c>
      <c r="AD6058">
        <v>-1.1156190789560001</v>
      </c>
      <c r="AE6058">
        <v>15.423209999999999</v>
      </c>
      <c r="AF6058">
        <v>-2.0385586924213301</v>
      </c>
      <c r="AG6058">
        <v>-1.1156190789560001</v>
      </c>
      <c r="AH6058">
        <v>15.207886127539901</v>
      </c>
      <c r="AI6058">
        <v>94.158522290177402</v>
      </c>
      <c r="AJ6058">
        <v>97.634768012483704</v>
      </c>
      <c r="AK6058">
        <v>15.384411849011199</v>
      </c>
      <c r="AL6058">
        <v>77.707635013181203</v>
      </c>
      <c r="AM6058">
        <v>95.074301324029605</v>
      </c>
      <c r="AN6058">
        <v>1.0000000606708801</v>
      </c>
    </row>
    <row r="6059" spans="1:40" x14ac:dyDescent="0.25">
      <c r="A6059" t="str">
        <f>"20190312172825549"</f>
        <v>20190312172825549</v>
      </c>
      <c r="B6059" t="str">
        <f>"1552382905546089"</f>
        <v>1552382905546089</v>
      </c>
      <c r="C6059" t="s">
        <v>40</v>
      </c>
      <c r="D6059">
        <v>3.1354799999999998</v>
      </c>
      <c r="E6059">
        <v>0.48652620000000002</v>
      </c>
      <c r="F6059" t="s">
        <v>41</v>
      </c>
      <c r="G6059">
        <v>-188.70580000000001</v>
      </c>
      <c r="H6059" s="1">
        <v>-3.8422969999999997E-6</v>
      </c>
      <c r="I6059">
        <v>-21.945869999999999</v>
      </c>
      <c r="J6059">
        <v>-188.81639999999999</v>
      </c>
      <c r="K6059">
        <v>1.1148659999999999</v>
      </c>
      <c r="L6059">
        <v>-38.080689999999997</v>
      </c>
      <c r="M6059">
        <v>0.1163057</v>
      </c>
      <c r="N6059">
        <v>0</v>
      </c>
      <c r="O6059">
        <v>0.9931082</v>
      </c>
      <c r="P6059">
        <v>4.0850079999999997E-2</v>
      </c>
      <c r="Q6059">
        <v>0.1961861</v>
      </c>
      <c r="R6059">
        <v>0.97971540000000001</v>
      </c>
      <c r="S6059">
        <v>3.9733890000000001E-2</v>
      </c>
      <c r="T6059">
        <v>-0.2016521</v>
      </c>
      <c r="U6059">
        <v>3.1059269999999999</v>
      </c>
      <c r="V6059">
        <v>-7.5758140000000002E-2</v>
      </c>
      <c r="W6059">
        <v>0.20946100000000001</v>
      </c>
      <c r="X6059">
        <v>0.97487780000000002</v>
      </c>
      <c r="Y6059">
        <v>-0.103629</v>
      </c>
      <c r="Z6059">
        <v>-6.3952510000000004E-2</v>
      </c>
      <c r="AA6059">
        <v>0.99255789999999999</v>
      </c>
      <c r="AB6059">
        <v>26</v>
      </c>
      <c r="AC6059">
        <v>0.110599999999976</v>
      </c>
      <c r="AD6059">
        <v>-1.11486984229699</v>
      </c>
      <c r="AE6059">
        <v>16.134820000000001</v>
      </c>
      <c r="AF6059">
        <v>-1.75852297482742</v>
      </c>
      <c r="AG6059">
        <v>-1.11486984229699</v>
      </c>
      <c r="AH6059">
        <v>15.9619568217813</v>
      </c>
      <c r="AI6059">
        <v>93.971409280247698</v>
      </c>
      <c r="AJ6059">
        <v>96.286901547078102</v>
      </c>
      <c r="AK6059">
        <v>16.097186195067401</v>
      </c>
      <c r="AL6059">
        <v>77.909232231151805</v>
      </c>
      <c r="AM6059">
        <v>94.443547359439506</v>
      </c>
      <c r="AN6059">
        <v>0.999999965615049</v>
      </c>
    </row>
    <row r="6060" spans="1:40" x14ac:dyDescent="0.25">
      <c r="A6060" t="str">
        <f>"20190312172825571"</f>
        <v>20190312172825571</v>
      </c>
      <c r="B6060" t="str">
        <f>"1552382905565609"</f>
        <v>1552382905565609</v>
      </c>
      <c r="C6060" t="s">
        <v>40</v>
      </c>
      <c r="D6060">
        <v>3.3023570000000002</v>
      </c>
      <c r="E6060">
        <v>0.48490640000000002</v>
      </c>
      <c r="F6060" t="s">
        <v>41</v>
      </c>
      <c r="G6060">
        <v>-189.00409999999999</v>
      </c>
      <c r="H6060" s="1">
        <v>-3.0101659999999999E-6</v>
      </c>
      <c r="I6060">
        <v>-23.762229999999999</v>
      </c>
      <c r="J6060">
        <v>-188.79390000000001</v>
      </c>
      <c r="K6060">
        <v>1.1146640000000001</v>
      </c>
      <c r="L6060">
        <v>-37.82938</v>
      </c>
      <c r="M6060">
        <v>0.1103025</v>
      </c>
      <c r="N6060">
        <v>0</v>
      </c>
      <c r="O6060">
        <v>0.99379329999999999</v>
      </c>
      <c r="P6060">
        <v>3.8911420000000002E-2</v>
      </c>
      <c r="Q6060">
        <v>0.1957342</v>
      </c>
      <c r="R6060">
        <v>0.97988470000000005</v>
      </c>
      <c r="S6060">
        <v>-4.0801999999999998E-2</v>
      </c>
      <c r="T6060">
        <v>-0.24233389999999999</v>
      </c>
      <c r="U6060">
        <v>3.1123349999999999</v>
      </c>
      <c r="V6060">
        <v>-7.1687390000000004E-2</v>
      </c>
      <c r="W6060">
        <v>0.20906359999999999</v>
      </c>
      <c r="X6060">
        <v>0.97527090000000005</v>
      </c>
      <c r="Y6060">
        <v>-0.12329320000000001</v>
      </c>
      <c r="Z6060">
        <v>-7.6617829999999998E-2</v>
      </c>
      <c r="AA6060">
        <v>0.98940810000000001</v>
      </c>
      <c r="AB6060">
        <v>26</v>
      </c>
      <c r="AC6060">
        <v>-0.21019999999998601</v>
      </c>
      <c r="AD6060">
        <v>-1.1146670101659999</v>
      </c>
      <c r="AE6060">
        <v>14.06715</v>
      </c>
      <c r="AF6060">
        <v>-1.7497366664765299</v>
      </c>
      <c r="AG6060">
        <v>-1.1146670101659999</v>
      </c>
      <c r="AH6060">
        <v>13.8710329140716</v>
      </c>
      <c r="AI6060">
        <v>94.558408478751005</v>
      </c>
      <c r="AJ6060">
        <v>97.189500845221602</v>
      </c>
      <c r="AK6060">
        <v>14.0253204971873</v>
      </c>
      <c r="AL6060">
        <v>77.932517528577904</v>
      </c>
      <c r="AM6060">
        <v>94.203971818705</v>
      </c>
      <c r="AN6060">
        <v>0.99999999955839103</v>
      </c>
    </row>
    <row r="6061" spans="1:40" x14ac:dyDescent="0.25">
      <c r="A6061" t="str">
        <f>"20190312172825592"</f>
        <v>20190312172825592</v>
      </c>
      <c r="B6061" t="str">
        <f>"1552382905586106"</f>
        <v>1552382905586106</v>
      </c>
      <c r="C6061" t="s">
        <v>40</v>
      </c>
      <c r="D6061">
        <v>3.216993</v>
      </c>
      <c r="E6061">
        <v>0.4838578</v>
      </c>
      <c r="F6061" t="s">
        <v>41</v>
      </c>
      <c r="G6061">
        <v>-189.05889999999999</v>
      </c>
      <c r="H6061" s="1">
        <v>-2.8899679999999998E-6</v>
      </c>
      <c r="I6061">
        <v>-24.019760000000002</v>
      </c>
      <c r="J6061">
        <v>-188.77279999999999</v>
      </c>
      <c r="K6061">
        <v>1.1144879999999999</v>
      </c>
      <c r="L6061">
        <v>-37.578519999999997</v>
      </c>
      <c r="M6061">
        <v>0.10451580000000001</v>
      </c>
      <c r="N6061">
        <v>0</v>
      </c>
      <c r="O6061">
        <v>0.99441900000000005</v>
      </c>
      <c r="P6061">
        <v>3.6291810000000001E-2</v>
      </c>
      <c r="Q6061">
        <v>0.19499949999999999</v>
      </c>
      <c r="R6061">
        <v>0.98013170000000005</v>
      </c>
      <c r="S6061">
        <v>-5.9753420000000002E-2</v>
      </c>
      <c r="T6061">
        <v>-0.25136530000000001</v>
      </c>
      <c r="U6061">
        <v>3.114166</v>
      </c>
      <c r="V6061">
        <v>-6.8524420000000003E-2</v>
      </c>
      <c r="W6061">
        <v>0.20836789999999999</v>
      </c>
      <c r="X6061">
        <v>0.97564709999999999</v>
      </c>
      <c r="Y6061">
        <v>-0.1235241</v>
      </c>
      <c r="Z6061">
        <v>-7.9478989999999999E-2</v>
      </c>
      <c r="AA6061">
        <v>0.98915359999999997</v>
      </c>
      <c r="AB6061">
        <v>26</v>
      </c>
      <c r="AC6061">
        <v>-0.28610000000000402</v>
      </c>
      <c r="AD6061">
        <v>-1.1144908899679999</v>
      </c>
      <c r="AE6061">
        <v>13.558759999999999</v>
      </c>
      <c r="AF6061">
        <v>-1.69036865859852</v>
      </c>
      <c r="AG6061">
        <v>-1.1144908899679999</v>
      </c>
      <c r="AH6061">
        <v>13.3643271433185</v>
      </c>
      <c r="AI6061">
        <v>94.729526202686998</v>
      </c>
      <c r="AJ6061">
        <v>97.208699172457699</v>
      </c>
      <c r="AK6061">
        <v>13.516829367105</v>
      </c>
      <c r="AL6061">
        <v>77.973276109928804</v>
      </c>
      <c r="AM6061">
        <v>94.017562571532196</v>
      </c>
      <c r="AN6061">
        <v>1.0000000208125699</v>
      </c>
    </row>
    <row r="6062" spans="1:40" x14ac:dyDescent="0.25">
      <c r="A6062" t="str">
        <f>"20190312172825614"</f>
        <v>20190312172825614</v>
      </c>
      <c r="B6062" t="str">
        <f>"1552382905605624"</f>
        <v>1552382905605624</v>
      </c>
      <c r="C6062" t="s">
        <v>40</v>
      </c>
      <c r="D6062">
        <v>3.32429</v>
      </c>
      <c r="E6062">
        <v>0.48302119999999998</v>
      </c>
      <c r="F6062" t="s">
        <v>41</v>
      </c>
      <c r="G6062">
        <v>-189.10570000000001</v>
      </c>
      <c r="H6062" s="1">
        <v>-2.9671669999999999E-6</v>
      </c>
      <c r="I6062">
        <v>-23.82047</v>
      </c>
      <c r="J6062">
        <v>-188.75299999999999</v>
      </c>
      <c r="K6062">
        <v>1.1143130000000001</v>
      </c>
      <c r="L6062">
        <v>-37.32996</v>
      </c>
      <c r="M6062">
        <v>9.8991739999999995E-2</v>
      </c>
      <c r="N6062">
        <v>0</v>
      </c>
      <c r="O6062">
        <v>0.99498450000000005</v>
      </c>
      <c r="P6062">
        <v>3.433257E-2</v>
      </c>
      <c r="Q6062">
        <v>0.19454940000000001</v>
      </c>
      <c r="R6062">
        <v>0.98029169999999999</v>
      </c>
      <c r="S6062">
        <v>-7.5347899999999995E-2</v>
      </c>
      <c r="T6062">
        <v>-0.2522354</v>
      </c>
      <c r="U6062">
        <v>3.1137700000000001</v>
      </c>
      <c r="V6062">
        <v>-6.4965209999999995E-2</v>
      </c>
      <c r="W6062">
        <v>0.20795749999999999</v>
      </c>
      <c r="X6062">
        <v>0.97597809999999896</v>
      </c>
      <c r="Y6062">
        <v>-0.12296650000000001</v>
      </c>
      <c r="Z6062">
        <v>-7.9829239999999996E-2</v>
      </c>
      <c r="AA6062">
        <v>0.98919489999999999</v>
      </c>
      <c r="AB6062">
        <v>26</v>
      </c>
      <c r="AC6062">
        <v>-0.35270000000002699</v>
      </c>
      <c r="AD6062">
        <v>-1.114315967167</v>
      </c>
      <c r="AE6062">
        <v>13.50949</v>
      </c>
      <c r="AF6062">
        <v>-1.67703119931445</v>
      </c>
      <c r="AG6062">
        <v>-1.114315967167</v>
      </c>
      <c r="AH6062">
        <v>13.3176568032153</v>
      </c>
      <c r="AI6062">
        <v>94.745610835920004</v>
      </c>
      <c r="AJ6062">
        <v>97.1772159308521</v>
      </c>
      <c r="AK6062">
        <v>13.469005770523101</v>
      </c>
      <c r="AL6062">
        <v>77.997316993779293</v>
      </c>
      <c r="AM6062">
        <v>93.808230364557602</v>
      </c>
      <c r="AN6062">
        <v>1.0000000259980999</v>
      </c>
    </row>
    <row r="6063" spans="1:40" x14ac:dyDescent="0.25">
      <c r="A6063" t="str">
        <f>"20190312172825636"</f>
        <v>20190312172825636</v>
      </c>
      <c r="B6063" t="str">
        <f>"1552382905626122"</f>
        <v>1552382905626122</v>
      </c>
      <c r="C6063" t="s">
        <v>40</v>
      </c>
      <c r="D6063">
        <v>3.2220110000000002</v>
      </c>
      <c r="E6063">
        <v>0.48260639999999999</v>
      </c>
      <c r="F6063" t="s">
        <v>41</v>
      </c>
      <c r="G6063">
        <v>-189.1396</v>
      </c>
      <c r="H6063" s="1">
        <v>-3.1080050000000001E-6</v>
      </c>
      <c r="I6063">
        <v>-23.478149999999999</v>
      </c>
      <c r="J6063">
        <v>-188.7338</v>
      </c>
      <c r="K6063">
        <v>1.114134</v>
      </c>
      <c r="L6063">
        <v>-37.073149999999998</v>
      </c>
      <c r="M6063">
        <v>9.3520720000000002E-2</v>
      </c>
      <c r="N6063">
        <v>0</v>
      </c>
      <c r="O6063">
        <v>0.99551400000000001</v>
      </c>
      <c r="P6063">
        <v>3.1271050000000002E-2</v>
      </c>
      <c r="Q6063">
        <v>0.19429750000000001</v>
      </c>
      <c r="R6063">
        <v>0.98044410000000004</v>
      </c>
      <c r="S6063">
        <v>-8.6883539999999995E-2</v>
      </c>
      <c r="T6063">
        <v>-0.25042999999999999</v>
      </c>
      <c r="U6063">
        <v>3.1130369999999998</v>
      </c>
      <c r="V6063">
        <v>-6.2556959999999995E-2</v>
      </c>
      <c r="W6063">
        <v>0.2077299</v>
      </c>
      <c r="X6063">
        <v>0.97618380000000005</v>
      </c>
      <c r="Y6063">
        <v>-0.12118089999999999</v>
      </c>
      <c r="Z6063">
        <v>-7.9348589999999997E-2</v>
      </c>
      <c r="AA6063">
        <v>0.9894539</v>
      </c>
      <c r="AB6063">
        <v>26</v>
      </c>
      <c r="AC6063">
        <v>-0.40579999999999899</v>
      </c>
      <c r="AD6063">
        <v>-1.114137108005</v>
      </c>
      <c r="AE6063">
        <v>13.595000000000001</v>
      </c>
      <c r="AF6063">
        <v>-1.66439779785325</v>
      </c>
      <c r="AG6063">
        <v>-1.114137108005</v>
      </c>
      <c r="AH6063">
        <v>13.4074845465239</v>
      </c>
      <c r="AI6063">
        <v>94.714238334275606</v>
      </c>
      <c r="AJ6063">
        <v>97.076464057006802</v>
      </c>
      <c r="AK6063">
        <v>13.556259196039701</v>
      </c>
      <c r="AL6063">
        <v>78.010647699735799</v>
      </c>
      <c r="AM6063">
        <v>93.666681845185806</v>
      </c>
      <c r="AN6063">
        <v>0.999999947990444</v>
      </c>
    </row>
    <row r="6064" spans="1:40" x14ac:dyDescent="0.25">
      <c r="A6064" t="str">
        <f>"20190312172825659"</f>
        <v>20190312172825659</v>
      </c>
      <c r="B6064" t="str">
        <f>"1552382905655401"</f>
        <v>1552382905655401</v>
      </c>
      <c r="C6064" t="s">
        <v>40</v>
      </c>
      <c r="D6064">
        <v>3.4167100000000001</v>
      </c>
      <c r="E6064">
        <v>0.48195670000000002</v>
      </c>
      <c r="F6064" t="s">
        <v>41</v>
      </c>
      <c r="G6064">
        <v>-189.17529999999999</v>
      </c>
      <c r="H6064" s="1">
        <v>-3.223266E-6</v>
      </c>
      <c r="I6064">
        <v>-23.194710000000001</v>
      </c>
      <c r="J6064">
        <v>-188.7157</v>
      </c>
      <c r="K6064">
        <v>1.1139540000000001</v>
      </c>
      <c r="L6064">
        <v>-36.815309999999997</v>
      </c>
      <c r="M6064">
        <v>8.828047E-2</v>
      </c>
      <c r="N6064">
        <v>0</v>
      </c>
      <c r="O6064">
        <v>0.99599280000000001</v>
      </c>
      <c r="P6064">
        <v>2.8723990000000001E-2</v>
      </c>
      <c r="Q6064">
        <v>0.1944496</v>
      </c>
      <c r="R6064">
        <v>0.98049189999999997</v>
      </c>
      <c r="S6064">
        <v>-9.9014279999999996E-2</v>
      </c>
      <c r="T6064">
        <v>-0.2498676</v>
      </c>
      <c r="U6064">
        <v>3.1125180000000001</v>
      </c>
      <c r="V6064">
        <v>-5.9855100000000001E-2</v>
      </c>
      <c r="W6064">
        <v>0.20790710000000001</v>
      </c>
      <c r="X6064">
        <v>0.9763155</v>
      </c>
      <c r="Y6064">
        <v>-0.1198148</v>
      </c>
      <c r="Z6064">
        <v>-7.9244040000000002E-2</v>
      </c>
      <c r="AA6064">
        <v>0.98962859999999997</v>
      </c>
      <c r="AB6064">
        <v>26</v>
      </c>
      <c r="AC6064">
        <v>-0.45959999999999401</v>
      </c>
      <c r="AD6064">
        <v>-1.113957223266</v>
      </c>
      <c r="AE6064">
        <v>13.6205999999999</v>
      </c>
      <c r="AF6064">
        <v>-1.6493418956913699</v>
      </c>
      <c r="AG6064">
        <v>-1.113957223266</v>
      </c>
      <c r="AH6064">
        <v>13.437056917120101</v>
      </c>
      <c r="AI6064">
        <v>94.703947219838497</v>
      </c>
      <c r="AJ6064">
        <v>96.997810435432797</v>
      </c>
      <c r="AK6064">
        <v>13.583656649741799</v>
      </c>
      <c r="AL6064">
        <v>78.000268610905295</v>
      </c>
      <c r="AM6064">
        <v>93.508248798769898</v>
      </c>
      <c r="AN6064">
        <v>0.99999997538333396</v>
      </c>
    </row>
    <row r="6065" spans="1:40" x14ac:dyDescent="0.25">
      <c r="A6065" t="str">
        <f>"20190312172825680"</f>
        <v>20190312172825680</v>
      </c>
      <c r="B6065" t="str">
        <f>"1552382905675897"</f>
        <v>1552382905675897</v>
      </c>
      <c r="C6065" t="s">
        <v>40</v>
      </c>
      <c r="D6065">
        <v>3.2368730000000001</v>
      </c>
      <c r="E6065">
        <v>0.48169200000000001</v>
      </c>
      <c r="F6065" t="s">
        <v>41</v>
      </c>
      <c r="G6065">
        <v>-189.21430000000001</v>
      </c>
      <c r="H6065" s="1">
        <v>-3.3591420000000001E-6</v>
      </c>
      <c r="I6065">
        <v>-22.86186</v>
      </c>
      <c r="J6065">
        <v>-188.69900000000001</v>
      </c>
      <c r="K6065">
        <v>1.1137570000000001</v>
      </c>
      <c r="L6065">
        <v>-36.563420000000001</v>
      </c>
      <c r="M6065">
        <v>8.3420399999999895E-2</v>
      </c>
      <c r="N6065">
        <v>0</v>
      </c>
      <c r="O6065">
        <v>0.99641199999999996</v>
      </c>
      <c r="P6065">
        <v>2.6706959999999998E-2</v>
      </c>
      <c r="Q6065">
        <v>0.196188</v>
      </c>
      <c r="R6065">
        <v>0.98020249999999998</v>
      </c>
      <c r="S6065">
        <v>-0.1112061</v>
      </c>
      <c r="T6065">
        <v>-0.24845990000000001</v>
      </c>
      <c r="U6065">
        <v>3.1122130000000001</v>
      </c>
      <c r="V6065">
        <v>-5.6978689999999999E-2</v>
      </c>
      <c r="W6065">
        <v>0.20966750000000001</v>
      </c>
      <c r="X6065">
        <v>0.97611119999999996</v>
      </c>
      <c r="Y6065">
        <v>-0.118848</v>
      </c>
      <c r="Z6065">
        <v>-7.8857510000000006E-2</v>
      </c>
      <c r="AA6065">
        <v>0.98977610000000005</v>
      </c>
      <c r="AB6065">
        <v>26</v>
      </c>
      <c r="AC6065">
        <v>-0.51529999999999598</v>
      </c>
      <c r="AD6065">
        <v>-1.11376035914199</v>
      </c>
      <c r="AE6065">
        <v>13.701560000000001</v>
      </c>
      <c r="AF6065">
        <v>-1.6457507408096601</v>
      </c>
      <c r="AG6065">
        <v>-1.11376035914199</v>
      </c>
      <c r="AH6065">
        <v>13.5215827911502</v>
      </c>
      <c r="AI6065">
        <v>94.674429092414201</v>
      </c>
      <c r="AJ6065">
        <v>96.939501170947196</v>
      </c>
      <c r="AK6065">
        <v>13.666826947627699</v>
      </c>
      <c r="AL6065">
        <v>77.897133040643297</v>
      </c>
      <c r="AM6065">
        <v>93.340744392510203</v>
      </c>
      <c r="AN6065">
        <v>1.0000000532179001</v>
      </c>
    </row>
    <row r="6066" spans="1:40" x14ac:dyDescent="0.25">
      <c r="A6066" t="str">
        <f>"20190312172825702"</f>
        <v>20190312172825702</v>
      </c>
      <c r="B6066" t="str">
        <f>"1552382905695417"</f>
        <v>1552382905695417</v>
      </c>
      <c r="C6066" t="s">
        <v>40</v>
      </c>
      <c r="D6066">
        <v>3.2455560000000001</v>
      </c>
      <c r="E6066">
        <v>0.48144369999999997</v>
      </c>
      <c r="F6066" t="s">
        <v>41</v>
      </c>
      <c r="G6066">
        <v>-189.2457</v>
      </c>
      <c r="H6066" s="1">
        <v>-3.6184150000000002E-6</v>
      </c>
      <c r="I6066">
        <v>-22.244499999999999</v>
      </c>
      <c r="J6066">
        <v>-188.68350000000001</v>
      </c>
      <c r="K6066">
        <v>1.1135569999999999</v>
      </c>
      <c r="L6066">
        <v>-36.315460000000002</v>
      </c>
      <c r="M6066">
        <v>7.89078E-2</v>
      </c>
      <c r="N6066">
        <v>0</v>
      </c>
      <c r="O6066">
        <v>0.99678</v>
      </c>
      <c r="P6066">
        <v>2.5413499999999999E-2</v>
      </c>
      <c r="Q6066">
        <v>0.19772629999999999</v>
      </c>
      <c r="R6066">
        <v>0.97992780000000002</v>
      </c>
      <c r="S6066">
        <v>-0.1188202</v>
      </c>
      <c r="T6066">
        <v>-0.2420805</v>
      </c>
      <c r="U6066">
        <v>3.1122740000000002</v>
      </c>
      <c r="V6066">
        <v>-5.3715720000000002E-2</v>
      </c>
      <c r="W6066">
        <v>0.2112319</v>
      </c>
      <c r="X6066">
        <v>0.97595889999999996</v>
      </c>
      <c r="Y6066">
        <v>-0.1167754</v>
      </c>
      <c r="Z6066">
        <v>-7.6892370000000002E-2</v>
      </c>
      <c r="AA6066">
        <v>0.99017730000000004</v>
      </c>
      <c r="AB6066">
        <v>26</v>
      </c>
      <c r="AC6066">
        <v>-0.56219999999999004</v>
      </c>
      <c r="AD6066">
        <v>-1.113560618415</v>
      </c>
      <c r="AE6066">
        <v>14.0709599999999</v>
      </c>
      <c r="AF6066">
        <v>-1.6604849834796001</v>
      </c>
      <c r="AG6066">
        <v>-1.113560618415</v>
      </c>
      <c r="AH6066">
        <v>13.8958198132181</v>
      </c>
      <c r="AI6066">
        <v>94.549456480738598</v>
      </c>
      <c r="AJ6066">
        <v>96.814264322515498</v>
      </c>
      <c r="AK6066">
        <v>14.0389114931561</v>
      </c>
      <c r="AL6066">
        <v>77.805445926904397</v>
      </c>
      <c r="AM6066">
        <v>93.150319097688694</v>
      </c>
      <c r="AN6066">
        <v>1.0000000343209601</v>
      </c>
    </row>
    <row r="6067" spans="1:40" x14ac:dyDescent="0.25">
      <c r="A6067" t="str">
        <f>"20190312172825724"</f>
        <v>20190312172825724</v>
      </c>
      <c r="B6067" t="str">
        <f>"1552382905715914"</f>
        <v>1552382905715914</v>
      </c>
      <c r="C6067" t="s">
        <v>40</v>
      </c>
      <c r="D6067">
        <v>3.5523259999999999</v>
      </c>
      <c r="E6067">
        <v>0.48132180000000002</v>
      </c>
      <c r="F6067" t="s">
        <v>41</v>
      </c>
      <c r="G6067">
        <v>-189.27090000000001</v>
      </c>
      <c r="H6067" s="1">
        <v>-3.8626430000000002E-6</v>
      </c>
      <c r="I6067">
        <v>-21.664770000000001</v>
      </c>
      <c r="J6067">
        <v>-188.66829999999999</v>
      </c>
      <c r="K6067">
        <v>1.113326</v>
      </c>
      <c r="L6067">
        <v>-36.059269999999998</v>
      </c>
      <c r="M6067">
        <v>7.4540149999999999E-2</v>
      </c>
      <c r="N6067">
        <v>0</v>
      </c>
      <c r="O6067">
        <v>0.99711649999999996</v>
      </c>
      <c r="P6067">
        <v>2.4096579999999999E-2</v>
      </c>
      <c r="Q6067">
        <v>0.1984909</v>
      </c>
      <c r="R6067">
        <v>0.97980650000000002</v>
      </c>
      <c r="S6067">
        <v>-0.12478640000000001</v>
      </c>
      <c r="T6067">
        <v>-0.23656740000000001</v>
      </c>
      <c r="U6067">
        <v>3.1124269999999998</v>
      </c>
      <c r="V6067">
        <v>-5.0615109999999998E-2</v>
      </c>
      <c r="W6067">
        <v>0.2120223</v>
      </c>
      <c r="X6067">
        <v>0.97595319999999997</v>
      </c>
      <c r="Y6067">
        <v>-0.1143227</v>
      </c>
      <c r="Z6067">
        <v>-7.5193949999999996E-2</v>
      </c>
      <c r="AA6067">
        <v>0.99059390000000003</v>
      </c>
      <c r="AB6067">
        <v>26</v>
      </c>
      <c r="AC6067">
        <v>-0.60260000000002301</v>
      </c>
      <c r="AD6067">
        <v>-1.1133298626429999</v>
      </c>
      <c r="AE6067">
        <v>14.394499999999899</v>
      </c>
      <c r="AF6067">
        <v>-1.66406285717053</v>
      </c>
      <c r="AG6067">
        <v>-1.1133298626429999</v>
      </c>
      <c r="AH6067">
        <v>14.2245799651424</v>
      </c>
      <c r="AI6067">
        <v>94.445113614026198</v>
      </c>
      <c r="AJ6067">
        <v>96.672420091086906</v>
      </c>
      <c r="AK6067">
        <v>14.364793202841399</v>
      </c>
      <c r="AL6067">
        <v>77.759109387294799</v>
      </c>
      <c r="AM6067">
        <v>92.968827098580206</v>
      </c>
      <c r="AN6067">
        <v>0.99999999682392104</v>
      </c>
    </row>
    <row r="6068" spans="1:40" x14ac:dyDescent="0.25">
      <c r="A6068" t="str">
        <f>"20190312172825752"</f>
        <v>20190312172825752</v>
      </c>
      <c r="B6068" t="str">
        <f>"1552382905745193"</f>
        <v>1552382905745193</v>
      </c>
      <c r="C6068" t="s">
        <v>40</v>
      </c>
      <c r="D6068">
        <v>3.2767010000000001</v>
      </c>
      <c r="E6068">
        <v>0.48131750000000001</v>
      </c>
      <c r="F6068" t="s">
        <v>41</v>
      </c>
      <c r="G6068">
        <v>-189.28020000000001</v>
      </c>
      <c r="H6068" s="1">
        <v>-4.0481320000000003E-6</v>
      </c>
      <c r="I6068">
        <v>-21.228560000000002</v>
      </c>
      <c r="J6068">
        <v>-188.6516</v>
      </c>
      <c r="K6068">
        <v>1.113046</v>
      </c>
      <c r="L6068">
        <v>-35.759950000000003</v>
      </c>
      <c r="M6068">
        <v>6.9858009999999998E-2</v>
      </c>
      <c r="N6068">
        <v>0</v>
      </c>
      <c r="O6068">
        <v>0.99745600000000001</v>
      </c>
      <c r="P6068">
        <v>2.1446469999999999E-2</v>
      </c>
      <c r="Q6068">
        <v>0.19755030000000001</v>
      </c>
      <c r="R6068">
        <v>0.98005810000000004</v>
      </c>
      <c r="S6068">
        <v>-0.12840270000000001</v>
      </c>
      <c r="T6068">
        <v>-0.2336384</v>
      </c>
      <c r="U6068">
        <v>3.1123050000000001</v>
      </c>
      <c r="V6068">
        <v>-4.8526069999999998E-2</v>
      </c>
      <c r="W6068">
        <v>0.21110229999999999</v>
      </c>
      <c r="X6068">
        <v>0.97625870000000003</v>
      </c>
      <c r="Y6068">
        <v>-0.11081149999999999</v>
      </c>
      <c r="Z6068">
        <v>-7.4322289999999999E-2</v>
      </c>
      <c r="AA6068">
        <v>0.99105849999999995</v>
      </c>
      <c r="AB6068">
        <v>26</v>
      </c>
      <c r="AC6068">
        <v>-0.62860000000000504</v>
      </c>
      <c r="AD6068">
        <v>-1.113050048132</v>
      </c>
      <c r="AE6068">
        <v>14.53139</v>
      </c>
      <c r="AF6068">
        <v>-1.63273884193494</v>
      </c>
      <c r="AG6068">
        <v>-1.113050048132</v>
      </c>
      <c r="AH6068">
        <v>14.367826293403899</v>
      </c>
      <c r="AI6068">
        <v>94.401538644421393</v>
      </c>
      <c r="AJ6068">
        <v>96.483196953071101</v>
      </c>
      <c r="AK6068">
        <v>14.5030737753429</v>
      </c>
      <c r="AL6068">
        <v>77.813042404946998</v>
      </c>
      <c r="AM6068">
        <v>92.845611106184904</v>
      </c>
      <c r="AN6068">
        <v>1.0000000049303099</v>
      </c>
    </row>
    <row r="6069" spans="1:40" x14ac:dyDescent="0.25">
      <c r="A6069" t="str">
        <f>"20190312172825774"</f>
        <v>20190312172825774</v>
      </c>
      <c r="B6069" t="str">
        <f>"1552382905765690"</f>
        <v>1552382905765690</v>
      </c>
      <c r="C6069" t="s">
        <v>40</v>
      </c>
      <c r="D6069">
        <v>3.376668</v>
      </c>
      <c r="E6069">
        <v>0.48119020000000001</v>
      </c>
      <c r="F6069" t="s">
        <v>41</v>
      </c>
      <c r="G6069">
        <v>-189.28659999999999</v>
      </c>
      <c r="H6069" s="1">
        <v>-4.0741039999999998E-6</v>
      </c>
      <c r="I6069">
        <v>-21.16535</v>
      </c>
      <c r="J6069">
        <v>-188.63730000000001</v>
      </c>
      <c r="K6069">
        <v>1.1127910000000001</v>
      </c>
      <c r="L6069">
        <v>-35.49286</v>
      </c>
      <c r="M6069">
        <v>6.6073660000000006E-2</v>
      </c>
      <c r="N6069">
        <v>0</v>
      </c>
      <c r="O6069">
        <v>0.9977142</v>
      </c>
      <c r="P6069">
        <v>2.0244140000000001E-2</v>
      </c>
      <c r="Q6069">
        <v>0.19681709999999999</v>
      </c>
      <c r="R6069">
        <v>0.98023119999999997</v>
      </c>
      <c r="S6069">
        <v>-0.13540650000000001</v>
      </c>
      <c r="T6069">
        <v>-0.23732349999999999</v>
      </c>
      <c r="U6069">
        <v>3.111847</v>
      </c>
      <c r="V6069">
        <v>-4.5888949999999998E-2</v>
      </c>
      <c r="W6069">
        <v>0.21039099999999999</v>
      </c>
      <c r="X6069">
        <v>0.97653970000000001</v>
      </c>
      <c r="Y6069">
        <v>-0.1092699</v>
      </c>
      <c r="Z6069">
        <v>-7.5531150000000005E-2</v>
      </c>
      <c r="AA6069">
        <v>0.99113830000000003</v>
      </c>
      <c r="AB6069">
        <v>26</v>
      </c>
      <c r="AC6069">
        <v>-0.649299999999982</v>
      </c>
      <c r="AD6069">
        <v>-1.112795074104</v>
      </c>
      <c r="AE6069">
        <v>14.32751</v>
      </c>
      <c r="AF6069">
        <v>-1.58510448214914</v>
      </c>
      <c r="AG6069">
        <v>-1.112795074104</v>
      </c>
      <c r="AH6069">
        <v>14.1679969351172</v>
      </c>
      <c r="AI6069">
        <v>94.463222398564895</v>
      </c>
      <c r="AJ6069">
        <v>96.383660914626702</v>
      </c>
      <c r="AK6069">
        <v>14.2997554611878</v>
      </c>
      <c r="AL6069">
        <v>77.854732897464203</v>
      </c>
      <c r="AM6069">
        <v>92.690428696220394</v>
      </c>
      <c r="AN6069">
        <v>0.99999997714459599</v>
      </c>
    </row>
    <row r="6070" spans="1:40" x14ac:dyDescent="0.25">
      <c r="A6070" t="str">
        <f>"20190312172825795"</f>
        <v>20190312172825795</v>
      </c>
      <c r="B6070" t="str">
        <f>"1552382905785209"</f>
        <v>1552382905785209</v>
      </c>
      <c r="C6070" t="s">
        <v>40</v>
      </c>
      <c r="D6070">
        <v>3.3301020000000001</v>
      </c>
      <c r="E6070">
        <v>0.48118139999999998</v>
      </c>
      <c r="F6070" t="s">
        <v>41</v>
      </c>
      <c r="G6070">
        <v>-189.28450000000001</v>
      </c>
      <c r="H6070" s="1">
        <v>-4.1244970000000002E-6</v>
      </c>
      <c r="I6070">
        <v>-21.048770000000001</v>
      </c>
      <c r="J6070">
        <v>-188.6251</v>
      </c>
      <c r="K6070">
        <v>1.112582</v>
      </c>
      <c r="L6070">
        <v>-35.251950000000001</v>
      </c>
      <c r="M6070">
        <v>6.2922249999999999E-2</v>
      </c>
      <c r="N6070">
        <v>0</v>
      </c>
      <c r="O6070">
        <v>0.99791819999999998</v>
      </c>
      <c r="P6070">
        <v>1.9601159999999999E-2</v>
      </c>
      <c r="Q6070">
        <v>0.1960875</v>
      </c>
      <c r="R6070">
        <v>0.98039050000000005</v>
      </c>
      <c r="S6070">
        <v>-0.13940429999999901</v>
      </c>
      <c r="T6070">
        <v>-0.2397156</v>
      </c>
      <c r="U6070">
        <v>3.1115110000000001</v>
      </c>
      <c r="V6070">
        <v>-4.3339160000000002E-2</v>
      </c>
      <c r="W6070">
        <v>0.20967920000000001</v>
      </c>
      <c r="X6070">
        <v>0.97680929999999999</v>
      </c>
      <c r="Y6070">
        <v>-0.10740329999999999</v>
      </c>
      <c r="Z6070">
        <v>-7.6325290000000004E-2</v>
      </c>
      <c r="AA6070">
        <v>0.99128150000000004</v>
      </c>
      <c r="AB6070">
        <v>26</v>
      </c>
      <c r="AC6070">
        <v>-0.65940000000000498</v>
      </c>
      <c r="AD6070">
        <v>-1.1125861244969999</v>
      </c>
      <c r="AE6070">
        <v>14.20318</v>
      </c>
      <c r="AF6070">
        <v>-1.54243428845992</v>
      </c>
      <c r="AG6070">
        <v>-1.1125861244969999</v>
      </c>
      <c r="AH6070">
        <v>14.04752237257</v>
      </c>
      <c r="AI6070">
        <v>94.5015214980764</v>
      </c>
      <c r="AJ6070">
        <v>96.266041905608404</v>
      </c>
      <c r="AK6070">
        <v>14.1756776284767</v>
      </c>
      <c r="AL6070">
        <v>77.896447144271704</v>
      </c>
      <c r="AM6070">
        <v>92.540438030308394</v>
      </c>
      <c r="AN6070">
        <v>1.0000000291343101</v>
      </c>
    </row>
    <row r="6071" spans="1:40" x14ac:dyDescent="0.25">
      <c r="A6071" t="str">
        <f>"20190312172825815"</f>
        <v>20190312172825815</v>
      </c>
      <c r="B6071" t="str">
        <f>"1552382905805705"</f>
        <v>1552382905805705</v>
      </c>
      <c r="C6071" t="s">
        <v>40</v>
      </c>
      <c r="D6071">
        <v>3.4099029999999999</v>
      </c>
      <c r="E6071">
        <v>0.4812071</v>
      </c>
      <c r="F6071" t="s">
        <v>41</v>
      </c>
      <c r="G6071">
        <v>-189.26949999999999</v>
      </c>
      <c r="H6071" s="1">
        <v>-4.170917E-6</v>
      </c>
      <c r="I6071">
        <v>-20.946729999999999</v>
      </c>
      <c r="J6071">
        <v>-188.614</v>
      </c>
      <c r="K6071">
        <v>1.11239</v>
      </c>
      <c r="L6071">
        <v>-35.02469</v>
      </c>
      <c r="M6071">
        <v>6.0202980000000003E-2</v>
      </c>
      <c r="N6071">
        <v>0</v>
      </c>
      <c r="O6071">
        <v>0.99808620000000003</v>
      </c>
      <c r="P6071">
        <v>1.914035E-2</v>
      </c>
      <c r="Q6071">
        <v>0.19461300000000001</v>
      </c>
      <c r="R6071">
        <v>0.98069329999999999</v>
      </c>
      <c r="S6071">
        <v>-0.140152</v>
      </c>
      <c r="T6071">
        <v>-0.24197360000000001</v>
      </c>
      <c r="U6071">
        <v>3.1112060000000001</v>
      </c>
      <c r="V6071">
        <v>-4.1044650000000002E-2</v>
      </c>
      <c r="W6071">
        <v>0.2082205</v>
      </c>
      <c r="X6071">
        <v>0.97722030000000004</v>
      </c>
      <c r="Y6071">
        <v>-0.1049336</v>
      </c>
      <c r="Z6071">
        <v>-7.7076770000000003E-2</v>
      </c>
      <c r="AA6071">
        <v>0.99148780000000003</v>
      </c>
      <c r="AB6071">
        <v>26</v>
      </c>
      <c r="AC6071">
        <v>-0.65549999999998898</v>
      </c>
      <c r="AD6071">
        <v>-1.112394170917</v>
      </c>
      <c r="AE6071">
        <v>14.077959999999999</v>
      </c>
      <c r="AF6071">
        <v>-1.4926312095157801</v>
      </c>
      <c r="AG6071">
        <v>-1.112394170917</v>
      </c>
      <c r="AH6071">
        <v>13.926190640638501</v>
      </c>
      <c r="AI6071">
        <v>94.541067585933405</v>
      </c>
      <c r="AJ6071">
        <v>96.117697412743397</v>
      </c>
      <c r="AK6071">
        <v>14.050058878115699</v>
      </c>
      <c r="AL6071">
        <v>77.981910370823599</v>
      </c>
      <c r="AM6071">
        <v>92.405091045925005</v>
      </c>
      <c r="AN6071">
        <v>0.99999997732298096</v>
      </c>
    </row>
    <row r="6072" spans="1:40" x14ac:dyDescent="0.25">
      <c r="A6072" t="str">
        <f>"20190312172825837"</f>
        <v>20190312172825837</v>
      </c>
      <c r="B6072" t="str">
        <f>"1552382905835961"</f>
        <v>1552382905835961</v>
      </c>
      <c r="C6072" t="s">
        <v>40</v>
      </c>
      <c r="D6072">
        <v>3.4578250000000001</v>
      </c>
      <c r="E6072">
        <v>0.48127229999999999</v>
      </c>
      <c r="F6072" t="s">
        <v>41</v>
      </c>
      <c r="G6072">
        <v>-189.24170000000001</v>
      </c>
      <c r="H6072" s="1">
        <v>-4.1370399999999998E-6</v>
      </c>
      <c r="I6072">
        <v>-21.037199999999999</v>
      </c>
      <c r="J6072">
        <v>-188.60169999999999</v>
      </c>
      <c r="K6072">
        <v>1.1121460000000001</v>
      </c>
      <c r="L6072">
        <v>-34.762390000000003</v>
      </c>
      <c r="M6072">
        <v>5.7412699999999997E-2</v>
      </c>
      <c r="N6072">
        <v>0</v>
      </c>
      <c r="O6072">
        <v>0.998251</v>
      </c>
      <c r="P6072">
        <v>1.845809E-2</v>
      </c>
      <c r="Q6072">
        <v>0.19387969999999999</v>
      </c>
      <c r="R6072">
        <v>0.98085169999999999</v>
      </c>
      <c r="S6072">
        <v>-0.1396027</v>
      </c>
      <c r="T6072">
        <v>-0.2474008</v>
      </c>
      <c r="U6072">
        <v>3.1108699999999998</v>
      </c>
      <c r="V6072">
        <v>-3.8873600000000001E-2</v>
      </c>
      <c r="W6072">
        <v>0.2075004</v>
      </c>
      <c r="X6072">
        <v>0.97746219999999995</v>
      </c>
      <c r="Y6072">
        <v>-0.1019771</v>
      </c>
      <c r="Z6072">
        <v>-7.8835240000000001E-2</v>
      </c>
      <c r="AA6072">
        <v>0.99165800000000004</v>
      </c>
      <c r="AB6072">
        <v>26</v>
      </c>
      <c r="AC6072">
        <v>-0.640000000000014</v>
      </c>
      <c r="AD6072">
        <v>-1.11215013703999</v>
      </c>
      <c r="AE6072">
        <v>13.72519</v>
      </c>
      <c r="AF6072">
        <v>-1.4177342377861899</v>
      </c>
      <c r="AG6072">
        <v>-1.11215013703999</v>
      </c>
      <c r="AH6072">
        <v>13.5768484646694</v>
      </c>
      <c r="AI6072">
        <v>94.657725998320501</v>
      </c>
      <c r="AJ6072">
        <v>95.961387622492197</v>
      </c>
      <c r="AK6072">
        <v>13.6958994786361</v>
      </c>
      <c r="AL6072">
        <v>78.024090158921297</v>
      </c>
      <c r="AM6072">
        <v>92.277448748052905</v>
      </c>
      <c r="AN6072">
        <v>0.99999996260297896</v>
      </c>
    </row>
    <row r="6073" spans="1:40" x14ac:dyDescent="0.25">
      <c r="A6073" t="str">
        <f>"20190312172825861"</f>
        <v>20190312172825861</v>
      </c>
      <c r="B6073" t="str">
        <f>"1552382905855482"</f>
        <v>1552382905855482</v>
      </c>
      <c r="C6073" t="s">
        <v>40</v>
      </c>
      <c r="D6073">
        <v>3.3869150000000001</v>
      </c>
      <c r="E6073">
        <v>0.48143449999999999</v>
      </c>
      <c r="F6073" t="s">
        <v>41</v>
      </c>
      <c r="G6073">
        <v>-189.21530000000001</v>
      </c>
      <c r="H6073" s="1">
        <v>-4.1676690000000001E-6</v>
      </c>
      <c r="I6073">
        <v>-20.97673</v>
      </c>
      <c r="J6073">
        <v>-188.5898</v>
      </c>
      <c r="K6073">
        <v>1.1118809999999999</v>
      </c>
      <c r="L6073">
        <v>-34.504489999999997</v>
      </c>
      <c r="M6073">
        <v>5.5041840000000002E-2</v>
      </c>
      <c r="N6073">
        <v>0</v>
      </c>
      <c r="O6073">
        <v>0.99838479999999996</v>
      </c>
      <c r="P6073">
        <v>1.855213E-2</v>
      </c>
      <c r="Q6073">
        <v>0.1940269</v>
      </c>
      <c r="R6073">
        <v>0.98082080000000005</v>
      </c>
      <c r="S6073">
        <v>-0.1384735</v>
      </c>
      <c r="T6073">
        <v>-0.25096010000000002</v>
      </c>
      <c r="U6073">
        <v>3.110779</v>
      </c>
      <c r="V6073">
        <v>-3.6318499999999997E-2</v>
      </c>
      <c r="W6073">
        <v>0.20766090000000001</v>
      </c>
      <c r="X6073">
        <v>0.97752640000000002</v>
      </c>
      <c r="Y6073">
        <v>-9.9252300000000002E-2</v>
      </c>
      <c r="Z6073">
        <v>-7.9992300000000002E-2</v>
      </c>
      <c r="AA6073">
        <v>0.99184190000000005</v>
      </c>
      <c r="AB6073">
        <v>26</v>
      </c>
      <c r="AC6073">
        <v>-0.62550000000001604</v>
      </c>
      <c r="AD6073">
        <v>-1.11188516766899</v>
      </c>
      <c r="AE6073">
        <v>13.527760000000001</v>
      </c>
      <c r="AF6073">
        <v>-1.36004974290389</v>
      </c>
      <c r="AG6073">
        <v>-1.11188516766899</v>
      </c>
      <c r="AH6073">
        <v>13.3826009378222</v>
      </c>
      <c r="AI6073">
        <v>94.725247949243993</v>
      </c>
      <c r="AJ6073">
        <v>95.802943921204999</v>
      </c>
      <c r="AK6073">
        <v>13.4974083360568</v>
      </c>
      <c r="AL6073">
        <v>78.014689541720003</v>
      </c>
      <c r="AM6073">
        <v>92.127758476939306</v>
      </c>
      <c r="AN6073">
        <v>0.99999997276400898</v>
      </c>
    </row>
    <row r="6074" spans="1:40" x14ac:dyDescent="0.25">
      <c r="A6074" t="str">
        <f>"20190312172825882"</f>
        <v>20190312172825882</v>
      </c>
      <c r="B6074" t="str">
        <f>"1552382905875977"</f>
        <v>1552382905875977</v>
      </c>
      <c r="C6074" t="s">
        <v>40</v>
      </c>
      <c r="D6074">
        <v>3.3952680000000002</v>
      </c>
      <c r="E6074">
        <v>0.48157349999999999</v>
      </c>
      <c r="F6074" t="s">
        <v>41</v>
      </c>
      <c r="G6074">
        <v>-189.1857</v>
      </c>
      <c r="H6074" s="1">
        <v>-4.2842899999999999E-6</v>
      </c>
      <c r="I6074">
        <v>-20.717110000000002</v>
      </c>
      <c r="J6074">
        <v>-188.57839999999999</v>
      </c>
      <c r="K6074">
        <v>1.111607</v>
      </c>
      <c r="L6074">
        <v>-34.253390000000003</v>
      </c>
      <c r="M6074">
        <v>5.3105670000000001E-2</v>
      </c>
      <c r="N6074">
        <v>0</v>
      </c>
      <c r="O6074">
        <v>0.99848999999999999</v>
      </c>
      <c r="P6074">
        <v>1.8957020000000002E-2</v>
      </c>
      <c r="Q6074">
        <v>0.19487789999999999</v>
      </c>
      <c r="R6074">
        <v>0.98064430000000002</v>
      </c>
      <c r="S6074">
        <v>-0.13446040000000001</v>
      </c>
      <c r="T6074">
        <v>-0.25087429999999999</v>
      </c>
      <c r="U6074">
        <v>3.11084</v>
      </c>
      <c r="V6074">
        <v>-3.3862570000000002E-2</v>
      </c>
      <c r="W6074">
        <v>0.20852270000000001</v>
      </c>
      <c r="X6074">
        <v>0.9774311</v>
      </c>
      <c r="Y6074">
        <v>-9.6044350000000001E-2</v>
      </c>
      <c r="Z6074">
        <v>-7.9991110000000004E-2</v>
      </c>
      <c r="AA6074">
        <v>0.99215770000000003</v>
      </c>
      <c r="AB6074">
        <v>26</v>
      </c>
      <c r="AC6074">
        <v>-0.60730000000000905</v>
      </c>
      <c r="AD6074">
        <v>-1.1116112842899999</v>
      </c>
      <c r="AE6074">
        <v>13.53628</v>
      </c>
      <c r="AF6074">
        <v>-1.3165066124593601</v>
      </c>
      <c r="AG6074">
        <v>-1.1116112842899999</v>
      </c>
      <c r="AH6074">
        <v>13.394770173804</v>
      </c>
      <c r="AI6074">
        <v>94.721371594766097</v>
      </c>
      <c r="AJ6074">
        <v>95.613294228454393</v>
      </c>
      <c r="AK6074">
        <v>13.5051374416197</v>
      </c>
      <c r="AL6074">
        <v>77.964206934808004</v>
      </c>
      <c r="AM6074">
        <v>91.984187607546801</v>
      </c>
      <c r="AN6074">
        <v>0.99999997265475205</v>
      </c>
    </row>
    <row r="6075" spans="1:40" x14ac:dyDescent="0.25">
      <c r="A6075" t="str">
        <f>"20190312172825904"</f>
        <v>20190312172825904</v>
      </c>
      <c r="B6075" t="str">
        <f>"1552382905895497"</f>
        <v>1552382905895497</v>
      </c>
      <c r="C6075" t="s">
        <v>40</v>
      </c>
      <c r="D6075">
        <v>3.4277310000000001</v>
      </c>
      <c r="E6075">
        <v>0.48173830000000001</v>
      </c>
      <c r="F6075" t="s">
        <v>41</v>
      </c>
      <c r="G6075">
        <v>-189.16409999999999</v>
      </c>
      <c r="H6075" s="1">
        <v>-2.2907009999999999E-7</v>
      </c>
      <c r="I6075">
        <v>-20.332339999999999</v>
      </c>
      <c r="J6075">
        <v>-188.56739999999999</v>
      </c>
      <c r="K6075">
        <v>1.111316</v>
      </c>
      <c r="L6075">
        <v>-34.008969999999998</v>
      </c>
      <c r="M6075">
        <v>5.1601349999999997E-2</v>
      </c>
      <c r="N6075">
        <v>0</v>
      </c>
      <c r="O6075">
        <v>0.99856909999999999</v>
      </c>
      <c r="P6075">
        <v>1.9633999999999999E-2</v>
      </c>
      <c r="Q6075">
        <v>0.19723309999999999</v>
      </c>
      <c r="R6075">
        <v>0.98016000000000003</v>
      </c>
      <c r="S6075">
        <v>-0.130889899999999</v>
      </c>
      <c r="T6075">
        <v>-0.24842500000000001</v>
      </c>
      <c r="U6075">
        <v>3.1111149999999999</v>
      </c>
      <c r="V6075">
        <v>-3.1539989999999997E-2</v>
      </c>
      <c r="W6075">
        <v>0.21088419999999999</v>
      </c>
      <c r="X6075">
        <v>0.97700209999999998</v>
      </c>
      <c r="Y6075">
        <v>-9.3406649999999994E-2</v>
      </c>
      <c r="Z6075">
        <v>-7.9229499999999994E-2</v>
      </c>
      <c r="AA6075">
        <v>0.99247059999999998</v>
      </c>
      <c r="AB6075">
        <v>26</v>
      </c>
      <c r="AC6075">
        <v>-0.59669999999999801</v>
      </c>
      <c r="AD6075">
        <v>-1.1113162290701</v>
      </c>
      <c r="AE6075">
        <v>13.676629999999999</v>
      </c>
      <c r="AF6075">
        <v>-1.2931848106524699</v>
      </c>
      <c r="AG6075">
        <v>-1.1113162290701</v>
      </c>
      <c r="AH6075">
        <v>13.538393129372199</v>
      </c>
      <c r="AI6075">
        <v>94.671507494374794</v>
      </c>
      <c r="AJ6075">
        <v>95.456327882653895</v>
      </c>
      <c r="AK6075">
        <v>13.6453449659922</v>
      </c>
      <c r="AL6075">
        <v>77.825826477995705</v>
      </c>
      <c r="AM6075">
        <v>91.849004155781898</v>
      </c>
      <c r="AN6075">
        <v>1.00000001009162</v>
      </c>
    </row>
    <row r="6076" spans="1:40" x14ac:dyDescent="0.25">
      <c r="A6076" t="str">
        <f>"20190312172825926"</f>
        <v>20190312172825926</v>
      </c>
      <c r="B6076" t="str">
        <f>"1552382905915993"</f>
        <v>1552382905915993</v>
      </c>
      <c r="C6076" t="s">
        <v>40</v>
      </c>
      <c r="D6076">
        <v>3.4843670000000002</v>
      </c>
      <c r="E6076">
        <v>0.48180479999999998</v>
      </c>
      <c r="F6076" t="s">
        <v>41</v>
      </c>
      <c r="G6076">
        <v>-189.14940000000001</v>
      </c>
      <c r="H6076" s="1">
        <v>-4.587777E-7</v>
      </c>
      <c r="I6076">
        <v>-19.66883</v>
      </c>
      <c r="J6076">
        <v>-188.55549999999999</v>
      </c>
      <c r="K6076">
        <v>1.111003</v>
      </c>
      <c r="L6076">
        <v>-33.747959999999999</v>
      </c>
      <c r="M6076">
        <v>5.0428800000000003E-2</v>
      </c>
      <c r="N6076">
        <v>0</v>
      </c>
      <c r="O6076">
        <v>0.99862930000000005</v>
      </c>
      <c r="P6076">
        <v>2.0284509999999999E-2</v>
      </c>
      <c r="Q6076">
        <v>0.19897219999999999</v>
      </c>
      <c r="R6076">
        <v>0.97979519999999998</v>
      </c>
      <c r="S6076">
        <v>-0.12629699999999999</v>
      </c>
      <c r="T6076">
        <v>-0.2411537</v>
      </c>
      <c r="U6076">
        <v>3.1117859999999999</v>
      </c>
      <c r="V6076">
        <v>-2.9555990000000001E-2</v>
      </c>
      <c r="W6076">
        <v>0.21262990000000001</v>
      </c>
      <c r="X6076">
        <v>0.97668569999999999</v>
      </c>
      <c r="Y6076">
        <v>-9.0773320000000005E-2</v>
      </c>
      <c r="Z6076">
        <v>-7.6926729999999999E-2</v>
      </c>
      <c r="AA6076">
        <v>0.992896</v>
      </c>
      <c r="AB6076">
        <v>26</v>
      </c>
      <c r="AC6076">
        <v>-0.59390000000001897</v>
      </c>
      <c r="AD6076">
        <v>-1.1110034587777</v>
      </c>
      <c r="AE6076">
        <v>14.079129999999999</v>
      </c>
      <c r="AF6076">
        <v>-1.2951569678097801</v>
      </c>
      <c r="AG6076">
        <v>-1.1110034587777</v>
      </c>
      <c r="AH6076">
        <v>13.9445816746797</v>
      </c>
      <c r="AI6076">
        <v>94.535850926215701</v>
      </c>
      <c r="AJ6076">
        <v>95.3063437506718</v>
      </c>
      <c r="AK6076">
        <v>14.048598447478501</v>
      </c>
      <c r="AL6076">
        <v>77.7234841374448</v>
      </c>
      <c r="AM6076">
        <v>91.733328177448399</v>
      </c>
      <c r="AN6076">
        <v>0.99999999375169002</v>
      </c>
    </row>
    <row r="6077" spans="1:40" x14ac:dyDescent="0.25">
      <c r="A6077" t="str">
        <f>"20190312172825954"</f>
        <v>20190312172825954</v>
      </c>
      <c r="B6077" t="str">
        <f>"1552382905945273"</f>
        <v>1552382905945273</v>
      </c>
      <c r="C6077" t="s">
        <v>40</v>
      </c>
      <c r="D6077">
        <v>3.5384069999999999</v>
      </c>
      <c r="E6077">
        <v>0.48195559999999998</v>
      </c>
      <c r="F6077" t="s">
        <v>41</v>
      </c>
      <c r="G6077">
        <v>-189.1285</v>
      </c>
      <c r="H6077" s="1">
        <v>-6.8667709999999997E-7</v>
      </c>
      <c r="I6077">
        <v>-19.126899999999999</v>
      </c>
      <c r="J6077">
        <v>-188.54179999999999</v>
      </c>
      <c r="K6077">
        <v>1.110649</v>
      </c>
      <c r="L6077">
        <v>-33.453740000000003</v>
      </c>
      <c r="M6077">
        <v>4.972741E-2</v>
      </c>
      <c r="N6077">
        <v>0</v>
      </c>
      <c r="O6077">
        <v>0.99866469999999896</v>
      </c>
      <c r="P6077">
        <v>2.0712700000000001E-2</v>
      </c>
      <c r="Q6077">
        <v>0.2009224</v>
      </c>
      <c r="R6077">
        <v>0.97938820000000004</v>
      </c>
      <c r="S6077">
        <v>-0.1219788</v>
      </c>
      <c r="T6077">
        <v>-0.2365025</v>
      </c>
      <c r="U6077">
        <v>3.1124269999999998</v>
      </c>
      <c r="V6077">
        <v>-2.8230729999999999E-2</v>
      </c>
      <c r="W6077">
        <v>0.214586</v>
      </c>
      <c r="X6077">
        <v>0.97629699999999997</v>
      </c>
      <c r="Y6077">
        <v>-8.8694449999999994E-2</v>
      </c>
      <c r="Z6077">
        <v>-7.5449349999999998E-2</v>
      </c>
      <c r="AA6077">
        <v>0.9931972</v>
      </c>
      <c r="AB6077">
        <v>26</v>
      </c>
      <c r="AC6077">
        <v>-0.58670000000000699</v>
      </c>
      <c r="AD6077">
        <v>-1.1106496866771001</v>
      </c>
      <c r="AE6077">
        <v>14.326840000000001</v>
      </c>
      <c r="AF6077">
        <v>-1.2907365214805699</v>
      </c>
      <c r="AG6077">
        <v>-1.1106496866771001</v>
      </c>
      <c r="AH6077">
        <v>14.1947702069999</v>
      </c>
      <c r="AI6077">
        <v>94.455604275481207</v>
      </c>
      <c r="AJ6077">
        <v>95.195641374715905</v>
      </c>
      <c r="AK6077">
        <v>14.2965396066297</v>
      </c>
      <c r="AL6077">
        <v>77.608759757970901</v>
      </c>
      <c r="AM6077">
        <v>91.656310617533606</v>
      </c>
      <c r="AN6077">
        <v>0.99999997886066605</v>
      </c>
    </row>
    <row r="6078" spans="1:40" x14ac:dyDescent="0.25">
      <c r="A6078" t="str">
        <f>"20190312172825976"</f>
        <v>20190312172825976</v>
      </c>
      <c r="B6078" t="str">
        <f>"1552382905965769"</f>
        <v>1552382905965769</v>
      </c>
      <c r="C6078" t="s">
        <v>40</v>
      </c>
      <c r="D6078">
        <v>3.4562810000000002</v>
      </c>
      <c r="E6078">
        <v>0.48214309999999999</v>
      </c>
      <c r="F6078" t="s">
        <v>41</v>
      </c>
      <c r="G6078">
        <v>-189.10140000000001</v>
      </c>
      <c r="H6078" s="1">
        <v>-9.430833E-7</v>
      </c>
      <c r="I6078">
        <v>-18.540420000000001</v>
      </c>
      <c r="J6078">
        <v>-188.5291</v>
      </c>
      <c r="K6078">
        <v>1.110349</v>
      </c>
      <c r="L6078">
        <v>-33.188389999999998</v>
      </c>
      <c r="M6078">
        <v>4.9558430000000001E-2</v>
      </c>
      <c r="N6078">
        <v>0</v>
      </c>
      <c r="O6078">
        <v>0.99867329999999999</v>
      </c>
      <c r="P6078">
        <v>2.2864550000000001E-2</v>
      </c>
      <c r="Q6078">
        <v>0.20239969999999999</v>
      </c>
      <c r="R6078">
        <v>0.97903600000000002</v>
      </c>
      <c r="S6078">
        <v>-0.1168213</v>
      </c>
      <c r="T6078">
        <v>-0.23185069999999999</v>
      </c>
      <c r="U6078">
        <v>3.1131899999999999</v>
      </c>
      <c r="V6078">
        <v>-2.573887E-2</v>
      </c>
      <c r="W6078">
        <v>0.2160686</v>
      </c>
      <c r="X6078">
        <v>0.97603890000000004</v>
      </c>
      <c r="Y6078">
        <v>-8.6877469999999998E-2</v>
      </c>
      <c r="Z6078">
        <v>-7.3964810000000006E-2</v>
      </c>
      <c r="AA6078">
        <v>0.99346939999999995</v>
      </c>
      <c r="AB6078">
        <v>26</v>
      </c>
      <c r="AC6078">
        <v>-0.57230000000001202</v>
      </c>
      <c r="AD6078">
        <v>-1.1103499430832999</v>
      </c>
      <c r="AE6078">
        <v>14.647970000000001</v>
      </c>
      <c r="AF6078">
        <v>-1.29019588462373</v>
      </c>
      <c r="AG6078">
        <v>-1.1103499430832999</v>
      </c>
      <c r="AH6078">
        <v>14.5183074679606</v>
      </c>
      <c r="AI6078">
        <v>94.356325999503298</v>
      </c>
      <c r="AJ6078">
        <v>95.078353582707294</v>
      </c>
      <c r="AK6078">
        <v>14.617754073422001</v>
      </c>
      <c r="AL6078">
        <v>77.5217731422713</v>
      </c>
      <c r="AM6078">
        <v>91.510582122317302</v>
      </c>
      <c r="AN6078">
        <v>1.0000000318240201</v>
      </c>
    </row>
    <row r="6079" spans="1:40" x14ac:dyDescent="0.25">
      <c r="A6079" t="str">
        <f>"20190312172825999"</f>
        <v>20190312172825999</v>
      </c>
      <c r="B6079" t="str">
        <f>"1552382905996025"</f>
        <v>1552382905996025</v>
      </c>
      <c r="C6079" t="s">
        <v>40</v>
      </c>
      <c r="D6079">
        <v>3.5227059999999999</v>
      </c>
      <c r="E6079">
        <v>0.48239670000000001</v>
      </c>
      <c r="F6079" t="s">
        <v>41</v>
      </c>
      <c r="G6079">
        <v>-189.05170000000001</v>
      </c>
      <c r="H6079" s="1">
        <v>-1.168719E-6</v>
      </c>
      <c r="I6079">
        <v>-18.035019999999999</v>
      </c>
      <c r="J6079">
        <v>-188.51599999999999</v>
      </c>
      <c r="K6079">
        <v>1.110096</v>
      </c>
      <c r="L6079">
        <v>-32.924709999999997</v>
      </c>
      <c r="M6079">
        <v>4.9752980000000002E-2</v>
      </c>
      <c r="N6079">
        <v>0</v>
      </c>
      <c r="O6079">
        <v>0.99866370000000004</v>
      </c>
      <c r="P6079">
        <v>2.5129840000000001E-2</v>
      </c>
      <c r="Q6079">
        <v>0.20288690000000001</v>
      </c>
      <c r="R6079">
        <v>0.97887970000000002</v>
      </c>
      <c r="S6079">
        <v>-0.1073914</v>
      </c>
      <c r="T6079">
        <v>-0.22817000000000001</v>
      </c>
      <c r="U6079">
        <v>3.1139220000000001</v>
      </c>
      <c r="V6079">
        <v>-2.3525480000000001E-2</v>
      </c>
      <c r="W6079">
        <v>0.2165588</v>
      </c>
      <c r="X6079">
        <v>0.97598609999999997</v>
      </c>
      <c r="Y6079">
        <v>-8.4060800000000005E-2</v>
      </c>
      <c r="Z6079">
        <v>-7.2791610000000007E-2</v>
      </c>
      <c r="AA6079">
        <v>0.99379839999999997</v>
      </c>
      <c r="AB6079">
        <v>26</v>
      </c>
      <c r="AC6079">
        <v>-0.53570000000001905</v>
      </c>
      <c r="AD6079">
        <v>-1.110097168719</v>
      </c>
      <c r="AE6079">
        <v>14.8896899999999</v>
      </c>
      <c r="AF6079">
        <v>-1.2688714990561301</v>
      </c>
      <c r="AG6079">
        <v>-1.110097168719</v>
      </c>
      <c r="AH6079">
        <v>14.762640285246199</v>
      </c>
      <c r="AI6079">
        <v>94.284603870633703</v>
      </c>
      <c r="AJ6079">
        <v>94.912586059940693</v>
      </c>
      <c r="AK6079">
        <v>14.858596797702299</v>
      </c>
      <c r="AL6079">
        <v>77.493005432850097</v>
      </c>
      <c r="AM6079">
        <v>91.380808345983894</v>
      </c>
      <c r="AN6079">
        <v>1.0000000147299399</v>
      </c>
    </row>
    <row r="6080" spans="1:40" x14ac:dyDescent="0.25">
      <c r="A6080" t="str">
        <f>"20190312172826039"</f>
        <v>20190312172826039</v>
      </c>
      <c r="B6080" t="str">
        <f>"1552382906036041"</f>
        <v>1552382906036041</v>
      </c>
      <c r="C6080" t="s">
        <v>40</v>
      </c>
      <c r="D6080">
        <v>3.5595439999999998</v>
      </c>
      <c r="E6080">
        <v>0.51564019999999999</v>
      </c>
      <c r="F6080" t="s">
        <v>41</v>
      </c>
      <c r="G6080">
        <v>-188.99760000000001</v>
      </c>
      <c r="H6080" s="1">
        <v>-1.30170899999999E-6</v>
      </c>
      <c r="I6080">
        <v>-17.74737</v>
      </c>
      <c r="J6080">
        <v>-188.49260000000001</v>
      </c>
      <c r="K6080">
        <v>1.1096969999999999</v>
      </c>
      <c r="L6080">
        <v>-32.47372</v>
      </c>
      <c r="M6080">
        <v>5.094866E-2</v>
      </c>
      <c r="N6080">
        <v>0</v>
      </c>
      <c r="O6080">
        <v>0.99860369999999998</v>
      </c>
      <c r="P6080">
        <v>3.0873370000000001E-2</v>
      </c>
      <c r="Q6080">
        <v>0.20002400000000001</v>
      </c>
      <c r="R6080">
        <v>0.97930450000000002</v>
      </c>
      <c r="S6080">
        <v>-9.8831180000000005E-2</v>
      </c>
      <c r="T6080">
        <v>-0.2277979</v>
      </c>
      <c r="U6080">
        <v>3.114471</v>
      </c>
      <c r="V6080">
        <v>-1.877966E-2</v>
      </c>
      <c r="W6080">
        <v>0.21370520000000001</v>
      </c>
      <c r="X6080">
        <v>0.97671770000000002</v>
      </c>
      <c r="Y6080">
        <v>-8.2519529999999994E-2</v>
      </c>
      <c r="Z6080">
        <v>-7.2662169999999998E-2</v>
      </c>
      <c r="AA6080">
        <v>0.99393699999999996</v>
      </c>
      <c r="AB6080">
        <v>25</v>
      </c>
      <c r="AC6080">
        <v>-0.50499999999999501</v>
      </c>
      <c r="AD6080">
        <v>-1.1096983017090001</v>
      </c>
      <c r="AE6080">
        <v>14.72635</v>
      </c>
      <c r="AF6080">
        <v>-1.24762882455643</v>
      </c>
      <c r="AG6080">
        <v>-1.1096983017090001</v>
      </c>
      <c r="AH6080">
        <v>14.5986905706815</v>
      </c>
      <c r="AI6080">
        <v>94.331168675249202</v>
      </c>
      <c r="AJ6080">
        <v>94.884725251767506</v>
      </c>
      <c r="AK6080">
        <v>14.693868598268599</v>
      </c>
      <c r="AL6080">
        <v>77.660425014200797</v>
      </c>
      <c r="AM6080">
        <v>91.101508340957807</v>
      </c>
      <c r="AN6080">
        <v>1.00000002681502</v>
      </c>
    </row>
    <row r="6081" spans="1:40" x14ac:dyDescent="0.25">
      <c r="A6081" t="str">
        <f>"20190312172826061"</f>
        <v>20190312172826061</v>
      </c>
      <c r="B6081" t="str">
        <f>"1552382906055561"</f>
        <v>1552382906055561</v>
      </c>
      <c r="C6081" t="s">
        <v>40</v>
      </c>
      <c r="D6081">
        <v>3.565788</v>
      </c>
      <c r="E6081">
        <v>0.51642189999999999</v>
      </c>
      <c r="F6081" t="s">
        <v>44</v>
      </c>
      <c r="G6081">
        <v>-188.44560000000001</v>
      </c>
      <c r="H6081">
        <v>1.0124200000000001</v>
      </c>
      <c r="I6081">
        <v>-31.65645</v>
      </c>
      <c r="J6081">
        <v>-188.47900000000001</v>
      </c>
      <c r="K6081">
        <v>1.109477</v>
      </c>
      <c r="L6081">
        <v>-32.225250000000003</v>
      </c>
      <c r="M6081">
        <v>5.2017889999999997E-2</v>
      </c>
      <c r="N6081">
        <v>0</v>
      </c>
      <c r="O6081">
        <v>0.99854869999999996</v>
      </c>
      <c r="P6081">
        <v>3.553046E-2</v>
      </c>
      <c r="Q6081">
        <v>0.19874710000000001</v>
      </c>
      <c r="R6081">
        <v>0.97940649999999996</v>
      </c>
      <c r="S6081">
        <v>0.1800995</v>
      </c>
      <c r="T6081">
        <v>-0.3729806</v>
      </c>
      <c r="U6081">
        <v>3.1339109999999999</v>
      </c>
      <c r="V6081">
        <v>-1.507471E-2</v>
      </c>
      <c r="W6081">
        <v>0.2124296</v>
      </c>
      <c r="X6081">
        <v>0.97706009999999999</v>
      </c>
      <c r="Y6081">
        <v>4.9580290000000001E-3</v>
      </c>
      <c r="Z6081">
        <v>-0.11784500000000001</v>
      </c>
      <c r="AA6081">
        <v>0.9930196</v>
      </c>
      <c r="AB6081">
        <v>25</v>
      </c>
      <c r="AC6081">
        <v>3.3400000000000298E-2</v>
      </c>
      <c r="AD6081">
        <v>-9.7056999999999893E-2</v>
      </c>
      <c r="AE6081">
        <v>0.56880000000000297</v>
      </c>
      <c r="AF6081">
        <v>3.6579767073171999E-3</v>
      </c>
      <c r="AG6081">
        <v>-9.7056999999999893E-2</v>
      </c>
      <c r="AH6081">
        <v>0.55370107975066696</v>
      </c>
      <c r="AI6081">
        <v>99.942027400947296</v>
      </c>
      <c r="AJ6081">
        <v>89.621486058961295</v>
      </c>
      <c r="AK6081">
        <v>0.56215507447646995</v>
      </c>
      <c r="AL6081">
        <v>77.735229001262994</v>
      </c>
      <c r="AM6081">
        <v>90.883925908168095</v>
      </c>
      <c r="AN6081">
        <v>1.0000000104248701</v>
      </c>
    </row>
    <row r="6082" spans="1:40" x14ac:dyDescent="0.25">
      <c r="A6082" t="str">
        <f>"20190312172826083"</f>
        <v>20190312172826083</v>
      </c>
      <c r="B6082" t="str">
        <f>"1552382906076057"</f>
        <v>1552382906076057</v>
      </c>
      <c r="C6082" t="s">
        <v>40</v>
      </c>
      <c r="D6082">
        <v>3.548073</v>
      </c>
      <c r="E6082">
        <v>0.51660280000000003</v>
      </c>
      <c r="F6082" t="s">
        <v>44</v>
      </c>
      <c r="G6082">
        <v>-188.42779999999999</v>
      </c>
      <c r="H6082">
        <v>1.0128299999999999</v>
      </c>
      <c r="I6082">
        <v>-31.4297</v>
      </c>
      <c r="J6082">
        <v>-188.4639</v>
      </c>
      <c r="K6082">
        <v>1.1092489999999999</v>
      </c>
      <c r="L6082">
        <v>-31.961819999999999</v>
      </c>
      <c r="M6082">
        <v>5.3412250000000001E-2</v>
      </c>
      <c r="N6082">
        <v>0</v>
      </c>
      <c r="O6082">
        <v>0.99847509999999995</v>
      </c>
      <c r="P6082">
        <v>4.0781949999999997E-2</v>
      </c>
      <c r="Q6082">
        <v>0.19796330000000001</v>
      </c>
      <c r="R6082">
        <v>0.97936069999999997</v>
      </c>
      <c r="S6082">
        <v>0.2010498</v>
      </c>
      <c r="T6082">
        <v>-0.38049189999999999</v>
      </c>
      <c r="U6082">
        <v>3.1329959999999999</v>
      </c>
      <c r="V6082">
        <v>-1.108517E-2</v>
      </c>
      <c r="W6082">
        <v>0.21164250000000001</v>
      </c>
      <c r="X6082">
        <v>0.97728429999999999</v>
      </c>
      <c r="Y6082">
        <v>1.0175989999999999E-2</v>
      </c>
      <c r="Z6082">
        <v>-0.1201792</v>
      </c>
      <c r="AA6082">
        <v>0.99270000000000003</v>
      </c>
      <c r="AB6082">
        <v>25</v>
      </c>
      <c r="AC6082">
        <v>3.6100000000004601E-2</v>
      </c>
      <c r="AD6082">
        <v>-9.6419000000000005E-2</v>
      </c>
      <c r="AE6082">
        <v>0.53211999999999804</v>
      </c>
      <c r="AF6082">
        <v>7.3826838631724798E-3</v>
      </c>
      <c r="AG6082">
        <v>-9.6419000000000005E-2</v>
      </c>
      <c r="AH6082">
        <v>0.51641117156750704</v>
      </c>
      <c r="AI6082">
        <v>100.57485248729699</v>
      </c>
      <c r="AJ6082">
        <v>89.180947592957807</v>
      </c>
      <c r="AK6082">
        <v>0.52538711984759301</v>
      </c>
      <c r="AL6082">
        <v>77.781375871456802</v>
      </c>
      <c r="AM6082">
        <v>90.649868436004795</v>
      </c>
      <c r="AN6082">
        <v>1.00000001591333</v>
      </c>
    </row>
    <row r="6083" spans="1:40" x14ac:dyDescent="0.25">
      <c r="A6083" t="str">
        <f>"20190312172826105"</f>
        <v>20190312172826105</v>
      </c>
      <c r="B6083" t="str">
        <f>"1552382906095578"</f>
        <v>1552382906095578</v>
      </c>
      <c r="C6083" t="s">
        <v>40</v>
      </c>
      <c r="D6083">
        <v>3.5529069999999998</v>
      </c>
      <c r="E6083">
        <v>0.51650980000000002</v>
      </c>
      <c r="F6083" t="s">
        <v>44</v>
      </c>
      <c r="G6083">
        <v>-188.41079999999999</v>
      </c>
      <c r="H6083">
        <v>1.0155209999999999</v>
      </c>
      <c r="I6083">
        <v>-31.201969999999999</v>
      </c>
      <c r="J6083">
        <v>-188.4495</v>
      </c>
      <c r="K6083">
        <v>1.1090580000000001</v>
      </c>
      <c r="L6083">
        <v>-31.721620000000001</v>
      </c>
      <c r="M6083">
        <v>5.4934110000000001E-2</v>
      </c>
      <c r="N6083">
        <v>0</v>
      </c>
      <c r="O6083">
        <v>0.99839259999999996</v>
      </c>
      <c r="P6083">
        <v>4.5693259999999999E-2</v>
      </c>
      <c r="Q6083">
        <v>0.19729289999999999</v>
      </c>
      <c r="R6083">
        <v>0.97927920000000002</v>
      </c>
      <c r="S6083">
        <v>0.21879580000000001</v>
      </c>
      <c r="T6083">
        <v>-0.38640000000000002</v>
      </c>
      <c r="U6083">
        <v>3.1322329999999998</v>
      </c>
      <c r="V6083">
        <v>-7.5744280000000002E-3</v>
      </c>
      <c r="W6083">
        <v>0.21096619999999999</v>
      </c>
      <c r="X6083">
        <v>0.977464</v>
      </c>
      <c r="Y6083">
        <v>1.425068E-2</v>
      </c>
      <c r="Z6083">
        <v>-0.12200610000000001</v>
      </c>
      <c r="AA6083">
        <v>0.99242710000000001</v>
      </c>
      <c r="AB6083">
        <v>25</v>
      </c>
      <c r="AC6083">
        <v>3.8700000000005702E-2</v>
      </c>
      <c r="AD6083">
        <v>-9.3537000000000203E-2</v>
      </c>
      <c r="AE6083">
        <v>0.51964999999999795</v>
      </c>
      <c r="AF6083">
        <v>9.77722969922111E-3</v>
      </c>
      <c r="AG6083">
        <v>-9.3537000000000203E-2</v>
      </c>
      <c r="AH6083">
        <v>0.50472832413585</v>
      </c>
      <c r="AI6083">
        <v>100.497101490346</v>
      </c>
      <c r="AJ6083">
        <v>88.890246661693396</v>
      </c>
      <c r="AK6083">
        <v>0.51341547091471196</v>
      </c>
      <c r="AL6083">
        <v>77.821019847497794</v>
      </c>
      <c r="AM6083">
        <v>90.443979594489306</v>
      </c>
      <c r="AN6083">
        <v>0.99999999039898302</v>
      </c>
    </row>
    <row r="6084" spans="1:40" x14ac:dyDescent="0.25">
      <c r="A6084" t="str">
        <f>"20190312172826127"</f>
        <v>20190312172826127</v>
      </c>
      <c r="B6084" t="str">
        <f>"1552382906116073"</f>
        <v>1552382906116073</v>
      </c>
      <c r="C6084" t="s">
        <v>40</v>
      </c>
      <c r="D6084">
        <v>3.5256789999999998</v>
      </c>
      <c r="E6084">
        <v>0.51668389999999997</v>
      </c>
      <c r="F6084" t="s">
        <v>44</v>
      </c>
      <c r="G6084">
        <v>-188.3938</v>
      </c>
      <c r="H6084">
        <v>1.0160579999999999</v>
      </c>
      <c r="I6084">
        <v>-30.975449999999999</v>
      </c>
      <c r="J6084">
        <v>-188.43360000000001</v>
      </c>
      <c r="K6084">
        <v>1.1088709999999999</v>
      </c>
      <c r="L6084">
        <v>-31.468319999999999</v>
      </c>
      <c r="M6084">
        <v>5.6780440000000001E-2</v>
      </c>
      <c r="N6084">
        <v>0</v>
      </c>
      <c r="O6084">
        <v>0.99828930000000005</v>
      </c>
      <c r="P6084">
        <v>5.1381919999999998E-2</v>
      </c>
      <c r="Q6084">
        <v>0.1976851</v>
      </c>
      <c r="R6084">
        <v>0.97891799999999995</v>
      </c>
      <c r="S6084">
        <v>0.23329159999999999</v>
      </c>
      <c r="T6084">
        <v>-0.39011970000000001</v>
      </c>
      <c r="U6084">
        <v>3.131195</v>
      </c>
      <c r="V6084">
        <v>-3.5927239999999998E-3</v>
      </c>
      <c r="W6084">
        <v>0.21134610000000001</v>
      </c>
      <c r="X6084">
        <v>0.97740470000000002</v>
      </c>
      <c r="Y6084">
        <v>1.6984229999999999E-2</v>
      </c>
      <c r="Z6084">
        <v>-0.1231611</v>
      </c>
      <c r="AA6084">
        <v>0.99224129999999999</v>
      </c>
      <c r="AB6084">
        <v>25</v>
      </c>
      <c r="AC6084">
        <v>3.9800000000013797E-2</v>
      </c>
      <c r="AD6084">
        <v>-9.2813000000000007E-2</v>
      </c>
      <c r="AE6084">
        <v>0.49287000000000297</v>
      </c>
      <c r="AF6084">
        <v>1.13478790853634E-2</v>
      </c>
      <c r="AG6084">
        <v>-9.2813000000000007E-2</v>
      </c>
      <c r="AH6084">
        <v>0.47751137242492397</v>
      </c>
      <c r="AI6084">
        <v>100.99629948425201</v>
      </c>
      <c r="AJ6084">
        <v>88.638643479575805</v>
      </c>
      <c r="AK6084">
        <v>0.48658004287462397</v>
      </c>
      <c r="AL6084">
        <v>77.798751371772894</v>
      </c>
      <c r="AM6084">
        <v>90.210605693903602</v>
      </c>
      <c r="AN6084">
        <v>1.00000001461652</v>
      </c>
    </row>
    <row r="6085" spans="1:40" x14ac:dyDescent="0.25">
      <c r="A6085" t="str">
        <f>"20190312172826153"</f>
        <v>20190312172826153</v>
      </c>
      <c r="B6085" t="str">
        <f>"1552382906145353"</f>
        <v>1552382906145353</v>
      </c>
      <c r="C6085" t="s">
        <v>40</v>
      </c>
      <c r="D6085">
        <v>3.6141160000000001</v>
      </c>
      <c r="E6085">
        <v>0.51643289999999997</v>
      </c>
      <c r="F6085" t="s">
        <v>44</v>
      </c>
      <c r="G6085">
        <v>-188.37549999999999</v>
      </c>
      <c r="H6085">
        <v>1.019034</v>
      </c>
      <c r="I6085">
        <v>-30.748059999999999</v>
      </c>
      <c r="J6085">
        <v>-188.4153</v>
      </c>
      <c r="K6085">
        <v>1.108717</v>
      </c>
      <c r="L6085">
        <v>-31.191220000000001</v>
      </c>
      <c r="M6085">
        <v>5.9065220000000002E-2</v>
      </c>
      <c r="N6085">
        <v>0</v>
      </c>
      <c r="O6085">
        <v>0.99815679999999996</v>
      </c>
      <c r="P6085">
        <v>5.7088989999999999E-2</v>
      </c>
      <c r="Q6085">
        <v>0.1981185</v>
      </c>
      <c r="R6085">
        <v>0.97851410000000005</v>
      </c>
      <c r="S6085">
        <v>0.25187680000000001</v>
      </c>
      <c r="T6085">
        <v>-0.39029350000000002</v>
      </c>
      <c r="U6085">
        <v>3.130188</v>
      </c>
      <c r="V6085" s="1">
        <v>-3.3780469999999997E-5</v>
      </c>
      <c r="W6085">
        <v>0.21176510000000001</v>
      </c>
      <c r="X6085">
        <v>0.97732059999999998</v>
      </c>
      <c r="Y6085">
        <v>2.0575010000000001E-2</v>
      </c>
      <c r="Z6085">
        <v>-0.1231978</v>
      </c>
      <c r="AA6085">
        <v>0.99216879999999996</v>
      </c>
      <c r="AB6085">
        <v>25</v>
      </c>
      <c r="AC6085">
        <v>3.9800000000013797E-2</v>
      </c>
      <c r="AD6085">
        <v>-8.9682999999999902E-2</v>
      </c>
      <c r="AE6085">
        <v>0.443160000000002</v>
      </c>
      <c r="AF6085">
        <v>1.30235136174428E-2</v>
      </c>
      <c r="AG6085">
        <v>-8.9682999999999902E-2</v>
      </c>
      <c r="AH6085">
        <v>0.42737441055189002</v>
      </c>
      <c r="AI6085">
        <v>101.84600883583001</v>
      </c>
      <c r="AJ6085">
        <v>88.254548007930495</v>
      </c>
      <c r="AK6085">
        <v>0.436877029827066</v>
      </c>
      <c r="AL6085">
        <v>77.774188387855901</v>
      </c>
      <c r="AM6085">
        <v>90.0019803924732</v>
      </c>
      <c r="AN6085">
        <v>1.0000000069517401</v>
      </c>
    </row>
    <row r="6086" spans="1:40" x14ac:dyDescent="0.25">
      <c r="A6086" t="str">
        <f>"20190312172826174"</f>
        <v>20190312172826174</v>
      </c>
      <c r="B6086" t="str">
        <f>"1552382906165850"</f>
        <v>1552382906165850</v>
      </c>
      <c r="C6086" t="s">
        <v>40</v>
      </c>
      <c r="D6086">
        <v>3.5374530000000002</v>
      </c>
      <c r="E6086">
        <v>0.51629910000000001</v>
      </c>
      <c r="F6086" t="s">
        <v>44</v>
      </c>
      <c r="G6086">
        <v>-188.33969999999999</v>
      </c>
      <c r="H6086">
        <v>0.99867839999999997</v>
      </c>
      <c r="I6086">
        <v>-30.30688</v>
      </c>
      <c r="J6086">
        <v>-188.3981</v>
      </c>
      <c r="K6086">
        <v>1.108619</v>
      </c>
      <c r="L6086">
        <v>-30.94238</v>
      </c>
      <c r="M6086">
        <v>6.1269560000000001E-2</v>
      </c>
      <c r="N6086">
        <v>0</v>
      </c>
      <c r="O6086">
        <v>0.99802389999999996</v>
      </c>
      <c r="P6086">
        <v>6.2422039999999998E-2</v>
      </c>
      <c r="Q6086">
        <v>0.19840150000000001</v>
      </c>
      <c r="R6086">
        <v>0.97813110000000003</v>
      </c>
      <c r="S6086">
        <v>0.26716610000000002</v>
      </c>
      <c r="T6086">
        <v>-0.38926040000000001</v>
      </c>
      <c r="U6086">
        <v>3.129089</v>
      </c>
      <c r="V6086">
        <v>3.1990349999999998E-3</v>
      </c>
      <c r="W6086">
        <v>0.212033</v>
      </c>
      <c r="X6086">
        <v>0.9772573</v>
      </c>
      <c r="Y6086">
        <v>2.321295E-2</v>
      </c>
      <c r="Z6086">
        <v>-0.1228667</v>
      </c>
      <c r="AA6086">
        <v>0.99215169999999997</v>
      </c>
      <c r="AB6086">
        <v>25</v>
      </c>
      <c r="AC6086">
        <v>5.8400000000005899E-2</v>
      </c>
      <c r="AD6086">
        <v>-0.1099406</v>
      </c>
      <c r="AE6086">
        <v>0.63549999999999995</v>
      </c>
      <c r="AF6086">
        <v>1.87919649012405E-2</v>
      </c>
      <c r="AG6086">
        <v>-0.1099406</v>
      </c>
      <c r="AH6086">
        <v>0.61949889973704197</v>
      </c>
      <c r="AI6086">
        <v>100.058803083169</v>
      </c>
      <c r="AJ6086">
        <v>88.262514727972004</v>
      </c>
      <c r="AK6086">
        <v>0.62945926019768395</v>
      </c>
      <c r="AL6086">
        <v>77.758482455059394</v>
      </c>
      <c r="AM6086">
        <v>89.812443918994902</v>
      </c>
      <c r="AN6086">
        <v>1.0000000286586099</v>
      </c>
    </row>
    <row r="6087" spans="1:40" x14ac:dyDescent="0.25">
      <c r="A6087" t="str">
        <f>"20190312172826198"</f>
        <v>20190312172826198</v>
      </c>
      <c r="B6087" t="str">
        <f>"1552382906185369"</f>
        <v>1552382906185369</v>
      </c>
      <c r="C6087" t="s">
        <v>40</v>
      </c>
      <c r="D6087">
        <v>3.524804</v>
      </c>
      <c r="E6087">
        <v>0.51611969999999996</v>
      </c>
      <c r="F6087" t="s">
        <v>44</v>
      </c>
      <c r="G6087">
        <v>-188.32040000000001</v>
      </c>
      <c r="H6087">
        <v>1.0018549999999999</v>
      </c>
      <c r="I6087">
        <v>-30.080210000000001</v>
      </c>
      <c r="J6087">
        <v>-188.37899999999999</v>
      </c>
      <c r="K6087">
        <v>1.10856</v>
      </c>
      <c r="L6087">
        <v>-30.676269999999999</v>
      </c>
      <c r="M6087">
        <v>6.3729850000000005E-2</v>
      </c>
      <c r="N6087">
        <v>0</v>
      </c>
      <c r="O6087">
        <v>0.99786980000000003</v>
      </c>
      <c r="P6087">
        <v>6.7696149999999997E-2</v>
      </c>
      <c r="Q6087">
        <v>0.19928119999999999</v>
      </c>
      <c r="R6087">
        <v>0.97760130000000001</v>
      </c>
      <c r="S6087">
        <v>0.28153990000000001</v>
      </c>
      <c r="T6087">
        <v>-0.3871405</v>
      </c>
      <c r="U6087">
        <v>3.1276250000000001</v>
      </c>
      <c r="V6087">
        <v>6.1127050000000004E-3</v>
      </c>
      <c r="W6087">
        <v>0.21289549999999999</v>
      </c>
      <c r="X6087">
        <v>0.97705580000000003</v>
      </c>
      <c r="Y6087">
        <v>2.5319700000000001E-2</v>
      </c>
      <c r="Z6087">
        <v>-0.122208399999999</v>
      </c>
      <c r="AA6087">
        <v>0.99218139999999999</v>
      </c>
      <c r="AB6087">
        <v>25</v>
      </c>
      <c r="AC6087">
        <v>5.86000000000126E-2</v>
      </c>
      <c r="AD6087">
        <v>-0.10670499999999999</v>
      </c>
      <c r="AE6087">
        <v>0.59606000000000403</v>
      </c>
      <c r="AF6087">
        <v>1.9859983844976E-2</v>
      </c>
      <c r="AG6087">
        <v>-0.10670499999999999</v>
      </c>
      <c r="AH6087">
        <v>0.58016825563069996</v>
      </c>
      <c r="AI6087">
        <v>100.415451363123</v>
      </c>
      <c r="AJ6087">
        <v>88.039449591877599</v>
      </c>
      <c r="AK6087">
        <v>0.59023349686788495</v>
      </c>
      <c r="AL6087">
        <v>77.707909211427804</v>
      </c>
      <c r="AM6087">
        <v>89.641547976506402</v>
      </c>
      <c r="AN6087">
        <v>0.99999994769815204</v>
      </c>
    </row>
    <row r="6088" spans="1:40" x14ac:dyDescent="0.25">
      <c r="A6088" t="str">
        <f>"20190312172826219"</f>
        <v>20190312172826219</v>
      </c>
      <c r="B6088" t="str">
        <f>"1552382906215626"</f>
        <v>1552382906215626</v>
      </c>
      <c r="C6088" t="s">
        <v>40</v>
      </c>
      <c r="D6088">
        <v>3.5149119999999998</v>
      </c>
      <c r="E6088">
        <v>0.51586129999999997</v>
      </c>
      <c r="F6088" t="s">
        <v>44</v>
      </c>
      <c r="G6088">
        <v>-188.3015</v>
      </c>
      <c r="H6088">
        <v>1.0075670000000001</v>
      </c>
      <c r="I6088">
        <v>-29.852540000000001</v>
      </c>
      <c r="J6088">
        <v>-188.3614</v>
      </c>
      <c r="K6088">
        <v>1.1085419999999999</v>
      </c>
      <c r="L6088">
        <v>-30.439450000000001</v>
      </c>
      <c r="M6088">
        <v>6.5964780000000001E-2</v>
      </c>
      <c r="N6088">
        <v>0</v>
      </c>
      <c r="O6088">
        <v>0.99772470000000002</v>
      </c>
      <c r="P6088">
        <v>7.0822479999999993E-2</v>
      </c>
      <c r="Q6088">
        <v>0.19923759999999999</v>
      </c>
      <c r="R6088">
        <v>0.9773887</v>
      </c>
      <c r="S6088">
        <v>0.29438779999999998</v>
      </c>
      <c r="T6088">
        <v>-0.38329639999999998</v>
      </c>
      <c r="U6088">
        <v>3.1264949999999998</v>
      </c>
      <c r="V6088">
        <v>7.0601250000000004E-3</v>
      </c>
      <c r="W6088">
        <v>0.21284520000000001</v>
      </c>
      <c r="X6088">
        <v>0.97706040000000005</v>
      </c>
      <c r="Y6088">
        <v>2.7169260000000001E-2</v>
      </c>
      <c r="Z6088">
        <v>-0.12100420000000001</v>
      </c>
      <c r="AA6088">
        <v>0.9922801</v>
      </c>
      <c r="AB6088">
        <v>25</v>
      </c>
      <c r="AC6088">
        <v>5.9899999999998899E-2</v>
      </c>
      <c r="AD6088">
        <v>-0.100974999999999</v>
      </c>
      <c r="AE6088">
        <v>0.58690999999999904</v>
      </c>
      <c r="AF6088">
        <v>2.0451256247298301E-2</v>
      </c>
      <c r="AG6088">
        <v>-0.100974999999999</v>
      </c>
      <c r="AH6088">
        <v>0.57280318980686296</v>
      </c>
      <c r="AI6088">
        <v>99.991273150626498</v>
      </c>
      <c r="AJ6088">
        <v>87.955190961843698</v>
      </c>
      <c r="AK6088">
        <v>0.58199458653840597</v>
      </c>
      <c r="AL6088">
        <v>77.7108591317117</v>
      </c>
      <c r="AM6088">
        <v>89.585994555524394</v>
      </c>
      <c r="AN6088">
        <v>0.99999997488810699</v>
      </c>
    </row>
    <row r="6089" spans="1:40" x14ac:dyDescent="0.25">
      <c r="A6089" t="str">
        <f>"20190312172826241"</f>
        <v>20190312172826241</v>
      </c>
      <c r="B6089" t="str">
        <f>"1552382906236124"</f>
        <v>1552382906236124</v>
      </c>
      <c r="C6089" t="s">
        <v>40</v>
      </c>
      <c r="D6089">
        <v>3.6581250000000001</v>
      </c>
      <c r="E6089">
        <v>0.51573159999999996</v>
      </c>
      <c r="F6089" t="s">
        <v>44</v>
      </c>
      <c r="G6089">
        <v>-188.28280000000001</v>
      </c>
      <c r="H6089">
        <v>1.009266</v>
      </c>
      <c r="I6089">
        <v>-29.627099999999999</v>
      </c>
      <c r="J6089">
        <v>-188.34180000000001</v>
      </c>
      <c r="K6089">
        <v>1.108554</v>
      </c>
      <c r="L6089">
        <v>-30.183199999999999</v>
      </c>
      <c r="M6089">
        <v>6.8394319999999995E-2</v>
      </c>
      <c r="N6089">
        <v>0</v>
      </c>
      <c r="O6089">
        <v>0.99756109999999998</v>
      </c>
      <c r="P6089">
        <v>7.4073260000000002E-2</v>
      </c>
      <c r="Q6089">
        <v>0.1987718</v>
      </c>
      <c r="R6089">
        <v>0.97724250000000001</v>
      </c>
      <c r="S6089">
        <v>0.30204769999999997</v>
      </c>
      <c r="T6089">
        <v>-0.38185920000000001</v>
      </c>
      <c r="U6089">
        <v>3.1253660000000001</v>
      </c>
      <c r="V6089">
        <v>7.9221689999999997E-3</v>
      </c>
      <c r="W6089">
        <v>0.2123737</v>
      </c>
      <c r="X6089">
        <v>0.97715640000000004</v>
      </c>
      <c r="Y6089">
        <v>2.7183550000000001E-2</v>
      </c>
      <c r="Z6089">
        <v>-0.1205565</v>
      </c>
      <c r="AA6089">
        <v>0.99233419999999894</v>
      </c>
      <c r="AB6089">
        <v>25</v>
      </c>
      <c r="AC6089">
        <v>5.8999999999997499E-2</v>
      </c>
      <c r="AD6089">
        <v>-9.9288000000000001E-2</v>
      </c>
      <c r="AE6089">
        <v>0.55610000000000004</v>
      </c>
      <c r="AF6089">
        <v>2.0187669950779599E-2</v>
      </c>
      <c r="AG6089">
        <v>-9.9288000000000001E-2</v>
      </c>
      <c r="AH6089">
        <v>0.54175550478238599</v>
      </c>
      <c r="AI6089">
        <v>100.37834868061699</v>
      </c>
      <c r="AJ6089">
        <v>87.865949948503001</v>
      </c>
      <c r="AK6089">
        <v>0.55114850623408096</v>
      </c>
      <c r="AL6089">
        <v>77.738506363742303</v>
      </c>
      <c r="AM6089">
        <v>89.535492062821504</v>
      </c>
      <c r="AN6089">
        <v>0.99999998963715697</v>
      </c>
    </row>
    <row r="6090" spans="1:40" x14ac:dyDescent="0.25">
      <c r="A6090" t="str">
        <f>"20190312172826264"</f>
        <v>20190312172826264</v>
      </c>
      <c r="B6090" t="str">
        <f>"1552382906255641"</f>
        <v>1552382906255641</v>
      </c>
      <c r="C6090" t="s">
        <v>40</v>
      </c>
      <c r="D6090">
        <v>3.5014199999999902</v>
      </c>
      <c r="E6090">
        <v>0.51551229999999904</v>
      </c>
      <c r="F6090" t="s">
        <v>44</v>
      </c>
      <c r="G6090">
        <v>-188.26349999999999</v>
      </c>
      <c r="H6090">
        <v>1.01271</v>
      </c>
      <c r="I6090">
        <v>-29.401150000000001</v>
      </c>
      <c r="J6090">
        <v>-188.3219</v>
      </c>
      <c r="K6090">
        <v>1.1085700000000001</v>
      </c>
      <c r="L6090">
        <v>-29.933039999999998</v>
      </c>
      <c r="M6090">
        <v>7.0751049999999996E-2</v>
      </c>
      <c r="N6090">
        <v>0</v>
      </c>
      <c r="O6090">
        <v>0.99739679999999997</v>
      </c>
      <c r="P6090">
        <v>7.6786090000000001E-2</v>
      </c>
      <c r="Q6090">
        <v>0.19973579999999999</v>
      </c>
      <c r="R6090">
        <v>0.9768365</v>
      </c>
      <c r="S6090">
        <v>0.31274410000000002</v>
      </c>
      <c r="T6090">
        <v>-0.38286759999999997</v>
      </c>
      <c r="U6090">
        <v>3.1240230000000002</v>
      </c>
      <c r="V6090">
        <v>8.3358770000000002E-3</v>
      </c>
      <c r="W6090">
        <v>0.2133302</v>
      </c>
      <c r="X6090">
        <v>0.97694460000000005</v>
      </c>
      <c r="Y6090">
        <v>2.8223789999999999E-2</v>
      </c>
      <c r="Z6090">
        <v>-0.1208698</v>
      </c>
      <c r="AA6090">
        <v>0.99226709999999996</v>
      </c>
      <c r="AB6090">
        <v>25</v>
      </c>
      <c r="AC6090">
        <v>5.8400000000005899E-2</v>
      </c>
      <c r="AD6090">
        <v>-9.5860000000000001E-2</v>
      </c>
      <c r="AE6090">
        <v>0.53188999999999997</v>
      </c>
      <c r="AF6090">
        <v>1.99770483861803E-2</v>
      </c>
      <c r="AG6090">
        <v>-9.5860000000000001E-2</v>
      </c>
      <c r="AH6090">
        <v>0.51806228120794595</v>
      </c>
      <c r="AI6090">
        <v>100.47558115180701</v>
      </c>
      <c r="AJ6090">
        <v>87.791706166500305</v>
      </c>
      <c r="AK6090">
        <v>0.52723500383851996</v>
      </c>
      <c r="AL6090">
        <v>77.682417852540198</v>
      </c>
      <c r="AM6090">
        <v>89.511129924569403</v>
      </c>
      <c r="AN6090">
        <v>1.0000000062732699</v>
      </c>
    </row>
    <row r="6091" spans="1:40" x14ac:dyDescent="0.25">
      <c r="A6091" t="str">
        <f>"20190312172826306"</f>
        <v>20190312172826306</v>
      </c>
      <c r="B6091" t="str">
        <f>"1552382906295658"</f>
        <v>1552382906295658</v>
      </c>
      <c r="C6091" t="s">
        <v>40</v>
      </c>
      <c r="D6091">
        <v>3.4721269999999902</v>
      </c>
      <c r="E6091">
        <v>0.51447080000000001</v>
      </c>
      <c r="F6091" t="s">
        <v>44</v>
      </c>
      <c r="G6091">
        <v>-188.2441</v>
      </c>
      <c r="H6091">
        <v>1.016726</v>
      </c>
      <c r="I6091">
        <v>-29.175219999999999</v>
      </c>
      <c r="J6091">
        <v>-188.28299999999999</v>
      </c>
      <c r="K6091">
        <v>1.1086149999999999</v>
      </c>
      <c r="L6091">
        <v>-29.461670000000002</v>
      </c>
      <c r="M6091">
        <v>7.5111689999999995E-2</v>
      </c>
      <c r="N6091">
        <v>0</v>
      </c>
      <c r="O6091">
        <v>0.99707789999999996</v>
      </c>
      <c r="P6091">
        <v>8.1285629999999998E-2</v>
      </c>
      <c r="Q6091">
        <v>0.2024087</v>
      </c>
      <c r="R6091">
        <v>0.97592179999999995</v>
      </c>
      <c r="S6091">
        <v>0.32054139999999998</v>
      </c>
      <c r="T6091">
        <v>-0.3784111</v>
      </c>
      <c r="U6091">
        <v>3.1233219999999999</v>
      </c>
      <c r="V6091">
        <v>8.595442E-3</v>
      </c>
      <c r="W6091">
        <v>0.21598809999999999</v>
      </c>
      <c r="X6091">
        <v>0.97635819999999995</v>
      </c>
      <c r="Y6091">
        <v>2.6344360000000001E-2</v>
      </c>
      <c r="Z6091">
        <v>-0.1194408</v>
      </c>
      <c r="AA6091">
        <v>0.99249169999999998</v>
      </c>
      <c r="AB6091">
        <v>25</v>
      </c>
      <c r="AC6091">
        <v>3.8899999999983899E-2</v>
      </c>
      <c r="AD6091">
        <v>-9.1888999999999804E-2</v>
      </c>
      <c r="AE6091">
        <v>0.28645000000000198</v>
      </c>
      <c r="AF6091">
        <v>1.5687224578084202E-2</v>
      </c>
      <c r="AG6091">
        <v>-9.1888999999999804E-2</v>
      </c>
      <c r="AH6091">
        <v>0.262082025734933</v>
      </c>
      <c r="AI6091">
        <v>109.28929129973901</v>
      </c>
      <c r="AJ6091">
        <v>86.574581371540702</v>
      </c>
      <c r="AK6091">
        <v>0.27816661472809701</v>
      </c>
      <c r="AL6091">
        <v>77.526497072501996</v>
      </c>
      <c r="AM6091">
        <v>89.495605375879705</v>
      </c>
      <c r="AN6091">
        <v>1.0000000378360101</v>
      </c>
    </row>
    <row r="6092" spans="1:40" x14ac:dyDescent="0.25">
      <c r="A6092" t="str">
        <f>"20190312172826328"</f>
        <v>20190312172826328</v>
      </c>
      <c r="B6092" t="str">
        <f>"1552382906325914"</f>
        <v>1552382906325914</v>
      </c>
      <c r="C6092" t="s">
        <v>40</v>
      </c>
      <c r="D6092">
        <v>3.4669829999999999</v>
      </c>
      <c r="E6092">
        <v>0.49550260000000002</v>
      </c>
      <c r="F6092" t="s">
        <v>44</v>
      </c>
      <c r="G6092">
        <v>-188.20609999999999</v>
      </c>
      <c r="H6092">
        <v>1.022497</v>
      </c>
      <c r="I6092">
        <v>-28.725280000000001</v>
      </c>
      <c r="J6092">
        <v>-188.2621</v>
      </c>
      <c r="K6092">
        <v>1.108636</v>
      </c>
      <c r="L6092">
        <v>-29.217829999999999</v>
      </c>
      <c r="M6092">
        <v>7.7328469999999996E-2</v>
      </c>
      <c r="N6092">
        <v>0</v>
      </c>
      <c r="O6092">
        <v>0.99690849999999998</v>
      </c>
      <c r="P6092">
        <v>8.1344979999999997E-2</v>
      </c>
      <c r="Q6092">
        <v>0.20245679999999999</v>
      </c>
      <c r="R6092">
        <v>0.97590679999999996</v>
      </c>
      <c r="S6092">
        <v>0.32580569999999998</v>
      </c>
      <c r="T6092">
        <v>-0.36503259999999899</v>
      </c>
      <c r="U6092">
        <v>3.1225890000000001</v>
      </c>
      <c r="V6092">
        <v>6.4681770000000003E-3</v>
      </c>
      <c r="W6092">
        <v>0.21604200000000001</v>
      </c>
      <c r="X6092">
        <v>0.97636259999999997</v>
      </c>
      <c r="Y6092">
        <v>2.5852099999999999E-2</v>
      </c>
      <c r="Z6092">
        <v>-0.1152637</v>
      </c>
      <c r="AA6092">
        <v>0.99299850000000001</v>
      </c>
      <c r="AB6092">
        <v>25</v>
      </c>
      <c r="AC6092">
        <v>5.6000000000011603E-2</v>
      </c>
      <c r="AD6092">
        <v>-8.6138999999999896E-2</v>
      </c>
      <c r="AE6092">
        <v>0.49255000000000099</v>
      </c>
      <c r="AF6092">
        <v>1.72205004168305E-2</v>
      </c>
      <c r="AG6092">
        <v>-8.6138999999999896E-2</v>
      </c>
      <c r="AH6092">
        <v>0.480885788895283</v>
      </c>
      <c r="AI6092">
        <v>100.14907441245001</v>
      </c>
      <c r="AJ6092">
        <v>87.949116833450603</v>
      </c>
      <c r="AK6092">
        <v>0.48884313937810803</v>
      </c>
      <c r="AL6092">
        <v>77.523333101989493</v>
      </c>
      <c r="AM6092">
        <v>89.620434230254403</v>
      </c>
      <c r="AN6092">
        <v>0.99999995487823001</v>
      </c>
    </row>
    <row r="6093" spans="1:40" x14ac:dyDescent="0.25">
      <c r="A6093" t="str">
        <f>"20190312172826353"</f>
        <v>20190312172826353</v>
      </c>
      <c r="B6093" t="str">
        <f>"1552382906345434"</f>
        <v>1552382906345434</v>
      </c>
      <c r="C6093" t="s">
        <v>40</v>
      </c>
      <c r="D6093">
        <v>3.481366</v>
      </c>
      <c r="E6093">
        <v>0.4939231</v>
      </c>
      <c r="F6093" t="s">
        <v>41</v>
      </c>
      <c r="G6093">
        <v>-187.3663</v>
      </c>
      <c r="H6093" s="1">
        <v>-3.2484819999999998E-6</v>
      </c>
      <c r="I6093">
        <v>-13.88391</v>
      </c>
      <c r="J6093">
        <v>-188.23750000000001</v>
      </c>
      <c r="K6093">
        <v>1.1086590000000001</v>
      </c>
      <c r="L6093">
        <v>-28.93881</v>
      </c>
      <c r="M6093">
        <v>7.9845029999999997E-2</v>
      </c>
      <c r="N6093">
        <v>0</v>
      </c>
      <c r="O6093">
        <v>0.99671019999999999</v>
      </c>
      <c r="P6093">
        <v>8.1022040000000004E-2</v>
      </c>
      <c r="Q6093">
        <v>0.20171020000000001</v>
      </c>
      <c r="R6093">
        <v>0.97608830000000002</v>
      </c>
      <c r="S6093">
        <v>0.181427</v>
      </c>
      <c r="T6093">
        <v>-0.22452900000000001</v>
      </c>
      <c r="U6093">
        <v>3.1055299999999999</v>
      </c>
      <c r="V6093">
        <v>3.6461810000000001E-3</v>
      </c>
      <c r="W6093">
        <v>0.21530550000000001</v>
      </c>
      <c r="X6093">
        <v>0.97653999999999996</v>
      </c>
      <c r="Y6093">
        <v>-2.173245E-2</v>
      </c>
      <c r="Z6093">
        <v>-7.1697570000000002E-2</v>
      </c>
      <c r="AA6093">
        <v>0.99718960000000001</v>
      </c>
      <c r="AB6093">
        <v>25</v>
      </c>
      <c r="AC6093">
        <v>0.87120000000001596</v>
      </c>
      <c r="AD6093">
        <v>-1.1086622484819999</v>
      </c>
      <c r="AE6093">
        <v>15.0548999999999</v>
      </c>
      <c r="AF6093">
        <v>-0.33196307611405201</v>
      </c>
      <c r="AG6093">
        <v>-1.1086622484819999</v>
      </c>
      <c r="AH6093">
        <v>14.9953435269968</v>
      </c>
      <c r="AI6093">
        <v>94.227367645295601</v>
      </c>
      <c r="AJ6093">
        <v>91.268192154161</v>
      </c>
      <c r="AK6093">
        <v>15.039935470531701</v>
      </c>
      <c r="AL6093">
        <v>77.566549857181499</v>
      </c>
      <c r="AM6093">
        <v>89.786071423766501</v>
      </c>
      <c r="AN6093">
        <v>1.00000006228306</v>
      </c>
    </row>
    <row r="6094" spans="1:40" x14ac:dyDescent="0.25">
      <c r="A6094" t="str">
        <f>"20190312172826375"</f>
        <v>20190312172826375</v>
      </c>
      <c r="B6094" t="str">
        <f>"1552382906365931"</f>
        <v>1552382906365931</v>
      </c>
      <c r="C6094" t="s">
        <v>40</v>
      </c>
      <c r="D6094">
        <v>3.4344260000000002</v>
      </c>
      <c r="E6094">
        <v>0.49366169999999998</v>
      </c>
      <c r="F6094" t="s">
        <v>41</v>
      </c>
      <c r="G6094">
        <v>-187.40969999999999</v>
      </c>
      <c r="H6094" s="1">
        <v>-3.2852159999999999E-6</v>
      </c>
      <c r="I6094">
        <v>-13.780340000000001</v>
      </c>
      <c r="J6094">
        <v>-188.2148</v>
      </c>
      <c r="K6094">
        <v>1.1086739999999999</v>
      </c>
      <c r="L6094">
        <v>-28.688839999999999</v>
      </c>
      <c r="M6094">
        <v>8.2091670000000005E-2</v>
      </c>
      <c r="N6094">
        <v>0</v>
      </c>
      <c r="O6094">
        <v>0.99652770000000002</v>
      </c>
      <c r="P6094">
        <v>8.1023990000000004E-2</v>
      </c>
      <c r="Q6094">
        <v>0.20163539999999999</v>
      </c>
      <c r="R6094">
        <v>0.97610359999999996</v>
      </c>
      <c r="S6094">
        <v>0.16963200000000001</v>
      </c>
      <c r="T6094">
        <v>-0.22719300000000001</v>
      </c>
      <c r="U6094">
        <v>3.1063540000000001</v>
      </c>
      <c r="V6094">
        <v>1.4306010000000001E-3</v>
      </c>
      <c r="W6094">
        <v>0.21523610000000001</v>
      </c>
      <c r="X6094">
        <v>0.97656100000000001</v>
      </c>
      <c r="Y6094">
        <v>-2.7778690000000002E-2</v>
      </c>
      <c r="Z6094">
        <v>-7.2506979999999999E-2</v>
      </c>
      <c r="AA6094">
        <v>0.99698100000000001</v>
      </c>
      <c r="AB6094">
        <v>25</v>
      </c>
      <c r="AC6094">
        <v>0.80510000000001003</v>
      </c>
      <c r="AD6094">
        <v>-1.1086772852159901</v>
      </c>
      <c r="AE6094">
        <v>14.9085</v>
      </c>
      <c r="AF6094">
        <v>-0.41928799060557698</v>
      </c>
      <c r="AG6094">
        <v>-1.1086772852159901</v>
      </c>
      <c r="AH6094">
        <v>14.842426017663801</v>
      </c>
      <c r="AI6094">
        <v>94.270163776968701</v>
      </c>
      <c r="AJ6094">
        <v>91.618134722696993</v>
      </c>
      <c r="AK6094">
        <v>14.8896802461182</v>
      </c>
      <c r="AL6094">
        <v>77.570620939445902</v>
      </c>
      <c r="AM6094">
        <v>89.916065314064198</v>
      </c>
      <c r="AN6094">
        <v>1.00000000604171</v>
      </c>
    </row>
    <row r="6095" spans="1:40" x14ac:dyDescent="0.25">
      <c r="A6095" t="str">
        <f>"20190312172826418"</f>
        <v>20190312172826418</v>
      </c>
      <c r="B6095" t="str">
        <f>"1552382906415706"</f>
        <v>1552382906415706</v>
      </c>
      <c r="C6095" t="s">
        <v>40</v>
      </c>
      <c r="D6095">
        <v>3.3900920000000001</v>
      </c>
      <c r="E6095">
        <v>0.49310609999999999</v>
      </c>
      <c r="F6095" t="s">
        <v>41</v>
      </c>
      <c r="G6095">
        <v>-187.39</v>
      </c>
      <c r="H6095" s="1">
        <v>-3.4139239999999999E-6</v>
      </c>
      <c r="I6095">
        <v>-13.488479999999999</v>
      </c>
      <c r="J6095">
        <v>-188.1703</v>
      </c>
      <c r="K6095">
        <v>1.108708</v>
      </c>
      <c r="L6095">
        <v>-28.21414</v>
      </c>
      <c r="M6095">
        <v>8.6356740000000001E-2</v>
      </c>
      <c r="N6095">
        <v>0</v>
      </c>
      <c r="O6095">
        <v>0.99616720000000003</v>
      </c>
      <c r="P6095">
        <v>8.2376959999999999E-2</v>
      </c>
      <c r="Q6095">
        <v>0.20481650000000001</v>
      </c>
      <c r="R6095">
        <v>0.97532779999999997</v>
      </c>
      <c r="S6095">
        <v>0.16856380000000001</v>
      </c>
      <c r="T6095">
        <v>-0.22656319999999999</v>
      </c>
      <c r="U6095">
        <v>3.1062620000000001</v>
      </c>
      <c r="V6095">
        <v>-1.3474100000000001E-3</v>
      </c>
      <c r="W6095">
        <v>0.21841260000000001</v>
      </c>
      <c r="X6095">
        <v>0.97585560000000005</v>
      </c>
      <c r="Y6095">
        <v>-3.239674E-2</v>
      </c>
      <c r="Z6095">
        <v>-7.2265560000000006E-2</v>
      </c>
      <c r="AA6095">
        <v>0.9968591</v>
      </c>
      <c r="AB6095">
        <v>25</v>
      </c>
      <c r="AC6095">
        <v>0.78030000000001098</v>
      </c>
      <c r="AD6095">
        <v>-1.108711413924</v>
      </c>
      <c r="AE6095">
        <v>14.72566</v>
      </c>
      <c r="AF6095">
        <v>-0.49161947619008201</v>
      </c>
      <c r="AG6095">
        <v>-1.108711413924</v>
      </c>
      <c r="AH6095">
        <v>14.655185056982599</v>
      </c>
      <c r="AI6095">
        <v>94.323943878182703</v>
      </c>
      <c r="AJ6095">
        <v>91.921310597095598</v>
      </c>
      <c r="AK6095">
        <v>14.705284076247599</v>
      </c>
      <c r="AL6095">
        <v>77.384185750729102</v>
      </c>
      <c r="AM6095">
        <v>90.079110943477204</v>
      </c>
      <c r="AN6095">
        <v>1.00000001570191</v>
      </c>
    </row>
    <row r="6096" spans="1:40" x14ac:dyDescent="0.25">
      <c r="A6096" t="str">
        <f>"20190312172826440"</f>
        <v>20190312172826440</v>
      </c>
      <c r="B6096" t="str">
        <f>"1552382906435227"</f>
        <v>1552382906435227</v>
      </c>
      <c r="C6096" t="s">
        <v>40</v>
      </c>
      <c r="D6096">
        <v>3.4439199999999999</v>
      </c>
      <c r="E6096">
        <v>0.49286219999999997</v>
      </c>
      <c r="F6096" t="s">
        <v>41</v>
      </c>
      <c r="G6096">
        <v>-187.31460000000001</v>
      </c>
      <c r="H6096" s="1">
        <v>-3.9001159999999997E-6</v>
      </c>
      <c r="I6096">
        <v>-12.38631</v>
      </c>
      <c r="J6096">
        <v>-188.14670000000001</v>
      </c>
      <c r="K6096">
        <v>1.1087199999999999</v>
      </c>
      <c r="L6096">
        <v>-27.971769999999999</v>
      </c>
      <c r="M6096">
        <v>8.8537119999999997E-2</v>
      </c>
      <c r="N6096">
        <v>0</v>
      </c>
      <c r="O6096">
        <v>0.99597590000000003</v>
      </c>
      <c r="P6096">
        <v>8.3292690000000003E-2</v>
      </c>
      <c r="Q6096">
        <v>0.20532259999999999</v>
      </c>
      <c r="R6096">
        <v>0.9751436</v>
      </c>
      <c r="S6096">
        <v>0.16798399999999999</v>
      </c>
      <c r="T6096">
        <v>-0.21766959999999999</v>
      </c>
      <c r="U6096">
        <v>3.1074220000000001</v>
      </c>
      <c r="V6096">
        <v>-2.5643979999999999E-3</v>
      </c>
      <c r="W6096">
        <v>0.2189188</v>
      </c>
      <c r="X6096">
        <v>0.97573969999999999</v>
      </c>
      <c r="Y6096">
        <v>-3.4779030000000002E-2</v>
      </c>
      <c r="Z6096">
        <v>-6.939468E-2</v>
      </c>
      <c r="AA6096">
        <v>0.99698290000000001</v>
      </c>
      <c r="AB6096">
        <v>25</v>
      </c>
      <c r="AC6096">
        <v>0.83209999999999695</v>
      </c>
      <c r="AD6096">
        <v>-1.1087239001160001</v>
      </c>
      <c r="AE6096">
        <v>15.585459999999999</v>
      </c>
      <c r="AF6096">
        <v>-0.548425928459498</v>
      </c>
      <c r="AG6096">
        <v>-1.1087239001160001</v>
      </c>
      <c r="AH6096">
        <v>15.5196047219505</v>
      </c>
      <c r="AI6096">
        <v>94.083740175314801</v>
      </c>
      <c r="AJ6096">
        <v>92.023854463045595</v>
      </c>
      <c r="AK6096">
        <v>15.568820456646099</v>
      </c>
      <c r="AL6096">
        <v>77.354463004918998</v>
      </c>
      <c r="AM6096">
        <v>90.150582008811099</v>
      </c>
      <c r="AN6096">
        <v>0.99999998964331605</v>
      </c>
    </row>
    <row r="6097" spans="1:40" x14ac:dyDescent="0.25">
      <c r="A6097" t="str">
        <f>"20190312172826462"</f>
        <v>20190312172826462</v>
      </c>
      <c r="B6097" t="str">
        <f>"1552382906455722"</f>
        <v>1552382906455722</v>
      </c>
      <c r="C6097" t="s">
        <v>40</v>
      </c>
      <c r="D6097">
        <v>3.4273169999999999</v>
      </c>
      <c r="E6097">
        <v>0.4928903</v>
      </c>
      <c r="F6097" t="s">
        <v>41</v>
      </c>
      <c r="G6097">
        <v>-187.27850000000001</v>
      </c>
      <c r="H6097" s="1">
        <v>-4.0432160000000001E-6</v>
      </c>
      <c r="I6097">
        <v>-12.06765</v>
      </c>
      <c r="J6097">
        <v>-188.1224</v>
      </c>
      <c r="K6097">
        <v>1.1087229999999999</v>
      </c>
      <c r="L6097">
        <v>-27.72681</v>
      </c>
      <c r="M6097">
        <v>9.0742950000000003E-2</v>
      </c>
      <c r="N6097">
        <v>0</v>
      </c>
      <c r="O6097">
        <v>0.99577740000000003</v>
      </c>
      <c r="P6097">
        <v>8.4635619999999995E-2</v>
      </c>
      <c r="Q6097">
        <v>0.2055274</v>
      </c>
      <c r="R6097">
        <v>0.97498479999999998</v>
      </c>
      <c r="S6097">
        <v>0.16963200000000001</v>
      </c>
      <c r="T6097">
        <v>-0.21664050000000001</v>
      </c>
      <c r="U6097">
        <v>3.107605</v>
      </c>
      <c r="V6097">
        <v>-3.3831109999999998E-3</v>
      </c>
      <c r="W6097">
        <v>0.21912309999999999</v>
      </c>
      <c r="X6097">
        <v>0.97569139999999999</v>
      </c>
      <c r="Y6097">
        <v>-3.6467319999999998E-2</v>
      </c>
      <c r="Z6097">
        <v>-6.9040400000000002E-2</v>
      </c>
      <c r="AA6097">
        <v>0.99694709999999997</v>
      </c>
      <c r="AB6097">
        <v>25</v>
      </c>
      <c r="AC6097">
        <v>0.84389999999998999</v>
      </c>
      <c r="AD6097">
        <v>-1.1087270432159999</v>
      </c>
      <c r="AE6097">
        <v>15.6591599999999</v>
      </c>
      <c r="AF6097">
        <v>-0.57778971893757802</v>
      </c>
      <c r="AG6097">
        <v>-1.1087270432159999</v>
      </c>
      <c r="AH6097">
        <v>15.5931837322275</v>
      </c>
      <c r="AI6097">
        <v>94.064295265509202</v>
      </c>
      <c r="AJ6097">
        <v>92.122066563279105</v>
      </c>
      <c r="AK6097">
        <v>15.64322522764</v>
      </c>
      <c r="AL6097">
        <v>77.342466885697206</v>
      </c>
      <c r="AM6097">
        <v>90.198666509822004</v>
      </c>
      <c r="AN6097">
        <v>1.0000000432138001</v>
      </c>
    </row>
    <row r="6098" spans="1:40" x14ac:dyDescent="0.25">
      <c r="A6098" t="str">
        <f>"20190312172826485"</f>
        <v>20190312172826485</v>
      </c>
      <c r="B6098" t="str">
        <f>"1552382906475242"</f>
        <v>1552382906475242</v>
      </c>
      <c r="C6098" t="s">
        <v>40</v>
      </c>
      <c r="D6098">
        <v>3.432194</v>
      </c>
      <c r="E6098">
        <v>0.492788</v>
      </c>
      <c r="F6098" t="s">
        <v>41</v>
      </c>
      <c r="G6098">
        <v>-187.23320000000001</v>
      </c>
      <c r="H6098" s="1">
        <v>-4.1767199999999999E-6</v>
      </c>
      <c r="I6098">
        <v>-11.77521</v>
      </c>
      <c r="J6098">
        <v>-188.0968</v>
      </c>
      <c r="K6098">
        <v>1.108724</v>
      </c>
      <c r="L6098">
        <v>-27.475100000000001</v>
      </c>
      <c r="M6098">
        <v>9.3007740000000005E-2</v>
      </c>
      <c r="N6098">
        <v>0</v>
      </c>
      <c r="O6098">
        <v>0.99556840000000002</v>
      </c>
      <c r="P6098">
        <v>8.6732370000000003E-2</v>
      </c>
      <c r="Q6098">
        <v>0.2045778</v>
      </c>
      <c r="R6098">
        <v>0.97500019999999998</v>
      </c>
      <c r="S6098">
        <v>0.17321779999999901</v>
      </c>
      <c r="T6098">
        <v>-0.21598580000000001</v>
      </c>
      <c r="U6098">
        <v>3.1074519999999999</v>
      </c>
      <c r="V6098">
        <v>-3.5304329999999999E-3</v>
      </c>
      <c r="W6098">
        <v>0.2181739</v>
      </c>
      <c r="X6098">
        <v>0.97590350000000003</v>
      </c>
      <c r="Y6098">
        <v>-3.758997E-2</v>
      </c>
      <c r="Z6098">
        <v>-6.8810850000000007E-2</v>
      </c>
      <c r="AA6098">
        <v>0.99692130000000001</v>
      </c>
      <c r="AB6098">
        <v>25</v>
      </c>
      <c r="AC6098">
        <v>0.86359999999999004</v>
      </c>
      <c r="AD6098">
        <v>-1.1087281767199999</v>
      </c>
      <c r="AE6098">
        <v>15.69989</v>
      </c>
      <c r="AF6098">
        <v>-0.59752541358548295</v>
      </c>
      <c r="AG6098">
        <v>-1.1087281767199999</v>
      </c>
      <c r="AH6098">
        <v>15.634416320884201</v>
      </c>
      <c r="AI6098">
        <v>94.053439595405905</v>
      </c>
      <c r="AJ6098">
        <v>92.188698914769802</v>
      </c>
      <c r="AK6098">
        <v>15.6850657787739</v>
      </c>
      <c r="AL6098">
        <v>77.398199753923095</v>
      </c>
      <c r="AM6098">
        <v>90.207272571876501</v>
      </c>
      <c r="AN6098">
        <v>0.99999997795531304</v>
      </c>
    </row>
    <row r="6099" spans="1:40" x14ac:dyDescent="0.25">
      <c r="A6099" t="str">
        <f>"20190312172826506"</f>
        <v>20190312172826506</v>
      </c>
      <c r="B6099" t="str">
        <f>"1552382906495739"</f>
        <v>1552382906495739</v>
      </c>
      <c r="C6099" t="s">
        <v>40</v>
      </c>
      <c r="D6099">
        <v>3.406355</v>
      </c>
      <c r="E6099">
        <v>0.49274580000000001</v>
      </c>
      <c r="F6099" t="s">
        <v>41</v>
      </c>
      <c r="G6099">
        <v>-187.19049999999999</v>
      </c>
      <c r="H6099" s="1">
        <v>-4.2189539999999998E-6</v>
      </c>
      <c r="I6099">
        <v>-11.694419999999999</v>
      </c>
      <c r="J6099">
        <v>-188.07220000000001</v>
      </c>
      <c r="K6099">
        <v>1.108735</v>
      </c>
      <c r="L6099">
        <v>-27.23798</v>
      </c>
      <c r="M6099">
        <v>9.5136700000000005E-2</v>
      </c>
      <c r="N6099">
        <v>0</v>
      </c>
      <c r="O6099">
        <v>0.99536729999999995</v>
      </c>
      <c r="P6099">
        <v>8.8100049999999999E-2</v>
      </c>
      <c r="Q6099">
        <v>0.2034841</v>
      </c>
      <c r="R6099">
        <v>0.97510649999999999</v>
      </c>
      <c r="S6099">
        <v>0.17843629999999999</v>
      </c>
      <c r="T6099">
        <v>-0.21828220000000001</v>
      </c>
      <c r="U6099">
        <v>3.1068419999999999</v>
      </c>
      <c r="V6099">
        <v>-4.2811730000000001E-3</v>
      </c>
      <c r="W6099">
        <v>0.21708340000000001</v>
      </c>
      <c r="X6099">
        <v>0.97614369999999995</v>
      </c>
      <c r="Y6099">
        <v>-3.8049939999999997E-2</v>
      </c>
      <c r="Z6099">
        <v>-6.9527519999999995E-2</v>
      </c>
      <c r="AA6099">
        <v>0.99685409999999997</v>
      </c>
      <c r="AB6099">
        <v>25</v>
      </c>
      <c r="AC6099">
        <v>0.88170000000002302</v>
      </c>
      <c r="AD6099">
        <v>-1.108739218954</v>
      </c>
      <c r="AE6099">
        <v>15.543559999999999</v>
      </c>
      <c r="AF6099">
        <v>-0.59817184751100505</v>
      </c>
      <c r="AG6099">
        <v>-1.108739218954</v>
      </c>
      <c r="AH6099">
        <v>15.4784306749322</v>
      </c>
      <c r="AI6099">
        <v>94.094124164525894</v>
      </c>
      <c r="AJ6099">
        <v>92.213123310421807</v>
      </c>
      <c r="AK6099">
        <v>15.529614559720599</v>
      </c>
      <c r="AL6099">
        <v>77.462215775677095</v>
      </c>
      <c r="AM6099">
        <v>90.251286333686707</v>
      </c>
      <c r="AN6099">
        <v>1.0000000270237499</v>
      </c>
    </row>
    <row r="6100" spans="1:40" x14ac:dyDescent="0.25">
      <c r="A6100" t="str">
        <f>"20190312172826530"</f>
        <v>20190312172826530</v>
      </c>
      <c r="B6100" t="str">
        <f>"1552382906525994"</f>
        <v>1552382906525994</v>
      </c>
      <c r="C6100" t="s">
        <v>40</v>
      </c>
      <c r="D6100">
        <v>3.4516689999999999</v>
      </c>
      <c r="E6100">
        <v>0.4924173</v>
      </c>
      <c r="F6100" t="s">
        <v>41</v>
      </c>
      <c r="G6100">
        <v>-187.1644</v>
      </c>
      <c r="H6100" s="1">
        <v>-4.2024389999999998E-6</v>
      </c>
      <c r="I6100">
        <v>-11.74372</v>
      </c>
      <c r="J6100">
        <v>-188.04499999999999</v>
      </c>
      <c r="K6100">
        <v>1.1087450000000001</v>
      </c>
      <c r="L6100">
        <v>-26.98169</v>
      </c>
      <c r="M6100">
        <v>9.7424830000000004E-2</v>
      </c>
      <c r="N6100">
        <v>0</v>
      </c>
      <c r="O6100">
        <v>0.99514599999999998</v>
      </c>
      <c r="P6100">
        <v>8.9772779999999996E-2</v>
      </c>
      <c r="Q6100">
        <v>0.2031618</v>
      </c>
      <c r="R6100">
        <v>0.97502109999999997</v>
      </c>
      <c r="S6100">
        <v>0.18202209999999999</v>
      </c>
      <c r="T6100">
        <v>-0.22229779999999999</v>
      </c>
      <c r="U6100">
        <v>3.1065369999999999</v>
      </c>
      <c r="V6100">
        <v>-4.8670809999999997E-3</v>
      </c>
      <c r="W6100">
        <v>0.21676039999999999</v>
      </c>
      <c r="X6100">
        <v>0.97621270000000004</v>
      </c>
      <c r="Y6100">
        <v>-3.9200100000000002E-2</v>
      </c>
      <c r="Z6100">
        <v>-7.0779519999999999E-2</v>
      </c>
      <c r="AA6100">
        <v>0.99672139999999998</v>
      </c>
      <c r="AB6100">
        <v>25</v>
      </c>
      <c r="AC6100">
        <v>0.88059999999998695</v>
      </c>
      <c r="AD6100">
        <v>-1.108749202439</v>
      </c>
      <c r="AE6100">
        <v>15.237970000000001</v>
      </c>
      <c r="AF6100">
        <v>-0.60509679452348897</v>
      </c>
      <c r="AG6100">
        <v>-1.108749202439</v>
      </c>
      <c r="AH6100">
        <v>15.171213490309899</v>
      </c>
      <c r="AI6100">
        <v>94.176575012520004</v>
      </c>
      <c r="AJ6100">
        <v>92.284004919689806</v>
      </c>
      <c r="AK6100">
        <v>15.223704729572701</v>
      </c>
      <c r="AL6100">
        <v>77.481173345584196</v>
      </c>
      <c r="AM6100">
        <v>90.285655871223298</v>
      </c>
      <c r="AN6100">
        <v>0.99999999756345503</v>
      </c>
    </row>
    <row r="6101" spans="1:40" x14ac:dyDescent="0.25">
      <c r="A6101" t="str">
        <f>"20190312172826552"</f>
        <v>20190312172826552</v>
      </c>
      <c r="B6101" t="str">
        <f>"1552382906545514"</f>
        <v>1552382906545514</v>
      </c>
      <c r="C6101" t="s">
        <v>40</v>
      </c>
      <c r="D6101">
        <v>3.4483950000000001</v>
      </c>
      <c r="E6101">
        <v>0.49219639999999998</v>
      </c>
      <c r="F6101" t="s">
        <v>41</v>
      </c>
      <c r="G6101">
        <v>-187.13640000000001</v>
      </c>
      <c r="H6101" s="1">
        <v>-4.2190800000000003E-6</v>
      </c>
      <c r="I6101">
        <v>-11.716469999999999</v>
      </c>
      <c r="J6101">
        <v>-188.0198</v>
      </c>
      <c r="K6101">
        <v>1.1087579999999999</v>
      </c>
      <c r="L6101">
        <v>-26.748660000000001</v>
      </c>
      <c r="M6101">
        <v>9.9487679999999995E-2</v>
      </c>
      <c r="N6101">
        <v>0</v>
      </c>
      <c r="O6101">
        <v>0.99494190000000005</v>
      </c>
      <c r="P6101">
        <v>9.1212039999999994E-2</v>
      </c>
      <c r="Q6101">
        <v>0.2028586</v>
      </c>
      <c r="R6101">
        <v>0.97495069999999995</v>
      </c>
      <c r="S6101">
        <v>0.18492130000000001</v>
      </c>
      <c r="T6101">
        <v>-0.22565730000000001</v>
      </c>
      <c r="U6101">
        <v>3.1068419999999999</v>
      </c>
      <c r="V6101">
        <v>-5.4674789999999999E-3</v>
      </c>
      <c r="W6101">
        <v>0.21645739999999999</v>
      </c>
      <c r="X6101">
        <v>0.97627679999999994</v>
      </c>
      <c r="Y6101">
        <v>-4.0354889999999997E-2</v>
      </c>
      <c r="Z6101">
        <v>-7.181092E-2</v>
      </c>
      <c r="AA6101">
        <v>0.99660159999999998</v>
      </c>
      <c r="AB6101">
        <v>25</v>
      </c>
      <c r="AC6101">
        <v>0.88339999999999397</v>
      </c>
      <c r="AD6101">
        <v>-1.1087622190799999</v>
      </c>
      <c r="AE6101">
        <v>15.0321899999999</v>
      </c>
      <c r="AF6101">
        <v>-0.61332025175352101</v>
      </c>
      <c r="AG6101">
        <v>-1.1087622190799999</v>
      </c>
      <c r="AH6101">
        <v>14.9643614856956</v>
      </c>
      <c r="AI6101">
        <v>94.233961220043597</v>
      </c>
      <c r="AJ6101">
        <v>92.346976534829693</v>
      </c>
      <c r="AK6101">
        <v>15.017910309501801</v>
      </c>
      <c r="AL6101">
        <v>77.498956758026495</v>
      </c>
      <c r="AM6101">
        <v>90.320872314385099</v>
      </c>
      <c r="AN6101">
        <v>1.0000000447798001</v>
      </c>
    </row>
    <row r="6102" spans="1:40" x14ac:dyDescent="0.25">
      <c r="A6102" t="str">
        <f>"20190312172826577"</f>
        <v>20190312172826577</v>
      </c>
      <c r="B6102" t="str">
        <f>"1552382906566010"</f>
        <v>1552382906566010</v>
      </c>
      <c r="C6102" t="s">
        <v>40</v>
      </c>
      <c r="D6102">
        <v>3.449713</v>
      </c>
      <c r="E6102">
        <v>0.49203449999999999</v>
      </c>
      <c r="F6102" t="s">
        <v>41</v>
      </c>
      <c r="G6102">
        <v>-187.09989999999999</v>
      </c>
      <c r="H6102" s="1">
        <v>-4.2756369999999997E-6</v>
      </c>
      <c r="I6102">
        <v>-11.59976</v>
      </c>
      <c r="J6102">
        <v>-187.98840000000001</v>
      </c>
      <c r="K6102">
        <v>1.108784</v>
      </c>
      <c r="L6102">
        <v>-26.46472</v>
      </c>
      <c r="M6102">
        <v>0.101974</v>
      </c>
      <c r="N6102">
        <v>0</v>
      </c>
      <c r="O6102">
        <v>0.99469019999999997</v>
      </c>
      <c r="P6102">
        <v>9.3295749999999997E-2</v>
      </c>
      <c r="Q6102">
        <v>0.20352149999999999</v>
      </c>
      <c r="R6102">
        <v>0.97461529999999996</v>
      </c>
      <c r="S6102">
        <v>0.18865970000000001</v>
      </c>
      <c r="T6102">
        <v>-0.227386</v>
      </c>
      <c r="U6102">
        <v>3.1067499999999999</v>
      </c>
      <c r="V6102">
        <v>-5.818078E-3</v>
      </c>
      <c r="W6102">
        <v>0.21711559999999999</v>
      </c>
      <c r="X6102">
        <v>0.97612860000000001</v>
      </c>
      <c r="Y6102">
        <v>-4.1657769999999997E-2</v>
      </c>
      <c r="Z6102">
        <v>-7.2328249999999997E-2</v>
      </c>
      <c r="AA6102">
        <v>0.99651060000000002</v>
      </c>
      <c r="AB6102">
        <v>25</v>
      </c>
      <c r="AC6102">
        <v>0.88850000000002105</v>
      </c>
      <c r="AD6102">
        <v>-1.108788275637</v>
      </c>
      <c r="AE6102">
        <v>14.86496</v>
      </c>
      <c r="AF6102">
        <v>-0.628632975785825</v>
      </c>
      <c r="AG6102">
        <v>-1.108788275637</v>
      </c>
      <c r="AH6102">
        <v>14.796038764174099</v>
      </c>
      <c r="AI6102">
        <v>94.281782914271602</v>
      </c>
      <c r="AJ6102">
        <v>92.432838156507003</v>
      </c>
      <c r="AK6102">
        <v>14.8508368104083</v>
      </c>
      <c r="AL6102">
        <v>77.460325923755306</v>
      </c>
      <c r="AM6102">
        <v>90.341499436475502</v>
      </c>
      <c r="AN6102">
        <v>1.00000003876646</v>
      </c>
    </row>
    <row r="6103" spans="1:40" x14ac:dyDescent="0.25">
      <c r="A6103" t="str">
        <f>"20190312172826599"</f>
        <v>20190312172826599</v>
      </c>
      <c r="B6103" t="str">
        <f>"1552382906595290"</f>
        <v>1552382906595290</v>
      </c>
      <c r="C6103" t="s">
        <v>40</v>
      </c>
      <c r="D6103">
        <v>3.4569879999999999</v>
      </c>
      <c r="E6103">
        <v>0.49186269999999999</v>
      </c>
      <c r="F6103" t="s">
        <v>41</v>
      </c>
      <c r="G6103">
        <v>-187.0377</v>
      </c>
      <c r="H6103" s="1">
        <v>-4.4554760000000001E-6</v>
      </c>
      <c r="I6103">
        <v>-11.20626</v>
      </c>
      <c r="J6103">
        <v>-187.9615</v>
      </c>
      <c r="K6103">
        <v>1.1088070000000001</v>
      </c>
      <c r="L6103">
        <v>-26.225709999999999</v>
      </c>
      <c r="M6103">
        <v>0.1040307</v>
      </c>
      <c r="N6103">
        <v>0</v>
      </c>
      <c r="O6103">
        <v>0.99447730000000001</v>
      </c>
      <c r="P6103">
        <v>9.580205E-2</v>
      </c>
      <c r="Q6103">
        <v>0.204349</v>
      </c>
      <c r="R6103">
        <v>0.97419889999999998</v>
      </c>
      <c r="S6103">
        <v>0.193573</v>
      </c>
      <c r="T6103">
        <v>-0.2257586</v>
      </c>
      <c r="U6103">
        <v>3.1067499999999999</v>
      </c>
      <c r="V6103">
        <v>-5.317184E-3</v>
      </c>
      <c r="W6103">
        <v>0.2179352</v>
      </c>
      <c r="X6103">
        <v>0.97594879999999995</v>
      </c>
      <c r="Y6103">
        <v>-4.2151370000000001E-2</v>
      </c>
      <c r="Z6103">
        <v>-7.1786030000000001E-2</v>
      </c>
      <c r="AA6103">
        <v>0.996529</v>
      </c>
      <c r="AB6103">
        <v>25</v>
      </c>
      <c r="AC6103">
        <v>0.92379999999999995</v>
      </c>
      <c r="AD6103">
        <v>-1.10881145547599</v>
      </c>
      <c r="AE6103">
        <v>15.019450000000001</v>
      </c>
      <c r="AF6103">
        <v>-0.64037079065543401</v>
      </c>
      <c r="AG6103">
        <v>-1.10881145547599</v>
      </c>
      <c r="AH6103">
        <v>14.9528648345298</v>
      </c>
      <c r="AI6103">
        <v>94.2370671073664</v>
      </c>
      <c r="AJ6103">
        <v>92.452248299196498</v>
      </c>
      <c r="AK6103">
        <v>15.007588225729</v>
      </c>
      <c r="AL6103">
        <v>77.412214294695403</v>
      </c>
      <c r="AM6103">
        <v>90.312156936723696</v>
      </c>
      <c r="AN6103">
        <v>1.0000000420330799</v>
      </c>
    </row>
    <row r="6104" spans="1:40" x14ac:dyDescent="0.25">
      <c r="A6104" t="str">
        <f>"20190312172826620"</f>
        <v>20190312172826620</v>
      </c>
      <c r="B6104" t="str">
        <f>"1552382906615786"</f>
        <v>1552382906615786</v>
      </c>
      <c r="C6104" t="s">
        <v>40</v>
      </c>
      <c r="D6104">
        <v>3.4330409999999998</v>
      </c>
      <c r="E6104">
        <v>0.49177759999999998</v>
      </c>
      <c r="F6104" t="s">
        <v>41</v>
      </c>
      <c r="G6104">
        <v>-186.9734</v>
      </c>
      <c r="H6104" s="1">
        <v>-4.6762539999999996E-6</v>
      </c>
      <c r="I6104">
        <v>-10.71819</v>
      </c>
      <c r="J6104">
        <v>-187.93539999999999</v>
      </c>
      <c r="K6104">
        <v>1.1088469999999999</v>
      </c>
      <c r="L6104">
        <v>-25.99765</v>
      </c>
      <c r="M6104">
        <v>0.10593950000000001</v>
      </c>
      <c r="N6104">
        <v>0</v>
      </c>
      <c r="O6104">
        <v>0.99427569999999998</v>
      </c>
      <c r="P6104">
        <v>9.7836290000000006E-2</v>
      </c>
      <c r="Q6104">
        <v>0.20400889999999999</v>
      </c>
      <c r="R6104">
        <v>0.97406800000000004</v>
      </c>
      <c r="S6104">
        <v>0.197937</v>
      </c>
      <c r="T6104">
        <v>-0.22212660000000001</v>
      </c>
      <c r="U6104">
        <v>3.106598</v>
      </c>
      <c r="V6104">
        <v>-5.1803070000000003E-3</v>
      </c>
      <c r="W6104">
        <v>0.2175917</v>
      </c>
      <c r="X6104">
        <v>0.97602610000000001</v>
      </c>
      <c r="Y6104">
        <v>-4.2666639999999999E-2</v>
      </c>
      <c r="Z6104">
        <v>-7.0615140000000007E-2</v>
      </c>
      <c r="AA6104">
        <v>0.99659070000000005</v>
      </c>
      <c r="AB6104">
        <v>25</v>
      </c>
      <c r="AC6104">
        <v>0.96199999999998898</v>
      </c>
      <c r="AD6104">
        <v>-1.1088516762539999</v>
      </c>
      <c r="AE6104">
        <v>15.27946</v>
      </c>
      <c r="AF6104">
        <v>-0.65881291794568098</v>
      </c>
      <c r="AG6104">
        <v>-1.1088516762539999</v>
      </c>
      <c r="AH6104">
        <v>15.2155650203701</v>
      </c>
      <c r="AI6104">
        <v>94.164238979491998</v>
      </c>
      <c r="AJ6104">
        <v>92.479279410722299</v>
      </c>
      <c r="AK6104">
        <v>15.2701344260584</v>
      </c>
      <c r="AL6104">
        <v>77.432378347871804</v>
      </c>
      <c r="AM6104">
        <v>90.304097339894398</v>
      </c>
      <c r="AN6104">
        <v>0.99999996568535598</v>
      </c>
    </row>
    <row r="6105" spans="1:40" x14ac:dyDescent="0.25">
      <c r="A6105" t="str">
        <f>"20190312172826641"</f>
        <v>20190312172826641</v>
      </c>
      <c r="B6105" t="str">
        <f>"1552382906635306"</f>
        <v>1552382906635306</v>
      </c>
      <c r="C6105" t="s">
        <v>40</v>
      </c>
      <c r="D6105">
        <v>3.4753750000000001</v>
      </c>
      <c r="E6105">
        <v>0.49172909999999997</v>
      </c>
      <c r="F6105" t="s">
        <v>41</v>
      </c>
      <c r="G6105">
        <v>-186.9299</v>
      </c>
      <c r="H6105" s="1">
        <v>-4.740409E-6</v>
      </c>
      <c r="I6105">
        <v>-10.58663</v>
      </c>
      <c r="J6105">
        <v>-187.9085</v>
      </c>
      <c r="K6105">
        <v>1.1088910000000001</v>
      </c>
      <c r="L6105">
        <v>-25.76559</v>
      </c>
      <c r="M6105">
        <v>0.1078035</v>
      </c>
      <c r="N6105">
        <v>0</v>
      </c>
      <c r="O6105">
        <v>0.99407540000000005</v>
      </c>
      <c r="P6105">
        <v>9.8375039999999997E-2</v>
      </c>
      <c r="Q6105">
        <v>0.2026462</v>
      </c>
      <c r="R6105">
        <v>0.97429809999999994</v>
      </c>
      <c r="S6105">
        <v>0.20266719999999999</v>
      </c>
      <c r="T6105">
        <v>-0.2235057</v>
      </c>
      <c r="U6105">
        <v>3.1063230000000002</v>
      </c>
      <c r="V6105">
        <v>-6.5389819999999996E-3</v>
      </c>
      <c r="W6105">
        <v>0.21623249999999999</v>
      </c>
      <c r="X6105">
        <v>0.97631999999999997</v>
      </c>
      <c r="Y6105">
        <v>-4.3024930000000003E-2</v>
      </c>
      <c r="Z6105">
        <v>-7.1032090000000006E-2</v>
      </c>
      <c r="AA6105">
        <v>0.99654569999999998</v>
      </c>
      <c r="AB6105">
        <v>25</v>
      </c>
      <c r="AC6105">
        <v>0.97860000000000003</v>
      </c>
      <c r="AD6105">
        <v>-1.1088957404090001</v>
      </c>
      <c r="AE6105">
        <v>15.17896</v>
      </c>
      <c r="AF6105">
        <v>-0.66009834067842499</v>
      </c>
      <c r="AG6105">
        <v>-1.1088957404090001</v>
      </c>
      <c r="AH6105">
        <v>15.1156516137609</v>
      </c>
      <c r="AI6105">
        <v>94.191765198862896</v>
      </c>
      <c r="AJ6105">
        <v>92.5005097536515</v>
      </c>
      <c r="AK6105">
        <v>15.170639514900399</v>
      </c>
      <c r="AL6105">
        <v>77.512154554484098</v>
      </c>
      <c r="AM6105">
        <v>90.383737369926806</v>
      </c>
      <c r="AN6105">
        <v>0.99999999737092304</v>
      </c>
    </row>
    <row r="6106" spans="1:40" x14ac:dyDescent="0.25">
      <c r="A6106" t="str">
        <f>"20190312172826664"</f>
        <v>20190312172826664</v>
      </c>
      <c r="B6106" t="str">
        <f>"1552382906655802"</f>
        <v>1552382906655802</v>
      </c>
      <c r="C6106" t="s">
        <v>40</v>
      </c>
      <c r="D6106">
        <v>3.453964</v>
      </c>
      <c r="E6106">
        <v>0.49161660000000001</v>
      </c>
      <c r="F6106" t="s">
        <v>41</v>
      </c>
      <c r="G6106">
        <v>-186.9152</v>
      </c>
      <c r="H6106" s="1">
        <v>-4.698192E-6</v>
      </c>
      <c r="I6106">
        <v>-10.691140000000001</v>
      </c>
      <c r="J6106">
        <v>-187.87909999999999</v>
      </c>
      <c r="K6106">
        <v>1.108968</v>
      </c>
      <c r="L6106">
        <v>-25.515989999999999</v>
      </c>
      <c r="M6106">
        <v>0.10969569999999999</v>
      </c>
      <c r="N6106">
        <v>0</v>
      </c>
      <c r="O6106">
        <v>0.99386850000000004</v>
      </c>
      <c r="P6106">
        <v>9.9591550000000001E-2</v>
      </c>
      <c r="Q6106">
        <v>0.2019445</v>
      </c>
      <c r="R6106">
        <v>0.97432019999999997</v>
      </c>
      <c r="S6106">
        <v>0.20466609999999999</v>
      </c>
      <c r="T6106">
        <v>-0.2284803</v>
      </c>
      <c r="U6106">
        <v>3.105988</v>
      </c>
      <c r="V6106">
        <v>-7.2421769999999998E-3</v>
      </c>
      <c r="W6106">
        <v>0.21552850000000001</v>
      </c>
      <c r="X6106">
        <v>0.97647070000000002</v>
      </c>
      <c r="Y6106">
        <v>-4.4288609999999999E-2</v>
      </c>
      <c r="Z6106">
        <v>-7.2586280000000003E-2</v>
      </c>
      <c r="AA6106">
        <v>0.99637830000000005</v>
      </c>
      <c r="AB6106">
        <v>24</v>
      </c>
      <c r="AC6106">
        <v>0.96389999999999498</v>
      </c>
      <c r="AD6106">
        <v>-1.1089726981919901</v>
      </c>
      <c r="AE6106">
        <v>14.82485</v>
      </c>
      <c r="AF6106">
        <v>-0.66459342979044</v>
      </c>
      <c r="AG6106">
        <v>-1.1089726981919901</v>
      </c>
      <c r="AH6106">
        <v>14.7588740171496</v>
      </c>
      <c r="AI6106">
        <v>94.292760929499195</v>
      </c>
      <c r="AJ6106">
        <v>92.578292391275696</v>
      </c>
      <c r="AK6106">
        <v>14.815392911642601</v>
      </c>
      <c r="AL6106">
        <v>77.553464996025696</v>
      </c>
      <c r="AM6106">
        <v>90.424937039575397</v>
      </c>
      <c r="AN6106">
        <v>1.00000000569921</v>
      </c>
    </row>
    <row r="6107" spans="1:40" x14ac:dyDescent="0.25">
      <c r="A6107" t="str">
        <f>"20190312172826686"</f>
        <v>20190312172826686</v>
      </c>
      <c r="B6107" t="str">
        <f>"1552382906676298"</f>
        <v>1552382906676298</v>
      </c>
      <c r="C6107" t="s">
        <v>40</v>
      </c>
      <c r="D6107">
        <v>3.4777079999999998</v>
      </c>
      <c r="E6107">
        <v>0.49152119999999999</v>
      </c>
      <c r="F6107" t="s">
        <v>41</v>
      </c>
      <c r="G6107">
        <v>-186.88159999999999</v>
      </c>
      <c r="H6107" s="1">
        <v>-4.7199039999999996E-6</v>
      </c>
      <c r="I6107">
        <v>-10.65441</v>
      </c>
      <c r="J6107">
        <v>-187.851</v>
      </c>
      <c r="K6107">
        <v>1.1090719999999901</v>
      </c>
      <c r="L6107">
        <v>-25.27966</v>
      </c>
      <c r="M6107">
        <v>0.11135150000000001</v>
      </c>
      <c r="N6107">
        <v>0</v>
      </c>
      <c r="O6107">
        <v>0.99368440000000002</v>
      </c>
      <c r="P6107">
        <v>0.1005939</v>
      </c>
      <c r="Q6107">
        <v>0.2015903</v>
      </c>
      <c r="R6107">
        <v>0.97429060000000001</v>
      </c>
      <c r="S6107">
        <v>0.2084656</v>
      </c>
      <c r="T6107">
        <v>-0.2317555</v>
      </c>
      <c r="U6107">
        <v>3.105804</v>
      </c>
      <c r="V6107">
        <v>-7.9282060000000001E-3</v>
      </c>
      <c r="W6107">
        <v>0.2151709</v>
      </c>
      <c r="X6107">
        <v>0.97654419999999997</v>
      </c>
      <c r="Y6107">
        <v>-4.4740780000000001E-2</v>
      </c>
      <c r="Z6107">
        <v>-7.3601219999999995E-2</v>
      </c>
      <c r="AA6107">
        <v>0.99628369999999999</v>
      </c>
      <c r="AB6107">
        <v>24</v>
      </c>
      <c r="AC6107">
        <v>0.96940000000000703</v>
      </c>
      <c r="AD6107">
        <v>-1.1090767199039999</v>
      </c>
      <c r="AE6107">
        <v>14.625249999999999</v>
      </c>
      <c r="AF6107">
        <v>-0.66154214127398803</v>
      </c>
      <c r="AG6107">
        <v>-1.1090767199039999</v>
      </c>
      <c r="AH6107">
        <v>14.558877064297199</v>
      </c>
      <c r="AI6107">
        <v>94.351832660590503</v>
      </c>
      <c r="AJ6107">
        <v>92.6016785584399</v>
      </c>
      <c r="AK6107">
        <v>14.616038811820101</v>
      </c>
      <c r="AL6107">
        <v>77.574445844856399</v>
      </c>
      <c r="AM6107">
        <v>90.465153305947297</v>
      </c>
      <c r="AN6107">
        <v>0.99999997360541304</v>
      </c>
    </row>
    <row r="6108" spans="1:40" x14ac:dyDescent="0.25">
      <c r="A6108" t="str">
        <f>"20190312172826708"</f>
        <v>20190312172826708</v>
      </c>
      <c r="B6108" t="str">
        <f>"1552382906705578"</f>
        <v>1552382906705578</v>
      </c>
      <c r="C6108" t="s">
        <v>40</v>
      </c>
      <c r="D6108">
        <v>3.519336</v>
      </c>
      <c r="E6108">
        <v>0.49136340000000001</v>
      </c>
      <c r="F6108" t="s">
        <v>41</v>
      </c>
      <c r="G6108">
        <v>-186.8502</v>
      </c>
      <c r="H6108" s="1">
        <v>-4.7812820000000002E-6</v>
      </c>
      <c r="I6108">
        <v>-10.524330000000001</v>
      </c>
      <c r="J6108">
        <v>-187.8218</v>
      </c>
      <c r="K6108">
        <v>1.1091949999999999</v>
      </c>
      <c r="L6108">
        <v>-25.035889999999998</v>
      </c>
      <c r="M6108">
        <v>0.11289100000000001</v>
      </c>
      <c r="N6108">
        <v>0</v>
      </c>
      <c r="O6108">
        <v>0.99351080000000003</v>
      </c>
      <c r="P6108">
        <v>0.1017502</v>
      </c>
      <c r="Q6108">
        <v>0.20138780000000001</v>
      </c>
      <c r="R6108">
        <v>0.97421239999999998</v>
      </c>
      <c r="S6108">
        <v>0.21066280000000001</v>
      </c>
      <c r="T6108">
        <v>-0.23343920000000001</v>
      </c>
      <c r="U6108">
        <v>3.1057130000000002</v>
      </c>
      <c r="V6108">
        <v>-8.3537360000000005E-3</v>
      </c>
      <c r="W6108">
        <v>0.21496180000000001</v>
      </c>
      <c r="X6108">
        <v>0.97658670000000003</v>
      </c>
      <c r="Y6108">
        <v>-4.5587629999999997E-2</v>
      </c>
      <c r="Z6108">
        <v>-7.4112510000000006E-2</v>
      </c>
      <c r="AA6108">
        <v>0.99620739999999997</v>
      </c>
      <c r="AB6108">
        <v>24</v>
      </c>
      <c r="AC6108">
        <v>0.97159999999999502</v>
      </c>
      <c r="AD6108">
        <v>-1.109199781282</v>
      </c>
      <c r="AE6108">
        <v>14.5115599999999</v>
      </c>
      <c r="AF6108">
        <v>-0.66910228966756002</v>
      </c>
      <c r="AG6108">
        <v>-1.109199781282</v>
      </c>
      <c r="AH6108">
        <v>14.444456951747499</v>
      </c>
      <c r="AI6108">
        <v>94.386479276306801</v>
      </c>
      <c r="AJ6108">
        <v>92.652183606952903</v>
      </c>
      <c r="AK6108">
        <v>14.5024259577397</v>
      </c>
      <c r="AL6108">
        <v>77.586713435154394</v>
      </c>
      <c r="AM6108">
        <v>90.4900969288407</v>
      </c>
      <c r="AN6108">
        <v>0.99999997149064301</v>
      </c>
    </row>
    <row r="6109" spans="1:40" x14ac:dyDescent="0.25">
      <c r="A6109" t="str">
        <f>"20190312172826730"</f>
        <v>20190312172826730</v>
      </c>
      <c r="B6109" t="str">
        <f>"1552382906726074"</f>
        <v>1552382906726074</v>
      </c>
      <c r="C6109" t="s">
        <v>40</v>
      </c>
      <c r="D6109">
        <v>3.5072459999999999</v>
      </c>
      <c r="E6109">
        <v>0.49124810000000002</v>
      </c>
      <c r="F6109" t="s">
        <v>41</v>
      </c>
      <c r="G6109">
        <v>-186.8194</v>
      </c>
      <c r="H6109" s="1">
        <v>-8.4164329999999996E-7</v>
      </c>
      <c r="I6109">
        <v>-10.365539999999999</v>
      </c>
      <c r="J6109">
        <v>-187.79300000000001</v>
      </c>
      <c r="K6109">
        <v>1.109334</v>
      </c>
      <c r="L6109">
        <v>-24.79645</v>
      </c>
      <c r="M6109">
        <v>0.1141973</v>
      </c>
      <c r="N6109">
        <v>0</v>
      </c>
      <c r="O6109">
        <v>0.99336150000000001</v>
      </c>
      <c r="P6109">
        <v>0.1029269</v>
      </c>
      <c r="Q6109">
        <v>0.201624</v>
      </c>
      <c r="R6109">
        <v>0.97404000000000002</v>
      </c>
      <c r="S6109">
        <v>0.2122192</v>
      </c>
      <c r="T6109">
        <v>-0.23482130000000001</v>
      </c>
      <c r="U6109">
        <v>3.1057739999999998</v>
      </c>
      <c r="V6109">
        <v>-8.5237379999999995E-3</v>
      </c>
      <c r="W6109">
        <v>0.21518950000000001</v>
      </c>
      <c r="X6109">
        <v>0.97653509999999999</v>
      </c>
      <c r="Y6109">
        <v>-4.6407650000000002E-2</v>
      </c>
      <c r="Z6109">
        <v>-7.4527899999999994E-2</v>
      </c>
      <c r="AA6109">
        <v>0.99613850000000004</v>
      </c>
      <c r="AB6109">
        <v>24</v>
      </c>
      <c r="AC6109">
        <v>0.97360000000000402</v>
      </c>
      <c r="AD6109">
        <v>-1.1093348416433</v>
      </c>
      <c r="AE6109">
        <v>14.430910000000001</v>
      </c>
      <c r="AF6109">
        <v>-0.67691753915746899</v>
      </c>
      <c r="AG6109">
        <v>-1.1093348416433</v>
      </c>
      <c r="AH6109">
        <v>14.3631871104845</v>
      </c>
      <c r="AI6109">
        <v>94.411571011975099</v>
      </c>
      <c r="AJ6109">
        <v>92.698275883916907</v>
      </c>
      <c r="AK6109">
        <v>14.421857894061</v>
      </c>
      <c r="AL6109">
        <v>77.573354764962801</v>
      </c>
      <c r="AM6109">
        <v>90.500096525921904</v>
      </c>
      <c r="AN6109">
        <v>0.999999988275876</v>
      </c>
    </row>
    <row r="6110" spans="1:40" x14ac:dyDescent="0.25">
      <c r="A6110" t="str">
        <f>"20190312172826751"</f>
        <v>20190312172826751</v>
      </c>
      <c r="B6110" t="str">
        <f>"1552382906745594"</f>
        <v>1552382906745594</v>
      </c>
      <c r="C6110" t="s">
        <v>40</v>
      </c>
      <c r="D6110">
        <v>3.466078</v>
      </c>
      <c r="E6110">
        <v>0.4912436</v>
      </c>
      <c r="F6110" t="s">
        <v>41</v>
      </c>
      <c r="G6110">
        <v>-186.7792</v>
      </c>
      <c r="H6110" s="1">
        <v>-9.4403650000000004E-7</v>
      </c>
      <c r="I6110">
        <v>-10.096069999999999</v>
      </c>
      <c r="J6110">
        <v>-187.76519999999999</v>
      </c>
      <c r="K6110">
        <v>1.109461</v>
      </c>
      <c r="L6110">
        <v>-24.566990000000001</v>
      </c>
      <c r="M6110">
        <v>0.1152898</v>
      </c>
      <c r="N6110">
        <v>0</v>
      </c>
      <c r="O6110">
        <v>0.99323539999999999</v>
      </c>
      <c r="P6110">
        <v>0.1037713</v>
      </c>
      <c r="Q6110">
        <v>0.20175109999999999</v>
      </c>
      <c r="R6110">
        <v>0.97392400000000001</v>
      </c>
      <c r="S6110">
        <v>0.21418760000000001</v>
      </c>
      <c r="T6110">
        <v>-0.23437559999999999</v>
      </c>
      <c r="U6110">
        <v>3.1058349999999999</v>
      </c>
      <c r="V6110">
        <v>-8.8135969999999994E-3</v>
      </c>
      <c r="W6110">
        <v>0.21530869999999999</v>
      </c>
      <c r="X6110">
        <v>0.97650630000000005</v>
      </c>
      <c r="Y6110">
        <v>-4.6878540000000003E-2</v>
      </c>
      <c r="Z6110">
        <v>-7.4369179999999993E-2</v>
      </c>
      <c r="AA6110">
        <v>0.99612829999999997</v>
      </c>
      <c r="AB6110">
        <v>24</v>
      </c>
      <c r="AC6110">
        <v>0.98599999999999</v>
      </c>
      <c r="AD6110">
        <v>-1.1094619440364999</v>
      </c>
      <c r="AE6110">
        <v>14.47092</v>
      </c>
      <c r="AF6110">
        <v>-0.68507711924405901</v>
      </c>
      <c r="AG6110">
        <v>-1.1094619440364999</v>
      </c>
      <c r="AH6110">
        <v>14.4038195519674</v>
      </c>
      <c r="AI6110">
        <v>94.399587421822403</v>
      </c>
      <c r="AJ6110">
        <v>92.723060324427706</v>
      </c>
      <c r="AK6110">
        <v>14.462719459016499</v>
      </c>
      <c r="AL6110">
        <v>77.566361760909899</v>
      </c>
      <c r="AM6110">
        <v>90.517117195027097</v>
      </c>
      <c r="AN6110">
        <v>1.0000000348637199</v>
      </c>
    </row>
    <row r="6111" spans="1:40" x14ac:dyDescent="0.25">
      <c r="A6111" t="str">
        <f>"20190312172826778"</f>
        <v>20190312172826778</v>
      </c>
      <c r="B6111" t="str">
        <f>"1552382906775850"</f>
        <v>1552382906775850</v>
      </c>
      <c r="C6111" t="s">
        <v>40</v>
      </c>
      <c r="D6111">
        <v>3.5141469999999999</v>
      </c>
      <c r="E6111">
        <v>0.4912263</v>
      </c>
      <c r="F6111" t="s">
        <v>41</v>
      </c>
      <c r="G6111">
        <v>-186.73949999999999</v>
      </c>
      <c r="H6111" s="1">
        <v>-1.043115E-6</v>
      </c>
      <c r="I6111">
        <v>-9.8359389999999998</v>
      </c>
      <c r="J6111">
        <v>-187.73</v>
      </c>
      <c r="K6111">
        <v>1.10961</v>
      </c>
      <c r="L6111">
        <v>-24.276430000000001</v>
      </c>
      <c r="M6111">
        <v>0.1164196</v>
      </c>
      <c r="N6111">
        <v>0</v>
      </c>
      <c r="O6111">
        <v>0.99310370000000003</v>
      </c>
      <c r="P6111">
        <v>0.10446660000000001</v>
      </c>
      <c r="Q6111">
        <v>0.20174929999999999</v>
      </c>
      <c r="R6111">
        <v>0.97385010000000005</v>
      </c>
      <c r="S6111">
        <v>0.21624760000000001</v>
      </c>
      <c r="T6111">
        <v>-0.23390759999999999</v>
      </c>
      <c r="U6111">
        <v>3.1057429999999999</v>
      </c>
      <c r="V6111">
        <v>-9.3095209999999994E-3</v>
      </c>
      <c r="W6111">
        <v>0.2152975</v>
      </c>
      <c r="X6111">
        <v>0.97650409999999999</v>
      </c>
      <c r="Y6111">
        <v>-4.7354529999999999E-2</v>
      </c>
      <c r="Z6111">
        <v>-7.4206369999999994E-2</v>
      </c>
      <c r="AA6111">
        <v>0.9961179</v>
      </c>
      <c r="AB6111">
        <v>24</v>
      </c>
      <c r="AC6111">
        <v>0.99049999999999705</v>
      </c>
      <c r="AD6111">
        <v>-1.1096110431149999</v>
      </c>
      <c r="AE6111">
        <v>14.4404909999999</v>
      </c>
      <c r="AF6111">
        <v>-0.69347835451442097</v>
      </c>
      <c r="AG6111">
        <v>-1.1096110431149999</v>
      </c>
      <c r="AH6111">
        <v>14.3731354709016</v>
      </c>
      <c r="AI6111">
        <v>94.409388921736294</v>
      </c>
      <c r="AJ6111">
        <v>92.762277882821493</v>
      </c>
      <c r="AK6111">
        <v>14.432573303471299</v>
      </c>
      <c r="AL6111">
        <v>77.567018053013399</v>
      </c>
      <c r="AM6111">
        <v>90.546213890650293</v>
      </c>
      <c r="AN6111">
        <v>0.99999996900215404</v>
      </c>
    </row>
    <row r="6112" spans="1:40" x14ac:dyDescent="0.25">
      <c r="A6112" t="str">
        <f>"20190312172826799"</f>
        <v>20190312172826799</v>
      </c>
      <c r="B6112" t="str">
        <f>"1552382906795371"</f>
        <v>1552382906795371</v>
      </c>
      <c r="C6112" t="s">
        <v>40</v>
      </c>
      <c r="D6112">
        <v>3.7755839999999998</v>
      </c>
      <c r="E6112">
        <v>0.49113800000000002</v>
      </c>
      <c r="F6112" t="s">
        <v>41</v>
      </c>
      <c r="G6112">
        <v>-186.69540000000001</v>
      </c>
      <c r="H6112" s="1">
        <v>-1.150076E-6</v>
      </c>
      <c r="I6112">
        <v>-9.556108</v>
      </c>
      <c r="J6112">
        <v>-187.7029</v>
      </c>
      <c r="K6112">
        <v>1.109739</v>
      </c>
      <c r="L6112">
        <v>-24.053280000000001</v>
      </c>
      <c r="M6112">
        <v>0.11707480000000001</v>
      </c>
      <c r="N6112">
        <v>0</v>
      </c>
      <c r="O6112">
        <v>0.99302670000000004</v>
      </c>
      <c r="P6112">
        <v>0.1050509</v>
      </c>
      <c r="Q6112">
        <v>0.2022871</v>
      </c>
      <c r="R6112">
        <v>0.97367559999999997</v>
      </c>
      <c r="S6112">
        <v>0.2182617</v>
      </c>
      <c r="T6112">
        <v>-0.2341027</v>
      </c>
      <c r="U6112">
        <v>3.1056520000000001</v>
      </c>
      <c r="V6112">
        <v>-9.4210779999999994E-3</v>
      </c>
      <c r="W6112">
        <v>0.2158265</v>
      </c>
      <c r="X6112">
        <v>0.97638630000000004</v>
      </c>
      <c r="Y6112">
        <v>-4.7368939999999998E-2</v>
      </c>
      <c r="Z6112">
        <v>-7.4259770000000003E-2</v>
      </c>
      <c r="AA6112">
        <v>0.99611329999999998</v>
      </c>
      <c r="AB6112">
        <v>24</v>
      </c>
      <c r="AC6112">
        <v>1.0074999999999901</v>
      </c>
      <c r="AD6112">
        <v>-1.109740150076</v>
      </c>
      <c r="AE6112">
        <v>14.4971719999999</v>
      </c>
      <c r="AF6112">
        <v>-0.69280569923554003</v>
      </c>
      <c r="AG6112">
        <v>-1.109740150076</v>
      </c>
      <c r="AH6112">
        <v>14.4312648387082</v>
      </c>
      <c r="AI6112">
        <v>94.392257063933897</v>
      </c>
      <c r="AJ6112">
        <v>92.748504046665303</v>
      </c>
      <c r="AK6112">
        <v>14.4904419457282</v>
      </c>
      <c r="AL6112">
        <v>77.535979513836097</v>
      </c>
      <c r="AM6112">
        <v>90.552825512876595</v>
      </c>
      <c r="AN6112">
        <v>1.0000000208203099</v>
      </c>
    </row>
    <row r="6113" spans="1:40" x14ac:dyDescent="0.25">
      <c r="A6113" t="str">
        <f>"20190312172826820"</f>
        <v>20190312172826820</v>
      </c>
      <c r="B6113" t="str">
        <f>"1552382906815866"</f>
        <v>1552382906815866</v>
      </c>
      <c r="C6113" t="s">
        <v>40</v>
      </c>
      <c r="D6113">
        <v>3.49512</v>
      </c>
      <c r="E6113">
        <v>0.49111559999999999</v>
      </c>
      <c r="F6113" t="s">
        <v>41</v>
      </c>
      <c r="G6113">
        <v>-186.6609</v>
      </c>
      <c r="H6113" s="1">
        <v>-1.2666329999999999E-6</v>
      </c>
      <c r="I6113">
        <v>-9.2406439999999996</v>
      </c>
      <c r="J6113">
        <v>-187.67609999999999</v>
      </c>
      <c r="K6113">
        <v>1.1098859999999999</v>
      </c>
      <c r="L6113">
        <v>-23.831700000000001</v>
      </c>
      <c r="M6113">
        <v>0.1175168</v>
      </c>
      <c r="N6113">
        <v>0</v>
      </c>
      <c r="O6113">
        <v>0.99297460000000004</v>
      </c>
      <c r="P6113">
        <v>0.1045252</v>
      </c>
      <c r="Q6113">
        <v>0.20264769999999999</v>
      </c>
      <c r="R6113">
        <v>0.9736572</v>
      </c>
      <c r="S6113">
        <v>0.21849060000000001</v>
      </c>
      <c r="T6113">
        <v>-0.2326868</v>
      </c>
      <c r="U6113">
        <v>3.1058650000000001</v>
      </c>
      <c r="V6113">
        <v>-1.045336E-2</v>
      </c>
      <c r="W6113">
        <v>0.2161785</v>
      </c>
      <c r="X6113">
        <v>0.97629790000000005</v>
      </c>
      <c r="Y6113">
        <v>-4.7742809999999997E-2</v>
      </c>
      <c r="Z6113">
        <v>-7.3801409999999998E-2</v>
      </c>
      <c r="AA6113">
        <v>0.9961295</v>
      </c>
      <c r="AB6113">
        <v>24</v>
      </c>
      <c r="AC6113">
        <v>1.0151999999999901</v>
      </c>
      <c r="AD6113">
        <v>-1.109887266633</v>
      </c>
      <c r="AE6113">
        <v>14.591056</v>
      </c>
      <c r="AF6113">
        <v>-0.70264798536017803</v>
      </c>
      <c r="AG6113">
        <v>-1.109887266633</v>
      </c>
      <c r="AH6113">
        <v>14.525606702222101</v>
      </c>
      <c r="AI6113">
        <v>94.364340312112901</v>
      </c>
      <c r="AJ6113">
        <v>92.769413194433795</v>
      </c>
      <c r="AK6113">
        <v>14.5848830644474</v>
      </c>
      <c r="AL6113">
        <v>77.515323550667503</v>
      </c>
      <c r="AM6113">
        <v>90.613450590733805</v>
      </c>
      <c r="AN6113">
        <v>1.0000000030709699</v>
      </c>
    </row>
    <row r="6114" spans="1:40" x14ac:dyDescent="0.25">
      <c r="A6114" t="str">
        <f>"20190312172826842"</f>
        <v>20190312172826842</v>
      </c>
      <c r="B6114" t="str">
        <f>"1552382906835387"</f>
        <v>1552382906835387</v>
      </c>
      <c r="C6114" t="s">
        <v>40</v>
      </c>
      <c r="D6114">
        <v>3.5151720000000002</v>
      </c>
      <c r="E6114">
        <v>0.49109409999999998</v>
      </c>
      <c r="F6114" t="s">
        <v>41</v>
      </c>
      <c r="G6114">
        <v>-186.63990000000001</v>
      </c>
      <c r="H6114" s="1">
        <v>-1.376122E-6</v>
      </c>
      <c r="I6114">
        <v>-8.9352929999999997</v>
      </c>
      <c r="J6114">
        <v>-187.64769999999999</v>
      </c>
      <c r="K6114">
        <v>1.110066</v>
      </c>
      <c r="L6114">
        <v>-23.59592</v>
      </c>
      <c r="M6114">
        <v>0.1177542</v>
      </c>
      <c r="N6114">
        <v>0</v>
      </c>
      <c r="O6114">
        <v>0.99294649999999995</v>
      </c>
      <c r="P6114">
        <v>0.1032613</v>
      </c>
      <c r="Q6114">
        <v>0.20233419999999999</v>
      </c>
      <c r="R6114">
        <v>0.97385730000000004</v>
      </c>
      <c r="S6114">
        <v>0.21606449999999999</v>
      </c>
      <c r="T6114">
        <v>-0.23142950000000001</v>
      </c>
      <c r="U6114">
        <v>3.1061399999999999</v>
      </c>
      <c r="V6114">
        <v>-1.2057989999999999E-2</v>
      </c>
      <c r="W6114">
        <v>0.21585770000000001</v>
      </c>
      <c r="X6114">
        <v>0.97635039999999995</v>
      </c>
      <c r="Y6114">
        <v>-4.8759980000000001E-2</v>
      </c>
      <c r="Z6114">
        <v>-7.33954E-2</v>
      </c>
      <c r="AA6114">
        <v>0.99611019999999995</v>
      </c>
      <c r="AB6114">
        <v>24</v>
      </c>
      <c r="AC6114">
        <v>1.0077999999999701</v>
      </c>
      <c r="AD6114">
        <v>-1.1100673761219999</v>
      </c>
      <c r="AE6114">
        <v>14.6606269999999</v>
      </c>
      <c r="AF6114">
        <v>-0.72161065577132399</v>
      </c>
      <c r="AG6114">
        <v>-1.1100673761219999</v>
      </c>
      <c r="AH6114">
        <v>14.594017910428899</v>
      </c>
      <c r="AI6114">
        <v>94.344436163024596</v>
      </c>
      <c r="AJ6114">
        <v>92.830721464892903</v>
      </c>
      <c r="AK6114">
        <v>14.6539527189074</v>
      </c>
      <c r="AL6114">
        <v>77.534148754358696</v>
      </c>
      <c r="AM6114">
        <v>90.707570575846105</v>
      </c>
      <c r="AN6114">
        <v>1.0000000226761401</v>
      </c>
    </row>
    <row r="6115" spans="1:40" x14ac:dyDescent="0.25">
      <c r="A6115" t="str">
        <f>"20190312172826864"</f>
        <v>20190312172826864</v>
      </c>
      <c r="B6115" t="str">
        <f>"1552382906855882"</f>
        <v>1552382906855882</v>
      </c>
      <c r="C6115" t="s">
        <v>40</v>
      </c>
      <c r="D6115">
        <v>3.5810819999999999</v>
      </c>
      <c r="E6115">
        <v>0.49107479999999998</v>
      </c>
      <c r="F6115" t="s">
        <v>41</v>
      </c>
      <c r="G6115">
        <v>-186.63239999999999</v>
      </c>
      <c r="H6115" s="1">
        <v>-1.4308959999999901E-6</v>
      </c>
      <c r="I6115">
        <v>-8.7802109999999995</v>
      </c>
      <c r="J6115">
        <v>-187.6181</v>
      </c>
      <c r="K6115">
        <v>1.11026</v>
      </c>
      <c r="L6115">
        <v>-23.348109999999998</v>
      </c>
      <c r="M6115">
        <v>0.1177441</v>
      </c>
      <c r="N6115">
        <v>0</v>
      </c>
      <c r="O6115">
        <v>0.99294780000000005</v>
      </c>
      <c r="P6115">
        <v>0.102232</v>
      </c>
      <c r="Q6115">
        <v>0.20236989999999999</v>
      </c>
      <c r="R6115">
        <v>0.9739584</v>
      </c>
      <c r="S6115">
        <v>0.21287539999999999</v>
      </c>
      <c r="T6115">
        <v>-0.23274149999999999</v>
      </c>
      <c r="U6115">
        <v>3.1063230000000002</v>
      </c>
      <c r="V6115">
        <v>-1.3186420000000001E-2</v>
      </c>
      <c r="W6115">
        <v>0.2158833</v>
      </c>
      <c r="X6115">
        <v>0.97633020000000004</v>
      </c>
      <c r="Y6115">
        <v>-4.9773770000000002E-2</v>
      </c>
      <c r="Z6115">
        <v>-7.3805700000000002E-2</v>
      </c>
      <c r="AA6115">
        <v>0.99602970000000002</v>
      </c>
      <c r="AB6115">
        <v>24</v>
      </c>
      <c r="AC6115">
        <v>0.98570000000000801</v>
      </c>
      <c r="AD6115">
        <v>-1.1102614308959999</v>
      </c>
      <c r="AE6115">
        <v>14.567899000000001</v>
      </c>
      <c r="AF6115">
        <v>-0.73237133639151397</v>
      </c>
      <c r="AG6115">
        <v>-1.1102614308959999</v>
      </c>
      <c r="AH6115">
        <v>14.4987853031055</v>
      </c>
      <c r="AI6115">
        <v>94.373391205163401</v>
      </c>
      <c r="AJ6115">
        <v>92.8917010256353</v>
      </c>
      <c r="AK6115">
        <v>14.5596642641529</v>
      </c>
      <c r="AL6115">
        <v>77.532647165335703</v>
      </c>
      <c r="AM6115">
        <v>90.773795871686104</v>
      </c>
      <c r="AN6115">
        <v>1.00000007016167</v>
      </c>
    </row>
    <row r="6116" spans="1:40" x14ac:dyDescent="0.25">
      <c r="A6116" t="str">
        <f>"20190312172826888"</f>
        <v>20190312172826888</v>
      </c>
      <c r="B6116" t="str">
        <f>"1552382906886138"</f>
        <v>1552382906886138</v>
      </c>
      <c r="C6116" t="s">
        <v>40</v>
      </c>
      <c r="D6116">
        <v>3.5085139999999999</v>
      </c>
      <c r="E6116">
        <v>0.49102899999999999</v>
      </c>
      <c r="F6116" t="s">
        <v>41</v>
      </c>
      <c r="G6116">
        <v>-186.61760000000001</v>
      </c>
      <c r="H6116" s="1">
        <v>-1.5167720000000001E-6</v>
      </c>
      <c r="I6116">
        <v>-8.5394539999999992</v>
      </c>
      <c r="J6116">
        <v>-187.58940000000001</v>
      </c>
      <c r="K6116">
        <v>1.1104480000000001</v>
      </c>
      <c r="L6116">
        <v>-23.104710000000001</v>
      </c>
      <c r="M6116">
        <v>0.11745419999999999</v>
      </c>
      <c r="N6116">
        <v>0</v>
      </c>
      <c r="O6116">
        <v>0.99298209999999998</v>
      </c>
      <c r="P6116">
        <v>0.1012074</v>
      </c>
      <c r="Q6116">
        <v>0.20290150000000001</v>
      </c>
      <c r="R6116">
        <v>0.97395489999999996</v>
      </c>
      <c r="S6116">
        <v>0.2098999</v>
      </c>
      <c r="T6116">
        <v>-0.23291120000000001</v>
      </c>
      <c r="U6116">
        <v>3.1065670000000001</v>
      </c>
      <c r="V6116">
        <v>-1.402275E-2</v>
      </c>
      <c r="W6116">
        <v>0.21640329999999999</v>
      </c>
      <c r="X6116">
        <v>0.9762033</v>
      </c>
      <c r="Y6116">
        <v>-5.0437309999999999E-2</v>
      </c>
      <c r="Z6116">
        <v>-7.3858450000000006E-2</v>
      </c>
      <c r="AA6116">
        <v>0.99599249999999995</v>
      </c>
      <c r="AB6116">
        <v>24</v>
      </c>
      <c r="AC6116">
        <v>0.971800000000001</v>
      </c>
      <c r="AD6116">
        <v>-1.1104495167720001</v>
      </c>
      <c r="AE6116">
        <v>14.565256</v>
      </c>
      <c r="AF6116">
        <v>-0.74155059543559898</v>
      </c>
      <c r="AG6116">
        <v>-1.1104495167720001</v>
      </c>
      <c r="AH6116">
        <v>14.494696507249699</v>
      </c>
      <c r="AI6116">
        <v>94.375215218271705</v>
      </c>
      <c r="AJ6116">
        <v>92.928706300017197</v>
      </c>
      <c r="AK6116">
        <v>14.5560716627862</v>
      </c>
      <c r="AL6116">
        <v>77.502130563665105</v>
      </c>
      <c r="AM6116">
        <v>90.822973183757099</v>
      </c>
      <c r="AN6116">
        <v>0.99999995434967004</v>
      </c>
    </row>
    <row r="6117" spans="1:40" x14ac:dyDescent="0.25">
      <c r="A6117" t="str">
        <f>"20190312172826910"</f>
        <v>20190312172826910</v>
      </c>
      <c r="B6117" t="str">
        <f>"1552382906905658"</f>
        <v>1552382906905658</v>
      </c>
      <c r="C6117" t="s">
        <v>40</v>
      </c>
      <c r="D6117">
        <v>3.4980319999999998</v>
      </c>
      <c r="E6117">
        <v>0.49101830000000002</v>
      </c>
      <c r="F6117" t="s">
        <v>41</v>
      </c>
      <c r="G6117">
        <v>-186.6002</v>
      </c>
      <c r="H6117" s="1">
        <v>-1.6371789999999901E-6</v>
      </c>
      <c r="I6117">
        <v>-8.1992209999999996</v>
      </c>
      <c r="J6117">
        <v>-187.56229999999999</v>
      </c>
      <c r="K6117">
        <v>1.1106450000000001</v>
      </c>
      <c r="L6117">
        <v>-22.87088</v>
      </c>
      <c r="M6117">
        <v>0.1168664</v>
      </c>
      <c r="N6117">
        <v>0</v>
      </c>
      <c r="O6117">
        <v>0.99305149999999998</v>
      </c>
      <c r="P6117">
        <v>9.971476E-2</v>
      </c>
      <c r="Q6117">
        <v>0.20296249999999999</v>
      </c>
      <c r="R6117">
        <v>0.97409610000000002</v>
      </c>
      <c r="S6117">
        <v>0.20620730000000001</v>
      </c>
      <c r="T6117">
        <v>-0.23147139999999999</v>
      </c>
      <c r="U6117">
        <v>3.1070250000000001</v>
      </c>
      <c r="V6117">
        <v>-1.504339E-2</v>
      </c>
      <c r="W6117">
        <v>0.21645410000000001</v>
      </c>
      <c r="X6117">
        <v>0.97617690000000001</v>
      </c>
      <c r="Y6117">
        <v>-5.1032099999999997E-2</v>
      </c>
      <c r="Z6117">
        <v>-7.3403079999999996E-2</v>
      </c>
      <c r="AA6117">
        <v>0.99599579999999999</v>
      </c>
      <c r="AB6117">
        <v>24</v>
      </c>
      <c r="AC6117">
        <v>0.96209999999999196</v>
      </c>
      <c r="AD6117">
        <v>-1.110646637179</v>
      </c>
      <c r="AE6117">
        <v>14.671658999999901</v>
      </c>
      <c r="AF6117">
        <v>-0.75497376079437395</v>
      </c>
      <c r="AG6117">
        <v>-1.110646637179</v>
      </c>
      <c r="AH6117">
        <v>14.6002435939854</v>
      </c>
      <c r="AI6117">
        <v>94.344353814009096</v>
      </c>
      <c r="AJ6117">
        <v>92.960109326023698</v>
      </c>
      <c r="AK6117">
        <v>14.661876903584901</v>
      </c>
      <c r="AL6117">
        <v>77.499149990544097</v>
      </c>
      <c r="AM6117">
        <v>90.882887656255605</v>
      </c>
      <c r="AN6117">
        <v>1.0000000105415501</v>
      </c>
    </row>
    <row r="6118" spans="1:40" x14ac:dyDescent="0.25">
      <c r="A6118" t="str">
        <f>"20190312172826932"</f>
        <v>20190312172826932</v>
      </c>
      <c r="B6118" t="str">
        <f>"1552382906926154"</f>
        <v>1552382906926154</v>
      </c>
      <c r="C6118" t="s">
        <v>40</v>
      </c>
      <c r="D6118">
        <v>3.5813139999999999</v>
      </c>
      <c r="E6118">
        <v>0.49101220000000001</v>
      </c>
      <c r="F6118" t="s">
        <v>41</v>
      </c>
      <c r="G6118">
        <v>-186.59440000000001</v>
      </c>
      <c r="H6118" s="1">
        <v>-1.714162E-6</v>
      </c>
      <c r="I6118">
        <v>-7.9774969999999996</v>
      </c>
      <c r="J6118">
        <v>-187.53559999999999</v>
      </c>
      <c r="K6118">
        <v>1.1108340000000001</v>
      </c>
      <c r="L6118">
        <v>-22.637270000000001</v>
      </c>
      <c r="M6118">
        <v>0.1160075</v>
      </c>
      <c r="N6118">
        <v>0</v>
      </c>
      <c r="O6118">
        <v>0.99315229999999999</v>
      </c>
      <c r="P6118">
        <v>9.7326689999999993E-2</v>
      </c>
      <c r="Q6118">
        <v>0.20221349999999999</v>
      </c>
      <c r="R6118">
        <v>0.97449330000000001</v>
      </c>
      <c r="S6118">
        <v>0.2019348</v>
      </c>
      <c r="T6118">
        <v>-0.23172809999999999</v>
      </c>
      <c r="U6118">
        <v>3.1073909999999998</v>
      </c>
      <c r="V6118">
        <v>-1.6710309999999999E-2</v>
      </c>
      <c r="W6118">
        <v>0.2156971</v>
      </c>
      <c r="X6118">
        <v>0.97631730000000005</v>
      </c>
      <c r="Y6118">
        <v>-5.1540139999999998E-2</v>
      </c>
      <c r="Z6118">
        <v>-7.3488940000000003E-2</v>
      </c>
      <c r="AA6118">
        <v>0.9959633</v>
      </c>
      <c r="AB6118">
        <v>24</v>
      </c>
      <c r="AC6118">
        <v>0.94119999999998005</v>
      </c>
      <c r="AD6118">
        <v>-1.110835714162</v>
      </c>
      <c r="AE6118">
        <v>14.659772999999999</v>
      </c>
      <c r="AF6118">
        <v>-0.76160672285372</v>
      </c>
      <c r="AG6118">
        <v>-1.110835714162</v>
      </c>
      <c r="AH6118">
        <v>14.58656412006</v>
      </c>
      <c r="AI6118">
        <v>94.349036843396107</v>
      </c>
      <c r="AJ6118">
        <v>92.988864353848001</v>
      </c>
      <c r="AK6118">
        <v>14.648612685601799</v>
      </c>
      <c r="AL6118">
        <v>77.543571811038305</v>
      </c>
      <c r="AM6118">
        <v>90.980559047875403</v>
      </c>
      <c r="AN6118">
        <v>0.99999997184399703</v>
      </c>
    </row>
    <row r="6119" spans="1:40" x14ac:dyDescent="0.25">
      <c r="A6119" t="str">
        <f>"20190312172826953"</f>
        <v>20190312172826953</v>
      </c>
      <c r="B6119" t="str">
        <f>"1552382906945675"</f>
        <v>1552382906945675</v>
      </c>
      <c r="C6119" t="s">
        <v>40</v>
      </c>
      <c r="D6119">
        <v>3.558351</v>
      </c>
      <c r="E6119">
        <v>0.4910059</v>
      </c>
      <c r="F6119" t="s">
        <v>41</v>
      </c>
      <c r="G6119">
        <v>-186.6069</v>
      </c>
      <c r="H6119" s="1">
        <v>-1.7292009999999999E-6</v>
      </c>
      <c r="I6119">
        <v>-7.9235789999999904</v>
      </c>
      <c r="J6119">
        <v>-187.50980000000001</v>
      </c>
      <c r="K6119">
        <v>1.110997</v>
      </c>
      <c r="L6119">
        <v>-22.407039999999999</v>
      </c>
      <c r="M6119">
        <v>0.114954</v>
      </c>
      <c r="N6119">
        <v>0</v>
      </c>
      <c r="O6119">
        <v>0.99327469999999995</v>
      </c>
      <c r="P6119">
        <v>9.531249E-2</v>
      </c>
      <c r="Q6119">
        <v>0.20324529999999999</v>
      </c>
      <c r="R6119">
        <v>0.97447779999999995</v>
      </c>
      <c r="S6119">
        <v>0.19615170000000001</v>
      </c>
      <c r="T6119">
        <v>-0.23461399999999999</v>
      </c>
      <c r="U6119">
        <v>3.107605</v>
      </c>
      <c r="V6119">
        <v>-1.7755070000000001E-2</v>
      </c>
      <c r="W6119">
        <v>0.2167162</v>
      </c>
      <c r="X6119">
        <v>0.97607319999999997</v>
      </c>
      <c r="Y6119">
        <v>-5.2335319999999998E-2</v>
      </c>
      <c r="Z6119">
        <v>-7.4410539999999997E-2</v>
      </c>
      <c r="AA6119">
        <v>0.9958534</v>
      </c>
      <c r="AB6119">
        <v>24</v>
      </c>
      <c r="AC6119">
        <v>0.90290000000001602</v>
      </c>
      <c r="AD6119">
        <v>-1.110998729201</v>
      </c>
      <c r="AE6119">
        <v>14.483460999999901</v>
      </c>
      <c r="AF6119">
        <v>-0.76370107196983505</v>
      </c>
      <c r="AG6119">
        <v>-1.110998729201</v>
      </c>
      <c r="AH6119">
        <v>14.406787678206999</v>
      </c>
      <c r="AI6119">
        <v>94.403554811732306</v>
      </c>
      <c r="AJ6119">
        <v>93.034398230321699</v>
      </c>
      <c r="AK6119">
        <v>14.4697300841637</v>
      </c>
      <c r="AL6119">
        <v>77.483767803406295</v>
      </c>
      <c r="AM6119">
        <v>91.042112820443407</v>
      </c>
      <c r="AN6119">
        <v>1.00000002280569</v>
      </c>
    </row>
    <row r="6120" spans="1:40" x14ac:dyDescent="0.25">
      <c r="A6120" t="str">
        <f>"20190312172826977"</f>
        <v>20190312172826977</v>
      </c>
      <c r="B6120" t="str">
        <f>"1552382906965193"</f>
        <v>1552382906965193</v>
      </c>
      <c r="C6120" t="s">
        <v>40</v>
      </c>
      <c r="D6120">
        <v>3.557836</v>
      </c>
      <c r="E6120">
        <v>0.49097439999999998</v>
      </c>
      <c r="F6120" t="s">
        <v>41</v>
      </c>
      <c r="G6120">
        <v>-186.59610000000001</v>
      </c>
      <c r="H6120" s="1">
        <v>-1.8744020000000001E-6</v>
      </c>
      <c r="I6120">
        <v>-7.5052839999999996</v>
      </c>
      <c r="J6120">
        <v>-187.48140000000001</v>
      </c>
      <c r="K6120">
        <v>1.111151</v>
      </c>
      <c r="L6120">
        <v>-22.14883</v>
      </c>
      <c r="M6120">
        <v>0.113551</v>
      </c>
      <c r="N6120">
        <v>0</v>
      </c>
      <c r="O6120">
        <v>0.99343619999999999</v>
      </c>
      <c r="P6120">
        <v>9.3783000000000005E-2</v>
      </c>
      <c r="Q6120">
        <v>0.20464679999999999</v>
      </c>
      <c r="R6120">
        <v>0.9743328</v>
      </c>
      <c r="S6120">
        <v>0.19056699999999999</v>
      </c>
      <c r="T6120">
        <v>-0.2317371</v>
      </c>
      <c r="U6120">
        <v>3.108276</v>
      </c>
      <c r="V6120">
        <v>-1.7957420000000002E-2</v>
      </c>
      <c r="W6120">
        <v>0.21810589999999999</v>
      </c>
      <c r="X6120">
        <v>0.97575990000000001</v>
      </c>
      <c r="Y6120">
        <v>-5.2716649999999997E-2</v>
      </c>
      <c r="Z6120">
        <v>-7.3508610000000002E-2</v>
      </c>
      <c r="AA6120">
        <v>0.99590029999999996</v>
      </c>
      <c r="AB6120">
        <v>24</v>
      </c>
      <c r="AC6120">
        <v>0.88529999999999998</v>
      </c>
      <c r="AD6120">
        <v>-1.1111528744020001</v>
      </c>
      <c r="AE6120">
        <v>14.643545999999899</v>
      </c>
      <c r="AF6120">
        <v>-0.77890647676722502</v>
      </c>
      <c r="AG6120">
        <v>-1.1111528744020001</v>
      </c>
      <c r="AH6120">
        <v>14.565790967091299</v>
      </c>
      <c r="AI6120">
        <v>94.356165482031997</v>
      </c>
      <c r="AJ6120">
        <v>93.0609794899962</v>
      </c>
      <c r="AK6120">
        <v>14.628862652538601</v>
      </c>
      <c r="AL6120">
        <v>77.402192516841197</v>
      </c>
      <c r="AM6120">
        <v>91.054325191105207</v>
      </c>
      <c r="AN6120">
        <v>1.00000001749793</v>
      </c>
    </row>
    <row r="6121" spans="1:40" x14ac:dyDescent="0.25">
      <c r="A6121" t="str">
        <f>"20190312172827003"</f>
        <v>20190312172827003</v>
      </c>
      <c r="B6121" t="str">
        <f>"1552382906995450"</f>
        <v>1552382906995450</v>
      </c>
      <c r="C6121" t="s">
        <v>40</v>
      </c>
      <c r="D6121">
        <v>3.4859689999999999</v>
      </c>
      <c r="E6121">
        <v>0.4909422</v>
      </c>
      <c r="F6121" t="s">
        <v>41</v>
      </c>
      <c r="G6121">
        <v>-186.5771</v>
      </c>
      <c r="H6121" s="1">
        <v>-2.0616580000000002E-6</v>
      </c>
      <c r="I6121">
        <v>-6.9767749999999999</v>
      </c>
      <c r="J6121">
        <v>-187.453</v>
      </c>
      <c r="K6121">
        <v>1.1112869999999999</v>
      </c>
      <c r="L6121">
        <v>-21.884309999999999</v>
      </c>
      <c r="M6121">
        <v>0.111887899999999</v>
      </c>
      <c r="N6121">
        <v>0</v>
      </c>
      <c r="O6121">
        <v>0.99362490000000003</v>
      </c>
      <c r="P6121">
        <v>9.1427309999999998E-2</v>
      </c>
      <c r="Q6121">
        <v>0.2054906</v>
      </c>
      <c r="R6121">
        <v>0.97437910000000005</v>
      </c>
      <c r="S6121">
        <v>0.18531800000000001</v>
      </c>
      <c r="T6121">
        <v>-0.2276938</v>
      </c>
      <c r="U6121">
        <v>3.1090089999999999</v>
      </c>
      <c r="V6121">
        <v>-1.8735970000000001E-2</v>
      </c>
      <c r="W6121">
        <v>0.21893789999999999</v>
      </c>
      <c r="X6121">
        <v>0.97555890000000001</v>
      </c>
      <c r="Y6121">
        <v>-5.2729060000000001E-2</v>
      </c>
      <c r="Z6121">
        <v>-7.2240180000000001E-2</v>
      </c>
      <c r="AA6121">
        <v>0.99599249999999995</v>
      </c>
      <c r="AB6121">
        <v>24</v>
      </c>
      <c r="AC6121">
        <v>0.87590000000000101</v>
      </c>
      <c r="AD6121">
        <v>-1.111289061658</v>
      </c>
      <c r="AE6121">
        <v>14.907534999999999</v>
      </c>
      <c r="AF6121">
        <v>-0.79333934525283001</v>
      </c>
      <c r="AG6121">
        <v>-1.111289061658</v>
      </c>
      <c r="AH6121">
        <v>14.829796134678</v>
      </c>
      <c r="AI6121">
        <v>94.279423790705906</v>
      </c>
      <c r="AJ6121">
        <v>93.062193723250402</v>
      </c>
      <c r="AK6121">
        <v>14.8925217505766</v>
      </c>
      <c r="AL6121">
        <v>77.353341632144193</v>
      </c>
      <c r="AM6121">
        <v>91.100251405409196</v>
      </c>
      <c r="AN6121">
        <v>1.00000000399873</v>
      </c>
    </row>
    <row r="6122" spans="1:40" x14ac:dyDescent="0.25">
      <c r="A6122" t="str">
        <f>"20190312172827024"</f>
        <v>20190312172827024</v>
      </c>
      <c r="B6122" t="str">
        <f>"1552382907015477"</f>
        <v>1552382907015477</v>
      </c>
      <c r="C6122" t="s">
        <v>40</v>
      </c>
      <c r="D6122">
        <v>3.500861</v>
      </c>
      <c r="E6122">
        <v>0.49091990000000002</v>
      </c>
      <c r="F6122" t="s">
        <v>41</v>
      </c>
      <c r="G6122">
        <v>-186.57159999999999</v>
      </c>
      <c r="H6122" s="1">
        <v>-2.2357029999999999E-6</v>
      </c>
      <c r="I6122">
        <v>-6.5733119999999996</v>
      </c>
      <c r="J6122">
        <v>-187.42930000000001</v>
      </c>
      <c r="K6122">
        <v>1.1113949999999999</v>
      </c>
      <c r="L6122">
        <v>-21.65887</v>
      </c>
      <c r="M6122">
        <v>0.1102974</v>
      </c>
      <c r="N6122">
        <v>0</v>
      </c>
      <c r="O6122">
        <v>0.99380270000000004</v>
      </c>
      <c r="P6122">
        <v>8.923507E-2</v>
      </c>
      <c r="Q6122">
        <v>0.2055814</v>
      </c>
      <c r="R6122">
        <v>0.97456319999999996</v>
      </c>
      <c r="S6122">
        <v>0.17900089999999999</v>
      </c>
      <c r="T6122">
        <v>-0.22570409999999999</v>
      </c>
      <c r="U6122">
        <v>3.10968</v>
      </c>
      <c r="V6122">
        <v>-1.942174E-2</v>
      </c>
      <c r="W6122">
        <v>0.21902170000000001</v>
      </c>
      <c r="X6122">
        <v>0.97552669999999997</v>
      </c>
      <c r="Y6122">
        <v>-5.315727E-2</v>
      </c>
      <c r="Z6122">
        <v>-7.1619470000000005E-2</v>
      </c>
      <c r="AA6122">
        <v>0.99601450000000002</v>
      </c>
      <c r="AB6122">
        <v>24</v>
      </c>
      <c r="AC6122">
        <v>0.857700000000022</v>
      </c>
      <c r="AD6122">
        <v>-1.111397235703</v>
      </c>
      <c r="AE6122">
        <v>15.085557999999899</v>
      </c>
      <c r="AF6122">
        <v>-0.80722337948149203</v>
      </c>
      <c r="AG6122">
        <v>-1.111397235703</v>
      </c>
      <c r="AH6122">
        <v>15.006918295896799</v>
      </c>
      <c r="AI6122">
        <v>94.229443326481501</v>
      </c>
      <c r="AJ6122">
        <v>93.078977475146999</v>
      </c>
      <c r="AK6122">
        <v>15.069651958145201</v>
      </c>
      <c r="AL6122">
        <v>77.348421094154205</v>
      </c>
      <c r="AM6122">
        <v>91.140549760469199</v>
      </c>
      <c r="AN6122">
        <v>1.0000000257342001</v>
      </c>
    </row>
    <row r="6123" spans="1:40" x14ac:dyDescent="0.25">
      <c r="A6123" t="str">
        <f>"20190312172827065"</f>
        <v>20190312172827065</v>
      </c>
      <c r="B6123" t="str">
        <f>"1552382907055493"</f>
        <v>1552382907055493</v>
      </c>
      <c r="C6123" t="s">
        <v>40</v>
      </c>
      <c r="D6123">
        <v>3.5340530000000001</v>
      </c>
      <c r="E6123">
        <v>0.490952</v>
      </c>
      <c r="F6123" t="s">
        <v>41</v>
      </c>
      <c r="G6123">
        <v>-186.5754</v>
      </c>
      <c r="H6123" s="1">
        <v>-2.3229350000000001E-6</v>
      </c>
      <c r="I6123">
        <v>-6.3684000000000003</v>
      </c>
      <c r="J6123">
        <v>-187.3852</v>
      </c>
      <c r="K6123">
        <v>1.111578</v>
      </c>
      <c r="L6123">
        <v>-21.22437</v>
      </c>
      <c r="M6123">
        <v>0.1068643</v>
      </c>
      <c r="N6123">
        <v>0</v>
      </c>
      <c r="O6123">
        <v>0.99417770000000005</v>
      </c>
      <c r="P6123">
        <v>8.5799550000000002E-2</v>
      </c>
      <c r="Q6123">
        <v>0.208205</v>
      </c>
      <c r="R6123">
        <v>0.97431469999999998</v>
      </c>
      <c r="S6123">
        <v>0.17367550000000001</v>
      </c>
      <c r="T6123">
        <v>-0.22605790000000001</v>
      </c>
      <c r="U6123">
        <v>3.110077</v>
      </c>
      <c r="V6123">
        <v>-1.9527159999999998E-2</v>
      </c>
      <c r="W6123">
        <v>0.22163050000000001</v>
      </c>
      <c r="X6123">
        <v>0.9749352</v>
      </c>
      <c r="Y6123">
        <v>-5.1416040000000003E-2</v>
      </c>
      <c r="Z6123">
        <v>-7.1769449999999999E-2</v>
      </c>
      <c r="AA6123">
        <v>0.99609510000000001</v>
      </c>
      <c r="AB6123">
        <v>24</v>
      </c>
      <c r="AC6123">
        <v>0.80979999999999497</v>
      </c>
      <c r="AD6123">
        <v>-1.1115803229350001</v>
      </c>
      <c r="AE6123">
        <v>14.855969999999999</v>
      </c>
      <c r="AF6123">
        <v>-0.778218335086449</v>
      </c>
      <c r="AG6123">
        <v>-1.1115803229350001</v>
      </c>
      <c r="AH6123">
        <v>14.7749556325128</v>
      </c>
      <c r="AI6123">
        <v>94.296556916699004</v>
      </c>
      <c r="AJ6123">
        <v>93.015065625018707</v>
      </c>
      <c r="AK6123">
        <v>14.8371341078431</v>
      </c>
      <c r="AL6123">
        <v>77.195182043126295</v>
      </c>
      <c r="AM6123">
        <v>91.147434493735005</v>
      </c>
      <c r="AN6123">
        <v>1.0000000163534699</v>
      </c>
    </row>
    <row r="6124" spans="1:40" x14ac:dyDescent="0.25">
      <c r="A6124" t="str">
        <f>"20190312172827088"</f>
        <v>20190312172827088</v>
      </c>
      <c r="B6124" t="str">
        <f>"1552382907085749"</f>
        <v>1552382907085749</v>
      </c>
      <c r="C6124" t="s">
        <v>40</v>
      </c>
      <c r="D6124">
        <v>3.6271620000000002</v>
      </c>
      <c r="E6124">
        <v>0.49071130000000002</v>
      </c>
      <c r="F6124" t="s">
        <v>41</v>
      </c>
      <c r="G6124">
        <v>-186.55959999999999</v>
      </c>
      <c r="H6124" s="1">
        <v>-2.7319949999999999E-6</v>
      </c>
      <c r="I6124">
        <v>-5.4214209999999996</v>
      </c>
      <c r="J6124">
        <v>-187.3614</v>
      </c>
      <c r="K6124">
        <v>1.1116440000000001</v>
      </c>
      <c r="L6124">
        <v>-20.98105</v>
      </c>
      <c r="M6124">
        <v>0.1047892</v>
      </c>
      <c r="N6124">
        <v>0</v>
      </c>
      <c r="O6124">
        <v>0.99439849999999996</v>
      </c>
      <c r="P6124">
        <v>8.3774070000000006E-2</v>
      </c>
      <c r="Q6124">
        <v>0.20843929999999999</v>
      </c>
      <c r="R6124">
        <v>0.97444090000000005</v>
      </c>
      <c r="S6124">
        <v>0.1625519</v>
      </c>
      <c r="T6124">
        <v>-0.21886610000000001</v>
      </c>
      <c r="U6124">
        <v>3.111542</v>
      </c>
      <c r="V6124">
        <v>-1.9552150000000001E-2</v>
      </c>
      <c r="W6124">
        <v>0.22186069999999999</v>
      </c>
      <c r="X6124">
        <v>0.97488229999999998</v>
      </c>
      <c r="Y6124">
        <v>-5.2900000000000003E-2</v>
      </c>
      <c r="Z6124">
        <v>-6.9492109999999996E-2</v>
      </c>
      <c r="AA6124">
        <v>0.99617889999999998</v>
      </c>
      <c r="AB6124">
        <v>24</v>
      </c>
      <c r="AC6124">
        <v>0.80180000000001395</v>
      </c>
      <c r="AD6124">
        <v>-1.1116467319949901</v>
      </c>
      <c r="AE6124">
        <v>15.559628999999999</v>
      </c>
      <c r="AF6124">
        <v>-0.829031465548278</v>
      </c>
      <c r="AG6124">
        <v>-1.1116467319949901</v>
      </c>
      <c r="AH6124">
        <v>15.479175474278099</v>
      </c>
      <c r="AI6124">
        <v>94.101821795844899</v>
      </c>
      <c r="AJ6124">
        <v>93.065710128407304</v>
      </c>
      <c r="AK6124">
        <v>15.541168713810301</v>
      </c>
      <c r="AL6124">
        <v>77.181655310907502</v>
      </c>
      <c r="AM6124">
        <v>91.148964862700495</v>
      </c>
      <c r="AN6124">
        <v>0.99999997781370098</v>
      </c>
    </row>
    <row r="6125" spans="1:40" x14ac:dyDescent="0.25">
      <c r="A6125" t="str">
        <f>"20190312172827110"</f>
        <v>20190312172827110</v>
      </c>
      <c r="B6125" t="str">
        <f>"1552382907105270"</f>
        <v>1552382907105270</v>
      </c>
      <c r="C6125" t="s">
        <v>40</v>
      </c>
      <c r="D6125">
        <v>3.4763190000000002</v>
      </c>
      <c r="E6125">
        <v>0.4903748</v>
      </c>
      <c r="F6125" t="s">
        <v>41</v>
      </c>
      <c r="G6125">
        <v>-186.57499999999999</v>
      </c>
      <c r="H6125" s="1">
        <v>-2.8709680000000001E-6</v>
      </c>
      <c r="I6125">
        <v>-5.0911</v>
      </c>
      <c r="J6125">
        <v>-187.33940000000001</v>
      </c>
      <c r="K6125">
        <v>1.1116900000000001</v>
      </c>
      <c r="L6125">
        <v>-20.750920000000001</v>
      </c>
      <c r="M6125">
        <v>0.1027329</v>
      </c>
      <c r="N6125">
        <v>0</v>
      </c>
      <c r="O6125">
        <v>0.99461310000000003</v>
      </c>
      <c r="P6125">
        <v>8.2118899999999995E-2</v>
      </c>
      <c r="Q6125">
        <v>0.20822879999999999</v>
      </c>
      <c r="R6125">
        <v>0.97462669999999996</v>
      </c>
      <c r="S6125">
        <v>0.15400700000000001</v>
      </c>
      <c r="T6125">
        <v>-0.21771489999999999</v>
      </c>
      <c r="U6125">
        <v>3.1120299999999999</v>
      </c>
      <c r="V6125">
        <v>-1.9220250000000001E-2</v>
      </c>
      <c r="W6125">
        <v>0.2216496</v>
      </c>
      <c r="X6125">
        <v>0.97493700000000005</v>
      </c>
      <c r="Y6125">
        <v>-5.3570329999999999E-2</v>
      </c>
      <c r="Z6125">
        <v>-6.9143499999999997E-2</v>
      </c>
      <c r="AA6125">
        <v>0.99616740000000004</v>
      </c>
      <c r="AB6125">
        <v>24</v>
      </c>
      <c r="AC6125">
        <v>0.76440000000002295</v>
      </c>
      <c r="AD6125">
        <v>-1.1116928709680001</v>
      </c>
      <c r="AE6125">
        <v>15.65982</v>
      </c>
      <c r="AF6125">
        <v>-0.84433241440472895</v>
      </c>
      <c r="AG6125">
        <v>-1.1116928709680001</v>
      </c>
      <c r="AH6125">
        <v>15.577168119927499</v>
      </c>
      <c r="AI6125">
        <v>94.076133117344</v>
      </c>
      <c r="AJ6125">
        <v>93.102578730995603</v>
      </c>
      <c r="AK6125">
        <v>15.639594780615701</v>
      </c>
      <c r="AL6125">
        <v>77.194060331414704</v>
      </c>
      <c r="AM6125">
        <v>91.129402794069406</v>
      </c>
      <c r="AN6125">
        <v>1.0000000585796001</v>
      </c>
    </row>
    <row r="6126" spans="1:40" x14ac:dyDescent="0.25">
      <c r="A6126" t="str">
        <f>"20190312172827133"</f>
        <v>20190312172827133</v>
      </c>
      <c r="B6126" t="str">
        <f>"1552382907125297"</f>
        <v>1552382907125297</v>
      </c>
      <c r="C6126" t="s">
        <v>40</v>
      </c>
      <c r="D6126">
        <v>3.4799929999999999</v>
      </c>
      <c r="E6126">
        <v>0.49008000000000002</v>
      </c>
      <c r="F6126" t="s">
        <v>41</v>
      </c>
      <c r="G6126">
        <v>-186.59200000000001</v>
      </c>
      <c r="H6126" s="1">
        <v>-3.0001630000000001E-6</v>
      </c>
      <c r="I6126">
        <v>-4.7829160000000002</v>
      </c>
      <c r="J6126">
        <v>-187.31739999999999</v>
      </c>
      <c r="K6126">
        <v>1.111715</v>
      </c>
      <c r="L6126">
        <v>-20.512599999999999</v>
      </c>
      <c r="M6126">
        <v>0.1005339</v>
      </c>
      <c r="N6126">
        <v>0</v>
      </c>
      <c r="O6126">
        <v>0.99483779999999999</v>
      </c>
      <c r="P6126">
        <v>8.0375329999999995E-2</v>
      </c>
      <c r="Q6126">
        <v>0.2071751</v>
      </c>
      <c r="R6126">
        <v>0.97499659999999999</v>
      </c>
      <c r="S6126">
        <v>0.14567569999999999</v>
      </c>
      <c r="T6126">
        <v>-0.2166661</v>
      </c>
      <c r="U6126">
        <v>3.1121219999999998</v>
      </c>
      <c r="V6126">
        <v>-1.8843180000000001E-2</v>
      </c>
      <c r="W6126">
        <v>0.22059809999999999</v>
      </c>
      <c r="X6126">
        <v>0.97518280000000002</v>
      </c>
      <c r="Y6126">
        <v>-5.4023799999999997E-2</v>
      </c>
      <c r="Z6126">
        <v>-6.883686E-2</v>
      </c>
      <c r="AA6126">
        <v>0.9961641</v>
      </c>
      <c r="AB6126">
        <v>24</v>
      </c>
      <c r="AC6126">
        <v>0.72539999999997895</v>
      </c>
      <c r="AD6126">
        <v>-1.11171800016299</v>
      </c>
      <c r="AE6126">
        <v>15.729684000000001</v>
      </c>
      <c r="AF6126">
        <v>-0.855528685517844</v>
      </c>
      <c r="AG6126">
        <v>-1.11171800016299</v>
      </c>
      <c r="AH6126">
        <v>15.644927618020199</v>
      </c>
      <c r="AI6126">
        <v>94.0585240072011</v>
      </c>
      <c r="AJ6126">
        <v>93.130050269208596</v>
      </c>
      <c r="AK6126">
        <v>15.707692587287299</v>
      </c>
      <c r="AL6126">
        <v>77.255835818846904</v>
      </c>
      <c r="AM6126">
        <v>91.106972302957402</v>
      </c>
      <c r="AN6126">
        <v>1.0000000402859801</v>
      </c>
    </row>
    <row r="6127" spans="1:40" x14ac:dyDescent="0.25">
      <c r="A6127" t="str">
        <f>"20190312172827155"</f>
        <v>20190312172827155</v>
      </c>
      <c r="B6127" t="str">
        <f>"1552382907145792"</f>
        <v>1552382907145792</v>
      </c>
      <c r="C6127" t="s">
        <v>40</v>
      </c>
      <c r="D6127">
        <v>3.5751780000000002</v>
      </c>
      <c r="E6127">
        <v>0.48977300000000001</v>
      </c>
      <c r="F6127" t="s">
        <v>41</v>
      </c>
      <c r="G6127">
        <v>-186.61779999999999</v>
      </c>
      <c r="H6127" s="1">
        <v>-3.0393880000000002E-6</v>
      </c>
      <c r="I6127">
        <v>-4.6808139999999998</v>
      </c>
      <c r="J6127">
        <v>-187.29570000000001</v>
      </c>
      <c r="K6127">
        <v>1.111723</v>
      </c>
      <c r="L6127">
        <v>-20.271879999999999</v>
      </c>
      <c r="M6127">
        <v>9.8252779999999998E-2</v>
      </c>
      <c r="N6127">
        <v>0</v>
      </c>
      <c r="O6127">
        <v>0.99506570000000005</v>
      </c>
      <c r="P6127">
        <v>7.9002559999999999E-2</v>
      </c>
      <c r="Q6127">
        <v>0.2055071</v>
      </c>
      <c r="R6127">
        <v>0.97546169999999999</v>
      </c>
      <c r="S6127">
        <v>0.1375122</v>
      </c>
      <c r="T6127">
        <v>-0.21852859999999999</v>
      </c>
      <c r="U6127">
        <v>3.1120299999999999</v>
      </c>
      <c r="V6127">
        <v>-1.801819E-2</v>
      </c>
      <c r="W6127">
        <v>0.21893699999999999</v>
      </c>
      <c r="X6127">
        <v>0.97557260000000001</v>
      </c>
      <c r="Y6127">
        <v>-5.4342719999999997E-2</v>
      </c>
      <c r="Z6127">
        <v>-6.9455119999999995E-2</v>
      </c>
      <c r="AA6127">
        <v>0.99610379999999998</v>
      </c>
      <c r="AB6127">
        <v>24</v>
      </c>
      <c r="AC6127">
        <v>0.67790000000002204</v>
      </c>
      <c r="AD6127">
        <v>-1.111726039388</v>
      </c>
      <c r="AE6127">
        <v>15.591066</v>
      </c>
      <c r="AF6127">
        <v>-0.85306309995903995</v>
      </c>
      <c r="AG6127">
        <v>-1.111726039388</v>
      </c>
      <c r="AH6127">
        <v>15.5035476989123</v>
      </c>
      <c r="AI6127">
        <v>94.0953628260541</v>
      </c>
      <c r="AJ6127">
        <v>93.149451911102801</v>
      </c>
      <c r="AK6127">
        <v>15.5667479806032</v>
      </c>
      <c r="AL6127">
        <v>77.353394191328306</v>
      </c>
      <c r="AM6127">
        <v>91.058095399208696</v>
      </c>
      <c r="AN6127">
        <v>0.99999998150531699</v>
      </c>
    </row>
    <row r="6128" spans="1:40" x14ac:dyDescent="0.25">
      <c r="A6128" t="str">
        <f>"20190312172827179"</f>
        <v>20190312172827179</v>
      </c>
      <c r="B6128" t="str">
        <f>"1552382907176049"</f>
        <v>1552382907176049</v>
      </c>
      <c r="C6128" t="s">
        <v>40</v>
      </c>
      <c r="D6128">
        <v>3.5146700000000002</v>
      </c>
      <c r="E6128">
        <v>0.48939120000000003</v>
      </c>
      <c r="F6128" t="s">
        <v>41</v>
      </c>
      <c r="G6128">
        <v>-186.64400000000001</v>
      </c>
      <c r="H6128" s="1">
        <v>-3.0119220000000001E-6</v>
      </c>
      <c r="I6128">
        <v>-4.7339929999999999</v>
      </c>
      <c r="J6128">
        <v>-187.27379999999999</v>
      </c>
      <c r="K6128">
        <v>1.1117429999999999</v>
      </c>
      <c r="L6128">
        <v>-20.022490000000001</v>
      </c>
      <c r="M6128">
        <v>9.5838060000000003E-2</v>
      </c>
      <c r="N6128">
        <v>0</v>
      </c>
      <c r="O6128">
        <v>0.99530110000000005</v>
      </c>
      <c r="P6128">
        <v>7.743535E-2</v>
      </c>
      <c r="Q6128">
        <v>0.2043304</v>
      </c>
      <c r="R6128">
        <v>0.97583439999999999</v>
      </c>
      <c r="S6128">
        <v>0.1305084</v>
      </c>
      <c r="T6128">
        <v>-0.2226484</v>
      </c>
      <c r="U6128">
        <v>3.1118160000000001</v>
      </c>
      <c r="V6128">
        <v>-1.7246419999999998E-2</v>
      </c>
      <c r="W6128">
        <v>0.21776480000000001</v>
      </c>
      <c r="X6128">
        <v>0.97584890000000002</v>
      </c>
      <c r="Y6128">
        <v>-5.4158579999999998E-2</v>
      </c>
      <c r="Z6128">
        <v>-7.0791640000000003E-2</v>
      </c>
      <c r="AA6128">
        <v>0.99601980000000001</v>
      </c>
      <c r="AB6128">
        <v>24</v>
      </c>
      <c r="AC6128">
        <v>0.62979999999998804</v>
      </c>
      <c r="AD6128">
        <v>-1.111746011922</v>
      </c>
      <c r="AE6128">
        <v>15.2884969999999</v>
      </c>
      <c r="AF6128">
        <v>-0.83405632924265605</v>
      </c>
      <c r="AG6128">
        <v>-1.111746011922</v>
      </c>
      <c r="AH6128">
        <v>15.1982438870959</v>
      </c>
      <c r="AI6128">
        <v>94.177450409711895</v>
      </c>
      <c r="AJ6128">
        <v>93.141153739531802</v>
      </c>
      <c r="AK6128">
        <v>15.2616593595527</v>
      </c>
      <c r="AL6128">
        <v>77.422217363694799</v>
      </c>
      <c r="AM6128">
        <v>91.012497136061199</v>
      </c>
      <c r="AN6128">
        <v>1.0000000113765299</v>
      </c>
    </row>
    <row r="6129" spans="1:40" x14ac:dyDescent="0.25">
      <c r="A6129" t="str">
        <f>"20190312172827203"</f>
        <v>20190312172827203</v>
      </c>
      <c r="B6129" t="str">
        <f>"1552382907195568"</f>
        <v>1552382907195568</v>
      </c>
      <c r="C6129" t="s">
        <v>40</v>
      </c>
      <c r="D6129">
        <v>3.5114209999999999</v>
      </c>
      <c r="E6129">
        <v>0.48920750000000002</v>
      </c>
      <c r="F6129" t="s">
        <v>41</v>
      </c>
      <c r="G6129">
        <v>-186.67089999999999</v>
      </c>
      <c r="H6129" s="1">
        <v>-3.0454230000000001E-6</v>
      </c>
      <c r="I6129">
        <v>-4.6448</v>
      </c>
      <c r="J6129">
        <v>-187.2527</v>
      </c>
      <c r="K6129">
        <v>1.1117649999999999</v>
      </c>
      <c r="L6129">
        <v>-19.773070000000001</v>
      </c>
      <c r="M6129">
        <v>9.33779E-2</v>
      </c>
      <c r="N6129">
        <v>0</v>
      </c>
      <c r="O6129">
        <v>0.99553499999999995</v>
      </c>
      <c r="P6129">
        <v>7.5853889999999993E-2</v>
      </c>
      <c r="Q6129">
        <v>0.20371320000000001</v>
      </c>
      <c r="R6129">
        <v>0.9760877</v>
      </c>
      <c r="S6129">
        <v>0.1220093</v>
      </c>
      <c r="T6129">
        <v>-0.22496550000000001</v>
      </c>
      <c r="U6129">
        <v>3.1117249999999999</v>
      </c>
      <c r="V6129">
        <v>-1.6433940000000001E-2</v>
      </c>
      <c r="W6129">
        <v>0.21715139999999999</v>
      </c>
      <c r="X6129">
        <v>0.97599959999999997</v>
      </c>
      <c r="Y6129">
        <v>-5.4407589999999999E-2</v>
      </c>
      <c r="Z6129">
        <v>-7.1555320000000006E-2</v>
      </c>
      <c r="AA6129">
        <v>0.9959517</v>
      </c>
      <c r="AB6129">
        <v>24</v>
      </c>
      <c r="AC6129">
        <v>0.58180000000001497</v>
      </c>
      <c r="AD6129">
        <v>-1.1117680454229999</v>
      </c>
      <c r="AE6129">
        <v>15.128270000000001</v>
      </c>
      <c r="AF6129">
        <v>-0.82905242311197902</v>
      </c>
      <c r="AG6129">
        <v>-1.1117680454229999</v>
      </c>
      <c r="AH6129">
        <v>15.0354086737734</v>
      </c>
      <c r="AI6129">
        <v>94.222552951236196</v>
      </c>
      <c r="AJ6129">
        <v>93.156093213268804</v>
      </c>
      <c r="AK6129">
        <v>15.099234089664</v>
      </c>
      <c r="AL6129">
        <v>77.458224260920602</v>
      </c>
      <c r="AM6129">
        <v>90.964658623608102</v>
      </c>
      <c r="AN6129">
        <v>1.0000000120530199</v>
      </c>
    </row>
    <row r="6130" spans="1:40" x14ac:dyDescent="0.25">
      <c r="A6130" t="str">
        <f>"20190312172827246"</f>
        <v>20190312172827246</v>
      </c>
      <c r="B6130" t="str">
        <f>"1552382907235975"</f>
        <v>1552382907235975</v>
      </c>
      <c r="C6130" t="s">
        <v>40</v>
      </c>
      <c r="D6130">
        <v>3.488629</v>
      </c>
      <c r="E6130">
        <v>0.48886299999999999</v>
      </c>
      <c r="F6130" t="s">
        <v>41</v>
      </c>
      <c r="G6130">
        <v>-186.6883</v>
      </c>
      <c r="H6130" s="1">
        <v>-3.129391E-6</v>
      </c>
      <c r="I6130">
        <v>-4.4418730000000002</v>
      </c>
      <c r="J6130">
        <v>-187.21610000000001</v>
      </c>
      <c r="K6130">
        <v>1.111804</v>
      </c>
      <c r="L6130">
        <v>-19.322050000000001</v>
      </c>
      <c r="M6130">
        <v>8.8810929999999996E-2</v>
      </c>
      <c r="N6130">
        <v>0</v>
      </c>
      <c r="O6130">
        <v>0.99595279999999997</v>
      </c>
      <c r="P6130">
        <v>7.2356299999999998E-2</v>
      </c>
      <c r="Q6130">
        <v>0.20299020000000001</v>
      </c>
      <c r="R6130">
        <v>0.97650369999999997</v>
      </c>
      <c r="S6130">
        <v>0.1145477</v>
      </c>
      <c r="T6130">
        <v>-0.22564980000000001</v>
      </c>
      <c r="U6130">
        <v>3.111694</v>
      </c>
      <c r="V6130">
        <v>-1.548335E-2</v>
      </c>
      <c r="W6130">
        <v>0.21643129999999999</v>
      </c>
      <c r="X6130">
        <v>0.97617509999999996</v>
      </c>
      <c r="Y6130">
        <v>-5.2212809999999998E-2</v>
      </c>
      <c r="Z6130">
        <v>-7.1825239999999999E-2</v>
      </c>
      <c r="AA6130">
        <v>0.99604970000000004</v>
      </c>
      <c r="AB6130">
        <v>24</v>
      </c>
      <c r="AC6130">
        <v>0.52780000000001304</v>
      </c>
      <c r="AD6130">
        <v>-1.1118071293909999</v>
      </c>
      <c r="AE6130">
        <v>14.880177</v>
      </c>
      <c r="AF6130">
        <v>-0.79152108541048205</v>
      </c>
      <c r="AG6130">
        <v>-1.1118071293909999</v>
      </c>
      <c r="AH6130">
        <v>14.785804963474501</v>
      </c>
      <c r="AI6130">
        <v>94.2940937292055</v>
      </c>
      <c r="AJ6130">
        <v>93.064261363851898</v>
      </c>
      <c r="AK6130">
        <v>14.848658159561801</v>
      </c>
      <c r="AL6130">
        <v>77.500488348096994</v>
      </c>
      <c r="AM6130">
        <v>90.908706055368796</v>
      </c>
      <c r="AN6130">
        <v>1.00000003380346</v>
      </c>
    </row>
    <row r="6131" spans="1:40" x14ac:dyDescent="0.25">
      <c r="A6131" t="str">
        <f>"20190312172827268"</f>
        <v>20190312172827268</v>
      </c>
      <c r="B6131" t="str">
        <f>"1552382907255495"</f>
        <v>1552382907255495</v>
      </c>
      <c r="C6131" t="s">
        <v>40</v>
      </c>
      <c r="D6131">
        <v>3.485128</v>
      </c>
      <c r="E6131">
        <v>0.4887321</v>
      </c>
      <c r="F6131" t="s">
        <v>41</v>
      </c>
      <c r="G6131">
        <v>-186.73169999999999</v>
      </c>
      <c r="H6131" s="1">
        <v>-3.3175439999999999E-6</v>
      </c>
      <c r="I6131">
        <v>-3.985322</v>
      </c>
      <c r="J6131">
        <v>-187.1987</v>
      </c>
      <c r="K6131">
        <v>1.1118239999999999</v>
      </c>
      <c r="L6131">
        <v>-19.096340000000001</v>
      </c>
      <c r="M6131">
        <v>8.6470340000000007E-2</v>
      </c>
      <c r="N6131">
        <v>0</v>
      </c>
      <c r="O6131">
        <v>0.99615880000000001</v>
      </c>
      <c r="P6131">
        <v>7.0575070000000004E-2</v>
      </c>
      <c r="Q6131">
        <v>0.2036694</v>
      </c>
      <c r="R6131">
        <v>0.97649260000000004</v>
      </c>
      <c r="S6131">
        <v>9.8281859999999999E-2</v>
      </c>
      <c r="T6131">
        <v>-0.22558310000000001</v>
      </c>
      <c r="U6131">
        <v>3.1117859999999999</v>
      </c>
      <c r="V6131">
        <v>-1.496808E-2</v>
      </c>
      <c r="W6131">
        <v>0.21710950000000001</v>
      </c>
      <c r="X6131">
        <v>0.97603249999999997</v>
      </c>
      <c r="Y6131">
        <v>-5.5067419999999999E-2</v>
      </c>
      <c r="Z6131">
        <v>-7.1825089999999994E-2</v>
      </c>
      <c r="AA6131">
        <v>0.99589589999999995</v>
      </c>
      <c r="AB6131">
        <v>24</v>
      </c>
      <c r="AC6131">
        <v>0.46700000000001302</v>
      </c>
      <c r="AD6131">
        <v>-1.1118273175440001</v>
      </c>
      <c r="AE6131">
        <v>15.1110179999999</v>
      </c>
      <c r="AF6131">
        <v>-0.83700199320124402</v>
      </c>
      <c r="AG6131">
        <v>-1.1118273175440001</v>
      </c>
      <c r="AH6131">
        <v>15.0135930125379</v>
      </c>
      <c r="AI6131">
        <v>94.228748984396802</v>
      </c>
      <c r="AJ6131">
        <v>93.190914435260694</v>
      </c>
      <c r="AK6131">
        <v>15.077954352855199</v>
      </c>
      <c r="AL6131">
        <v>77.460683598601307</v>
      </c>
      <c r="AM6131">
        <v>90.878598396735498</v>
      </c>
      <c r="AN6131">
        <v>1.00000000973269</v>
      </c>
    </row>
    <row r="6132" spans="1:40" x14ac:dyDescent="0.25">
      <c r="A6132" t="str">
        <f>"20190312172827289"</f>
        <v>20190312172827289</v>
      </c>
      <c r="B6132" t="str">
        <f>"1552382907285752"</f>
        <v>1552382907285752</v>
      </c>
      <c r="C6132" t="s">
        <v>40</v>
      </c>
      <c r="D6132">
        <v>3.5195449999999999</v>
      </c>
      <c r="E6132">
        <v>0.48851840000000002</v>
      </c>
      <c r="F6132" t="s">
        <v>41</v>
      </c>
      <c r="G6132">
        <v>-186.74420000000001</v>
      </c>
      <c r="H6132" s="1">
        <v>-3.507727E-6</v>
      </c>
      <c r="I6132">
        <v>-3.5368430000000002</v>
      </c>
      <c r="J6132">
        <v>-187.18170000000001</v>
      </c>
      <c r="K6132">
        <v>1.111842</v>
      </c>
      <c r="L6132">
        <v>-18.869199999999999</v>
      </c>
      <c r="M6132">
        <v>8.4072599999999997E-2</v>
      </c>
      <c r="N6132">
        <v>0</v>
      </c>
      <c r="O6132">
        <v>0.99636400000000003</v>
      </c>
      <c r="P6132">
        <v>6.8912009999999996E-2</v>
      </c>
      <c r="Q6132">
        <v>0.20392940000000001</v>
      </c>
      <c r="R6132">
        <v>0.97655720000000001</v>
      </c>
      <c r="S6132">
        <v>9.0896610000000003E-2</v>
      </c>
      <c r="T6132">
        <v>-0.22237470000000001</v>
      </c>
      <c r="U6132">
        <v>3.1120299999999999</v>
      </c>
      <c r="V6132">
        <v>-1.428401E-2</v>
      </c>
      <c r="W6132">
        <v>0.2173697</v>
      </c>
      <c r="X6132">
        <v>0.97598479999999999</v>
      </c>
      <c r="Y6132">
        <v>-5.5025900000000003E-2</v>
      </c>
      <c r="Z6132">
        <v>-7.0827719999999997E-2</v>
      </c>
      <c r="AA6132">
        <v>0.99596969999999996</v>
      </c>
      <c r="AB6132">
        <v>24</v>
      </c>
      <c r="AC6132">
        <v>0.4375</v>
      </c>
      <c r="AD6132">
        <v>-1.111845507727</v>
      </c>
      <c r="AE6132">
        <v>15.332356999999901</v>
      </c>
      <c r="AF6132">
        <v>-0.84874359029678104</v>
      </c>
      <c r="AG6132">
        <v>-1.111845507727</v>
      </c>
      <c r="AH6132">
        <v>15.2348009989554</v>
      </c>
      <c r="AI6132">
        <v>94.167642734501598</v>
      </c>
      <c r="AJ6132">
        <v>93.188699921248201</v>
      </c>
      <c r="AK6132">
        <v>15.2988799456985</v>
      </c>
      <c r="AL6132">
        <v>77.445410041268502</v>
      </c>
      <c r="AM6132">
        <v>90.838491604601998</v>
      </c>
      <c r="AN6132">
        <v>0.99999997462540402</v>
      </c>
    </row>
    <row r="6133" spans="1:40" x14ac:dyDescent="0.25">
      <c r="A6133" t="str">
        <f>"20190312172827311"</f>
        <v>20190312172827311</v>
      </c>
      <c r="B6133" t="str">
        <f>"1552382907306247"</f>
        <v>1552382907306247</v>
      </c>
      <c r="C6133" t="s">
        <v>40</v>
      </c>
      <c r="D6133">
        <v>3.6144400000000001</v>
      </c>
      <c r="E6133">
        <v>0.4883846</v>
      </c>
      <c r="F6133" t="s">
        <v>41</v>
      </c>
      <c r="G6133">
        <v>-186.76410000000001</v>
      </c>
      <c r="H6133" s="1">
        <v>-3.6720300000000001E-6</v>
      </c>
      <c r="I6133">
        <v>-3.1456339999999998</v>
      </c>
      <c r="J6133">
        <v>-187.166</v>
      </c>
      <c r="K6133">
        <v>1.111847</v>
      </c>
      <c r="L6133">
        <v>-18.649809999999999</v>
      </c>
      <c r="M6133">
        <v>8.1717789999999998E-2</v>
      </c>
      <c r="N6133">
        <v>0</v>
      </c>
      <c r="O6133">
        <v>0.99655990000000005</v>
      </c>
      <c r="P6133">
        <v>6.6609020000000005E-2</v>
      </c>
      <c r="Q6133">
        <v>0.20350850000000001</v>
      </c>
      <c r="R6133">
        <v>0.97680469999999997</v>
      </c>
      <c r="S6133">
        <v>8.2672120000000002E-2</v>
      </c>
      <c r="T6133">
        <v>-0.2200667</v>
      </c>
      <c r="U6133">
        <v>3.112152</v>
      </c>
      <c r="V6133">
        <v>-1.4292819999999999E-2</v>
      </c>
      <c r="W6133">
        <v>0.21694939999999999</v>
      </c>
      <c r="X6133">
        <v>0.97607820000000001</v>
      </c>
      <c r="Y6133">
        <v>-5.5296079999999997E-2</v>
      </c>
      <c r="Z6133">
        <v>-7.0116239999999996E-2</v>
      </c>
      <c r="AA6133">
        <v>0.99600509999999998</v>
      </c>
      <c r="AB6133">
        <v>23</v>
      </c>
      <c r="AC6133">
        <v>0.40189999999998299</v>
      </c>
      <c r="AD6133">
        <v>-1.1118506720299901</v>
      </c>
      <c r="AE6133">
        <v>15.504175999999999</v>
      </c>
      <c r="AF6133">
        <v>-0.86210154853481102</v>
      </c>
      <c r="AG6133">
        <v>-1.1118506720299901</v>
      </c>
      <c r="AH6133">
        <v>15.4059820897258</v>
      </c>
      <c r="AI6133">
        <v>94.121457486428</v>
      </c>
      <c r="AJ6133">
        <v>93.202867457161503</v>
      </c>
      <c r="AK6133">
        <v>15.4700909869926</v>
      </c>
      <c r="AL6133">
        <v>77.470080375323107</v>
      </c>
      <c r="AM6133">
        <v>90.838928417694206</v>
      </c>
      <c r="AN6133">
        <v>0.99999998968957604</v>
      </c>
    </row>
    <row r="6134" spans="1:40" x14ac:dyDescent="0.25">
      <c r="A6134" t="str">
        <f>"20190312172827333"</f>
        <v>20190312172827333</v>
      </c>
      <c r="B6134" t="str">
        <f>"1552382907325767"</f>
        <v>1552382907325767</v>
      </c>
      <c r="C6134" t="s">
        <v>40</v>
      </c>
      <c r="D6134">
        <v>3.4888720000000002</v>
      </c>
      <c r="E6134">
        <v>0.48831000000000002</v>
      </c>
      <c r="F6134" t="s">
        <v>41</v>
      </c>
      <c r="G6134">
        <v>-186.7953</v>
      </c>
      <c r="H6134" s="1">
        <v>-3.7490940000000001E-6</v>
      </c>
      <c r="I6134">
        <v>-2.9530620000000001</v>
      </c>
      <c r="J6134">
        <v>-187.14940000000001</v>
      </c>
      <c r="K6134">
        <v>1.111858</v>
      </c>
      <c r="L6134">
        <v>-18.41113</v>
      </c>
      <c r="M6134">
        <v>7.9122709999999999E-2</v>
      </c>
      <c r="N6134">
        <v>0</v>
      </c>
      <c r="O6134">
        <v>0.99676929999999997</v>
      </c>
      <c r="P6134">
        <v>6.4585719999999999E-2</v>
      </c>
      <c r="Q6134">
        <v>0.20268949999999999</v>
      </c>
      <c r="R6134">
        <v>0.9771109</v>
      </c>
      <c r="S6134">
        <v>7.3486330000000002E-2</v>
      </c>
      <c r="T6134">
        <v>-0.22044359999999999</v>
      </c>
      <c r="U6134">
        <v>3.112152</v>
      </c>
      <c r="V6134">
        <v>-1.378852E-2</v>
      </c>
      <c r="W6134">
        <v>0.2161333</v>
      </c>
      <c r="X6134">
        <v>0.97626650000000004</v>
      </c>
      <c r="Y6134">
        <v>-5.563448E-2</v>
      </c>
      <c r="Z6134">
        <v>-7.0259820000000001E-2</v>
      </c>
      <c r="AA6134">
        <v>0.99597610000000003</v>
      </c>
      <c r="AB6134">
        <v>23</v>
      </c>
      <c r="AC6134">
        <v>0.35410000000001601</v>
      </c>
      <c r="AD6134">
        <v>-1.1118617490939999</v>
      </c>
      <c r="AE6134">
        <v>15.4580679999999</v>
      </c>
      <c r="AF6134">
        <v>-0.86573454206905398</v>
      </c>
      <c r="AG6134">
        <v>-1.1118617490939999</v>
      </c>
      <c r="AH6134">
        <v>15.358200727346301</v>
      </c>
      <c r="AI6134">
        <v>94.134181810387702</v>
      </c>
      <c r="AJ6134">
        <v>93.2263217604402</v>
      </c>
      <c r="AK6134">
        <v>15.422712550906599</v>
      </c>
      <c r="AL6134">
        <v>77.517976024502403</v>
      </c>
      <c r="AM6134">
        <v>90.809176056731303</v>
      </c>
      <c r="AN6134">
        <v>1.00000000283746</v>
      </c>
    </row>
    <row r="6135" spans="1:40" x14ac:dyDescent="0.25">
      <c r="A6135" t="str">
        <f>"20190312172827356"</f>
        <v>20190312172827356</v>
      </c>
      <c r="B6135" t="str">
        <f>"1552382907345287"</f>
        <v>1552382907345287</v>
      </c>
      <c r="C6135" t="s">
        <v>40</v>
      </c>
      <c r="D6135">
        <v>3.4971939999999999</v>
      </c>
      <c r="E6135">
        <v>0.48823569999999999</v>
      </c>
      <c r="F6135" t="s">
        <v>41</v>
      </c>
      <c r="G6135">
        <v>-186.81360000000001</v>
      </c>
      <c r="H6135" s="1">
        <v>-3.7891249999999999E-6</v>
      </c>
      <c r="I6135">
        <v>-2.8521999999999998</v>
      </c>
      <c r="J6135">
        <v>-187.1336</v>
      </c>
      <c r="K6135">
        <v>1.1118650000000001</v>
      </c>
      <c r="L6135">
        <v>-18.172419999999999</v>
      </c>
      <c r="M6135">
        <v>7.6502940000000005E-2</v>
      </c>
      <c r="N6135">
        <v>0</v>
      </c>
      <c r="O6135">
        <v>0.99697380000000002</v>
      </c>
      <c r="P6135">
        <v>6.2570390000000004E-2</v>
      </c>
      <c r="Q6135">
        <v>0.20269789999999999</v>
      </c>
      <c r="R6135">
        <v>0.97724029999999995</v>
      </c>
      <c r="S6135">
        <v>6.7169190000000004E-2</v>
      </c>
      <c r="T6135">
        <v>-0.22238540000000001</v>
      </c>
      <c r="U6135">
        <v>3.1119690000000002</v>
      </c>
      <c r="V6135">
        <v>-1.323918E-2</v>
      </c>
      <c r="W6135">
        <v>0.21614259999999999</v>
      </c>
      <c r="X6135">
        <v>0.97627200000000003</v>
      </c>
      <c r="Y6135">
        <v>-5.5030879999999997E-2</v>
      </c>
      <c r="Z6135">
        <v>-7.090436E-2</v>
      </c>
      <c r="AA6135">
        <v>0.99596390000000001</v>
      </c>
      <c r="AB6135">
        <v>23</v>
      </c>
      <c r="AC6135">
        <v>0.31999999999999301</v>
      </c>
      <c r="AD6135">
        <v>-1.1118687891250001</v>
      </c>
      <c r="AE6135">
        <v>15.320220000000001</v>
      </c>
      <c r="AF6135">
        <v>-0.84862364129219603</v>
      </c>
      <c r="AG6135">
        <v>-1.1118687891250001</v>
      </c>
      <c r="AH6135">
        <v>15.219667023385</v>
      </c>
      <c r="AI6135">
        <v>94.171848358960503</v>
      </c>
      <c r="AJ6135">
        <v>93.191413956091395</v>
      </c>
      <c r="AK6135">
        <v>15.283804454110999</v>
      </c>
      <c r="AL6135">
        <v>77.517429713956801</v>
      </c>
      <c r="AM6135">
        <v>90.776937825127305</v>
      </c>
      <c r="AN6135">
        <v>0.99999995870291503</v>
      </c>
    </row>
    <row r="6136" spans="1:40" x14ac:dyDescent="0.25">
      <c r="A6136" t="str">
        <f>"20190312172827381"</f>
        <v>20190312172827381</v>
      </c>
      <c r="B6136" t="str">
        <f>"1552382907375543"</f>
        <v>1552382907375543</v>
      </c>
      <c r="C6136" t="s">
        <v>40</v>
      </c>
      <c r="D6136">
        <v>3.5184120000000001</v>
      </c>
      <c r="E6136">
        <v>0.48812460000000002</v>
      </c>
      <c r="F6136" t="s">
        <v>41</v>
      </c>
      <c r="G6136">
        <v>-186.83670000000001</v>
      </c>
      <c r="H6136" s="1">
        <v>-3.9092510000000001E-6</v>
      </c>
      <c r="I6136">
        <v>-2.5626340000000001</v>
      </c>
      <c r="J6136">
        <v>-187.11760000000001</v>
      </c>
      <c r="K6136">
        <v>1.1118629999999901</v>
      </c>
      <c r="L6136">
        <v>-17.92276</v>
      </c>
      <c r="M6136">
        <v>7.3745160000000004E-2</v>
      </c>
      <c r="N6136">
        <v>0</v>
      </c>
      <c r="O6136">
        <v>0.9971816</v>
      </c>
      <c r="P6136">
        <v>5.9590499999999998E-2</v>
      </c>
      <c r="Q6136">
        <v>0.20211399999999999</v>
      </c>
      <c r="R6136">
        <v>0.97754739999999996</v>
      </c>
      <c r="S6136">
        <v>5.918884E-2</v>
      </c>
      <c r="T6136">
        <v>-0.2216688</v>
      </c>
      <c r="U6136">
        <v>3.1120610000000002</v>
      </c>
      <c r="V6136">
        <v>-1.3524939999999999E-2</v>
      </c>
      <c r="W6136">
        <v>0.21555779999999999</v>
      </c>
      <c r="X6136">
        <v>0.97639739999999997</v>
      </c>
      <c r="Y6136">
        <v>-5.4822469999999998E-2</v>
      </c>
      <c r="Z6136">
        <v>-7.0699310000000001E-2</v>
      </c>
      <c r="AA6136">
        <v>0.99599000000000004</v>
      </c>
      <c r="AB6136">
        <v>23</v>
      </c>
      <c r="AC6136">
        <v>0.28090000000000198</v>
      </c>
      <c r="AD6136">
        <v>-1.1118669092509901</v>
      </c>
      <c r="AE6136">
        <v>15.360125999999999</v>
      </c>
      <c r="AF6136">
        <v>-0.84826460113848501</v>
      </c>
      <c r="AG6136">
        <v>-1.1118669092509901</v>
      </c>
      <c r="AH6136">
        <v>15.259083147763301</v>
      </c>
      <c r="AI6136">
        <v>94.161141405261503</v>
      </c>
      <c r="AJ6136">
        <v>93.181843117028805</v>
      </c>
      <c r="AK6136">
        <v>15.323035579407399</v>
      </c>
      <c r="AL6136">
        <v>77.551745569293402</v>
      </c>
      <c r="AM6136">
        <v>90.793603529935893</v>
      </c>
      <c r="AN6136">
        <v>0.99999998593480099</v>
      </c>
    </row>
    <row r="6137" spans="1:40" x14ac:dyDescent="0.25">
      <c r="A6137" t="str">
        <f>"20190312172827405"</f>
        <v>20190312172827405</v>
      </c>
      <c r="B6137" t="str">
        <f>"1552382907396039"</f>
        <v>1552382907396039</v>
      </c>
      <c r="C6137" t="s">
        <v>40</v>
      </c>
      <c r="D6137">
        <v>3.5927880000000001</v>
      </c>
      <c r="E6137">
        <v>0.4880661</v>
      </c>
      <c r="F6137" t="s">
        <v>41</v>
      </c>
      <c r="G6137">
        <v>-186.8716</v>
      </c>
      <c r="H6137" s="1">
        <v>-4.0017379999999999E-6</v>
      </c>
      <c r="I6137">
        <v>-2.3326259999999999</v>
      </c>
      <c r="J6137">
        <v>-187.10210000000001</v>
      </c>
      <c r="K6137">
        <v>1.1118509999999999</v>
      </c>
      <c r="L6137">
        <v>-17.66705</v>
      </c>
      <c r="M6137">
        <v>7.0911070000000007E-2</v>
      </c>
      <c r="N6137">
        <v>0</v>
      </c>
      <c r="O6137">
        <v>0.99738720000000003</v>
      </c>
      <c r="P6137">
        <v>5.5863620000000003E-2</v>
      </c>
      <c r="Q6137">
        <v>0.20117180000000001</v>
      </c>
      <c r="R6137">
        <v>0.97796170000000004</v>
      </c>
      <c r="S6137">
        <v>4.9118040000000002E-2</v>
      </c>
      <c r="T6137">
        <v>-0.2219284</v>
      </c>
      <c r="U6137">
        <v>3.1117859999999999</v>
      </c>
      <c r="V6137">
        <v>-1.448339E-2</v>
      </c>
      <c r="W6137">
        <v>0.21461250000000001</v>
      </c>
      <c r="X6137">
        <v>0.97659189999999996</v>
      </c>
      <c r="Y6137">
        <v>-5.5205770000000001E-2</v>
      </c>
      <c r="Z6137">
        <v>-7.0810999999999999E-2</v>
      </c>
      <c r="AA6137">
        <v>0.99596090000000004</v>
      </c>
      <c r="AB6137">
        <v>23</v>
      </c>
      <c r="AC6137">
        <v>0.23050000000000601</v>
      </c>
      <c r="AD6137">
        <v>-1.111855001738</v>
      </c>
      <c r="AE6137">
        <v>15.334423999999901</v>
      </c>
      <c r="AF6137">
        <v>-0.85308043294220404</v>
      </c>
      <c r="AG6137">
        <v>-1.111855001738</v>
      </c>
      <c r="AH6137">
        <v>15.232099583598499</v>
      </c>
      <c r="AI6137">
        <v>94.168346590582701</v>
      </c>
      <c r="AJ6137">
        <v>93.205526621706198</v>
      </c>
      <c r="AK6137">
        <v>15.296431789624</v>
      </c>
      <c r="AL6137">
        <v>77.607205675189107</v>
      </c>
      <c r="AM6137">
        <v>90.849665339784295</v>
      </c>
      <c r="AN6137">
        <v>1.00000001644387</v>
      </c>
    </row>
    <row r="6138" spans="1:40" x14ac:dyDescent="0.25">
      <c r="A6138" t="str">
        <f>"20190312172827445"</f>
        <v>20190312172827445</v>
      </c>
      <c r="B6138" t="str">
        <f>"1552382907436055"</f>
        <v>1552382907436055</v>
      </c>
      <c r="C6138" t="s">
        <v>40</v>
      </c>
      <c r="D6138">
        <v>3.4924499999999998</v>
      </c>
      <c r="E6138">
        <v>0.48801119999999998</v>
      </c>
      <c r="F6138" t="s">
        <v>41</v>
      </c>
      <c r="G6138">
        <v>-186.91980000000001</v>
      </c>
      <c r="H6138" s="1">
        <v>-4.04433E-6</v>
      </c>
      <c r="I6138">
        <v>-2.2133989999999999</v>
      </c>
      <c r="J6138">
        <v>-187.07839999999999</v>
      </c>
      <c r="K6138">
        <v>1.1118189999999999</v>
      </c>
      <c r="L6138">
        <v>-17.253969999999999</v>
      </c>
      <c r="M6138">
        <v>6.6328719999999994E-2</v>
      </c>
      <c r="N6138">
        <v>0</v>
      </c>
      <c r="O6138">
        <v>0.99770250000000005</v>
      </c>
      <c r="P6138">
        <v>4.9995489999999997E-2</v>
      </c>
      <c r="Q6138">
        <v>0.1997012</v>
      </c>
      <c r="R6138">
        <v>0.97858049999999996</v>
      </c>
      <c r="S6138">
        <v>3.6697390000000003E-2</v>
      </c>
      <c r="T6138">
        <v>-0.2238705</v>
      </c>
      <c r="U6138">
        <v>3.1115719999999998</v>
      </c>
      <c r="V6138">
        <v>-1.5867510000000001E-2</v>
      </c>
      <c r="W6138">
        <v>0.21313219999999999</v>
      </c>
      <c r="X6138">
        <v>0.9768945</v>
      </c>
      <c r="Y6138">
        <v>-5.4593460000000003E-2</v>
      </c>
      <c r="Z6138">
        <v>-7.1469400000000002E-2</v>
      </c>
      <c r="AA6138">
        <v>0.99594760000000004</v>
      </c>
      <c r="AB6138">
        <v>23</v>
      </c>
      <c r="AC6138">
        <v>0.15859999999997801</v>
      </c>
      <c r="AD6138">
        <v>-1.1118230443299999</v>
      </c>
      <c r="AE6138">
        <v>15.040571</v>
      </c>
      <c r="AF6138">
        <v>-0.83490430633887402</v>
      </c>
      <c r="AG6138">
        <v>-1.1118230443299999</v>
      </c>
      <c r="AH6138">
        <v>14.9363542877946</v>
      </c>
      <c r="AI6138">
        <v>94.250485587521396</v>
      </c>
      <c r="AJ6138">
        <v>93.199359307948797</v>
      </c>
      <c r="AK6138">
        <v>15.000929807620899</v>
      </c>
      <c r="AL6138">
        <v>77.694029239207396</v>
      </c>
      <c r="AM6138">
        <v>90.930562526938601</v>
      </c>
      <c r="AN6138">
        <v>0.99999998834034498</v>
      </c>
    </row>
    <row r="6139" spans="1:40" x14ac:dyDescent="0.25">
      <c r="A6139" t="str">
        <f>"20190312172827467"</f>
        <v>20190312172827467</v>
      </c>
      <c r="B6139" t="str">
        <f>"1552382907455576"</f>
        <v>1552382907455576</v>
      </c>
      <c r="C6139" t="s">
        <v>40</v>
      </c>
      <c r="D6139">
        <v>3.6098279999999998</v>
      </c>
      <c r="E6139">
        <v>0.48800199999999999</v>
      </c>
      <c r="F6139" t="s">
        <v>41</v>
      </c>
      <c r="G6139">
        <v>-186.9924</v>
      </c>
      <c r="H6139" s="1">
        <v>-4.1202879999999998E-6</v>
      </c>
      <c r="I6139">
        <v>-2.0063369999999998</v>
      </c>
      <c r="J6139">
        <v>-187.06630000000001</v>
      </c>
      <c r="K6139">
        <v>1.111804</v>
      </c>
      <c r="L6139">
        <v>-17.027739999999898</v>
      </c>
      <c r="M6139">
        <v>6.3822719999999999E-2</v>
      </c>
      <c r="N6139">
        <v>0</v>
      </c>
      <c r="O6139">
        <v>0.99786620000000004</v>
      </c>
      <c r="P6139">
        <v>4.7396689999999998E-2</v>
      </c>
      <c r="Q6139">
        <v>0.19964460000000001</v>
      </c>
      <c r="R6139">
        <v>0.97872139999999996</v>
      </c>
      <c r="S6139">
        <v>1.7562870000000001E-2</v>
      </c>
      <c r="T6139">
        <v>-0.226851</v>
      </c>
      <c r="U6139">
        <v>3.1110530000000001</v>
      </c>
      <c r="V6139">
        <v>-1.6004709999999998E-2</v>
      </c>
      <c r="W6139">
        <v>0.21306040000000001</v>
      </c>
      <c r="X6139">
        <v>0.97690790000000005</v>
      </c>
      <c r="Y6139">
        <v>-5.8208759999999998E-2</v>
      </c>
      <c r="Z6139">
        <v>-7.2440210000000005E-2</v>
      </c>
      <c r="AA6139">
        <v>0.99567269999999997</v>
      </c>
      <c r="AB6139">
        <v>23</v>
      </c>
      <c r="AC6139">
        <v>7.3900000000008903E-2</v>
      </c>
      <c r="AD6139">
        <v>-1.1118081202879999</v>
      </c>
      <c r="AE6139">
        <v>15.0214029999999</v>
      </c>
      <c r="AF6139">
        <v>-0.88022649057080804</v>
      </c>
      <c r="AG6139">
        <v>-1.1118081202879999</v>
      </c>
      <c r="AH6139">
        <v>14.913790373325099</v>
      </c>
      <c r="AI6139">
        <v>94.256077222519593</v>
      </c>
      <c r="AJ6139">
        <v>93.377734482033901</v>
      </c>
      <c r="AK6139">
        <v>14.981056680706001</v>
      </c>
      <c r="AL6139">
        <v>77.698239495048796</v>
      </c>
      <c r="AM6139">
        <v>90.938594422555596</v>
      </c>
      <c r="AN6139">
        <v>0.999999964936376</v>
      </c>
    </row>
    <row r="6140" spans="1:40" x14ac:dyDescent="0.25">
      <c r="A6140" t="str">
        <f>"20190312172827490"</f>
        <v>20190312172827490</v>
      </c>
      <c r="B6140" t="str">
        <f>"1552382907485831"</f>
        <v>1552382907485831</v>
      </c>
      <c r="C6140" t="s">
        <v>40</v>
      </c>
      <c r="D6140">
        <v>3.5125160000000002</v>
      </c>
      <c r="E6140">
        <v>0.48806070000000001</v>
      </c>
      <c r="F6140" t="s">
        <v>41</v>
      </c>
      <c r="G6140">
        <v>-187.0222</v>
      </c>
      <c r="H6140" s="1">
        <v>-4.2171720000000001E-6</v>
      </c>
      <c r="I6140">
        <v>-1.768143</v>
      </c>
      <c r="J6140">
        <v>-187.05420000000001</v>
      </c>
      <c r="K6140">
        <v>1.111791</v>
      </c>
      <c r="L6140">
        <v>-16.789670000000001</v>
      </c>
      <c r="M6140">
        <v>6.1198250000000003E-2</v>
      </c>
      <c r="N6140">
        <v>0</v>
      </c>
      <c r="O6140">
        <v>0.9980308</v>
      </c>
      <c r="P6140">
        <v>4.519865E-2</v>
      </c>
      <c r="Q6140">
        <v>0.19963020000000001</v>
      </c>
      <c r="R6140">
        <v>0.97882829999999998</v>
      </c>
      <c r="S6140">
        <v>8.9874269999999992E-3</v>
      </c>
      <c r="T6140">
        <v>-0.22666800000000001</v>
      </c>
      <c r="U6140">
        <v>3.1110229999999999</v>
      </c>
      <c r="V6140">
        <v>-1.562331E-2</v>
      </c>
      <c r="W6140">
        <v>0.21303059999999999</v>
      </c>
      <c r="X6140">
        <v>0.97692060000000003</v>
      </c>
      <c r="Y6140">
        <v>-5.8327780000000003E-2</v>
      </c>
      <c r="Z6140">
        <v>-7.2400859999999997E-2</v>
      </c>
      <c r="AA6140">
        <v>0.99566860000000001</v>
      </c>
      <c r="AB6140">
        <v>23</v>
      </c>
      <c r="AC6140">
        <v>3.2000000000010603E-2</v>
      </c>
      <c r="AD6140">
        <v>-1.111795217172</v>
      </c>
      <c r="AE6140">
        <v>15.021526999999899</v>
      </c>
      <c r="AF6140">
        <v>-0.88260330516042396</v>
      </c>
      <c r="AG6140">
        <v>-1.111795217172</v>
      </c>
      <c r="AH6140">
        <v>14.913627929059301</v>
      </c>
      <c r="AI6140">
        <v>94.256034235582007</v>
      </c>
      <c r="AJ6140">
        <v>93.386870746328597</v>
      </c>
      <c r="AK6140">
        <v>14.981033849692199</v>
      </c>
      <c r="AL6140">
        <v>77.699987360928503</v>
      </c>
      <c r="AM6140">
        <v>90.916219212824402</v>
      </c>
      <c r="AN6140">
        <v>0.99999999152803798</v>
      </c>
    </row>
    <row r="6141" spans="1:40" x14ac:dyDescent="0.25">
      <c r="A6141" t="str">
        <f>"20190312172827513"</f>
        <v>20190312172827513</v>
      </c>
      <c r="B6141" t="str">
        <f>"1552382907505352"</f>
        <v>1552382907505352</v>
      </c>
      <c r="C6141" t="s">
        <v>40</v>
      </c>
      <c r="D6141">
        <v>3.4804740000000001</v>
      </c>
      <c r="E6141">
        <v>0.48811349999999998</v>
      </c>
      <c r="F6141" t="s">
        <v>41</v>
      </c>
      <c r="G6141">
        <v>-187.03919999999999</v>
      </c>
      <c r="H6141" s="1">
        <v>-4.3460000000000004E-6</v>
      </c>
      <c r="I6141">
        <v>-1.4608190000000001</v>
      </c>
      <c r="J6141">
        <v>-187.0429</v>
      </c>
      <c r="K6141">
        <v>1.1117809999999999</v>
      </c>
      <c r="L6141">
        <v>-16.555789999999998</v>
      </c>
      <c r="M6141">
        <v>5.8636559999999997E-2</v>
      </c>
      <c r="N6141">
        <v>0</v>
      </c>
      <c r="O6141">
        <v>0.99818479999999998</v>
      </c>
      <c r="P6141">
        <v>4.2692649999999999E-2</v>
      </c>
      <c r="Q6141">
        <v>0.20047010000000001</v>
      </c>
      <c r="R6141">
        <v>0.97876920000000001</v>
      </c>
      <c r="S6141">
        <v>3.0364989999999998E-3</v>
      </c>
      <c r="T6141">
        <v>-0.2256235</v>
      </c>
      <c r="U6141">
        <v>3.110779</v>
      </c>
      <c r="V6141">
        <v>-1.5603189999999999E-2</v>
      </c>
      <c r="W6141">
        <v>0.21385380000000001</v>
      </c>
      <c r="X6141">
        <v>0.97674110000000003</v>
      </c>
      <c r="Y6141">
        <v>-5.7670060000000002E-2</v>
      </c>
      <c r="Z6141">
        <v>-7.2092779999999995E-2</v>
      </c>
      <c r="AA6141">
        <v>0.99572930000000004</v>
      </c>
      <c r="AB6141">
        <v>23</v>
      </c>
      <c r="AC6141">
        <v>3.70000000000914E-3</v>
      </c>
      <c r="AD6141">
        <v>-1.111785346</v>
      </c>
      <c r="AE6141">
        <v>15.0949709999999</v>
      </c>
      <c r="AF6141">
        <v>-0.87675100473046197</v>
      </c>
      <c r="AG6141">
        <v>-1.111785346</v>
      </c>
      <c r="AH6141">
        <v>14.987905423140999</v>
      </c>
      <c r="AI6141">
        <v>94.235150702590104</v>
      </c>
      <c r="AJ6141">
        <v>93.3478294016993</v>
      </c>
      <c r="AK6141">
        <v>15.054636095000699</v>
      </c>
      <c r="AL6141">
        <v>77.651709561726506</v>
      </c>
      <c r="AM6141">
        <v>90.915207621021594</v>
      </c>
      <c r="AN6141">
        <v>1.0000000418709101</v>
      </c>
    </row>
    <row r="6142" spans="1:40" x14ac:dyDescent="0.25">
      <c r="A6142" t="str">
        <f>"20190312172827535"</f>
        <v>20190312172827535</v>
      </c>
      <c r="B6142" t="str">
        <f>"1552382907525847"</f>
        <v>1552382907525847</v>
      </c>
      <c r="C6142" t="s">
        <v>40</v>
      </c>
      <c r="D6142">
        <v>3.4848400000000002</v>
      </c>
      <c r="E6142">
        <v>0.48818109999999998</v>
      </c>
      <c r="F6142" t="s">
        <v>41</v>
      </c>
      <c r="G6142">
        <v>-187.0608</v>
      </c>
      <c r="H6142" s="1">
        <v>-4.533398E-6</v>
      </c>
      <c r="I6142">
        <v>-1.0150699999999999</v>
      </c>
      <c r="J6142">
        <v>-187.03229999999999</v>
      </c>
      <c r="K6142">
        <v>1.1117729999999999</v>
      </c>
      <c r="L6142">
        <v>-16.324279999999899</v>
      </c>
      <c r="M6142">
        <v>5.6114690000000002E-2</v>
      </c>
      <c r="N6142">
        <v>0</v>
      </c>
      <c r="O6142">
        <v>0.99832989999999999</v>
      </c>
      <c r="P6142">
        <v>4.0380449999999998E-2</v>
      </c>
      <c r="Q6142">
        <v>0.20116709999999999</v>
      </c>
      <c r="R6142">
        <v>0.97872429999999999</v>
      </c>
      <c r="S6142">
        <v>-3.585815E-3</v>
      </c>
      <c r="T6142">
        <v>-0.22254779999999999</v>
      </c>
      <c r="U6142">
        <v>3.1108090000000002</v>
      </c>
      <c r="V6142">
        <v>-1.5428509999999999E-2</v>
      </c>
      <c r="W6142">
        <v>0.21453659999999999</v>
      </c>
      <c r="X6142">
        <v>0.97659410000000002</v>
      </c>
      <c r="Y6142">
        <v>-5.7267789999999999E-2</v>
      </c>
      <c r="Z6142">
        <v>-7.1130659999999998E-2</v>
      </c>
      <c r="AA6142">
        <v>0.99582170000000003</v>
      </c>
      <c r="AB6142">
        <v>23</v>
      </c>
      <c r="AC6142">
        <v>-2.8500000000008099E-2</v>
      </c>
      <c r="AD6142">
        <v>-1.111777533398</v>
      </c>
      <c r="AE6142">
        <v>15.309209999999901</v>
      </c>
      <c r="AF6142">
        <v>-0.88295109782483605</v>
      </c>
      <c r="AG6142">
        <v>-1.111777533398</v>
      </c>
      <c r="AH6142">
        <v>15.2033036379761</v>
      </c>
      <c r="AI6142">
        <v>94.175433928707804</v>
      </c>
      <c r="AJ6142">
        <v>93.323791369277004</v>
      </c>
      <c r="AK6142">
        <v>15.2694496768357</v>
      </c>
      <c r="AL6142">
        <v>77.611658101232393</v>
      </c>
      <c r="AM6142">
        <v>90.905099646355396</v>
      </c>
      <c r="AN6142">
        <v>1.00000001390759</v>
      </c>
    </row>
    <row r="6143" spans="1:40" x14ac:dyDescent="0.25">
      <c r="A6143" t="str">
        <f>"20190312172827559"</f>
        <v>20190312172827559</v>
      </c>
      <c r="B6143" t="str">
        <f>"1552382907556104"</f>
        <v>1552382907556104</v>
      </c>
      <c r="C6143" t="s">
        <v>40</v>
      </c>
      <c r="D6143">
        <v>3.510831</v>
      </c>
      <c r="E6143">
        <v>0.48832059999999999</v>
      </c>
      <c r="F6143" t="s">
        <v>41</v>
      </c>
      <c r="G6143">
        <v>-187.08260000000001</v>
      </c>
      <c r="H6143" s="1">
        <v>-4.7128729999999997E-6</v>
      </c>
      <c r="I6143">
        <v>-0.58769700000000002</v>
      </c>
      <c r="J6143">
        <v>-187.02199999999999</v>
      </c>
      <c r="K6143">
        <v>1.1117520000000001</v>
      </c>
      <c r="L6143">
        <v>-16.08792</v>
      </c>
      <c r="M6143">
        <v>5.3559490000000001E-2</v>
      </c>
      <c r="N6143">
        <v>0</v>
      </c>
      <c r="O6143">
        <v>0.99847050000000004</v>
      </c>
      <c r="P6143">
        <v>3.7804280000000003E-2</v>
      </c>
      <c r="Q6143">
        <v>0.20241500000000001</v>
      </c>
      <c r="R6143">
        <v>0.97856989999999999</v>
      </c>
      <c r="S6143">
        <v>-9.9487299999999994E-3</v>
      </c>
      <c r="T6143">
        <v>-0.21977640000000001</v>
      </c>
      <c r="U6143">
        <v>3.1108090000000002</v>
      </c>
      <c r="V6143">
        <v>-1.5479639999999999E-2</v>
      </c>
      <c r="W6143">
        <v>0.21576219999999999</v>
      </c>
      <c r="X6143">
        <v>0.97632319999999995</v>
      </c>
      <c r="Y6143">
        <v>-5.674974E-2</v>
      </c>
      <c r="Z6143">
        <v>-7.0264999999999994E-2</v>
      </c>
      <c r="AA6143">
        <v>0.99591280000000004</v>
      </c>
      <c r="AB6143">
        <v>23</v>
      </c>
      <c r="AC6143">
        <v>-6.0599999999993701E-2</v>
      </c>
      <c r="AD6143">
        <v>-1.1117567128729999</v>
      </c>
      <c r="AE6143">
        <v>15.500223</v>
      </c>
      <c r="AF6143">
        <v>-0.88621603293051798</v>
      </c>
      <c r="AG6143">
        <v>-1.1117567128729999</v>
      </c>
      <c r="AH6143">
        <v>15.3955235750008</v>
      </c>
      <c r="AI6143">
        <v>94.123527273524502</v>
      </c>
      <c r="AJ6143">
        <v>93.294494429497107</v>
      </c>
      <c r="AK6143">
        <v>15.461032565583899</v>
      </c>
      <c r="AL6143">
        <v>77.539751867002494</v>
      </c>
      <c r="AM6143">
        <v>90.908350567849595</v>
      </c>
      <c r="AN6143">
        <v>0.99999996853080397</v>
      </c>
    </row>
    <row r="6144" spans="1:40" x14ac:dyDescent="0.25">
      <c r="A6144" t="str">
        <f>"20190312172827581"</f>
        <v>20190312172827581</v>
      </c>
      <c r="B6144" t="str">
        <f>"1552382907575623"</f>
        <v>1552382907575623</v>
      </c>
      <c r="C6144" t="s">
        <v>40</v>
      </c>
      <c r="D6144">
        <v>3.4893719999999999</v>
      </c>
      <c r="E6144">
        <v>0.4884426</v>
      </c>
      <c r="F6144" t="s">
        <v>41</v>
      </c>
      <c r="G6144">
        <v>-187.10839999999999</v>
      </c>
      <c r="H6144" s="1">
        <v>-8.8589599999999995E-7</v>
      </c>
      <c r="I6144">
        <v>-9.5088180000000005E-3</v>
      </c>
      <c r="J6144">
        <v>-187.01240000000001</v>
      </c>
      <c r="K6144">
        <v>1.111723</v>
      </c>
      <c r="L6144">
        <v>-15.854430000000001</v>
      </c>
      <c r="M6144">
        <v>5.1059840000000002E-2</v>
      </c>
      <c r="N6144">
        <v>0</v>
      </c>
      <c r="O6144">
        <v>0.99860199999999999</v>
      </c>
      <c r="P6144">
        <v>3.516967E-2</v>
      </c>
      <c r="Q6144">
        <v>0.20243349999999999</v>
      </c>
      <c r="R6144">
        <v>0.97866430000000004</v>
      </c>
      <c r="S6144">
        <v>-1.672363E-2</v>
      </c>
      <c r="T6144">
        <v>-0.21510109999999999</v>
      </c>
      <c r="U6144">
        <v>3.11084</v>
      </c>
      <c r="V6144">
        <v>-1.565242E-2</v>
      </c>
      <c r="W6144">
        <v>0.21574499999999999</v>
      </c>
      <c r="X6144">
        <v>0.97632430000000003</v>
      </c>
      <c r="Y6144">
        <v>-5.6419860000000002E-2</v>
      </c>
      <c r="Z6144">
        <v>-6.8790630000000005E-2</v>
      </c>
      <c r="AA6144">
        <v>0.99603439999999999</v>
      </c>
      <c r="AB6144">
        <v>23</v>
      </c>
      <c r="AC6144">
        <v>-9.5999999999975202E-2</v>
      </c>
      <c r="AD6144">
        <v>-1.1117238858959999</v>
      </c>
      <c r="AE6144">
        <v>15.844921181999901</v>
      </c>
      <c r="AF6144">
        <v>-0.90055641309023204</v>
      </c>
      <c r="AG6144">
        <v>-1.1117238858959999</v>
      </c>
      <c r="AH6144">
        <v>15.741855495805799</v>
      </c>
      <c r="AI6144">
        <v>94.0330725252782</v>
      </c>
      <c r="AJ6144">
        <v>93.274194908574202</v>
      </c>
      <c r="AK6144">
        <v>15.8067373705791</v>
      </c>
      <c r="AL6144">
        <v>77.540761789168897</v>
      </c>
      <c r="AM6144">
        <v>90.918486595352803</v>
      </c>
      <c r="AN6144">
        <v>1.0000000210236699</v>
      </c>
    </row>
    <row r="6145" spans="1:40" x14ac:dyDescent="0.25">
      <c r="A6145" t="str">
        <f>"20190312172827605"</f>
        <v>20190312172827605</v>
      </c>
      <c r="B6145" t="str">
        <f>"1552382907596120"</f>
        <v>1552382907596120</v>
      </c>
      <c r="C6145" t="s">
        <v>40</v>
      </c>
      <c r="D6145">
        <v>3.4747460000000001</v>
      </c>
      <c r="E6145">
        <v>0.48855399999999999</v>
      </c>
      <c r="F6145" t="s">
        <v>41</v>
      </c>
      <c r="G6145">
        <v>-187.13579999999999</v>
      </c>
      <c r="H6145" s="1">
        <v>-9.6909129999999996E-7</v>
      </c>
      <c r="I6145">
        <v>0.25638250000000001</v>
      </c>
      <c r="J6145">
        <v>-187.00290000000001</v>
      </c>
      <c r="K6145">
        <v>1.111683</v>
      </c>
      <c r="L6145">
        <v>-15.608639999999999</v>
      </c>
      <c r="M6145">
        <v>4.8464220000000002E-2</v>
      </c>
      <c r="N6145">
        <v>0</v>
      </c>
      <c r="O6145">
        <v>0.99873219999999996</v>
      </c>
      <c r="P6145">
        <v>3.2776020000000003E-2</v>
      </c>
      <c r="Q6145">
        <v>0.20222599999999999</v>
      </c>
      <c r="R6145">
        <v>0.9787903</v>
      </c>
      <c r="S6145">
        <v>-2.3834230000000001E-2</v>
      </c>
      <c r="T6145">
        <v>-0.21465039999999999</v>
      </c>
      <c r="U6145">
        <v>3.1106569999999998</v>
      </c>
      <c r="V6145">
        <v>-1.548949E-2</v>
      </c>
      <c r="W6145">
        <v>0.21547630000000001</v>
      </c>
      <c r="X6145">
        <v>0.97638619999999998</v>
      </c>
      <c r="Y6145">
        <v>-5.6101989999999997E-2</v>
      </c>
      <c r="Z6145">
        <v>-6.8664660000000002E-2</v>
      </c>
      <c r="AA6145">
        <v>0.99606110000000003</v>
      </c>
      <c r="AB6145">
        <v>23</v>
      </c>
      <c r="AC6145">
        <v>-0.13289999999997801</v>
      </c>
      <c r="AD6145">
        <v>-1.1116839690913001</v>
      </c>
      <c r="AE6145">
        <v>15.865022499999901</v>
      </c>
      <c r="AF6145">
        <v>-0.89729554687927704</v>
      </c>
      <c r="AG6145">
        <v>-1.1116839690913001</v>
      </c>
      <c r="AH6145">
        <v>15.7625462336425</v>
      </c>
      <c r="AI6145">
        <v>94.027716183441299</v>
      </c>
      <c r="AJ6145">
        <v>93.258091761398006</v>
      </c>
      <c r="AK6145">
        <v>15.827155281771301</v>
      </c>
      <c r="AL6145">
        <v>77.556527550615897</v>
      </c>
      <c r="AM6145">
        <v>90.908869834736706</v>
      </c>
      <c r="AN6145">
        <v>0.99999998585629402</v>
      </c>
    </row>
    <row r="6146" spans="1:40" x14ac:dyDescent="0.25">
      <c r="A6146" t="str">
        <f>"20190312172827645"</f>
        <v>20190312172827645</v>
      </c>
      <c r="B6146" t="str">
        <f>"1552382907636136"</f>
        <v>1552382907636136</v>
      </c>
      <c r="C6146" t="s">
        <v>40</v>
      </c>
      <c r="D6146">
        <v>3.4794369999999999</v>
      </c>
      <c r="E6146">
        <v>0.48882330000000002</v>
      </c>
      <c r="F6146" t="s">
        <v>41</v>
      </c>
      <c r="G6146">
        <v>-187.1602</v>
      </c>
      <c r="H6146" s="1">
        <v>-1.037783E-6</v>
      </c>
      <c r="I6146">
        <v>0.4773039</v>
      </c>
      <c r="J6146">
        <v>-186.988</v>
      </c>
      <c r="K6146">
        <v>1.1115820000000001</v>
      </c>
      <c r="L6146">
        <v>-15.189730000000001</v>
      </c>
      <c r="M6146">
        <v>4.4152419999999998E-2</v>
      </c>
      <c r="N6146">
        <v>0</v>
      </c>
      <c r="O6146">
        <v>0.99893410000000005</v>
      </c>
      <c r="P6146">
        <v>2.9710480000000001E-2</v>
      </c>
      <c r="Q6146">
        <v>0.1996164</v>
      </c>
      <c r="R6146">
        <v>0.97942359999999995</v>
      </c>
      <c r="S6146">
        <v>-3.042603E-2</v>
      </c>
      <c r="T6146">
        <v>-0.2149596</v>
      </c>
      <c r="U6146">
        <v>3.1104430000000001</v>
      </c>
      <c r="V6146">
        <v>-1.431431E-2</v>
      </c>
      <c r="W6146">
        <v>0.2127385</v>
      </c>
      <c r="X6146">
        <v>0.97700430000000005</v>
      </c>
      <c r="Y6146">
        <v>-5.3902930000000002E-2</v>
      </c>
      <c r="Z6146">
        <v>-6.8791980000000003E-2</v>
      </c>
      <c r="AA6146">
        <v>0.99617370000000005</v>
      </c>
      <c r="AB6146">
        <v>23</v>
      </c>
      <c r="AC6146">
        <v>-0.17220000000000299</v>
      </c>
      <c r="AD6146">
        <v>-1.111583037783</v>
      </c>
      <c r="AE6146">
        <v>15.6670339</v>
      </c>
      <c r="AF6146">
        <v>-0.85950599054322496</v>
      </c>
      <c r="AG6146">
        <v>-1.111583037783</v>
      </c>
      <c r="AH6146">
        <v>15.5658007596166</v>
      </c>
      <c r="AI6146">
        <v>94.078473221568103</v>
      </c>
      <c r="AJ6146">
        <v>93.160525290104204</v>
      </c>
      <c r="AK6146">
        <v>15.629092126088</v>
      </c>
      <c r="AL6146">
        <v>77.7171160193692</v>
      </c>
      <c r="AM6146">
        <v>90.839393309939794</v>
      </c>
      <c r="AN6146">
        <v>0.99999998553575797</v>
      </c>
    </row>
    <row r="6147" spans="1:40" x14ac:dyDescent="0.25">
      <c r="A6147" t="str">
        <f>"20190312172827669"</f>
        <v>20190312172827669</v>
      </c>
      <c r="B6147" t="str">
        <f>"1552382907665416"</f>
        <v>1552382907665416</v>
      </c>
      <c r="C6147" t="s">
        <v>40</v>
      </c>
      <c r="D6147">
        <v>3.4739379999999902</v>
      </c>
      <c r="E6147">
        <v>0.48903089999999999</v>
      </c>
      <c r="F6147" t="s">
        <v>41</v>
      </c>
      <c r="G6147">
        <v>-187.18029999999999</v>
      </c>
      <c r="H6147" s="1">
        <v>-9.8340209999999997E-7</v>
      </c>
      <c r="I6147">
        <v>0.33318759999999997</v>
      </c>
      <c r="J6147">
        <v>-186.98060000000001</v>
      </c>
      <c r="K6147">
        <v>1.111531</v>
      </c>
      <c r="L6147">
        <v>-14.96149</v>
      </c>
      <c r="M6147">
        <v>4.1860979999999999E-2</v>
      </c>
      <c r="N6147">
        <v>0</v>
      </c>
      <c r="O6147">
        <v>0.99903390000000003</v>
      </c>
      <c r="P6147">
        <v>2.7993839999999999E-2</v>
      </c>
      <c r="Q6147">
        <v>0.19842879999999999</v>
      </c>
      <c r="R6147">
        <v>0.97971549999999996</v>
      </c>
      <c r="S6147">
        <v>-3.8513180000000001E-2</v>
      </c>
      <c r="T6147">
        <v>-0.22267509999999999</v>
      </c>
      <c r="U6147">
        <v>3.1095890000000002</v>
      </c>
      <c r="V6147">
        <v>-1.3772629999999999E-2</v>
      </c>
      <c r="W6147">
        <v>0.2114761</v>
      </c>
      <c r="X6147">
        <v>0.97728610000000005</v>
      </c>
      <c r="Y6147">
        <v>-5.420341E-2</v>
      </c>
      <c r="Z6147">
        <v>-7.1277170000000001E-2</v>
      </c>
      <c r="AA6147">
        <v>0.9959827</v>
      </c>
      <c r="AB6147">
        <v>23</v>
      </c>
      <c r="AC6147">
        <v>-0.19969999999997801</v>
      </c>
      <c r="AD6147">
        <v>-1.1115319834021</v>
      </c>
      <c r="AE6147">
        <v>15.294677599999901</v>
      </c>
      <c r="AF6147">
        <v>-0.83542081601719798</v>
      </c>
      <c r="AG6147">
        <v>-1.1115319834021</v>
      </c>
      <c r="AH6147">
        <v>15.192680615917601</v>
      </c>
      <c r="AI6147">
        <v>94.178147964573995</v>
      </c>
      <c r="AJ6147">
        <v>93.147432033390899</v>
      </c>
      <c r="AK6147">
        <v>15.256178275939201</v>
      </c>
      <c r="AL6147">
        <v>77.791130164753596</v>
      </c>
      <c r="AM6147">
        <v>90.807400552784998</v>
      </c>
      <c r="AN6147">
        <v>0.99999997373076799</v>
      </c>
    </row>
    <row r="6148" spans="1:40" x14ac:dyDescent="0.25">
      <c r="A6148" t="str">
        <f>"20190312172827691"</f>
        <v>20190312172827691</v>
      </c>
      <c r="B6148" t="str">
        <f>"1552382907685912"</f>
        <v>1552382907685912</v>
      </c>
      <c r="C6148" t="s">
        <v>40</v>
      </c>
      <c r="D6148">
        <v>3.4991680000000001</v>
      </c>
      <c r="E6148">
        <v>0.48916549999999998</v>
      </c>
      <c r="F6148" t="s">
        <v>41</v>
      </c>
      <c r="G6148">
        <v>-187.19040000000001</v>
      </c>
      <c r="H6148" s="1">
        <v>-9.8310039999999992E-7</v>
      </c>
      <c r="I6148">
        <v>0.34025139999999998</v>
      </c>
      <c r="J6148">
        <v>-186.9734</v>
      </c>
      <c r="K6148">
        <v>1.11148</v>
      </c>
      <c r="L6148">
        <v>-14.721920000000001</v>
      </c>
      <c r="M6148">
        <v>3.9512400000000003E-2</v>
      </c>
      <c r="N6148">
        <v>0</v>
      </c>
      <c r="O6148">
        <v>0.99913079999999999</v>
      </c>
      <c r="P6148">
        <v>2.6618019999999999E-2</v>
      </c>
      <c r="Q6148">
        <v>0.19763</v>
      </c>
      <c r="R6148">
        <v>0.97991530000000004</v>
      </c>
      <c r="S6148">
        <v>-4.263306E-2</v>
      </c>
      <c r="T6148">
        <v>-0.22584570000000001</v>
      </c>
      <c r="U6148">
        <v>3.10907</v>
      </c>
      <c r="V6148">
        <v>-1.282867E-2</v>
      </c>
      <c r="W6148">
        <v>0.21059149999999999</v>
      </c>
      <c r="X6148">
        <v>0.97748990000000002</v>
      </c>
      <c r="Y6148">
        <v>-5.3176660000000001E-2</v>
      </c>
      <c r="Z6148">
        <v>-7.2310570000000005E-2</v>
      </c>
      <c r="AA6148">
        <v>0.99596359999999995</v>
      </c>
      <c r="AB6148">
        <v>23</v>
      </c>
      <c r="AC6148">
        <v>-0.21700000000001199</v>
      </c>
      <c r="AD6148">
        <v>-1.1114809831004</v>
      </c>
      <c r="AE6148">
        <v>15.0621714</v>
      </c>
      <c r="AF6148">
        <v>-0.80762861534858899</v>
      </c>
      <c r="AG6148">
        <v>-1.1114809831004</v>
      </c>
      <c r="AH6148">
        <v>14.9603838260364</v>
      </c>
      <c r="AI6148">
        <v>94.242825470474997</v>
      </c>
      <c r="AJ6148">
        <v>93.090083639959303</v>
      </c>
      <c r="AK6148">
        <v>15.023339781102401</v>
      </c>
      <c r="AL6148">
        <v>77.842981232641904</v>
      </c>
      <c r="AM6148">
        <v>90.751912067046405</v>
      </c>
      <c r="AN6148">
        <v>0.99999992962411199</v>
      </c>
    </row>
    <row r="6149" spans="1:40" x14ac:dyDescent="0.25">
      <c r="A6149" t="str">
        <f>"20190312172827714"</f>
        <v>20190312172827714</v>
      </c>
      <c r="B6149" t="str">
        <f>"1552382907705432"</f>
        <v>1552382907705432</v>
      </c>
      <c r="C6149" t="s">
        <v>40</v>
      </c>
      <c r="D6149">
        <v>3.4563329999999999</v>
      </c>
      <c r="E6149">
        <v>0.48931580000000002</v>
      </c>
      <c r="F6149" t="s">
        <v>41</v>
      </c>
      <c r="G6149">
        <v>-187.1995</v>
      </c>
      <c r="H6149" s="1">
        <v>-1.0175129999999999E-6</v>
      </c>
      <c r="I6149">
        <v>0.44847930000000003</v>
      </c>
      <c r="J6149">
        <v>-186.96680000000001</v>
      </c>
      <c r="K6149">
        <v>1.1114280000000001</v>
      </c>
      <c r="L6149">
        <v>-14.488009999999999</v>
      </c>
      <c r="M6149">
        <v>3.7269490000000002E-2</v>
      </c>
      <c r="N6149">
        <v>0</v>
      </c>
      <c r="O6149">
        <v>0.9992183</v>
      </c>
      <c r="P6149">
        <v>2.5487309999999999E-2</v>
      </c>
      <c r="Q6149">
        <v>0.1976434</v>
      </c>
      <c r="R6149">
        <v>0.9799426</v>
      </c>
      <c r="S6149">
        <v>-4.6340939999999997E-2</v>
      </c>
      <c r="T6149">
        <v>-0.2277613</v>
      </c>
      <c r="U6149">
        <v>3.108673</v>
      </c>
      <c r="V6149">
        <v>-1.174098E-2</v>
      </c>
      <c r="W6149">
        <v>0.2105127</v>
      </c>
      <c r="X6149">
        <v>0.97752059999999996</v>
      </c>
      <c r="Y6149">
        <v>-5.2123759999999998E-2</v>
      </c>
      <c r="Z6149">
        <v>-7.2940720000000001E-2</v>
      </c>
      <c r="AA6149">
        <v>0.99597329999999995</v>
      </c>
      <c r="AB6149">
        <v>23</v>
      </c>
      <c r="AC6149">
        <v>-0.23269999999999399</v>
      </c>
      <c r="AD6149">
        <v>-1.1114290175129999</v>
      </c>
      <c r="AE6149">
        <v>14.9364893</v>
      </c>
      <c r="AF6149">
        <v>-0.78491706671680395</v>
      </c>
      <c r="AG6149">
        <v>-1.1114290175129999</v>
      </c>
      <c r="AH6149">
        <v>14.8353153519079</v>
      </c>
      <c r="AI6149">
        <v>94.2785072523629</v>
      </c>
      <c r="AJ6149">
        <v>93.028620575278197</v>
      </c>
      <c r="AK6149">
        <v>14.897582047203</v>
      </c>
      <c r="AL6149">
        <v>77.847600362427599</v>
      </c>
      <c r="AM6149">
        <v>90.6881453495903</v>
      </c>
      <c r="AN6149">
        <v>0.99999998544850499</v>
      </c>
    </row>
    <row r="6150" spans="1:40" x14ac:dyDescent="0.25">
      <c r="A6150" t="str">
        <f>"20190312172827736"</f>
        <v>20190312172827736</v>
      </c>
      <c r="B6150" t="str">
        <f>"1552382907725930"</f>
        <v>1552382907725930</v>
      </c>
      <c r="C6150" t="s">
        <v>40</v>
      </c>
      <c r="D6150">
        <v>3.4627669999999999</v>
      </c>
      <c r="E6150">
        <v>0.4894791</v>
      </c>
      <c r="F6150" t="s">
        <v>41</v>
      </c>
      <c r="G6150">
        <v>-187.20859999999999</v>
      </c>
      <c r="H6150" s="1">
        <v>-1.105959E-6</v>
      </c>
      <c r="I6150">
        <v>0.71545419999999904</v>
      </c>
      <c r="J6150">
        <v>-186.96090000000001</v>
      </c>
      <c r="K6150">
        <v>1.111378</v>
      </c>
      <c r="L6150">
        <v>-14.26465</v>
      </c>
      <c r="M6150">
        <v>3.5179820000000001E-2</v>
      </c>
      <c r="N6150">
        <v>0</v>
      </c>
      <c r="O6150">
        <v>0.99929539999999994</v>
      </c>
      <c r="P6150">
        <v>2.4157479999999999E-2</v>
      </c>
      <c r="Q6150">
        <v>0.1976301</v>
      </c>
      <c r="R6150">
        <v>0.97997900000000004</v>
      </c>
      <c r="S6150">
        <v>-4.943848E-2</v>
      </c>
      <c r="T6150">
        <v>-0.22724440000000001</v>
      </c>
      <c r="U6150">
        <v>3.1085210000000001</v>
      </c>
      <c r="V6150">
        <v>-1.100337E-2</v>
      </c>
      <c r="W6150">
        <v>0.2104036</v>
      </c>
      <c r="X6150">
        <v>0.97755270000000005</v>
      </c>
      <c r="Y6150">
        <v>-5.1028440000000001E-2</v>
      </c>
      <c r="Z6150">
        <v>-7.2789399999999893E-2</v>
      </c>
      <c r="AA6150">
        <v>0.99604110000000001</v>
      </c>
      <c r="AB6150">
        <v>23</v>
      </c>
      <c r="AC6150">
        <v>-0.24769999999997999</v>
      </c>
      <c r="AD6150">
        <v>-1.1113791059589999</v>
      </c>
      <c r="AE6150">
        <v>14.9801042</v>
      </c>
      <c r="AF6150">
        <v>-0.77035009492032902</v>
      </c>
      <c r="AG6150">
        <v>-1.1113791059589999</v>
      </c>
      <c r="AH6150">
        <v>14.8802336158989</v>
      </c>
      <c r="AI6150">
        <v>94.265701397697796</v>
      </c>
      <c r="AJ6150">
        <v>92.963558358059501</v>
      </c>
      <c r="AK6150">
        <v>14.9415512999699</v>
      </c>
      <c r="AL6150">
        <v>77.853994909778393</v>
      </c>
      <c r="AM6150">
        <v>90.644896216766995</v>
      </c>
      <c r="AN6150">
        <v>1.0000000151607999</v>
      </c>
    </row>
    <row r="6151" spans="1:40" x14ac:dyDescent="0.25">
      <c r="A6151" t="str">
        <f>"20190312172827758"</f>
        <v>20190312172827758</v>
      </c>
      <c r="B6151" t="str">
        <f>"1552382907756184"</f>
        <v>1552382907756184</v>
      </c>
      <c r="C6151" t="s">
        <v>40</v>
      </c>
      <c r="D6151">
        <v>3.4561109999999999</v>
      </c>
      <c r="E6151">
        <v>0.48971969999999998</v>
      </c>
      <c r="F6151" t="s">
        <v>41</v>
      </c>
      <c r="G6151">
        <v>-187.21940000000001</v>
      </c>
      <c r="H6151" s="1">
        <v>-1.1878150000000001E-6</v>
      </c>
      <c r="I6151">
        <v>0.96447240000000001</v>
      </c>
      <c r="J6151">
        <v>-186.9554</v>
      </c>
      <c r="K6151">
        <v>1.1113230000000001</v>
      </c>
      <c r="L6151">
        <v>-14.039490000000001</v>
      </c>
      <c r="M6151">
        <v>3.3135310000000001E-2</v>
      </c>
      <c r="N6151">
        <v>0</v>
      </c>
      <c r="O6151">
        <v>0.99936670000000005</v>
      </c>
      <c r="P6151">
        <v>2.3065780000000001E-2</v>
      </c>
      <c r="Q6151">
        <v>0.19788130000000001</v>
      </c>
      <c r="R6151">
        <v>0.97995460000000001</v>
      </c>
      <c r="S6151">
        <v>-5.2764890000000002E-2</v>
      </c>
      <c r="T6151">
        <v>-0.22683790000000001</v>
      </c>
      <c r="U6151">
        <v>3.1083370000000001</v>
      </c>
      <c r="V6151">
        <v>-1.006845E-2</v>
      </c>
      <c r="W6151">
        <v>0.2105486</v>
      </c>
      <c r="X6151">
        <v>0.97753159999999895</v>
      </c>
      <c r="Y6151">
        <v>-5.005188E-2</v>
      </c>
      <c r="Z6151">
        <v>-7.2672920000000002E-2</v>
      </c>
      <c r="AA6151">
        <v>0.99609910000000002</v>
      </c>
      <c r="AB6151">
        <v>23</v>
      </c>
      <c r="AC6151">
        <v>-0.26400000000001</v>
      </c>
      <c r="AD6151">
        <v>-1.111324187815</v>
      </c>
      <c r="AE6151">
        <v>15.003962400000001</v>
      </c>
      <c r="AF6151">
        <v>-0.75690654488614495</v>
      </c>
      <c r="AG6151">
        <v>-1.111324187815</v>
      </c>
      <c r="AH6151">
        <v>14.9052261426391</v>
      </c>
      <c r="AI6151">
        <v>94.258580042433195</v>
      </c>
      <c r="AJ6151">
        <v>92.907056209747395</v>
      </c>
      <c r="AK6151">
        <v>14.9657514121853</v>
      </c>
      <c r="AL6151">
        <v>77.845497178896096</v>
      </c>
      <c r="AM6151">
        <v>90.590118306821495</v>
      </c>
      <c r="AN6151">
        <v>1.00000005782295</v>
      </c>
    </row>
    <row r="6152" spans="1:40" x14ac:dyDescent="0.25">
      <c r="A6152" t="str">
        <f>"20190312172827782"</f>
        <v>20190312172827782</v>
      </c>
      <c r="B6152" t="str">
        <f>"1552382907775704"</f>
        <v>1552382907775704</v>
      </c>
      <c r="C6152" t="s">
        <v>40</v>
      </c>
      <c r="D6152">
        <v>3.4415300000000002</v>
      </c>
      <c r="E6152">
        <v>0.48988749999999998</v>
      </c>
      <c r="F6152" t="s">
        <v>41</v>
      </c>
      <c r="G6152">
        <v>-187.22470000000001</v>
      </c>
      <c r="H6152" s="1">
        <v>-1.2960500000000001E-6</v>
      </c>
      <c r="I6152">
        <v>1.2866489999999999</v>
      </c>
      <c r="J6152">
        <v>-186.94980000000001</v>
      </c>
      <c r="K6152">
        <v>1.111251</v>
      </c>
      <c r="L6152">
        <v>-13.790889999999999</v>
      </c>
      <c r="M6152">
        <v>3.09579E-2</v>
      </c>
      <c r="N6152">
        <v>0</v>
      </c>
      <c r="O6152">
        <v>0.9994383</v>
      </c>
      <c r="P6152">
        <v>2.1382149999999999E-2</v>
      </c>
      <c r="Q6152">
        <v>0.19852590000000001</v>
      </c>
      <c r="R6152">
        <v>0.97986240000000002</v>
      </c>
      <c r="S6152">
        <v>-5.461121E-2</v>
      </c>
      <c r="T6152">
        <v>-0.22537740000000001</v>
      </c>
      <c r="U6152">
        <v>3.1081539999999999</v>
      </c>
      <c r="V6152">
        <v>-9.5881969999999997E-3</v>
      </c>
      <c r="W6152">
        <v>0.211058</v>
      </c>
      <c r="X6152">
        <v>0.97742649999999998</v>
      </c>
      <c r="Y6152">
        <v>-4.8468900000000002E-2</v>
      </c>
      <c r="Z6152">
        <v>-7.2221759999999996E-2</v>
      </c>
      <c r="AA6152">
        <v>0.99621020000000005</v>
      </c>
      <c r="AB6152">
        <v>23</v>
      </c>
      <c r="AC6152">
        <v>-0.27490000000000198</v>
      </c>
      <c r="AD6152">
        <v>-1.11125229605</v>
      </c>
      <c r="AE6152">
        <v>15.077539</v>
      </c>
      <c r="AF6152">
        <v>-0.73757040788068895</v>
      </c>
      <c r="AG6152">
        <v>-1.11125229605</v>
      </c>
      <c r="AH6152">
        <v>14.9804523081391</v>
      </c>
      <c r="AI6152">
        <v>94.237325565966998</v>
      </c>
      <c r="AJ6152">
        <v>92.818711507323997</v>
      </c>
      <c r="AK6152">
        <v>15.0397088777838</v>
      </c>
      <c r="AL6152">
        <v>77.815638904310703</v>
      </c>
      <c r="AM6152">
        <v>90.562032644614703</v>
      </c>
      <c r="AN6152">
        <v>0.99999998789398004</v>
      </c>
    </row>
    <row r="6153" spans="1:40" x14ac:dyDescent="0.25">
      <c r="A6153" t="str">
        <f>"20190312172827806"</f>
        <v>20190312172827806</v>
      </c>
      <c r="B6153" t="str">
        <f>"1552382907796200"</f>
        <v>1552382907796200</v>
      </c>
      <c r="C6153" t="s">
        <v>40</v>
      </c>
      <c r="D6153">
        <v>3.4707150000000002</v>
      </c>
      <c r="E6153">
        <v>0.49003010000000002</v>
      </c>
      <c r="F6153" t="s">
        <v>41</v>
      </c>
      <c r="G6153">
        <v>-187.24180000000001</v>
      </c>
      <c r="H6153" s="1">
        <v>-1.4300409999999999E-6</v>
      </c>
      <c r="I6153">
        <v>1.6937770000000001</v>
      </c>
      <c r="J6153">
        <v>-186.94470000000001</v>
      </c>
      <c r="K6153">
        <v>1.1111690000000001</v>
      </c>
      <c r="L6153">
        <v>-13.54852</v>
      </c>
      <c r="M6153">
        <v>2.8926790000000001E-2</v>
      </c>
      <c r="N6153">
        <v>0</v>
      </c>
      <c r="O6153">
        <v>0.99950110000000003</v>
      </c>
      <c r="P6153">
        <v>1.9601360000000002E-2</v>
      </c>
      <c r="Q6153">
        <v>0.19863510000000001</v>
      </c>
      <c r="R6153">
        <v>0.97987749999999996</v>
      </c>
      <c r="S6153">
        <v>-5.8624269999999999E-2</v>
      </c>
      <c r="T6153">
        <v>-0.22305349999999999</v>
      </c>
      <c r="U6153">
        <v>3.1081240000000001</v>
      </c>
      <c r="V6153">
        <v>-9.3463850000000005E-3</v>
      </c>
      <c r="W6153">
        <v>0.21101890000000001</v>
      </c>
      <c r="X6153">
        <v>0.97743729999999995</v>
      </c>
      <c r="Y6153">
        <v>-4.7726039999999997E-2</v>
      </c>
      <c r="Z6153">
        <v>-7.1488549999999998E-2</v>
      </c>
      <c r="AA6153">
        <v>0.99629900000000005</v>
      </c>
      <c r="AB6153">
        <v>23</v>
      </c>
      <c r="AC6153">
        <v>-0.29709999999999998</v>
      </c>
      <c r="AD6153">
        <v>-1.1111704300409999</v>
      </c>
      <c r="AE6153">
        <v>15.242297000000001</v>
      </c>
      <c r="AF6153">
        <v>-0.73402236628774997</v>
      </c>
      <c r="AG6153">
        <v>-1.1111704300409999</v>
      </c>
      <c r="AH6153">
        <v>15.1468556925659</v>
      </c>
      <c r="AI6153">
        <v>94.190791169335299</v>
      </c>
      <c r="AJ6153">
        <v>92.774404732329202</v>
      </c>
      <c r="AK6153">
        <v>15.2052861179993</v>
      </c>
      <c r="AL6153">
        <v>77.817930977609095</v>
      </c>
      <c r="AM6153">
        <v>90.547853139845103</v>
      </c>
      <c r="AN6153">
        <v>1.0000000032505301</v>
      </c>
    </row>
    <row r="6154" spans="1:40" x14ac:dyDescent="0.25">
      <c r="A6154" t="str">
        <f>"20190312172827847"</f>
        <v>20190312172827847</v>
      </c>
      <c r="B6154" t="str">
        <f>"1552382907836216"</f>
        <v>1552382907836216</v>
      </c>
      <c r="C6154" t="s">
        <v>40</v>
      </c>
      <c r="D6154">
        <v>3.4308779999999999</v>
      </c>
      <c r="E6154">
        <v>0.4898286</v>
      </c>
      <c r="F6154" t="s">
        <v>41</v>
      </c>
      <c r="G6154">
        <v>-187.26050000000001</v>
      </c>
      <c r="H6154" s="1">
        <v>-1.5232089999999999E-6</v>
      </c>
      <c r="I6154">
        <v>1.9821439999999999</v>
      </c>
      <c r="J6154">
        <v>-186.9366</v>
      </c>
      <c r="K6154">
        <v>1.1110009999999999</v>
      </c>
      <c r="L6154">
        <v>-13.125400000000001</v>
      </c>
      <c r="M6154">
        <v>2.564992E-2</v>
      </c>
      <c r="N6154">
        <v>0</v>
      </c>
      <c r="O6154">
        <v>0.99959410000000004</v>
      </c>
      <c r="P6154">
        <v>1.656709E-2</v>
      </c>
      <c r="Q6154">
        <v>0.1979448</v>
      </c>
      <c r="R6154">
        <v>0.98007319999999998</v>
      </c>
      <c r="S6154">
        <v>-6.3201900000000005E-2</v>
      </c>
      <c r="T6154">
        <v>-0.22236349999999999</v>
      </c>
      <c r="U6154">
        <v>3.1079409999999998</v>
      </c>
      <c r="V6154">
        <v>-9.103613E-3</v>
      </c>
      <c r="W6154">
        <v>0.21006140000000001</v>
      </c>
      <c r="X6154">
        <v>0.97764580000000001</v>
      </c>
      <c r="Y6154">
        <v>-4.5919550000000003E-2</v>
      </c>
      <c r="Z6154">
        <v>-7.1284280000000005E-2</v>
      </c>
      <c r="AA6154">
        <v>0.99639849999999996</v>
      </c>
      <c r="AB6154">
        <v>23</v>
      </c>
      <c r="AC6154">
        <v>-0.32390000000000801</v>
      </c>
      <c r="AD6154">
        <v>-1.1110025232089999</v>
      </c>
      <c r="AE6154">
        <v>15.107544000000001</v>
      </c>
      <c r="AF6154">
        <v>-0.70750601328964602</v>
      </c>
      <c r="AG6154">
        <v>-1.1110025232089999</v>
      </c>
      <c r="AH6154">
        <v>15.0131093523018</v>
      </c>
      <c r="AI6154">
        <v>94.227622088206402</v>
      </c>
      <c r="AJ6154">
        <v>92.698117930568003</v>
      </c>
      <c r="AK6154">
        <v>15.070777809708099</v>
      </c>
      <c r="AL6154">
        <v>77.874049398641105</v>
      </c>
      <c r="AM6154">
        <v>90.533509711011007</v>
      </c>
      <c r="AN6154">
        <v>0.99999998889862596</v>
      </c>
    </row>
    <row r="6155" spans="1:40" x14ac:dyDescent="0.25">
      <c r="A6155" t="str">
        <f>"20190312172827871"</f>
        <v>20190312172827871</v>
      </c>
      <c r="B6155" t="str">
        <f>"1552382907865496"</f>
        <v>1552382907865496</v>
      </c>
      <c r="C6155" t="s">
        <v>40</v>
      </c>
      <c r="D6155">
        <v>3.4228999999999998</v>
      </c>
      <c r="E6155">
        <v>0.48967660000000002</v>
      </c>
      <c r="F6155" t="s">
        <v>41</v>
      </c>
      <c r="G6155">
        <v>-187.30189999999999</v>
      </c>
      <c r="H6155" s="1">
        <v>-1.6194699999999999E-6</v>
      </c>
      <c r="I6155">
        <v>2.2921900000000002</v>
      </c>
      <c r="J6155">
        <v>-186.9325</v>
      </c>
      <c r="K6155">
        <v>1.1109089999999999</v>
      </c>
      <c r="L6155">
        <v>-12.88275</v>
      </c>
      <c r="M6155">
        <v>2.3930420000000001E-2</v>
      </c>
      <c r="N6155">
        <v>0</v>
      </c>
      <c r="O6155">
        <v>0.99963869999999999</v>
      </c>
      <c r="P6155">
        <v>1.501589E-2</v>
      </c>
      <c r="Q6155">
        <v>0.19755790000000001</v>
      </c>
      <c r="R6155">
        <v>0.98017619999999905</v>
      </c>
      <c r="S6155">
        <v>-7.3623659999999994E-2</v>
      </c>
      <c r="T6155">
        <v>-0.2239276</v>
      </c>
      <c r="U6155">
        <v>3.1074830000000002</v>
      </c>
      <c r="V6155">
        <v>-8.9335839999999996E-3</v>
      </c>
      <c r="W6155">
        <v>0.20952200000000001</v>
      </c>
      <c r="X6155">
        <v>0.9777631</v>
      </c>
      <c r="Y6155">
        <v>-4.7543269999999999E-2</v>
      </c>
      <c r="Z6155">
        <v>-7.179286E-2</v>
      </c>
      <c r="AA6155">
        <v>0.9962858</v>
      </c>
      <c r="AB6155">
        <v>23</v>
      </c>
      <c r="AC6155">
        <v>-0.36939999999998402</v>
      </c>
      <c r="AD6155">
        <v>-1.11091061947</v>
      </c>
      <c r="AE6155">
        <v>15.174939999999999</v>
      </c>
      <c r="AF6155">
        <v>-0.72856185364680004</v>
      </c>
      <c r="AG6155">
        <v>-1.11091061947</v>
      </c>
      <c r="AH6155">
        <v>15.080978173798201</v>
      </c>
      <c r="AI6155">
        <v>94.208081786712796</v>
      </c>
      <c r="AJ6155">
        <v>92.765808013807899</v>
      </c>
      <c r="AK6155">
        <v>15.139380022234</v>
      </c>
      <c r="AL6155">
        <v>77.905658034170898</v>
      </c>
      <c r="AM6155">
        <v>90.523483056905903</v>
      </c>
      <c r="AN6155">
        <v>0.99999997856434697</v>
      </c>
    </row>
    <row r="6156" spans="1:40" x14ac:dyDescent="0.25">
      <c r="A6156" t="str">
        <f>"20190312172827893"</f>
        <v>20190312172827893</v>
      </c>
      <c r="B6156" t="str">
        <f>"1552382907885991"</f>
        <v>1552382907885991</v>
      </c>
      <c r="C6156" t="s">
        <v>40</v>
      </c>
      <c r="D6156">
        <v>3.4289450000000001</v>
      </c>
      <c r="E6156">
        <v>0.48955759999999998</v>
      </c>
      <c r="F6156" t="s">
        <v>41</v>
      </c>
      <c r="G6156">
        <v>-187.32689999999999</v>
      </c>
      <c r="H6156" s="1">
        <v>-1.6968180000000001E-6</v>
      </c>
      <c r="I6156">
        <v>2.4828169999999998</v>
      </c>
      <c r="J6156">
        <v>-186.9288</v>
      </c>
      <c r="K6156">
        <v>1.110827</v>
      </c>
      <c r="L6156">
        <v>-12.65155</v>
      </c>
      <c r="M6156">
        <v>2.2412620000000001E-2</v>
      </c>
      <c r="N6156">
        <v>0</v>
      </c>
      <c r="O6156">
        <v>0.9996756</v>
      </c>
      <c r="P6156">
        <v>1.37404E-2</v>
      </c>
      <c r="Q6156">
        <v>0.19728499999999999</v>
      </c>
      <c r="R6156">
        <v>0.98024990000000001</v>
      </c>
      <c r="S6156">
        <v>-7.9757690000000006E-2</v>
      </c>
      <c r="T6156">
        <v>-0.22464490000000001</v>
      </c>
      <c r="U6156">
        <v>3.1071780000000002</v>
      </c>
      <c r="V6156">
        <v>-8.6858679999999994E-3</v>
      </c>
      <c r="W6156">
        <v>0.2091084</v>
      </c>
      <c r="X6156">
        <v>0.97785390000000005</v>
      </c>
      <c r="Y6156">
        <v>-4.7994130000000003E-2</v>
      </c>
      <c r="Z6156">
        <v>-7.2029930000000006E-2</v>
      </c>
      <c r="AA6156">
        <v>0.99624710000000005</v>
      </c>
      <c r="AB6156">
        <v>23</v>
      </c>
      <c r="AC6156">
        <v>-0.39809999999999901</v>
      </c>
      <c r="AD6156">
        <v>-1.1108286968179999</v>
      </c>
      <c r="AE6156">
        <v>15.134366999999999</v>
      </c>
      <c r="AF6156">
        <v>-0.73327802120650598</v>
      </c>
      <c r="AG6156">
        <v>-1.1108286968179999</v>
      </c>
      <c r="AH6156">
        <v>15.0406701095378</v>
      </c>
      <c r="AI6156">
        <v>94.218918316081002</v>
      </c>
      <c r="AJ6156">
        <v>92.791132046359095</v>
      </c>
      <c r="AK6156">
        <v>15.099450135485201</v>
      </c>
      <c r="AL6156">
        <v>77.929892770420807</v>
      </c>
      <c r="AM6156">
        <v>90.508921107570302</v>
      </c>
      <c r="AN6156">
        <v>1.0000000084993399</v>
      </c>
    </row>
    <row r="6157" spans="1:40" x14ac:dyDescent="0.25">
      <c r="A6157" t="str">
        <f>"20190312172827914"</f>
        <v>20190312172827914</v>
      </c>
      <c r="B6157" t="str">
        <f>"1552382907905512"</f>
        <v>1552382907905512</v>
      </c>
      <c r="C6157" t="s">
        <v>40</v>
      </c>
      <c r="D6157">
        <v>3.3991370000000001</v>
      </c>
      <c r="E6157">
        <v>0.48948750000000002</v>
      </c>
      <c r="F6157" t="s">
        <v>41</v>
      </c>
      <c r="G6157">
        <v>-187.3477</v>
      </c>
      <c r="H6157" s="1">
        <v>-1.793189E-6</v>
      </c>
      <c r="I6157">
        <v>2.7160769999999999</v>
      </c>
      <c r="J6157">
        <v>-186.9255</v>
      </c>
      <c r="K6157">
        <v>1.1107479999999901</v>
      </c>
      <c r="L6157">
        <v>-12.436400000000001</v>
      </c>
      <c r="M6157">
        <v>2.1094720000000001E-2</v>
      </c>
      <c r="N6157">
        <v>0</v>
      </c>
      <c r="O6157">
        <v>0.99970590000000004</v>
      </c>
      <c r="P6157">
        <v>1.3164469999999999E-2</v>
      </c>
      <c r="Q6157">
        <v>0.19693730000000001</v>
      </c>
      <c r="R6157">
        <v>0.98032770000000002</v>
      </c>
      <c r="S6157">
        <v>-8.4701540000000006E-2</v>
      </c>
      <c r="T6157">
        <v>-0.224574</v>
      </c>
      <c r="U6157">
        <v>3.1068419999999999</v>
      </c>
      <c r="V6157">
        <v>-7.939705E-3</v>
      </c>
      <c r="W6157">
        <v>0.20863889999999999</v>
      </c>
      <c r="X6157">
        <v>0.97796050000000001</v>
      </c>
      <c r="Y6157">
        <v>-4.8264300000000003E-2</v>
      </c>
      <c r="Z6157">
        <v>-7.2016189999999994E-2</v>
      </c>
      <c r="AA6157">
        <v>0.99623499999999998</v>
      </c>
      <c r="AB6157">
        <v>23</v>
      </c>
      <c r="AC6157">
        <v>-0.42220000000000302</v>
      </c>
      <c r="AD6157">
        <v>-1.11074979318899</v>
      </c>
      <c r="AE6157">
        <v>15.152476999999999</v>
      </c>
      <c r="AF6157">
        <v>-0.73780458566039797</v>
      </c>
      <c r="AG6157">
        <v>-1.11074979318899</v>
      </c>
      <c r="AH6157">
        <v>15.059337926200101</v>
      </c>
      <c r="AI6157">
        <v>94.213359937246807</v>
      </c>
      <c r="AJ6157">
        <v>92.804858658398103</v>
      </c>
      <c r="AK6157">
        <v>15.118259803468799</v>
      </c>
      <c r="AL6157">
        <v>77.957399580222301</v>
      </c>
      <c r="AM6157">
        <v>90.465153339757705</v>
      </c>
      <c r="AN6157">
        <v>0.99999998453447303</v>
      </c>
    </row>
    <row r="6158" spans="1:40" x14ac:dyDescent="0.25">
      <c r="A6158" t="str">
        <f>"20190312172827935"</f>
        <v>20190312172827935</v>
      </c>
      <c r="B6158" t="str">
        <f>"1552382907926008"</f>
        <v>1552382907926008</v>
      </c>
      <c r="C6158" t="s">
        <v>40</v>
      </c>
      <c r="D6158">
        <v>3.4358719999999998</v>
      </c>
      <c r="E6158">
        <v>0.48942619999999998</v>
      </c>
      <c r="F6158" t="s">
        <v>41</v>
      </c>
      <c r="G6158">
        <v>-187.35579999999999</v>
      </c>
      <c r="H6158" s="1">
        <v>-1.8634790000000001E-6</v>
      </c>
      <c r="I6158">
        <v>2.883273</v>
      </c>
      <c r="J6158">
        <v>-186.92230000000001</v>
      </c>
      <c r="K6158">
        <v>1.1106739999999999</v>
      </c>
      <c r="L6158">
        <v>-12.21036</v>
      </c>
      <c r="M6158">
        <v>1.980898E-2</v>
      </c>
      <c r="N6158">
        <v>0</v>
      </c>
      <c r="O6158">
        <v>0.9997336</v>
      </c>
      <c r="P6158">
        <v>1.231907E-2</v>
      </c>
      <c r="Q6158">
        <v>0.19646230000000001</v>
      </c>
      <c r="R6158">
        <v>0.98043400000000003</v>
      </c>
      <c r="S6158">
        <v>-8.7265010000000004E-2</v>
      </c>
      <c r="T6158">
        <v>-0.22524540000000001</v>
      </c>
      <c r="U6158">
        <v>3.1066280000000002</v>
      </c>
      <c r="V6158">
        <v>-7.49439599999999E-3</v>
      </c>
      <c r="W6158">
        <v>0.20804510000000001</v>
      </c>
      <c r="X6158">
        <v>0.97809049999999997</v>
      </c>
      <c r="Y6158">
        <v>-4.7802509999999999E-2</v>
      </c>
      <c r="Z6158">
        <v>-7.2238120000000003E-2</v>
      </c>
      <c r="AA6158">
        <v>0.99624120000000005</v>
      </c>
      <c r="AB6158">
        <v>23</v>
      </c>
      <c r="AC6158">
        <v>-0.43349999999998001</v>
      </c>
      <c r="AD6158">
        <v>-1.1106758634789999</v>
      </c>
      <c r="AE6158">
        <v>15.093632999999899</v>
      </c>
      <c r="AF6158">
        <v>-0.72848399702869704</v>
      </c>
      <c r="AG6158">
        <v>-1.1106758634789999</v>
      </c>
      <c r="AH6158">
        <v>15.000922239701</v>
      </c>
      <c r="AI6158">
        <v>94.229515709189798</v>
      </c>
      <c r="AJ6158">
        <v>92.780248620713607</v>
      </c>
      <c r="AK6158">
        <v>15.0596134694486</v>
      </c>
      <c r="AL6158">
        <v>77.9921850675927</v>
      </c>
      <c r="AM6158">
        <v>90.439007287905397</v>
      </c>
      <c r="AN6158">
        <v>0.99999997789783202</v>
      </c>
    </row>
    <row r="6159" spans="1:40" x14ac:dyDescent="0.25">
      <c r="A6159" t="str">
        <f>"20190312172827960"</f>
        <v>20190312172827960</v>
      </c>
      <c r="B6159" t="str">
        <f>"1552382907955288"</f>
        <v>1552382907955288</v>
      </c>
      <c r="C6159" t="s">
        <v>40</v>
      </c>
      <c r="D6159">
        <v>3.4649670000000001</v>
      </c>
      <c r="E6159">
        <v>0.48930829999999997</v>
      </c>
      <c r="F6159" t="s">
        <v>41</v>
      </c>
      <c r="G6159">
        <v>-187.3682</v>
      </c>
      <c r="H6159" s="1">
        <v>-1.927687E-6</v>
      </c>
      <c r="I6159">
        <v>3.0380479999999999</v>
      </c>
      <c r="J6159">
        <v>-186.91890000000001</v>
      </c>
      <c r="K6159">
        <v>1.1105940000000001</v>
      </c>
      <c r="L6159">
        <v>-11.96378</v>
      </c>
      <c r="M6159">
        <v>1.852289E-2</v>
      </c>
      <c r="N6159">
        <v>0</v>
      </c>
      <c r="O6159">
        <v>0.99975990000000003</v>
      </c>
      <c r="P6159">
        <v>1.2061560000000001E-2</v>
      </c>
      <c r="Q6159">
        <v>0.19630729999999999</v>
      </c>
      <c r="R6159">
        <v>0.98046820000000001</v>
      </c>
      <c r="S6159">
        <v>-9.0835570000000004E-2</v>
      </c>
      <c r="T6159">
        <v>-0.22626299999999999</v>
      </c>
      <c r="U6159">
        <v>3.1063540000000001</v>
      </c>
      <c r="V6159">
        <v>-6.4561339999999997E-3</v>
      </c>
      <c r="W6159">
        <v>0.2077658</v>
      </c>
      <c r="X6159">
        <v>0.97815730000000001</v>
      </c>
      <c r="Y6159">
        <v>-4.7663490000000003E-2</v>
      </c>
      <c r="Z6159">
        <v>-7.2570910000000002E-2</v>
      </c>
      <c r="AA6159">
        <v>0.99622370000000005</v>
      </c>
      <c r="AB6159">
        <v>23</v>
      </c>
      <c r="AC6159">
        <v>-0.44929999999999298</v>
      </c>
      <c r="AD6159">
        <v>-1.1105959276870001</v>
      </c>
      <c r="AE6159">
        <v>15.001828</v>
      </c>
      <c r="AF6159">
        <v>-0.72315940241476795</v>
      </c>
      <c r="AG6159">
        <v>-1.1105959276870001</v>
      </c>
      <c r="AH6159">
        <v>14.9092931450816</v>
      </c>
      <c r="AI6159">
        <v>94.2551210532</v>
      </c>
      <c r="AJ6159">
        <v>92.776894524257301</v>
      </c>
      <c r="AK6159">
        <v>14.968079533523101</v>
      </c>
      <c r="AL6159">
        <v>78.008545614374896</v>
      </c>
      <c r="AM6159">
        <v>90.378163981127599</v>
      </c>
      <c r="AN6159">
        <v>1.00000000642957</v>
      </c>
    </row>
    <row r="6160" spans="1:40" x14ac:dyDescent="0.25">
      <c r="A6160" t="str">
        <f>"20190312172827984"</f>
        <v>20190312172827984</v>
      </c>
      <c r="B6160" t="str">
        <f>"1552382907975784"</f>
        <v>1552382907975784</v>
      </c>
      <c r="C6160" t="s">
        <v>40</v>
      </c>
      <c r="D6160">
        <v>3.4050050000000001</v>
      </c>
      <c r="E6160">
        <v>0.48925829999999998</v>
      </c>
      <c r="F6160" t="s">
        <v>41</v>
      </c>
      <c r="G6160">
        <v>-187.3775</v>
      </c>
      <c r="H6160" s="1">
        <v>-2.045871E-6</v>
      </c>
      <c r="I6160">
        <v>3.3174160000000001</v>
      </c>
      <c r="J6160">
        <v>-186.91579999999999</v>
      </c>
      <c r="K6160">
        <v>1.110509</v>
      </c>
      <c r="L6160">
        <v>-11.71307</v>
      </c>
      <c r="M6160">
        <v>1.7335429999999999E-2</v>
      </c>
      <c r="N6160">
        <v>0</v>
      </c>
      <c r="O6160">
        <v>0.99978259999999997</v>
      </c>
      <c r="P6160">
        <v>1.173339E-2</v>
      </c>
      <c r="Q6160">
        <v>0.19605549999999999</v>
      </c>
      <c r="R6160">
        <v>0.98052260000000002</v>
      </c>
      <c r="S6160">
        <v>-9.3215939999999997E-2</v>
      </c>
      <c r="T6160">
        <v>-0.22574369999999999</v>
      </c>
      <c r="U6160">
        <v>3.1061100000000001</v>
      </c>
      <c r="V6160">
        <v>-5.5839069999999999E-3</v>
      </c>
      <c r="W6160">
        <v>0.20739170000000001</v>
      </c>
      <c r="X6160">
        <v>0.97824199999999994</v>
      </c>
      <c r="Y6160">
        <v>-4.7242510000000001E-2</v>
      </c>
      <c r="Z6160">
        <v>-7.2413089999999999E-2</v>
      </c>
      <c r="AA6160">
        <v>0.99625520000000001</v>
      </c>
      <c r="AB6160">
        <v>23</v>
      </c>
      <c r="AC6160">
        <v>-0.46170000000000699</v>
      </c>
      <c r="AD6160">
        <v>-1.1105110458709999</v>
      </c>
      <c r="AE6160">
        <v>15.0304859999999</v>
      </c>
      <c r="AF6160">
        <v>-0.71829070705045495</v>
      </c>
      <c r="AG6160">
        <v>-1.1105110458709999</v>
      </c>
      <c r="AH6160">
        <v>14.938751503414499</v>
      </c>
      <c r="AI6160">
        <v>94.2465234733004</v>
      </c>
      <c r="AJ6160">
        <v>92.752797263365593</v>
      </c>
      <c r="AK6160">
        <v>14.9971821621131</v>
      </c>
      <c r="AL6160">
        <v>78.030456599673101</v>
      </c>
      <c r="AM6160">
        <v>90.327046711972699</v>
      </c>
      <c r="AN6160">
        <v>0.99999995390513596</v>
      </c>
    </row>
    <row r="6161" spans="1:40" x14ac:dyDescent="0.25">
      <c r="A6161" t="str">
        <f>"20190312172828010"</f>
        <v>20190312172828010</v>
      </c>
      <c r="B6161" t="str">
        <f>"1552382908006040"</f>
        <v>1552382908006040</v>
      </c>
      <c r="C6161" t="s">
        <v>40</v>
      </c>
      <c r="D6161">
        <v>3.3931049999999998</v>
      </c>
      <c r="E6161">
        <v>0.48917529999999998</v>
      </c>
      <c r="F6161" t="s">
        <v>41</v>
      </c>
      <c r="G6161">
        <v>-187.37989999999999</v>
      </c>
      <c r="H6161" s="1">
        <v>-2.1406790000000002E-6</v>
      </c>
      <c r="I6161">
        <v>3.5393819999999998</v>
      </c>
      <c r="J6161">
        <v>-186.91249999999999</v>
      </c>
      <c r="K6161">
        <v>1.110414</v>
      </c>
      <c r="L6161">
        <v>-11.44482</v>
      </c>
      <c r="M6161">
        <v>1.619802E-2</v>
      </c>
      <c r="N6161">
        <v>0</v>
      </c>
      <c r="O6161">
        <v>0.9998032</v>
      </c>
      <c r="P6161">
        <v>1.118794E-2</v>
      </c>
      <c r="Q6161">
        <v>0.19571749999999999</v>
      </c>
      <c r="R6161">
        <v>0.98059649999999998</v>
      </c>
      <c r="S6161">
        <v>-9.4512940000000004E-2</v>
      </c>
      <c r="T6161">
        <v>-0.2261406</v>
      </c>
      <c r="U6161">
        <v>3.1059570000000001</v>
      </c>
      <c r="V6161">
        <v>-4.9752069999999997E-3</v>
      </c>
      <c r="W6161">
        <v>0.2069289</v>
      </c>
      <c r="X6161">
        <v>0.97834330000000003</v>
      </c>
      <c r="Y6161">
        <v>-4.6522920000000002E-2</v>
      </c>
      <c r="Z6161">
        <v>-7.2546150000000004E-2</v>
      </c>
      <c r="AA6161">
        <v>0.99627940000000004</v>
      </c>
      <c r="AB6161">
        <v>23</v>
      </c>
      <c r="AC6161">
        <v>-0.46739999999999698</v>
      </c>
      <c r="AD6161">
        <v>-1.1104161406790001</v>
      </c>
      <c r="AE6161">
        <v>14.984202</v>
      </c>
      <c r="AF6161">
        <v>-0.70619457966969101</v>
      </c>
      <c r="AG6161">
        <v>-1.1104161406790001</v>
      </c>
      <c r="AH6161">
        <v>14.8929567389357</v>
      </c>
      <c r="AI6161">
        <v>94.259304868859104</v>
      </c>
      <c r="AJ6161">
        <v>92.714819136164493</v>
      </c>
      <c r="AK6161">
        <v>14.950983085324101</v>
      </c>
      <c r="AL6161">
        <v>78.057561229538393</v>
      </c>
      <c r="AM6161">
        <v>90.291365930625105</v>
      </c>
      <c r="AN6161">
        <v>0.99999996749739495</v>
      </c>
    </row>
    <row r="6162" spans="1:40" x14ac:dyDescent="0.25">
      <c r="A6162" t="str">
        <f>"20190312172828050"</f>
        <v>20190312172828050</v>
      </c>
      <c r="B6162" t="str">
        <f>"1552382908046055"</f>
        <v>1552382908046055</v>
      </c>
      <c r="C6162" t="s">
        <v>40</v>
      </c>
      <c r="D6162">
        <v>3.3939219999999999</v>
      </c>
      <c r="E6162">
        <v>0.48909730000000001</v>
      </c>
      <c r="F6162" t="s">
        <v>41</v>
      </c>
      <c r="G6162">
        <v>-187.3897</v>
      </c>
      <c r="H6162" s="1">
        <v>-2.243906E-6</v>
      </c>
      <c r="I6162">
        <v>3.784081</v>
      </c>
      <c r="J6162">
        <v>-186.90780000000001</v>
      </c>
      <c r="K6162">
        <v>1.1102920000000001</v>
      </c>
      <c r="L6162">
        <v>-11.03214</v>
      </c>
      <c r="M6162">
        <v>1.4688029999999999E-2</v>
      </c>
      <c r="N6162">
        <v>0</v>
      </c>
      <c r="O6162">
        <v>0.99982870000000001</v>
      </c>
      <c r="P6162">
        <v>1.063355E-2</v>
      </c>
      <c r="Q6162">
        <v>0.1952333</v>
      </c>
      <c r="R6162">
        <v>0.98069919999999999</v>
      </c>
      <c r="S6162">
        <v>-9.732056E-2</v>
      </c>
      <c r="T6162">
        <v>-0.22645100000000001</v>
      </c>
      <c r="U6162">
        <v>3.1056819999999998</v>
      </c>
      <c r="V6162">
        <v>-3.9965740000000001E-3</v>
      </c>
      <c r="W6162">
        <v>0.2062618</v>
      </c>
      <c r="X6162">
        <v>0.97848869999999999</v>
      </c>
      <c r="Y6162">
        <v>-4.5916489999999997E-2</v>
      </c>
      <c r="Z6162">
        <v>-7.2654159999999995E-2</v>
      </c>
      <c r="AA6162">
        <v>0.99629970000000001</v>
      </c>
      <c r="AB6162">
        <v>23</v>
      </c>
      <c r="AC6162">
        <v>-0.481899999999996</v>
      </c>
      <c r="AD6162">
        <v>-1.110294243906</v>
      </c>
      <c r="AE6162">
        <v>14.816221000000001</v>
      </c>
      <c r="AF6162">
        <v>-0.69558088687814501</v>
      </c>
      <c r="AG6162">
        <v>-1.110294243906</v>
      </c>
      <c r="AH6162">
        <v>14.7249409199772</v>
      </c>
      <c r="AI6162">
        <v>94.307288171138495</v>
      </c>
      <c r="AJ6162">
        <v>92.704543600250403</v>
      </c>
      <c r="AK6162">
        <v>14.783114393626899</v>
      </c>
      <c r="AL6162">
        <v>78.096626638031594</v>
      </c>
      <c r="AM6162">
        <v>90.234019615513404</v>
      </c>
      <c r="AN6162">
        <v>1.00000001938533</v>
      </c>
    </row>
    <row r="6163" spans="1:40" x14ac:dyDescent="0.25">
      <c r="A6163" t="str">
        <f>"20190312172828071"</f>
        <v>20190312172828071</v>
      </c>
      <c r="B6163" t="str">
        <f>"1552382908065576"</f>
        <v>1552382908065576</v>
      </c>
      <c r="C6163" t="s">
        <v>40</v>
      </c>
      <c r="D6163">
        <v>3.4112300000000002</v>
      </c>
      <c r="E6163">
        <v>0.48907319999999999</v>
      </c>
      <c r="F6163" t="s">
        <v>41</v>
      </c>
      <c r="G6163">
        <v>-187.3903</v>
      </c>
      <c r="H6163" s="1">
        <v>-2.396276E-6</v>
      </c>
      <c r="I6163">
        <v>4.1394880000000001</v>
      </c>
      <c r="J6163">
        <v>-186.90539999999999</v>
      </c>
      <c r="K6163">
        <v>1.110241</v>
      </c>
      <c r="L6163">
        <v>-10.80823</v>
      </c>
      <c r="M6163">
        <v>1.3964290000000001E-2</v>
      </c>
      <c r="N6163">
        <v>0</v>
      </c>
      <c r="O6163">
        <v>0.99984010000000001</v>
      </c>
      <c r="P6163">
        <v>1.066694E-2</v>
      </c>
      <c r="Q6163">
        <v>0.19543659999999999</v>
      </c>
      <c r="R6163">
        <v>0.98065840000000004</v>
      </c>
      <c r="S6163">
        <v>-9.8754880000000003E-2</v>
      </c>
      <c r="T6163">
        <v>-0.2272564</v>
      </c>
      <c r="U6163">
        <v>3.1053470000000001</v>
      </c>
      <c r="V6163">
        <v>-3.2327060000000001E-3</v>
      </c>
      <c r="W6163">
        <v>0.20637050000000001</v>
      </c>
      <c r="X6163">
        <v>0.97846860000000002</v>
      </c>
      <c r="Y6163">
        <v>-4.5655859999999999E-2</v>
      </c>
      <c r="Z6163">
        <v>-7.292005E-2</v>
      </c>
      <c r="AA6163">
        <v>0.99629219999999996</v>
      </c>
      <c r="AB6163">
        <v>23</v>
      </c>
      <c r="AC6163">
        <v>-0.48490000000000999</v>
      </c>
      <c r="AD6163">
        <v>-1.1102433962759899</v>
      </c>
      <c r="AE6163">
        <v>14.947718</v>
      </c>
      <c r="AF6163">
        <v>-0.68979853156934301</v>
      </c>
      <c r="AG6163">
        <v>-1.1102433962759899</v>
      </c>
      <c r="AH6163">
        <v>14.8576084582949</v>
      </c>
      <c r="AI6163">
        <v>94.268936469204306</v>
      </c>
      <c r="AJ6163">
        <v>92.658179106744299</v>
      </c>
      <c r="AK6163">
        <v>14.9149921727477</v>
      </c>
      <c r="AL6163">
        <v>78.090261622848701</v>
      </c>
      <c r="AM6163">
        <v>90.189295534158504</v>
      </c>
      <c r="AN6163">
        <v>1.00000001742214</v>
      </c>
    </row>
    <row r="6164" spans="1:40" x14ac:dyDescent="0.25">
      <c r="A6164" t="str">
        <f>"20190312172828094"</f>
        <v>20190312172828094</v>
      </c>
      <c r="B6164" t="str">
        <f>"1552382908086072"</f>
        <v>1552382908086072</v>
      </c>
      <c r="C6164" t="s">
        <v>40</v>
      </c>
      <c r="D6164">
        <v>3.428728</v>
      </c>
      <c r="E6164">
        <v>0.48904370000000003</v>
      </c>
      <c r="F6164" t="s">
        <v>41</v>
      </c>
      <c r="G6164">
        <v>-187.3937</v>
      </c>
      <c r="H6164" s="1">
        <v>-2.5209380000000001E-6</v>
      </c>
      <c r="I6164">
        <v>4.4314939999999998</v>
      </c>
      <c r="J6164">
        <v>-186.90289999999999</v>
      </c>
      <c r="K6164">
        <v>1.1102019999999999</v>
      </c>
      <c r="L6164">
        <v>-10.56311</v>
      </c>
      <c r="M6164">
        <v>1.3228989999999999E-2</v>
      </c>
      <c r="N6164">
        <v>0</v>
      </c>
      <c r="O6164">
        <v>0.9998513</v>
      </c>
      <c r="P6164">
        <v>1.049894E-2</v>
      </c>
      <c r="Q6164">
        <v>0.1956156</v>
      </c>
      <c r="R6164">
        <v>0.98062439999999995</v>
      </c>
      <c r="S6164">
        <v>-9.9502560000000004E-2</v>
      </c>
      <c r="T6164">
        <v>-0.2262306</v>
      </c>
      <c r="U6164">
        <v>3.1053470000000001</v>
      </c>
      <c r="V6164">
        <v>-2.6653100000000002E-3</v>
      </c>
      <c r="W6164">
        <v>0.2064512</v>
      </c>
      <c r="X6164">
        <v>0.97845329999999997</v>
      </c>
      <c r="Y6164">
        <v>-4.5161590000000001E-2</v>
      </c>
      <c r="Z6164">
        <v>-7.2594259999999994E-2</v>
      </c>
      <c r="AA6164">
        <v>0.99633850000000002</v>
      </c>
      <c r="AB6164">
        <v>23</v>
      </c>
      <c r="AC6164">
        <v>-0.49080000000000701</v>
      </c>
      <c r="AD6164">
        <v>-1.110204520938</v>
      </c>
      <c r="AE6164">
        <v>14.994604000000001</v>
      </c>
      <c r="AF6164">
        <v>-0.68537944818513696</v>
      </c>
      <c r="AG6164">
        <v>-1.110204520938</v>
      </c>
      <c r="AH6164">
        <v>14.905176366629901</v>
      </c>
      <c r="AI6164">
        <v>94.2553013064731</v>
      </c>
      <c r="AJ6164">
        <v>92.632757020352997</v>
      </c>
      <c r="AK6164">
        <v>14.962171686845799</v>
      </c>
      <c r="AL6164">
        <v>78.085536256132997</v>
      </c>
      <c r="AM6164">
        <v>90.156073505378899</v>
      </c>
      <c r="AN6164">
        <v>1.00000003106986</v>
      </c>
    </row>
    <row r="6165" spans="1:40" x14ac:dyDescent="0.25">
      <c r="A6165" t="str">
        <f>"20190312172828115"</f>
        <v>20190312172828115</v>
      </c>
      <c r="B6165" t="str">
        <f>"1552382908105592"</f>
        <v>1552382908105592</v>
      </c>
      <c r="C6165" t="s">
        <v>40</v>
      </c>
      <c r="D6165">
        <v>3.4740709999999999</v>
      </c>
      <c r="E6165">
        <v>0.48903920000000001</v>
      </c>
      <c r="F6165" t="s">
        <v>41</v>
      </c>
      <c r="G6165">
        <v>-187.39680000000001</v>
      </c>
      <c r="H6165" s="1">
        <v>-2.6536930000000001E-6</v>
      </c>
      <c r="I6165">
        <v>4.7422360000000001</v>
      </c>
      <c r="J6165">
        <v>-186.9007</v>
      </c>
      <c r="K6165">
        <v>1.1101749999999999</v>
      </c>
      <c r="L6165">
        <v>-10.346769999999999</v>
      </c>
      <c r="M6165">
        <v>1.2620889999999999E-2</v>
      </c>
      <c r="N6165">
        <v>0</v>
      </c>
      <c r="O6165">
        <v>0.99986010000000003</v>
      </c>
      <c r="P6165">
        <v>1.028534E-2</v>
      </c>
      <c r="Q6165">
        <v>0.1954583</v>
      </c>
      <c r="R6165">
        <v>0.98065809999999998</v>
      </c>
      <c r="S6165">
        <v>-0.10021969999999999</v>
      </c>
      <c r="T6165">
        <v>-0.22524820000000001</v>
      </c>
      <c r="U6165">
        <v>3.105286</v>
      </c>
      <c r="V6165">
        <v>-2.2735170000000001E-3</v>
      </c>
      <c r="W6165">
        <v>0.20621</v>
      </c>
      <c r="X6165">
        <v>0.97850510000000002</v>
      </c>
      <c r="Y6165">
        <v>-4.4785239999999997E-2</v>
      </c>
      <c r="Z6165">
        <v>-7.2283280000000005E-2</v>
      </c>
      <c r="AA6165">
        <v>0.99637810000000004</v>
      </c>
      <c r="AB6165">
        <v>23</v>
      </c>
      <c r="AC6165">
        <v>-0.49610000000001198</v>
      </c>
      <c r="AD6165">
        <v>-1.1101776536929999</v>
      </c>
      <c r="AE6165">
        <v>15.089005999999999</v>
      </c>
      <c r="AF6165">
        <v>-0.68281632974681805</v>
      </c>
      <c r="AG6165">
        <v>-1.1101776536929999</v>
      </c>
      <c r="AH6165">
        <v>15.0004280322608</v>
      </c>
      <c r="AI6165">
        <v>94.228365827651302</v>
      </c>
      <c r="AJ6165">
        <v>92.606292704861403</v>
      </c>
      <c r="AK6165">
        <v>15.056944368429001</v>
      </c>
      <c r="AL6165">
        <v>78.099659311406</v>
      </c>
      <c r="AM6165">
        <v>90.133124185398103</v>
      </c>
      <c r="AN6165">
        <v>0.99999998185277905</v>
      </c>
    </row>
    <row r="6166" spans="1:40" x14ac:dyDescent="0.25">
      <c r="A6166" t="str">
        <f>"20190312172828137"</f>
        <v>20190312172828137</v>
      </c>
      <c r="B6166" t="str">
        <f>"1552382908126088"</f>
        <v>1552382908126088</v>
      </c>
      <c r="C6166" t="s">
        <v>40</v>
      </c>
      <c r="D6166">
        <v>3.4921880000000001</v>
      </c>
      <c r="E6166">
        <v>0.48901699999999998</v>
      </c>
      <c r="F6166" t="s">
        <v>41</v>
      </c>
      <c r="G6166">
        <v>-187.39789999999999</v>
      </c>
      <c r="H6166" s="1">
        <v>-2.742017E-6</v>
      </c>
      <c r="I6166">
        <v>4.9485729999999997</v>
      </c>
      <c r="J6166">
        <v>-186.89859999999999</v>
      </c>
      <c r="K6166">
        <v>1.110152</v>
      </c>
      <c r="L6166">
        <v>-10.118410000000001</v>
      </c>
      <c r="M6166">
        <v>1.2008120000000001E-2</v>
      </c>
      <c r="N6166">
        <v>0</v>
      </c>
      <c r="O6166">
        <v>0.99986870000000005</v>
      </c>
      <c r="P6166">
        <v>1.052787E-2</v>
      </c>
      <c r="Q6166">
        <v>0.19606109999999999</v>
      </c>
      <c r="R6166">
        <v>0.98053509999999999</v>
      </c>
      <c r="S6166">
        <v>-0.1009369</v>
      </c>
      <c r="T6166">
        <v>-0.22538130000000001</v>
      </c>
      <c r="U6166">
        <v>3.1051639999999998</v>
      </c>
      <c r="V6166">
        <v>-1.4222999999999901E-3</v>
      </c>
      <c r="W6166">
        <v>0.2067204</v>
      </c>
      <c r="X6166">
        <v>0.97839900000000002</v>
      </c>
      <c r="Y6166">
        <v>-4.4404010000000001E-2</v>
      </c>
      <c r="Z6166">
        <v>-7.2329740000000003E-2</v>
      </c>
      <c r="AA6166">
        <v>0.99639180000000005</v>
      </c>
      <c r="AB6166">
        <v>23</v>
      </c>
      <c r="AC6166">
        <v>-0.49930000000000502</v>
      </c>
      <c r="AD6166">
        <v>-1.1101547420169999</v>
      </c>
      <c r="AE6166">
        <v>15.066982999999899</v>
      </c>
      <c r="AF6166">
        <v>-0.676532029039002</v>
      </c>
      <c r="AG6166">
        <v>-1.1101547420169999</v>
      </c>
      <c r="AH6166">
        <v>14.9786715386011</v>
      </c>
      <c r="AI6166">
        <v>94.2344655992746</v>
      </c>
      <c r="AJ6166">
        <v>92.586084061944305</v>
      </c>
      <c r="AK6166">
        <v>15.0349838775716</v>
      </c>
      <c r="AL6166">
        <v>78.069771498454003</v>
      </c>
      <c r="AM6166">
        <v>90.083290896451601</v>
      </c>
      <c r="AN6166">
        <v>0.99999997495722404</v>
      </c>
    </row>
    <row r="6167" spans="1:40" x14ac:dyDescent="0.25">
      <c r="A6167" t="str">
        <f>"20190312172828160"</f>
        <v>20190312172828160</v>
      </c>
      <c r="B6167" t="str">
        <f>"1552382908155369"</f>
        <v>1552382908155369</v>
      </c>
      <c r="C6167" t="s">
        <v>40</v>
      </c>
      <c r="D6167">
        <v>3.4045589999999901</v>
      </c>
      <c r="E6167">
        <v>0.4889889</v>
      </c>
      <c r="F6167" t="s">
        <v>41</v>
      </c>
      <c r="G6167">
        <v>-187.40309999999999</v>
      </c>
      <c r="H6167" s="1">
        <v>-2.9058569999999999E-6</v>
      </c>
      <c r="I6167">
        <v>5.3326339999999997</v>
      </c>
      <c r="J6167">
        <v>-186.8965</v>
      </c>
      <c r="K6167">
        <v>1.110133</v>
      </c>
      <c r="L6167">
        <v>-9.8829960000000003</v>
      </c>
      <c r="M6167">
        <v>1.139074E-2</v>
      </c>
      <c r="N6167">
        <v>0</v>
      </c>
      <c r="O6167">
        <v>0.99987689999999996</v>
      </c>
      <c r="P6167">
        <v>1.093248E-2</v>
      </c>
      <c r="Q6167">
        <v>0.1958174</v>
      </c>
      <c r="R6167">
        <v>0.98057939999999999</v>
      </c>
      <c r="S6167">
        <v>-0.1013947</v>
      </c>
      <c r="T6167">
        <v>-0.223112</v>
      </c>
      <c r="U6167">
        <v>3.1052550000000001</v>
      </c>
      <c r="V6167">
        <v>-4.0807849999999999E-4</v>
      </c>
      <c r="W6167">
        <v>0.2063845</v>
      </c>
      <c r="X6167">
        <v>0.97847090000000003</v>
      </c>
      <c r="Y6167">
        <v>-4.3934639999999997E-2</v>
      </c>
      <c r="Z6167">
        <v>-7.1604520000000005E-2</v>
      </c>
      <c r="AA6167">
        <v>0.99646500000000005</v>
      </c>
      <c r="AB6167">
        <v>23</v>
      </c>
      <c r="AC6167">
        <v>-0.50659999999999095</v>
      </c>
      <c r="AD6167">
        <v>-1.1101359058569999</v>
      </c>
      <c r="AE6167">
        <v>15.2156299999999</v>
      </c>
      <c r="AF6167">
        <v>-0.67629842364655901</v>
      </c>
      <c r="AG6167">
        <v>-1.1101359058569999</v>
      </c>
      <c r="AH6167">
        <v>15.128429447096901</v>
      </c>
      <c r="AI6167">
        <v>94.192714175413101</v>
      </c>
      <c r="AJ6167">
        <v>92.559635419046799</v>
      </c>
      <c r="AK6167">
        <v>15.1841746177752</v>
      </c>
      <c r="AL6167">
        <v>78.089441807739902</v>
      </c>
      <c r="AM6167">
        <v>90.023895625720101</v>
      </c>
      <c r="AN6167">
        <v>1.0000000152575601</v>
      </c>
    </row>
    <row r="6168" spans="1:40" x14ac:dyDescent="0.25">
      <c r="A6168" t="str">
        <f>"20190312172828184"</f>
        <v>20190312172828184</v>
      </c>
      <c r="B6168" t="str">
        <f>"1552382908175865"</f>
        <v>1552382908175865</v>
      </c>
      <c r="C6168" t="s">
        <v>40</v>
      </c>
      <c r="D6168">
        <v>3.4228730000000001</v>
      </c>
      <c r="E6168">
        <v>0.4889812</v>
      </c>
      <c r="F6168" t="s">
        <v>41</v>
      </c>
      <c r="G6168">
        <v>-187.39769999999999</v>
      </c>
      <c r="H6168" s="1">
        <v>-3.0030030000000002E-6</v>
      </c>
      <c r="I6168">
        <v>5.5568470000000003</v>
      </c>
      <c r="J6168">
        <v>-186.89439999999999</v>
      </c>
      <c r="K6168">
        <v>1.110115</v>
      </c>
      <c r="L6168">
        <v>-9.6300659999999993</v>
      </c>
      <c r="M6168">
        <v>1.073124E-2</v>
      </c>
      <c r="N6168">
        <v>0</v>
      </c>
      <c r="O6168">
        <v>0.99988529999999998</v>
      </c>
      <c r="P6168">
        <v>1.0332630000000001E-2</v>
      </c>
      <c r="Q6168">
        <v>0.19538549999999999</v>
      </c>
      <c r="R6168">
        <v>0.98067210000000005</v>
      </c>
      <c r="S6168">
        <v>-0.1007996</v>
      </c>
      <c r="T6168">
        <v>-0.2232614</v>
      </c>
      <c r="U6168">
        <v>3.1051329999999999</v>
      </c>
      <c r="V6168">
        <v>-3.6052989999999999E-4</v>
      </c>
      <c r="W6168">
        <v>0.20585629999999999</v>
      </c>
      <c r="X6168">
        <v>0.97858210000000001</v>
      </c>
      <c r="Y6168">
        <v>-4.3086050000000001E-2</v>
      </c>
      <c r="Z6168">
        <v>-7.1657319999999997E-2</v>
      </c>
      <c r="AA6168">
        <v>0.99649829999999995</v>
      </c>
      <c r="AB6168">
        <v>23</v>
      </c>
      <c r="AC6168">
        <v>-0.50329999999999497</v>
      </c>
      <c r="AD6168">
        <v>-1.110118003003</v>
      </c>
      <c r="AE6168">
        <v>15.186913000000001</v>
      </c>
      <c r="AF6168">
        <v>-0.66271760269217195</v>
      </c>
      <c r="AG6168">
        <v>-1.110118003003</v>
      </c>
      <c r="AH6168">
        <v>15.1000434364823</v>
      </c>
      <c r="AI6168">
        <v>94.200651091328297</v>
      </c>
      <c r="AJ6168">
        <v>92.513010649269404</v>
      </c>
      <c r="AK6168">
        <v>15.155291761796001</v>
      </c>
      <c r="AL6168">
        <v>78.120368610039506</v>
      </c>
      <c r="AM6168">
        <v>90.021108950106097</v>
      </c>
      <c r="AN6168">
        <v>0.99999993633595197</v>
      </c>
    </row>
    <row r="6169" spans="1:40" x14ac:dyDescent="0.25">
      <c r="A6169" t="str">
        <f>"20190312172828208"</f>
        <v>20190312172828208</v>
      </c>
      <c r="B6169" t="str">
        <f>"1552382908195384"</f>
        <v>1552382908195384</v>
      </c>
      <c r="C6169" t="s">
        <v>40</v>
      </c>
      <c r="D6169">
        <v>3.4724460000000001</v>
      </c>
      <c r="E6169">
        <v>0.48896479999999998</v>
      </c>
      <c r="F6169" t="s">
        <v>41</v>
      </c>
      <c r="G6169">
        <v>-187.40170000000001</v>
      </c>
      <c r="H6169" s="1">
        <v>-3.0772860000000002E-6</v>
      </c>
      <c r="I6169">
        <v>5.7316539999999998</v>
      </c>
      <c r="J6169">
        <v>-186.89240000000001</v>
      </c>
      <c r="K6169">
        <v>1.110109</v>
      </c>
      <c r="L6169">
        <v>-9.3795169999999999</v>
      </c>
      <c r="M6169">
        <v>1.007688E-2</v>
      </c>
      <c r="N6169">
        <v>0</v>
      </c>
      <c r="O6169">
        <v>0.99989309999999998</v>
      </c>
      <c r="P6169">
        <v>9.4845740000000008E-3</v>
      </c>
      <c r="Q6169">
        <v>0.1946881</v>
      </c>
      <c r="R6169">
        <v>0.98081929999999995</v>
      </c>
      <c r="S6169">
        <v>-0.10253909999999999</v>
      </c>
      <c r="T6169">
        <v>-0.22437760000000001</v>
      </c>
      <c r="U6169">
        <v>3.1049190000000002</v>
      </c>
      <c r="V6169">
        <v>-5.6967330000000003E-4</v>
      </c>
      <c r="W6169">
        <v>0.20506949999999999</v>
      </c>
      <c r="X6169">
        <v>0.97874720000000004</v>
      </c>
      <c r="Y6169">
        <v>-4.2991269999999998E-2</v>
      </c>
      <c r="Z6169">
        <v>-7.2018890000000002E-2</v>
      </c>
      <c r="AA6169">
        <v>0.99647629999999998</v>
      </c>
      <c r="AB6169">
        <v>23</v>
      </c>
      <c r="AC6169">
        <v>-0.50929999999999598</v>
      </c>
      <c r="AD6169">
        <v>-1.110112077286</v>
      </c>
      <c r="AE6169">
        <v>15.111171000000001</v>
      </c>
      <c r="AF6169">
        <v>-0.65800901918737498</v>
      </c>
      <c r="AG6169">
        <v>-1.110112077286</v>
      </c>
      <c r="AH6169">
        <v>15.0242799930177</v>
      </c>
      <c r="AI6169">
        <v>94.221751954434595</v>
      </c>
      <c r="AJ6169">
        <v>92.507744947966899</v>
      </c>
      <c r="AK6169">
        <v>15.0795992653008</v>
      </c>
      <c r="AL6169">
        <v>78.166431893235099</v>
      </c>
      <c r="AM6169">
        <v>90.033348623735904</v>
      </c>
      <c r="AN6169">
        <v>0.99999995293287802</v>
      </c>
    </row>
    <row r="6170" spans="1:40" x14ac:dyDescent="0.25">
      <c r="A6170" t="str">
        <f>"20190312172828251"</f>
        <v>20190312172828251</v>
      </c>
      <c r="B6170" t="str">
        <f>"1552382908246136"</f>
        <v>1552382908246136</v>
      </c>
      <c r="C6170" t="s">
        <v>40</v>
      </c>
      <c r="D6170">
        <v>3.353691</v>
      </c>
      <c r="E6170">
        <v>0.48893540000000002</v>
      </c>
      <c r="F6170" t="s">
        <v>41</v>
      </c>
      <c r="G6170">
        <v>-187.4015</v>
      </c>
      <c r="H6170" s="1">
        <v>-3.1181420000000002E-6</v>
      </c>
      <c r="I6170">
        <v>5.8268209999999998</v>
      </c>
      <c r="J6170">
        <v>-186.88929999999999</v>
      </c>
      <c r="K6170">
        <v>1.110109</v>
      </c>
      <c r="L6170">
        <v>-8.9248349999999999</v>
      </c>
      <c r="M6170">
        <v>8.8776150000000002E-3</v>
      </c>
      <c r="N6170">
        <v>0</v>
      </c>
      <c r="O6170">
        <v>0.99990610000000002</v>
      </c>
      <c r="P6170">
        <v>8.5179219999999903E-3</v>
      </c>
      <c r="Q6170">
        <v>0.19556029999999999</v>
      </c>
      <c r="R6170">
        <v>0.98065469999999999</v>
      </c>
      <c r="S6170">
        <v>-0.1039429</v>
      </c>
      <c r="T6170">
        <v>-0.2266514</v>
      </c>
      <c r="U6170">
        <v>3.1046749999999999</v>
      </c>
      <c r="V6170">
        <v>-3.6846749999999999E-4</v>
      </c>
      <c r="W6170">
        <v>0.2057919</v>
      </c>
      <c r="X6170">
        <v>0.97859569999999996</v>
      </c>
      <c r="Y6170">
        <v>-4.2243849999999999E-2</v>
      </c>
      <c r="Z6170">
        <v>-7.2752419999999998E-2</v>
      </c>
      <c r="AA6170">
        <v>0.99645499999999998</v>
      </c>
      <c r="AB6170">
        <v>23</v>
      </c>
      <c r="AC6170">
        <v>-0.51220000000000698</v>
      </c>
      <c r="AD6170">
        <v>-1.1101121181419999</v>
      </c>
      <c r="AE6170">
        <v>14.751656000000001</v>
      </c>
      <c r="AF6170">
        <v>-0.63952913377889997</v>
      </c>
      <c r="AG6170">
        <v>-1.1101121181419999</v>
      </c>
      <c r="AH6170">
        <v>14.663586296466301</v>
      </c>
      <c r="AI6170">
        <v>94.325243442427293</v>
      </c>
      <c r="AJ6170">
        <v>92.497282258050006</v>
      </c>
      <c r="AK6170">
        <v>14.719446643869199</v>
      </c>
      <c r="AL6170">
        <v>78.124139872696801</v>
      </c>
      <c r="AM6170">
        <v>90.021573395059903</v>
      </c>
      <c r="AN6170">
        <v>0.99999999296619901</v>
      </c>
    </row>
    <row r="6171" spans="1:40" x14ac:dyDescent="0.25">
      <c r="A6171" t="str">
        <f>"20190312172828274"</f>
        <v>20190312172828274</v>
      </c>
      <c r="B6171" t="str">
        <f>"1552382908265656"</f>
        <v>1552382908265656</v>
      </c>
      <c r="C6171" t="s">
        <v>40</v>
      </c>
      <c r="D6171">
        <v>3.4181140000000001</v>
      </c>
      <c r="E6171">
        <v>0.48893690000000001</v>
      </c>
      <c r="F6171" t="s">
        <v>41</v>
      </c>
      <c r="G6171">
        <v>-187.42869999999999</v>
      </c>
      <c r="H6171" s="1">
        <v>-3.418702E-6</v>
      </c>
      <c r="I6171">
        <v>6.538653</v>
      </c>
      <c r="J6171">
        <v>-186.88800000000001</v>
      </c>
      <c r="K6171">
        <v>1.1101080000000001</v>
      </c>
      <c r="L6171">
        <v>-8.6852719999999994</v>
      </c>
      <c r="M6171">
        <v>8.2364559999999996E-3</v>
      </c>
      <c r="N6171">
        <v>0</v>
      </c>
      <c r="O6171">
        <v>0.99991229999999998</v>
      </c>
      <c r="P6171">
        <v>7.8646659999999993E-3</v>
      </c>
      <c r="Q6171">
        <v>0.1956456</v>
      </c>
      <c r="R6171">
        <v>0.98064320000000005</v>
      </c>
      <c r="S6171">
        <v>-0.10827639999999999</v>
      </c>
      <c r="T6171">
        <v>-0.22287360000000001</v>
      </c>
      <c r="U6171">
        <v>3.1045530000000001</v>
      </c>
      <c r="V6171">
        <v>-3.9786379999999998E-4</v>
      </c>
      <c r="W6171">
        <v>0.2058045</v>
      </c>
      <c r="X6171">
        <v>0.97859309999999999</v>
      </c>
      <c r="Y6171">
        <v>-4.2996810000000003E-2</v>
      </c>
      <c r="Z6171">
        <v>-7.1546570000000004E-2</v>
      </c>
      <c r="AA6171">
        <v>0.99651009999999995</v>
      </c>
      <c r="AB6171">
        <v>24</v>
      </c>
      <c r="AC6171">
        <v>-0.54069999999998597</v>
      </c>
      <c r="AD6171">
        <v>-1.110111418702</v>
      </c>
      <c r="AE6171">
        <v>15.223924999999999</v>
      </c>
      <c r="AF6171">
        <v>-0.66256108333770003</v>
      </c>
      <c r="AG6171">
        <v>-1.110111418702</v>
      </c>
      <c r="AH6171">
        <v>15.138562081350299</v>
      </c>
      <c r="AI6171">
        <v>94.189998563689997</v>
      </c>
      <c r="AJ6171">
        <v>92.506033441527507</v>
      </c>
      <c r="AK6171">
        <v>15.1936630356864</v>
      </c>
      <c r="AL6171">
        <v>78.123402877295106</v>
      </c>
      <c r="AM6171">
        <v>90.023294580050703</v>
      </c>
      <c r="AN6171">
        <v>1.0000000529417301</v>
      </c>
    </row>
    <row r="6172" spans="1:40" x14ac:dyDescent="0.25">
      <c r="A6172" t="str">
        <f>"20190312172828295"</f>
        <v>20190312172828295</v>
      </c>
      <c r="B6172" t="str">
        <f>"1552382908286152"</f>
        <v>1552382908286152</v>
      </c>
      <c r="C6172" t="s">
        <v>40</v>
      </c>
      <c r="D6172">
        <v>3.3943680000000001</v>
      </c>
      <c r="E6172">
        <v>0.48893720000000002</v>
      </c>
      <c r="F6172" t="s">
        <v>41</v>
      </c>
      <c r="G6172">
        <v>-187.44</v>
      </c>
      <c r="H6172" s="1">
        <v>-3.5529969999999998E-6</v>
      </c>
      <c r="I6172">
        <v>6.8563729999999996</v>
      </c>
      <c r="J6172">
        <v>-186.88669999999999</v>
      </c>
      <c r="K6172">
        <v>1.1101099999999999</v>
      </c>
      <c r="L6172">
        <v>-8.4526369999999993</v>
      </c>
      <c r="M6172">
        <v>7.6077180000000003E-3</v>
      </c>
      <c r="N6172">
        <v>0</v>
      </c>
      <c r="O6172">
        <v>0.99991799999999997</v>
      </c>
      <c r="P6172">
        <v>7.1471669999999899E-3</v>
      </c>
      <c r="Q6172">
        <v>0.19576279999999999</v>
      </c>
      <c r="R6172">
        <v>0.98062519999999997</v>
      </c>
      <c r="S6172">
        <v>-0.11026</v>
      </c>
      <c r="T6172">
        <v>-0.2217374</v>
      </c>
      <c r="U6172">
        <v>3.1043400000000001</v>
      </c>
      <c r="V6172">
        <v>-5.0238189999999997E-4</v>
      </c>
      <c r="W6172">
        <v>0.20585580000000001</v>
      </c>
      <c r="X6172">
        <v>0.97858219999999996</v>
      </c>
      <c r="Y6172">
        <v>-4.3007869999999997E-2</v>
      </c>
      <c r="Z6172">
        <v>-7.1188290000000001E-2</v>
      </c>
      <c r="AA6172">
        <v>0.99653530000000001</v>
      </c>
      <c r="AB6172">
        <v>24</v>
      </c>
      <c r="AC6172">
        <v>-0.55330000000000701</v>
      </c>
      <c r="AD6172">
        <v>-1.1101135529970001</v>
      </c>
      <c r="AE6172">
        <v>15.309010000000001</v>
      </c>
      <c r="AF6172">
        <v>-0.66625802136608903</v>
      </c>
      <c r="AG6172">
        <v>-1.1101135529970001</v>
      </c>
      <c r="AH6172">
        <v>15.224408156765101</v>
      </c>
      <c r="AI6172">
        <v>94.1664644982651</v>
      </c>
      <c r="AJ6172">
        <v>92.505807167764004</v>
      </c>
      <c r="AK6172">
        <v>15.2793604439243</v>
      </c>
      <c r="AL6172">
        <v>78.1203985614939</v>
      </c>
      <c r="AM6172">
        <v>90.029414350725901</v>
      </c>
      <c r="AN6172">
        <v>0.99999999246902604</v>
      </c>
    </row>
    <row r="6173" spans="1:40" x14ac:dyDescent="0.25">
      <c r="A6173" t="str">
        <f>"20190312172828316"</f>
        <v>20190312172828316</v>
      </c>
      <c r="B6173" t="str">
        <f>"1552382908305672"</f>
        <v>1552382908305672</v>
      </c>
      <c r="C6173" t="s">
        <v>40</v>
      </c>
      <c r="D6173">
        <v>3.3944549999999998</v>
      </c>
      <c r="E6173">
        <v>0.48893989999999998</v>
      </c>
      <c r="F6173" t="s">
        <v>41</v>
      </c>
      <c r="G6173">
        <v>-187.44990000000001</v>
      </c>
      <c r="H6173" s="1">
        <v>-3.687067E-6</v>
      </c>
      <c r="I6173">
        <v>7.1730119999999999</v>
      </c>
      <c r="J6173">
        <v>-186.88570000000001</v>
      </c>
      <c r="K6173">
        <v>1.110109</v>
      </c>
      <c r="L6173">
        <v>-8.2306819999999998</v>
      </c>
      <c r="M6173">
        <v>7.0038749999999997E-3</v>
      </c>
      <c r="N6173">
        <v>0</v>
      </c>
      <c r="O6173">
        <v>0.99992309999999995</v>
      </c>
      <c r="P6173">
        <v>6.9175579999999999E-3</v>
      </c>
      <c r="Q6173">
        <v>0.19555410000000001</v>
      </c>
      <c r="R6173">
        <v>0.98066850000000005</v>
      </c>
      <c r="S6173">
        <v>-0.1118774</v>
      </c>
      <c r="T6173">
        <v>-0.22053049999999999</v>
      </c>
      <c r="U6173">
        <v>3.1041259999999999</v>
      </c>
      <c r="V6173">
        <v>-1.4309070000000001E-4</v>
      </c>
      <c r="W6173">
        <v>0.20558750000000001</v>
      </c>
      <c r="X6173">
        <v>0.97863869999999997</v>
      </c>
      <c r="Y6173">
        <v>-4.2926550000000001E-2</v>
      </c>
      <c r="Z6173">
        <v>-7.080757E-2</v>
      </c>
      <c r="AA6173">
        <v>0.9965659</v>
      </c>
      <c r="AB6173">
        <v>24</v>
      </c>
      <c r="AC6173">
        <v>-0.56419999999999904</v>
      </c>
      <c r="AD6173">
        <v>-1.1101126870669999</v>
      </c>
      <c r="AE6173">
        <v>15.403694</v>
      </c>
      <c r="AF6173">
        <v>-0.66860939380458795</v>
      </c>
      <c r="AG6173">
        <v>-1.1101126870669999</v>
      </c>
      <c r="AH6173">
        <v>15.3199026048829</v>
      </c>
      <c r="AI6173">
        <v>94.140602294136599</v>
      </c>
      <c r="AJ6173">
        <v>92.498984669391405</v>
      </c>
      <c r="AK6173">
        <v>15.3746155894243</v>
      </c>
      <c r="AL6173">
        <v>78.1361067788024</v>
      </c>
      <c r="AM6173">
        <v>90.008377446282395</v>
      </c>
      <c r="AN6173">
        <v>0.99999997288444298</v>
      </c>
    </row>
    <row r="6174" spans="1:40" x14ac:dyDescent="0.25">
      <c r="A6174" t="str">
        <f>"20190312172828337"</f>
        <v>20190312172828337</v>
      </c>
      <c r="B6174" t="str">
        <f>"1552382908326168"</f>
        <v>1552382908326168</v>
      </c>
      <c r="C6174" t="s">
        <v>40</v>
      </c>
      <c r="D6174">
        <v>3.4141659999999998</v>
      </c>
      <c r="E6174">
        <v>0.48894490000000002</v>
      </c>
      <c r="F6174" t="s">
        <v>41</v>
      </c>
      <c r="G6174">
        <v>-187.45070000000001</v>
      </c>
      <c r="H6174" s="1">
        <v>-3.786151E-6</v>
      </c>
      <c r="I6174">
        <v>7.4042849999999998</v>
      </c>
      <c r="J6174">
        <v>-186.88480000000001</v>
      </c>
      <c r="K6174">
        <v>1.1101110000000001</v>
      </c>
      <c r="L6174">
        <v>-8.00158699999999</v>
      </c>
      <c r="M6174">
        <v>6.3785109999999999E-3</v>
      </c>
      <c r="N6174">
        <v>0</v>
      </c>
      <c r="O6174">
        <v>0.99992780000000003</v>
      </c>
      <c r="P6174">
        <v>6.9365829999999996E-3</v>
      </c>
      <c r="Q6174">
        <v>0.19528329999999999</v>
      </c>
      <c r="R6174">
        <v>0.98072239999999999</v>
      </c>
      <c r="S6174">
        <v>-0.1121521</v>
      </c>
      <c r="T6174">
        <v>-0.22038150000000001</v>
      </c>
      <c r="U6174">
        <v>3.103882</v>
      </c>
      <c r="V6174">
        <v>4.8740440000000001E-4</v>
      </c>
      <c r="W6174">
        <v>0.20525940000000001</v>
      </c>
      <c r="X6174">
        <v>0.97870749999999995</v>
      </c>
      <c r="Y6174">
        <v>-4.2392689999999997E-2</v>
      </c>
      <c r="Z6174">
        <v>-7.0766629999999997E-2</v>
      </c>
      <c r="AA6174">
        <v>0.99659169999999997</v>
      </c>
      <c r="AB6174">
        <v>24</v>
      </c>
      <c r="AC6174">
        <v>-0.56589999999999896</v>
      </c>
      <c r="AD6174">
        <v>-1.1101147861509999</v>
      </c>
      <c r="AE6174">
        <v>15.405872</v>
      </c>
      <c r="AF6174">
        <v>-0.66073397352820096</v>
      </c>
      <c r="AG6174">
        <v>-1.1101147861509999</v>
      </c>
      <c r="AH6174">
        <v>15.3224963597689</v>
      </c>
      <c r="AI6174">
        <v>94.140004758351907</v>
      </c>
      <c r="AJ6174">
        <v>92.469168745756804</v>
      </c>
      <c r="AK6174">
        <v>15.376859852301999</v>
      </c>
      <c r="AL6174">
        <v>78.155315681168105</v>
      </c>
      <c r="AM6174">
        <v>89.971466232017804</v>
      </c>
      <c r="AN6174">
        <v>1.0000000147038199</v>
      </c>
    </row>
    <row r="6175" spans="1:40" x14ac:dyDescent="0.25">
      <c r="A6175" t="str">
        <f>"20190312172828362"</f>
        <v>20190312172828362</v>
      </c>
      <c r="B6175" t="str">
        <f>"1552382908355448"</f>
        <v>1552382908355448</v>
      </c>
      <c r="C6175" t="s">
        <v>40</v>
      </c>
      <c r="D6175">
        <v>3.418183</v>
      </c>
      <c r="E6175">
        <v>0.48893219999999998</v>
      </c>
      <c r="F6175" t="s">
        <v>41</v>
      </c>
      <c r="G6175">
        <v>-187.44919999999999</v>
      </c>
      <c r="H6175" s="1">
        <v>-3.8847710000000003E-6</v>
      </c>
      <c r="I6175">
        <v>7.633553</v>
      </c>
      <c r="J6175">
        <v>-186.88399999999999</v>
      </c>
      <c r="K6175">
        <v>1.1101049999999999</v>
      </c>
      <c r="L6175">
        <v>-7.7534179999999902</v>
      </c>
      <c r="M6175">
        <v>5.7008750000000002E-3</v>
      </c>
      <c r="N6175">
        <v>0</v>
      </c>
      <c r="O6175">
        <v>0.9999325</v>
      </c>
      <c r="P6175">
        <v>6.7216139999999999E-3</v>
      </c>
      <c r="Q6175">
        <v>0.1954478</v>
      </c>
      <c r="R6175">
        <v>0.98069110000000004</v>
      </c>
      <c r="S6175">
        <v>-0.11203</v>
      </c>
      <c r="T6175">
        <v>-0.22036220000000001</v>
      </c>
      <c r="U6175">
        <v>3.1036380000000001</v>
      </c>
      <c r="V6175">
        <v>9.3509300000000001E-4</v>
      </c>
      <c r="W6175">
        <v>0.2053672</v>
      </c>
      <c r="X6175">
        <v>0.97868449999999996</v>
      </c>
      <c r="Y6175">
        <v>-4.1679290000000001E-2</v>
      </c>
      <c r="Z6175">
        <v>-7.0767540000000004E-2</v>
      </c>
      <c r="AA6175">
        <v>0.99662169999999894</v>
      </c>
      <c r="AB6175">
        <v>24</v>
      </c>
      <c r="AC6175">
        <v>-0.56519999999997494</v>
      </c>
      <c r="AD6175">
        <v>-1.1101088847709999</v>
      </c>
      <c r="AE6175">
        <v>15.386971000000001</v>
      </c>
      <c r="AF6175">
        <v>-0.64953818552533205</v>
      </c>
      <c r="AG6175">
        <v>-1.1101088847709999</v>
      </c>
      <c r="AH6175">
        <v>15.3039481575792</v>
      </c>
      <c r="AI6175">
        <v>94.145102781895204</v>
      </c>
      <c r="AJ6175">
        <v>92.430318892571194</v>
      </c>
      <c r="AK6175">
        <v>15.357899296465501</v>
      </c>
      <c r="AL6175">
        <v>78.149004042903201</v>
      </c>
      <c r="AM6175">
        <v>89.945256243407599</v>
      </c>
      <c r="AN6175">
        <v>0.99999995588750301</v>
      </c>
    </row>
    <row r="6176" spans="1:40" x14ac:dyDescent="0.25">
      <c r="A6176" t="str">
        <f>"20190312172828385"</f>
        <v>20190312172828385</v>
      </c>
      <c r="B6176" t="str">
        <f>"1552382908375944"</f>
        <v>1552382908375944</v>
      </c>
      <c r="C6176" t="s">
        <v>40</v>
      </c>
      <c r="D6176">
        <v>3.3818280000000001</v>
      </c>
      <c r="E6176">
        <v>0.48893389999999998</v>
      </c>
      <c r="F6176" t="s">
        <v>41</v>
      </c>
      <c r="G6176">
        <v>-187.45920000000001</v>
      </c>
      <c r="H6176" s="1">
        <v>-4.0554460000000002E-6</v>
      </c>
      <c r="I6176">
        <v>8.0355670000000003</v>
      </c>
      <c r="J6176">
        <v>-186.88329999999999</v>
      </c>
      <c r="K6176">
        <v>1.110101</v>
      </c>
      <c r="L6176">
        <v>-7.5016479999999897</v>
      </c>
      <c r="M6176">
        <v>5.0140159999999996E-3</v>
      </c>
      <c r="N6176">
        <v>0</v>
      </c>
      <c r="O6176">
        <v>0.99993679999999996</v>
      </c>
      <c r="P6176">
        <v>6.7840590000000003E-3</v>
      </c>
      <c r="Q6176">
        <v>0.19544230000000001</v>
      </c>
      <c r="R6176">
        <v>0.98069170000000006</v>
      </c>
      <c r="S6176">
        <v>-0.1130676</v>
      </c>
      <c r="T6176">
        <v>-0.21819250000000001</v>
      </c>
      <c r="U6176">
        <v>3.1033330000000001</v>
      </c>
      <c r="V6176">
        <v>1.669551E-3</v>
      </c>
      <c r="W6176">
        <v>0.20530799999999999</v>
      </c>
      <c r="X6176">
        <v>0.97869600000000001</v>
      </c>
      <c r="Y6176">
        <v>-4.1331069999999998E-2</v>
      </c>
      <c r="Z6176">
        <v>-7.008151E-2</v>
      </c>
      <c r="AA6176">
        <v>0.99668469999999998</v>
      </c>
      <c r="AB6176">
        <v>24</v>
      </c>
      <c r="AC6176">
        <v>-0.57590000000001795</v>
      </c>
      <c r="AD6176">
        <v>-1.1101050554459999</v>
      </c>
      <c r="AE6176">
        <v>15.537215</v>
      </c>
      <c r="AF6176">
        <v>-0.65048448816962601</v>
      </c>
      <c r="AG6176">
        <v>-1.1101050554459999</v>
      </c>
      <c r="AH6176">
        <v>15.4553432062122</v>
      </c>
      <c r="AI6176">
        <v>94.104685368094096</v>
      </c>
      <c r="AJ6176">
        <v>92.410042402479405</v>
      </c>
      <c r="AK6176">
        <v>15.5088070761515</v>
      </c>
      <c r="AL6176">
        <v>78.152470470921898</v>
      </c>
      <c r="AM6176">
        <v>89.902259605443106</v>
      </c>
      <c r="AN6176">
        <v>1.0000000113402701</v>
      </c>
    </row>
    <row r="6177" spans="1:40" x14ac:dyDescent="0.25">
      <c r="A6177" t="str">
        <f>"20190312172828410"</f>
        <v>20190312172828410</v>
      </c>
      <c r="B6177" t="str">
        <f>"1552382908406199"</f>
        <v>1552382908406199</v>
      </c>
      <c r="C6177" t="s">
        <v>40</v>
      </c>
      <c r="D6177">
        <v>3.3415949999999999</v>
      </c>
      <c r="E6177">
        <v>0.48894500000000002</v>
      </c>
      <c r="F6177" t="s">
        <v>41</v>
      </c>
      <c r="G6177">
        <v>-187.4624</v>
      </c>
      <c r="H6177" s="1">
        <v>-4.1932949999999998E-6</v>
      </c>
      <c r="I6177">
        <v>8.3582199999999993</v>
      </c>
      <c r="J6177">
        <v>-186.8828</v>
      </c>
      <c r="K6177">
        <v>1.110088</v>
      </c>
      <c r="L6177">
        <v>-7.2522580000000003</v>
      </c>
      <c r="M6177">
        <v>4.3346679999999999E-3</v>
      </c>
      <c r="N6177">
        <v>0</v>
      </c>
      <c r="O6177">
        <v>0.99994050000000001</v>
      </c>
      <c r="P6177">
        <v>6.4171150000000001E-3</v>
      </c>
      <c r="Q6177">
        <v>0.19442480000000001</v>
      </c>
      <c r="R6177">
        <v>0.9808964</v>
      </c>
      <c r="S6177">
        <v>-0.1133118</v>
      </c>
      <c r="T6177">
        <v>-0.2172036</v>
      </c>
      <c r="U6177">
        <v>3.1031490000000002</v>
      </c>
      <c r="V6177">
        <v>1.96773E-3</v>
      </c>
      <c r="W6177">
        <v>0.20424049999999999</v>
      </c>
      <c r="X6177">
        <v>0.97891870000000003</v>
      </c>
      <c r="Y6177">
        <v>-4.0733499999999999E-2</v>
      </c>
      <c r="Z6177">
        <v>-6.9770650000000003E-2</v>
      </c>
      <c r="AA6177">
        <v>0.99673109999999998</v>
      </c>
      <c r="AB6177">
        <v>24</v>
      </c>
      <c r="AC6177">
        <v>-0.579599999999999</v>
      </c>
      <c r="AD6177">
        <v>-1.1100921932950001</v>
      </c>
      <c r="AE6177">
        <v>15.610478000000001</v>
      </c>
      <c r="AF6177">
        <v>-0.64401195367354502</v>
      </c>
      <c r="AG6177">
        <v>-1.1100921932950001</v>
      </c>
      <c r="AH6177">
        <v>15.529396096614899</v>
      </c>
      <c r="AI6177">
        <v>94.0852360265893</v>
      </c>
      <c r="AJ6177">
        <v>92.374724385447095</v>
      </c>
      <c r="AK6177">
        <v>15.582336127796999</v>
      </c>
      <c r="AL6177">
        <v>78.214956991898504</v>
      </c>
      <c r="AM6177">
        <v>89.884829585567005</v>
      </c>
      <c r="AN6177">
        <v>0.99999993750564398</v>
      </c>
    </row>
    <row r="6178" spans="1:40" x14ac:dyDescent="0.25">
      <c r="A6178" t="str">
        <f>"20190312172828430"</f>
        <v>20190312172828430</v>
      </c>
      <c r="B6178" t="str">
        <f>"1552382908425720"</f>
        <v>1552382908425720</v>
      </c>
      <c r="C6178" t="s">
        <v>40</v>
      </c>
      <c r="D6178">
        <v>3.1442459999999999</v>
      </c>
      <c r="E6178">
        <v>0.48896010000000001</v>
      </c>
      <c r="F6178" t="s">
        <v>41</v>
      </c>
      <c r="G6178">
        <v>-187.46019999999999</v>
      </c>
      <c r="H6178" s="1">
        <v>-4.2356109999999998E-6</v>
      </c>
      <c r="I6178">
        <v>8.4559390000000008</v>
      </c>
      <c r="J6178">
        <v>-186.88249999999999</v>
      </c>
      <c r="K6178">
        <v>1.110077</v>
      </c>
      <c r="L6178">
        <v>-7.0174560000000001</v>
      </c>
      <c r="M6178">
        <v>3.696136E-3</v>
      </c>
      <c r="N6178">
        <v>0</v>
      </c>
      <c r="O6178">
        <v>0.99994349999999999</v>
      </c>
      <c r="P6178">
        <v>6.0863489999999996E-3</v>
      </c>
      <c r="Q6178">
        <v>0.19386990000000001</v>
      </c>
      <c r="R6178">
        <v>0.9810084</v>
      </c>
      <c r="S6178">
        <v>-0.1140442</v>
      </c>
      <c r="T6178">
        <v>-0.21926180000000001</v>
      </c>
      <c r="U6178">
        <v>3.1026310000000001</v>
      </c>
      <c r="V6178">
        <v>2.2625309999999999E-3</v>
      </c>
      <c r="W6178">
        <v>0.20364109999999999</v>
      </c>
      <c r="X6178">
        <v>0.979043</v>
      </c>
      <c r="Y6178">
        <v>-4.0334780000000001E-2</v>
      </c>
      <c r="Z6178">
        <v>-7.0440749999999996E-2</v>
      </c>
      <c r="AA6178">
        <v>0.99670020000000004</v>
      </c>
      <c r="AB6178">
        <v>24</v>
      </c>
      <c r="AC6178">
        <v>-0.577699999999992</v>
      </c>
      <c r="AD6178">
        <v>-1.1100812356109999</v>
      </c>
      <c r="AE6178">
        <v>15.473395</v>
      </c>
      <c r="AF6178">
        <v>-0.63164423771032197</v>
      </c>
      <c r="AG6178">
        <v>-1.1100812356109999</v>
      </c>
      <c r="AH6178">
        <v>15.3920442455918</v>
      </c>
      <c r="AI6178">
        <v>94.121598580198906</v>
      </c>
      <c r="AJ6178">
        <v>92.349931786368202</v>
      </c>
      <c r="AK6178">
        <v>15.4449435366706</v>
      </c>
      <c r="AL6178">
        <v>78.250038180588803</v>
      </c>
      <c r="AM6178">
        <v>89.867591876406706</v>
      </c>
      <c r="AN6178">
        <v>1.00000000625236</v>
      </c>
    </row>
    <row r="6179" spans="1:40" x14ac:dyDescent="0.25">
      <c r="A6179" t="str">
        <f>"20190312172828540"</f>
        <v>20190312172828540</v>
      </c>
      <c r="B6179" t="str">
        <f>"1552382908536008"</f>
        <v>1552382908536008</v>
      </c>
      <c r="C6179" t="s">
        <v>40</v>
      </c>
      <c r="D6179">
        <v>3.1688830000000001</v>
      </c>
      <c r="E6179">
        <v>0.51100509999999999</v>
      </c>
      <c r="F6179" t="s">
        <v>41</v>
      </c>
      <c r="G6179">
        <v>-187.45840000000001</v>
      </c>
      <c r="H6179" s="1">
        <v>-4.2926509999999997E-6</v>
      </c>
      <c r="I6179">
        <v>8.5881609999999995</v>
      </c>
      <c r="J6179">
        <v>-186.88329999999999</v>
      </c>
      <c r="K6179">
        <v>1.110044</v>
      </c>
      <c r="L6179">
        <v>-5.8380739999999998</v>
      </c>
      <c r="M6179">
        <v>4.9769279999999896E-4</v>
      </c>
      <c r="N6179">
        <v>0</v>
      </c>
      <c r="O6179">
        <v>0.99995210000000001</v>
      </c>
      <c r="P6179">
        <v>6.8990479999999996E-3</v>
      </c>
      <c r="Q6179">
        <v>0.19273209999999999</v>
      </c>
      <c r="R6179">
        <v>0.98122719999999997</v>
      </c>
      <c r="S6179">
        <v>-0.1144867</v>
      </c>
      <c r="T6179">
        <v>-0.2206835</v>
      </c>
      <c r="U6179">
        <v>3.1023860000000001</v>
      </c>
      <c r="V6179">
        <v>6.2106419999999997E-3</v>
      </c>
      <c r="W6179">
        <v>0.20231789999999999</v>
      </c>
      <c r="X6179">
        <v>0.97930019999999995</v>
      </c>
      <c r="Y6179">
        <v>-3.7282240000000001E-2</v>
      </c>
      <c r="Z6179">
        <v>-7.0905480000000007E-2</v>
      </c>
      <c r="AA6179">
        <v>0.99678610000000001</v>
      </c>
      <c r="AB6179">
        <v>24</v>
      </c>
      <c r="AC6179">
        <v>-0.57510000000002004</v>
      </c>
      <c r="AD6179">
        <v>-1.110048292651</v>
      </c>
      <c r="AE6179">
        <v>14.426234999999901</v>
      </c>
      <c r="AF6179">
        <v>-0.578858260047733</v>
      </c>
      <c r="AG6179">
        <v>-1.110048292651</v>
      </c>
      <c r="AH6179">
        <v>14.341171015700599</v>
      </c>
      <c r="AI6179">
        <v>94.422447971489206</v>
      </c>
      <c r="AJ6179">
        <v>92.311397118795995</v>
      </c>
      <c r="AK6179">
        <v>14.3957101318002</v>
      </c>
      <c r="AL6179">
        <v>78.327463576545099</v>
      </c>
      <c r="AM6179">
        <v>89.636639710566797</v>
      </c>
      <c r="AN6179">
        <v>0.99999999322725097</v>
      </c>
    </row>
    <row r="6180" spans="1:40" x14ac:dyDescent="0.25">
      <c r="A6180" t="str">
        <f>"20190312172828562"</f>
        <v>20190312172828562</v>
      </c>
      <c r="B6180" t="str">
        <f>"1552382908555529"</f>
        <v>1552382908555529</v>
      </c>
      <c r="C6180" t="s">
        <v>40</v>
      </c>
      <c r="D6180">
        <v>3.402336</v>
      </c>
      <c r="E6180">
        <v>0.51887539999999999</v>
      </c>
      <c r="F6180" t="s">
        <v>44</v>
      </c>
      <c r="G6180">
        <v>-186.8742</v>
      </c>
      <c r="H6180">
        <v>0.94780469999999895</v>
      </c>
      <c r="I6180">
        <v>-5.0756050000000004</v>
      </c>
      <c r="J6180">
        <v>-186.88390000000001</v>
      </c>
      <c r="K6180">
        <v>1.1100369999999999</v>
      </c>
      <c r="L6180">
        <v>-5.6066890000000003</v>
      </c>
      <c r="M6180">
        <v>-1.2988209999999901E-4</v>
      </c>
      <c r="N6180">
        <v>0</v>
      </c>
      <c r="O6180">
        <v>0.99995259999999997</v>
      </c>
      <c r="P6180">
        <v>7.3798279999999997E-3</v>
      </c>
      <c r="Q6180">
        <v>0.1922999</v>
      </c>
      <c r="R6180">
        <v>0.98130850000000003</v>
      </c>
      <c r="S6180">
        <v>3.7109379999999997E-2</v>
      </c>
      <c r="T6180">
        <v>-0.67890309999999998</v>
      </c>
      <c r="U6180">
        <v>3.1904910000000002</v>
      </c>
      <c r="V6180">
        <v>7.3069629999999997E-3</v>
      </c>
      <c r="W6180">
        <v>0.20185700000000001</v>
      </c>
      <c r="X6180">
        <v>0.97938780000000003</v>
      </c>
      <c r="Y6180">
        <v>1.1505680000000001E-2</v>
      </c>
      <c r="Z6180">
        <v>-0.2081161</v>
      </c>
      <c r="AA6180">
        <v>0.97803649999999998</v>
      </c>
      <c r="AB6180">
        <v>24</v>
      </c>
      <c r="AC6180">
        <v>9.7000000000093695E-3</v>
      </c>
      <c r="AD6180">
        <v>-0.1622323</v>
      </c>
      <c r="AE6180">
        <v>0.531083999999999</v>
      </c>
      <c r="AF6180">
        <v>8.93545390089278E-3</v>
      </c>
      <c r="AG6180">
        <v>-0.1622323</v>
      </c>
      <c r="AH6180">
        <v>0.48576868583278299</v>
      </c>
      <c r="AI6180">
        <v>108.464875326878</v>
      </c>
      <c r="AJ6180">
        <v>88.946193772564101</v>
      </c>
      <c r="AK6180">
        <v>0.51222102420284799</v>
      </c>
      <c r="AL6180">
        <v>78.354428224001296</v>
      </c>
      <c r="AM6180">
        <v>89.572538709044693</v>
      </c>
      <c r="AN6180">
        <v>1.00000005147306</v>
      </c>
    </row>
    <row r="6181" spans="1:40" x14ac:dyDescent="0.25">
      <c r="A6181" t="str">
        <f>"20190312172828585"</f>
        <v>20190312172828585</v>
      </c>
      <c r="B6181" t="str">
        <f>"1552382908576024"</f>
        <v>1552382908576024</v>
      </c>
      <c r="C6181" t="s">
        <v>40</v>
      </c>
      <c r="D6181">
        <v>3.4043779999999999</v>
      </c>
      <c r="E6181">
        <v>0.52134259999999999</v>
      </c>
      <c r="F6181" t="s">
        <v>44</v>
      </c>
      <c r="G6181">
        <v>-186.858</v>
      </c>
      <c r="H6181">
        <v>0.97199420000000003</v>
      </c>
      <c r="I6181">
        <v>-4.848516</v>
      </c>
      <c r="J6181">
        <v>-186.88470000000001</v>
      </c>
      <c r="K6181">
        <v>1.110033</v>
      </c>
      <c r="L6181">
        <v>-5.3596500000000002</v>
      </c>
      <c r="M6181">
        <v>-8.0016669999999996E-4</v>
      </c>
      <c r="N6181">
        <v>0</v>
      </c>
      <c r="O6181">
        <v>0.99995259999999997</v>
      </c>
      <c r="P6181">
        <v>7.5825839999999999E-3</v>
      </c>
      <c r="Q6181">
        <v>0.19181590000000001</v>
      </c>
      <c r="R6181">
        <v>0.98140159999999999</v>
      </c>
      <c r="S6181">
        <v>0.10812380000000001</v>
      </c>
      <c r="T6181">
        <v>-0.57706759999999901</v>
      </c>
      <c r="U6181">
        <v>3.169403</v>
      </c>
      <c r="V6181">
        <v>8.1671469999999996E-3</v>
      </c>
      <c r="W6181">
        <v>0.2013404</v>
      </c>
      <c r="X6181">
        <v>0.97948729999999995</v>
      </c>
      <c r="Y6181">
        <v>3.4343930000000002E-2</v>
      </c>
      <c r="Z6181">
        <v>-0.1790262</v>
      </c>
      <c r="AA6181">
        <v>0.98324469999999997</v>
      </c>
      <c r="AB6181">
        <v>24</v>
      </c>
      <c r="AC6181">
        <v>2.6700000000005199E-2</v>
      </c>
      <c r="AD6181">
        <v>-0.13803879999999999</v>
      </c>
      <c r="AE6181">
        <v>0.51113399999999998</v>
      </c>
      <c r="AF6181">
        <v>2.5270899172395E-2</v>
      </c>
      <c r="AG6181">
        <v>-0.13803879999999999</v>
      </c>
      <c r="AH6181">
        <v>0.47645690487121201</v>
      </c>
      <c r="AI6181">
        <v>106.13582924397799</v>
      </c>
      <c r="AJ6181">
        <v>86.963921813983305</v>
      </c>
      <c r="AK6181">
        <v>0.496693578426253</v>
      </c>
      <c r="AL6181">
        <v>78.384647251637404</v>
      </c>
      <c r="AM6181">
        <v>89.522268221770801</v>
      </c>
      <c r="AN6181">
        <v>1.00000001491178</v>
      </c>
    </row>
    <row r="6182" spans="1:40" x14ac:dyDescent="0.25">
      <c r="A6182" t="str">
        <f>"20190312172828609"</f>
        <v>20190312172828609</v>
      </c>
      <c r="B6182" t="str">
        <f>"1552382908606281"</f>
        <v>1552382908606281</v>
      </c>
      <c r="C6182" t="s">
        <v>40</v>
      </c>
      <c r="D6182">
        <v>3.3670930000000001</v>
      </c>
      <c r="E6182">
        <v>0.52311160000000001</v>
      </c>
      <c r="F6182" t="s">
        <v>44</v>
      </c>
      <c r="G6182">
        <v>-186.8527</v>
      </c>
      <c r="H6182">
        <v>1.002645</v>
      </c>
      <c r="I6182">
        <v>-4.6172680000000001</v>
      </c>
      <c r="J6182">
        <v>-186.88570000000001</v>
      </c>
      <c r="K6182">
        <v>1.1100139999999901</v>
      </c>
      <c r="L6182">
        <v>-5.1009219999999997</v>
      </c>
      <c r="M6182">
        <v>-1.5027969999999999E-3</v>
      </c>
      <c r="N6182">
        <v>0</v>
      </c>
      <c r="O6182">
        <v>0.99995210000000001</v>
      </c>
      <c r="P6182">
        <v>8.1099610000000006E-3</v>
      </c>
      <c r="Q6182">
        <v>0.19106999999999999</v>
      </c>
      <c r="R6182">
        <v>0.9815429</v>
      </c>
      <c r="S6182">
        <v>0.13476560000000001</v>
      </c>
      <c r="T6182">
        <v>-0.45491090000000001</v>
      </c>
      <c r="U6182">
        <v>3.144714</v>
      </c>
      <c r="V6182">
        <v>9.384168E-3</v>
      </c>
      <c r="W6182">
        <v>0.2005576</v>
      </c>
      <c r="X6182">
        <v>0.97963699999999998</v>
      </c>
      <c r="Y6182">
        <v>4.3876539999999999E-2</v>
      </c>
      <c r="Z6182">
        <v>-0.1430352</v>
      </c>
      <c r="AA6182">
        <v>0.98874459999999997</v>
      </c>
      <c r="AB6182">
        <v>24</v>
      </c>
      <c r="AC6182">
        <v>3.3000000000015399E-2</v>
      </c>
      <c r="AD6182">
        <v>-0.10736899999999901</v>
      </c>
      <c r="AE6182">
        <v>0.48365399999999897</v>
      </c>
      <c r="AF6182">
        <v>3.2149767808166703E-2</v>
      </c>
      <c r="AG6182">
        <v>-0.10736899999999901</v>
      </c>
      <c r="AH6182">
        <v>0.460990598558497</v>
      </c>
      <c r="AI6182">
        <v>103.080304724141</v>
      </c>
      <c r="AJ6182">
        <v>86.0106165303864</v>
      </c>
      <c r="AK6182">
        <v>0.47441968940005003</v>
      </c>
      <c r="AL6182">
        <v>78.430432533998797</v>
      </c>
      <c r="AM6182">
        <v>89.451167345025894</v>
      </c>
      <c r="AN6182">
        <v>1.0000000326478999</v>
      </c>
    </row>
    <row r="6183" spans="1:40" x14ac:dyDescent="0.25">
      <c r="A6183" t="str">
        <f>"20190312172828632"</f>
        <v>20190312172828632</v>
      </c>
      <c r="B6183" t="str">
        <f>"1552382908625800"</f>
        <v>1552382908625800</v>
      </c>
      <c r="C6183" t="s">
        <v>40</v>
      </c>
      <c r="D6183">
        <v>3.321348</v>
      </c>
      <c r="E6183">
        <v>0.52390809999999999</v>
      </c>
      <c r="F6183" t="s">
        <v>44</v>
      </c>
      <c r="G6183">
        <v>-186.83969999999999</v>
      </c>
      <c r="H6183">
        <v>1.005817</v>
      </c>
      <c r="I6183">
        <v>-4.1816519999999997</v>
      </c>
      <c r="J6183">
        <v>-186.88679999999999</v>
      </c>
      <c r="K6183">
        <v>1.1100019999999999</v>
      </c>
      <c r="L6183">
        <v>-4.848541</v>
      </c>
      <c r="M6183">
        <v>-2.1881050000000001E-3</v>
      </c>
      <c r="N6183">
        <v>0</v>
      </c>
      <c r="O6183">
        <v>0.99995140000000005</v>
      </c>
      <c r="P6183">
        <v>8.3821829999999996E-3</v>
      </c>
      <c r="Q6183">
        <v>0.1902102</v>
      </c>
      <c r="R6183">
        <v>0.98170760000000001</v>
      </c>
      <c r="S6183">
        <v>0.15580749999999999</v>
      </c>
      <c r="T6183">
        <v>-0.3541145</v>
      </c>
      <c r="U6183">
        <v>3.1240540000000001</v>
      </c>
      <c r="V6183">
        <v>1.0329369999999999E-2</v>
      </c>
      <c r="W6183">
        <v>0.19965540000000001</v>
      </c>
      <c r="X6183">
        <v>0.97981169999999995</v>
      </c>
      <c r="Y6183">
        <v>5.1680820000000002E-2</v>
      </c>
      <c r="Z6183">
        <v>-0.112485</v>
      </c>
      <c r="AA6183">
        <v>0.99230850000000004</v>
      </c>
      <c r="AB6183">
        <v>24</v>
      </c>
      <c r="AC6183">
        <v>4.7100000000000301E-2</v>
      </c>
      <c r="AD6183">
        <v>-0.104184999999999</v>
      </c>
      <c r="AE6183">
        <v>0.66688899999999995</v>
      </c>
      <c r="AF6183">
        <v>4.7407866491240999E-2</v>
      </c>
      <c r="AG6183">
        <v>-0.104184999999999</v>
      </c>
      <c r="AH6183">
        <v>0.65097524989158495</v>
      </c>
      <c r="AI6183">
        <v>99.069145108369796</v>
      </c>
      <c r="AJ6183">
        <v>85.834735847955201</v>
      </c>
      <c r="AK6183">
        <v>0.66096202311605001</v>
      </c>
      <c r="AL6183">
        <v>78.483191170102899</v>
      </c>
      <c r="AM6183">
        <v>89.395998861219795</v>
      </c>
      <c r="AN6183">
        <v>0.99999997104532201</v>
      </c>
    </row>
    <row r="6184" spans="1:40" x14ac:dyDescent="0.25">
      <c r="A6184" t="str">
        <f>"20190312172828653"</f>
        <v>20190312172828653</v>
      </c>
      <c r="B6184" t="str">
        <f>"1552382908645320"</f>
        <v>1552382908645320</v>
      </c>
      <c r="C6184" t="s">
        <v>40</v>
      </c>
      <c r="D6184">
        <v>3.3010160000000002</v>
      </c>
      <c r="E6184">
        <v>0.52370909999999904</v>
      </c>
      <c r="F6184" t="s">
        <v>44</v>
      </c>
      <c r="G6184">
        <v>-186.83940000000001</v>
      </c>
      <c r="H6184">
        <v>1.0196080000000001</v>
      </c>
      <c r="I6184">
        <v>-3.957185</v>
      </c>
      <c r="J6184">
        <v>-186.88800000000001</v>
      </c>
      <c r="K6184">
        <v>1.109985</v>
      </c>
      <c r="L6184">
        <v>-4.6221620000000003</v>
      </c>
      <c r="M6184">
        <v>-2.8032220000000002E-3</v>
      </c>
      <c r="N6184">
        <v>0</v>
      </c>
      <c r="O6184">
        <v>0.99995020000000001</v>
      </c>
      <c r="P6184">
        <v>8.5245230000000009E-3</v>
      </c>
      <c r="Q6184">
        <v>0.1894458</v>
      </c>
      <c r="R6184">
        <v>0.98185420000000001</v>
      </c>
      <c r="S6184">
        <v>0.16531370000000001</v>
      </c>
      <c r="T6184">
        <v>-0.3159882</v>
      </c>
      <c r="U6184">
        <v>3.115723</v>
      </c>
      <c r="V6184">
        <v>1.107606E-2</v>
      </c>
      <c r="W6184">
        <v>0.19885120000000001</v>
      </c>
      <c r="X6184">
        <v>0.97996709999999998</v>
      </c>
      <c r="Y6184">
        <v>5.5512970000000002E-2</v>
      </c>
      <c r="Z6184">
        <v>-0.1007512</v>
      </c>
      <c r="AA6184">
        <v>0.99336170000000001</v>
      </c>
      <c r="AB6184">
        <v>24</v>
      </c>
      <c r="AC6184">
        <v>4.8599999999993301E-2</v>
      </c>
      <c r="AD6184">
        <v>-9.0376999999999902E-2</v>
      </c>
      <c r="AE6184">
        <v>0.66497700000000004</v>
      </c>
      <c r="AF6184">
        <v>4.9553507387637197E-2</v>
      </c>
      <c r="AG6184">
        <v>-9.0376999999999902E-2</v>
      </c>
      <c r="AH6184">
        <v>0.65284320930477602</v>
      </c>
      <c r="AI6184">
        <v>97.859378957598295</v>
      </c>
      <c r="AJ6184">
        <v>85.659336077630797</v>
      </c>
      <c r="AK6184">
        <v>0.66092950316866395</v>
      </c>
      <c r="AL6184">
        <v>78.530211598173906</v>
      </c>
      <c r="AM6184">
        <v>89.352443086446797</v>
      </c>
      <c r="AN6184">
        <v>0.99999999796448602</v>
      </c>
    </row>
    <row r="6185" spans="1:40" x14ac:dyDescent="0.25">
      <c r="A6185" t="str">
        <f>"20190312172828674"</f>
        <v>20190312172828674</v>
      </c>
      <c r="B6185" t="str">
        <f>"1552382908665817"</f>
        <v>1552382908665817</v>
      </c>
      <c r="C6185" t="s">
        <v>40</v>
      </c>
      <c r="D6185">
        <v>3.3018559999999999</v>
      </c>
      <c r="E6185">
        <v>0.52379350000000002</v>
      </c>
      <c r="F6185" t="s">
        <v>44</v>
      </c>
      <c r="G6185">
        <v>-186.8407</v>
      </c>
      <c r="H6185">
        <v>1.0263850000000001</v>
      </c>
      <c r="I6185">
        <v>-3.7357179999999999</v>
      </c>
      <c r="J6185">
        <v>-186.88929999999999</v>
      </c>
      <c r="K6185">
        <v>1.109982</v>
      </c>
      <c r="L6185">
        <v>-4.387543</v>
      </c>
      <c r="M6185">
        <v>-3.4406129999999999E-3</v>
      </c>
      <c r="N6185">
        <v>0</v>
      </c>
      <c r="O6185">
        <v>0.99994870000000002</v>
      </c>
      <c r="P6185">
        <v>8.5621139999999991E-3</v>
      </c>
      <c r="Q6185">
        <v>0.1892691</v>
      </c>
      <c r="R6185">
        <v>0.98188790000000004</v>
      </c>
      <c r="S6185">
        <v>0.1652679</v>
      </c>
      <c r="T6185">
        <v>-0.29338930000000002</v>
      </c>
      <c r="U6185">
        <v>3.1106259999999999</v>
      </c>
      <c r="V6185">
        <v>1.1739009999999999E-2</v>
      </c>
      <c r="W6185">
        <v>0.1986279</v>
      </c>
      <c r="X6185">
        <v>0.98000469999999895</v>
      </c>
      <c r="Y6185">
        <v>5.625716E-2</v>
      </c>
      <c r="Z6185">
        <v>-9.3760919999999998E-2</v>
      </c>
      <c r="AA6185">
        <v>0.994004</v>
      </c>
      <c r="AB6185">
        <v>24</v>
      </c>
      <c r="AC6185">
        <v>4.8599999999993301E-2</v>
      </c>
      <c r="AD6185">
        <v>-8.3596999999999894E-2</v>
      </c>
      <c r="AE6185">
        <v>0.65182499999999999</v>
      </c>
      <c r="AF6185">
        <v>5.0024230123881998E-2</v>
      </c>
      <c r="AG6185">
        <v>-8.3596999999999894E-2</v>
      </c>
      <c r="AH6185">
        <v>0.64116617022311595</v>
      </c>
      <c r="AI6185">
        <v>97.406219359095005</v>
      </c>
      <c r="AJ6185">
        <v>85.538780975976394</v>
      </c>
      <c r="AK6185">
        <v>0.64852520370997502</v>
      </c>
      <c r="AL6185">
        <v>78.543266520014697</v>
      </c>
      <c r="AM6185">
        <v>89.313713942097394</v>
      </c>
      <c r="AN6185">
        <v>1.0000000295181299</v>
      </c>
    </row>
    <row r="6186" spans="1:40" x14ac:dyDescent="0.25">
      <c r="A6186" t="str">
        <f>"20190312172828697"</f>
        <v>20190312172828697</v>
      </c>
      <c r="B6186" t="str">
        <f>"1552382908685336"</f>
        <v>1552382908685336</v>
      </c>
      <c r="C6186" t="s">
        <v>40</v>
      </c>
      <c r="D6186">
        <v>3.299795</v>
      </c>
      <c r="E6186">
        <v>0.52391670000000001</v>
      </c>
      <c r="F6186" t="s">
        <v>44</v>
      </c>
      <c r="G6186">
        <v>-186.84209999999999</v>
      </c>
      <c r="H6186">
        <v>1.0327729999999999</v>
      </c>
      <c r="I6186">
        <v>-3.5139870000000002</v>
      </c>
      <c r="J6186">
        <v>-186.89099999999999</v>
      </c>
      <c r="K6186">
        <v>1.109972</v>
      </c>
      <c r="L6186">
        <v>-4.1368099999999997</v>
      </c>
      <c r="M6186">
        <v>-4.1222689999999996E-3</v>
      </c>
      <c r="N6186">
        <v>0</v>
      </c>
      <c r="O6186">
        <v>0.99994669999999997</v>
      </c>
      <c r="P6186">
        <v>8.6550340000000007E-3</v>
      </c>
      <c r="Q6186">
        <v>0.1893802</v>
      </c>
      <c r="R6186">
        <v>0.98186569999999995</v>
      </c>
      <c r="S6186">
        <v>0.1674957</v>
      </c>
      <c r="T6186">
        <v>-0.27460309999999999</v>
      </c>
      <c r="U6186">
        <v>3.1068120000000001</v>
      </c>
      <c r="V6186">
        <v>1.2500290000000001E-2</v>
      </c>
      <c r="W6186">
        <v>0.19867409999999999</v>
      </c>
      <c r="X6186">
        <v>0.97998589999999997</v>
      </c>
      <c r="Y6186">
        <v>5.7741849999999997E-2</v>
      </c>
      <c r="Z6186">
        <v>-8.7906289999999998E-2</v>
      </c>
      <c r="AA6186">
        <v>0.99445380000000005</v>
      </c>
      <c r="AB6186">
        <v>24</v>
      </c>
      <c r="AC6186">
        <v>4.8900000000003198E-2</v>
      </c>
      <c r="AD6186">
        <v>-7.7199000000000004E-2</v>
      </c>
      <c r="AE6186">
        <v>0.62282299999999902</v>
      </c>
      <c r="AF6186">
        <v>5.0693084836609302E-2</v>
      </c>
      <c r="AG6186">
        <v>-7.7199000000000004E-2</v>
      </c>
      <c r="AH6186">
        <v>0.61325206050975301</v>
      </c>
      <c r="AI6186">
        <v>97.150780144018995</v>
      </c>
      <c r="AJ6186">
        <v>85.274518610472697</v>
      </c>
      <c r="AK6186">
        <v>0.62016736786992399</v>
      </c>
      <c r="AL6186">
        <v>78.540565397243398</v>
      </c>
      <c r="AM6186">
        <v>89.269198649025199</v>
      </c>
      <c r="AN6186">
        <v>1.00000000972985</v>
      </c>
    </row>
    <row r="6187" spans="1:40" x14ac:dyDescent="0.25">
      <c r="A6187" t="str">
        <f>"20190312172828718"</f>
        <v>20190312172828718</v>
      </c>
      <c r="B6187" t="str">
        <f>"1552382908715592"</f>
        <v>1552382908715592</v>
      </c>
      <c r="C6187" t="s">
        <v>40</v>
      </c>
      <c r="D6187">
        <v>3.2780870000000002</v>
      </c>
      <c r="E6187">
        <v>0.52421119999999999</v>
      </c>
      <c r="F6187" t="s">
        <v>44</v>
      </c>
      <c r="G6187">
        <v>-186.84469999999999</v>
      </c>
      <c r="H6187">
        <v>1.0396080000000001</v>
      </c>
      <c r="I6187">
        <v>-3.2915390000000002</v>
      </c>
      <c r="J6187">
        <v>-186.89269999999999</v>
      </c>
      <c r="K6187">
        <v>1.109952</v>
      </c>
      <c r="L6187">
        <v>-3.8989560000000001</v>
      </c>
      <c r="M6187">
        <v>-4.7688940000000001E-3</v>
      </c>
      <c r="N6187">
        <v>0</v>
      </c>
      <c r="O6187">
        <v>0.99994459999999996</v>
      </c>
      <c r="P6187">
        <v>8.9429330000000001E-3</v>
      </c>
      <c r="Q6187">
        <v>0.1899826</v>
      </c>
      <c r="R6187">
        <v>0.98174669999999997</v>
      </c>
      <c r="S6187">
        <v>0.16950989999999999</v>
      </c>
      <c r="T6187">
        <v>-0.25838139999999998</v>
      </c>
      <c r="U6187">
        <v>3.1037599999999999</v>
      </c>
      <c r="V6187">
        <v>1.342114E-2</v>
      </c>
      <c r="W6187">
        <v>0.1991975</v>
      </c>
      <c r="X6187">
        <v>0.9798675</v>
      </c>
      <c r="Y6187">
        <v>5.9107100000000003E-2</v>
      </c>
      <c r="Z6187">
        <v>-8.2825640000000006E-2</v>
      </c>
      <c r="AA6187">
        <v>0.99480970000000002</v>
      </c>
      <c r="AB6187">
        <v>24</v>
      </c>
      <c r="AC6187">
        <v>4.8000000000001798E-2</v>
      </c>
      <c r="AD6187">
        <v>-7.0343999999999907E-2</v>
      </c>
      <c r="AE6187">
        <v>0.60741699999999899</v>
      </c>
      <c r="AF6187">
        <v>5.0226847558589999E-2</v>
      </c>
      <c r="AG6187">
        <v>-7.0343999999999907E-2</v>
      </c>
      <c r="AH6187">
        <v>0.599194891320042</v>
      </c>
      <c r="AI6187">
        <v>96.672545617889895</v>
      </c>
      <c r="AJ6187">
        <v>85.208446372752704</v>
      </c>
      <c r="AK6187">
        <v>0.60539700390381102</v>
      </c>
      <c r="AL6187">
        <v>78.509965567140497</v>
      </c>
      <c r="AM6187">
        <v>89.215274926591206</v>
      </c>
      <c r="AN6187">
        <v>1.00000004428069</v>
      </c>
    </row>
    <row r="6188" spans="1:40" x14ac:dyDescent="0.25">
      <c r="A6188" t="str">
        <f>"20190312172828741"</f>
        <v>20190312172828741</v>
      </c>
      <c r="B6188" t="str">
        <f>"1552382908735997"</f>
        <v>1552382908735997</v>
      </c>
      <c r="C6188" t="s">
        <v>40</v>
      </c>
      <c r="D6188">
        <v>3.2799830000000001</v>
      </c>
      <c r="E6188">
        <v>0.52441070000000001</v>
      </c>
      <c r="F6188" t="s">
        <v>44</v>
      </c>
      <c r="G6188">
        <v>-186.84610000000001</v>
      </c>
      <c r="H6188">
        <v>1.0460240000000001</v>
      </c>
      <c r="I6188">
        <v>-3.0687720000000001</v>
      </c>
      <c r="J6188">
        <v>-186.8946</v>
      </c>
      <c r="K6188">
        <v>1.109944</v>
      </c>
      <c r="L6188">
        <v>-3.6466059999999998</v>
      </c>
      <c r="M6188">
        <v>-5.4549819999999997E-3</v>
      </c>
      <c r="N6188">
        <v>0</v>
      </c>
      <c r="O6188">
        <v>0.99994209999999994</v>
      </c>
      <c r="P6188">
        <v>9.1109759999999998E-3</v>
      </c>
      <c r="Q6188">
        <v>0.19045300000000001</v>
      </c>
      <c r="R6188">
        <v>0.98165400000000003</v>
      </c>
      <c r="S6188">
        <v>0.1739655</v>
      </c>
      <c r="T6188">
        <v>-0.2387446</v>
      </c>
      <c r="U6188">
        <v>3.100403</v>
      </c>
      <c r="V6188">
        <v>1.426094E-2</v>
      </c>
      <c r="W6188">
        <v>0.19956760000000001</v>
      </c>
      <c r="X6188">
        <v>0.97978030000000005</v>
      </c>
      <c r="Y6188">
        <v>6.1303499999999997E-2</v>
      </c>
      <c r="Z6188">
        <v>-7.6643249999999996E-2</v>
      </c>
      <c r="AA6188">
        <v>0.99517219999999995</v>
      </c>
      <c r="AB6188">
        <v>25</v>
      </c>
      <c r="AC6188">
        <v>4.8499999999990002E-2</v>
      </c>
      <c r="AD6188">
        <v>-6.3919999999999894E-2</v>
      </c>
      <c r="AE6188">
        <v>0.57783399999999896</v>
      </c>
      <c r="AF6188">
        <v>5.10313962673603E-2</v>
      </c>
      <c r="AG6188">
        <v>-6.3919999999999894E-2</v>
      </c>
      <c r="AH6188">
        <v>0.57062703148918104</v>
      </c>
      <c r="AI6188">
        <v>96.3662668899577</v>
      </c>
      <c r="AJ6188">
        <v>84.889611274145295</v>
      </c>
      <c r="AK6188">
        <v>0.57645917363777899</v>
      </c>
      <c r="AL6188">
        <v>78.4883256161243</v>
      </c>
      <c r="AM6188">
        <v>89.166104911941304</v>
      </c>
      <c r="AN6188">
        <v>1.0000000188237601</v>
      </c>
    </row>
    <row r="6189" spans="1:40" x14ac:dyDescent="0.25">
      <c r="A6189" t="str">
        <f>"20190312172828764"</f>
        <v>20190312172828764</v>
      </c>
      <c r="B6189" t="str">
        <f>"1552382908755518"</f>
        <v>1552382908755518</v>
      </c>
      <c r="C6189" t="s">
        <v>40</v>
      </c>
      <c r="D6189">
        <v>3.2748710000000001</v>
      </c>
      <c r="E6189">
        <v>0.52455469999999904</v>
      </c>
      <c r="F6189" t="s">
        <v>44</v>
      </c>
      <c r="G6189">
        <v>-186.84870000000001</v>
      </c>
      <c r="H6189">
        <v>1.0509919999999999</v>
      </c>
      <c r="I6189">
        <v>-2.8442910000000001</v>
      </c>
      <c r="J6189">
        <v>-186.89670000000001</v>
      </c>
      <c r="K6189">
        <v>1.1099270000000001</v>
      </c>
      <c r="L6189">
        <v>-3.4071959999999999</v>
      </c>
      <c r="M6189">
        <v>-6.1058270000000003E-3</v>
      </c>
      <c r="N6189">
        <v>0</v>
      </c>
      <c r="O6189">
        <v>0.99993929999999998</v>
      </c>
      <c r="P6189">
        <v>9.0362819999999996E-3</v>
      </c>
      <c r="Q6189">
        <v>0.1911072</v>
      </c>
      <c r="R6189">
        <v>0.98152759999999994</v>
      </c>
      <c r="S6189">
        <v>0.17695620000000001</v>
      </c>
      <c r="T6189">
        <v>-0.22769220000000001</v>
      </c>
      <c r="U6189">
        <v>3.0986020000000001</v>
      </c>
      <c r="V6189">
        <v>1.4822979999999999E-2</v>
      </c>
      <c r="W6189">
        <v>0.20011470000000001</v>
      </c>
      <c r="X6189">
        <v>0.97966030000000004</v>
      </c>
      <c r="Y6189">
        <v>6.2957810000000003E-2</v>
      </c>
      <c r="Z6189">
        <v>-7.315062E-2</v>
      </c>
      <c r="AA6189">
        <v>0.99533179999999999</v>
      </c>
      <c r="AB6189">
        <v>25</v>
      </c>
      <c r="AC6189">
        <v>4.8000000000001798E-2</v>
      </c>
      <c r="AD6189">
        <v>-5.8935000000000098E-2</v>
      </c>
      <c r="AE6189">
        <v>0.56290499999999899</v>
      </c>
      <c r="AF6189">
        <v>5.0882519694200302E-2</v>
      </c>
      <c r="AG6189">
        <v>-5.8935000000000098E-2</v>
      </c>
      <c r="AH6189">
        <v>0.556544798266015</v>
      </c>
      <c r="AI6189">
        <v>96.019855923907201</v>
      </c>
      <c r="AJ6189">
        <v>84.776213321555204</v>
      </c>
      <c r="AK6189">
        <v>0.56196483654441398</v>
      </c>
      <c r="AL6189">
        <v>78.456333061331307</v>
      </c>
      <c r="AM6189">
        <v>89.133138915107907</v>
      </c>
      <c r="AN6189">
        <v>0.99999995864412905</v>
      </c>
    </row>
    <row r="6190" spans="1:40" x14ac:dyDescent="0.25">
      <c r="A6190" t="str">
        <f>"20190312172828786"</f>
        <v>20190312172828786</v>
      </c>
      <c r="B6190" t="str">
        <f>"1552382908776014"</f>
        <v>1552382908776014</v>
      </c>
      <c r="C6190" t="s">
        <v>40</v>
      </c>
      <c r="D6190">
        <v>3.2657569999999998</v>
      </c>
      <c r="E6190">
        <v>0.52466089999999999</v>
      </c>
      <c r="F6190" t="s">
        <v>44</v>
      </c>
      <c r="G6190">
        <v>-186.8511</v>
      </c>
      <c r="H6190">
        <v>1.0545850000000001</v>
      </c>
      <c r="I6190">
        <v>-2.6203340000000002</v>
      </c>
      <c r="J6190">
        <v>-186.899</v>
      </c>
      <c r="K6190">
        <v>1.10991</v>
      </c>
      <c r="L6190">
        <v>-3.149689</v>
      </c>
      <c r="M6190">
        <v>-6.8052980000000004E-3</v>
      </c>
      <c r="N6190">
        <v>0</v>
      </c>
      <c r="O6190">
        <v>0.99993589999999999</v>
      </c>
      <c r="P6190">
        <v>8.6181890000000001E-3</v>
      </c>
      <c r="Q6190">
        <v>0.19136710000000001</v>
      </c>
      <c r="R6190">
        <v>0.98148069999999998</v>
      </c>
      <c r="S6190">
        <v>0.17909239999999901</v>
      </c>
      <c r="T6190">
        <v>-0.2178476</v>
      </c>
      <c r="U6190">
        <v>3.097229</v>
      </c>
      <c r="V6190">
        <v>1.508989E-2</v>
      </c>
      <c r="W6190">
        <v>0.2002553</v>
      </c>
      <c r="X6190">
        <v>0.97962749999999998</v>
      </c>
      <c r="Y6190">
        <v>6.4378160000000004E-2</v>
      </c>
      <c r="Z6190">
        <v>-7.0029519999999998E-2</v>
      </c>
      <c r="AA6190">
        <v>0.99546539999999994</v>
      </c>
      <c r="AB6190">
        <v>25</v>
      </c>
      <c r="AC6190">
        <v>4.7899999999998499E-2</v>
      </c>
      <c r="AD6190">
        <v>-5.5324999999999798E-2</v>
      </c>
      <c r="AE6190">
        <v>0.52935499999999902</v>
      </c>
      <c r="AF6190">
        <v>5.09494469749006E-2</v>
      </c>
      <c r="AG6190">
        <v>-5.5324999999999798E-2</v>
      </c>
      <c r="AH6190">
        <v>0.52334657617990898</v>
      </c>
      <c r="AI6190">
        <v>96.006359642407901</v>
      </c>
      <c r="AJ6190">
        <v>84.439596691775904</v>
      </c>
      <c r="AK6190">
        <v>0.52872331192343103</v>
      </c>
      <c r="AL6190">
        <v>78.448110908056094</v>
      </c>
      <c r="AM6190">
        <v>89.117502684743698</v>
      </c>
      <c r="AN6190">
        <v>0.99999996435727501</v>
      </c>
    </row>
    <row r="6191" spans="1:40" x14ac:dyDescent="0.25">
      <c r="A6191" t="str">
        <f>"20190312172828811"</f>
        <v>20190312172828811</v>
      </c>
      <c r="B6191" t="str">
        <f>"1552382908806269"</f>
        <v>1552382908806269</v>
      </c>
      <c r="C6191" t="s">
        <v>40</v>
      </c>
      <c r="D6191">
        <v>3.2814839999999998</v>
      </c>
      <c r="E6191">
        <v>0.52487269999999997</v>
      </c>
      <c r="F6191" t="s">
        <v>41</v>
      </c>
      <c r="G6191">
        <v>-185.95169999999999</v>
      </c>
      <c r="H6191" s="1">
        <v>-2.2822610000000001E-6</v>
      </c>
      <c r="I6191">
        <v>13.18934</v>
      </c>
      <c r="J6191">
        <v>-186.9015</v>
      </c>
      <c r="K6191">
        <v>1.10989</v>
      </c>
      <c r="L6191">
        <v>-2.8927309999999999</v>
      </c>
      <c r="M6191">
        <v>-7.5027649999999998E-3</v>
      </c>
      <c r="N6191">
        <v>0</v>
      </c>
      <c r="O6191">
        <v>0.99993200000000004</v>
      </c>
      <c r="P6191">
        <v>8.1881109999999997E-3</v>
      </c>
      <c r="Q6191">
        <v>0.19150249999999999</v>
      </c>
      <c r="R6191">
        <v>0.98145789999999999</v>
      </c>
      <c r="S6191">
        <v>0.17950439999999901</v>
      </c>
      <c r="T6191">
        <v>-0.21031430000000001</v>
      </c>
      <c r="U6191">
        <v>3.0960390000000002</v>
      </c>
      <c r="V6191">
        <v>1.5342939999999999E-2</v>
      </c>
      <c r="W6191">
        <v>0.20027449999999999</v>
      </c>
      <c r="X6191">
        <v>0.97961969999999998</v>
      </c>
      <c r="Y6191">
        <v>6.5237799999999999E-2</v>
      </c>
      <c r="Z6191">
        <v>-6.7642330000000001E-2</v>
      </c>
      <c r="AA6191">
        <v>0.99557450000000003</v>
      </c>
      <c r="AB6191">
        <v>25</v>
      </c>
      <c r="AC6191">
        <v>0.94980000000000997</v>
      </c>
      <c r="AD6191">
        <v>-1.109892282261</v>
      </c>
      <c r="AE6191">
        <v>16.082070999999999</v>
      </c>
      <c r="AF6191">
        <v>1.0653813332133599</v>
      </c>
      <c r="AG6191">
        <v>-1.109892282261</v>
      </c>
      <c r="AH6191">
        <v>15.998556152222401</v>
      </c>
      <c r="AI6191">
        <v>93.959767063175903</v>
      </c>
      <c r="AJ6191">
        <v>86.190164796308594</v>
      </c>
      <c r="AK6191">
        <v>16.0723581723155</v>
      </c>
      <c r="AL6191">
        <v>78.446988721344894</v>
      </c>
      <c r="AM6191">
        <v>89.102698897102599</v>
      </c>
      <c r="AN6191">
        <v>1.00000001889309</v>
      </c>
    </row>
    <row r="6192" spans="1:40" x14ac:dyDescent="0.25">
      <c r="A6192" t="str">
        <f>"20190312172828853"</f>
        <v>20190312172828853</v>
      </c>
      <c r="B6192" t="str">
        <f>"1552382908845615"</f>
        <v>1552382908845615</v>
      </c>
      <c r="C6192" t="s">
        <v>40</v>
      </c>
      <c r="D6192">
        <v>3.259439</v>
      </c>
      <c r="E6192">
        <v>0.52511770000000002</v>
      </c>
      <c r="F6192" t="s">
        <v>44</v>
      </c>
      <c r="G6192">
        <v>-186.84700000000001</v>
      </c>
      <c r="H6192">
        <v>1.0491159999999999</v>
      </c>
      <c r="I6192">
        <v>-1.959897</v>
      </c>
      <c r="J6192">
        <v>-186.9067</v>
      </c>
      <c r="K6192">
        <v>1.1098629999999901</v>
      </c>
      <c r="L6192">
        <v>-2.4118650000000001</v>
      </c>
      <c r="M6192">
        <v>-8.8070800000000001E-3</v>
      </c>
      <c r="N6192">
        <v>0</v>
      </c>
      <c r="O6192">
        <v>0.99992320000000001</v>
      </c>
      <c r="P6192">
        <v>7.1932360000000004E-3</v>
      </c>
      <c r="Q6192">
        <v>0.19109280000000001</v>
      </c>
      <c r="R6192">
        <v>0.98154560000000002</v>
      </c>
      <c r="S6192">
        <v>0.18022160000000001</v>
      </c>
      <c r="T6192">
        <v>-0.20162430000000001</v>
      </c>
      <c r="U6192">
        <v>3.0945130000000001</v>
      </c>
      <c r="V6192">
        <v>1.5627140000000001E-2</v>
      </c>
      <c r="W6192">
        <v>0.19965920000000001</v>
      </c>
      <c r="X6192">
        <v>0.97974079999999997</v>
      </c>
      <c r="Y6192">
        <v>6.6808259999999994E-2</v>
      </c>
      <c r="Z6192">
        <v>-6.4886379999999994E-2</v>
      </c>
      <c r="AA6192">
        <v>0.99565369999999997</v>
      </c>
      <c r="AB6192">
        <v>25</v>
      </c>
      <c r="AC6192">
        <v>5.9699999999992301E-2</v>
      </c>
      <c r="AD6192">
        <v>-6.0746999999999801E-2</v>
      </c>
      <c r="AE6192">
        <v>0.45196799999999898</v>
      </c>
      <c r="AF6192">
        <v>6.2567464683861401E-2</v>
      </c>
      <c r="AG6192">
        <v>-6.0746999999999801E-2</v>
      </c>
      <c r="AH6192">
        <v>0.443549418198733</v>
      </c>
      <c r="AI6192">
        <v>97.722992948561597</v>
      </c>
      <c r="AJ6192">
        <v>81.970783659111106</v>
      </c>
      <c r="AK6192">
        <v>0.45204089641358902</v>
      </c>
      <c r="AL6192">
        <v>78.482969537081502</v>
      </c>
      <c r="AM6192">
        <v>89.086193768053704</v>
      </c>
      <c r="AN6192">
        <v>1.0000000194169201</v>
      </c>
    </row>
    <row r="6193" spans="1:40" x14ac:dyDescent="0.25">
      <c r="A6193" t="str">
        <f>"20190312172828875"</f>
        <v>20190312172828875</v>
      </c>
      <c r="B6193" t="str">
        <f>"1552382908866111"</f>
        <v>1552382908866111</v>
      </c>
      <c r="C6193" t="s">
        <v>40</v>
      </c>
      <c r="D6193">
        <v>3.299121</v>
      </c>
      <c r="E6193">
        <v>0.52507879999999996</v>
      </c>
      <c r="F6193" t="s">
        <v>44</v>
      </c>
      <c r="G6193">
        <v>-186.85400000000001</v>
      </c>
      <c r="H6193">
        <v>1.0530919999999999</v>
      </c>
      <c r="I6193">
        <v>-1.5094749999999999</v>
      </c>
      <c r="J6193">
        <v>-186.90969999999999</v>
      </c>
      <c r="K6193">
        <v>1.1098539999999999</v>
      </c>
      <c r="L6193">
        <v>-2.1609189999999998</v>
      </c>
      <c r="M6193">
        <v>-9.4873660000000005E-3</v>
      </c>
      <c r="N6193">
        <v>0</v>
      </c>
      <c r="O6193">
        <v>0.99991790000000003</v>
      </c>
      <c r="P6193">
        <v>6.4428280000000003E-3</v>
      </c>
      <c r="Q6193">
        <v>0.1905751</v>
      </c>
      <c r="R6193">
        <v>0.98165150000000001</v>
      </c>
      <c r="S6193">
        <v>0.1800842</v>
      </c>
      <c r="T6193">
        <v>-0.1946089</v>
      </c>
      <c r="U6193">
        <v>3.0929869999999999</v>
      </c>
      <c r="V6193">
        <v>1.5544779999999999E-2</v>
      </c>
      <c r="W6193">
        <v>0.19904140000000001</v>
      </c>
      <c r="X6193">
        <v>0.97986779999999996</v>
      </c>
      <c r="Y6193">
        <v>6.7479750000000005E-2</v>
      </c>
      <c r="Z6193">
        <v>-6.2666559999999996E-2</v>
      </c>
      <c r="AA6193">
        <v>0.99575069999999999</v>
      </c>
      <c r="AB6193">
        <v>25</v>
      </c>
      <c r="AC6193">
        <v>5.5699999999973202E-2</v>
      </c>
      <c r="AD6193">
        <v>-5.6762000000000201E-2</v>
      </c>
      <c r="AE6193">
        <v>0.65144399999999902</v>
      </c>
      <c r="AF6193">
        <v>6.1415323386302803E-2</v>
      </c>
      <c r="AG6193">
        <v>-5.6762000000000201E-2</v>
      </c>
      <c r="AH6193">
        <v>0.64601718974793398</v>
      </c>
      <c r="AI6193">
        <v>94.998947472146298</v>
      </c>
      <c r="AJ6193">
        <v>84.5693472514848</v>
      </c>
      <c r="AK6193">
        <v>0.65140768804218296</v>
      </c>
      <c r="AL6193">
        <v>78.519091824306997</v>
      </c>
      <c r="AM6193">
        <v>89.091126801374401</v>
      </c>
      <c r="AN6193">
        <v>1.0000000122880199</v>
      </c>
    </row>
    <row r="6194" spans="1:40" x14ac:dyDescent="0.25">
      <c r="A6194" t="str">
        <f>"20190312172828897"</f>
        <v>20190312172828897</v>
      </c>
      <c r="B6194" t="str">
        <f>"1552382908885631"</f>
        <v>1552382908885631</v>
      </c>
      <c r="C6194" t="s">
        <v>40</v>
      </c>
      <c r="D6194">
        <v>3.2760220000000002</v>
      </c>
      <c r="E6194">
        <v>0.52507389999999998</v>
      </c>
      <c r="F6194" t="s">
        <v>44</v>
      </c>
      <c r="G6194">
        <v>-186.85890000000001</v>
      </c>
      <c r="H6194">
        <v>1.0552600000000001</v>
      </c>
      <c r="I6194">
        <v>-1.2832059999999901</v>
      </c>
      <c r="J6194">
        <v>-186.9127</v>
      </c>
      <c r="K6194">
        <v>1.1098399999999999</v>
      </c>
      <c r="L6194">
        <v>-1.9178470000000001</v>
      </c>
      <c r="M6194">
        <v>-1.014613E-2</v>
      </c>
      <c r="N6194">
        <v>0</v>
      </c>
      <c r="O6194">
        <v>0.99991229999999998</v>
      </c>
      <c r="P6194">
        <v>5.880723E-3</v>
      </c>
      <c r="Q6194">
        <v>0.19046779999999999</v>
      </c>
      <c r="R6194">
        <v>0.98167590000000005</v>
      </c>
      <c r="S6194">
        <v>0.17837520000000001</v>
      </c>
      <c r="T6194">
        <v>-0.19235530000000001</v>
      </c>
      <c r="U6194">
        <v>3.0922550000000002</v>
      </c>
      <c r="V6194">
        <v>1.562846E-2</v>
      </c>
      <c r="W6194">
        <v>0.1988386</v>
      </c>
      <c r="X6194">
        <v>0.97990759999999999</v>
      </c>
      <c r="Y6194">
        <v>6.7604819999999996E-2</v>
      </c>
      <c r="Z6194">
        <v>-6.195838E-2</v>
      </c>
      <c r="AA6194">
        <v>0.99578650000000002</v>
      </c>
      <c r="AB6194">
        <v>25</v>
      </c>
      <c r="AC6194">
        <v>5.37999999999954E-2</v>
      </c>
      <c r="AD6194">
        <v>-5.4579999999999802E-2</v>
      </c>
      <c r="AE6194">
        <v>0.63464100000000001</v>
      </c>
      <c r="AF6194">
        <v>5.9797493141876497E-2</v>
      </c>
      <c r="AG6194">
        <v>-5.4579999999999802E-2</v>
      </c>
      <c r="AH6194">
        <v>0.62944017760120796</v>
      </c>
      <c r="AI6194">
        <v>94.933730436128499</v>
      </c>
      <c r="AJ6194">
        <v>84.573126493513897</v>
      </c>
      <c r="AK6194">
        <v>0.63462560125218204</v>
      </c>
      <c r="AL6194">
        <v>78.530947922332302</v>
      </c>
      <c r="AM6194">
        <v>89.086272128342202</v>
      </c>
      <c r="AN6194">
        <v>0.99999997107484495</v>
      </c>
    </row>
    <row r="6195" spans="1:40" x14ac:dyDescent="0.25">
      <c r="A6195" t="str">
        <f>"20190312172828920"</f>
        <v>20190312172828920</v>
      </c>
      <c r="B6195" t="str">
        <f>"1552382908915887"</f>
        <v>1552382908915887</v>
      </c>
      <c r="C6195" t="s">
        <v>40</v>
      </c>
      <c r="D6195">
        <v>3.2695310000000002</v>
      </c>
      <c r="E6195">
        <v>0.52519930000000004</v>
      </c>
      <c r="F6195" t="s">
        <v>44</v>
      </c>
      <c r="G6195">
        <v>-186.86320000000001</v>
      </c>
      <c r="H6195">
        <v>1.0571390000000001</v>
      </c>
      <c r="I6195">
        <v>-1.056524</v>
      </c>
      <c r="J6195">
        <v>-186.9162</v>
      </c>
      <c r="K6195">
        <v>1.109828</v>
      </c>
      <c r="L6195">
        <v>-1.6553040000000001</v>
      </c>
      <c r="M6195">
        <v>-1.0857439999999999E-2</v>
      </c>
      <c r="N6195">
        <v>0</v>
      </c>
      <c r="O6195">
        <v>0.99990559999999995</v>
      </c>
      <c r="P6195">
        <v>5.4514419999999999E-3</v>
      </c>
      <c r="Q6195">
        <v>0.19011130000000001</v>
      </c>
      <c r="R6195">
        <v>0.98174740000000005</v>
      </c>
      <c r="S6195">
        <v>0.17683409999999999</v>
      </c>
      <c r="T6195">
        <v>-0.18920149999999999</v>
      </c>
      <c r="U6195">
        <v>3.0916440000000001</v>
      </c>
      <c r="V6195">
        <v>1.589728E-2</v>
      </c>
      <c r="W6195">
        <v>0.19837920000000001</v>
      </c>
      <c r="X6195">
        <v>0.97999639999999999</v>
      </c>
      <c r="Y6195">
        <v>6.7834619999999998E-2</v>
      </c>
      <c r="Z6195">
        <v>-6.0958020000000002E-2</v>
      </c>
      <c r="AA6195">
        <v>0.99583259999999996</v>
      </c>
      <c r="AB6195">
        <v>25</v>
      </c>
      <c r="AC6195">
        <v>5.2999999999997202E-2</v>
      </c>
      <c r="AD6195">
        <v>-5.2688999999999903E-2</v>
      </c>
      <c r="AE6195">
        <v>0.59877999999999998</v>
      </c>
      <c r="AF6195">
        <v>5.9044699180032002E-2</v>
      </c>
      <c r="AG6195">
        <v>-5.2688999999999903E-2</v>
      </c>
      <c r="AH6195">
        <v>0.59360869781146897</v>
      </c>
      <c r="AI6195">
        <v>95.047530395026598</v>
      </c>
      <c r="AJ6195">
        <v>84.319623445464003</v>
      </c>
      <c r="AK6195">
        <v>0.59886032874092499</v>
      </c>
      <c r="AL6195">
        <v>78.5578048091635</v>
      </c>
      <c r="AM6195">
        <v>89.070642333876805</v>
      </c>
      <c r="AN6195">
        <v>0.99999998725849903</v>
      </c>
    </row>
    <row r="6196" spans="1:40" x14ac:dyDescent="0.25">
      <c r="A6196" t="str">
        <f>"20190312172828942"</f>
        <v>20190312172828942</v>
      </c>
      <c r="B6196" t="str">
        <f>"1552382908935407"</f>
        <v>1552382908935407</v>
      </c>
      <c r="C6196" t="s">
        <v>40</v>
      </c>
      <c r="D6196">
        <v>3.2622599999999999</v>
      </c>
      <c r="E6196">
        <v>0.52530030000000005</v>
      </c>
      <c r="F6196" t="s">
        <v>41</v>
      </c>
      <c r="G6196">
        <v>-185.86449999999999</v>
      </c>
      <c r="H6196" s="1">
        <v>-3.798372E-6</v>
      </c>
      <c r="I6196">
        <v>16.776910000000001</v>
      </c>
      <c r="J6196">
        <v>-186.9195</v>
      </c>
      <c r="K6196">
        <v>1.109815</v>
      </c>
      <c r="L6196">
        <v>-1.414032</v>
      </c>
      <c r="M6196">
        <v>-1.151111E-2</v>
      </c>
      <c r="N6196">
        <v>0</v>
      </c>
      <c r="O6196">
        <v>0.99989910000000004</v>
      </c>
      <c r="P6196">
        <v>4.9499779999999998E-3</v>
      </c>
      <c r="Q6196">
        <v>0.18972040000000001</v>
      </c>
      <c r="R6196">
        <v>0.98182559999999997</v>
      </c>
      <c r="S6196">
        <v>0.1763458</v>
      </c>
      <c r="T6196">
        <v>-0.18610299999999999</v>
      </c>
      <c r="U6196">
        <v>3.0908199999999999</v>
      </c>
      <c r="V6196">
        <v>1.6037699999999998E-2</v>
      </c>
      <c r="W6196">
        <v>0.19789599999999999</v>
      </c>
      <c r="X6196">
        <v>0.98009179999999996</v>
      </c>
      <c r="Y6196">
        <v>6.8348539999999999E-2</v>
      </c>
      <c r="Z6196">
        <v>-5.9977820000000001E-2</v>
      </c>
      <c r="AA6196">
        <v>0.99585699999999999</v>
      </c>
      <c r="AB6196">
        <v>25</v>
      </c>
      <c r="AC6196">
        <v>1.0549999999999999</v>
      </c>
      <c r="AD6196">
        <v>-1.109818798372</v>
      </c>
      <c r="AE6196">
        <v>18.190942</v>
      </c>
      <c r="AF6196">
        <v>1.2596623511705001</v>
      </c>
      <c r="AG6196">
        <v>-1.109818798372</v>
      </c>
      <c r="AH6196">
        <v>18.110408365711201</v>
      </c>
      <c r="AI6196">
        <v>93.498310285446493</v>
      </c>
      <c r="AJ6196">
        <v>86.021222504373</v>
      </c>
      <c r="AK6196">
        <v>18.188054821145698</v>
      </c>
      <c r="AL6196">
        <v>78.586050095920598</v>
      </c>
      <c r="AM6196">
        <v>89.062526060198095</v>
      </c>
      <c r="AN6196">
        <v>0.99999998553226399</v>
      </c>
    </row>
    <row r="6197" spans="1:40" x14ac:dyDescent="0.25">
      <c r="A6197" t="str">
        <f>"20190312172828965"</f>
        <v>20190312172828965</v>
      </c>
      <c r="B6197" t="str">
        <f>"1552382908955903"</f>
        <v>1552382908955903</v>
      </c>
      <c r="C6197" t="s">
        <v>40</v>
      </c>
      <c r="D6197">
        <v>3.2532570000000001</v>
      </c>
      <c r="E6197">
        <v>0.52543899999999999</v>
      </c>
      <c r="F6197" t="s">
        <v>41</v>
      </c>
      <c r="G6197">
        <v>-185.8682</v>
      </c>
      <c r="H6197" s="1">
        <v>-3.9420289999999999E-6</v>
      </c>
      <c r="I6197">
        <v>17.113309999999998</v>
      </c>
      <c r="J6197">
        <v>-186.92339999999999</v>
      </c>
      <c r="K6197">
        <v>1.109802</v>
      </c>
      <c r="L6197">
        <v>-1.1461490000000001</v>
      </c>
      <c r="M6197">
        <v>-1.223697E-2</v>
      </c>
      <c r="N6197">
        <v>0</v>
      </c>
      <c r="O6197">
        <v>0.99989139999999999</v>
      </c>
      <c r="P6197">
        <v>4.8101759999999898E-3</v>
      </c>
      <c r="Q6197">
        <v>0.18970490000000001</v>
      </c>
      <c r="R6197">
        <v>0.98182939999999996</v>
      </c>
      <c r="S6197">
        <v>0.17535400000000001</v>
      </c>
      <c r="T6197">
        <v>-0.18512149999999999</v>
      </c>
      <c r="U6197">
        <v>3.0904240000000001</v>
      </c>
      <c r="V6197">
        <v>1.660934E-2</v>
      </c>
      <c r="W6197">
        <v>0.19777910000000001</v>
      </c>
      <c r="X6197">
        <v>0.98010589999999997</v>
      </c>
      <c r="Y6197">
        <v>6.8762500000000004E-2</v>
      </c>
      <c r="Z6197">
        <v>-5.9669180000000002E-2</v>
      </c>
      <c r="AA6197">
        <v>0.99584700000000004</v>
      </c>
      <c r="AB6197">
        <v>25</v>
      </c>
      <c r="AC6197">
        <v>1.0551999999999799</v>
      </c>
      <c r="AD6197">
        <v>-1.1098059420289901</v>
      </c>
      <c r="AE6197">
        <v>18.259459</v>
      </c>
      <c r="AF6197">
        <v>1.2738786983539301</v>
      </c>
      <c r="AG6197">
        <v>-1.1098059420289901</v>
      </c>
      <c r="AH6197">
        <v>18.178248615640101</v>
      </c>
      <c r="AI6197">
        <v>93.485120544706803</v>
      </c>
      <c r="AJ6197">
        <v>85.991431895469105</v>
      </c>
      <c r="AK6197">
        <v>18.256592203889099</v>
      </c>
      <c r="AL6197">
        <v>78.592883296814804</v>
      </c>
      <c r="AM6197">
        <v>89.029131444443607</v>
      </c>
      <c r="AN6197">
        <v>1.00000000889342</v>
      </c>
    </row>
    <row r="6198" spans="1:40" x14ac:dyDescent="0.25">
      <c r="A6198" t="str">
        <f>"20190312172828988"</f>
        <v>20190312172828988</v>
      </c>
      <c r="B6198" t="str">
        <f>"1552382908975423"</f>
        <v>1552382908975423</v>
      </c>
      <c r="C6198" t="s">
        <v>40</v>
      </c>
      <c r="D6198">
        <v>3.2520920000000002</v>
      </c>
      <c r="E6198">
        <v>0.52560549999999995</v>
      </c>
      <c r="F6198" t="s">
        <v>41</v>
      </c>
      <c r="G6198">
        <v>-185.85659999999999</v>
      </c>
      <c r="H6198" s="1">
        <v>-4.1451609999999997E-6</v>
      </c>
      <c r="I6198">
        <v>17.58201</v>
      </c>
      <c r="J6198">
        <v>-186.9272</v>
      </c>
      <c r="K6198">
        <v>1.1097809999999999</v>
      </c>
      <c r="L6198">
        <v>-0.89181520000000003</v>
      </c>
      <c r="M6198">
        <v>-1.292594E-2</v>
      </c>
      <c r="N6198">
        <v>0</v>
      </c>
      <c r="O6198">
        <v>0.99988350000000004</v>
      </c>
      <c r="P6198">
        <v>4.2533680000000004E-3</v>
      </c>
      <c r="Q6198">
        <v>0.18963389999999999</v>
      </c>
      <c r="R6198">
        <v>0.98184570000000004</v>
      </c>
      <c r="S6198">
        <v>0.1760101</v>
      </c>
      <c r="T6198">
        <v>-0.183111</v>
      </c>
      <c r="U6198">
        <v>3.0900270000000001</v>
      </c>
      <c r="V6198">
        <v>1.6728059999999999E-2</v>
      </c>
      <c r="W6198">
        <v>0.1976146</v>
      </c>
      <c r="X6198">
        <v>0.98013709999999998</v>
      </c>
      <c r="Y6198">
        <v>6.9670040000000003E-2</v>
      </c>
      <c r="Z6198">
        <v>-5.9027950000000003E-2</v>
      </c>
      <c r="AA6198">
        <v>0.99582219999999999</v>
      </c>
      <c r="AB6198">
        <v>25</v>
      </c>
      <c r="AC6198">
        <v>1.07060000000001</v>
      </c>
      <c r="AD6198">
        <v>-1.1097851451609999</v>
      </c>
      <c r="AE6198">
        <v>18.473825199999901</v>
      </c>
      <c r="AF6198">
        <v>1.30461761846749</v>
      </c>
      <c r="AG6198">
        <v>-1.1097851451609999</v>
      </c>
      <c r="AH6198">
        <v>18.3922906300363</v>
      </c>
      <c r="AI6198">
        <v>93.444389665704804</v>
      </c>
      <c r="AJ6198">
        <v>85.942642701838196</v>
      </c>
      <c r="AK6198">
        <v>18.4718706366886</v>
      </c>
      <c r="AL6198">
        <v>78.602498654129306</v>
      </c>
      <c r="AM6198">
        <v>89.022224346572202</v>
      </c>
      <c r="AN6198">
        <v>1.0000000464604599</v>
      </c>
    </row>
    <row r="6199" spans="1:40" x14ac:dyDescent="0.25">
      <c r="A6199" t="str">
        <f>"20190312172829013"</f>
        <v>20190312172829013</v>
      </c>
      <c r="B6199" t="str">
        <f>"1552382909005679"</f>
        <v>1552382909005679</v>
      </c>
      <c r="C6199" t="s">
        <v>40</v>
      </c>
      <c r="D6199">
        <v>3.2509640000000002</v>
      </c>
      <c r="E6199">
        <v>0.52586790000000005</v>
      </c>
      <c r="F6199" t="s">
        <v>41</v>
      </c>
      <c r="G6199">
        <v>-185.85489999999999</v>
      </c>
      <c r="H6199" s="1">
        <v>-4.3256550000000002E-6</v>
      </c>
      <c r="I6199">
        <v>18.00206</v>
      </c>
      <c r="J6199">
        <v>-186.93170000000001</v>
      </c>
      <c r="K6199">
        <v>1.1097649999999999</v>
      </c>
      <c r="L6199">
        <v>-0.60815430000000004</v>
      </c>
      <c r="M6199">
        <v>-1.369396E-2</v>
      </c>
      <c r="N6199">
        <v>0</v>
      </c>
      <c r="O6199">
        <v>0.99987409999999999</v>
      </c>
      <c r="P6199">
        <v>3.5022349999999998E-3</v>
      </c>
      <c r="Q6199">
        <v>0.18966379999999999</v>
      </c>
      <c r="R6199">
        <v>0.98184289999999996</v>
      </c>
      <c r="S6199">
        <v>0.17535400000000001</v>
      </c>
      <c r="T6199">
        <v>-0.18148539999999999</v>
      </c>
      <c r="U6199">
        <v>3.0897519999999998</v>
      </c>
      <c r="V6199">
        <v>1.6729629999999999E-2</v>
      </c>
      <c r="W6199">
        <v>0.19754450000000001</v>
      </c>
      <c r="X6199">
        <v>0.9801512</v>
      </c>
      <c r="Y6199">
        <v>7.0232230000000007E-2</v>
      </c>
      <c r="Z6199">
        <v>-5.8509220000000001E-2</v>
      </c>
      <c r="AA6199">
        <v>0.99581330000000001</v>
      </c>
      <c r="AB6199">
        <v>25</v>
      </c>
      <c r="AC6199">
        <v>1.07680000000002</v>
      </c>
      <c r="AD6199">
        <v>-1.1097693256550001</v>
      </c>
      <c r="AE6199">
        <v>18.610214299999999</v>
      </c>
      <c r="AF6199">
        <v>1.3268521913425599</v>
      </c>
      <c r="AG6199">
        <v>-1.1097693256550001</v>
      </c>
      <c r="AH6199">
        <v>18.528056968941399</v>
      </c>
      <c r="AI6199">
        <v>93.418997457483499</v>
      </c>
      <c r="AJ6199">
        <v>85.903862488288794</v>
      </c>
      <c r="AK6199">
        <v>18.608627561917999</v>
      </c>
      <c r="AL6199">
        <v>78.606595810297407</v>
      </c>
      <c r="AM6199">
        <v>89.022146660377203</v>
      </c>
      <c r="AN6199">
        <v>1.00000004243081</v>
      </c>
    </row>
    <row r="6200" spans="1:40" x14ac:dyDescent="0.25">
      <c r="A6200" t="str">
        <f>"20190312172829034"</f>
        <v>20190312172829034</v>
      </c>
      <c r="B6200" t="str">
        <f>"1552382909026175"</f>
        <v>1552382909026175</v>
      </c>
      <c r="C6200" t="s">
        <v>40</v>
      </c>
      <c r="D6200">
        <v>3.2295859999999998</v>
      </c>
      <c r="E6200">
        <v>0.52603080000000002</v>
      </c>
      <c r="F6200" t="s">
        <v>44</v>
      </c>
      <c r="G6200">
        <v>-186.87960000000001</v>
      </c>
      <c r="H6200">
        <v>1.0568229999999901</v>
      </c>
      <c r="I6200">
        <v>0.30766870000000002</v>
      </c>
      <c r="J6200">
        <v>-186.9358</v>
      </c>
      <c r="K6200">
        <v>1.1097570000000001</v>
      </c>
      <c r="L6200">
        <v>-0.35955809999999999</v>
      </c>
      <c r="M6200">
        <v>-1.4366429999999999E-2</v>
      </c>
      <c r="N6200">
        <v>0</v>
      </c>
      <c r="O6200">
        <v>0.99986540000000002</v>
      </c>
      <c r="P6200">
        <v>3.0635089999999999E-3</v>
      </c>
      <c r="Q6200">
        <v>0.18961140000000001</v>
      </c>
      <c r="R6200">
        <v>0.98185440000000002</v>
      </c>
      <c r="S6200">
        <v>0.1751404</v>
      </c>
      <c r="T6200">
        <v>-0.1786083</v>
      </c>
      <c r="U6200">
        <v>3.0893549999999999</v>
      </c>
      <c r="V6200">
        <v>1.6950130000000001E-2</v>
      </c>
      <c r="W6200">
        <v>0.19741069999999999</v>
      </c>
      <c r="X6200">
        <v>0.98017430000000005</v>
      </c>
      <c r="Y6200">
        <v>7.0844699999999997E-2</v>
      </c>
      <c r="Z6200">
        <v>-5.7590170000000003E-2</v>
      </c>
      <c r="AA6200">
        <v>0.99582349999999997</v>
      </c>
      <c r="AB6200">
        <v>26</v>
      </c>
      <c r="AC6200">
        <v>5.61999999999898E-2</v>
      </c>
      <c r="AD6200">
        <v>-5.2934000000000002E-2</v>
      </c>
      <c r="AE6200">
        <v>0.66722680000000001</v>
      </c>
      <c r="AF6200">
        <v>6.5371621243387606E-2</v>
      </c>
      <c r="AG6200">
        <v>-5.2934000000000002E-2</v>
      </c>
      <c r="AH6200">
        <v>0.66221195775352004</v>
      </c>
      <c r="AI6200">
        <v>94.548214043170304</v>
      </c>
      <c r="AJ6200">
        <v>84.362195008951502</v>
      </c>
      <c r="AK6200">
        <v>0.66753287125934102</v>
      </c>
      <c r="AL6200">
        <v>78.614415205457703</v>
      </c>
      <c r="AM6200">
        <v>89.009284246706599</v>
      </c>
      <c r="AN6200">
        <v>0.99999997488099801</v>
      </c>
    </row>
    <row r="6201" spans="1:40" x14ac:dyDescent="0.25">
      <c r="A6201" t="str">
        <f>"20190312172829057"</f>
        <v>20190312172829057</v>
      </c>
      <c r="B6201" t="str">
        <f>"1552382909045696"</f>
        <v>1552382909045696</v>
      </c>
      <c r="C6201" t="s">
        <v>40</v>
      </c>
      <c r="D6201">
        <v>3.2460840000000002</v>
      </c>
      <c r="E6201">
        <v>0.52619550000000004</v>
      </c>
      <c r="F6201" t="s">
        <v>44</v>
      </c>
      <c r="G6201">
        <v>-186.88419999999999</v>
      </c>
      <c r="H6201">
        <v>1.057733</v>
      </c>
      <c r="I6201">
        <v>0.54832519999999996</v>
      </c>
      <c r="J6201">
        <v>-186.94040000000001</v>
      </c>
      <c r="K6201">
        <v>1.1097509999999999</v>
      </c>
      <c r="L6201">
        <v>-9.8876950000000005E-2</v>
      </c>
      <c r="M6201">
        <v>-1.50711E-2</v>
      </c>
      <c r="N6201">
        <v>0</v>
      </c>
      <c r="O6201">
        <v>0.99985559999999996</v>
      </c>
      <c r="P6201">
        <v>2.5437379999999998E-3</v>
      </c>
      <c r="Q6201">
        <v>0.18988070000000001</v>
      </c>
      <c r="R6201">
        <v>0.98180389999999995</v>
      </c>
      <c r="S6201">
        <v>0.1754608</v>
      </c>
      <c r="T6201">
        <v>-0.1770253</v>
      </c>
      <c r="U6201">
        <v>3.0890810000000002</v>
      </c>
      <c r="V6201">
        <v>1.7119840000000001E-2</v>
      </c>
      <c r="W6201">
        <v>0.1976029</v>
      </c>
      <c r="X6201">
        <v>0.98013260000000002</v>
      </c>
      <c r="Y6201">
        <v>7.1657289999999998E-2</v>
      </c>
      <c r="Z6201">
        <v>-5.7083769999999999E-2</v>
      </c>
      <c r="AA6201">
        <v>0.99579450000000003</v>
      </c>
      <c r="AB6201">
        <v>26</v>
      </c>
      <c r="AC6201">
        <v>5.6200000000018201E-2</v>
      </c>
      <c r="AD6201">
        <v>-5.2017999999999898E-2</v>
      </c>
      <c r="AE6201">
        <v>0.64720214999999903</v>
      </c>
      <c r="AF6201">
        <v>6.5527828830204804E-2</v>
      </c>
      <c r="AG6201">
        <v>-5.2017999999999898E-2</v>
      </c>
      <c r="AH6201">
        <v>0.64216433045148602</v>
      </c>
      <c r="AI6201">
        <v>94.607265620963403</v>
      </c>
      <c r="AJ6201">
        <v>84.173582353080505</v>
      </c>
      <c r="AK6201">
        <v>0.64759153482685805</v>
      </c>
      <c r="AL6201">
        <v>78.603181435030606</v>
      </c>
      <c r="AM6201">
        <v>88.999324334194895</v>
      </c>
      <c r="AN6201">
        <v>0.99999995429639599</v>
      </c>
    </row>
    <row r="6202" spans="1:40" x14ac:dyDescent="0.25">
      <c r="A6202" t="str">
        <f>"20190312172829099"</f>
        <v>20190312172829099</v>
      </c>
      <c r="B6202" t="str">
        <f>"1552382909095471"</f>
        <v>1552382909095471</v>
      </c>
      <c r="C6202" t="s">
        <v>40</v>
      </c>
      <c r="D6202">
        <v>3.27671</v>
      </c>
      <c r="E6202">
        <v>0.52663090000000001</v>
      </c>
      <c r="F6202" t="s">
        <v>41</v>
      </c>
      <c r="G6202">
        <v>-185.83279999999999</v>
      </c>
      <c r="H6202" s="1">
        <v>-4.9674320000000001E-6</v>
      </c>
      <c r="I6202">
        <v>19.488890000000001</v>
      </c>
      <c r="J6202">
        <v>-186.94919999999999</v>
      </c>
      <c r="K6202">
        <v>1.1097319999999999</v>
      </c>
      <c r="L6202">
        <v>0.38735960000000003</v>
      </c>
      <c r="M6202">
        <v>-1.63851E-2</v>
      </c>
      <c r="N6202">
        <v>0</v>
      </c>
      <c r="O6202">
        <v>0.99983580000000005</v>
      </c>
      <c r="P6202">
        <v>2.1877559999999999E-3</v>
      </c>
      <c r="Q6202">
        <v>0.19003970000000001</v>
      </c>
      <c r="R6202">
        <v>0.98177400000000004</v>
      </c>
      <c r="S6202">
        <v>0.1746674</v>
      </c>
      <c r="T6202">
        <v>-0.17500839999999901</v>
      </c>
      <c r="U6202">
        <v>3.0889890000000002</v>
      </c>
      <c r="V6202">
        <v>1.8050719999999999E-2</v>
      </c>
      <c r="W6202">
        <v>0.19764209999999999</v>
      </c>
      <c r="X6202">
        <v>0.98010799999999998</v>
      </c>
      <c r="Y6202">
        <v>7.2716829999999996E-2</v>
      </c>
      <c r="Z6202">
        <v>-5.643364E-2</v>
      </c>
      <c r="AA6202">
        <v>0.99575469999999999</v>
      </c>
      <c r="AB6202">
        <v>26</v>
      </c>
      <c r="AC6202">
        <v>1.1163999999999901</v>
      </c>
      <c r="AD6202">
        <v>-1.1097369674319999</v>
      </c>
      <c r="AE6202">
        <v>19.101530400000001</v>
      </c>
      <c r="AF6202">
        <v>1.4244485016814401</v>
      </c>
      <c r="AG6202">
        <v>-1.1097369674319999</v>
      </c>
      <c r="AH6202">
        <v>19.0167057815463</v>
      </c>
      <c r="AI6202">
        <v>93.330450046223902</v>
      </c>
      <c r="AJ6202">
        <v>85.716252905439902</v>
      </c>
      <c r="AK6202">
        <v>19.102242498008501</v>
      </c>
      <c r="AL6202">
        <v>78.600890319168499</v>
      </c>
      <c r="AM6202">
        <v>88.944898762215601</v>
      </c>
      <c r="AN6202">
        <v>0.999999959924463</v>
      </c>
    </row>
    <row r="6203" spans="1:40" x14ac:dyDescent="0.25">
      <c r="A6203" t="str">
        <f>"20190312172829120"</f>
        <v>20190312172829120</v>
      </c>
      <c r="B6203" t="str">
        <f>"1552382909115967"</f>
        <v>1552382909115967</v>
      </c>
      <c r="C6203" t="s">
        <v>40</v>
      </c>
      <c r="D6203">
        <v>3.2464089999999999</v>
      </c>
      <c r="E6203">
        <v>0.52679430000000005</v>
      </c>
      <c r="F6203" t="s">
        <v>41</v>
      </c>
      <c r="G6203">
        <v>-185.80520000000001</v>
      </c>
      <c r="H6203" s="1">
        <v>-1.3615879999999999E-6</v>
      </c>
      <c r="I6203">
        <v>20.369319999999998</v>
      </c>
      <c r="J6203">
        <v>-186.95400000000001</v>
      </c>
      <c r="K6203">
        <v>1.109731</v>
      </c>
      <c r="L6203">
        <v>0.63409419999999905</v>
      </c>
      <c r="M6203">
        <v>-1.7051239999999999E-2</v>
      </c>
      <c r="N6203">
        <v>0</v>
      </c>
      <c r="O6203">
        <v>0.99982510000000002</v>
      </c>
      <c r="P6203">
        <v>2.1085399999999999E-3</v>
      </c>
      <c r="Q6203">
        <v>0.18951899999999999</v>
      </c>
      <c r="R6203">
        <v>0.98187480000000005</v>
      </c>
      <c r="S6203">
        <v>0.17683409999999999</v>
      </c>
      <c r="T6203">
        <v>-0.17152539999999999</v>
      </c>
      <c r="U6203">
        <v>3.0885009999999999</v>
      </c>
      <c r="V6203">
        <v>1.8626420000000001E-2</v>
      </c>
      <c r="W6203">
        <v>0.19707279999999999</v>
      </c>
      <c r="X6203">
        <v>0.98021190000000002</v>
      </c>
      <c r="Y6203">
        <v>7.4090000000000003E-2</v>
      </c>
      <c r="Z6203">
        <v>-5.5317850000000002E-2</v>
      </c>
      <c r="AA6203">
        <v>0.99571620000000005</v>
      </c>
      <c r="AB6203">
        <v>26</v>
      </c>
      <c r="AC6203">
        <v>1.1487999999999901</v>
      </c>
      <c r="AD6203">
        <v>-1.1097323615879999</v>
      </c>
      <c r="AE6203">
        <v>19.735225799999998</v>
      </c>
      <c r="AF6203">
        <v>1.48048758729626</v>
      </c>
      <c r="AG6203">
        <v>-1.1097323615879999</v>
      </c>
      <c r="AH6203">
        <v>19.650842656862</v>
      </c>
      <c r="AI6203">
        <v>93.223088331935998</v>
      </c>
      <c r="AJ6203">
        <v>85.691495563620194</v>
      </c>
      <c r="AK6203">
        <v>19.737754850419002</v>
      </c>
      <c r="AL6203">
        <v>78.634163700340494</v>
      </c>
      <c r="AM6203">
        <v>88.911371279336393</v>
      </c>
      <c r="AN6203">
        <v>1.00000000046173</v>
      </c>
    </row>
    <row r="6204" spans="1:40" x14ac:dyDescent="0.25">
      <c r="A6204" t="str">
        <f>"20190312172829143"</f>
        <v>20190312172829143</v>
      </c>
      <c r="B6204" t="str">
        <f>"1552382909135487"</f>
        <v>1552382909135487</v>
      </c>
      <c r="C6204" t="s">
        <v>40</v>
      </c>
      <c r="D6204">
        <v>3.3289300000000002</v>
      </c>
      <c r="E6204">
        <v>0.52682549999999995</v>
      </c>
      <c r="F6204" t="s">
        <v>41</v>
      </c>
      <c r="G6204">
        <v>-185.8082</v>
      </c>
      <c r="H6204" s="1">
        <v>-1.4190209999999901E-6</v>
      </c>
      <c r="I6204">
        <v>20.540500000000002</v>
      </c>
      <c r="J6204">
        <v>-186.95939999999999</v>
      </c>
      <c r="K6204">
        <v>1.1097300000000001</v>
      </c>
      <c r="L6204">
        <v>0.90396120000000002</v>
      </c>
      <c r="M6204">
        <v>-1.777954E-2</v>
      </c>
      <c r="N6204">
        <v>0</v>
      </c>
      <c r="O6204">
        <v>0.99981279999999995</v>
      </c>
      <c r="P6204">
        <v>1.9210130000000001E-3</v>
      </c>
      <c r="Q6204">
        <v>0.18899859999999999</v>
      </c>
      <c r="R6204">
        <v>0.9819755</v>
      </c>
      <c r="S6204">
        <v>0.17774960000000001</v>
      </c>
      <c r="T6204">
        <v>-0.17216099999999901</v>
      </c>
      <c r="U6204">
        <v>3.0882260000000001</v>
      </c>
      <c r="V6204">
        <v>1.9154859999999999E-2</v>
      </c>
      <c r="W6204">
        <v>0.1965066</v>
      </c>
      <c r="X6204">
        <v>0.98031539999999995</v>
      </c>
      <c r="Y6204">
        <v>7.5114990000000006E-2</v>
      </c>
      <c r="Z6204">
        <v>-5.5523459999999997E-2</v>
      </c>
      <c r="AA6204">
        <v>0.99562790000000001</v>
      </c>
      <c r="AB6204">
        <v>26</v>
      </c>
      <c r="AC6204">
        <v>1.15119999999998</v>
      </c>
      <c r="AD6204">
        <v>-1.1097314190209999</v>
      </c>
      <c r="AE6204">
        <v>19.6365388</v>
      </c>
      <c r="AF6204">
        <v>1.4953971964127499</v>
      </c>
      <c r="AG6204">
        <v>-1.1097314190209999</v>
      </c>
      <c r="AH6204">
        <v>19.550739280769001</v>
      </c>
      <c r="AI6204">
        <v>93.239273145438005</v>
      </c>
      <c r="AJ6204">
        <v>85.626076174437799</v>
      </c>
      <c r="AK6204">
        <v>19.639224094194901</v>
      </c>
      <c r="AL6204">
        <v>78.667251782088798</v>
      </c>
      <c r="AM6204">
        <v>88.880612304966604</v>
      </c>
      <c r="AN6204">
        <v>1.0000000179911599</v>
      </c>
    </row>
    <row r="6205" spans="1:40" x14ac:dyDescent="0.25">
      <c r="A6205" t="str">
        <f>"20190312172829165"</f>
        <v>20190312172829165</v>
      </c>
      <c r="B6205" t="str">
        <f>"1552382909155983"</f>
        <v>1552382909155983</v>
      </c>
      <c r="C6205" t="s">
        <v>40</v>
      </c>
      <c r="D6205">
        <v>3.291884</v>
      </c>
      <c r="E6205">
        <v>0.50237140000000002</v>
      </c>
      <c r="F6205" t="s">
        <v>41</v>
      </c>
      <c r="G6205">
        <v>-185.82390000000001</v>
      </c>
      <c r="H6205" s="1">
        <v>-1.459733E-6</v>
      </c>
      <c r="I6205">
        <v>20.672409999999999</v>
      </c>
      <c r="J6205">
        <v>-186.96469999999999</v>
      </c>
      <c r="K6205">
        <v>1.1097220000000001</v>
      </c>
      <c r="L6205">
        <v>1.1619870000000001</v>
      </c>
      <c r="M6205">
        <v>-1.8475680000000001E-2</v>
      </c>
      <c r="N6205">
        <v>0</v>
      </c>
      <c r="O6205">
        <v>0.99980049999999998</v>
      </c>
      <c r="P6205">
        <v>1.433403E-3</v>
      </c>
      <c r="Q6205">
        <v>0.1891834</v>
      </c>
      <c r="R6205">
        <v>0.9819407</v>
      </c>
      <c r="S6205">
        <v>0.1773682</v>
      </c>
      <c r="T6205">
        <v>-0.1733537</v>
      </c>
      <c r="U6205">
        <v>3.0880740000000002</v>
      </c>
      <c r="V6205">
        <v>1.9348629999999999E-2</v>
      </c>
      <c r="W6205">
        <v>0.1966483</v>
      </c>
      <c r="X6205">
        <v>0.98028309999999996</v>
      </c>
      <c r="Y6205">
        <v>7.5688270000000002E-2</v>
      </c>
      <c r="Z6205">
        <v>-5.5907579999999998E-2</v>
      </c>
      <c r="AA6205">
        <v>0.99556299999999998</v>
      </c>
      <c r="AB6205">
        <v>26</v>
      </c>
      <c r="AC6205">
        <v>1.1407999999999801</v>
      </c>
      <c r="AD6205">
        <v>-1.1097234597329999</v>
      </c>
      <c r="AE6205">
        <v>19.510422999999999</v>
      </c>
      <c r="AF6205">
        <v>1.4962598302025201</v>
      </c>
      <c r="AG6205">
        <v>-1.1097234597329999</v>
      </c>
      <c r="AH6205">
        <v>19.423391180134999</v>
      </c>
      <c r="AI6205">
        <v>93.260306677615503</v>
      </c>
      <c r="AJ6205">
        <v>85.594981603298095</v>
      </c>
      <c r="AK6205">
        <v>19.512519175470601</v>
      </c>
      <c r="AL6205">
        <v>78.658970507076106</v>
      </c>
      <c r="AM6205">
        <v>88.869254290290399</v>
      </c>
      <c r="AN6205">
        <v>0.99999993976068602</v>
      </c>
    </row>
    <row r="6206" spans="1:40" x14ac:dyDescent="0.25">
      <c r="A6206" t="str">
        <f>"20190312172829188"</f>
        <v>20190312172829188</v>
      </c>
      <c r="B6206" t="str">
        <f>"1552382909175504"</f>
        <v>1552382909175504</v>
      </c>
      <c r="C6206" t="s">
        <v>40</v>
      </c>
      <c r="D6206">
        <v>3.290692</v>
      </c>
      <c r="E6206">
        <v>0.49812440000000002</v>
      </c>
      <c r="F6206" t="s">
        <v>41</v>
      </c>
      <c r="G6206">
        <v>-187.1009</v>
      </c>
      <c r="H6206" s="1">
        <v>-2.4570649999999998E-6</v>
      </c>
      <c r="I6206">
        <v>24.161529999999999</v>
      </c>
      <c r="J6206">
        <v>-186.97020000000001</v>
      </c>
      <c r="K6206">
        <v>1.109723</v>
      </c>
      <c r="L6206">
        <v>1.420685</v>
      </c>
      <c r="M6206">
        <v>-1.9173430000000002E-2</v>
      </c>
      <c r="N6206">
        <v>0</v>
      </c>
      <c r="O6206">
        <v>0.99978769999999995</v>
      </c>
      <c r="P6206">
        <v>1.228006E-3</v>
      </c>
      <c r="Q6206">
        <v>0.18883510000000001</v>
      </c>
      <c r="R6206">
        <v>0.98200799999999999</v>
      </c>
      <c r="S6206">
        <v>-1.826477E-2</v>
      </c>
      <c r="T6206">
        <v>-0.14879600000000001</v>
      </c>
      <c r="U6206">
        <v>3.0838619999999999</v>
      </c>
      <c r="V6206">
        <v>1.9828680000000001E-2</v>
      </c>
      <c r="W6206">
        <v>0.19625980000000001</v>
      </c>
      <c r="X6206">
        <v>0.98035139999999998</v>
      </c>
      <c r="Y6206">
        <v>1.325902E-2</v>
      </c>
      <c r="Z6206">
        <v>-4.8177980000000002E-2</v>
      </c>
      <c r="AA6206">
        <v>0.99875069999999999</v>
      </c>
      <c r="AB6206">
        <v>26</v>
      </c>
      <c r="AC6206">
        <v>-0.13069999999998999</v>
      </c>
      <c r="AD6206">
        <v>-1.1097254570649999</v>
      </c>
      <c r="AE6206">
        <v>22.740845</v>
      </c>
      <c r="AF6206">
        <v>0.30463103987830598</v>
      </c>
      <c r="AG6206">
        <v>-1.1097254570649999</v>
      </c>
      <c r="AH6206">
        <v>22.6851515784311</v>
      </c>
      <c r="AI6206">
        <v>92.800343690242798</v>
      </c>
      <c r="AJ6206">
        <v>89.230641074188597</v>
      </c>
      <c r="AK6206">
        <v>22.714321314908499</v>
      </c>
      <c r="AL6206">
        <v>78.681672730303404</v>
      </c>
      <c r="AM6206">
        <v>88.841288143069505</v>
      </c>
      <c r="AN6206">
        <v>0.99999997656426998</v>
      </c>
    </row>
    <row r="6207" spans="1:40" x14ac:dyDescent="0.25">
      <c r="A6207" t="str">
        <f>"20190312172829212"</f>
        <v>20190312172829212</v>
      </c>
      <c r="B6207" t="str">
        <f>"1552382909205760"</f>
        <v>1552382909205760</v>
      </c>
      <c r="C6207" t="s">
        <v>40</v>
      </c>
      <c r="D6207">
        <v>3.2659069999999999</v>
      </c>
      <c r="E6207">
        <v>0.4952609</v>
      </c>
      <c r="F6207" t="s">
        <v>41</v>
      </c>
      <c r="G6207">
        <v>-187.34520000000001</v>
      </c>
      <c r="H6207" s="1">
        <v>-1.871907E-6</v>
      </c>
      <c r="I6207">
        <v>22.898530000000001</v>
      </c>
      <c r="J6207">
        <v>-186.97659999999999</v>
      </c>
      <c r="K6207">
        <v>1.109712</v>
      </c>
      <c r="L6207">
        <v>1.7107540000000001</v>
      </c>
      <c r="M6207">
        <v>-1.9955110000000002E-2</v>
      </c>
      <c r="N6207">
        <v>0</v>
      </c>
      <c r="O6207">
        <v>0.99977269999999896</v>
      </c>
      <c r="P6207">
        <v>3.7071709999999999E-4</v>
      </c>
      <c r="Q6207">
        <v>0.18854870000000001</v>
      </c>
      <c r="R6207">
        <v>0.98206380000000004</v>
      </c>
      <c r="S6207">
        <v>-5.3878780000000001E-2</v>
      </c>
      <c r="T6207">
        <v>-0.15943260000000001</v>
      </c>
      <c r="U6207">
        <v>3.085693</v>
      </c>
      <c r="V6207">
        <v>1.9738990000000001E-2</v>
      </c>
      <c r="W6207">
        <v>0.19593289999999999</v>
      </c>
      <c r="X6207">
        <v>0.98041860000000003</v>
      </c>
      <c r="Y6207">
        <v>2.5211719999999999E-3</v>
      </c>
      <c r="Z6207">
        <v>-5.1580109999999998E-2</v>
      </c>
      <c r="AA6207">
        <v>0.99866569999999999</v>
      </c>
      <c r="AB6207">
        <v>26</v>
      </c>
      <c r="AC6207">
        <v>-0.36860000000001403</v>
      </c>
      <c r="AD6207">
        <v>-1.1097138719069899</v>
      </c>
      <c r="AE6207">
        <v>21.187775999999999</v>
      </c>
      <c r="AF6207">
        <v>5.4141239732855999E-2</v>
      </c>
      <c r="AG6207">
        <v>-1.1097138719069899</v>
      </c>
      <c r="AH6207">
        <v>21.132958881621501</v>
      </c>
      <c r="AI6207">
        <v>93.005890921863596</v>
      </c>
      <c r="AJ6207">
        <v>89.853212332220096</v>
      </c>
      <c r="AK6207">
        <v>21.162144202411302</v>
      </c>
      <c r="AL6207">
        <v>78.7007736118113</v>
      </c>
      <c r="AM6207">
        <v>88.846606902859904</v>
      </c>
      <c r="AN6207">
        <v>0.99999998012729496</v>
      </c>
    </row>
    <row r="6208" spans="1:40" x14ac:dyDescent="0.25">
      <c r="A6208" t="str">
        <f>"20190312172829236"</f>
        <v>20190312172829236</v>
      </c>
      <c r="B6208" t="str">
        <f>"1552382909226257"</f>
        <v>1552382909226257</v>
      </c>
      <c r="C6208" t="s">
        <v>40</v>
      </c>
      <c r="D6208">
        <v>3.1759650000000001</v>
      </c>
      <c r="E6208">
        <v>0.49446909999999999</v>
      </c>
      <c r="F6208" t="s">
        <v>41</v>
      </c>
      <c r="G6208">
        <v>-187.51929999999999</v>
      </c>
      <c r="H6208" s="1">
        <v>-1.7520290000000001E-6</v>
      </c>
      <c r="I6208">
        <v>22.691040000000001</v>
      </c>
      <c r="J6208">
        <v>-186.98310000000001</v>
      </c>
      <c r="K6208">
        <v>1.1097049999999999</v>
      </c>
      <c r="L6208">
        <v>1.991638</v>
      </c>
      <c r="M6208">
        <v>-2.0712049999999999E-2</v>
      </c>
      <c r="N6208">
        <v>0</v>
      </c>
      <c r="O6208">
        <v>0.99975760000000002</v>
      </c>
      <c r="P6208" s="1">
        <v>-8.5912179999999999E-5</v>
      </c>
      <c r="Q6208">
        <v>0.1885454</v>
      </c>
      <c r="R6208">
        <v>0.98206450000000001</v>
      </c>
      <c r="S6208">
        <v>-7.9818730000000004E-2</v>
      </c>
      <c r="T6208">
        <v>-0.163236299999999</v>
      </c>
      <c r="U6208">
        <v>3.0861510000000001</v>
      </c>
      <c r="V6208">
        <v>2.0024360000000001E-2</v>
      </c>
      <c r="W6208">
        <v>0.1958965</v>
      </c>
      <c r="X6208">
        <v>0.98042010000000002</v>
      </c>
      <c r="Y6208">
        <v>-5.1075560000000001E-3</v>
      </c>
      <c r="Z6208">
        <v>-5.2793199999999998E-2</v>
      </c>
      <c r="AA6208">
        <v>0.99859240000000005</v>
      </c>
      <c r="AB6208">
        <v>26</v>
      </c>
      <c r="AC6208">
        <v>-0.53619999999997903</v>
      </c>
      <c r="AD6208">
        <v>-1.109706752029</v>
      </c>
      <c r="AE6208">
        <v>20.699401999999999</v>
      </c>
      <c r="AF6208">
        <v>-0.10703853591389199</v>
      </c>
      <c r="AG6208">
        <v>-1.109706752029</v>
      </c>
      <c r="AH6208">
        <v>20.6467665383156</v>
      </c>
      <c r="AI6208">
        <v>93.076488668501</v>
      </c>
      <c r="AJ6208">
        <v>90.297034472635104</v>
      </c>
      <c r="AK6208">
        <v>20.6768439277221</v>
      </c>
      <c r="AL6208">
        <v>78.702900541675405</v>
      </c>
      <c r="AM6208">
        <v>88.829938491163901</v>
      </c>
      <c r="AN6208">
        <v>0.99999999309483401</v>
      </c>
    </row>
    <row r="6209" spans="1:40" x14ac:dyDescent="0.25">
      <c r="A6209" t="str">
        <f>"20190312172829278"</f>
        <v>20190312172829278</v>
      </c>
      <c r="B6209" t="str">
        <f>"1552382909276032"</f>
        <v>1552382909276032</v>
      </c>
      <c r="C6209" t="s">
        <v>40</v>
      </c>
      <c r="D6209">
        <v>3.3231850000000001</v>
      </c>
      <c r="E6209">
        <v>0.49363820000000003</v>
      </c>
      <c r="F6209" t="s">
        <v>41</v>
      </c>
      <c r="G6209">
        <v>-187.57689999999999</v>
      </c>
      <c r="H6209" s="1">
        <v>-1.7815549999999901E-6</v>
      </c>
      <c r="I6209">
        <v>22.783719999999999</v>
      </c>
      <c r="J6209">
        <v>-186.99520000000001</v>
      </c>
      <c r="K6209">
        <v>1.1097060000000001</v>
      </c>
      <c r="L6209">
        <v>2.4977109999999998</v>
      </c>
      <c r="M6209">
        <v>-2.2074960000000001E-2</v>
      </c>
      <c r="N6209">
        <v>0</v>
      </c>
      <c r="O6209">
        <v>0.99972879999999997</v>
      </c>
      <c r="P6209">
        <v>-9.001088E-4</v>
      </c>
      <c r="Q6209">
        <v>0.18791430000000001</v>
      </c>
      <c r="R6209">
        <v>0.98218499999999997</v>
      </c>
      <c r="S6209">
        <v>-8.8150019999999996E-2</v>
      </c>
      <c r="T6209">
        <v>-0.16472590000000001</v>
      </c>
      <c r="U6209">
        <v>3.086395</v>
      </c>
      <c r="V6209">
        <v>2.054955E-2</v>
      </c>
      <c r="W6209">
        <v>0.19521839999999999</v>
      </c>
      <c r="X6209">
        <v>0.98054450000000004</v>
      </c>
      <c r="Y6209">
        <v>-6.435133E-3</v>
      </c>
      <c r="Z6209">
        <v>-5.326492E-2</v>
      </c>
      <c r="AA6209">
        <v>0.99855970000000005</v>
      </c>
      <c r="AB6209">
        <v>26</v>
      </c>
      <c r="AC6209">
        <v>-0.58169999999998301</v>
      </c>
      <c r="AD6209">
        <v>-1.1097077815549901</v>
      </c>
      <c r="AE6209">
        <v>20.286009</v>
      </c>
      <c r="AF6209">
        <v>-0.13333441880323199</v>
      </c>
      <c r="AG6209">
        <v>-1.1097077815549901</v>
      </c>
      <c r="AH6209">
        <v>20.233409435679899</v>
      </c>
      <c r="AI6209">
        <v>93.139192123120907</v>
      </c>
      <c r="AJ6209">
        <v>90.377563104477801</v>
      </c>
      <c r="AK6209">
        <v>20.264256384568899</v>
      </c>
      <c r="AL6209">
        <v>78.7425179464379</v>
      </c>
      <c r="AM6209">
        <v>88.7994117997399</v>
      </c>
      <c r="AN6209">
        <v>1.0000000120920001</v>
      </c>
    </row>
    <row r="6210" spans="1:40" x14ac:dyDescent="0.25">
      <c r="A6210" t="str">
        <f>"20190312172829300"</f>
        <v>20190312172829300</v>
      </c>
      <c r="B6210" t="str">
        <f>"1552382909295552"</f>
        <v>1552382909295552</v>
      </c>
      <c r="C6210" t="s">
        <v>40</v>
      </c>
      <c r="D6210">
        <v>3.1600739999999998</v>
      </c>
      <c r="E6210">
        <v>0.4935119</v>
      </c>
      <c r="F6210" t="s">
        <v>41</v>
      </c>
      <c r="G6210">
        <v>-187.6395</v>
      </c>
      <c r="H6210" s="1">
        <v>-1.8383860000000001E-6</v>
      </c>
      <c r="I6210">
        <v>22.942049999999998</v>
      </c>
      <c r="J6210">
        <v>-187.0018</v>
      </c>
      <c r="K6210">
        <v>1.1097030000000001</v>
      </c>
      <c r="L6210">
        <v>2.7613829999999999</v>
      </c>
      <c r="M6210">
        <v>-2.2784510000000001E-2</v>
      </c>
      <c r="N6210">
        <v>0</v>
      </c>
      <c r="O6210">
        <v>0.99971299999999996</v>
      </c>
      <c r="P6210">
        <v>-1.510129E-3</v>
      </c>
      <c r="Q6210">
        <v>0.18759509999999999</v>
      </c>
      <c r="R6210">
        <v>0.98224529999999999</v>
      </c>
      <c r="S6210">
        <v>-9.7259520000000002E-2</v>
      </c>
      <c r="T6210">
        <v>-0.16752619999999999</v>
      </c>
      <c r="U6210">
        <v>3.0863649999999998</v>
      </c>
      <c r="V6210">
        <v>2.0636910000000001E-2</v>
      </c>
      <c r="W6210">
        <v>0.19487979999999999</v>
      </c>
      <c r="X6210">
        <v>0.98060999999999998</v>
      </c>
      <c r="Y6210">
        <v>-8.6687589999999998E-3</v>
      </c>
      <c r="Z6210">
        <v>-5.4164190000000001E-2</v>
      </c>
      <c r="AA6210">
        <v>0.9984944</v>
      </c>
      <c r="AB6210">
        <v>27</v>
      </c>
      <c r="AC6210">
        <v>-0.63769999999999505</v>
      </c>
      <c r="AD6210">
        <v>-1.109704838386</v>
      </c>
      <c r="AE6210">
        <v>20.180667</v>
      </c>
      <c r="AF6210">
        <v>-0.17718002777831099</v>
      </c>
      <c r="AG6210">
        <v>-1.109704838386</v>
      </c>
      <c r="AH6210">
        <v>20.129153340590999</v>
      </c>
      <c r="AI6210">
        <v>93.155356388213505</v>
      </c>
      <c r="AJ6210">
        <v>90.504313592781997</v>
      </c>
      <c r="AK6210">
        <v>20.160497310324601</v>
      </c>
      <c r="AL6210">
        <v>78.762298016090497</v>
      </c>
      <c r="AM6210">
        <v>88.794389887560598</v>
      </c>
      <c r="AN6210">
        <v>0.99999999530119399</v>
      </c>
    </row>
    <row r="6211" spans="1:40" x14ac:dyDescent="0.25">
      <c r="A6211" t="str">
        <f>"20190312172829321"</f>
        <v>20190312172829321</v>
      </c>
      <c r="B6211" t="str">
        <f>"1552382909316048"</f>
        <v>1552382909316048</v>
      </c>
      <c r="C6211" t="s">
        <v>40</v>
      </c>
      <c r="D6211">
        <v>3.1645970000000001</v>
      </c>
      <c r="E6211">
        <v>0.49334230000000001</v>
      </c>
      <c r="F6211" t="s">
        <v>41</v>
      </c>
      <c r="G6211">
        <v>-187.65729999999999</v>
      </c>
      <c r="H6211" s="1">
        <v>-1.8490509999999999E-6</v>
      </c>
      <c r="I6211">
        <v>22.97429</v>
      </c>
      <c r="J6211">
        <v>-187.00819999999999</v>
      </c>
      <c r="K6211">
        <v>1.109704</v>
      </c>
      <c r="L6211">
        <v>3.0118100000000001</v>
      </c>
      <c r="M6211">
        <v>-2.3458050000000001E-2</v>
      </c>
      <c r="N6211">
        <v>0</v>
      </c>
      <c r="O6211">
        <v>0.99969759999999996</v>
      </c>
      <c r="P6211">
        <v>-1.6505020000000001E-3</v>
      </c>
      <c r="Q6211">
        <v>0.1873253</v>
      </c>
      <c r="R6211">
        <v>0.98229650000000002</v>
      </c>
      <c r="S6211">
        <v>-0.1000977</v>
      </c>
      <c r="T6211">
        <v>-0.16944719999999999</v>
      </c>
      <c r="U6211">
        <v>3.0864259999999999</v>
      </c>
      <c r="V6211">
        <v>2.1158320000000001E-2</v>
      </c>
      <c r="W6211">
        <v>0.1945954</v>
      </c>
      <c r="X6211">
        <v>0.98065539999999995</v>
      </c>
      <c r="Y6211">
        <v>-8.9105669999999994E-3</v>
      </c>
      <c r="Z6211">
        <v>-5.4780189999999999E-2</v>
      </c>
      <c r="AA6211">
        <v>0.99845870000000003</v>
      </c>
      <c r="AB6211">
        <v>27</v>
      </c>
      <c r="AC6211">
        <v>-0.64910000000000401</v>
      </c>
      <c r="AD6211">
        <v>-1.1097058490509999</v>
      </c>
      <c r="AE6211">
        <v>19.962479999999999</v>
      </c>
      <c r="AF6211">
        <v>-0.18007190320573099</v>
      </c>
      <c r="AG6211">
        <v>-1.1097058490509999</v>
      </c>
      <c r="AH6211">
        <v>19.9107502613336</v>
      </c>
      <c r="AI6211">
        <v>93.1898927598548</v>
      </c>
      <c r="AJ6211">
        <v>90.518166249120895</v>
      </c>
      <c r="AK6211">
        <v>19.942463461943198</v>
      </c>
      <c r="AL6211">
        <v>78.778911366640699</v>
      </c>
      <c r="AM6211">
        <v>88.763995609438197</v>
      </c>
      <c r="AN6211">
        <v>1.00000002887777</v>
      </c>
    </row>
    <row r="6212" spans="1:40" x14ac:dyDescent="0.25">
      <c r="A6212" t="str">
        <f>"20190312172829345"</f>
        <v>20190312172829345</v>
      </c>
      <c r="B6212" t="str">
        <f>"1552382909335567"</f>
        <v>1552382909335567</v>
      </c>
      <c r="C6212" t="s">
        <v>40</v>
      </c>
      <c r="D6212">
        <v>3.1366520000000002</v>
      </c>
      <c r="E6212">
        <v>0.49337439999999999</v>
      </c>
      <c r="F6212" t="s">
        <v>41</v>
      </c>
      <c r="G6212">
        <v>-187.67509999999999</v>
      </c>
      <c r="H6212" s="1">
        <v>-1.9322380000000001E-6</v>
      </c>
      <c r="I6212">
        <v>23.175560000000001</v>
      </c>
      <c r="J6212">
        <v>-187.0155</v>
      </c>
      <c r="K6212">
        <v>1.109704</v>
      </c>
      <c r="L6212">
        <v>3.290375</v>
      </c>
      <c r="M6212">
        <v>-2.4206910000000002E-2</v>
      </c>
      <c r="N6212">
        <v>0</v>
      </c>
      <c r="O6212">
        <v>0.99967980000000001</v>
      </c>
      <c r="P6212">
        <v>-2.4595260000000001E-3</v>
      </c>
      <c r="Q6212">
        <v>0.1868312</v>
      </c>
      <c r="R6212">
        <v>0.98238899999999996</v>
      </c>
      <c r="S6212">
        <v>-0.1020813</v>
      </c>
      <c r="T6212">
        <v>-0.169852</v>
      </c>
      <c r="U6212">
        <v>3.0862729999999998</v>
      </c>
      <c r="V6212">
        <v>2.108645E-2</v>
      </c>
      <c r="W6212">
        <v>0.19408839999999999</v>
      </c>
      <c r="X6212">
        <v>0.9807574</v>
      </c>
      <c r="Y6212">
        <v>-8.8039169999999996E-3</v>
      </c>
      <c r="Z6212">
        <v>-5.4911349999999998E-2</v>
      </c>
      <c r="AA6212">
        <v>0.99845240000000002</v>
      </c>
      <c r="AB6212">
        <v>27</v>
      </c>
      <c r="AC6212">
        <v>-0.65959999999998298</v>
      </c>
      <c r="AD6212">
        <v>-1.1097059322380001</v>
      </c>
      <c r="AE6212">
        <v>19.885185</v>
      </c>
      <c r="AF6212">
        <v>-0.1774826265154</v>
      </c>
      <c r="AG6212">
        <v>-1.1097059322380001</v>
      </c>
      <c r="AH6212">
        <v>19.833625616754201</v>
      </c>
      <c r="AI6212">
        <v>93.202274129841598</v>
      </c>
      <c r="AJ6212">
        <v>90.512701722391995</v>
      </c>
      <c r="AK6212">
        <v>19.8654386421324</v>
      </c>
      <c r="AL6212">
        <v>78.808524746365094</v>
      </c>
      <c r="AM6212">
        <v>88.768320809434996</v>
      </c>
      <c r="AN6212">
        <v>1.00000001152146</v>
      </c>
    </row>
    <row r="6213" spans="1:40" x14ac:dyDescent="0.25">
      <c r="A6213" t="str">
        <f>"20190312172829366"</f>
        <v>20190312172829366</v>
      </c>
      <c r="B6213" t="str">
        <f>"1552382909356063"</f>
        <v>1552382909356063</v>
      </c>
      <c r="C6213" t="s">
        <v>40</v>
      </c>
      <c r="D6213">
        <v>3.095348</v>
      </c>
      <c r="E6213">
        <v>0.49335770000000001</v>
      </c>
      <c r="F6213" t="s">
        <v>41</v>
      </c>
      <c r="G6213">
        <v>-187.6891</v>
      </c>
      <c r="H6213" s="1">
        <v>-1.9353630000000002E-6</v>
      </c>
      <c r="I6213">
        <v>23.188639999999999</v>
      </c>
      <c r="J6213">
        <v>-187.02260000000001</v>
      </c>
      <c r="K6213">
        <v>1.1096980000000001</v>
      </c>
      <c r="L6213">
        <v>3.5520939999999999</v>
      </c>
      <c r="M6213">
        <v>-2.491024E-2</v>
      </c>
      <c r="N6213">
        <v>0</v>
      </c>
      <c r="O6213">
        <v>0.99966259999999996</v>
      </c>
      <c r="P6213">
        <v>-3.4354609999999999E-3</v>
      </c>
      <c r="Q6213">
        <v>0.18630160000000001</v>
      </c>
      <c r="R6213">
        <v>0.98248659999999999</v>
      </c>
      <c r="S6213">
        <v>-0.1044769</v>
      </c>
      <c r="T6213">
        <v>-0.17211660000000001</v>
      </c>
      <c r="U6213">
        <v>3.0862430000000001</v>
      </c>
      <c r="V6213">
        <v>2.0803439999999999E-2</v>
      </c>
      <c r="W6213">
        <v>0.193549</v>
      </c>
      <c r="X6213">
        <v>0.98087000000000002</v>
      </c>
      <c r="Y6213">
        <v>-8.8735129999999995E-3</v>
      </c>
      <c r="Z6213">
        <v>-5.5639599999999997E-2</v>
      </c>
      <c r="AA6213">
        <v>0.99841150000000001</v>
      </c>
      <c r="AB6213">
        <v>27</v>
      </c>
      <c r="AC6213">
        <v>-0.66649999999998499</v>
      </c>
      <c r="AD6213">
        <v>-1.1096999353629999</v>
      </c>
      <c r="AE6213">
        <v>19.636545999999999</v>
      </c>
      <c r="AF6213">
        <v>-0.176565614921392</v>
      </c>
      <c r="AG6213">
        <v>-1.1096999353629999</v>
      </c>
      <c r="AH6213">
        <v>19.584582006879302</v>
      </c>
      <c r="AI6213">
        <v>93.242889438570998</v>
      </c>
      <c r="AJ6213">
        <v>90.516538492535801</v>
      </c>
      <c r="AK6213">
        <v>19.6167903018587</v>
      </c>
      <c r="AL6213">
        <v>78.840027082245399</v>
      </c>
      <c r="AM6213">
        <v>88.7849861499095</v>
      </c>
      <c r="AN6213">
        <v>0.99999997770841598</v>
      </c>
    </row>
    <row r="6214" spans="1:40" x14ac:dyDescent="0.25">
      <c r="A6214" t="str">
        <f>"20190312172829389"</f>
        <v>20190312172829389</v>
      </c>
      <c r="B6214" t="str">
        <f>"1552382909386319"</f>
        <v>1552382909386319</v>
      </c>
      <c r="C6214" t="s">
        <v>40</v>
      </c>
      <c r="D6214">
        <v>3.0404749999999998</v>
      </c>
      <c r="E6214">
        <v>0.49325770000000002</v>
      </c>
      <c r="F6214" t="s">
        <v>41</v>
      </c>
      <c r="G6214">
        <v>-187.70740000000001</v>
      </c>
      <c r="H6214" s="1">
        <v>-1.9513139999999998E-6</v>
      </c>
      <c r="I6214">
        <v>23.233370000000001</v>
      </c>
      <c r="J6214">
        <v>-187.03020000000001</v>
      </c>
      <c r="K6214">
        <v>1.109694</v>
      </c>
      <c r="L6214">
        <v>3.8254999999999999</v>
      </c>
      <c r="M6214">
        <v>-2.5644420000000001E-2</v>
      </c>
      <c r="N6214">
        <v>0</v>
      </c>
      <c r="O6214">
        <v>0.99964410000000004</v>
      </c>
      <c r="P6214">
        <v>-4.4944520000000003E-3</v>
      </c>
      <c r="Q6214">
        <v>0.1854903</v>
      </c>
      <c r="R6214">
        <v>0.98263590000000001</v>
      </c>
      <c r="S6214">
        <v>-0.1073761</v>
      </c>
      <c r="T6214">
        <v>-0.17400460000000001</v>
      </c>
      <c r="U6214">
        <v>3.08609</v>
      </c>
      <c r="V6214">
        <v>2.0469459999999998E-2</v>
      </c>
      <c r="W6214">
        <v>0.19273019999999999</v>
      </c>
      <c r="X6214">
        <v>0.98103830000000003</v>
      </c>
      <c r="Y6214">
        <v>-9.0764190000000005E-3</v>
      </c>
      <c r="Z6214">
        <v>-5.6248230000000003E-2</v>
      </c>
      <c r="AA6214">
        <v>0.99837549999999997</v>
      </c>
      <c r="AB6214">
        <v>27</v>
      </c>
      <c r="AC6214">
        <v>-0.67719999999999902</v>
      </c>
      <c r="AD6214">
        <v>-1.1096959513139999</v>
      </c>
      <c r="AE6214">
        <v>19.407869999999999</v>
      </c>
      <c r="AF6214">
        <v>-0.178676823944452</v>
      </c>
      <c r="AG6214">
        <v>-1.1096959513139999</v>
      </c>
      <c r="AH6214">
        <v>19.355651701573802</v>
      </c>
      <c r="AI6214">
        <v>93.281143424907896</v>
      </c>
      <c r="AJ6214">
        <v>90.528896535449604</v>
      </c>
      <c r="AK6214">
        <v>19.388259419154</v>
      </c>
      <c r="AL6214">
        <v>78.887841818432605</v>
      </c>
      <c r="AM6214">
        <v>88.804691401299195</v>
      </c>
      <c r="AN6214">
        <v>1.00000003742581</v>
      </c>
    </row>
    <row r="6215" spans="1:40" x14ac:dyDescent="0.25">
      <c r="A6215" t="str">
        <f>"20190312172829412"</f>
        <v>20190312172829412</v>
      </c>
      <c r="B6215" t="str">
        <f>"1552382909405841"</f>
        <v>1552382909405841</v>
      </c>
      <c r="C6215" t="s">
        <v>40</v>
      </c>
      <c r="D6215">
        <v>3.0100120000000001</v>
      </c>
      <c r="E6215">
        <v>0.49324750000000001</v>
      </c>
      <c r="F6215" t="s">
        <v>41</v>
      </c>
      <c r="G6215">
        <v>-187.73140000000001</v>
      </c>
      <c r="H6215" s="1">
        <v>-1.9586140000000002E-6</v>
      </c>
      <c r="I6215">
        <v>23.260300000000001</v>
      </c>
      <c r="J6215">
        <v>-187.0384</v>
      </c>
      <c r="K6215">
        <v>1.109694</v>
      </c>
      <c r="L6215">
        <v>4.1119690000000002</v>
      </c>
      <c r="M6215">
        <v>-2.6413039999999999E-2</v>
      </c>
      <c r="N6215">
        <v>0</v>
      </c>
      <c r="O6215">
        <v>0.99962410000000002</v>
      </c>
      <c r="P6215">
        <v>-5.0118810000000001E-3</v>
      </c>
      <c r="Q6215">
        <v>0.18495449999999999</v>
      </c>
      <c r="R6215">
        <v>0.98273429999999995</v>
      </c>
      <c r="S6215">
        <v>-0.1113281</v>
      </c>
      <c r="T6215">
        <v>-0.17619170000000001</v>
      </c>
      <c r="U6215">
        <v>3.0857540000000001</v>
      </c>
      <c r="V6215">
        <v>2.0709390000000001E-2</v>
      </c>
      <c r="W6215">
        <v>0.19218940000000001</v>
      </c>
      <c r="X6215">
        <v>0.98113930000000005</v>
      </c>
      <c r="Y6215">
        <v>-9.5869270000000003E-3</v>
      </c>
      <c r="Z6215">
        <v>-5.6955999999999903E-2</v>
      </c>
      <c r="AA6215">
        <v>0.99833070000000002</v>
      </c>
      <c r="AB6215">
        <v>27</v>
      </c>
      <c r="AC6215">
        <v>-0.69300000000001205</v>
      </c>
      <c r="AD6215">
        <v>-1.1096959586139901</v>
      </c>
      <c r="AE6215">
        <v>19.148330999999999</v>
      </c>
      <c r="AF6215">
        <v>-0.186353866173536</v>
      </c>
      <c r="AG6215">
        <v>-1.1096959586139901</v>
      </c>
      <c r="AH6215">
        <v>19.0959049776366</v>
      </c>
      <c r="AI6215">
        <v>93.325658157814402</v>
      </c>
      <c r="AJ6215">
        <v>90.559122550577797</v>
      </c>
      <c r="AK6215">
        <v>19.129028720740902</v>
      </c>
      <c r="AL6215">
        <v>78.919417104108106</v>
      </c>
      <c r="AM6215">
        <v>88.790809342003001</v>
      </c>
      <c r="AN6215">
        <v>0.99999998515551103</v>
      </c>
    </row>
    <row r="6216" spans="1:40" x14ac:dyDescent="0.25">
      <c r="A6216" t="str">
        <f>"20190312172829437"</f>
        <v>20190312172829437</v>
      </c>
      <c r="B6216" t="str">
        <f>"1552382909426336"</f>
        <v>1552382909426336</v>
      </c>
      <c r="C6216" t="s">
        <v>40</v>
      </c>
      <c r="D6216">
        <v>2.9824389999999998</v>
      </c>
      <c r="E6216">
        <v>0.49325639999999998</v>
      </c>
      <c r="F6216" t="s">
        <v>41</v>
      </c>
      <c r="G6216">
        <v>-187.744</v>
      </c>
      <c r="H6216" s="1">
        <v>-2.0110939999999999E-6</v>
      </c>
      <c r="I6216">
        <v>23.38785</v>
      </c>
      <c r="J6216">
        <v>-187.04669999999999</v>
      </c>
      <c r="K6216">
        <v>1.1096919999999999</v>
      </c>
      <c r="L6216">
        <v>4.3976439999999997</v>
      </c>
      <c r="M6216">
        <v>-2.7178799999999999E-2</v>
      </c>
      <c r="N6216">
        <v>0</v>
      </c>
      <c r="O6216">
        <v>0.99960360000000004</v>
      </c>
      <c r="P6216">
        <v>-5.9808739999999997E-3</v>
      </c>
      <c r="Q6216">
        <v>0.18444679999999999</v>
      </c>
      <c r="R6216">
        <v>0.98282429999999998</v>
      </c>
      <c r="S6216">
        <v>-0.11294559999999999</v>
      </c>
      <c r="T6216">
        <v>-0.17763380000000001</v>
      </c>
      <c r="U6216">
        <v>3.0855709999999998</v>
      </c>
      <c r="V6216">
        <v>2.0495099999999999E-2</v>
      </c>
      <c r="W6216">
        <v>0.1916774</v>
      </c>
      <c r="X6216">
        <v>0.98124400000000001</v>
      </c>
      <c r="Y6216">
        <v>-9.3446880000000003E-3</v>
      </c>
      <c r="Z6216">
        <v>-5.742179E-2</v>
      </c>
      <c r="AA6216">
        <v>0.99830629999999998</v>
      </c>
      <c r="AB6216">
        <v>27</v>
      </c>
      <c r="AC6216">
        <v>-0.697300000000041</v>
      </c>
      <c r="AD6216">
        <v>-1.1096940110939999</v>
      </c>
      <c r="AE6216">
        <v>18.990206000000001</v>
      </c>
      <c r="AF6216">
        <v>-0.18028268502650499</v>
      </c>
      <c r="AG6216">
        <v>-1.1096940110939999</v>
      </c>
      <c r="AH6216">
        <v>18.9375644788174</v>
      </c>
      <c r="AI6216">
        <v>93.353403244143394</v>
      </c>
      <c r="AJ6216">
        <v>90.545430483222603</v>
      </c>
      <c r="AK6216">
        <v>18.970905909685602</v>
      </c>
      <c r="AL6216">
        <v>78.949308797074906</v>
      </c>
      <c r="AM6216">
        <v>88.803445411203299</v>
      </c>
      <c r="AN6216">
        <v>1.0000000311653801</v>
      </c>
    </row>
    <row r="6217" spans="1:40" x14ac:dyDescent="0.25">
      <c r="A6217" t="str">
        <f>"20190312172829479"</f>
        <v>20190312172829479</v>
      </c>
      <c r="B6217" t="str">
        <f>"1552382909476111"</f>
        <v>1552382909476111</v>
      </c>
      <c r="C6217" t="s">
        <v>40</v>
      </c>
      <c r="D6217">
        <v>3.0172129999999999</v>
      </c>
      <c r="E6217">
        <v>0.4934075</v>
      </c>
      <c r="F6217" t="s">
        <v>41</v>
      </c>
      <c r="G6217">
        <v>-187.76750000000001</v>
      </c>
      <c r="H6217" s="1">
        <v>-2.0937649999999998E-6</v>
      </c>
      <c r="I6217">
        <v>23.59028</v>
      </c>
      <c r="J6217">
        <v>-187.0624</v>
      </c>
      <c r="K6217">
        <v>1.1096790000000001</v>
      </c>
      <c r="L6217">
        <v>4.9136660000000001</v>
      </c>
      <c r="M6217">
        <v>-2.856007E-2</v>
      </c>
      <c r="N6217">
        <v>0</v>
      </c>
      <c r="O6217">
        <v>0.99956520000000004</v>
      </c>
      <c r="P6217">
        <v>-7.4229609999999996E-3</v>
      </c>
      <c r="Q6217">
        <v>0.18339359999999999</v>
      </c>
      <c r="R6217">
        <v>0.98301150000000004</v>
      </c>
      <c r="S6217">
        <v>-0.11586</v>
      </c>
      <c r="T6217">
        <v>-0.1783826</v>
      </c>
      <c r="U6217">
        <v>3.0852050000000002</v>
      </c>
      <c r="V6217">
        <v>2.041552E-2</v>
      </c>
      <c r="W6217">
        <v>0.1906243</v>
      </c>
      <c r="X6217">
        <v>0.98145070000000001</v>
      </c>
      <c r="Y6217">
        <v>-8.9084619999999903E-3</v>
      </c>
      <c r="Z6217">
        <v>-5.7665660000000001E-2</v>
      </c>
      <c r="AA6217">
        <v>0.99829619999999997</v>
      </c>
      <c r="AB6217">
        <v>27</v>
      </c>
      <c r="AC6217">
        <v>-0.70510000000001505</v>
      </c>
      <c r="AD6217">
        <v>-1.1096810937649999</v>
      </c>
      <c r="AE6217">
        <v>18.676614000000001</v>
      </c>
      <c r="AF6217">
        <v>-0.17079055635332199</v>
      </c>
      <c r="AG6217">
        <v>-1.1096810937649999</v>
      </c>
      <c r="AH6217">
        <v>18.623482073549699</v>
      </c>
      <c r="AI6217">
        <v>93.409797079663406</v>
      </c>
      <c r="AJ6217">
        <v>90.525428258060501</v>
      </c>
      <c r="AK6217">
        <v>18.6572947151463</v>
      </c>
      <c r="AL6217">
        <v>79.0107795424084</v>
      </c>
      <c r="AM6217">
        <v>88.808341097068194</v>
      </c>
      <c r="AN6217">
        <v>0.99999994686892302</v>
      </c>
    </row>
    <row r="6218" spans="1:40" x14ac:dyDescent="0.25">
      <c r="A6218" t="str">
        <f>"20190312172829500"</f>
        <v>20190312172829500</v>
      </c>
      <c r="B6218" t="str">
        <f>"1552382909495632"</f>
        <v>1552382909495632</v>
      </c>
      <c r="C6218" t="s">
        <v>40</v>
      </c>
      <c r="D6218">
        <v>3.0041359999999999</v>
      </c>
      <c r="E6218">
        <v>0.53193869999999999</v>
      </c>
      <c r="F6218" t="s">
        <v>41</v>
      </c>
      <c r="G6218">
        <v>-187.79169999999999</v>
      </c>
      <c r="H6218" s="1">
        <v>-2.2241270000000001E-6</v>
      </c>
      <c r="I6218">
        <v>23.904160000000001</v>
      </c>
      <c r="J6218">
        <v>-187.07089999999999</v>
      </c>
      <c r="K6218">
        <v>1.109685</v>
      </c>
      <c r="L6218">
        <v>5.1849669999999897</v>
      </c>
      <c r="M6218">
        <v>-2.928557E-2</v>
      </c>
      <c r="N6218">
        <v>0</v>
      </c>
      <c r="O6218">
        <v>0.99954410000000005</v>
      </c>
      <c r="P6218">
        <v>-7.4709980000000004E-3</v>
      </c>
      <c r="Q6218">
        <v>0.1828534</v>
      </c>
      <c r="R6218">
        <v>0.98311179999999998</v>
      </c>
      <c r="S6218">
        <v>-0.118454</v>
      </c>
      <c r="T6218">
        <v>-0.18024190000000001</v>
      </c>
      <c r="U6218">
        <v>3.0845639999999999</v>
      </c>
      <c r="V6218">
        <v>2.1083080000000001E-2</v>
      </c>
      <c r="W6218">
        <v>0.1900934</v>
      </c>
      <c r="X6218">
        <v>0.98153959999999996</v>
      </c>
      <c r="Y6218">
        <v>-9.0274039999999993E-3</v>
      </c>
      <c r="Z6218">
        <v>-5.827396E-2</v>
      </c>
      <c r="AA6218">
        <v>0.99825980000000003</v>
      </c>
      <c r="AB6218">
        <v>27</v>
      </c>
      <c r="AC6218">
        <v>-0.720799999999997</v>
      </c>
      <c r="AD6218">
        <v>-1.1096872241269999</v>
      </c>
      <c r="AE6218">
        <v>18.719193000000001</v>
      </c>
      <c r="AF6218">
        <v>-0.171671402175615</v>
      </c>
      <c r="AG6218">
        <v>-1.1096872241269999</v>
      </c>
      <c r="AH6218">
        <v>18.666771528487299</v>
      </c>
      <c r="AI6218">
        <v>93.401926073400901</v>
      </c>
      <c r="AJ6218">
        <v>90.526913264159305</v>
      </c>
      <c r="AK6218">
        <v>18.700514327217299</v>
      </c>
      <c r="AL6218">
        <v>79.0417649430415</v>
      </c>
      <c r="AM6218">
        <v>88.769498674043305</v>
      </c>
      <c r="AN6218">
        <v>0.99999999167700304</v>
      </c>
    </row>
    <row r="6219" spans="1:40" x14ac:dyDescent="0.25">
      <c r="A6219" t="str">
        <f>"20190312172829522"</f>
        <v>20190312172829522</v>
      </c>
      <c r="B6219" t="str">
        <f>"1552382909516128"</f>
        <v>1552382909516128</v>
      </c>
      <c r="C6219" t="s">
        <v>40</v>
      </c>
      <c r="D6219">
        <v>2.9335110000000002</v>
      </c>
      <c r="E6219">
        <v>0.54328419999999999</v>
      </c>
      <c r="F6219" t="s">
        <v>44</v>
      </c>
      <c r="G6219">
        <v>-187.02600000000001</v>
      </c>
      <c r="H6219">
        <v>1.003007</v>
      </c>
      <c r="I6219">
        <v>5.9863309999999998</v>
      </c>
      <c r="J6219">
        <v>-187.0797</v>
      </c>
      <c r="K6219">
        <v>1.1096839999999999</v>
      </c>
      <c r="L6219">
        <v>5.4569400000000003</v>
      </c>
      <c r="M6219">
        <v>-3.0011260000000001E-2</v>
      </c>
      <c r="N6219">
        <v>0</v>
      </c>
      <c r="O6219">
        <v>0.99952249999999998</v>
      </c>
      <c r="P6219">
        <v>-7.6500980000000001E-3</v>
      </c>
      <c r="Q6219">
        <v>0.1826777</v>
      </c>
      <c r="R6219">
        <v>0.98314310000000005</v>
      </c>
      <c r="S6219">
        <v>0.1748962</v>
      </c>
      <c r="T6219">
        <v>-0.4167517</v>
      </c>
      <c r="U6219">
        <v>3.1303709999999998</v>
      </c>
      <c r="V6219">
        <v>2.1617709999999998E-2</v>
      </c>
      <c r="W6219">
        <v>0.1899286</v>
      </c>
      <c r="X6219">
        <v>0.98155990000000004</v>
      </c>
      <c r="Y6219">
        <v>8.5238590000000003E-2</v>
      </c>
      <c r="Z6219">
        <v>-0.13153709999999999</v>
      </c>
      <c r="AA6219">
        <v>0.98763979999999996</v>
      </c>
      <c r="AB6219">
        <v>27</v>
      </c>
      <c r="AC6219">
        <v>5.3700000000020502E-2</v>
      </c>
      <c r="AD6219">
        <v>-0.10667699999999999</v>
      </c>
      <c r="AE6219">
        <v>0.52939099999999895</v>
      </c>
      <c r="AF6219">
        <v>6.68760307302146E-2</v>
      </c>
      <c r="AG6219">
        <v>-0.10667699999999999</v>
      </c>
      <c r="AH6219">
        <v>0.50715708158027795</v>
      </c>
      <c r="AI6219">
        <v>101.779520254273</v>
      </c>
      <c r="AJ6219">
        <v>82.488058682564002</v>
      </c>
      <c r="AK6219">
        <v>0.52255209425688198</v>
      </c>
      <c r="AL6219">
        <v>79.051382791128503</v>
      </c>
      <c r="AM6219">
        <v>88.7383313613403</v>
      </c>
      <c r="AN6219">
        <v>1.0000000178858</v>
      </c>
    </row>
    <row r="6220" spans="1:40" x14ac:dyDescent="0.25">
      <c r="A6220" t="str">
        <f>"20190312172829545"</f>
        <v>20190312172829545</v>
      </c>
      <c r="B6220" t="str">
        <f>"1552382909535648"</f>
        <v>1552382909535648</v>
      </c>
      <c r="C6220" t="s">
        <v>40</v>
      </c>
      <c r="D6220">
        <v>2.9083969999999999</v>
      </c>
      <c r="E6220">
        <v>0.54920139999999995</v>
      </c>
      <c r="F6220" t="s">
        <v>44</v>
      </c>
      <c r="G6220">
        <v>-187.0162</v>
      </c>
      <c r="H6220">
        <v>0.98737430000000004</v>
      </c>
      <c r="I6220">
        <v>6.2258060000000004</v>
      </c>
      <c r="J6220">
        <v>-187.08869999999999</v>
      </c>
      <c r="K6220">
        <v>1.1096839999999999</v>
      </c>
      <c r="L6220">
        <v>5.7338870000000002</v>
      </c>
      <c r="M6220">
        <v>-3.074549E-2</v>
      </c>
      <c r="N6220">
        <v>0</v>
      </c>
      <c r="O6220">
        <v>0.9995001</v>
      </c>
      <c r="P6220">
        <v>-7.9905529999999992E-3</v>
      </c>
      <c r="Q6220">
        <v>0.18226780000000001</v>
      </c>
      <c r="R6220">
        <v>0.98321650000000005</v>
      </c>
      <c r="S6220">
        <v>0.25947569999999998</v>
      </c>
      <c r="T6220">
        <v>-0.50054200000000004</v>
      </c>
      <c r="U6220">
        <v>3.1464539999999999</v>
      </c>
      <c r="V6220">
        <v>2.2001719999999999E-2</v>
      </c>
      <c r="W6220">
        <v>0.18953120000000001</v>
      </c>
      <c r="X6220">
        <v>0.98162819999999995</v>
      </c>
      <c r="Y6220">
        <v>0.1117795</v>
      </c>
      <c r="Z6220">
        <v>-0.15624270000000001</v>
      </c>
      <c r="AA6220">
        <v>0.9813733</v>
      </c>
      <c r="AB6220">
        <v>28</v>
      </c>
      <c r="AC6220">
        <v>7.2499999999990905E-2</v>
      </c>
      <c r="AD6220">
        <v>-0.12230969999999999</v>
      </c>
      <c r="AE6220">
        <v>0.491918999999999</v>
      </c>
      <c r="AF6220">
        <v>8.2593009831164396E-2</v>
      </c>
      <c r="AG6220">
        <v>-0.12230969999999999</v>
      </c>
      <c r="AH6220">
        <v>0.46153165293105303</v>
      </c>
      <c r="AI6220">
        <v>104.62058308652701</v>
      </c>
      <c r="AJ6220">
        <v>79.854078443582097</v>
      </c>
      <c r="AK6220">
        <v>0.48455416069241503</v>
      </c>
      <c r="AL6220">
        <v>79.074573573772795</v>
      </c>
      <c r="AM6220">
        <v>88.716016240176998</v>
      </c>
      <c r="AN6220">
        <v>1.00000003724581</v>
      </c>
    </row>
    <row r="6221" spans="1:40" x14ac:dyDescent="0.25">
      <c r="A6221" t="str">
        <f>"20190312172829566"</f>
        <v>20190312172829566</v>
      </c>
      <c r="B6221" t="str">
        <f>"1552382909556143"</f>
        <v>1552382909556143</v>
      </c>
      <c r="C6221" t="s">
        <v>40</v>
      </c>
      <c r="D6221">
        <v>2.8807320000000001</v>
      </c>
      <c r="E6221">
        <v>0.5528518</v>
      </c>
      <c r="F6221" t="s">
        <v>44</v>
      </c>
      <c r="G6221">
        <v>-187.01750000000001</v>
      </c>
      <c r="H6221">
        <v>0.98281090000000004</v>
      </c>
      <c r="I6221">
        <v>6.4710679999999998</v>
      </c>
      <c r="J6221">
        <v>-187.09780000000001</v>
      </c>
      <c r="K6221">
        <v>1.1096790000000001</v>
      </c>
      <c r="L6221">
        <v>6.0040589999999998</v>
      </c>
      <c r="M6221">
        <v>-3.1453099999999998E-2</v>
      </c>
      <c r="N6221">
        <v>0</v>
      </c>
      <c r="O6221">
        <v>0.99947799999999998</v>
      </c>
      <c r="P6221">
        <v>-8.5856470000000001E-3</v>
      </c>
      <c r="Q6221">
        <v>0.18213499999999999</v>
      </c>
      <c r="R6221">
        <v>0.98323609999999995</v>
      </c>
      <c r="S6221">
        <v>0.30392459999999999</v>
      </c>
      <c r="T6221">
        <v>-0.54292499999999999</v>
      </c>
      <c r="U6221">
        <v>3.1543269999999999</v>
      </c>
      <c r="V6221">
        <v>2.2104599999999999E-2</v>
      </c>
      <c r="W6221">
        <v>0.18940989999999999</v>
      </c>
      <c r="X6221">
        <v>0.98164929999999995</v>
      </c>
      <c r="Y6221">
        <v>0.12579599999999999</v>
      </c>
      <c r="Z6221">
        <v>-0.1684466</v>
      </c>
      <c r="AA6221">
        <v>0.97765080000000004</v>
      </c>
      <c r="AB6221">
        <v>28</v>
      </c>
      <c r="AC6221">
        <v>8.0299999999994001E-2</v>
      </c>
      <c r="AD6221">
        <v>-0.12686810000000001</v>
      </c>
      <c r="AE6221">
        <v>0.46700900000000001</v>
      </c>
      <c r="AF6221">
        <v>8.8598752723674498E-2</v>
      </c>
      <c r="AG6221">
        <v>-0.12686810000000001</v>
      </c>
      <c r="AH6221">
        <v>0.43320020110502</v>
      </c>
      <c r="AI6221">
        <v>106.009409695255</v>
      </c>
      <c r="AJ6221">
        <v>78.4411868689442</v>
      </c>
      <c r="AK6221">
        <v>0.46000833472800301</v>
      </c>
      <c r="AL6221">
        <v>79.081651747870694</v>
      </c>
      <c r="AM6221">
        <v>88.710042076762505</v>
      </c>
      <c r="AN6221">
        <v>1.00000003587482</v>
      </c>
    </row>
    <row r="6222" spans="1:40" x14ac:dyDescent="0.25">
      <c r="A6222" t="str">
        <f>"20190312172829590"</f>
        <v>20190312172829590</v>
      </c>
      <c r="B6222" t="str">
        <f>"1552382909585424"</f>
        <v>1552382909585424</v>
      </c>
      <c r="C6222" t="s">
        <v>40</v>
      </c>
      <c r="D6222">
        <v>2.8508819999999999</v>
      </c>
      <c r="E6222">
        <v>0.55581080000000005</v>
      </c>
      <c r="F6222" t="s">
        <v>44</v>
      </c>
      <c r="G6222">
        <v>-187.0231</v>
      </c>
      <c r="H6222">
        <v>0.98186609999999996</v>
      </c>
      <c r="I6222">
        <v>6.7185759999999997</v>
      </c>
      <c r="J6222">
        <v>-187.10769999999999</v>
      </c>
      <c r="K6222">
        <v>1.109677</v>
      </c>
      <c r="L6222">
        <v>6.2924800000000003</v>
      </c>
      <c r="M6222">
        <v>-3.2188399999999999E-2</v>
      </c>
      <c r="N6222">
        <v>0</v>
      </c>
      <c r="O6222">
        <v>0.99945439999999997</v>
      </c>
      <c r="P6222">
        <v>-9.1673420000000002E-3</v>
      </c>
      <c r="Q6222">
        <v>0.18198339999999999</v>
      </c>
      <c r="R6222">
        <v>0.98325890000000005</v>
      </c>
      <c r="S6222">
        <v>0.3300323</v>
      </c>
      <c r="T6222">
        <v>-0.56503130000000001</v>
      </c>
      <c r="U6222">
        <v>3.1586910000000001</v>
      </c>
      <c r="V6222">
        <v>2.225129E-2</v>
      </c>
      <c r="W6222">
        <v>0.18927550000000001</v>
      </c>
      <c r="X6222">
        <v>0.98167190000000004</v>
      </c>
      <c r="Y6222">
        <v>0.13427829999999999</v>
      </c>
      <c r="Z6222">
        <v>-0.17468979999999901</v>
      </c>
      <c r="AA6222">
        <v>0.97542439999999997</v>
      </c>
      <c r="AB6222">
        <v>28</v>
      </c>
      <c r="AC6222">
        <v>8.4599999999994596E-2</v>
      </c>
      <c r="AD6222">
        <v>-0.12781090000000001</v>
      </c>
      <c r="AE6222">
        <v>0.42609599999999898</v>
      </c>
      <c r="AF6222">
        <v>9.0442924304055802E-2</v>
      </c>
      <c r="AG6222">
        <v>-0.12781090000000001</v>
      </c>
      <c r="AH6222">
        <v>0.38944101789539098</v>
      </c>
      <c r="AI6222">
        <v>107.72818949307199</v>
      </c>
      <c r="AJ6222">
        <v>76.925520678853701</v>
      </c>
      <c r="AK6222">
        <v>0.41973784096132899</v>
      </c>
      <c r="AL6222">
        <v>79.089494063549395</v>
      </c>
      <c r="AM6222">
        <v>88.701514495286204</v>
      </c>
      <c r="AN6222">
        <v>1.0000000270282601</v>
      </c>
    </row>
    <row r="6223" spans="1:40" x14ac:dyDescent="0.25">
      <c r="A6223" t="str">
        <f>"20190312172829614"</f>
        <v>20190312172829614</v>
      </c>
      <c r="B6223" t="str">
        <f>"1552382909605920"</f>
        <v>1552382909605920</v>
      </c>
      <c r="C6223" t="s">
        <v>40</v>
      </c>
      <c r="D6223">
        <v>2.883918</v>
      </c>
      <c r="E6223">
        <v>0.55730380000000002</v>
      </c>
      <c r="F6223" t="s">
        <v>44</v>
      </c>
      <c r="G6223">
        <v>-187.00710000000001</v>
      </c>
      <c r="H6223">
        <v>0.94244119999999998</v>
      </c>
      <c r="I6223">
        <v>7.1995559999999896</v>
      </c>
      <c r="J6223">
        <v>-187.1182</v>
      </c>
      <c r="K6223">
        <v>1.1096629999999901</v>
      </c>
      <c r="L6223">
        <v>6.5945130000000001</v>
      </c>
      <c r="M6223">
        <v>-3.2927810000000002E-2</v>
      </c>
      <c r="N6223">
        <v>0</v>
      </c>
      <c r="O6223">
        <v>0.99943020000000005</v>
      </c>
      <c r="P6223">
        <v>-9.2825029999999992E-3</v>
      </c>
      <c r="Q6223">
        <v>0.18213650000000001</v>
      </c>
      <c r="R6223">
        <v>0.98322949999999998</v>
      </c>
      <c r="S6223">
        <v>0.35054020000000002</v>
      </c>
      <c r="T6223">
        <v>-0.58302010000000004</v>
      </c>
      <c r="U6223">
        <v>3.1622620000000001</v>
      </c>
      <c r="V6223">
        <v>2.2869850000000001E-2</v>
      </c>
      <c r="W6223">
        <v>0.1894507</v>
      </c>
      <c r="X6223">
        <v>0.98162389999999999</v>
      </c>
      <c r="Y6223">
        <v>0.14104700000000001</v>
      </c>
      <c r="Z6223">
        <v>-0.1797241</v>
      </c>
      <c r="AA6223">
        <v>0.9735528</v>
      </c>
      <c r="AB6223">
        <v>28</v>
      </c>
      <c r="AC6223">
        <v>0.111099999999993</v>
      </c>
      <c r="AD6223">
        <v>-0.167221799999999</v>
      </c>
      <c r="AE6223">
        <v>0.605042999999999</v>
      </c>
      <c r="AF6223">
        <v>0.121951508459666</v>
      </c>
      <c r="AG6223">
        <v>-0.167221799999999</v>
      </c>
      <c r="AH6223">
        <v>0.55969797017088296</v>
      </c>
      <c r="AI6223">
        <v>106.27370266140299</v>
      </c>
      <c r="AJ6223">
        <v>77.708051113150404</v>
      </c>
      <c r="AK6223">
        <v>0.59673873564922397</v>
      </c>
      <c r="AL6223">
        <v>79.079271013356703</v>
      </c>
      <c r="AM6223">
        <v>88.665365750653194</v>
      </c>
      <c r="AN6223">
        <v>1.0000000394103601</v>
      </c>
    </row>
    <row r="6224" spans="1:40" x14ac:dyDescent="0.25">
      <c r="A6224" t="str">
        <f>"20190312172829638"</f>
        <v>20190312172829638</v>
      </c>
      <c r="B6224" t="str">
        <f>"1552382909636175"</f>
        <v>1552382909636175</v>
      </c>
      <c r="C6224" t="s">
        <v>40</v>
      </c>
      <c r="D6224">
        <v>2.887956</v>
      </c>
      <c r="E6224">
        <v>0.55868600000000002</v>
      </c>
      <c r="F6224" t="s">
        <v>44</v>
      </c>
      <c r="G6224">
        <v>-187.0204</v>
      </c>
      <c r="H6224">
        <v>0.94952499999999995</v>
      </c>
      <c r="I6224">
        <v>7.4524009999999903</v>
      </c>
      <c r="J6224">
        <v>-187.12870000000001</v>
      </c>
      <c r="K6224">
        <v>1.1096459999999999</v>
      </c>
      <c r="L6224">
        <v>6.8898619999999999</v>
      </c>
      <c r="M6224">
        <v>-3.3621430000000001E-2</v>
      </c>
      <c r="N6224">
        <v>0</v>
      </c>
      <c r="O6224">
        <v>0.99940689999999999</v>
      </c>
      <c r="P6224">
        <v>-1.000524E-2</v>
      </c>
      <c r="Q6224">
        <v>0.1822241</v>
      </c>
      <c r="R6224">
        <v>0.98320609999999997</v>
      </c>
      <c r="S6224">
        <v>0.36044310000000002</v>
      </c>
      <c r="T6224">
        <v>-0.5906169</v>
      </c>
      <c r="U6224">
        <v>3.1639710000000001</v>
      </c>
      <c r="V6224">
        <v>2.2837759999999999E-2</v>
      </c>
      <c r="W6224">
        <v>0.1895588</v>
      </c>
      <c r="X6224">
        <v>0.98160369999999997</v>
      </c>
      <c r="Y6224">
        <v>0.14464070000000001</v>
      </c>
      <c r="Z6224">
        <v>-0.181809</v>
      </c>
      <c r="AA6224">
        <v>0.972638</v>
      </c>
      <c r="AB6224">
        <v>28</v>
      </c>
      <c r="AC6224">
        <v>0.108300000000014</v>
      </c>
      <c r="AD6224">
        <v>-0.16012099999999899</v>
      </c>
      <c r="AE6224">
        <v>0.56253899999999901</v>
      </c>
      <c r="AF6224">
        <v>0.117938781032809</v>
      </c>
      <c r="AG6224">
        <v>-0.16012099999999899</v>
      </c>
      <c r="AH6224">
        <v>0.51810322526116803</v>
      </c>
      <c r="AI6224">
        <v>106.76983433321</v>
      </c>
      <c r="AJ6224">
        <v>77.175961115424698</v>
      </c>
      <c r="AK6224">
        <v>0.55495877571088903</v>
      </c>
      <c r="AL6224">
        <v>79.072962191737602</v>
      </c>
      <c r="AM6224">
        <v>88.667210360251701</v>
      </c>
      <c r="AN6224">
        <v>0.99999996289647297</v>
      </c>
    </row>
    <row r="6225" spans="1:40" x14ac:dyDescent="0.25">
      <c r="A6225" t="str">
        <f>"20190312172829657"</f>
        <v>20190312172829657</v>
      </c>
      <c r="B6225" t="str">
        <f>"1552382909645936"</f>
        <v>1552382909645936</v>
      </c>
      <c r="C6225" t="s">
        <v>40</v>
      </c>
      <c r="D6225">
        <v>2.9100030000000001</v>
      </c>
      <c r="E6225">
        <v>0.55914090000000005</v>
      </c>
      <c r="F6225" t="s">
        <v>44</v>
      </c>
      <c r="G6225">
        <v>-187.03370000000001</v>
      </c>
      <c r="H6225">
        <v>0.95530619999999999</v>
      </c>
      <c r="I6225">
        <v>7.7053320000000003</v>
      </c>
      <c r="J6225">
        <v>-187.13749999999999</v>
      </c>
      <c r="K6225">
        <v>1.1096299999999999</v>
      </c>
      <c r="L6225">
        <v>7.1363219999999998</v>
      </c>
      <c r="M6225">
        <v>-3.4167490000000002E-2</v>
      </c>
      <c r="N6225">
        <v>0</v>
      </c>
      <c r="O6225">
        <v>0.99938830000000001</v>
      </c>
      <c r="P6225">
        <v>-1.0386579999999999E-2</v>
      </c>
      <c r="Q6225">
        <v>0.18234790000000001</v>
      </c>
      <c r="R6225">
        <v>0.98317920000000003</v>
      </c>
      <c r="S6225">
        <v>0.36856080000000002</v>
      </c>
      <c r="T6225">
        <v>-0.5992267</v>
      </c>
      <c r="U6225">
        <v>3.1660460000000001</v>
      </c>
      <c r="V6225">
        <v>2.3002060000000001E-2</v>
      </c>
      <c r="W6225">
        <v>0.1896988</v>
      </c>
      <c r="X6225">
        <v>0.98157289999999997</v>
      </c>
      <c r="Y6225">
        <v>0.1475187</v>
      </c>
      <c r="Z6225">
        <v>-0.18418209999999999</v>
      </c>
      <c r="AA6225">
        <v>0.97175880000000003</v>
      </c>
      <c r="AB6225">
        <v>28</v>
      </c>
      <c r="AC6225">
        <v>0.10379999999997799</v>
      </c>
      <c r="AD6225">
        <v>-0.15432379999999901</v>
      </c>
      <c r="AE6225">
        <v>0.56901000000000002</v>
      </c>
      <c r="AF6225">
        <v>0.11499525208728099</v>
      </c>
      <c r="AG6225">
        <v>-0.15432379999999901</v>
      </c>
      <c r="AH6225">
        <v>0.52757394696218995</v>
      </c>
      <c r="AI6225">
        <v>105.95021755010001</v>
      </c>
      <c r="AJ6225">
        <v>77.703573770403693</v>
      </c>
      <c r="AK6225">
        <v>0.56158170622120596</v>
      </c>
      <c r="AL6225">
        <v>79.064793446183003</v>
      </c>
      <c r="AM6225">
        <v>88.657583360747395</v>
      </c>
      <c r="AN6225">
        <v>1.00000004375004</v>
      </c>
    </row>
    <row r="6226" spans="1:40" x14ac:dyDescent="0.25">
      <c r="A6226" t="str">
        <f>"20190312172829680"</f>
        <v>20190312172829680</v>
      </c>
      <c r="B6226" t="str">
        <f>"1552382909676192"</f>
        <v>1552382909676192</v>
      </c>
      <c r="C6226" t="s">
        <v>40</v>
      </c>
      <c r="D6226">
        <v>2.9242490000000001</v>
      </c>
      <c r="E6226">
        <v>0.58039799999999997</v>
      </c>
      <c r="F6226" t="s">
        <v>44</v>
      </c>
      <c r="G6226">
        <v>-187.04140000000001</v>
      </c>
      <c r="H6226">
        <v>0.95400479999999999</v>
      </c>
      <c r="I6226">
        <v>7.9559769999999999</v>
      </c>
      <c r="J6226">
        <v>-187.14760000000001</v>
      </c>
      <c r="K6226">
        <v>1.109605</v>
      </c>
      <c r="L6226">
        <v>7.4136050000000004</v>
      </c>
      <c r="M6226">
        <v>-3.4733090000000001E-2</v>
      </c>
      <c r="N6226">
        <v>0</v>
      </c>
      <c r="O6226">
        <v>0.99936860000000005</v>
      </c>
      <c r="P6226">
        <v>-1.051152E-2</v>
      </c>
      <c r="Q6226">
        <v>0.18247140000000001</v>
      </c>
      <c r="R6226">
        <v>0.983155</v>
      </c>
      <c r="S6226">
        <v>0.37078860000000002</v>
      </c>
      <c r="T6226">
        <v>-0.60126859999999904</v>
      </c>
      <c r="U6226">
        <v>3.1667480000000001</v>
      </c>
      <c r="V6226">
        <v>2.3446430000000001E-2</v>
      </c>
      <c r="W6226">
        <v>0.18984200000000001</v>
      </c>
      <c r="X6226">
        <v>0.98153469999999998</v>
      </c>
      <c r="Y6226">
        <v>0.14871599999999999</v>
      </c>
      <c r="Z6226">
        <v>-0.18471940000000001</v>
      </c>
      <c r="AA6226">
        <v>0.97147430000000001</v>
      </c>
      <c r="AB6226">
        <v>28</v>
      </c>
      <c r="AC6226">
        <v>0.106200000000001</v>
      </c>
      <c r="AD6226">
        <v>-0.15560019999999899</v>
      </c>
      <c r="AE6226">
        <v>0.54237199999999997</v>
      </c>
      <c r="AF6226">
        <v>0.11579603053486601</v>
      </c>
      <c r="AG6226">
        <v>-0.15560019999999899</v>
      </c>
      <c r="AH6226">
        <v>0.49881683126258503</v>
      </c>
      <c r="AI6226">
        <v>106.90185362334</v>
      </c>
      <c r="AJ6226">
        <v>76.930762087633596</v>
      </c>
      <c r="AK6226">
        <v>0.53519937787568295</v>
      </c>
      <c r="AL6226">
        <v>79.056436837951793</v>
      </c>
      <c r="AM6226">
        <v>88.631606143077803</v>
      </c>
      <c r="AN6226">
        <v>1.00000004367391</v>
      </c>
    </row>
    <row r="6227" spans="1:40" x14ac:dyDescent="0.25">
      <c r="A6227" t="str">
        <f>"20190312172829702"</f>
        <v>20190312172829702</v>
      </c>
      <c r="B6227" t="str">
        <f>"1552382909695712"</f>
        <v>1552382909695712</v>
      </c>
      <c r="C6227" t="s">
        <v>40</v>
      </c>
      <c r="D6227">
        <v>2.908512</v>
      </c>
      <c r="E6227">
        <v>0.58097509999999997</v>
      </c>
      <c r="F6227" t="s">
        <v>44</v>
      </c>
      <c r="G6227">
        <v>-187.01419999999999</v>
      </c>
      <c r="H6227">
        <v>0.94438619999999995</v>
      </c>
      <c r="I6227">
        <v>8.2060009999999899</v>
      </c>
      <c r="J6227">
        <v>-187.15790000000001</v>
      </c>
      <c r="K6227">
        <v>1.1095680000000001</v>
      </c>
      <c r="L6227">
        <v>7.6923830000000004</v>
      </c>
      <c r="M6227">
        <v>-3.5242870000000003E-2</v>
      </c>
      <c r="N6227">
        <v>0</v>
      </c>
      <c r="O6227">
        <v>0.99935059999999998</v>
      </c>
      <c r="P6227">
        <v>-1.0678109999999999E-2</v>
      </c>
      <c r="Q6227">
        <v>0.18276120000000001</v>
      </c>
      <c r="R6227">
        <v>0.98309930000000001</v>
      </c>
      <c r="S6227">
        <v>0.53578190000000003</v>
      </c>
      <c r="T6227">
        <v>-0.66308929999999999</v>
      </c>
      <c r="U6227">
        <v>3.1802060000000001</v>
      </c>
      <c r="V6227">
        <v>2.3796959999999999E-2</v>
      </c>
      <c r="W6227">
        <v>0.1901552</v>
      </c>
      <c r="X6227">
        <v>0.98146560000000005</v>
      </c>
      <c r="Y6227">
        <v>0.19739860000000001</v>
      </c>
      <c r="Z6227">
        <v>-0.20055719999999999</v>
      </c>
      <c r="AA6227">
        <v>0.95958880000000002</v>
      </c>
      <c r="AB6227">
        <v>28</v>
      </c>
      <c r="AC6227">
        <v>0.143700000000023</v>
      </c>
      <c r="AD6227">
        <v>-0.16518179999999999</v>
      </c>
      <c r="AE6227">
        <v>0.51361799999999802</v>
      </c>
      <c r="AF6227">
        <v>0.14755863673119099</v>
      </c>
      <c r="AG6227">
        <v>-0.16518179999999999</v>
      </c>
      <c r="AH6227">
        <v>0.46375091994471601</v>
      </c>
      <c r="AI6227">
        <v>108.748185479242</v>
      </c>
      <c r="AJ6227">
        <v>72.349704595547294</v>
      </c>
      <c r="AK6227">
        <v>0.51392946410453799</v>
      </c>
      <c r="AL6227">
        <v>79.038158478246501</v>
      </c>
      <c r="AM6227">
        <v>88.6110585228421</v>
      </c>
      <c r="AN6227">
        <v>1.0000000096878201</v>
      </c>
    </row>
    <row r="6228" spans="1:40" x14ac:dyDescent="0.25">
      <c r="A6228" t="str">
        <f>"20190312172829724"</f>
        <v>20190312172829724</v>
      </c>
      <c r="B6228" t="str">
        <f>"1552382909716209"</f>
        <v>1552382909716209</v>
      </c>
      <c r="C6228" t="s">
        <v>40</v>
      </c>
      <c r="D6228">
        <v>2.9134120000000001</v>
      </c>
      <c r="E6228">
        <v>0.58129240000000004</v>
      </c>
      <c r="F6228" t="s">
        <v>44</v>
      </c>
      <c r="G6228">
        <v>-187.0275</v>
      </c>
      <c r="H6228">
        <v>0.94874170000000002</v>
      </c>
      <c r="I6228">
        <v>8.4600659999999994</v>
      </c>
      <c r="J6228">
        <v>-187.16839999999999</v>
      </c>
      <c r="K6228">
        <v>1.109526</v>
      </c>
      <c r="L6228">
        <v>7.9757999999999996</v>
      </c>
      <c r="M6228">
        <v>-3.5695940000000002E-2</v>
      </c>
      <c r="N6228">
        <v>0</v>
      </c>
      <c r="O6228">
        <v>0.99933430000000001</v>
      </c>
      <c r="P6228">
        <v>-1.095107E-2</v>
      </c>
      <c r="Q6228">
        <v>0.18286189999999999</v>
      </c>
      <c r="R6228">
        <v>0.9830776</v>
      </c>
      <c r="S6228">
        <v>0.53974909999999998</v>
      </c>
      <c r="T6228">
        <v>-0.66647480000000003</v>
      </c>
      <c r="U6228">
        <v>3.1813349999999998</v>
      </c>
      <c r="V6228">
        <v>2.399016E-2</v>
      </c>
      <c r="W6228">
        <v>0.1902798</v>
      </c>
      <c r="X6228">
        <v>0.98143670000000005</v>
      </c>
      <c r="Y6228">
        <v>0.19892029999999999</v>
      </c>
      <c r="Z6228">
        <v>-0.20141490000000001</v>
      </c>
      <c r="AA6228">
        <v>0.95909480000000003</v>
      </c>
      <c r="AB6228">
        <v>28</v>
      </c>
      <c r="AC6228">
        <v>0.14089999999998701</v>
      </c>
      <c r="AD6228">
        <v>-0.16078429999999999</v>
      </c>
      <c r="AE6228">
        <v>0.48426600000000097</v>
      </c>
      <c r="AF6228">
        <v>0.14351173204676199</v>
      </c>
      <c r="AG6228">
        <v>-0.16078429999999999</v>
      </c>
      <c r="AH6228">
        <v>0.434744044239326</v>
      </c>
      <c r="AI6228">
        <v>109.351091915016</v>
      </c>
      <c r="AJ6228">
        <v>71.731619697371599</v>
      </c>
      <c r="AK6228">
        <v>0.48523148327691701</v>
      </c>
      <c r="AL6228">
        <v>79.030886137525201</v>
      </c>
      <c r="AM6228">
        <v>88.599745401797904</v>
      </c>
      <c r="AN6228">
        <v>0.99999996308587702</v>
      </c>
    </row>
    <row r="6229" spans="1:40" x14ac:dyDescent="0.25">
      <c r="A6229" t="str">
        <f>"20190312172829746"</f>
        <v>20190312172829746</v>
      </c>
      <c r="B6229" t="str">
        <f>"1552382909735728"</f>
        <v>1552382909735728</v>
      </c>
      <c r="C6229" t="s">
        <v>40</v>
      </c>
      <c r="D6229">
        <v>2.9318059999999999</v>
      </c>
      <c r="E6229">
        <v>0.58163880000000001</v>
      </c>
      <c r="F6229" t="s">
        <v>44</v>
      </c>
      <c r="G6229">
        <v>-187.04259999999999</v>
      </c>
      <c r="H6229">
        <v>0.95394409999999996</v>
      </c>
      <c r="I6229">
        <v>8.715211</v>
      </c>
      <c r="J6229">
        <v>-187.17869999999999</v>
      </c>
      <c r="K6229">
        <v>1.1094759999999999</v>
      </c>
      <c r="L6229">
        <v>8.2537839999999996</v>
      </c>
      <c r="M6229">
        <v>-3.6072220000000002E-2</v>
      </c>
      <c r="N6229">
        <v>0</v>
      </c>
      <c r="O6229">
        <v>0.9993206</v>
      </c>
      <c r="P6229">
        <v>-1.0942820000000001E-2</v>
      </c>
      <c r="Q6229">
        <v>0.1828516</v>
      </c>
      <c r="R6229">
        <v>0.98307960000000005</v>
      </c>
      <c r="S6229">
        <v>0.54095459999999995</v>
      </c>
      <c r="T6229">
        <v>-0.66958329999999999</v>
      </c>
      <c r="U6229">
        <v>3.18222</v>
      </c>
      <c r="V6229">
        <v>2.4391329999999999E-2</v>
      </c>
      <c r="W6229">
        <v>0.1902924</v>
      </c>
      <c r="X6229">
        <v>0.98142439999999997</v>
      </c>
      <c r="Y6229">
        <v>0.19956950000000001</v>
      </c>
      <c r="Z6229">
        <v>-0.2022381</v>
      </c>
      <c r="AA6229">
        <v>0.95878660000000004</v>
      </c>
      <c r="AB6229">
        <v>28</v>
      </c>
      <c r="AC6229">
        <v>0.136099999999999</v>
      </c>
      <c r="AD6229">
        <v>-0.1555319</v>
      </c>
      <c r="AE6229">
        <v>0.46142699999999998</v>
      </c>
      <c r="AF6229">
        <v>0.13821065597093601</v>
      </c>
      <c r="AG6229">
        <v>-0.1555319</v>
      </c>
      <c r="AH6229">
        <v>0.41304516037292499</v>
      </c>
      <c r="AI6229">
        <v>109.651071492246</v>
      </c>
      <c r="AJ6229">
        <v>71.499042109159305</v>
      </c>
      <c r="AK6229">
        <v>0.46249179652078298</v>
      </c>
      <c r="AL6229">
        <v>79.030151114578601</v>
      </c>
      <c r="AM6229">
        <v>88.576321684733998</v>
      </c>
      <c r="AN6229">
        <v>0.99999999369614401</v>
      </c>
    </row>
    <row r="6230" spans="1:40" x14ac:dyDescent="0.25">
      <c r="A6230" t="str">
        <f>"20190312172829768"</f>
        <v>20190312172829768</v>
      </c>
      <c r="B6230" t="str">
        <f>"1552382909765984"</f>
        <v>1552382909765984</v>
      </c>
      <c r="C6230" t="s">
        <v>40</v>
      </c>
      <c r="D6230">
        <v>2.918892</v>
      </c>
      <c r="E6230">
        <v>0.58240249999999905</v>
      </c>
      <c r="F6230" t="s">
        <v>44</v>
      </c>
      <c r="G6230">
        <v>-187.05600000000001</v>
      </c>
      <c r="H6230">
        <v>0.95834470000000005</v>
      </c>
      <c r="I6230">
        <v>8.9707340000000002</v>
      </c>
      <c r="J6230">
        <v>-187.1891</v>
      </c>
      <c r="K6230">
        <v>1.109421</v>
      </c>
      <c r="L6230">
        <v>8.53283699999999</v>
      </c>
      <c r="M6230">
        <v>-3.6378510000000003E-2</v>
      </c>
      <c r="N6230">
        <v>0</v>
      </c>
      <c r="O6230">
        <v>0.99930929999999996</v>
      </c>
      <c r="P6230">
        <v>-1.0988410000000001E-2</v>
      </c>
      <c r="Q6230">
        <v>0.18268899999999999</v>
      </c>
      <c r="R6230">
        <v>0.98310940000000002</v>
      </c>
      <c r="S6230">
        <v>0.54382319999999995</v>
      </c>
      <c r="T6230">
        <v>-0.67086349999999995</v>
      </c>
      <c r="U6230">
        <v>3.1824650000000001</v>
      </c>
      <c r="V6230">
        <v>2.4672070000000001E-2</v>
      </c>
      <c r="W6230">
        <v>0.1901506</v>
      </c>
      <c r="X6230">
        <v>0.98144489999999995</v>
      </c>
      <c r="Y6230">
        <v>0.200686</v>
      </c>
      <c r="Z6230">
        <v>-0.20255239999999999</v>
      </c>
      <c r="AA6230">
        <v>0.95848719999999998</v>
      </c>
      <c r="AB6230">
        <v>28</v>
      </c>
      <c r="AC6230">
        <v>0.13310000000001301</v>
      </c>
      <c r="AD6230">
        <v>-0.151076299999999</v>
      </c>
      <c r="AE6230">
        <v>0.43789700000000098</v>
      </c>
      <c r="AF6230">
        <v>0.13430802147608101</v>
      </c>
      <c r="AG6230">
        <v>-0.151076299999999</v>
      </c>
      <c r="AH6230">
        <v>0.39024358150152599</v>
      </c>
      <c r="AI6230">
        <v>110.105663836115</v>
      </c>
      <c r="AJ6230">
        <v>71.008351016431007</v>
      </c>
      <c r="AK6230">
        <v>0.43949146289506902</v>
      </c>
      <c r="AL6230">
        <v>79.038427126088294</v>
      </c>
      <c r="AM6230">
        <v>88.559972320368502</v>
      </c>
      <c r="AN6230">
        <v>1.00000002672722</v>
      </c>
    </row>
    <row r="6231" spans="1:40" x14ac:dyDescent="0.25">
      <c r="A6231" t="str">
        <f>"20190312172829791"</f>
        <v>20190312172829791</v>
      </c>
      <c r="B6231" t="str">
        <f>"1552382909785504"</f>
        <v>1552382909785504</v>
      </c>
      <c r="C6231" t="s">
        <v>40</v>
      </c>
      <c r="D6231">
        <v>2.9274819999999999</v>
      </c>
      <c r="E6231">
        <v>0.58281039999999995</v>
      </c>
      <c r="F6231" t="s">
        <v>44</v>
      </c>
      <c r="G6231">
        <v>-187.0282</v>
      </c>
      <c r="H6231">
        <v>0.91238640000000004</v>
      </c>
      <c r="I6231">
        <v>9.4640830000000005</v>
      </c>
      <c r="J6231">
        <v>-187.2003</v>
      </c>
      <c r="K6231">
        <v>1.109362</v>
      </c>
      <c r="L6231">
        <v>8.8307500000000001</v>
      </c>
      <c r="M6231">
        <v>-3.6620729999999997E-2</v>
      </c>
      <c r="N6231">
        <v>0</v>
      </c>
      <c r="O6231">
        <v>0.99930030000000003</v>
      </c>
      <c r="P6231">
        <v>-1.059068E-2</v>
      </c>
      <c r="Q6231">
        <v>0.18258340000000001</v>
      </c>
      <c r="R6231">
        <v>0.98313329999999999</v>
      </c>
      <c r="S6231">
        <v>0.54956050000000001</v>
      </c>
      <c r="T6231">
        <v>-0.67342819999999903</v>
      </c>
      <c r="U6231">
        <v>3.1828310000000002</v>
      </c>
      <c r="V6231">
        <v>2.533403E-2</v>
      </c>
      <c r="W6231">
        <v>0.19006670000000001</v>
      </c>
      <c r="X6231">
        <v>0.98144419999999999</v>
      </c>
      <c r="Y6231">
        <v>0.20255970000000001</v>
      </c>
      <c r="Z6231">
        <v>-0.20319999999999999</v>
      </c>
      <c r="AA6231">
        <v>0.95795580000000002</v>
      </c>
      <c r="AB6231">
        <v>28</v>
      </c>
      <c r="AC6231">
        <v>0.1721</v>
      </c>
      <c r="AD6231">
        <v>-0.1969756</v>
      </c>
      <c r="AE6231">
        <v>0.63333300000000003</v>
      </c>
      <c r="AF6231">
        <v>0.17904982135124101</v>
      </c>
      <c r="AG6231">
        <v>-0.1969756</v>
      </c>
      <c r="AH6231">
        <v>0.57482613181874898</v>
      </c>
      <c r="AI6231">
        <v>108.116332545091</v>
      </c>
      <c r="AJ6231">
        <v>72.698962507057701</v>
      </c>
      <c r="AK6231">
        <v>0.63346926313987595</v>
      </c>
      <c r="AL6231">
        <v>79.043322582301499</v>
      </c>
      <c r="AM6231">
        <v>88.521351764245196</v>
      </c>
      <c r="AN6231">
        <v>0.99999994061928299</v>
      </c>
    </row>
    <row r="6232" spans="1:40" x14ac:dyDescent="0.25">
      <c r="A6232" t="str">
        <f>"20190312172829815"</f>
        <v>20190312172829815</v>
      </c>
      <c r="B6232" t="str">
        <f>"1552382909805999"</f>
        <v>1552382909805999</v>
      </c>
      <c r="C6232" t="s">
        <v>40</v>
      </c>
      <c r="D6232">
        <v>2.9498869999999999</v>
      </c>
      <c r="E6232">
        <v>0.582904599999999</v>
      </c>
      <c r="F6232" t="s">
        <v>44</v>
      </c>
      <c r="G6232">
        <v>-187.04490000000001</v>
      </c>
      <c r="H6232">
        <v>0.92024519999999999</v>
      </c>
      <c r="I6232">
        <v>9.7224799999999991</v>
      </c>
      <c r="J6232">
        <v>-187.2115</v>
      </c>
      <c r="K6232">
        <v>1.109308</v>
      </c>
      <c r="L6232">
        <v>9.1313169999999992</v>
      </c>
      <c r="M6232">
        <v>-3.6801250000000001E-2</v>
      </c>
      <c r="N6232">
        <v>0</v>
      </c>
      <c r="O6232">
        <v>0.9992934</v>
      </c>
      <c r="P6232">
        <v>-1.0472199999999999E-2</v>
      </c>
      <c r="Q6232">
        <v>0.18299480000000001</v>
      </c>
      <c r="R6232">
        <v>0.98305810000000005</v>
      </c>
      <c r="S6232">
        <v>0.55444340000000003</v>
      </c>
      <c r="T6232">
        <v>-0.67500099999999996</v>
      </c>
      <c r="U6232">
        <v>3.1827999999999999</v>
      </c>
      <c r="V6232">
        <v>2.5649310000000002E-2</v>
      </c>
      <c r="W6232">
        <v>0.1904979</v>
      </c>
      <c r="X6232">
        <v>0.98135240000000001</v>
      </c>
      <c r="Y6232">
        <v>0.2041501</v>
      </c>
      <c r="Z6232">
        <v>-0.20359479999999999</v>
      </c>
      <c r="AA6232">
        <v>0.95753429999999995</v>
      </c>
      <c r="AB6232">
        <v>29</v>
      </c>
      <c r="AC6232">
        <v>0.16659999999998801</v>
      </c>
      <c r="AD6232">
        <v>-0.1890628</v>
      </c>
      <c r="AE6232">
        <v>0.59116300000000099</v>
      </c>
      <c r="AF6232">
        <v>0.17195001289074799</v>
      </c>
      <c r="AG6232">
        <v>-0.1890628</v>
      </c>
      <c r="AH6232">
        <v>0.53402881372131095</v>
      </c>
      <c r="AI6232">
        <v>108.62345093233201</v>
      </c>
      <c r="AJ6232">
        <v>72.152147699728701</v>
      </c>
      <c r="AK6232">
        <v>0.59202898844698404</v>
      </c>
      <c r="AL6232">
        <v>79.018156785254007</v>
      </c>
      <c r="AM6232">
        <v>88.502818450284906</v>
      </c>
      <c r="AN6232">
        <v>0.99999993499682005</v>
      </c>
    </row>
    <row r="6233" spans="1:40" x14ac:dyDescent="0.25">
      <c r="A6233" t="str">
        <f>"20190312172829858"</f>
        <v>20190312172829858</v>
      </c>
      <c r="B6233" t="str">
        <f>"1552382909855775"</f>
        <v>1552382909855775</v>
      </c>
      <c r="C6233" t="s">
        <v>40</v>
      </c>
      <c r="D6233">
        <v>2.9552010000000002</v>
      </c>
      <c r="E6233">
        <v>0.50436119999999995</v>
      </c>
      <c r="F6233" t="s">
        <v>44</v>
      </c>
      <c r="G6233">
        <v>-187.0634</v>
      </c>
      <c r="H6233">
        <v>0.92886190000000002</v>
      </c>
      <c r="I6233">
        <v>9.9816610000000008</v>
      </c>
      <c r="J6233">
        <v>-187.23240000000001</v>
      </c>
      <c r="K6233">
        <v>1.1092439999999999</v>
      </c>
      <c r="L6233">
        <v>9.689209</v>
      </c>
      <c r="M6233">
        <v>-3.6980100000000002E-2</v>
      </c>
      <c r="N6233">
        <v>0</v>
      </c>
      <c r="O6233">
        <v>0.99928649999999997</v>
      </c>
      <c r="P6233">
        <v>-1.024915E-2</v>
      </c>
      <c r="Q6233">
        <v>0.1832493</v>
      </c>
      <c r="R6233">
        <v>0.98301300000000003</v>
      </c>
      <c r="S6233">
        <v>0.55397030000000003</v>
      </c>
      <c r="T6233">
        <v>-0.67551719999999904</v>
      </c>
      <c r="U6233">
        <v>3.1833499999999999</v>
      </c>
      <c r="V6233">
        <v>2.6081279999999998E-2</v>
      </c>
      <c r="W6233">
        <v>0.19079979999999999</v>
      </c>
      <c r="X6233">
        <v>0.9812824</v>
      </c>
      <c r="Y6233">
        <v>0.2041549</v>
      </c>
      <c r="Z6233">
        <v>-0.203711</v>
      </c>
      <c r="AA6233">
        <v>0.95750860000000004</v>
      </c>
      <c r="AB6233">
        <v>29</v>
      </c>
      <c r="AC6233">
        <v>0.169000000000011</v>
      </c>
      <c r="AD6233">
        <v>-0.18038209999999999</v>
      </c>
      <c r="AE6233">
        <v>0.29245199999999999</v>
      </c>
      <c r="AF6233">
        <v>0.13982280585219201</v>
      </c>
      <c r="AG6233">
        <v>-0.18038209999999999</v>
      </c>
      <c r="AH6233">
        <v>0.222535919844389</v>
      </c>
      <c r="AI6233">
        <v>124.46343239485201</v>
      </c>
      <c r="AJ6233">
        <v>57.858209828128402</v>
      </c>
      <c r="AK6233">
        <v>0.31876379132169103</v>
      </c>
      <c r="AL6233">
        <v>79.000536412735897</v>
      </c>
      <c r="AM6233">
        <v>88.477507053083997</v>
      </c>
      <c r="AN6233">
        <v>0.99999997269811802</v>
      </c>
    </row>
    <row r="6234" spans="1:40" x14ac:dyDescent="0.25">
      <c r="A6234" t="str">
        <f>"20190312172829882"</f>
        <v>20190312172829882</v>
      </c>
      <c r="B6234" t="str">
        <f>"1552382909876272"</f>
        <v>1552382909876272</v>
      </c>
      <c r="C6234" t="s">
        <v>40</v>
      </c>
      <c r="D6234">
        <v>2.9533040000000002</v>
      </c>
      <c r="E6234">
        <v>0.50155399999999895</v>
      </c>
      <c r="F6234" t="s">
        <v>41</v>
      </c>
      <c r="G6234">
        <v>-187.47110000000001</v>
      </c>
      <c r="H6234" s="1">
        <v>-3.8172639999999997E-6</v>
      </c>
      <c r="I6234">
        <v>27.485240000000001</v>
      </c>
      <c r="J6234">
        <v>-187.24359999999999</v>
      </c>
      <c r="K6234">
        <v>1.1092169999999999</v>
      </c>
      <c r="L6234">
        <v>9.9921260000000007</v>
      </c>
      <c r="M6234">
        <v>-3.701219E-2</v>
      </c>
      <c r="N6234">
        <v>0</v>
      </c>
      <c r="O6234">
        <v>0.99928499999999998</v>
      </c>
      <c r="P6234">
        <v>-1.039578E-2</v>
      </c>
      <c r="Q6234">
        <v>0.18356410000000001</v>
      </c>
      <c r="R6234">
        <v>0.98295279999999996</v>
      </c>
      <c r="S6234">
        <v>-4.1412350000000001E-2</v>
      </c>
      <c r="T6234">
        <v>-0.19243399999999999</v>
      </c>
      <c r="U6234">
        <v>3.0872799999999998</v>
      </c>
      <c r="V6234">
        <v>2.5979080000000002E-2</v>
      </c>
      <c r="W6234">
        <v>0.1911397</v>
      </c>
      <c r="X6234">
        <v>0.98121899999999995</v>
      </c>
      <c r="Y6234">
        <v>2.3632429999999999E-2</v>
      </c>
      <c r="Z6234">
        <v>-6.213515E-2</v>
      </c>
      <c r="AA6234">
        <v>0.99778789999999995</v>
      </c>
      <c r="AB6234">
        <v>29</v>
      </c>
      <c r="AC6234">
        <v>-0.22750000000001999</v>
      </c>
      <c r="AD6234">
        <v>-1.1092208172639999</v>
      </c>
      <c r="AE6234">
        <v>17.493113999999998</v>
      </c>
      <c r="AF6234">
        <v>0.41845145526398497</v>
      </c>
      <c r="AG6234">
        <v>-1.1092208172639999</v>
      </c>
      <c r="AH6234">
        <v>17.419520935350501</v>
      </c>
      <c r="AI6234">
        <v>93.642449578408801</v>
      </c>
      <c r="AJ6234">
        <v>88.623906347988296</v>
      </c>
      <c r="AK6234">
        <v>17.459816209198099</v>
      </c>
      <c r="AL6234">
        <v>78.980696875791494</v>
      </c>
      <c r="AM6234">
        <v>88.483372237110402</v>
      </c>
      <c r="AN6234">
        <v>1.00000001173736</v>
      </c>
    </row>
    <row r="6235" spans="1:40" x14ac:dyDescent="0.25">
      <c r="A6235" t="str">
        <f>"20190312172829902"</f>
        <v>20190312172829902</v>
      </c>
      <c r="B6235" t="str">
        <f>"1552382909895792"</f>
        <v>1552382909895792</v>
      </c>
      <c r="C6235" t="s">
        <v>40</v>
      </c>
      <c r="D6235">
        <v>2.9451170000000002</v>
      </c>
      <c r="E6235">
        <v>0.50063800000000003</v>
      </c>
      <c r="F6235" t="s">
        <v>41</v>
      </c>
      <c r="G6235">
        <v>-187.6866</v>
      </c>
      <c r="H6235" s="1">
        <v>-1.34235899999999E-6</v>
      </c>
      <c r="I6235">
        <v>31.783860000000001</v>
      </c>
      <c r="J6235">
        <v>-187.25360000000001</v>
      </c>
      <c r="K6235">
        <v>1.1091979999999999</v>
      </c>
      <c r="L6235">
        <v>10.261749999999999</v>
      </c>
      <c r="M6235">
        <v>-3.7019320000000001E-2</v>
      </c>
      <c r="N6235">
        <v>0</v>
      </c>
      <c r="O6235">
        <v>0.99928459999999997</v>
      </c>
      <c r="P6235">
        <v>-1.063338E-2</v>
      </c>
      <c r="Q6235">
        <v>0.18343670000000001</v>
      </c>
      <c r="R6235">
        <v>0.98297400000000001</v>
      </c>
      <c r="S6235">
        <v>-6.2622070000000002E-2</v>
      </c>
      <c r="T6235">
        <v>-0.15680829999999901</v>
      </c>
      <c r="U6235">
        <v>3.0806580000000001</v>
      </c>
      <c r="V6235">
        <v>2.5759219999999999E-2</v>
      </c>
      <c r="W6235">
        <v>0.19103429999999999</v>
      </c>
      <c r="X6235">
        <v>0.98124529999999999</v>
      </c>
      <c r="Y6235">
        <v>1.672964E-2</v>
      </c>
      <c r="Z6235">
        <v>-5.0774079999999999E-2</v>
      </c>
      <c r="AA6235">
        <v>0.99856999999999996</v>
      </c>
      <c r="AB6235">
        <v>29</v>
      </c>
      <c r="AC6235">
        <v>-0.432999999999992</v>
      </c>
      <c r="AD6235">
        <v>-1.1091993423590001</v>
      </c>
      <c r="AE6235">
        <v>21.522110000000001</v>
      </c>
      <c r="AF6235">
        <v>0.36309051552597399</v>
      </c>
      <c r="AG6235">
        <v>-1.1091993423590001</v>
      </c>
      <c r="AH6235">
        <v>21.466392149659299</v>
      </c>
      <c r="AI6235">
        <v>92.957502392696398</v>
      </c>
      <c r="AJ6235">
        <v>89.030970347560498</v>
      </c>
      <c r="AK6235">
        <v>21.4980964233233</v>
      </c>
      <c r="AL6235">
        <v>78.986848976886904</v>
      </c>
      <c r="AM6235">
        <v>88.496241770705794</v>
      </c>
      <c r="AN6235">
        <v>0.99999998998179396</v>
      </c>
    </row>
    <row r="6236" spans="1:40" x14ac:dyDescent="0.25">
      <c r="A6236" t="str">
        <f>"20190312172829926"</f>
        <v>20190312172829926</v>
      </c>
      <c r="B6236" t="str">
        <f>"1552382909916288"</f>
        <v>1552382909916288</v>
      </c>
      <c r="C6236" t="s">
        <v>40</v>
      </c>
      <c r="D6236">
        <v>2.943174</v>
      </c>
      <c r="E6236">
        <v>0.50029380000000001</v>
      </c>
      <c r="F6236" t="s">
        <v>41</v>
      </c>
      <c r="G6236">
        <v>-187.79830000000001</v>
      </c>
      <c r="H6236" s="1">
        <v>-2.3982359999999999E-6</v>
      </c>
      <c r="I6236">
        <v>34.31277</v>
      </c>
      <c r="J6236">
        <v>-187.26490000000001</v>
      </c>
      <c r="K6236">
        <v>1.1091819999999999</v>
      </c>
      <c r="L6236">
        <v>10.56415</v>
      </c>
      <c r="M6236">
        <v>-3.7012070000000001E-2</v>
      </c>
      <c r="N6236">
        <v>0</v>
      </c>
      <c r="O6236">
        <v>0.99928470000000003</v>
      </c>
      <c r="P6236">
        <v>-1.1141359999999999E-2</v>
      </c>
      <c r="Q6236">
        <v>0.18354680000000001</v>
      </c>
      <c r="R6236">
        <v>0.98294780000000004</v>
      </c>
      <c r="S6236">
        <v>-6.9702150000000004E-2</v>
      </c>
      <c r="T6236">
        <v>-0.14193929999999999</v>
      </c>
      <c r="U6236">
        <v>3.0776979999999998</v>
      </c>
      <c r="V6236">
        <v>2.525082E-2</v>
      </c>
      <c r="W6236">
        <v>0.1911677</v>
      </c>
      <c r="X6236">
        <v>0.98123249999999995</v>
      </c>
      <c r="Y6236">
        <v>1.4401519999999999E-2</v>
      </c>
      <c r="Z6236">
        <v>-4.6014100000000002E-2</v>
      </c>
      <c r="AA6236">
        <v>0.99883699999999997</v>
      </c>
      <c r="AB6236">
        <v>29</v>
      </c>
      <c r="AC6236">
        <v>-0.53339999999999999</v>
      </c>
      <c r="AD6236">
        <v>-1.1091843982359999</v>
      </c>
      <c r="AE6236">
        <v>23.748619999999999</v>
      </c>
      <c r="AF6236">
        <v>0.34522485419716797</v>
      </c>
      <c r="AG6236">
        <v>-1.1091843982359999</v>
      </c>
      <c r="AH6236">
        <v>23.700416262086101</v>
      </c>
      <c r="AI6236">
        <v>92.679215442951801</v>
      </c>
      <c r="AJ6236">
        <v>89.165477595029699</v>
      </c>
      <c r="AK6236">
        <v>23.7288685197041</v>
      </c>
      <c r="AL6236">
        <v>78.979061836232006</v>
      </c>
      <c r="AM6236">
        <v>88.525888431611193</v>
      </c>
      <c r="AN6236">
        <v>0.99999995624510496</v>
      </c>
    </row>
    <row r="6237" spans="1:40" x14ac:dyDescent="0.25">
      <c r="A6237" t="str">
        <f>"20190312172829948"</f>
        <v>20190312172829948</v>
      </c>
      <c r="B6237" t="str">
        <f>"1552382909945568"</f>
        <v>1552382909945568</v>
      </c>
      <c r="C6237" t="s">
        <v>40</v>
      </c>
      <c r="D6237">
        <v>2.979266</v>
      </c>
      <c r="E6237">
        <v>0.5005039</v>
      </c>
      <c r="F6237" t="s">
        <v>41</v>
      </c>
      <c r="G6237">
        <v>-187.86500000000001</v>
      </c>
      <c r="H6237" s="1">
        <v>-3.0842180000000001E-6</v>
      </c>
      <c r="I6237">
        <v>35.939360000000001</v>
      </c>
      <c r="J6237">
        <v>-187.27549999999999</v>
      </c>
      <c r="K6237">
        <v>1.1091709999999999</v>
      </c>
      <c r="L6237">
        <v>10.85248</v>
      </c>
      <c r="M6237">
        <v>-3.6993310000000001E-2</v>
      </c>
      <c r="N6237">
        <v>0</v>
      </c>
      <c r="O6237">
        <v>0.99928519999999998</v>
      </c>
      <c r="P6237">
        <v>-1.10969E-2</v>
      </c>
      <c r="Q6237">
        <v>0.1833641</v>
      </c>
      <c r="R6237">
        <v>0.98298249999999998</v>
      </c>
      <c r="S6237">
        <v>-7.2753910000000005E-2</v>
      </c>
      <c r="T6237">
        <v>-0.13447029999999999</v>
      </c>
      <c r="U6237">
        <v>3.0763240000000001</v>
      </c>
      <c r="V6237">
        <v>2.5282969999999998E-2</v>
      </c>
      <c r="W6237">
        <v>0.1910067</v>
      </c>
      <c r="X6237">
        <v>0.981263</v>
      </c>
      <c r="Y6237">
        <v>1.3379780000000001E-2</v>
      </c>
      <c r="Z6237">
        <v>-4.3616820000000001E-2</v>
      </c>
      <c r="AA6237">
        <v>0.99895869999999998</v>
      </c>
      <c r="AB6237">
        <v>29</v>
      </c>
      <c r="AC6237">
        <v>-0.58950000000001501</v>
      </c>
      <c r="AD6237">
        <v>-1.109174084218</v>
      </c>
      <c r="AE6237">
        <v>25.086879999999901</v>
      </c>
      <c r="AF6237">
        <v>0.33831738824516699</v>
      </c>
      <c r="AG6237">
        <v>-1.109174084218</v>
      </c>
      <c r="AH6237">
        <v>25.0425888748075</v>
      </c>
      <c r="AI6237">
        <v>92.535828020394007</v>
      </c>
      <c r="AJ6237">
        <v>89.2259993792497</v>
      </c>
      <c r="AK6237">
        <v>25.069423275315302</v>
      </c>
      <c r="AL6237">
        <v>78.988459354842504</v>
      </c>
      <c r="AM6237">
        <v>88.524058241117203</v>
      </c>
      <c r="AN6237">
        <v>0.99999993159295297</v>
      </c>
    </row>
    <row r="6238" spans="1:40" x14ac:dyDescent="0.25">
      <c r="A6238" t="str">
        <f>"20190312172829969"</f>
        <v>20190312172829969</v>
      </c>
      <c r="B6238" t="str">
        <f>"1552382909966063"</f>
        <v>1552382909966063</v>
      </c>
      <c r="C6238" t="s">
        <v>40</v>
      </c>
      <c r="D6238">
        <v>3.0001289999999998</v>
      </c>
      <c r="E6238">
        <v>0.50054449999999995</v>
      </c>
      <c r="F6238" t="s">
        <v>41</v>
      </c>
      <c r="G6238">
        <v>-187.88050000000001</v>
      </c>
      <c r="H6238" s="1">
        <v>-3.6218729999999999E-6</v>
      </c>
      <c r="I6238">
        <v>37.199080000000002</v>
      </c>
      <c r="J6238">
        <v>-187.28569999999999</v>
      </c>
      <c r="K6238">
        <v>1.109165</v>
      </c>
      <c r="L6238">
        <v>11.12711</v>
      </c>
      <c r="M6238">
        <v>-3.6968760000000003E-2</v>
      </c>
      <c r="N6238">
        <v>0</v>
      </c>
      <c r="O6238">
        <v>0.99928589999999995</v>
      </c>
      <c r="P6238">
        <v>-1.1022199999999999E-2</v>
      </c>
      <c r="Q6238">
        <v>0.18343300000000001</v>
      </c>
      <c r="R6238">
        <v>0.98297040000000002</v>
      </c>
      <c r="S6238">
        <v>-7.0617680000000002E-2</v>
      </c>
      <c r="T6238">
        <v>-0.12946750000000001</v>
      </c>
      <c r="U6238">
        <v>3.0752869999999999</v>
      </c>
      <c r="V6238">
        <v>2.5336689999999999E-2</v>
      </c>
      <c r="W6238">
        <v>0.19109419999999999</v>
      </c>
      <c r="X6238">
        <v>0.98124460000000002</v>
      </c>
      <c r="Y6238">
        <v>1.403921E-2</v>
      </c>
      <c r="Z6238">
        <v>-4.2011369999999999E-2</v>
      </c>
      <c r="AA6238">
        <v>0.99901850000000003</v>
      </c>
      <c r="AB6238">
        <v>29</v>
      </c>
      <c r="AC6238">
        <v>-0.59480000000001998</v>
      </c>
      <c r="AD6238">
        <v>-1.1091686218729999</v>
      </c>
      <c r="AE6238">
        <v>26.07197</v>
      </c>
      <c r="AF6238">
        <v>0.368817253782106</v>
      </c>
      <c r="AG6238">
        <v>-1.1091686218729999</v>
      </c>
      <c r="AH6238">
        <v>26.029051668389702</v>
      </c>
      <c r="AI6238">
        <v>92.439808038925804</v>
      </c>
      <c r="AJ6238">
        <v>89.188204846327196</v>
      </c>
      <c r="AK6238">
        <v>26.055283762686901</v>
      </c>
      <c r="AL6238">
        <v>78.983352135185299</v>
      </c>
      <c r="AM6238">
        <v>88.520895902006799</v>
      </c>
      <c r="AN6238">
        <v>0.99999995308147605</v>
      </c>
    </row>
    <row r="6239" spans="1:40" x14ac:dyDescent="0.25">
      <c r="A6239" t="str">
        <f>"20190312172829994"</f>
        <v>20190312172829994</v>
      </c>
      <c r="B6239" t="str">
        <f>"1552382909985584"</f>
        <v>1552382909985584</v>
      </c>
      <c r="C6239" t="s">
        <v>40</v>
      </c>
      <c r="D6239">
        <v>3.0240879999999999</v>
      </c>
      <c r="E6239">
        <v>0.50049869999999996</v>
      </c>
      <c r="F6239" t="s">
        <v>41</v>
      </c>
      <c r="G6239">
        <v>-187.8947</v>
      </c>
      <c r="H6239" s="1">
        <v>-3.9036040000000003E-6</v>
      </c>
      <c r="I6239">
        <v>37.861629999999998</v>
      </c>
      <c r="J6239">
        <v>-187.29769999999999</v>
      </c>
      <c r="K6239">
        <v>1.1091519999999999</v>
      </c>
      <c r="L6239">
        <v>11.451320000000001</v>
      </c>
      <c r="M6239">
        <v>-3.6936860000000002E-2</v>
      </c>
      <c r="N6239">
        <v>0</v>
      </c>
      <c r="O6239">
        <v>0.99928689999999998</v>
      </c>
      <c r="P6239">
        <v>-1.0884949999999999E-2</v>
      </c>
      <c r="Q6239">
        <v>0.18378069999999999</v>
      </c>
      <c r="R6239">
        <v>0.98290699999999998</v>
      </c>
      <c r="S6239">
        <v>-7.0037840000000004E-2</v>
      </c>
      <c r="T6239">
        <v>-0.12757560000000001</v>
      </c>
      <c r="U6239">
        <v>3.0749819999999999</v>
      </c>
      <c r="V6239">
        <v>2.544341E-2</v>
      </c>
      <c r="W6239">
        <v>0.1914621</v>
      </c>
      <c r="X6239">
        <v>0.98117019999999999</v>
      </c>
      <c r="Y6239">
        <v>1.4192730000000001E-2</v>
      </c>
      <c r="Z6239">
        <v>-4.140274E-2</v>
      </c>
      <c r="AA6239">
        <v>0.99904170000000003</v>
      </c>
      <c r="AB6239">
        <v>29</v>
      </c>
      <c r="AC6239">
        <v>-0.59700000000000797</v>
      </c>
      <c r="AD6239">
        <v>-1.109155903604</v>
      </c>
      <c r="AE6239">
        <v>26.410309999999999</v>
      </c>
      <c r="AF6239">
        <v>0.378284409935356</v>
      </c>
      <c r="AG6239">
        <v>-1.109155903604</v>
      </c>
      <c r="AH6239">
        <v>26.367855836910302</v>
      </c>
      <c r="AI6239">
        <v>92.408462117184399</v>
      </c>
      <c r="AJ6239">
        <v>89.178066905558296</v>
      </c>
      <c r="AK6239">
        <v>26.393884658181499</v>
      </c>
      <c r="AL6239">
        <v>78.961877370911495</v>
      </c>
      <c r="AM6239">
        <v>88.514556012942094</v>
      </c>
      <c r="AN6239">
        <v>1.0000000321084299</v>
      </c>
    </row>
    <row r="6240" spans="1:40" x14ac:dyDescent="0.25">
      <c r="A6240" t="str">
        <f>"20190312172830038"</f>
        <v>20190312172830038</v>
      </c>
      <c r="B6240" t="str">
        <f>"1552382910025601"</f>
        <v>1552382910025601</v>
      </c>
      <c r="C6240" t="s">
        <v>40</v>
      </c>
      <c r="D6240">
        <v>3.047148</v>
      </c>
      <c r="E6240">
        <v>0.50037240000000005</v>
      </c>
      <c r="F6240" t="s">
        <v>41</v>
      </c>
      <c r="G6240">
        <v>-187.90860000000001</v>
      </c>
      <c r="H6240" s="1">
        <v>-4.226588E-6</v>
      </c>
      <c r="I6240">
        <v>38.620269999999998</v>
      </c>
      <c r="J6240">
        <v>-187.31890000000001</v>
      </c>
      <c r="K6240">
        <v>1.1091549999999999</v>
      </c>
      <c r="L6240">
        <v>12.026149999999999</v>
      </c>
      <c r="M6240">
        <v>-3.687994E-2</v>
      </c>
      <c r="N6240">
        <v>0</v>
      </c>
      <c r="O6240">
        <v>0.99928879999999998</v>
      </c>
      <c r="P6240">
        <v>-1.179089E-2</v>
      </c>
      <c r="Q6240">
        <v>0.18422859999999999</v>
      </c>
      <c r="R6240">
        <v>0.98281269999999998</v>
      </c>
      <c r="S6240">
        <v>-6.9137569999999995E-2</v>
      </c>
      <c r="T6240">
        <v>-0.12552930000000001</v>
      </c>
      <c r="U6240">
        <v>3.0748600000000001</v>
      </c>
      <c r="V6240">
        <v>2.4482E-2</v>
      </c>
      <c r="W6240">
        <v>0.19194459999999999</v>
      </c>
      <c r="X6240">
        <v>0.98110039999999998</v>
      </c>
      <c r="Y6240">
        <v>1.4426619999999999E-2</v>
      </c>
      <c r="Z6240">
        <v>-4.0741560000000003E-2</v>
      </c>
      <c r="AA6240">
        <v>0.9990656</v>
      </c>
      <c r="AB6240">
        <v>29</v>
      </c>
      <c r="AC6240">
        <v>-0.58969999999999301</v>
      </c>
      <c r="AD6240">
        <v>-1.1091592265879999</v>
      </c>
      <c r="AE6240">
        <v>26.59412</v>
      </c>
      <c r="AF6240">
        <v>0.390841513426051</v>
      </c>
      <c r="AG6240">
        <v>-1.1091592265879999</v>
      </c>
      <c r="AH6240">
        <v>26.551612776981599</v>
      </c>
      <c r="AI6240">
        <v>92.3918073775247</v>
      </c>
      <c r="AJ6240">
        <v>89.156663206843405</v>
      </c>
      <c r="AK6240">
        <v>26.577643468473902</v>
      </c>
      <c r="AL6240">
        <v>78.933709889742005</v>
      </c>
      <c r="AM6240">
        <v>88.570559920404193</v>
      </c>
      <c r="AN6240">
        <v>1.0000000463366501</v>
      </c>
    </row>
    <row r="6241" spans="1:40" x14ac:dyDescent="0.25">
      <c r="A6241" t="str">
        <f>"20190312172830060"</f>
        <v>20190312172830060</v>
      </c>
      <c r="B6241" t="str">
        <f>"1552382910055856"</f>
        <v>1552382910055856</v>
      </c>
      <c r="C6241" t="s">
        <v>40</v>
      </c>
      <c r="D6241">
        <v>3.0660259999999999</v>
      </c>
      <c r="E6241">
        <v>0.50048139999999997</v>
      </c>
      <c r="F6241" t="s">
        <v>41</v>
      </c>
      <c r="G6241">
        <v>-187.95500000000001</v>
      </c>
      <c r="H6241" s="1">
        <v>-4.6176130000000002E-6</v>
      </c>
      <c r="I6241">
        <v>39.550960000000003</v>
      </c>
      <c r="J6241">
        <v>-187.3295</v>
      </c>
      <c r="K6241">
        <v>1.109156</v>
      </c>
      <c r="L6241">
        <v>12.31354</v>
      </c>
      <c r="M6241">
        <v>-3.6851589999999997E-2</v>
      </c>
      <c r="N6241">
        <v>0</v>
      </c>
      <c r="O6241">
        <v>0.9992896</v>
      </c>
      <c r="P6241">
        <v>-1.162999E-2</v>
      </c>
      <c r="Q6241">
        <v>0.18537400000000001</v>
      </c>
      <c r="R6241">
        <v>0.98259920000000001</v>
      </c>
      <c r="S6241">
        <v>-7.1060180000000001E-2</v>
      </c>
      <c r="T6241">
        <v>-0.1239055</v>
      </c>
      <c r="U6241">
        <v>3.0748289999999998</v>
      </c>
      <c r="V6241">
        <v>2.4607739999999999E-2</v>
      </c>
      <c r="W6241">
        <v>0.1931097</v>
      </c>
      <c r="X6241">
        <v>0.98086850000000003</v>
      </c>
      <c r="Y6241">
        <v>1.3773179999999999E-2</v>
      </c>
      <c r="Z6241">
        <v>-4.0215769999999998E-2</v>
      </c>
      <c r="AA6241">
        <v>0.99909610000000004</v>
      </c>
      <c r="AB6241">
        <v>29</v>
      </c>
      <c r="AC6241">
        <v>-0.62550000000001604</v>
      </c>
      <c r="AD6241">
        <v>-1.109160617613</v>
      </c>
      <c r="AE6241">
        <v>27.23742</v>
      </c>
      <c r="AF6241">
        <v>0.37807176088524203</v>
      </c>
      <c r="AG6241">
        <v>-1.109160617613</v>
      </c>
      <c r="AH6241">
        <v>27.1968930064373</v>
      </c>
      <c r="AI6241">
        <v>92.335152594748294</v>
      </c>
      <c r="AJ6241">
        <v>89.203566339328702</v>
      </c>
      <c r="AK6241">
        <v>27.222126381597</v>
      </c>
      <c r="AL6241">
        <v>78.865680861816003</v>
      </c>
      <c r="AM6241">
        <v>88.562881814255405</v>
      </c>
      <c r="AN6241">
        <v>0.99999995569712197</v>
      </c>
    </row>
    <row r="6242" spans="1:40" x14ac:dyDescent="0.25">
      <c r="A6242" t="str">
        <f>"20190312172830082"</f>
        <v>20190312172830082</v>
      </c>
      <c r="B6242" t="str">
        <f>"1552382910076352"</f>
        <v>1552382910076352</v>
      </c>
      <c r="C6242" t="s">
        <v>40</v>
      </c>
      <c r="D6242">
        <v>3.0646439999999999</v>
      </c>
      <c r="E6242">
        <v>0.50054690000000002</v>
      </c>
      <c r="F6242" t="s">
        <v>41</v>
      </c>
      <c r="G6242">
        <v>-187.96889999999999</v>
      </c>
      <c r="H6242" s="1">
        <v>-8.4088969999999903E-7</v>
      </c>
      <c r="I6242">
        <v>40.531019999999998</v>
      </c>
      <c r="J6242">
        <v>-187.34030000000001</v>
      </c>
      <c r="K6242">
        <v>1.1091599999999999</v>
      </c>
      <c r="L6242">
        <v>12.60764</v>
      </c>
      <c r="M6242">
        <v>-3.6822830000000001E-2</v>
      </c>
      <c r="N6242">
        <v>0</v>
      </c>
      <c r="O6242">
        <v>0.99929049999999997</v>
      </c>
      <c r="P6242">
        <v>-1.180643E-2</v>
      </c>
      <c r="Q6242">
        <v>0.1857549</v>
      </c>
      <c r="R6242">
        <v>0.98252519999999999</v>
      </c>
      <c r="S6242">
        <v>-6.9686890000000001E-2</v>
      </c>
      <c r="T6242">
        <v>-0.12087440000000001</v>
      </c>
      <c r="U6242">
        <v>3.0751040000000001</v>
      </c>
      <c r="V6242">
        <v>2.4400620000000001E-2</v>
      </c>
      <c r="W6242">
        <v>0.1935135</v>
      </c>
      <c r="X6242">
        <v>0.9807941</v>
      </c>
      <c r="Y6242">
        <v>1.4191530000000001E-2</v>
      </c>
      <c r="Z6242">
        <v>-3.9230149999999998E-2</v>
      </c>
      <c r="AA6242">
        <v>0.99912939999999995</v>
      </c>
      <c r="AB6242">
        <v>29</v>
      </c>
      <c r="AC6242">
        <v>-0.62859999999997695</v>
      </c>
      <c r="AD6242">
        <v>-1.1091608408897</v>
      </c>
      <c r="AE6242">
        <v>27.923380000000002</v>
      </c>
      <c r="AF6242">
        <v>0.399446455182209</v>
      </c>
      <c r="AG6242">
        <v>-1.1091608408897</v>
      </c>
      <c r="AH6242">
        <v>27.8836164015888</v>
      </c>
      <c r="AI6242">
        <v>92.277690153629806</v>
      </c>
      <c r="AJ6242">
        <v>89.179266050232798</v>
      </c>
      <c r="AK6242">
        <v>27.908526633852802</v>
      </c>
      <c r="AL6242">
        <v>78.842100143120305</v>
      </c>
      <c r="AM6242">
        <v>88.574864780120393</v>
      </c>
      <c r="AN6242">
        <v>0.99999996576672101</v>
      </c>
    </row>
    <row r="6243" spans="1:40" x14ac:dyDescent="0.25">
      <c r="A6243" t="str">
        <f>"20190312172830104"</f>
        <v>20190312172830104</v>
      </c>
      <c r="B6243" t="str">
        <f>"1552382910095872"</f>
        <v>1552382910095872</v>
      </c>
      <c r="C6243" t="s">
        <v>40</v>
      </c>
      <c r="D6243">
        <v>3.0476809999999999</v>
      </c>
      <c r="E6243">
        <v>0.50067839999999997</v>
      </c>
      <c r="F6243" t="s">
        <v>41</v>
      </c>
      <c r="G6243">
        <v>-187.9804</v>
      </c>
      <c r="H6243" s="1">
        <v>-9.9153139999999993E-7</v>
      </c>
      <c r="I6243">
        <v>40.982619999999997</v>
      </c>
      <c r="J6243">
        <v>-187.351</v>
      </c>
      <c r="K6243">
        <v>1.109162</v>
      </c>
      <c r="L6243">
        <v>12.897740000000001</v>
      </c>
      <c r="M6243">
        <v>-3.6794859999999999E-2</v>
      </c>
      <c r="N6243">
        <v>0</v>
      </c>
      <c r="O6243">
        <v>0.99929140000000005</v>
      </c>
      <c r="P6243">
        <v>-1.246034E-2</v>
      </c>
      <c r="Q6243">
        <v>0.18612909999999999</v>
      </c>
      <c r="R6243">
        <v>0.98244629999999999</v>
      </c>
      <c r="S6243">
        <v>-6.9366460000000005E-2</v>
      </c>
      <c r="T6243">
        <v>-0.12020989999999999</v>
      </c>
      <c r="U6243">
        <v>3.075256</v>
      </c>
      <c r="V6243">
        <v>2.3716729999999998E-2</v>
      </c>
      <c r="W6243">
        <v>0.19391340000000001</v>
      </c>
      <c r="X6243">
        <v>0.98073189999999999</v>
      </c>
      <c r="Y6243">
        <v>1.426852E-2</v>
      </c>
      <c r="Z6243">
        <v>-3.9012980000000003E-2</v>
      </c>
      <c r="AA6243">
        <v>0.99913680000000005</v>
      </c>
      <c r="AB6243">
        <v>29</v>
      </c>
      <c r="AC6243">
        <v>-0.62940000000000396</v>
      </c>
      <c r="AD6243">
        <v>-1.1091629915313901</v>
      </c>
      <c r="AE6243">
        <v>28.084879999999998</v>
      </c>
      <c r="AF6243">
        <v>0.40380841703525699</v>
      </c>
      <c r="AG6243">
        <v>-1.1091629915313901</v>
      </c>
      <c r="AH6243">
        <v>28.0452995048242</v>
      </c>
      <c r="AI6243">
        <v>92.264574838839295</v>
      </c>
      <c r="AJ6243">
        <v>89.175087455409496</v>
      </c>
      <c r="AK6243">
        <v>28.070128750946999</v>
      </c>
      <c r="AL6243">
        <v>78.818745276278904</v>
      </c>
      <c r="AM6243">
        <v>88.614704246922699</v>
      </c>
      <c r="AN6243">
        <v>0.99999997482953096</v>
      </c>
    </row>
    <row r="6244" spans="1:40" x14ac:dyDescent="0.25">
      <c r="A6244" t="str">
        <f>"20190312172830126"</f>
        <v>20190312172830126</v>
      </c>
      <c r="B6244" t="str">
        <f>"1552382910115392"</f>
        <v>1552382910115392</v>
      </c>
      <c r="C6244" t="s">
        <v>40</v>
      </c>
      <c r="D6244">
        <v>3.0487489999999999</v>
      </c>
      <c r="E6244">
        <v>0.50081920000000002</v>
      </c>
      <c r="F6244" t="s">
        <v>41</v>
      </c>
      <c r="G6244">
        <v>-187.99260000000001</v>
      </c>
      <c r="H6244" s="1">
        <v>-1.0323609999999901E-6</v>
      </c>
      <c r="I6244">
        <v>41.112180000000002</v>
      </c>
      <c r="J6244">
        <v>-187.36170000000001</v>
      </c>
      <c r="K6244">
        <v>1.109173</v>
      </c>
      <c r="L6244">
        <v>13.189</v>
      </c>
      <c r="M6244">
        <v>-3.6767330000000001E-2</v>
      </c>
      <c r="N6244">
        <v>0</v>
      </c>
      <c r="O6244">
        <v>0.99929210000000002</v>
      </c>
      <c r="P6244">
        <v>-1.211605E-2</v>
      </c>
      <c r="Q6244">
        <v>0.18631510000000001</v>
      </c>
      <c r="R6244">
        <v>0.98241529999999999</v>
      </c>
      <c r="S6244">
        <v>-6.9946289999999994E-2</v>
      </c>
      <c r="T6244">
        <v>-0.1209085</v>
      </c>
      <c r="U6244">
        <v>3.0756230000000002</v>
      </c>
      <c r="V6244">
        <v>2.403251E-2</v>
      </c>
      <c r="W6244">
        <v>0.19412769999999999</v>
      </c>
      <c r="X6244">
        <v>0.98068180000000005</v>
      </c>
      <c r="Y6244">
        <v>1.405561E-2</v>
      </c>
      <c r="Z6244">
        <v>-3.9234709999999999E-2</v>
      </c>
      <c r="AA6244">
        <v>0.99913110000000005</v>
      </c>
      <c r="AB6244">
        <v>30</v>
      </c>
      <c r="AC6244">
        <v>-0.63089999999999602</v>
      </c>
      <c r="AD6244">
        <v>-1.109174032361</v>
      </c>
      <c r="AE6244">
        <v>27.923179999999999</v>
      </c>
      <c r="AF6244">
        <v>0.39559608211140701</v>
      </c>
      <c r="AG6244">
        <v>-1.109174032361</v>
      </c>
      <c r="AH6244">
        <v>27.883521911527001</v>
      </c>
      <c r="AI6244">
        <v>92.277729401415499</v>
      </c>
      <c r="AJ6244">
        <v>89.187173507436</v>
      </c>
      <c r="AK6244">
        <v>27.908377908521601</v>
      </c>
      <c r="AL6244">
        <v>78.806228770614894</v>
      </c>
      <c r="AM6244">
        <v>88.596195164229101</v>
      </c>
      <c r="AN6244">
        <v>0.999999959147714</v>
      </c>
    </row>
    <row r="6245" spans="1:40" x14ac:dyDescent="0.25">
      <c r="A6245" t="str">
        <f>"20190312172830148"</f>
        <v>20190312172830148</v>
      </c>
      <c r="B6245" t="str">
        <f>"1552382910145648"</f>
        <v>1552382910145648</v>
      </c>
      <c r="C6245" t="s">
        <v>40</v>
      </c>
      <c r="D6245">
        <v>3.0560230000000002</v>
      </c>
      <c r="E6245">
        <v>0.50096579999999902</v>
      </c>
      <c r="F6245" t="s">
        <v>41</v>
      </c>
      <c r="G6245">
        <v>-187.97540000000001</v>
      </c>
      <c r="H6245" s="1">
        <v>-1.0179240000000001E-6</v>
      </c>
      <c r="I6245">
        <v>41.056319999999999</v>
      </c>
      <c r="J6245">
        <v>-187.37260000000001</v>
      </c>
      <c r="K6245">
        <v>1.1091770000000001</v>
      </c>
      <c r="L6245">
        <v>13.48718</v>
      </c>
      <c r="M6245">
        <v>-3.6739460000000002E-2</v>
      </c>
      <c r="N6245">
        <v>0</v>
      </c>
      <c r="O6245">
        <v>0.99929290000000004</v>
      </c>
      <c r="P6245">
        <v>-1.2363219999999999E-2</v>
      </c>
      <c r="Q6245">
        <v>0.1863592</v>
      </c>
      <c r="R6245">
        <v>0.9824039</v>
      </c>
      <c r="S6245">
        <v>-6.7749019999999993E-2</v>
      </c>
      <c r="T6245">
        <v>-0.122434</v>
      </c>
      <c r="U6245">
        <v>3.0760800000000001</v>
      </c>
      <c r="V6245">
        <v>2.3757529999999999E-2</v>
      </c>
      <c r="W6245">
        <v>0.1942063</v>
      </c>
      <c r="X6245">
        <v>0.98067300000000002</v>
      </c>
      <c r="Y6245">
        <v>1.474486E-2</v>
      </c>
      <c r="Z6245">
        <v>-3.972324E-2</v>
      </c>
      <c r="AA6245">
        <v>0.99910189999999999</v>
      </c>
      <c r="AB6245">
        <v>30</v>
      </c>
      <c r="AC6245">
        <v>-0.602800000000002</v>
      </c>
      <c r="AD6245">
        <v>-1.1091780179240001</v>
      </c>
      <c r="AE6245">
        <v>27.569140000000001</v>
      </c>
      <c r="AF6245">
        <v>0.409851580765412</v>
      </c>
      <c r="AG6245">
        <v>-1.1091780179240001</v>
      </c>
      <c r="AH6245">
        <v>27.528136090215401</v>
      </c>
      <c r="AI6245">
        <v>92.307087914719503</v>
      </c>
      <c r="AJ6245">
        <v>89.147017042998201</v>
      </c>
      <c r="AK6245">
        <v>27.5535212050133</v>
      </c>
      <c r="AL6245">
        <v>78.801638642876199</v>
      </c>
      <c r="AM6245">
        <v>88.612238734833198</v>
      </c>
      <c r="AN6245">
        <v>1.00000002006019</v>
      </c>
    </row>
    <row r="6246" spans="1:40" x14ac:dyDescent="0.25">
      <c r="A6246" t="str">
        <f>"20190312172830171"</f>
        <v>20190312172830171</v>
      </c>
      <c r="B6246" t="str">
        <f>"1552382910166144"</f>
        <v>1552382910166144</v>
      </c>
      <c r="C6246" t="s">
        <v>40</v>
      </c>
      <c r="D6246">
        <v>3.05505</v>
      </c>
      <c r="E6246">
        <v>0.50105370000000005</v>
      </c>
      <c r="F6246" t="s">
        <v>41</v>
      </c>
      <c r="G6246">
        <v>-187.97319999999999</v>
      </c>
      <c r="H6246" s="1">
        <v>-9.5691869999999996E-7</v>
      </c>
      <c r="I6246">
        <v>40.875279999999997</v>
      </c>
      <c r="J6246">
        <v>-187.38329999999999</v>
      </c>
      <c r="K6246">
        <v>1.1091799999999901</v>
      </c>
      <c r="L6246">
        <v>13.7785299999999</v>
      </c>
      <c r="M6246">
        <v>-3.6712839999999997E-2</v>
      </c>
      <c r="N6246">
        <v>0</v>
      </c>
      <c r="O6246">
        <v>0.99929349999999995</v>
      </c>
      <c r="P6246">
        <v>-1.254332E-2</v>
      </c>
      <c r="Q6246">
        <v>0.18659120000000001</v>
      </c>
      <c r="R6246">
        <v>0.98235760000000005</v>
      </c>
      <c r="S6246">
        <v>-6.7459110000000003E-2</v>
      </c>
      <c r="T6246">
        <v>-0.1245941</v>
      </c>
      <c r="U6246">
        <v>3.076508</v>
      </c>
      <c r="V6246">
        <v>2.354968E-2</v>
      </c>
      <c r="W6246">
        <v>0.19447890000000001</v>
      </c>
      <c r="X6246">
        <v>0.98062400000000005</v>
      </c>
      <c r="Y6246">
        <v>1.4816009999999999E-2</v>
      </c>
      <c r="Z6246">
        <v>-4.0417410000000001E-2</v>
      </c>
      <c r="AA6246">
        <v>0.99907299999999999</v>
      </c>
      <c r="AB6246">
        <v>30</v>
      </c>
      <c r="AC6246">
        <v>-0.58989999999999998</v>
      </c>
      <c r="AD6246">
        <v>-1.1091809569186999</v>
      </c>
      <c r="AE6246">
        <v>27.09675</v>
      </c>
      <c r="AF6246">
        <v>0.40465080599935899</v>
      </c>
      <c r="AG6246">
        <v>-1.1091809569186999</v>
      </c>
      <c r="AH6246">
        <v>27.054827724218001</v>
      </c>
      <c r="AI6246">
        <v>92.347408130129494</v>
      </c>
      <c r="AJ6246">
        <v>89.143108394716606</v>
      </c>
      <c r="AK6246">
        <v>27.080578425452799</v>
      </c>
      <c r="AL6246">
        <v>78.785716341657505</v>
      </c>
      <c r="AM6246">
        <v>88.624306590790397</v>
      </c>
      <c r="AN6246">
        <v>1.0000000296746501</v>
      </c>
    </row>
    <row r="6247" spans="1:40" x14ac:dyDescent="0.25">
      <c r="A6247" t="str">
        <f>"20190312172830193"</f>
        <v>20190312172830193</v>
      </c>
      <c r="B6247" t="str">
        <f>"1552382910185664"</f>
        <v>1552382910185664</v>
      </c>
      <c r="C6247" t="s">
        <v>40</v>
      </c>
      <c r="D6247">
        <v>3.046281</v>
      </c>
      <c r="E6247">
        <v>0.50112909999999999</v>
      </c>
      <c r="F6247" t="s">
        <v>41</v>
      </c>
      <c r="G6247">
        <v>-187.97730000000001</v>
      </c>
      <c r="H6247" s="1">
        <v>-1.0196130000000001E-6</v>
      </c>
      <c r="I6247">
        <v>41.062759999999997</v>
      </c>
      <c r="J6247">
        <v>-187.39439999999999</v>
      </c>
      <c r="K6247">
        <v>1.1091869999999999</v>
      </c>
      <c r="L6247">
        <v>14.08197</v>
      </c>
      <c r="M6247">
        <v>-3.6685509999999998E-2</v>
      </c>
      <c r="N6247">
        <v>0</v>
      </c>
      <c r="O6247">
        <v>0.99929420000000002</v>
      </c>
      <c r="P6247">
        <v>-1.227661E-2</v>
      </c>
      <c r="Q6247">
        <v>0.18641669999999999</v>
      </c>
      <c r="R6247">
        <v>0.98239410000000005</v>
      </c>
      <c r="S6247">
        <v>-6.6986080000000003E-2</v>
      </c>
      <c r="T6247">
        <v>-0.12507989999999999</v>
      </c>
      <c r="U6247">
        <v>3.0767820000000001</v>
      </c>
      <c r="V6247">
        <v>2.3790720000000001E-2</v>
      </c>
      <c r="W6247">
        <v>0.19434989999999999</v>
      </c>
      <c r="X6247">
        <v>0.98064370000000001</v>
      </c>
      <c r="Y6247">
        <v>1.4944290000000001E-2</v>
      </c>
      <c r="Z6247">
        <v>-4.0571210000000003E-2</v>
      </c>
      <c r="AA6247">
        <v>0.99906490000000003</v>
      </c>
      <c r="AB6247">
        <v>30</v>
      </c>
      <c r="AC6247">
        <v>-0.58290000000002296</v>
      </c>
      <c r="AD6247">
        <v>-1.109188019613</v>
      </c>
      <c r="AE6247">
        <v>26.980789999999899</v>
      </c>
      <c r="AF6247">
        <v>0.406641819918445</v>
      </c>
      <c r="AG6247">
        <v>-1.109188019613</v>
      </c>
      <c r="AH6247">
        <v>26.938505315471499</v>
      </c>
      <c r="AI6247">
        <v>92.357543090530299</v>
      </c>
      <c r="AJ6247">
        <v>89.135175082611994</v>
      </c>
      <c r="AK6247">
        <v>26.964397346579901</v>
      </c>
      <c r="AL6247">
        <v>78.793250637139195</v>
      </c>
      <c r="AM6247">
        <v>88.610259243806794</v>
      </c>
      <c r="AN6247">
        <v>0.99999997416890796</v>
      </c>
    </row>
    <row r="6248" spans="1:40" x14ac:dyDescent="0.25">
      <c r="A6248" t="str">
        <f>"20190312172830215"</f>
        <v>20190312172830215</v>
      </c>
      <c r="B6248" t="str">
        <f>"1552382910206160"</f>
        <v>1552382910206160</v>
      </c>
      <c r="C6248" t="s">
        <v>40</v>
      </c>
      <c r="D6248">
        <v>3.0305759999999999</v>
      </c>
      <c r="E6248">
        <v>0.50119820000000004</v>
      </c>
      <c r="F6248" t="s">
        <v>41</v>
      </c>
      <c r="G6248">
        <v>-187.96539999999999</v>
      </c>
      <c r="H6248" s="1">
        <v>-9.8503479999999992E-7</v>
      </c>
      <c r="I6248">
        <v>40.951810000000002</v>
      </c>
      <c r="J6248">
        <v>-187.4057</v>
      </c>
      <c r="K6248">
        <v>1.109197</v>
      </c>
      <c r="L6248">
        <v>14.38974</v>
      </c>
      <c r="M6248">
        <v>-3.6657679999999998E-2</v>
      </c>
      <c r="N6248">
        <v>0</v>
      </c>
      <c r="O6248">
        <v>0.99929480000000004</v>
      </c>
      <c r="P6248">
        <v>-1.2255220000000001E-2</v>
      </c>
      <c r="Q6248">
        <v>0.18602969999999999</v>
      </c>
      <c r="R6248">
        <v>0.98246770000000005</v>
      </c>
      <c r="S6248">
        <v>-6.5383910000000003E-2</v>
      </c>
      <c r="T6248">
        <v>-0.1270211</v>
      </c>
      <c r="U6248">
        <v>3.0770569999999999</v>
      </c>
      <c r="V6248">
        <v>2.378738E-2</v>
      </c>
      <c r="W6248">
        <v>0.19400980000000001</v>
      </c>
      <c r="X6248">
        <v>0.98071120000000001</v>
      </c>
      <c r="Y6248">
        <v>1.543889E-2</v>
      </c>
      <c r="Z6248">
        <v>-4.119627E-2</v>
      </c>
      <c r="AA6248">
        <v>0.99903180000000003</v>
      </c>
      <c r="AB6248">
        <v>30</v>
      </c>
      <c r="AC6248">
        <v>-0.55969999999999198</v>
      </c>
      <c r="AD6248">
        <v>-1.1091979850347999</v>
      </c>
      <c r="AE6248">
        <v>26.562069999999899</v>
      </c>
      <c r="AF6248">
        <v>0.41369119213387701</v>
      </c>
      <c r="AG6248">
        <v>-1.1091979850347999</v>
      </c>
      <c r="AH6248">
        <v>26.518511732731699</v>
      </c>
      <c r="AI6248">
        <v>92.394841095558107</v>
      </c>
      <c r="AJ6248">
        <v>89.106253131383895</v>
      </c>
      <c r="AK6248">
        <v>26.544922774261</v>
      </c>
      <c r="AL6248">
        <v>78.813115890205793</v>
      </c>
      <c r="AM6248">
        <v>88.610549875834806</v>
      </c>
      <c r="AN6248">
        <v>1.00000004987437</v>
      </c>
    </row>
    <row r="6249" spans="1:40" x14ac:dyDescent="0.25">
      <c r="A6249" t="str">
        <f>"20190312172830252"</f>
        <v>20190312172830252</v>
      </c>
      <c r="B6249" t="str">
        <f>"1552382910245755"</f>
        <v>1552382910245755</v>
      </c>
      <c r="C6249" t="s">
        <v>40</v>
      </c>
      <c r="D6249">
        <v>3.0173649999999999</v>
      </c>
      <c r="E6249">
        <v>0.50131340000000002</v>
      </c>
      <c r="F6249" t="s">
        <v>41</v>
      </c>
      <c r="G6249">
        <v>-187.9622</v>
      </c>
      <c r="H6249" s="1">
        <v>-9.3053540000000001E-7</v>
      </c>
      <c r="I6249">
        <v>40.789149999999999</v>
      </c>
      <c r="J6249">
        <v>-187.423</v>
      </c>
      <c r="K6249">
        <v>1.109205</v>
      </c>
      <c r="L6249">
        <v>14.863799999999999</v>
      </c>
      <c r="M6249">
        <v>-3.6614420000000002E-2</v>
      </c>
      <c r="N6249">
        <v>0</v>
      </c>
      <c r="O6249">
        <v>0.99929579999999996</v>
      </c>
      <c r="P6249">
        <v>-1.2102440000000001E-2</v>
      </c>
      <c r="Q6249">
        <v>0.1866273</v>
      </c>
      <c r="R6249">
        <v>0.98235629999999996</v>
      </c>
      <c r="S6249">
        <v>-6.4865110000000004E-2</v>
      </c>
      <c r="T6249">
        <v>-0.12929199999999999</v>
      </c>
      <c r="U6249">
        <v>3.0772089999999999</v>
      </c>
      <c r="V6249">
        <v>2.389345E-2</v>
      </c>
      <c r="W6249">
        <v>0.19468099999999999</v>
      </c>
      <c r="X6249">
        <v>0.98057559999999999</v>
      </c>
      <c r="Y6249">
        <v>1.556568E-2</v>
      </c>
      <c r="Z6249">
        <v>-4.1929569999999999E-2</v>
      </c>
      <c r="AA6249">
        <v>0.99899930000000003</v>
      </c>
      <c r="AB6249">
        <v>30</v>
      </c>
      <c r="AC6249">
        <v>-0.53919999999999302</v>
      </c>
      <c r="AD6249">
        <v>-1.1092059305353901</v>
      </c>
      <c r="AE6249">
        <v>25.925350000000002</v>
      </c>
      <c r="AF6249">
        <v>0.40968555274040003</v>
      </c>
      <c r="AG6249">
        <v>-1.1092059305353901</v>
      </c>
      <c r="AH6249">
        <v>25.880354103862899</v>
      </c>
      <c r="AI6249">
        <v>92.4538304635077</v>
      </c>
      <c r="AJ6249">
        <v>89.093084561665194</v>
      </c>
      <c r="AK6249">
        <v>25.907352404091601</v>
      </c>
      <c r="AL6249">
        <v>78.773911438418295</v>
      </c>
      <c r="AM6249">
        <v>88.604163719942704</v>
      </c>
      <c r="AN6249">
        <v>1.00000004801463</v>
      </c>
    </row>
    <row r="6250" spans="1:40" x14ac:dyDescent="0.25">
      <c r="A6250" t="str">
        <f>"20190312172830295"</f>
        <v>20190312172830295</v>
      </c>
      <c r="B6250" t="str">
        <f>"1552382910285771"</f>
        <v>1552382910285771</v>
      </c>
      <c r="C6250" t="s">
        <v>40</v>
      </c>
      <c r="D6250">
        <v>3.016915</v>
      </c>
      <c r="E6250">
        <v>0.50139060000000002</v>
      </c>
      <c r="F6250" t="s">
        <v>41</v>
      </c>
      <c r="G6250">
        <v>-187.96719999999999</v>
      </c>
      <c r="H6250" s="1">
        <v>-1.0723310000000001E-6</v>
      </c>
      <c r="I6250">
        <v>41.20975</v>
      </c>
      <c r="J6250">
        <v>-187.4443</v>
      </c>
      <c r="K6250">
        <v>1.1092070000000001</v>
      </c>
      <c r="L6250">
        <v>15.44678</v>
      </c>
      <c r="M6250">
        <v>-3.6561219999999998E-2</v>
      </c>
      <c r="N6250">
        <v>0</v>
      </c>
      <c r="O6250">
        <v>0.99929699999999999</v>
      </c>
      <c r="P6250">
        <v>-1.1641779999999999E-2</v>
      </c>
      <c r="Q6250">
        <v>0.18600149999999999</v>
      </c>
      <c r="R6250">
        <v>0.98248049999999998</v>
      </c>
      <c r="S6250">
        <v>-6.3568120000000006E-2</v>
      </c>
      <c r="T6250">
        <v>-0.1295772</v>
      </c>
      <c r="U6250">
        <v>3.077728</v>
      </c>
      <c r="V6250">
        <v>2.4306080000000001E-2</v>
      </c>
      <c r="W6250">
        <v>0.19414120000000001</v>
      </c>
      <c r="X6250">
        <v>0.9806724</v>
      </c>
      <c r="Y6250">
        <v>1.5936909999999999E-2</v>
      </c>
      <c r="Z6250">
        <v>-4.2014990000000002E-2</v>
      </c>
      <c r="AA6250">
        <v>0.99898989999999999</v>
      </c>
      <c r="AB6250">
        <v>30</v>
      </c>
      <c r="AC6250">
        <v>-0.52289999999999204</v>
      </c>
      <c r="AD6250">
        <v>-1.1092080723310001</v>
      </c>
      <c r="AE6250">
        <v>25.762969999999999</v>
      </c>
      <c r="AF6250">
        <v>0.41863194793276998</v>
      </c>
      <c r="AG6250">
        <v>-1.1092080723310001</v>
      </c>
      <c r="AH6250">
        <v>25.717210815479401</v>
      </c>
      <c r="AI6250">
        <v>92.469364732957501</v>
      </c>
      <c r="AJ6250">
        <v>89.067405649623694</v>
      </c>
      <c r="AK6250">
        <v>25.744524221343902</v>
      </c>
      <c r="AL6250">
        <v>78.805440440189699</v>
      </c>
      <c r="AM6250">
        <v>88.580208090651197</v>
      </c>
      <c r="AN6250">
        <v>0.99999997359208204</v>
      </c>
    </row>
    <row r="6251" spans="1:40" x14ac:dyDescent="0.25">
      <c r="A6251" t="str">
        <f>"20190312172830316"</f>
        <v>20190312172830316</v>
      </c>
      <c r="B6251" t="str">
        <f>"1552382910306267"</f>
        <v>1552382910306267</v>
      </c>
      <c r="C6251" t="s">
        <v>40</v>
      </c>
      <c r="D6251">
        <v>3.0196610000000002</v>
      </c>
      <c r="E6251">
        <v>0.50144579999999905</v>
      </c>
      <c r="F6251" t="s">
        <v>41</v>
      </c>
      <c r="G6251">
        <v>-187.95330000000001</v>
      </c>
      <c r="H6251" s="1">
        <v>-1.0117880000000001E-6</v>
      </c>
      <c r="I6251">
        <v>41.021030000000003</v>
      </c>
      <c r="J6251">
        <v>-187.4546</v>
      </c>
      <c r="K6251">
        <v>1.1092089999999999</v>
      </c>
      <c r="L6251">
        <v>15.72885</v>
      </c>
      <c r="M6251">
        <v>-3.6535699999999997E-2</v>
      </c>
      <c r="N6251">
        <v>0</v>
      </c>
      <c r="O6251">
        <v>0.99929760000000001</v>
      </c>
      <c r="P6251">
        <v>-1.1750760000000001E-2</v>
      </c>
      <c r="Q6251">
        <v>0.18607899999999999</v>
      </c>
      <c r="R6251">
        <v>0.98246449999999996</v>
      </c>
      <c r="S6251">
        <v>-6.1264039999999999E-2</v>
      </c>
      <c r="T6251">
        <v>-0.1335007</v>
      </c>
      <c r="U6251">
        <v>3.078033</v>
      </c>
      <c r="V6251">
        <v>2.417161E-2</v>
      </c>
      <c r="W6251">
        <v>0.19425490000000001</v>
      </c>
      <c r="X6251">
        <v>0.9806532</v>
      </c>
      <c r="Y6251">
        <v>1.6661990000000002E-2</v>
      </c>
      <c r="Z6251">
        <v>-4.3280680000000002E-2</v>
      </c>
      <c r="AA6251">
        <v>0.99892400000000003</v>
      </c>
      <c r="AB6251">
        <v>30</v>
      </c>
      <c r="AC6251">
        <v>-0.49870000000001302</v>
      </c>
      <c r="AD6251">
        <v>-1.1092100117879999</v>
      </c>
      <c r="AE6251">
        <v>25.292179999999899</v>
      </c>
      <c r="AF6251">
        <v>0.42491563368254498</v>
      </c>
      <c r="AG6251">
        <v>-1.1092100117879999</v>
      </c>
      <c r="AH6251">
        <v>25.2449777589283</v>
      </c>
      <c r="AI6251">
        <v>92.515479309991093</v>
      </c>
      <c r="AJ6251">
        <v>89.035706271024097</v>
      </c>
      <c r="AK6251">
        <v>25.272906484905601</v>
      </c>
      <c r="AL6251">
        <v>78.798799393024595</v>
      </c>
      <c r="AM6251">
        <v>88.588032070139107</v>
      </c>
      <c r="AN6251">
        <v>0.99999996578712003</v>
      </c>
    </row>
    <row r="6252" spans="1:40" x14ac:dyDescent="0.25">
      <c r="A6252" t="str">
        <f>"20190312172830338"</f>
        <v>20190312172830338</v>
      </c>
      <c r="B6252" t="str">
        <f>"1552382910336523"</f>
        <v>1552382910336523</v>
      </c>
      <c r="C6252" t="s">
        <v>40</v>
      </c>
      <c r="D6252">
        <v>3.0174159999999999</v>
      </c>
      <c r="E6252">
        <v>0.50152169999999996</v>
      </c>
      <c r="F6252" t="s">
        <v>41</v>
      </c>
      <c r="G6252">
        <v>-187.95769999999999</v>
      </c>
      <c r="H6252" s="1">
        <v>-1.056861E-6</v>
      </c>
      <c r="I6252">
        <v>41.156860000000002</v>
      </c>
      <c r="J6252">
        <v>-187.46610000000001</v>
      </c>
      <c r="K6252">
        <v>1.1092139999999999</v>
      </c>
      <c r="L6252">
        <v>16.043429999999901</v>
      </c>
      <c r="M6252">
        <v>-3.6507030000000003E-2</v>
      </c>
      <c r="N6252">
        <v>0</v>
      </c>
      <c r="O6252">
        <v>0.99929829999999997</v>
      </c>
      <c r="P6252">
        <v>-1.138019E-2</v>
      </c>
      <c r="Q6252">
        <v>0.1859132</v>
      </c>
      <c r="R6252">
        <v>0.98250029999999999</v>
      </c>
      <c r="S6252">
        <v>-6.089783E-2</v>
      </c>
      <c r="T6252">
        <v>-0.13427809999999901</v>
      </c>
      <c r="U6252">
        <v>3.0782470000000002</v>
      </c>
      <c r="V6252">
        <v>2.4515080000000002E-2</v>
      </c>
      <c r="W6252">
        <v>0.1941291</v>
      </c>
      <c r="X6252">
        <v>0.98066960000000003</v>
      </c>
      <c r="Y6252">
        <v>1.67537E-2</v>
      </c>
      <c r="Z6252">
        <v>-4.35293E-2</v>
      </c>
      <c r="AA6252">
        <v>0.99891169999999996</v>
      </c>
      <c r="AB6252">
        <v>30</v>
      </c>
      <c r="AC6252">
        <v>-0.491599999999977</v>
      </c>
      <c r="AD6252">
        <v>-1.109215056861</v>
      </c>
      <c r="AE6252">
        <v>25.113430000000001</v>
      </c>
      <c r="AF6252">
        <v>0.42474832986602301</v>
      </c>
      <c r="AG6252">
        <v>-1.109215056861</v>
      </c>
      <c r="AH6252">
        <v>25.065755303340801</v>
      </c>
      <c r="AI6252">
        <v>92.533448519342599</v>
      </c>
      <c r="AJ6252">
        <v>89.0291951144942</v>
      </c>
      <c r="AK6252">
        <v>25.0938808898315</v>
      </c>
      <c r="AL6252">
        <v>78.806147242924396</v>
      </c>
      <c r="AM6252">
        <v>88.568000741028897</v>
      </c>
      <c r="AN6252">
        <v>0.99999998048918803</v>
      </c>
    </row>
    <row r="6253" spans="1:40" x14ac:dyDescent="0.25">
      <c r="A6253" t="str">
        <f>"20190312172830360"</f>
        <v>20190312172830360</v>
      </c>
      <c r="B6253" t="str">
        <f>"1552382910356044"</f>
        <v>1552382910356044</v>
      </c>
      <c r="C6253" t="s">
        <v>40</v>
      </c>
      <c r="D6253">
        <v>3.0272709999999998</v>
      </c>
      <c r="E6253">
        <v>0.50158579999999997</v>
      </c>
      <c r="F6253" t="s">
        <v>41</v>
      </c>
      <c r="G6253">
        <v>-187.9502</v>
      </c>
      <c r="H6253" s="1">
        <v>-1.055336E-6</v>
      </c>
      <c r="I6253">
        <v>41.146549999999998</v>
      </c>
      <c r="J6253">
        <v>-187.4768</v>
      </c>
      <c r="K6253">
        <v>1.109218</v>
      </c>
      <c r="L6253">
        <v>16.336269999999999</v>
      </c>
      <c r="M6253">
        <v>-3.64803E-2</v>
      </c>
      <c r="N6253">
        <v>0</v>
      </c>
      <c r="O6253">
        <v>0.99929900000000005</v>
      </c>
      <c r="P6253">
        <v>-1.1213600000000001E-2</v>
      </c>
      <c r="Q6253">
        <v>0.185914</v>
      </c>
      <c r="R6253">
        <v>0.98250199999999999</v>
      </c>
      <c r="S6253">
        <v>-5.937195E-2</v>
      </c>
      <c r="T6253">
        <v>-0.13602719999999999</v>
      </c>
      <c r="U6253">
        <v>3.0784910000000001</v>
      </c>
      <c r="V6253">
        <v>2.4655389999999999E-2</v>
      </c>
      <c r="W6253">
        <v>0.19416839999999999</v>
      </c>
      <c r="X6253">
        <v>0.98065840000000004</v>
      </c>
      <c r="Y6253">
        <v>1.722394E-2</v>
      </c>
      <c r="Z6253">
        <v>-4.409184E-2</v>
      </c>
      <c r="AA6253">
        <v>0.99887899999999996</v>
      </c>
      <c r="AB6253">
        <v>30</v>
      </c>
      <c r="AC6253">
        <v>-0.47339999999999799</v>
      </c>
      <c r="AD6253">
        <v>-1.109219055336</v>
      </c>
      <c r="AE6253">
        <v>24.810279999999899</v>
      </c>
      <c r="AF6253">
        <v>0.43117206576522998</v>
      </c>
      <c r="AG6253">
        <v>-1.109219055336</v>
      </c>
      <c r="AH6253">
        <v>24.7615591912955</v>
      </c>
      <c r="AI6253">
        <v>92.564519335560703</v>
      </c>
      <c r="AJ6253">
        <v>89.002411641447495</v>
      </c>
      <c r="AK6253">
        <v>24.790140980781999</v>
      </c>
      <c r="AL6253">
        <v>78.803852932664597</v>
      </c>
      <c r="AM6253">
        <v>88.559791814265296</v>
      </c>
      <c r="AN6253">
        <v>1.0000000766525801</v>
      </c>
    </row>
    <row r="6254" spans="1:40" x14ac:dyDescent="0.25">
      <c r="A6254" t="str">
        <f>"20190312172830383"</f>
        <v>20190312172830383</v>
      </c>
      <c r="B6254" t="str">
        <f>"1552382910375563"</f>
        <v>1552382910375563</v>
      </c>
      <c r="C6254" t="s">
        <v>40</v>
      </c>
      <c r="D6254">
        <v>3.036699</v>
      </c>
      <c r="E6254">
        <v>0.50163009999999997</v>
      </c>
      <c r="F6254" t="s">
        <v>41</v>
      </c>
      <c r="G6254">
        <v>-187.95240000000001</v>
      </c>
      <c r="H6254" s="1">
        <v>-1.0990720000000001E-6</v>
      </c>
      <c r="I6254">
        <v>41.276789999999998</v>
      </c>
      <c r="J6254">
        <v>-187.4881</v>
      </c>
      <c r="K6254">
        <v>1.1092249999999999</v>
      </c>
      <c r="L6254">
        <v>16.647639999999999</v>
      </c>
      <c r="M6254">
        <v>-3.6452079999999998E-2</v>
      </c>
      <c r="N6254">
        <v>0</v>
      </c>
      <c r="O6254">
        <v>0.99929959999999995</v>
      </c>
      <c r="P6254">
        <v>-1.084367E-2</v>
      </c>
      <c r="Q6254">
        <v>0.1856603</v>
      </c>
      <c r="R6254">
        <v>0.98255409999999999</v>
      </c>
      <c r="S6254">
        <v>-5.8715820000000002E-2</v>
      </c>
      <c r="T6254">
        <v>-0.13692270000000001</v>
      </c>
      <c r="U6254">
        <v>3.0786739999999999</v>
      </c>
      <c r="V6254">
        <v>2.4999319999999998E-2</v>
      </c>
      <c r="W6254">
        <v>0.1939583</v>
      </c>
      <c r="X6254">
        <v>0.98069119999999999</v>
      </c>
      <c r="Y6254">
        <v>1.7409910000000001E-2</v>
      </c>
      <c r="Z6254">
        <v>-4.4379000000000002E-2</v>
      </c>
      <c r="AA6254">
        <v>0.99886299999999995</v>
      </c>
      <c r="AB6254">
        <v>30</v>
      </c>
      <c r="AC6254">
        <v>-0.46430000000000798</v>
      </c>
      <c r="AD6254">
        <v>-1.109226099072</v>
      </c>
      <c r="AE6254">
        <v>24.629149999999999</v>
      </c>
      <c r="AF6254">
        <v>0.43294661127073603</v>
      </c>
      <c r="AG6254">
        <v>-1.109226099072</v>
      </c>
      <c r="AH6254">
        <v>24.579866973525998</v>
      </c>
      <c r="AI6254">
        <v>92.583457756026903</v>
      </c>
      <c r="AJ6254">
        <v>88.9909038668942</v>
      </c>
      <c r="AK6254">
        <v>24.608691264333999</v>
      </c>
      <c r="AL6254">
        <v>78.816123294487795</v>
      </c>
      <c r="AM6254">
        <v>88.539759109966298</v>
      </c>
      <c r="AN6254">
        <v>1.00000000894839</v>
      </c>
    </row>
    <row r="6255" spans="1:40" x14ac:dyDescent="0.25">
      <c r="A6255" t="str">
        <f>"20190312172830404"</f>
        <v>20190312172830404</v>
      </c>
      <c r="B6255" t="str">
        <f>"1552382910396059"</f>
        <v>1552382910396059</v>
      </c>
      <c r="C6255" t="s">
        <v>40</v>
      </c>
      <c r="D6255">
        <v>3.03261</v>
      </c>
      <c r="E6255">
        <v>0.50166699999999997</v>
      </c>
      <c r="F6255" t="s">
        <v>41</v>
      </c>
      <c r="G6255">
        <v>-187.94329999999999</v>
      </c>
      <c r="H6255" s="1">
        <v>-1.110125E-6</v>
      </c>
      <c r="I6255">
        <v>41.302100000000003</v>
      </c>
      <c r="J6255">
        <v>-187.49889999999999</v>
      </c>
      <c r="K6255">
        <v>1.109224</v>
      </c>
      <c r="L6255">
        <v>16.94604</v>
      </c>
      <c r="M6255">
        <v>-3.6424970000000001E-2</v>
      </c>
      <c r="N6255">
        <v>0</v>
      </c>
      <c r="O6255">
        <v>0.99930019999999997</v>
      </c>
      <c r="P6255">
        <v>-1.0715479999999999E-2</v>
      </c>
      <c r="Q6255">
        <v>0.18570039999999999</v>
      </c>
      <c r="R6255">
        <v>0.98254799999999998</v>
      </c>
      <c r="S6255">
        <v>-5.6838989999999999E-2</v>
      </c>
      <c r="T6255">
        <v>-0.13851920000000001</v>
      </c>
      <c r="U6255">
        <v>3.078827</v>
      </c>
      <c r="V6255">
        <v>2.5100620000000001E-2</v>
      </c>
      <c r="W6255">
        <v>0.1940491</v>
      </c>
      <c r="X6255">
        <v>0.98067059999999995</v>
      </c>
      <c r="Y6255">
        <v>1.7992850000000001E-2</v>
      </c>
      <c r="Z6255">
        <v>-4.4893259999999997E-2</v>
      </c>
      <c r="AA6255">
        <v>0.99882969999999904</v>
      </c>
      <c r="AB6255">
        <v>30</v>
      </c>
      <c r="AC6255">
        <v>-0.44440000000000102</v>
      </c>
      <c r="AD6255">
        <v>-1.1092251101249999</v>
      </c>
      <c r="AE6255">
        <v>24.356059999999999</v>
      </c>
      <c r="AF6255">
        <v>0.44217896227217601</v>
      </c>
      <c r="AG6255">
        <v>-1.1092251101249999</v>
      </c>
      <c r="AH6255">
        <v>24.3056886186552</v>
      </c>
      <c r="AI6255">
        <v>92.612530749721898</v>
      </c>
      <c r="AJ6255">
        <v>88.957766871233005</v>
      </c>
      <c r="AK6255">
        <v>24.3350036327639</v>
      </c>
      <c r="AL6255">
        <v>78.810819526386396</v>
      </c>
      <c r="AM6255">
        <v>88.533813845751993</v>
      </c>
      <c r="AN6255">
        <v>0.99999996001977598</v>
      </c>
    </row>
    <row r="6256" spans="1:40" x14ac:dyDescent="0.25">
      <c r="A6256" t="str">
        <f>"20190312172830428"</f>
        <v>20190312172830428</v>
      </c>
      <c r="B6256" t="str">
        <f>"1552382910415579"</f>
        <v>1552382910415579</v>
      </c>
      <c r="C6256" t="s">
        <v>40</v>
      </c>
      <c r="D6256">
        <v>3.0348410000000001</v>
      </c>
      <c r="E6256">
        <v>0.50171359999999998</v>
      </c>
      <c r="F6256" t="s">
        <v>41</v>
      </c>
      <c r="G6256">
        <v>-187.94479999999999</v>
      </c>
      <c r="H6256" s="1">
        <v>-1.1637110000000001E-6</v>
      </c>
      <c r="I6256">
        <v>41.460790000000003</v>
      </c>
      <c r="J6256">
        <v>-187.51009999999999</v>
      </c>
      <c r="K6256">
        <v>1.1092379999999999</v>
      </c>
      <c r="L6256">
        <v>17.251829999999899</v>
      </c>
      <c r="M6256">
        <v>-3.639717E-2</v>
      </c>
      <c r="N6256">
        <v>0</v>
      </c>
      <c r="O6256">
        <v>0.99930050000000004</v>
      </c>
      <c r="P6256">
        <v>-1.018139E-2</v>
      </c>
      <c r="Q6256">
        <v>0.18575990000000001</v>
      </c>
      <c r="R6256">
        <v>0.98254240000000004</v>
      </c>
      <c r="S6256">
        <v>-5.5999760000000003E-2</v>
      </c>
      <c r="T6256">
        <v>-0.13931679999999999</v>
      </c>
      <c r="U6256">
        <v>3.0790099999999998</v>
      </c>
      <c r="V6256">
        <v>2.5606899999999998E-2</v>
      </c>
      <c r="W6256">
        <v>0.1941843</v>
      </c>
      <c r="X6256">
        <v>0.98063080000000002</v>
      </c>
      <c r="Y6256">
        <v>1.8238529999999999E-2</v>
      </c>
      <c r="Z6256">
        <v>-4.5148649999999999E-2</v>
      </c>
      <c r="AA6256">
        <v>0.99881370000000003</v>
      </c>
      <c r="AB6256">
        <v>30</v>
      </c>
      <c r="AC6256">
        <v>-0.43469999999999198</v>
      </c>
      <c r="AD6256">
        <v>-1.109239163711</v>
      </c>
      <c r="AE6256">
        <v>24.208960000000001</v>
      </c>
      <c r="AF6256">
        <v>0.44582251687713498</v>
      </c>
      <c r="AG6256">
        <v>-1.109239163711</v>
      </c>
      <c r="AH6256">
        <v>24.158039095115601</v>
      </c>
      <c r="AI6256">
        <v>92.628496393117004</v>
      </c>
      <c r="AJ6256">
        <v>88.942759826337806</v>
      </c>
      <c r="AK6256">
        <v>24.1876005870777</v>
      </c>
      <c r="AL6256">
        <v>78.802923507091805</v>
      </c>
      <c r="AM6256">
        <v>88.504193464784706</v>
      </c>
      <c r="AN6256">
        <v>1.00000001080137</v>
      </c>
    </row>
    <row r="6257" spans="1:40" x14ac:dyDescent="0.25">
      <c r="A6257" t="str">
        <f>"20190312172830452"</f>
        <v>20190312172830452</v>
      </c>
      <c r="B6257" t="str">
        <f>"1552382910445836"</f>
        <v>1552382910445836</v>
      </c>
      <c r="C6257" t="s">
        <v>40</v>
      </c>
      <c r="D6257">
        <v>3.070271</v>
      </c>
      <c r="E6257">
        <v>0.50177729999999998</v>
      </c>
      <c r="F6257" t="s">
        <v>41</v>
      </c>
      <c r="G6257">
        <v>-187.9375</v>
      </c>
      <c r="H6257" s="1">
        <v>-1.234837E-6</v>
      </c>
      <c r="I6257">
        <v>41.658389999999997</v>
      </c>
      <c r="J6257">
        <v>-187.5222</v>
      </c>
      <c r="K6257">
        <v>1.109262</v>
      </c>
      <c r="L6257">
        <v>17.58652</v>
      </c>
      <c r="M6257">
        <v>-3.636445E-2</v>
      </c>
      <c r="N6257">
        <v>0</v>
      </c>
      <c r="O6257">
        <v>0.99930070000000004</v>
      </c>
      <c r="P6257">
        <v>-9.5263050000000005E-3</v>
      </c>
      <c r="Q6257">
        <v>0.1857492</v>
      </c>
      <c r="R6257">
        <v>0.98255099999999995</v>
      </c>
      <c r="S6257">
        <v>-5.3924560000000003E-2</v>
      </c>
      <c r="T6257">
        <v>-0.1399444</v>
      </c>
      <c r="U6257">
        <v>3.0791930000000001</v>
      </c>
      <c r="V6257">
        <v>2.623021E-2</v>
      </c>
      <c r="W6257">
        <v>0.1942951</v>
      </c>
      <c r="X6257">
        <v>0.98059240000000003</v>
      </c>
      <c r="Y6257">
        <v>1.8879980000000001E-2</v>
      </c>
      <c r="Z6257">
        <v>-4.5349010000000002E-2</v>
      </c>
      <c r="AA6257">
        <v>0.99879280000000004</v>
      </c>
      <c r="AB6257">
        <v>30</v>
      </c>
      <c r="AC6257">
        <v>-0.415300000000002</v>
      </c>
      <c r="AD6257">
        <v>-1.109263234837</v>
      </c>
      <c r="AE6257">
        <v>24.071870000000001</v>
      </c>
      <c r="AF6257">
        <v>0.45939294166330802</v>
      </c>
      <c r="AG6257">
        <v>-1.109263234837</v>
      </c>
      <c r="AH6257">
        <v>24.020059155586299</v>
      </c>
      <c r="AI6257">
        <v>92.643598087454706</v>
      </c>
      <c r="AJ6257">
        <v>88.904329587217106</v>
      </c>
      <c r="AK6257">
        <v>24.050046749162</v>
      </c>
      <c r="AL6257">
        <v>78.796452121504203</v>
      </c>
      <c r="AM6257">
        <v>88.467740488621203</v>
      </c>
      <c r="AN6257">
        <v>1.0000000323692</v>
      </c>
    </row>
    <row r="6258" spans="1:40" x14ac:dyDescent="0.25">
      <c r="A6258" t="str">
        <f>"20190312172830494"</f>
        <v>20190312172830494</v>
      </c>
      <c r="B6258" t="str">
        <f>"1552382910485851"</f>
        <v>1552382910485851</v>
      </c>
      <c r="C6258" t="s">
        <v>40</v>
      </c>
      <c r="D6258">
        <v>3.0574460000000001</v>
      </c>
      <c r="E6258">
        <v>0.50187190000000004</v>
      </c>
      <c r="F6258" t="s">
        <v>41</v>
      </c>
      <c r="G6258">
        <v>-187.93</v>
      </c>
      <c r="H6258" s="1">
        <v>-1.2920160000000001E-6</v>
      </c>
      <c r="I6258">
        <v>41.78857</v>
      </c>
      <c r="J6258">
        <v>-187.54320000000001</v>
      </c>
      <c r="K6258">
        <v>1.1093059999999999</v>
      </c>
      <c r="L6258">
        <v>18.163450000000001</v>
      </c>
      <c r="M6258">
        <v>-3.6303210000000002E-2</v>
      </c>
      <c r="N6258">
        <v>0</v>
      </c>
      <c r="O6258">
        <v>0.99930050000000004</v>
      </c>
      <c r="P6258">
        <v>-9.7396129999999994E-3</v>
      </c>
      <c r="Q6258">
        <v>0.18482480000000001</v>
      </c>
      <c r="R6258">
        <v>0.98272320000000002</v>
      </c>
      <c r="S6258">
        <v>-5.1879880000000003E-2</v>
      </c>
      <c r="T6258">
        <v>-0.14114260000000001</v>
      </c>
      <c r="U6258">
        <v>3.0794679999999999</v>
      </c>
      <c r="V6258">
        <v>2.596478E-2</v>
      </c>
      <c r="W6258">
        <v>0.19363459999999999</v>
      </c>
      <c r="X6258">
        <v>0.98073010000000005</v>
      </c>
      <c r="Y6258">
        <v>1.948362E-2</v>
      </c>
      <c r="Z6258">
        <v>-4.5732549999999997E-2</v>
      </c>
      <c r="AA6258">
        <v>0.99876370000000003</v>
      </c>
      <c r="AB6258">
        <v>31</v>
      </c>
      <c r="AC6258">
        <v>-0.38679999999999298</v>
      </c>
      <c r="AD6258">
        <v>-1.1093072920160001</v>
      </c>
      <c r="AE6258">
        <v>23.625119999999999</v>
      </c>
      <c r="AF6258">
        <v>0.470121031501607</v>
      </c>
      <c r="AG6258">
        <v>-1.1093072920160001</v>
      </c>
      <c r="AH6258">
        <v>23.5716330211864</v>
      </c>
      <c r="AI6258">
        <v>92.693880253954404</v>
      </c>
      <c r="AJ6258">
        <v>88.857424078770606</v>
      </c>
      <c r="AK6258">
        <v>23.602403685596698</v>
      </c>
      <c r="AL6258">
        <v>78.835028566730202</v>
      </c>
      <c r="AM6258">
        <v>88.483451384979602</v>
      </c>
      <c r="AN6258">
        <v>1.0000000285818</v>
      </c>
    </row>
    <row r="6259" spans="1:40" x14ac:dyDescent="0.25">
      <c r="A6259" t="str">
        <f>"20190312172830516"</f>
        <v>20190312172830516</v>
      </c>
      <c r="B6259" t="str">
        <f>"1552382910506348"</f>
        <v>1552382910506348</v>
      </c>
      <c r="C6259" t="s">
        <v>40</v>
      </c>
      <c r="D6259">
        <v>3.0620609999999999</v>
      </c>
      <c r="E6259">
        <v>0.50192029999999999</v>
      </c>
      <c r="F6259" t="s">
        <v>41</v>
      </c>
      <c r="G6259">
        <v>-187.9366</v>
      </c>
      <c r="H6259" s="1">
        <v>-1.220279E-6</v>
      </c>
      <c r="I6259">
        <v>41.620570000000001</v>
      </c>
      <c r="J6259">
        <v>-187.55420000000001</v>
      </c>
      <c r="K6259">
        <v>1.1093230000000001</v>
      </c>
      <c r="L6259">
        <v>18.467379999999999</v>
      </c>
      <c r="M6259">
        <v>-3.6265579999999999E-2</v>
      </c>
      <c r="N6259">
        <v>0</v>
      </c>
      <c r="O6259">
        <v>0.99930050000000004</v>
      </c>
      <c r="P6259">
        <v>-1.000874E-2</v>
      </c>
      <c r="Q6259">
        <v>0.184476</v>
      </c>
      <c r="R6259">
        <v>0.9827861</v>
      </c>
      <c r="S6259">
        <v>-5.1651000000000002E-2</v>
      </c>
      <c r="T6259">
        <v>-0.14563789999999999</v>
      </c>
      <c r="U6259">
        <v>3.0796199999999998</v>
      </c>
      <c r="V6259">
        <v>2.5662600000000001E-2</v>
      </c>
      <c r="W6259">
        <v>0.19343250000000001</v>
      </c>
      <c r="X6259">
        <v>0.98077789999999998</v>
      </c>
      <c r="Y6259">
        <v>1.95222E-2</v>
      </c>
      <c r="Z6259">
        <v>-4.7183669999999997E-2</v>
      </c>
      <c r="AA6259">
        <v>0.99869540000000001</v>
      </c>
      <c r="AB6259">
        <v>31</v>
      </c>
      <c r="AC6259">
        <v>-0.38239999999998903</v>
      </c>
      <c r="AD6259">
        <v>-1.1093242202789999</v>
      </c>
      <c r="AE6259">
        <v>23.153189999999999</v>
      </c>
      <c r="AF6259">
        <v>0.456502754805444</v>
      </c>
      <c r="AG6259">
        <v>-1.1093242202789999</v>
      </c>
      <c r="AH6259">
        <v>23.098815736677601</v>
      </c>
      <c r="AI6259">
        <v>92.748990204764198</v>
      </c>
      <c r="AJ6259">
        <v>88.867808765279094</v>
      </c>
      <c r="AK6259">
        <v>23.129943437627102</v>
      </c>
      <c r="AL6259">
        <v>78.846830809759297</v>
      </c>
      <c r="AM6259">
        <v>88.501166007686706</v>
      </c>
      <c r="AN6259">
        <v>0.99999999511170901</v>
      </c>
    </row>
    <row r="6260" spans="1:40" x14ac:dyDescent="0.25">
      <c r="A6260" t="str">
        <f>"20190312172830539"</f>
        <v>20190312172830539</v>
      </c>
      <c r="B6260" t="str">
        <f>"1552382910535628"</f>
        <v>1552382910535628</v>
      </c>
      <c r="C6260" t="s">
        <v>40</v>
      </c>
      <c r="D6260">
        <v>3.0806939999999998</v>
      </c>
      <c r="E6260">
        <v>0.50202570000000002</v>
      </c>
      <c r="F6260" t="s">
        <v>41</v>
      </c>
      <c r="G6260">
        <v>-187.9417</v>
      </c>
      <c r="H6260" s="1">
        <v>-1.23008E-6</v>
      </c>
      <c r="I6260">
        <v>41.649030000000003</v>
      </c>
      <c r="J6260">
        <v>-187.56549999999999</v>
      </c>
      <c r="K6260">
        <v>1.1093329999999999</v>
      </c>
      <c r="L6260">
        <v>18.780909999999999</v>
      </c>
      <c r="M6260">
        <v>-3.6215629999999999E-2</v>
      </c>
      <c r="N6260">
        <v>0</v>
      </c>
      <c r="O6260">
        <v>0.99930079999999999</v>
      </c>
      <c r="P6260">
        <v>-1.0199929999999999E-2</v>
      </c>
      <c r="Q6260">
        <v>0.18477189999999999</v>
      </c>
      <c r="R6260">
        <v>0.9827285</v>
      </c>
      <c r="S6260">
        <v>-5.1483149999999998E-2</v>
      </c>
      <c r="T6260">
        <v>-0.1473737</v>
      </c>
      <c r="U6260">
        <v>3.0796809999999999</v>
      </c>
      <c r="V6260">
        <v>2.542355E-2</v>
      </c>
      <c r="W6260">
        <v>0.19388259999999999</v>
      </c>
      <c r="X6260">
        <v>0.98069519999999999</v>
      </c>
      <c r="Y6260">
        <v>1.9527470000000002E-2</v>
      </c>
      <c r="Z6260">
        <v>-4.7743960000000002E-2</v>
      </c>
      <c r="AA6260">
        <v>0.99866869999999996</v>
      </c>
      <c r="AB6260">
        <v>31</v>
      </c>
      <c r="AC6260">
        <v>-0.37620000000001103</v>
      </c>
      <c r="AD6260">
        <v>-1.10933423007999</v>
      </c>
      <c r="AE6260">
        <v>22.868119999999902</v>
      </c>
      <c r="AF6260">
        <v>0.45120443694513002</v>
      </c>
      <c r="AG6260">
        <v>-1.10933423007999</v>
      </c>
      <c r="AH6260">
        <v>22.8130722777702</v>
      </c>
      <c r="AI6260">
        <v>92.783392903490807</v>
      </c>
      <c r="AJ6260">
        <v>88.866932982617797</v>
      </c>
      <c r="AK6260">
        <v>22.8444845559867</v>
      </c>
      <c r="AL6260">
        <v>78.820543814732702</v>
      </c>
      <c r="AM6260">
        <v>88.5149963738601</v>
      </c>
      <c r="AN6260">
        <v>0.99999994739019904</v>
      </c>
    </row>
    <row r="6261" spans="1:40" x14ac:dyDescent="0.25">
      <c r="A6261" t="str">
        <f>"20190312172830561"</f>
        <v>20190312172830561</v>
      </c>
      <c r="B6261" t="str">
        <f>"1552382910556123"</f>
        <v>1552382910556123</v>
      </c>
      <c r="C6261" t="s">
        <v>40</v>
      </c>
      <c r="D6261">
        <v>3.0493000000000001</v>
      </c>
      <c r="E6261">
        <v>0.5020654</v>
      </c>
      <c r="F6261" t="s">
        <v>41</v>
      </c>
      <c r="G6261">
        <v>-187.9478</v>
      </c>
      <c r="H6261" s="1">
        <v>-1.35165E-6</v>
      </c>
      <c r="I6261">
        <v>41.934950000000001</v>
      </c>
      <c r="J6261">
        <v>-187.5761</v>
      </c>
      <c r="K6261">
        <v>1.1093420000000001</v>
      </c>
      <c r="L6261">
        <v>19.074950000000001</v>
      </c>
      <c r="M6261">
        <v>-3.6143840000000003E-2</v>
      </c>
      <c r="N6261">
        <v>0</v>
      </c>
      <c r="O6261">
        <v>0.99930200000000002</v>
      </c>
      <c r="P6261">
        <v>-1.0534470000000001E-2</v>
      </c>
      <c r="Q6261">
        <v>0.18428439999999999</v>
      </c>
      <c r="R6261">
        <v>0.98281649999999998</v>
      </c>
      <c r="S6261">
        <v>-5.085754E-2</v>
      </c>
      <c r="T6261">
        <v>-0.14756250000000001</v>
      </c>
      <c r="U6261">
        <v>3.0799259999999999</v>
      </c>
      <c r="V6261">
        <v>2.502859E-2</v>
      </c>
      <c r="W6261">
        <v>0.1935481</v>
      </c>
      <c r="X6261">
        <v>0.98077150000000002</v>
      </c>
      <c r="Y6261">
        <v>1.9659860000000001E-2</v>
      </c>
      <c r="Z6261">
        <v>-4.7801419999999997E-2</v>
      </c>
      <c r="AA6261">
        <v>0.99866339999999998</v>
      </c>
      <c r="AB6261">
        <v>31</v>
      </c>
      <c r="AC6261">
        <v>-0.37170000000000403</v>
      </c>
      <c r="AD6261">
        <v>-1.10934335165</v>
      </c>
      <c r="AE6261">
        <v>22.86</v>
      </c>
      <c r="AF6261">
        <v>0.45375960673503002</v>
      </c>
      <c r="AG6261">
        <v>-1.10934335165</v>
      </c>
      <c r="AH6261">
        <v>22.804807443282701</v>
      </c>
      <c r="AI6261">
        <v>92.784416350164705</v>
      </c>
      <c r="AJ6261">
        <v>88.860105255582098</v>
      </c>
      <c r="AK6261">
        <v>22.836282161896602</v>
      </c>
      <c r="AL6261">
        <v>78.840080078211102</v>
      </c>
      <c r="AM6261">
        <v>88.538169799183095</v>
      </c>
      <c r="AN6261">
        <v>1.0000000162716201</v>
      </c>
    </row>
    <row r="6262" spans="1:40" x14ac:dyDescent="0.25">
      <c r="A6262" t="str">
        <f>"20190312172830583"</f>
        <v>20190312172830583</v>
      </c>
      <c r="B6262" t="str">
        <f>"1552382910575643"</f>
        <v>1552382910575643</v>
      </c>
      <c r="C6262" t="s">
        <v>40</v>
      </c>
      <c r="D6262">
        <v>3.1238570000000001</v>
      </c>
      <c r="E6262">
        <v>0.50211300000000003</v>
      </c>
      <c r="F6262" t="s">
        <v>41</v>
      </c>
      <c r="G6262">
        <v>-187.9537</v>
      </c>
      <c r="H6262" s="1">
        <v>-1.3253010000000001E-6</v>
      </c>
      <c r="I6262">
        <v>41.875970000000002</v>
      </c>
      <c r="J6262">
        <v>-187.5873</v>
      </c>
      <c r="K6262">
        <v>1.109335</v>
      </c>
      <c r="L6262">
        <v>19.38748</v>
      </c>
      <c r="M6262">
        <v>-3.6027419999999998E-2</v>
      </c>
      <c r="N6262">
        <v>0</v>
      </c>
      <c r="O6262">
        <v>0.99930459999999999</v>
      </c>
      <c r="P6262">
        <v>-1.059006E-2</v>
      </c>
      <c r="Q6262">
        <v>0.18438950000000001</v>
      </c>
      <c r="R6262">
        <v>0.98279620000000001</v>
      </c>
      <c r="S6262">
        <v>-5.1010130000000001E-2</v>
      </c>
      <c r="T6262">
        <v>-0.14985290000000001</v>
      </c>
      <c r="U6262">
        <v>3.0800169999999998</v>
      </c>
      <c r="V6262">
        <v>2.4870989999999999E-2</v>
      </c>
      <c r="W6262">
        <v>0.1938203</v>
      </c>
      <c r="X6262">
        <v>0.98072170000000003</v>
      </c>
      <c r="Y6262">
        <v>1.9495060000000002E-2</v>
      </c>
      <c r="Z6262">
        <v>-4.8540550000000002E-2</v>
      </c>
      <c r="AA6262">
        <v>0.99863089999999999</v>
      </c>
      <c r="AB6262">
        <v>31</v>
      </c>
      <c r="AC6262">
        <v>-0.36639999999999801</v>
      </c>
      <c r="AD6262">
        <v>-1.109336325301</v>
      </c>
      <c r="AE6262">
        <v>22.488489999999999</v>
      </c>
      <c r="AF6262">
        <v>0.44299988190260298</v>
      </c>
      <c r="AG6262">
        <v>-1.109336325301</v>
      </c>
      <c r="AH6262">
        <v>22.4325183744029</v>
      </c>
      <c r="AI6262">
        <v>92.830542329186599</v>
      </c>
      <c r="AJ6262">
        <v>88.868663591611707</v>
      </c>
      <c r="AK6262">
        <v>22.464299601721802</v>
      </c>
      <c r="AL6262">
        <v>78.824182548224599</v>
      </c>
      <c r="AM6262">
        <v>88.547296962283994</v>
      </c>
      <c r="AN6262">
        <v>0.99999996384327905</v>
      </c>
    </row>
    <row r="6263" spans="1:40" x14ac:dyDescent="0.25">
      <c r="A6263" t="str">
        <f>"20190312172830605"</f>
        <v>20190312172830605</v>
      </c>
      <c r="B6263" t="str">
        <f>"1552382910596139"</f>
        <v>1552382910596139</v>
      </c>
      <c r="C6263" t="s">
        <v>40</v>
      </c>
      <c r="D6263">
        <v>3.0797539999999999</v>
      </c>
      <c r="E6263">
        <v>0.50216549999999904</v>
      </c>
      <c r="F6263" t="s">
        <v>41</v>
      </c>
      <c r="G6263">
        <v>-187.95959999999999</v>
      </c>
      <c r="H6263" s="1">
        <v>-1.4437540000000001E-6</v>
      </c>
      <c r="I6263">
        <v>42.154530000000001</v>
      </c>
      <c r="J6263">
        <v>-187.59819999999999</v>
      </c>
      <c r="K6263">
        <v>1.109316</v>
      </c>
      <c r="L6263">
        <v>19.693239999999999</v>
      </c>
      <c r="M6263">
        <v>-3.5860830000000003E-2</v>
      </c>
      <c r="N6263">
        <v>0</v>
      </c>
      <c r="O6263">
        <v>0.99930890000000006</v>
      </c>
      <c r="P6263">
        <v>-1.0072390000000001E-2</v>
      </c>
      <c r="Q6263">
        <v>0.18444579999999999</v>
      </c>
      <c r="R6263">
        <v>0.98279110000000003</v>
      </c>
      <c r="S6263">
        <v>-5.0369259999999999E-2</v>
      </c>
      <c r="T6263">
        <v>-0.150081399999999</v>
      </c>
      <c r="U6263">
        <v>3.080139</v>
      </c>
      <c r="V6263">
        <v>2.5243209999999999E-2</v>
      </c>
      <c r="W6263">
        <v>0.19404250000000001</v>
      </c>
      <c r="X6263">
        <v>0.98066830000000005</v>
      </c>
      <c r="Y6263">
        <v>1.953688E-2</v>
      </c>
      <c r="Z6263">
        <v>-4.8612969999999998E-2</v>
      </c>
      <c r="AA6263">
        <v>0.99862660000000003</v>
      </c>
      <c r="AB6263">
        <v>31</v>
      </c>
      <c r="AC6263">
        <v>-0.361400000000003</v>
      </c>
      <c r="AD6263">
        <v>-1.1093174437540001</v>
      </c>
      <c r="AE6263">
        <v>22.461289999999899</v>
      </c>
      <c r="AF6263">
        <v>0.44327060063458901</v>
      </c>
      <c r="AG6263">
        <v>-1.1093174437540001</v>
      </c>
      <c r="AH6263">
        <v>22.405166201760998</v>
      </c>
      <c r="AI6263">
        <v>92.833942037785405</v>
      </c>
      <c r="AJ6263">
        <v>88.866590791680096</v>
      </c>
      <c r="AK6263">
        <v>22.4369905857479</v>
      </c>
      <c r="AL6263">
        <v>78.811205606456298</v>
      </c>
      <c r="AM6263">
        <v>88.525485038968299</v>
      </c>
      <c r="AN6263">
        <v>1.00000001304112</v>
      </c>
    </row>
    <row r="6264" spans="1:40" x14ac:dyDescent="0.25">
      <c r="A6264" t="str">
        <f>"20190312172830628"</f>
        <v>20190312172830628</v>
      </c>
      <c r="B6264" t="str">
        <f>"1552382910626396"</f>
        <v>1552382910626396</v>
      </c>
      <c r="C6264" t="s">
        <v>40</v>
      </c>
      <c r="D6264">
        <v>3.1252550000000001</v>
      </c>
      <c r="E6264">
        <v>0.50502060000000004</v>
      </c>
      <c r="F6264" t="s">
        <v>41</v>
      </c>
      <c r="G6264">
        <v>-187.95519999999999</v>
      </c>
      <c r="H6264" s="1">
        <v>-1.5529960000000001E-6</v>
      </c>
      <c r="I6264">
        <v>42.407339999999998</v>
      </c>
      <c r="J6264">
        <v>-187.60900000000001</v>
      </c>
      <c r="K6264">
        <v>1.1092879999999901</v>
      </c>
      <c r="L6264">
        <v>20.001280000000001</v>
      </c>
      <c r="M6264">
        <v>-3.5626070000000003E-2</v>
      </c>
      <c r="N6264">
        <v>0</v>
      </c>
      <c r="O6264">
        <v>0.99931559999999997</v>
      </c>
      <c r="P6264">
        <v>-9.5695850000000002E-3</v>
      </c>
      <c r="Q6264">
        <v>0.1842675</v>
      </c>
      <c r="R6264">
        <v>0.98282950000000002</v>
      </c>
      <c r="S6264">
        <v>-4.8416140000000003E-2</v>
      </c>
      <c r="T6264">
        <v>-0.1504346</v>
      </c>
      <c r="U6264">
        <v>3.0802610000000001</v>
      </c>
      <c r="V6264">
        <v>2.5540719999999999E-2</v>
      </c>
      <c r="W6264">
        <v>0.19403409999999999</v>
      </c>
      <c r="X6264">
        <v>0.98066220000000004</v>
      </c>
      <c r="Y6264">
        <v>1.993584E-2</v>
      </c>
      <c r="Z6264">
        <v>-4.8725850000000001E-2</v>
      </c>
      <c r="AA6264">
        <v>0.99861319999999998</v>
      </c>
      <c r="AB6264">
        <v>31</v>
      </c>
      <c r="AC6264">
        <v>-0.34619999999998102</v>
      </c>
      <c r="AD6264">
        <v>-1.1092895529960001</v>
      </c>
      <c r="AE6264">
        <v>22.40606</v>
      </c>
      <c r="AF6264">
        <v>0.45119356552541301</v>
      </c>
      <c r="AG6264">
        <v>-1.1092895529960001</v>
      </c>
      <c r="AH6264">
        <v>22.349402086871301</v>
      </c>
      <c r="AI6264">
        <v>92.840907255145098</v>
      </c>
      <c r="AJ6264">
        <v>88.843460072180804</v>
      </c>
      <c r="AK6264">
        <v>22.3814626998909</v>
      </c>
      <c r="AL6264">
        <v>78.8116955625879</v>
      </c>
      <c r="AM6264">
        <v>88.508105316106906</v>
      </c>
      <c r="AN6264">
        <v>0.99999995542488296</v>
      </c>
    </row>
    <row r="6265" spans="1:40" x14ac:dyDescent="0.25">
      <c r="A6265" t="str">
        <f>"20190312172830652"</f>
        <v>20190312172830652</v>
      </c>
      <c r="B6265" t="str">
        <f>"1552382910645915"</f>
        <v>1552382910645915</v>
      </c>
      <c r="C6265" t="s">
        <v>40</v>
      </c>
      <c r="D6265">
        <v>3.1133039999999998</v>
      </c>
      <c r="E6265">
        <v>0.50464010000000004</v>
      </c>
      <c r="F6265" t="s">
        <v>44</v>
      </c>
      <c r="G6265">
        <v>-187.6173</v>
      </c>
      <c r="H6265">
        <v>1.049418</v>
      </c>
      <c r="I6265">
        <v>21.009820000000001</v>
      </c>
      <c r="J6265">
        <v>-187.6206</v>
      </c>
      <c r="K6265">
        <v>1.1092470000000001</v>
      </c>
      <c r="L6265">
        <v>20.33813</v>
      </c>
      <c r="M6265">
        <v>-3.5274439999999997E-2</v>
      </c>
      <c r="N6265">
        <v>0</v>
      </c>
      <c r="O6265">
        <v>0.99932609999999999</v>
      </c>
      <c r="P6265">
        <v>-9.4847130000000005E-3</v>
      </c>
      <c r="Q6265">
        <v>0.18415719999999999</v>
      </c>
      <c r="R6265">
        <v>0.98285100000000003</v>
      </c>
      <c r="S6265">
        <v>-2.5375370000000001E-2</v>
      </c>
      <c r="T6265">
        <v>-0.18322730000000001</v>
      </c>
      <c r="U6265">
        <v>3.0865170000000002</v>
      </c>
      <c r="V6265">
        <v>2.5311150000000001E-2</v>
      </c>
      <c r="W6265">
        <v>0.19410939999999999</v>
      </c>
      <c r="X6265">
        <v>0.98065329999999995</v>
      </c>
      <c r="Y6265">
        <v>2.707352E-2</v>
      </c>
      <c r="Z6265">
        <v>-5.9192300000000003E-2</v>
      </c>
      <c r="AA6265">
        <v>0.99787939999999997</v>
      </c>
      <c r="AB6265">
        <v>31</v>
      </c>
      <c r="AC6265">
        <v>3.2999999999958601E-3</v>
      </c>
      <c r="AD6265">
        <v>-5.9828999999999903E-2</v>
      </c>
      <c r="AE6265">
        <v>0.67169000000000101</v>
      </c>
      <c r="AF6265">
        <v>2.6780189965734599E-2</v>
      </c>
      <c r="AG6265">
        <v>-5.9828999999999903E-2</v>
      </c>
      <c r="AH6265">
        <v>0.66587270016327704</v>
      </c>
      <c r="AI6265">
        <v>95.130142798259797</v>
      </c>
      <c r="AJ6265">
        <v>87.696909083223105</v>
      </c>
      <c r="AK6265">
        <v>0.66909127975062899</v>
      </c>
      <c r="AL6265">
        <v>78.807298125008302</v>
      </c>
      <c r="AM6265">
        <v>88.521495658968107</v>
      </c>
      <c r="AN6265">
        <v>1.00000000414178</v>
      </c>
    </row>
    <row r="6266" spans="1:40" x14ac:dyDescent="0.25">
      <c r="A6266" t="str">
        <f>"20190312172830695"</f>
        <v>20190312172830695</v>
      </c>
      <c r="B6266" t="str">
        <f>"1552382910685932"</f>
        <v>1552382910685932</v>
      </c>
      <c r="C6266" t="s">
        <v>40</v>
      </c>
      <c r="D6266">
        <v>3.1337440000000001</v>
      </c>
      <c r="E6266">
        <v>0.50514139999999996</v>
      </c>
      <c r="F6266" t="s">
        <v>41</v>
      </c>
      <c r="G6266">
        <v>-187.79169999999999</v>
      </c>
      <c r="H6266" s="1">
        <v>-4.6252610000000004E-6</v>
      </c>
      <c r="I6266">
        <v>39.501289999999997</v>
      </c>
      <c r="J6266">
        <v>-187.6403</v>
      </c>
      <c r="K6266">
        <v>1.1091839999999999</v>
      </c>
      <c r="L6266">
        <v>20.921779999999998</v>
      </c>
      <c r="M6266">
        <v>-3.4481900000000003E-2</v>
      </c>
      <c r="N6266">
        <v>0</v>
      </c>
      <c r="O6266">
        <v>0.99935050000000003</v>
      </c>
      <c r="P6266">
        <v>-8.5037800000000007E-3</v>
      </c>
      <c r="Q6266">
        <v>0.18378159999999999</v>
      </c>
      <c r="R6266">
        <v>0.98293030000000003</v>
      </c>
      <c r="S6266">
        <v>-2.7557370000000001E-2</v>
      </c>
      <c r="T6266">
        <v>-0.17860519999999999</v>
      </c>
      <c r="U6266">
        <v>3.0855410000000001</v>
      </c>
      <c r="V6266">
        <v>2.556336E-2</v>
      </c>
      <c r="W6266">
        <v>0.19403229999999999</v>
      </c>
      <c r="X6266">
        <v>0.98066200000000003</v>
      </c>
      <c r="Y6266">
        <v>2.5571839999999998E-2</v>
      </c>
      <c r="Z6266">
        <v>-5.7725739999999998E-2</v>
      </c>
      <c r="AA6266">
        <v>0.99800489999999997</v>
      </c>
      <c r="AB6266">
        <v>31</v>
      </c>
      <c r="AC6266">
        <v>-0.15139999999999501</v>
      </c>
      <c r="AD6266">
        <v>-1.1091886252609999</v>
      </c>
      <c r="AE6266">
        <v>18.579509999999999</v>
      </c>
      <c r="AF6266">
        <v>0.48764408677575699</v>
      </c>
      <c r="AG6266">
        <v>-1.1091886252609999</v>
      </c>
      <c r="AH6266">
        <v>18.507722972693699</v>
      </c>
      <c r="AI6266">
        <v>93.428511119137895</v>
      </c>
      <c r="AJ6266">
        <v>88.490711943468995</v>
      </c>
      <c r="AK6266">
        <v>18.5473422838893</v>
      </c>
      <c r="AL6266">
        <v>78.8118010681806</v>
      </c>
      <c r="AM6266">
        <v>88.506783153503406</v>
      </c>
      <c r="AN6266">
        <v>0.99999998853088901</v>
      </c>
    </row>
    <row r="6267" spans="1:40" x14ac:dyDescent="0.25">
      <c r="A6267" t="str">
        <f>"20190312172830717"</f>
        <v>20190312172830717</v>
      </c>
      <c r="B6267" t="str">
        <f>"1552382910706428"</f>
        <v>1552382910706428</v>
      </c>
      <c r="C6267" t="s">
        <v>40</v>
      </c>
      <c r="D6267">
        <v>3.161235</v>
      </c>
      <c r="E6267">
        <v>0.49133870000000002</v>
      </c>
      <c r="F6267" t="s">
        <v>41</v>
      </c>
      <c r="G6267">
        <v>-187.76490000000001</v>
      </c>
      <c r="H6267" s="1">
        <v>-4.4332780000000002E-6</v>
      </c>
      <c r="I6267">
        <v>39.042670000000001</v>
      </c>
      <c r="J6267">
        <v>-187.65029999999999</v>
      </c>
      <c r="K6267">
        <v>1.1091439999999999</v>
      </c>
      <c r="L6267">
        <v>21.227080000000001</v>
      </c>
      <c r="M6267">
        <v>-3.3969399999999997E-2</v>
      </c>
      <c r="N6267">
        <v>0</v>
      </c>
      <c r="O6267">
        <v>0.99936650000000005</v>
      </c>
      <c r="P6267">
        <v>-7.6240669999999896E-3</v>
      </c>
      <c r="Q6267">
        <v>0.18406529999999999</v>
      </c>
      <c r="R6267">
        <v>0.98288450000000005</v>
      </c>
      <c r="S6267">
        <v>-2.1224980000000001E-2</v>
      </c>
      <c r="T6267">
        <v>-0.1889721</v>
      </c>
      <c r="U6267">
        <v>3.08725</v>
      </c>
      <c r="V6267">
        <v>2.5961080000000001E-2</v>
      </c>
      <c r="W6267">
        <v>0.19445599999999999</v>
      </c>
      <c r="X6267">
        <v>0.98056759999999998</v>
      </c>
      <c r="Y6267">
        <v>2.7112420000000002E-2</v>
      </c>
      <c r="Z6267">
        <v>-6.103136E-2</v>
      </c>
      <c r="AA6267">
        <v>0.99776759999999998</v>
      </c>
      <c r="AB6267">
        <v>31</v>
      </c>
      <c r="AC6267">
        <v>-0.114600000000024</v>
      </c>
      <c r="AD6267">
        <v>-1.1091484332779999</v>
      </c>
      <c r="AE6267">
        <v>17.81559</v>
      </c>
      <c r="AF6267">
        <v>0.48879069447000201</v>
      </c>
      <c r="AG6267">
        <v>-1.1091484332779999</v>
      </c>
      <c r="AH6267">
        <v>17.740441762842899</v>
      </c>
      <c r="AI6267">
        <v>93.576173738227496</v>
      </c>
      <c r="AJ6267">
        <v>88.421766447334093</v>
      </c>
      <c r="AK6267">
        <v>17.781799698873701</v>
      </c>
      <c r="AL6267">
        <v>78.787053226827794</v>
      </c>
      <c r="AM6267">
        <v>88.483416223542307</v>
      </c>
      <c r="AN6267">
        <v>0.99999996589026197</v>
      </c>
    </row>
    <row r="6268" spans="1:40" x14ac:dyDescent="0.25">
      <c r="A6268" t="str">
        <f>"20190312172830741"</f>
        <v>20190312172830741</v>
      </c>
      <c r="B6268" t="str">
        <f>"1552382910735708"</f>
        <v>1552382910735708</v>
      </c>
      <c r="C6268" t="s">
        <v>40</v>
      </c>
      <c r="D6268">
        <v>3.3075079999999999</v>
      </c>
      <c r="E6268">
        <v>0.49170799999999998</v>
      </c>
      <c r="F6268" t="s">
        <v>41</v>
      </c>
      <c r="G6268">
        <v>-188.8228</v>
      </c>
      <c r="H6268" s="1">
        <v>-4.650249E-7</v>
      </c>
      <c r="I6268">
        <v>50.094149999999999</v>
      </c>
      <c r="J6268">
        <v>-187.66079999999999</v>
      </c>
      <c r="K6268">
        <v>1.1091</v>
      </c>
      <c r="L6268">
        <v>21.553920000000002</v>
      </c>
      <c r="M6268">
        <v>-3.3352069999999998E-2</v>
      </c>
      <c r="N6268">
        <v>0</v>
      </c>
      <c r="O6268">
        <v>0.99938579999999999</v>
      </c>
      <c r="P6268">
        <v>-6.5576640000000004E-3</v>
      </c>
      <c r="Q6268">
        <v>0.18382799999999999</v>
      </c>
      <c r="R6268">
        <v>0.98293660000000005</v>
      </c>
      <c r="S6268">
        <v>-0.1248322</v>
      </c>
      <c r="T6268">
        <v>-0.1180874</v>
      </c>
      <c r="U6268">
        <v>3.0733950000000001</v>
      </c>
      <c r="V6268">
        <v>2.6446879999999999E-2</v>
      </c>
      <c r="W6268">
        <v>0.1943578</v>
      </c>
      <c r="X6268">
        <v>0.9805741</v>
      </c>
      <c r="Y6268">
        <v>-7.2045989999999999E-3</v>
      </c>
      <c r="Z6268">
        <v>-3.8345839999999999E-2</v>
      </c>
      <c r="AA6268">
        <v>0.99923859999999998</v>
      </c>
      <c r="AB6268">
        <v>31</v>
      </c>
      <c r="AC6268">
        <v>-1.1619999999999999</v>
      </c>
      <c r="AD6268">
        <v>-1.1091004650248999</v>
      </c>
      <c r="AE6268">
        <v>28.540230000000001</v>
      </c>
      <c r="AF6268">
        <v>-0.20910739647811799</v>
      </c>
      <c r="AG6268">
        <v>-1.1091004650248999</v>
      </c>
      <c r="AH6268">
        <v>28.520108546265998</v>
      </c>
      <c r="AI6268">
        <v>92.226957348236496</v>
      </c>
      <c r="AJ6268">
        <v>90.420081031000507</v>
      </c>
      <c r="AK6268">
        <v>28.5424319432591</v>
      </c>
      <c r="AL6268">
        <v>78.792789253433696</v>
      </c>
      <c r="AM6268">
        <v>88.455060821357407</v>
      </c>
      <c r="AN6268">
        <v>0.999999978736691</v>
      </c>
    </row>
    <row r="6269" spans="1:40" x14ac:dyDescent="0.25">
      <c r="A6269" t="str">
        <f>"20190312172830762"</f>
        <v>20190312172830762</v>
      </c>
      <c r="B6269" t="str">
        <f>"1552382910756203"</f>
        <v>1552382910756203</v>
      </c>
      <c r="C6269" t="s">
        <v>40</v>
      </c>
      <c r="D6269">
        <v>3.2579229999999999</v>
      </c>
      <c r="E6269">
        <v>0.4914654</v>
      </c>
      <c r="F6269" t="s">
        <v>41</v>
      </c>
      <c r="G6269">
        <v>-188.6532</v>
      </c>
      <c r="H6269" s="1">
        <v>-3.4366400000000001E-6</v>
      </c>
      <c r="I6269">
        <v>47.086790000000001</v>
      </c>
      <c r="J6269">
        <v>-187.67</v>
      </c>
      <c r="K6269">
        <v>1.1090599999999999</v>
      </c>
      <c r="L6269">
        <v>21.84665</v>
      </c>
      <c r="M6269">
        <v>-3.2726789999999999E-2</v>
      </c>
      <c r="N6269">
        <v>0</v>
      </c>
      <c r="O6269">
        <v>0.99940510000000005</v>
      </c>
      <c r="P6269">
        <v>-5.4714289999999999E-3</v>
      </c>
      <c r="Q6269">
        <v>0.18344379999999999</v>
      </c>
      <c r="R6269">
        <v>0.98301490000000002</v>
      </c>
      <c r="S6269">
        <v>-0.1195679</v>
      </c>
      <c r="T6269">
        <v>-0.13362750000000001</v>
      </c>
      <c r="U6269">
        <v>3.076263</v>
      </c>
      <c r="V6269">
        <v>2.694612E-2</v>
      </c>
      <c r="W6269">
        <v>0.19409580000000001</v>
      </c>
      <c r="X6269">
        <v>0.98061240000000005</v>
      </c>
      <c r="Y6269">
        <v>-6.077196E-3</v>
      </c>
      <c r="Z6269">
        <v>-4.3345759999999997E-2</v>
      </c>
      <c r="AA6269">
        <v>0.99904170000000003</v>
      </c>
      <c r="AB6269">
        <v>31</v>
      </c>
      <c r="AC6269">
        <v>-0.98320000000000995</v>
      </c>
      <c r="AD6269">
        <v>-1.1090634366399901</v>
      </c>
      <c r="AE6269">
        <v>25.24014</v>
      </c>
      <c r="AF6269">
        <v>-0.15629429373085199</v>
      </c>
      <c r="AG6269">
        <v>-1.1090634366399901</v>
      </c>
      <c r="AH6269">
        <v>25.210195829265</v>
      </c>
      <c r="AI6269">
        <v>92.518920896561497</v>
      </c>
      <c r="AJ6269">
        <v>90.355209008517804</v>
      </c>
      <c r="AK6269">
        <v>25.2350633714805</v>
      </c>
      <c r="AL6269">
        <v>78.808092135718994</v>
      </c>
      <c r="AM6269">
        <v>88.425972858503698</v>
      </c>
      <c r="AN6269">
        <v>0.99999997599722701</v>
      </c>
    </row>
    <row r="6270" spans="1:40" x14ac:dyDescent="0.25">
      <c r="A6270" t="str">
        <f>"20190312172830784"</f>
        <v>20190312172830784</v>
      </c>
      <c r="B6270" t="str">
        <f>"1552382910775723"</f>
        <v>1552382910775723</v>
      </c>
      <c r="C6270" t="s">
        <v>40</v>
      </c>
      <c r="D6270">
        <v>3.169842</v>
      </c>
      <c r="E6270">
        <v>0.4912511</v>
      </c>
      <c r="F6270" t="s">
        <v>41</v>
      </c>
      <c r="G6270">
        <v>-188.6437</v>
      </c>
      <c r="H6270" s="1">
        <v>-3.481367E-6</v>
      </c>
      <c r="I6270">
        <v>47.187109999999997</v>
      </c>
      <c r="J6270">
        <v>-187.67939999999999</v>
      </c>
      <c r="K6270">
        <v>1.109011</v>
      </c>
      <c r="L6270">
        <v>22.156099999999999</v>
      </c>
      <c r="M6270">
        <v>-3.1990879999999999E-2</v>
      </c>
      <c r="N6270">
        <v>0</v>
      </c>
      <c r="O6270">
        <v>0.99942730000000002</v>
      </c>
      <c r="P6270">
        <v>-4.7884700000000004E-3</v>
      </c>
      <c r="Q6270">
        <v>0.1833225</v>
      </c>
      <c r="R6270">
        <v>0.98304119999999995</v>
      </c>
      <c r="S6270">
        <v>-0.1182098</v>
      </c>
      <c r="T6270">
        <v>-0.1346387</v>
      </c>
      <c r="U6270">
        <v>3.0762939999999999</v>
      </c>
      <c r="V6270">
        <v>2.693752E-2</v>
      </c>
      <c r="W6270">
        <v>0.1941165</v>
      </c>
      <c r="X6270">
        <v>0.98060860000000005</v>
      </c>
      <c r="Y6270">
        <v>-6.3721639999999996E-3</v>
      </c>
      <c r="Z6270">
        <v>-4.3674579999999998E-2</v>
      </c>
      <c r="AA6270">
        <v>0.99902550000000001</v>
      </c>
      <c r="AB6270">
        <v>31</v>
      </c>
      <c r="AC6270">
        <v>-0.96430000000000804</v>
      </c>
      <c r="AD6270">
        <v>-1.109014481367</v>
      </c>
      <c r="AE6270">
        <v>25.031009999999998</v>
      </c>
      <c r="AF6270">
        <v>-0.16267476761765001</v>
      </c>
      <c r="AG6270">
        <v>-1.109014481367</v>
      </c>
      <c r="AH6270">
        <v>25.0000452023001</v>
      </c>
      <c r="AI6270">
        <v>92.539950426158697</v>
      </c>
      <c r="AJ6270">
        <v>90.372817168883401</v>
      </c>
      <c r="AK6270">
        <v>25.025160065760801</v>
      </c>
      <c r="AL6270">
        <v>78.806883798192899</v>
      </c>
      <c r="AM6270">
        <v>88.426468870614002</v>
      </c>
      <c r="AN6270">
        <v>1.0000000359749699</v>
      </c>
    </row>
    <row r="6271" spans="1:40" x14ac:dyDescent="0.25">
      <c r="A6271" t="str">
        <f>"20190312172830806"</f>
        <v>20190312172830806</v>
      </c>
      <c r="B6271" t="str">
        <f>"1552382910796220"</f>
        <v>1552382910796220</v>
      </c>
      <c r="C6271" t="s">
        <v>40</v>
      </c>
      <c r="D6271">
        <v>3.3478430000000001</v>
      </c>
      <c r="E6271">
        <v>0.49113050000000003</v>
      </c>
      <c r="F6271" t="s">
        <v>41</v>
      </c>
      <c r="G6271">
        <v>-188.6413</v>
      </c>
      <c r="H6271" s="1">
        <v>-3.577859E-6</v>
      </c>
      <c r="I6271">
        <v>47.411029999999997</v>
      </c>
      <c r="J6271">
        <v>-187.6883</v>
      </c>
      <c r="K6271">
        <v>1.108973</v>
      </c>
      <c r="L6271">
        <v>22.460719999999998</v>
      </c>
      <c r="M6271">
        <v>-3.1191429999999999E-2</v>
      </c>
      <c r="N6271">
        <v>0</v>
      </c>
      <c r="O6271">
        <v>0.99945059999999997</v>
      </c>
      <c r="P6271">
        <v>-3.8116389999999999E-3</v>
      </c>
      <c r="Q6271">
        <v>0.18293190000000001</v>
      </c>
      <c r="R6271">
        <v>0.98311820000000005</v>
      </c>
      <c r="S6271">
        <v>-0.1171722</v>
      </c>
      <c r="T6271">
        <v>-0.13509260000000001</v>
      </c>
      <c r="U6271">
        <v>3.0763850000000001</v>
      </c>
      <c r="V6271">
        <v>2.716265E-2</v>
      </c>
      <c r="W6271">
        <v>0.19389239999999999</v>
      </c>
      <c r="X6271">
        <v>0.98064669999999998</v>
      </c>
      <c r="Y6271">
        <v>-6.8341460000000001E-3</v>
      </c>
      <c r="Z6271">
        <v>-4.3822140000000002E-2</v>
      </c>
      <c r="AA6271">
        <v>0.99901600000000002</v>
      </c>
      <c r="AB6271">
        <v>31</v>
      </c>
      <c r="AC6271">
        <v>-0.95300000000000296</v>
      </c>
      <c r="AD6271">
        <v>-1.1089765778589999</v>
      </c>
      <c r="AE6271">
        <v>24.950309999999899</v>
      </c>
      <c r="AF6271">
        <v>-0.17390844852856999</v>
      </c>
      <c r="AG6271">
        <v>-1.1089765778589999</v>
      </c>
      <c r="AH6271">
        <v>24.918738631391498</v>
      </c>
      <c r="AI6271">
        <v>92.548131966953804</v>
      </c>
      <c r="AJ6271">
        <v>90.399862067639603</v>
      </c>
      <c r="AK6271">
        <v>24.9440094647655</v>
      </c>
      <c r="AL6271">
        <v>78.819972178289404</v>
      </c>
      <c r="AM6271">
        <v>88.413386411507204</v>
      </c>
      <c r="AN6271">
        <v>1.0000000112768299</v>
      </c>
    </row>
    <row r="6272" spans="1:40" x14ac:dyDescent="0.25">
      <c r="A6272" t="str">
        <f>"20190312172830830"</f>
        <v>20190312172830830</v>
      </c>
      <c r="B6272" t="str">
        <f>"1552382910825499"</f>
        <v>1552382910825499</v>
      </c>
      <c r="C6272" t="s">
        <v>40</v>
      </c>
      <c r="D6272">
        <v>3.1559949999999999</v>
      </c>
      <c r="E6272">
        <v>0.49090430000000002</v>
      </c>
      <c r="F6272" t="s">
        <v>41</v>
      </c>
      <c r="G6272">
        <v>-188.61940000000001</v>
      </c>
      <c r="H6272" s="1">
        <v>-3.558274E-6</v>
      </c>
      <c r="I6272">
        <v>47.356340000000003</v>
      </c>
      <c r="J6272">
        <v>-187.69730000000001</v>
      </c>
      <c r="K6272">
        <v>1.1089329999999999</v>
      </c>
      <c r="L6272">
        <v>22.781310000000001</v>
      </c>
      <c r="M6272">
        <v>-3.0262049999999999E-2</v>
      </c>
      <c r="N6272">
        <v>0</v>
      </c>
      <c r="O6272">
        <v>0.99947680000000005</v>
      </c>
      <c r="P6272">
        <v>-2.639041E-3</v>
      </c>
      <c r="Q6272">
        <v>0.1827828</v>
      </c>
      <c r="R6272">
        <v>0.98314979999999996</v>
      </c>
      <c r="S6272">
        <v>-0.1150665</v>
      </c>
      <c r="T6272">
        <v>-0.137045899999999</v>
      </c>
      <c r="U6272">
        <v>3.0765690000000001</v>
      </c>
      <c r="V6272">
        <v>2.7455239999999999E-2</v>
      </c>
      <c r="W6272">
        <v>0.19394429999999999</v>
      </c>
      <c r="X6272">
        <v>0.98062830000000001</v>
      </c>
      <c r="Y6272">
        <v>-7.0778309999999997E-3</v>
      </c>
      <c r="Z6272">
        <v>-4.4454300000000002E-2</v>
      </c>
      <c r="AA6272">
        <v>0.99898640000000005</v>
      </c>
      <c r="AB6272">
        <v>31</v>
      </c>
      <c r="AC6272">
        <v>-0.92210000000000003</v>
      </c>
      <c r="AD6272">
        <v>-1.1089365582739901</v>
      </c>
      <c r="AE6272">
        <v>24.575029999999899</v>
      </c>
      <c r="AF6272">
        <v>-0.177577288249397</v>
      </c>
      <c r="AG6272">
        <v>-1.1089365582739901</v>
      </c>
      <c r="AH6272">
        <v>24.541777337127499</v>
      </c>
      <c r="AI6272">
        <v>92.587120499910498</v>
      </c>
      <c r="AJ6272">
        <v>90.414568653982698</v>
      </c>
      <c r="AK6272">
        <v>24.567460366279601</v>
      </c>
      <c r="AL6272">
        <v>78.816941112434293</v>
      </c>
      <c r="AM6272">
        <v>88.396274566319406</v>
      </c>
      <c r="AN6272">
        <v>1.00000002223341</v>
      </c>
    </row>
    <row r="6273" spans="1:40" x14ac:dyDescent="0.25">
      <c r="A6273" t="str">
        <f>"20190312172830853"</f>
        <v>20190312172830853</v>
      </c>
      <c r="B6273" t="str">
        <f>"1552382910845995"</f>
        <v>1552382910845995</v>
      </c>
      <c r="C6273" t="s">
        <v>40</v>
      </c>
      <c r="D6273">
        <v>3.2542949999999999</v>
      </c>
      <c r="E6273">
        <v>0.49083130000000003</v>
      </c>
      <c r="F6273" t="s">
        <v>41</v>
      </c>
      <c r="G6273">
        <v>-188.60550000000001</v>
      </c>
      <c r="H6273" s="1">
        <v>-3.6266230000000001E-6</v>
      </c>
      <c r="I6273">
        <v>47.509889999999999</v>
      </c>
      <c r="J6273">
        <v>-187.70590000000001</v>
      </c>
      <c r="K6273">
        <v>1.1089070000000001</v>
      </c>
      <c r="L6273">
        <v>23.100770000000001</v>
      </c>
      <c r="M6273">
        <v>-2.925109E-2</v>
      </c>
      <c r="N6273">
        <v>0</v>
      </c>
      <c r="O6273">
        <v>0.99950430000000001</v>
      </c>
      <c r="P6273">
        <v>-1.6499990000000001E-3</v>
      </c>
      <c r="Q6273">
        <v>0.18290229999999999</v>
      </c>
      <c r="R6273">
        <v>0.9831297</v>
      </c>
      <c r="S6273">
        <v>-0.1129913</v>
      </c>
      <c r="T6273">
        <v>-0.13797490000000001</v>
      </c>
      <c r="U6273">
        <v>3.0767519999999999</v>
      </c>
      <c r="V6273">
        <v>2.747898E-2</v>
      </c>
      <c r="W6273">
        <v>0.1942769</v>
      </c>
      <c r="X6273">
        <v>0.98056180000000004</v>
      </c>
      <c r="Y6273">
        <v>-7.41363099999999E-3</v>
      </c>
      <c r="Z6273">
        <v>-4.4754910000000002E-2</v>
      </c>
      <c r="AA6273">
        <v>0.99897049999999998</v>
      </c>
      <c r="AB6273">
        <v>31</v>
      </c>
      <c r="AC6273">
        <v>-0.89959999999999196</v>
      </c>
      <c r="AD6273">
        <v>-1.10891062662299</v>
      </c>
      <c r="AE6273">
        <v>24.409120000000001</v>
      </c>
      <c r="AF6273">
        <v>-0.184792375034566</v>
      </c>
      <c r="AG6273">
        <v>-1.10891062662299</v>
      </c>
      <c r="AH6273">
        <v>24.3747510390887</v>
      </c>
      <c r="AI6273">
        <v>92.604756742430595</v>
      </c>
      <c r="AJ6273">
        <v>90.434368347662996</v>
      </c>
      <c r="AK6273">
        <v>24.4006622700546</v>
      </c>
      <c r="AL6273">
        <v>78.797515087738105</v>
      </c>
      <c r="AM6273">
        <v>88.394779783020795</v>
      </c>
      <c r="AN6273">
        <v>1.0000000259173401</v>
      </c>
    </row>
    <row r="6274" spans="1:40" x14ac:dyDescent="0.25">
      <c r="A6274" t="str">
        <f>"20190312172830885"</f>
        <v>20190312172830885</v>
      </c>
      <c r="B6274" t="str">
        <f>"1552382910876252"</f>
        <v>1552382910876252</v>
      </c>
      <c r="C6274" t="s">
        <v>40</v>
      </c>
      <c r="D6274">
        <v>3.1981169999999999</v>
      </c>
      <c r="E6274">
        <v>0.49063760000000001</v>
      </c>
      <c r="F6274" t="s">
        <v>41</v>
      </c>
      <c r="G6274">
        <v>-188.5821</v>
      </c>
      <c r="H6274" s="1">
        <v>-3.6221279999999999E-6</v>
      </c>
      <c r="I6274">
        <v>47.489780000000003</v>
      </c>
      <c r="J6274">
        <v>-187.71690000000001</v>
      </c>
      <c r="K6274">
        <v>1.1088899999999999</v>
      </c>
      <c r="L6274">
        <v>23.531860000000002</v>
      </c>
      <c r="M6274">
        <v>-2.7785979999999998E-2</v>
      </c>
      <c r="N6274">
        <v>0</v>
      </c>
      <c r="O6274">
        <v>0.99954279999999995</v>
      </c>
      <c r="P6274">
        <v>1.476879E-3</v>
      </c>
      <c r="Q6274">
        <v>0.18348449999999999</v>
      </c>
      <c r="R6274">
        <v>0.98302149999999999</v>
      </c>
      <c r="S6274">
        <v>-0.1105652</v>
      </c>
      <c r="T6274">
        <v>-0.13991899999999999</v>
      </c>
      <c r="U6274">
        <v>3.0773320000000002</v>
      </c>
      <c r="V6274">
        <v>2.9193569999999999E-2</v>
      </c>
      <c r="W6274">
        <v>0.19513</v>
      </c>
      <c r="X6274">
        <v>0.98034279999999996</v>
      </c>
      <c r="Y6274">
        <v>-8.0848469999999992E-3</v>
      </c>
      <c r="Z6274">
        <v>-4.5379089999999997E-2</v>
      </c>
      <c r="AA6274">
        <v>0.99893710000000002</v>
      </c>
      <c r="AB6274">
        <v>31</v>
      </c>
      <c r="AC6274">
        <v>-0.86519999999998698</v>
      </c>
      <c r="AD6274">
        <v>-1.1088936221279999</v>
      </c>
      <c r="AE6274">
        <v>23.957919999999898</v>
      </c>
      <c r="AF6274">
        <v>-0.19869917584514399</v>
      </c>
      <c r="AG6274">
        <v>-1.1088936221279999</v>
      </c>
      <c r="AH6274">
        <v>23.921530058804102</v>
      </c>
      <c r="AI6274">
        <v>92.653981052858398</v>
      </c>
      <c r="AJ6274">
        <v>90.4759044394808</v>
      </c>
      <c r="AK6274">
        <v>23.948042232757601</v>
      </c>
      <c r="AL6274">
        <v>78.747681997060099</v>
      </c>
      <c r="AM6274">
        <v>88.294296464199206</v>
      </c>
      <c r="AN6274">
        <v>0.99999999347059199</v>
      </c>
    </row>
    <row r="6275" spans="1:40" x14ac:dyDescent="0.25">
      <c r="A6275" t="str">
        <f>"20190312172830930"</f>
        <v>20190312172830930</v>
      </c>
      <c r="B6275" t="str">
        <f>"1552382910926028"</f>
        <v>1552382910926028</v>
      </c>
      <c r="C6275" t="s">
        <v>40</v>
      </c>
      <c r="D6275">
        <v>3.2030699999999999</v>
      </c>
      <c r="E6275">
        <v>0.49007020000000001</v>
      </c>
      <c r="F6275" t="s">
        <v>41</v>
      </c>
      <c r="G6275">
        <v>-188.5461</v>
      </c>
      <c r="H6275" s="1">
        <v>-3.9183219999999996E-6</v>
      </c>
      <c r="I6275">
        <v>48.165309999999998</v>
      </c>
      <c r="J6275">
        <v>-187.7313</v>
      </c>
      <c r="K6275">
        <v>1.10887</v>
      </c>
      <c r="L6275">
        <v>24.149480000000001</v>
      </c>
      <c r="M6275">
        <v>-2.5553309999999999E-2</v>
      </c>
      <c r="N6275">
        <v>0</v>
      </c>
      <c r="O6275">
        <v>0.99959799999999999</v>
      </c>
      <c r="P6275">
        <v>4.1521209999999999E-3</v>
      </c>
      <c r="Q6275">
        <v>0.18398709999999999</v>
      </c>
      <c r="R6275">
        <v>0.98291989999999996</v>
      </c>
      <c r="S6275">
        <v>-0.103607199999999</v>
      </c>
      <c r="T6275">
        <v>-0.13855049999999999</v>
      </c>
      <c r="U6275">
        <v>3.07782</v>
      </c>
      <c r="V6275">
        <v>2.9702929999999999E-2</v>
      </c>
      <c r="W6275">
        <v>0.19597870000000001</v>
      </c>
      <c r="X6275">
        <v>0.98015819999999998</v>
      </c>
      <c r="Y6275">
        <v>-8.0577180000000002E-3</v>
      </c>
      <c r="Z6275">
        <v>-4.493482E-2</v>
      </c>
      <c r="AA6275">
        <v>0.9989574</v>
      </c>
      <c r="AB6275">
        <v>31</v>
      </c>
      <c r="AC6275">
        <v>-0.81479999999999098</v>
      </c>
      <c r="AD6275">
        <v>-1.108873918322</v>
      </c>
      <c r="AE6275">
        <v>24.015830000000001</v>
      </c>
      <c r="AF6275">
        <v>-0.20037695463362101</v>
      </c>
      <c r="AG6275">
        <v>-1.108873918322</v>
      </c>
      <c r="AH6275">
        <v>23.977749454212098</v>
      </c>
      <c r="AI6275">
        <v>92.6477191727178</v>
      </c>
      <c r="AJ6275">
        <v>90.478797503037896</v>
      </c>
      <c r="AK6275">
        <v>24.004212571539401</v>
      </c>
      <c r="AL6275">
        <v>78.698097880053695</v>
      </c>
      <c r="AM6275">
        <v>88.264227293086606</v>
      </c>
      <c r="AN6275">
        <v>1.0000000059657499</v>
      </c>
    </row>
    <row r="6276" spans="1:40" x14ac:dyDescent="0.25">
      <c r="A6276" t="str">
        <f>"20190312172830951"</f>
        <v>20190312172830951</v>
      </c>
      <c r="B6276" t="str">
        <f>"1552382910945548"</f>
        <v>1552382910945548</v>
      </c>
      <c r="C6276" t="s">
        <v>40</v>
      </c>
      <c r="D6276">
        <v>3.237533</v>
      </c>
      <c r="E6276">
        <v>0.48992229999999998</v>
      </c>
      <c r="F6276" t="s">
        <v>41</v>
      </c>
      <c r="G6276">
        <v>-188.54220000000001</v>
      </c>
      <c r="H6276" s="1">
        <v>-4.3820440000000001E-6</v>
      </c>
      <c r="I6276">
        <v>49.24465</v>
      </c>
      <c r="J6276">
        <v>-187.73759999999999</v>
      </c>
      <c r="K6276">
        <v>1.108873</v>
      </c>
      <c r="L6276">
        <v>24.439789999999999</v>
      </c>
      <c r="M6276">
        <v>-2.4479290000000001E-2</v>
      </c>
      <c r="N6276">
        <v>0</v>
      </c>
      <c r="O6276">
        <v>0.99962289999999998</v>
      </c>
      <c r="P6276">
        <v>5.6178199999999999E-3</v>
      </c>
      <c r="Q6276">
        <v>0.1838273</v>
      </c>
      <c r="R6276">
        <v>0.98294250000000005</v>
      </c>
      <c r="S6276">
        <v>-9.9456790000000003E-2</v>
      </c>
      <c r="T6276">
        <v>-0.13600699999999999</v>
      </c>
      <c r="U6276">
        <v>3.0780029999999998</v>
      </c>
      <c r="V6276">
        <v>3.012136E-2</v>
      </c>
      <c r="W6276">
        <v>0.19596559999999999</v>
      </c>
      <c r="X6276">
        <v>0.98014800000000002</v>
      </c>
      <c r="Y6276">
        <v>-7.7857219999999897E-3</v>
      </c>
      <c r="Z6276">
        <v>-4.4111699999999997E-2</v>
      </c>
      <c r="AA6276">
        <v>0.99899629999999995</v>
      </c>
      <c r="AB6276">
        <v>31</v>
      </c>
      <c r="AC6276">
        <v>-0.80460000000002097</v>
      </c>
      <c r="AD6276">
        <v>-1.1088773820440001</v>
      </c>
      <c r="AE6276">
        <v>24.804860000000001</v>
      </c>
      <c r="AF6276">
        <v>-0.19671377318066899</v>
      </c>
      <c r="AG6276">
        <v>-1.1088773820440001</v>
      </c>
      <c r="AH6276">
        <v>24.767678353303001</v>
      </c>
      <c r="AI6276">
        <v>92.563405173211393</v>
      </c>
      <c r="AJ6276">
        <v>90.455054035779199</v>
      </c>
      <c r="AK6276">
        <v>24.7932691747103</v>
      </c>
      <c r="AL6276">
        <v>78.698862739465497</v>
      </c>
      <c r="AM6276">
        <v>88.239772150491106</v>
      </c>
      <c r="AN6276">
        <v>0.999999957307804</v>
      </c>
    </row>
    <row r="6277" spans="1:40" x14ac:dyDescent="0.25">
      <c r="A6277" t="str">
        <f>"20190312172830974"</f>
        <v>20190312172830974</v>
      </c>
      <c r="B6277" t="str">
        <f>"1552382910966043"</f>
        <v>1552382910966043</v>
      </c>
      <c r="C6277" t="s">
        <v>40</v>
      </c>
      <c r="D6277">
        <v>3.2026249999999998</v>
      </c>
      <c r="E6277">
        <v>0.49482920000000002</v>
      </c>
      <c r="F6277" t="s">
        <v>41</v>
      </c>
      <c r="G6277">
        <v>-188.52010000000001</v>
      </c>
      <c r="H6277" s="1">
        <v>-4.5189689999999996E-6</v>
      </c>
      <c r="I6277">
        <v>49.554690000000001</v>
      </c>
      <c r="J6277">
        <v>-187.74420000000001</v>
      </c>
      <c r="K6277">
        <v>1.1088750000000001</v>
      </c>
      <c r="L6277">
        <v>24.763639999999999</v>
      </c>
      <c r="M6277">
        <v>-2.3274119999999999E-2</v>
      </c>
      <c r="N6277">
        <v>0</v>
      </c>
      <c r="O6277">
        <v>0.99964989999999998</v>
      </c>
      <c r="P6277">
        <v>6.2462300000000002E-3</v>
      </c>
      <c r="Q6277">
        <v>0.1835155</v>
      </c>
      <c r="R6277">
        <v>0.98299700000000001</v>
      </c>
      <c r="S6277">
        <v>-9.5901490000000006E-2</v>
      </c>
      <c r="T6277">
        <v>-0.13590189999999999</v>
      </c>
      <c r="U6277">
        <v>3.078033</v>
      </c>
      <c r="V6277">
        <v>2.9571340000000002E-2</v>
      </c>
      <c r="W6277">
        <v>0.1958039</v>
      </c>
      <c r="X6277">
        <v>0.98019710000000004</v>
      </c>
      <c r="Y6277">
        <v>-7.8382399999999998E-3</v>
      </c>
      <c r="Z6277">
        <v>-4.4079970000000003E-2</v>
      </c>
      <c r="AA6277">
        <v>0.99899729999999998</v>
      </c>
      <c r="AB6277">
        <v>31</v>
      </c>
      <c r="AC6277">
        <v>-0.77590000000000703</v>
      </c>
      <c r="AD6277">
        <v>-1.1088795189689999</v>
      </c>
      <c r="AE6277">
        <v>24.791049999999998</v>
      </c>
      <c r="AF6277">
        <v>-0.198257954391722</v>
      </c>
      <c r="AG6277">
        <v>-1.1088795189689999</v>
      </c>
      <c r="AH6277">
        <v>24.752919030111901</v>
      </c>
      <c r="AI6277">
        <v>92.564935168925501</v>
      </c>
      <c r="AJ6277">
        <v>90.458899458680705</v>
      </c>
      <c r="AK6277">
        <v>24.778537497506701</v>
      </c>
      <c r="AL6277">
        <v>78.7083109093806</v>
      </c>
      <c r="AM6277">
        <v>88.271980984091797</v>
      </c>
      <c r="AN6277">
        <v>0.999999993126507</v>
      </c>
    </row>
    <row r="6278" spans="1:40" x14ac:dyDescent="0.25">
      <c r="A6278" t="str">
        <f>"20190312172830998"</f>
        <v>20190312172830998</v>
      </c>
      <c r="B6278" t="str">
        <f>"1552382910996300"</f>
        <v>1552382910996300</v>
      </c>
      <c r="C6278" t="s">
        <v>40</v>
      </c>
      <c r="D6278">
        <v>3.172158</v>
      </c>
      <c r="E6278">
        <v>0.49517800000000001</v>
      </c>
      <c r="F6278" t="s">
        <v>41</v>
      </c>
      <c r="G6278">
        <v>-188.3563</v>
      </c>
      <c r="H6278" s="1">
        <v>-7.0973559999999897E-7</v>
      </c>
      <c r="I6278">
        <v>60.44849</v>
      </c>
      <c r="J6278">
        <v>-187.75030000000001</v>
      </c>
      <c r="K6278">
        <v>1.1088819999999999</v>
      </c>
      <c r="L6278">
        <v>25.081299999999999</v>
      </c>
      <c r="M6278">
        <v>-2.2090169999999999E-2</v>
      </c>
      <c r="N6278">
        <v>0</v>
      </c>
      <c r="O6278">
        <v>0.99967499999999998</v>
      </c>
      <c r="P6278">
        <v>7.6742619999999899E-3</v>
      </c>
      <c r="Q6278">
        <v>0.1837657</v>
      </c>
      <c r="R6278">
        <v>0.98294009999999998</v>
      </c>
      <c r="S6278">
        <v>-5.2658080000000003E-2</v>
      </c>
      <c r="T6278">
        <v>-9.5398780000000002E-2</v>
      </c>
      <c r="U6278">
        <v>3.0700379999999998</v>
      </c>
      <c r="V6278">
        <v>2.9837530000000001E-2</v>
      </c>
      <c r="W6278">
        <v>0.19618169999999999</v>
      </c>
      <c r="X6278">
        <v>0.98011349999999997</v>
      </c>
      <c r="Y6278">
        <v>4.9514229999999999E-3</v>
      </c>
      <c r="Z6278">
        <v>-3.104531E-2</v>
      </c>
      <c r="AA6278">
        <v>0.99950570000000005</v>
      </c>
      <c r="AB6278">
        <v>31</v>
      </c>
      <c r="AC6278">
        <v>-0.60599999999999399</v>
      </c>
      <c r="AD6278">
        <v>-1.1088827097356</v>
      </c>
      <c r="AE6278">
        <v>35.367190000000001</v>
      </c>
      <c r="AF6278">
        <v>0.17530611480494601</v>
      </c>
      <c r="AG6278">
        <v>-1.1088827097356</v>
      </c>
      <c r="AH6278">
        <v>35.337218495745198</v>
      </c>
      <c r="AI6278">
        <v>91.797330945193195</v>
      </c>
      <c r="AJ6278">
        <v>89.715760930547901</v>
      </c>
      <c r="AK6278">
        <v>35.355047222622602</v>
      </c>
      <c r="AL6278">
        <v>78.686236575499706</v>
      </c>
      <c r="AM6278">
        <v>88.256286942333006</v>
      </c>
      <c r="AN6278">
        <v>1.0000000052468201</v>
      </c>
    </row>
    <row r="6279" spans="1:40" x14ac:dyDescent="0.25">
      <c r="A6279" t="str">
        <f>"20190312172831019"</f>
        <v>20190312172831019</v>
      </c>
      <c r="B6279" t="str">
        <f>"1552382911015820"</f>
        <v>1552382911015820</v>
      </c>
      <c r="C6279" t="s">
        <v>40</v>
      </c>
      <c r="D6279">
        <v>3.1749510000000001</v>
      </c>
      <c r="E6279">
        <v>0.49502099999999999</v>
      </c>
      <c r="F6279" t="s">
        <v>41</v>
      </c>
      <c r="G6279">
        <v>-188.26009999999999</v>
      </c>
      <c r="H6279" s="1">
        <v>-4.5027390000000001E-6</v>
      </c>
      <c r="I6279">
        <v>59.40936</v>
      </c>
      <c r="J6279">
        <v>-187.75559999999999</v>
      </c>
      <c r="K6279">
        <v>1.108892</v>
      </c>
      <c r="L6279">
        <v>25.37219</v>
      </c>
      <c r="M6279">
        <v>-2.100751E-2</v>
      </c>
      <c r="N6279">
        <v>0</v>
      </c>
      <c r="O6279">
        <v>0.99969699999999995</v>
      </c>
      <c r="P6279">
        <v>8.6878370000000003E-3</v>
      </c>
      <c r="Q6279">
        <v>0.1835957</v>
      </c>
      <c r="R6279">
        <v>0.98296340000000004</v>
      </c>
      <c r="S6279">
        <v>-4.560852E-2</v>
      </c>
      <c r="T6279">
        <v>-9.9200839999999998E-2</v>
      </c>
      <c r="U6279">
        <v>3.0709840000000002</v>
      </c>
      <c r="V6279">
        <v>2.9788140000000001E-2</v>
      </c>
      <c r="W6279">
        <v>0.1961195</v>
      </c>
      <c r="X6279">
        <v>0.98012750000000004</v>
      </c>
      <c r="Y6279">
        <v>6.1681419999999997E-3</v>
      </c>
      <c r="Z6279">
        <v>-3.2273019999999999E-2</v>
      </c>
      <c r="AA6279">
        <v>0.99946000000000002</v>
      </c>
      <c r="AB6279">
        <v>31</v>
      </c>
      <c r="AC6279">
        <v>-0.50450000000000705</v>
      </c>
      <c r="AD6279">
        <v>-1.1088965027390001</v>
      </c>
      <c r="AE6279">
        <v>34.037170000000003</v>
      </c>
      <c r="AF6279">
        <v>0.21048303813028499</v>
      </c>
      <c r="AG6279">
        <v>-1.1088965027390001</v>
      </c>
      <c r="AH6279">
        <v>34.004172756755999</v>
      </c>
      <c r="AI6279">
        <v>91.867752123605896</v>
      </c>
      <c r="AJ6279">
        <v>89.645348357396799</v>
      </c>
      <c r="AK6279">
        <v>34.022899926879198</v>
      </c>
      <c r="AL6279">
        <v>78.689871533270704</v>
      </c>
      <c r="AM6279">
        <v>88.259196379809893</v>
      </c>
      <c r="AN6279">
        <v>1.00000005391057</v>
      </c>
    </row>
    <row r="6280" spans="1:40" x14ac:dyDescent="0.25">
      <c r="A6280" t="str">
        <f>"20190312172831041"</f>
        <v>20190312172831041</v>
      </c>
      <c r="B6280" t="str">
        <f>"1552382911036316"</f>
        <v>1552382911036316</v>
      </c>
      <c r="C6280" t="s">
        <v>40</v>
      </c>
      <c r="D6280">
        <v>3.1760619999999999</v>
      </c>
      <c r="E6280">
        <v>0.49506309999999898</v>
      </c>
      <c r="F6280" t="s">
        <v>41</v>
      </c>
      <c r="G6280">
        <v>-188.2406</v>
      </c>
      <c r="H6280" s="1">
        <v>-5.1221909999999998E-7</v>
      </c>
      <c r="I6280">
        <v>59.7776</v>
      </c>
      <c r="J6280">
        <v>-187.76070000000001</v>
      </c>
      <c r="K6280">
        <v>1.1088979999999999</v>
      </c>
      <c r="L6280">
        <v>25.668700000000001</v>
      </c>
      <c r="M6280">
        <v>-1.9907950000000001E-2</v>
      </c>
      <c r="N6280">
        <v>0</v>
      </c>
      <c r="O6280">
        <v>0.99971810000000005</v>
      </c>
      <c r="P6280">
        <v>9.638453E-3</v>
      </c>
      <c r="Q6280">
        <v>0.1834616</v>
      </c>
      <c r="R6280">
        <v>0.98297959999999995</v>
      </c>
      <c r="S6280">
        <v>-4.3289179999999997E-2</v>
      </c>
      <c r="T6280">
        <v>-9.8974469999999995E-2</v>
      </c>
      <c r="U6280">
        <v>3.070862</v>
      </c>
      <c r="V6280">
        <v>2.96581E-2</v>
      </c>
      <c r="W6280">
        <v>0.1960933</v>
      </c>
      <c r="X6280">
        <v>0.98013660000000002</v>
      </c>
      <c r="Y6280">
        <v>5.8223869999999896E-3</v>
      </c>
      <c r="Z6280">
        <v>-3.2202019999999998E-2</v>
      </c>
      <c r="AA6280">
        <v>0.99946440000000003</v>
      </c>
      <c r="AB6280">
        <v>31</v>
      </c>
      <c r="AC6280">
        <v>-0.479899999999986</v>
      </c>
      <c r="AD6280">
        <v>-1.1088985122191</v>
      </c>
      <c r="AE6280">
        <v>34.108899999999998</v>
      </c>
      <c r="AF6280">
        <v>0.19907986747998899</v>
      </c>
      <c r="AG6280">
        <v>-1.1088985122191</v>
      </c>
      <c r="AH6280">
        <v>34.075685045891802</v>
      </c>
      <c r="AI6280">
        <v>91.863842438945596</v>
      </c>
      <c r="AJ6280">
        <v>89.665265528661394</v>
      </c>
      <c r="AK6280">
        <v>34.0943045104436</v>
      </c>
      <c r="AL6280">
        <v>78.691401445956103</v>
      </c>
      <c r="AM6280">
        <v>88.266807287364003</v>
      </c>
      <c r="AN6280">
        <v>0.99999996993002904</v>
      </c>
    </row>
    <row r="6281" spans="1:40" x14ac:dyDescent="0.25">
      <c r="A6281" t="str">
        <f>"20190312172831066"</f>
        <v>20190312172831066</v>
      </c>
      <c r="B6281" t="str">
        <f>"1552382911055835"</f>
        <v>1552382911055835</v>
      </c>
      <c r="C6281" t="s">
        <v>40</v>
      </c>
      <c r="D6281">
        <v>3.3039420000000002</v>
      </c>
      <c r="E6281">
        <v>0.49507620000000002</v>
      </c>
      <c r="F6281" t="s">
        <v>41</v>
      </c>
      <c r="G6281">
        <v>-188.20660000000001</v>
      </c>
      <c r="H6281" s="1">
        <v>-6.2578399999999999E-7</v>
      </c>
      <c r="I6281">
        <v>60.084789999999998</v>
      </c>
      <c r="J6281">
        <v>-187.76609999999999</v>
      </c>
      <c r="K6281">
        <v>1.1089100000000001</v>
      </c>
      <c r="L6281">
        <v>26.014340000000001</v>
      </c>
      <c r="M6281">
        <v>-1.862931E-2</v>
      </c>
      <c r="N6281">
        <v>0</v>
      </c>
      <c r="O6281">
        <v>0.99974110000000005</v>
      </c>
      <c r="P6281">
        <v>1.0521640000000001E-2</v>
      </c>
      <c r="Q6281">
        <v>0.1836324</v>
      </c>
      <c r="R6281">
        <v>0.98293869999999905</v>
      </c>
      <c r="S6281">
        <v>-3.9794919999999998E-2</v>
      </c>
      <c r="T6281">
        <v>-9.8942279999999994E-2</v>
      </c>
      <c r="U6281">
        <v>3.0708009999999999</v>
      </c>
      <c r="V6281">
        <v>2.9283300000000002E-2</v>
      </c>
      <c r="W6281">
        <v>0.1963897</v>
      </c>
      <c r="X6281">
        <v>0.98008850000000003</v>
      </c>
      <c r="Y6281">
        <v>5.6802600000000003E-3</v>
      </c>
      <c r="Z6281">
        <v>-3.2193649999999997E-2</v>
      </c>
      <c r="AA6281">
        <v>0.99946550000000001</v>
      </c>
      <c r="AB6281">
        <v>30</v>
      </c>
      <c r="AC6281">
        <v>-0.44050000000001399</v>
      </c>
      <c r="AD6281">
        <v>-1.108910625784</v>
      </c>
      <c r="AE6281">
        <v>34.070450000000001</v>
      </c>
      <c r="AF6281">
        <v>0.194133985700329</v>
      </c>
      <c r="AG6281">
        <v>-1.108910625784</v>
      </c>
      <c r="AH6281">
        <v>34.036692725741403</v>
      </c>
      <c r="AI6281">
        <v>91.865998003509404</v>
      </c>
      <c r="AJ6281">
        <v>89.673207455410903</v>
      </c>
      <c r="AK6281">
        <v>34.055305350076097</v>
      </c>
      <c r="AL6281">
        <v>78.674081949603405</v>
      </c>
      <c r="AM6281">
        <v>88.2886132193305</v>
      </c>
      <c r="AN6281">
        <v>0.99999994687861304</v>
      </c>
    </row>
    <row r="6282" spans="1:40" x14ac:dyDescent="0.25">
      <c r="A6282" t="str">
        <f>"20190312172831110"</f>
        <v>20190312172831110</v>
      </c>
      <c r="B6282" t="str">
        <f>"1552382911105612"</f>
        <v>1552382911105612</v>
      </c>
      <c r="C6282" t="s">
        <v>40</v>
      </c>
      <c r="D6282">
        <v>3.1816610000000001</v>
      </c>
      <c r="E6282">
        <v>0.49469449999999998</v>
      </c>
      <c r="F6282" t="s">
        <v>41</v>
      </c>
      <c r="G6282">
        <v>-188.1696</v>
      </c>
      <c r="H6282" s="1">
        <v>-6.088493E-7</v>
      </c>
      <c r="I6282">
        <v>60.006030000000003</v>
      </c>
      <c r="J6282">
        <v>-187.77430000000001</v>
      </c>
      <c r="K6282">
        <v>1.108943</v>
      </c>
      <c r="L6282">
        <v>26.59647</v>
      </c>
      <c r="M6282">
        <v>-1.64779E-2</v>
      </c>
      <c r="N6282">
        <v>0</v>
      </c>
      <c r="O6282">
        <v>0.99977640000000001</v>
      </c>
      <c r="P6282">
        <v>1.309918E-2</v>
      </c>
      <c r="Q6282">
        <v>0.18418760000000001</v>
      </c>
      <c r="R6282">
        <v>0.98280380000000001</v>
      </c>
      <c r="S6282">
        <v>-3.645325E-2</v>
      </c>
      <c r="T6282">
        <v>-0.1001906</v>
      </c>
      <c r="U6282">
        <v>3.071167</v>
      </c>
      <c r="V6282">
        <v>2.9743519999999999E-2</v>
      </c>
      <c r="W6282">
        <v>0.1971252</v>
      </c>
      <c r="X6282">
        <v>0.97992710000000005</v>
      </c>
      <c r="Y6282">
        <v>4.6174340000000001E-3</v>
      </c>
      <c r="Z6282">
        <v>-3.2597689999999999E-2</v>
      </c>
      <c r="AA6282">
        <v>0.99945790000000001</v>
      </c>
      <c r="AB6282">
        <v>30</v>
      </c>
      <c r="AC6282">
        <v>-0.39529999999999099</v>
      </c>
      <c r="AD6282">
        <v>-1.1089436088493001</v>
      </c>
      <c r="AE6282">
        <v>33.409559999999999</v>
      </c>
      <c r="AF6282">
        <v>0.15515050693933299</v>
      </c>
      <c r="AG6282">
        <v>-1.1089436088493001</v>
      </c>
      <c r="AH6282">
        <v>33.3747724489116</v>
      </c>
      <c r="AI6282">
        <v>91.903046250869707</v>
      </c>
      <c r="AJ6282">
        <v>89.733648964487898</v>
      </c>
      <c r="AK6282">
        <v>33.393551228104499</v>
      </c>
      <c r="AL6282">
        <v>78.631102145838796</v>
      </c>
      <c r="AM6282">
        <v>88.261447096903098</v>
      </c>
      <c r="AN6282">
        <v>1.00000007138571</v>
      </c>
    </row>
    <row r="6283" spans="1:40" x14ac:dyDescent="0.25">
      <c r="A6283" t="str">
        <f>"20190312172831130"</f>
        <v>20190312172831130</v>
      </c>
      <c r="B6283" t="str">
        <f>"1552382911126109"</f>
        <v>1552382911126109</v>
      </c>
      <c r="C6283" t="s">
        <v>40</v>
      </c>
      <c r="D6283">
        <v>3.156549</v>
      </c>
      <c r="E6283">
        <v>0.4944598</v>
      </c>
      <c r="F6283" t="s">
        <v>41</v>
      </c>
      <c r="G6283">
        <v>-188.12979999999999</v>
      </c>
      <c r="H6283" s="1">
        <v>-1.048279E-6</v>
      </c>
      <c r="I6283">
        <v>61.266249999999999</v>
      </c>
      <c r="J6283">
        <v>-187.77789999999999</v>
      </c>
      <c r="K6283">
        <v>1.108954</v>
      </c>
      <c r="L6283">
        <v>26.88269</v>
      </c>
      <c r="M6283">
        <v>-1.5422119999999999E-2</v>
      </c>
      <c r="N6283">
        <v>0</v>
      </c>
      <c r="O6283">
        <v>0.99979220000000002</v>
      </c>
      <c r="P6283">
        <v>1.377156E-2</v>
      </c>
      <c r="Q6283">
        <v>0.18437509999999999</v>
      </c>
      <c r="R6283">
        <v>0.98275950000000001</v>
      </c>
      <c r="S6283">
        <v>-3.1494139999999997E-2</v>
      </c>
      <c r="T6283">
        <v>-9.8238950000000005E-2</v>
      </c>
      <c r="U6283">
        <v>3.0713200000000001</v>
      </c>
      <c r="V6283">
        <v>2.9377859999999999E-2</v>
      </c>
      <c r="W6283">
        <v>0.19738929999999999</v>
      </c>
      <c r="X6283">
        <v>0.97988489999999995</v>
      </c>
      <c r="Y6283">
        <v>5.1754039999999998E-3</v>
      </c>
      <c r="Z6283">
        <v>-3.1962810000000001E-2</v>
      </c>
      <c r="AA6283">
        <v>0.99947569999999997</v>
      </c>
      <c r="AB6283">
        <v>30</v>
      </c>
      <c r="AC6283">
        <v>-0.35189999999999999</v>
      </c>
      <c r="AD6283">
        <v>-1.108955048279</v>
      </c>
      <c r="AE6283">
        <v>34.383560000000003</v>
      </c>
      <c r="AF6283">
        <v>0.178270949048735</v>
      </c>
      <c r="AG6283">
        <v>-1.108955048279</v>
      </c>
      <c r="AH6283">
        <v>34.349170598073698</v>
      </c>
      <c r="AI6283">
        <v>91.849113859213404</v>
      </c>
      <c r="AJ6283">
        <v>89.702639653149902</v>
      </c>
      <c r="AK6283">
        <v>34.367529480687899</v>
      </c>
      <c r="AL6283">
        <v>78.615666303005398</v>
      </c>
      <c r="AM6283">
        <v>88.282733681757506</v>
      </c>
      <c r="AN6283">
        <v>1.00000000583033</v>
      </c>
    </row>
    <row r="6284" spans="1:40" x14ac:dyDescent="0.25">
      <c r="A6284" t="str">
        <f>"20190312172831152"</f>
        <v>20190312172831152</v>
      </c>
      <c r="B6284" t="str">
        <f>"1552382911145628"</f>
        <v>1552382911145628</v>
      </c>
      <c r="C6284" t="s">
        <v>40</v>
      </c>
      <c r="D6284">
        <v>3.1438600000000001</v>
      </c>
      <c r="E6284">
        <v>0.49432880000000001</v>
      </c>
      <c r="F6284" t="s">
        <v>41</v>
      </c>
      <c r="G6284">
        <v>-188.1369</v>
      </c>
      <c r="H6284" s="1">
        <v>-1.4192980000000001E-6</v>
      </c>
      <c r="I6284">
        <v>62.170850000000002</v>
      </c>
      <c r="J6284">
        <v>-187.78139999999999</v>
      </c>
      <c r="K6284">
        <v>1.1089639999999901</v>
      </c>
      <c r="L6284">
        <v>27.190190000000001</v>
      </c>
      <c r="M6284">
        <v>-1.428949E-2</v>
      </c>
      <c r="N6284">
        <v>0</v>
      </c>
      <c r="O6284">
        <v>0.99980800000000003</v>
      </c>
      <c r="P6284">
        <v>1.4716999999999999E-2</v>
      </c>
      <c r="Q6284">
        <v>0.1841458</v>
      </c>
      <c r="R6284">
        <v>0.98278869999999896</v>
      </c>
      <c r="S6284">
        <v>-3.125E-2</v>
      </c>
      <c r="T6284">
        <v>-9.6513630000000003E-2</v>
      </c>
      <c r="U6284">
        <v>3.071167</v>
      </c>
      <c r="V6284">
        <v>2.9209849999999999E-2</v>
      </c>
      <c r="W6284">
        <v>0.19723309999999999</v>
      </c>
      <c r="X6284">
        <v>0.9799213</v>
      </c>
      <c r="Y6284">
        <v>4.1213320000000001E-3</v>
      </c>
      <c r="Z6284">
        <v>-3.140445E-2</v>
      </c>
      <c r="AA6284">
        <v>0.9994982</v>
      </c>
      <c r="AB6284">
        <v>30</v>
      </c>
      <c r="AC6284">
        <v>-0.35550000000000598</v>
      </c>
      <c r="AD6284">
        <v>-1.1089654192980001</v>
      </c>
      <c r="AE6284">
        <v>34.98066</v>
      </c>
      <c r="AF6284">
        <v>0.14429202766149499</v>
      </c>
      <c r="AG6284">
        <v>-1.1089654192980001</v>
      </c>
      <c r="AH6284">
        <v>34.947048918735298</v>
      </c>
      <c r="AI6284">
        <v>91.817526364149003</v>
      </c>
      <c r="AJ6284">
        <v>89.763434181732904</v>
      </c>
      <c r="AK6284">
        <v>34.964937474832197</v>
      </c>
      <c r="AL6284">
        <v>78.624794529225895</v>
      </c>
      <c r="AM6284">
        <v>88.292612169006503</v>
      </c>
      <c r="AN6284">
        <v>0.99999993263315901</v>
      </c>
    </row>
    <row r="6285" spans="1:40" x14ac:dyDescent="0.25">
      <c r="A6285" t="str">
        <f>"20190312172831174"</f>
        <v>20190312172831174</v>
      </c>
      <c r="B6285" t="str">
        <f>"1552382911166125"</f>
        <v>1552382911166125</v>
      </c>
      <c r="C6285" t="s">
        <v>40</v>
      </c>
      <c r="D6285">
        <v>3.1512690000000001</v>
      </c>
      <c r="E6285">
        <v>0.49431229999999998</v>
      </c>
      <c r="F6285" t="s">
        <v>41</v>
      </c>
      <c r="G6285">
        <v>-188.11089999999999</v>
      </c>
      <c r="H6285" s="1">
        <v>-1.407543E-6</v>
      </c>
      <c r="I6285">
        <v>62.132649999999998</v>
      </c>
      <c r="J6285">
        <v>-187.78440000000001</v>
      </c>
      <c r="K6285">
        <v>1.1089789999999999</v>
      </c>
      <c r="L6285">
        <v>27.489899999999999</v>
      </c>
      <c r="M6285">
        <v>-1.318809E-2</v>
      </c>
      <c r="N6285">
        <v>0</v>
      </c>
      <c r="O6285">
        <v>0.99982230000000005</v>
      </c>
      <c r="P6285">
        <v>1.5564049999999999E-2</v>
      </c>
      <c r="Q6285">
        <v>0.1842279</v>
      </c>
      <c r="R6285">
        <v>0.98276030000000003</v>
      </c>
      <c r="S6285">
        <v>-2.896118E-2</v>
      </c>
      <c r="T6285">
        <v>-9.7471240000000001E-2</v>
      </c>
      <c r="U6285">
        <v>3.0712280000000001</v>
      </c>
      <c r="V6285">
        <v>2.89733E-2</v>
      </c>
      <c r="W6285">
        <v>0.19737850000000001</v>
      </c>
      <c r="X6285">
        <v>0.97989910000000002</v>
      </c>
      <c r="Y6285">
        <v>3.7648460000000001E-3</v>
      </c>
      <c r="Z6285">
        <v>-3.1715979999999998E-2</v>
      </c>
      <c r="AA6285">
        <v>0.99948979999999998</v>
      </c>
      <c r="AB6285">
        <v>30</v>
      </c>
      <c r="AC6285">
        <v>-0.32649999999998103</v>
      </c>
      <c r="AD6285">
        <v>-1.1089804075430001</v>
      </c>
      <c r="AE6285">
        <v>34.642749999999999</v>
      </c>
      <c r="AF6285">
        <v>0.13030803540173</v>
      </c>
      <c r="AG6285">
        <v>-1.1089804075430001</v>
      </c>
      <c r="AH6285">
        <v>34.608580582248301</v>
      </c>
      <c r="AI6285">
        <v>91.835316907096399</v>
      </c>
      <c r="AJ6285">
        <v>89.784271268618198</v>
      </c>
      <c r="AK6285">
        <v>34.6265890270234</v>
      </c>
      <c r="AL6285">
        <v>78.616297278638996</v>
      </c>
      <c r="AM6285">
        <v>88.3063926691283</v>
      </c>
      <c r="AN6285">
        <v>0.99999998527797496</v>
      </c>
    </row>
    <row r="6286" spans="1:40" x14ac:dyDescent="0.25">
      <c r="A6286" t="str">
        <f>"20190312172831198"</f>
        <v>20190312172831198</v>
      </c>
      <c r="B6286" t="str">
        <f>"1552382911186620"</f>
        <v>1552382911186620</v>
      </c>
      <c r="C6286" t="s">
        <v>40</v>
      </c>
      <c r="D6286">
        <v>3.133111</v>
      </c>
      <c r="E6286">
        <v>0.4941759</v>
      </c>
      <c r="F6286" t="s">
        <v>41</v>
      </c>
      <c r="G6286">
        <v>-188.0806</v>
      </c>
      <c r="H6286" s="1">
        <v>-1.5167330000000001E-6</v>
      </c>
      <c r="I6286">
        <v>62.374679999999998</v>
      </c>
      <c r="J6286">
        <v>-187.78720000000001</v>
      </c>
      <c r="K6286">
        <v>1.108992</v>
      </c>
      <c r="L6286">
        <v>27.799900000000001</v>
      </c>
      <c r="M6286">
        <v>-1.20524E-2</v>
      </c>
      <c r="N6286">
        <v>0</v>
      </c>
      <c r="O6286">
        <v>0.9998359</v>
      </c>
      <c r="P6286">
        <v>1.6939329999999999E-2</v>
      </c>
      <c r="Q6286">
        <v>0.18432850000000001</v>
      </c>
      <c r="R6286">
        <v>0.98271869999999995</v>
      </c>
      <c r="S6286">
        <v>-2.607727E-2</v>
      </c>
      <c r="T6286">
        <v>-9.7637650000000006E-2</v>
      </c>
      <c r="U6286">
        <v>3.0713499999999998</v>
      </c>
      <c r="V6286">
        <v>2.9230039999999999E-2</v>
      </c>
      <c r="W6286">
        <v>0.19753470000000001</v>
      </c>
      <c r="X6286">
        <v>0.97985999999999995</v>
      </c>
      <c r="Y6286">
        <v>3.5677840000000001E-3</v>
      </c>
      <c r="Z6286">
        <v>-3.176963E-2</v>
      </c>
      <c r="AA6286">
        <v>0.99948879999999996</v>
      </c>
      <c r="AB6286">
        <v>30</v>
      </c>
      <c r="AC6286">
        <v>-0.293399999999991</v>
      </c>
      <c r="AD6286">
        <v>-1.1089935167330001</v>
      </c>
      <c r="AE6286">
        <v>34.574779999999997</v>
      </c>
      <c r="AF6286">
        <v>0.123241724410559</v>
      </c>
      <c r="AG6286">
        <v>-1.1089935167330001</v>
      </c>
      <c r="AH6286">
        <v>34.5402716304393</v>
      </c>
      <c r="AI6286">
        <v>91.838967103705002</v>
      </c>
      <c r="AJ6286">
        <v>89.795566150179496</v>
      </c>
      <c r="AK6286">
        <v>34.558290169615198</v>
      </c>
      <c r="AL6286">
        <v>78.607167947316597</v>
      </c>
      <c r="AM6286">
        <v>88.291325888396997</v>
      </c>
      <c r="AN6286">
        <v>0.99999998627124498</v>
      </c>
    </row>
    <row r="6287" spans="1:40" x14ac:dyDescent="0.25">
      <c r="A6287" t="str">
        <f>"20190312172831220"</f>
        <v>20190312172831220</v>
      </c>
      <c r="B6287" t="str">
        <f>"1552382911215899"</f>
        <v>1552382911215899</v>
      </c>
      <c r="C6287" t="s">
        <v>40</v>
      </c>
      <c r="D6287">
        <v>3.264812</v>
      </c>
      <c r="E6287">
        <v>0.49395020000000001</v>
      </c>
      <c r="F6287" t="s">
        <v>41</v>
      </c>
      <c r="G6287">
        <v>-188.05590000000001</v>
      </c>
      <c r="H6287" s="1">
        <v>-1.7157590000000001E-6</v>
      </c>
      <c r="I6287">
        <v>62.828400000000002</v>
      </c>
      <c r="J6287">
        <v>-187.78970000000001</v>
      </c>
      <c r="K6287">
        <v>1.109002</v>
      </c>
      <c r="L6287">
        <v>28.109529999999999</v>
      </c>
      <c r="M6287">
        <v>-1.092724E-2</v>
      </c>
      <c r="N6287">
        <v>0</v>
      </c>
      <c r="O6287">
        <v>0.99984810000000002</v>
      </c>
      <c r="P6287">
        <v>1.869434E-2</v>
      </c>
      <c r="Q6287">
        <v>0.184529</v>
      </c>
      <c r="R6287">
        <v>0.98264929999999995</v>
      </c>
      <c r="S6287">
        <v>-2.3559569999999998E-2</v>
      </c>
      <c r="T6287">
        <v>-9.7240090000000001E-2</v>
      </c>
      <c r="U6287">
        <v>3.0714109999999999</v>
      </c>
      <c r="V6287">
        <v>2.9875140000000001E-2</v>
      </c>
      <c r="W6287">
        <v>0.19778190000000001</v>
      </c>
      <c r="X6287">
        <v>0.97979070000000001</v>
      </c>
      <c r="Y6287">
        <v>3.2618460000000001E-3</v>
      </c>
      <c r="Z6287">
        <v>-3.1640509999999997E-2</v>
      </c>
      <c r="AA6287">
        <v>0.99949399999999999</v>
      </c>
      <c r="AB6287">
        <v>30</v>
      </c>
      <c r="AC6287">
        <v>-0.26619999999999699</v>
      </c>
      <c r="AD6287">
        <v>-1.109003715759</v>
      </c>
      <c r="AE6287">
        <v>34.718870000000003</v>
      </c>
      <c r="AF6287">
        <v>0.113116891505242</v>
      </c>
      <c r="AG6287">
        <v>-1.109003715759</v>
      </c>
      <c r="AH6287">
        <v>34.684318962539898</v>
      </c>
      <c r="AI6287">
        <v>91.831353654386504</v>
      </c>
      <c r="AJ6287">
        <v>89.813140413575297</v>
      </c>
      <c r="AK6287">
        <v>34.702228553335303</v>
      </c>
      <c r="AL6287">
        <v>78.592719647156102</v>
      </c>
      <c r="AM6287">
        <v>88.253515515634007</v>
      </c>
      <c r="AN6287">
        <v>1.0000000098820501</v>
      </c>
    </row>
    <row r="6288" spans="1:40" x14ac:dyDescent="0.25">
      <c r="A6288" t="str">
        <f>"20190312172831244"</f>
        <v>20190312172831244</v>
      </c>
      <c r="B6288" t="str">
        <f>"1552382911236397"</f>
        <v>1552382911236397</v>
      </c>
      <c r="C6288" t="s">
        <v>40</v>
      </c>
      <c r="D6288">
        <v>3.1349070000000001</v>
      </c>
      <c r="E6288">
        <v>0.49375249999999998</v>
      </c>
      <c r="F6288" t="s">
        <v>41</v>
      </c>
      <c r="G6288">
        <v>-188.03049999999999</v>
      </c>
      <c r="H6288" s="1">
        <v>-2.0051149999999999E-6</v>
      </c>
      <c r="I6288">
        <v>63.492400000000004</v>
      </c>
      <c r="J6288">
        <v>-187.7919</v>
      </c>
      <c r="K6288">
        <v>1.1090249999999999</v>
      </c>
      <c r="L6288">
        <v>28.422609999999999</v>
      </c>
      <c r="M6288">
        <v>-9.8074960000000006E-3</v>
      </c>
      <c r="N6288">
        <v>0</v>
      </c>
      <c r="O6288">
        <v>0.99985919999999895</v>
      </c>
      <c r="P6288">
        <v>2.0442780000000001E-2</v>
      </c>
      <c r="Q6288">
        <v>0.1840871</v>
      </c>
      <c r="R6288">
        <v>0.9826973</v>
      </c>
      <c r="S6288">
        <v>-2.0904539999999999E-2</v>
      </c>
      <c r="T6288">
        <v>-9.6268060000000003E-2</v>
      </c>
      <c r="U6288">
        <v>3.0714419999999998</v>
      </c>
      <c r="V6288">
        <v>3.0516049999999999E-2</v>
      </c>
      <c r="W6288">
        <v>0.19738320000000001</v>
      </c>
      <c r="X6288">
        <v>0.97985140000000004</v>
      </c>
      <c r="Y6288">
        <v>3.0059040000000002E-3</v>
      </c>
      <c r="Z6288">
        <v>-3.1324890000000001E-2</v>
      </c>
      <c r="AA6288">
        <v>0.99950470000000002</v>
      </c>
      <c r="AB6288">
        <v>30</v>
      </c>
      <c r="AC6288">
        <v>-0.23859999999999101</v>
      </c>
      <c r="AD6288">
        <v>-1.109027005115</v>
      </c>
      <c r="AE6288">
        <v>35.069789999999998</v>
      </c>
      <c r="AF6288">
        <v>0.105284905416348</v>
      </c>
      <c r="AG6288">
        <v>-1.109027005115</v>
      </c>
      <c r="AH6288">
        <v>35.035408072222502</v>
      </c>
      <c r="AI6288">
        <v>91.813053509473704</v>
      </c>
      <c r="AJ6288">
        <v>89.827820970267297</v>
      </c>
      <c r="AK6288">
        <v>35.0531146204804</v>
      </c>
      <c r="AL6288">
        <v>78.616023463873702</v>
      </c>
      <c r="AM6288">
        <v>88.216182659750501</v>
      </c>
      <c r="AN6288">
        <v>1.0000000615158899</v>
      </c>
    </row>
    <row r="6289" spans="1:40" x14ac:dyDescent="0.25">
      <c r="A6289" t="str">
        <f>"20190312172831268"</f>
        <v>20190312172831268</v>
      </c>
      <c r="B6289" t="str">
        <f>"1552382911255916"</f>
        <v>1552382911255916</v>
      </c>
      <c r="C6289" t="s">
        <v>40</v>
      </c>
      <c r="D6289">
        <v>3.087418</v>
      </c>
      <c r="E6289">
        <v>0.49356270000000002</v>
      </c>
      <c r="F6289" t="s">
        <v>41</v>
      </c>
      <c r="G6289">
        <v>-187.99100000000001</v>
      </c>
      <c r="H6289" s="1">
        <v>-2.084252E-6</v>
      </c>
      <c r="I6289">
        <v>63.660499999999999</v>
      </c>
      <c r="J6289">
        <v>-187.7938</v>
      </c>
      <c r="K6289">
        <v>1.1090469999999999</v>
      </c>
      <c r="L6289">
        <v>28.74417</v>
      </c>
      <c r="M6289">
        <v>-8.6891290000000003E-3</v>
      </c>
      <c r="N6289">
        <v>0</v>
      </c>
      <c r="O6289">
        <v>0.99986900000000001</v>
      </c>
      <c r="P6289">
        <v>2.179085E-2</v>
      </c>
      <c r="Q6289">
        <v>0.1837521</v>
      </c>
      <c r="R6289">
        <v>0.98273100000000002</v>
      </c>
      <c r="S6289">
        <v>-1.7349239999999998E-2</v>
      </c>
      <c r="T6289">
        <v>-9.6661330000000004E-2</v>
      </c>
      <c r="U6289">
        <v>3.0712890000000002</v>
      </c>
      <c r="V6289">
        <v>3.075377E-2</v>
      </c>
      <c r="W6289">
        <v>0.19708729999999999</v>
      </c>
      <c r="X6289">
        <v>0.97990350000000004</v>
      </c>
      <c r="Y6289">
        <v>3.0440509999999999E-3</v>
      </c>
      <c r="Z6289">
        <v>-3.1454879999999998E-2</v>
      </c>
      <c r="AA6289">
        <v>0.99950050000000001</v>
      </c>
      <c r="AB6289">
        <v>30</v>
      </c>
      <c r="AC6289">
        <v>-0.19719999999998</v>
      </c>
      <c r="AD6289">
        <v>-1.109049084252</v>
      </c>
      <c r="AE6289">
        <v>34.916330000000002</v>
      </c>
      <c r="AF6289">
        <v>0.106121172750758</v>
      </c>
      <c r="AG6289">
        <v>-1.109049084252</v>
      </c>
      <c r="AH6289">
        <v>34.881534724279803</v>
      </c>
      <c r="AI6289">
        <v>91.821082106787699</v>
      </c>
      <c r="AJ6289">
        <v>89.825687814355703</v>
      </c>
      <c r="AK6289">
        <v>34.8993225764588</v>
      </c>
      <c r="AL6289">
        <v>78.633316675086505</v>
      </c>
      <c r="AM6289">
        <v>88.202391325770506</v>
      </c>
      <c r="AN6289">
        <v>1.0000000337513699</v>
      </c>
    </row>
    <row r="6290" spans="1:40" x14ac:dyDescent="0.25">
      <c r="A6290" t="str">
        <f>"20190312172831290"</f>
        <v>20190312172831290</v>
      </c>
      <c r="B6290" t="str">
        <f>"1552382911286172"</f>
        <v>1552382911286172</v>
      </c>
      <c r="C6290" t="s">
        <v>40</v>
      </c>
      <c r="D6290">
        <v>3.100374</v>
      </c>
      <c r="E6290">
        <v>0.49327700000000002</v>
      </c>
      <c r="F6290" t="s">
        <v>41</v>
      </c>
      <c r="G6290">
        <v>-187.9701</v>
      </c>
      <c r="H6290" s="1">
        <v>-2.1959660000000001E-6</v>
      </c>
      <c r="I6290">
        <v>63.912300000000002</v>
      </c>
      <c r="J6290">
        <v>-187.7953</v>
      </c>
      <c r="K6290">
        <v>1.1090819999999999</v>
      </c>
      <c r="L6290">
        <v>29.031279999999999</v>
      </c>
      <c r="M6290">
        <v>-7.7357090000000003E-3</v>
      </c>
      <c r="N6290">
        <v>0</v>
      </c>
      <c r="O6290">
        <v>0.9998764</v>
      </c>
      <c r="P6290">
        <v>2.344069E-2</v>
      </c>
      <c r="Q6290">
        <v>0.1833158</v>
      </c>
      <c r="R6290">
        <v>0.98277460000000005</v>
      </c>
      <c r="S6290">
        <v>-1.5396119999999999E-2</v>
      </c>
      <c r="T6290">
        <v>-9.6851229999999996E-2</v>
      </c>
      <c r="U6290">
        <v>3.071167</v>
      </c>
      <c r="V6290">
        <v>3.1451350000000003E-2</v>
      </c>
      <c r="W6290">
        <v>0.19668099999999999</v>
      </c>
      <c r="X6290">
        <v>0.97996289999999997</v>
      </c>
      <c r="Y6290">
        <v>2.7259229999999999E-3</v>
      </c>
      <c r="Z6290">
        <v>-3.1518310000000001E-2</v>
      </c>
      <c r="AA6290">
        <v>0.99949940000000004</v>
      </c>
      <c r="AB6290">
        <v>30</v>
      </c>
      <c r="AC6290">
        <v>-0.17480000000000401</v>
      </c>
      <c r="AD6290">
        <v>-1.1090841959659901</v>
      </c>
      <c r="AE6290">
        <v>34.881019999999999</v>
      </c>
      <c r="AF6290">
        <v>9.4963924459970303E-2</v>
      </c>
      <c r="AG6290">
        <v>-1.1090841959659901</v>
      </c>
      <c r="AH6290">
        <v>34.846099972610901</v>
      </c>
      <c r="AI6290">
        <v>91.822992043109295</v>
      </c>
      <c r="AJ6290">
        <v>89.843855736743805</v>
      </c>
      <c r="AK6290">
        <v>34.863874844914797</v>
      </c>
      <c r="AL6290">
        <v>78.657059668745504</v>
      </c>
      <c r="AM6290">
        <v>88.161755645242806</v>
      </c>
      <c r="AN6290">
        <v>0.99999994427711403</v>
      </c>
    </row>
    <row r="6291" spans="1:40" x14ac:dyDescent="0.25">
      <c r="A6291" t="str">
        <f>"20190312172831311"</f>
        <v>20190312172831311</v>
      </c>
      <c r="B6291" t="str">
        <f>"1552382911305692"</f>
        <v>1552382911305692</v>
      </c>
      <c r="C6291" t="s">
        <v>40</v>
      </c>
      <c r="D6291">
        <v>3.1033629999999999</v>
      </c>
      <c r="E6291">
        <v>0.49307859999999998</v>
      </c>
      <c r="F6291" t="s">
        <v>41</v>
      </c>
      <c r="G6291">
        <v>-187.9479</v>
      </c>
      <c r="H6291" s="1">
        <v>-2.315864E-6</v>
      </c>
      <c r="I6291">
        <v>64.182590000000005</v>
      </c>
      <c r="J6291">
        <v>-187.79650000000001</v>
      </c>
      <c r="K6291">
        <v>1.1091279999999999</v>
      </c>
      <c r="L6291">
        <v>29.338259999999998</v>
      </c>
      <c r="M6291">
        <v>-6.7751319999999997E-3</v>
      </c>
      <c r="N6291">
        <v>0</v>
      </c>
      <c r="O6291">
        <v>0.99988310000000002</v>
      </c>
      <c r="P6291">
        <v>2.427963E-2</v>
      </c>
      <c r="Q6291">
        <v>0.1825116</v>
      </c>
      <c r="R6291">
        <v>0.98290379999999999</v>
      </c>
      <c r="S6291">
        <v>-1.333618E-2</v>
      </c>
      <c r="T6291">
        <v>-9.6894859999999999E-2</v>
      </c>
      <c r="U6291">
        <v>3.0709840000000002</v>
      </c>
      <c r="V6291">
        <v>3.1324930000000001E-2</v>
      </c>
      <c r="W6291">
        <v>0.1959072</v>
      </c>
      <c r="X6291">
        <v>0.98012200000000005</v>
      </c>
      <c r="Y6291">
        <v>2.4353650000000001E-3</v>
      </c>
      <c r="Z6291">
        <v>-3.1534760000000002E-2</v>
      </c>
      <c r="AA6291">
        <v>0.99949969999999999</v>
      </c>
      <c r="AB6291">
        <v>30</v>
      </c>
      <c r="AC6291">
        <v>-0.15139999999999501</v>
      </c>
      <c r="AD6291">
        <v>-1.109130315864</v>
      </c>
      <c r="AE6291">
        <v>34.844329999999999</v>
      </c>
      <c r="AF6291">
        <v>8.4614859885393703E-2</v>
      </c>
      <c r="AG6291">
        <v>-1.109130315864</v>
      </c>
      <c r="AH6291">
        <v>34.809287402616199</v>
      </c>
      <c r="AI6291">
        <v>91.824995865811104</v>
      </c>
      <c r="AJ6291">
        <v>89.860724962547096</v>
      </c>
      <c r="AK6291">
        <v>34.827055850445099</v>
      </c>
      <c r="AL6291">
        <v>78.7022755401712</v>
      </c>
      <c r="AM6291">
        <v>88.169436500764803</v>
      </c>
      <c r="AN6291">
        <v>1.0000000085676699</v>
      </c>
    </row>
    <row r="6292" spans="1:40" x14ac:dyDescent="0.25">
      <c r="A6292" t="str">
        <f>"20190312172831354"</f>
        <v>20190312172831354</v>
      </c>
      <c r="B6292" t="str">
        <f>"1552382911345708"</f>
        <v>1552382911345708</v>
      </c>
      <c r="C6292" t="s">
        <v>40</v>
      </c>
      <c r="D6292">
        <v>3.119793</v>
      </c>
      <c r="E6292">
        <v>0.49279469999999997</v>
      </c>
      <c r="F6292" t="s">
        <v>41</v>
      </c>
      <c r="G6292">
        <v>-187.9342</v>
      </c>
      <c r="H6292" s="1">
        <v>-2.1546530000000001E-6</v>
      </c>
      <c r="I6292">
        <v>63.80115</v>
      </c>
      <c r="J6292">
        <v>-187.79830000000001</v>
      </c>
      <c r="K6292">
        <v>1.109219</v>
      </c>
      <c r="L6292">
        <v>29.899930000000001</v>
      </c>
      <c r="M6292">
        <v>-5.1547609999999999E-3</v>
      </c>
      <c r="N6292">
        <v>0</v>
      </c>
      <c r="O6292">
        <v>0.99989220000000001</v>
      </c>
      <c r="P6292">
        <v>2.500488E-2</v>
      </c>
      <c r="Q6292">
        <v>0.18302650000000001</v>
      </c>
      <c r="R6292">
        <v>0.98278989999999999</v>
      </c>
      <c r="S6292">
        <v>-1.2268070000000001E-2</v>
      </c>
      <c r="T6292">
        <v>-9.8829509999999995E-2</v>
      </c>
      <c r="U6292">
        <v>3.0708310000000001</v>
      </c>
      <c r="V6292">
        <v>3.0418710000000002E-2</v>
      </c>
      <c r="W6292">
        <v>0.19646549999999999</v>
      </c>
      <c r="X6292">
        <v>0.98003879999999999</v>
      </c>
      <c r="Y6292">
        <v>1.1623289999999999E-3</v>
      </c>
      <c r="Z6292">
        <v>-3.2165880000000001E-2</v>
      </c>
      <c r="AA6292">
        <v>0.99948190000000003</v>
      </c>
      <c r="AB6292">
        <v>30</v>
      </c>
      <c r="AC6292">
        <v>-0.135899999999992</v>
      </c>
      <c r="AD6292">
        <v>-1.109221154653</v>
      </c>
      <c r="AE6292">
        <v>33.901220000000002</v>
      </c>
      <c r="AF6292">
        <v>3.8829442474405403E-2</v>
      </c>
      <c r="AG6292">
        <v>-1.109221154653</v>
      </c>
      <c r="AH6292">
        <v>33.865216391566101</v>
      </c>
      <c r="AI6292">
        <v>91.875993808737903</v>
      </c>
      <c r="AJ6292">
        <v>89.934305389519196</v>
      </c>
      <c r="AK6292">
        <v>33.883399483273998</v>
      </c>
      <c r="AL6292">
        <v>78.669653479026394</v>
      </c>
      <c r="AM6292">
        <v>88.222208806598402</v>
      </c>
      <c r="AN6292">
        <v>1.0000000200568699</v>
      </c>
    </row>
    <row r="6293" spans="1:40" x14ac:dyDescent="0.25">
      <c r="A6293" t="str">
        <f>"20190312172831375"</f>
        <v>20190312172831375</v>
      </c>
      <c r="B6293" t="str">
        <f>"1552382911366205"</f>
        <v>1552382911366205</v>
      </c>
      <c r="C6293" t="s">
        <v>40</v>
      </c>
      <c r="D6293">
        <v>3.1202459999999999</v>
      </c>
      <c r="E6293">
        <v>0.48801509999999998</v>
      </c>
      <c r="F6293" t="s">
        <v>41</v>
      </c>
      <c r="G6293">
        <v>-187.9316</v>
      </c>
      <c r="H6293" s="1">
        <v>-2.653107E-6</v>
      </c>
      <c r="I6293">
        <v>64.961969999999994</v>
      </c>
      <c r="J6293">
        <v>-187.79900000000001</v>
      </c>
      <c r="K6293">
        <v>1.109272</v>
      </c>
      <c r="L6293">
        <v>30.198879999999999</v>
      </c>
      <c r="M6293">
        <v>-4.3734230000000004E-3</v>
      </c>
      <c r="N6293">
        <v>0</v>
      </c>
      <c r="O6293">
        <v>0.99989570000000005</v>
      </c>
      <c r="P6293">
        <v>2.550229E-2</v>
      </c>
      <c r="Q6293">
        <v>0.18370510000000001</v>
      </c>
      <c r="R6293">
        <v>0.98265049999999998</v>
      </c>
      <c r="S6293">
        <v>-1.167297E-2</v>
      </c>
      <c r="T6293">
        <v>-9.7151639999999997E-2</v>
      </c>
      <c r="U6293">
        <v>3.0709230000000001</v>
      </c>
      <c r="V6293">
        <v>3.0128519999999999E-2</v>
      </c>
      <c r="W6293">
        <v>0.19716159999999999</v>
      </c>
      <c r="X6293">
        <v>0.97990790000000005</v>
      </c>
      <c r="Y6293">
        <v>5.7464150000000004E-4</v>
      </c>
      <c r="Z6293">
        <v>-3.1619580000000001E-2</v>
      </c>
      <c r="AA6293">
        <v>0.99949980000000005</v>
      </c>
      <c r="AB6293">
        <v>30</v>
      </c>
      <c r="AC6293">
        <v>-0.132599999999996</v>
      </c>
      <c r="AD6293">
        <v>-1.1092746531069999</v>
      </c>
      <c r="AE6293">
        <v>34.763089999999899</v>
      </c>
      <c r="AF6293">
        <v>1.9429586788103501E-2</v>
      </c>
      <c r="AG6293">
        <v>-1.1092746531069999</v>
      </c>
      <c r="AH6293">
        <v>34.727977261336797</v>
      </c>
      <c r="AI6293">
        <v>91.829508915269301</v>
      </c>
      <c r="AJ6293">
        <v>89.967944196803899</v>
      </c>
      <c r="AK6293">
        <v>34.745694300571898</v>
      </c>
      <c r="AL6293">
        <v>78.6289735279409</v>
      </c>
      <c r="AM6293">
        <v>88.238922871533006</v>
      </c>
      <c r="AN6293">
        <v>0.99999995835717903</v>
      </c>
    </row>
    <row r="6294" spans="1:40" x14ac:dyDescent="0.25">
      <c r="A6294" t="str">
        <f>"20190312172831398"</f>
        <v>20190312172831398</v>
      </c>
      <c r="B6294" t="str">
        <f>"1552382911385739"</f>
        <v>1552382911385739</v>
      </c>
      <c r="C6294" t="s">
        <v>40</v>
      </c>
      <c r="D6294">
        <v>3.1403159999999999</v>
      </c>
      <c r="E6294">
        <v>0.4884906</v>
      </c>
      <c r="F6294" t="s">
        <v>41</v>
      </c>
      <c r="G6294">
        <v>-188.46129999999999</v>
      </c>
      <c r="H6294" s="1">
        <v>-1.833871E-6</v>
      </c>
      <c r="I6294">
        <v>73.271349999999998</v>
      </c>
      <c r="J6294">
        <v>-187.79939999999999</v>
      </c>
      <c r="K6294">
        <v>1.1093200000000001</v>
      </c>
      <c r="L6294">
        <v>30.497250000000001</v>
      </c>
      <c r="M6294">
        <v>-3.6432119999999998E-3</v>
      </c>
      <c r="N6294">
        <v>0</v>
      </c>
      <c r="O6294">
        <v>0.99989839999999997</v>
      </c>
      <c r="P6294">
        <v>2.5532079999999999E-2</v>
      </c>
      <c r="Q6294">
        <v>0.18444479999999999</v>
      </c>
      <c r="R6294">
        <v>0.98251120000000003</v>
      </c>
      <c r="S6294">
        <v>-4.7195429999999997E-2</v>
      </c>
      <c r="T6294">
        <v>-7.9037189999999993E-2</v>
      </c>
      <c r="U6294">
        <v>3.0689700000000002</v>
      </c>
      <c r="V6294">
        <v>2.942256E-2</v>
      </c>
      <c r="W6294">
        <v>0.19791890000000001</v>
      </c>
      <c r="X6294">
        <v>0.97977669999999994</v>
      </c>
      <c r="Y6294">
        <v>-1.172813E-2</v>
      </c>
      <c r="Z6294">
        <v>-2.5742460000000002E-2</v>
      </c>
      <c r="AA6294">
        <v>0.99959980000000004</v>
      </c>
      <c r="AB6294">
        <v>30</v>
      </c>
      <c r="AC6294">
        <v>-0.66190000000000204</v>
      </c>
      <c r="AD6294">
        <v>-1.109321833871</v>
      </c>
      <c r="AE6294">
        <v>42.774099999999997</v>
      </c>
      <c r="AF6294">
        <v>-0.50570563864985496</v>
      </c>
      <c r="AG6294">
        <v>-1.109321833871</v>
      </c>
      <c r="AH6294">
        <v>42.747482903920201</v>
      </c>
      <c r="AI6294">
        <v>91.486420927061502</v>
      </c>
      <c r="AJ6294">
        <v>90.677781362469602</v>
      </c>
      <c r="AK6294">
        <v>42.764864406952299</v>
      </c>
      <c r="AL6294">
        <v>78.5847114822907</v>
      </c>
      <c r="AM6294">
        <v>88.279932518731101</v>
      </c>
      <c r="AN6294">
        <v>0.99999997993852596</v>
      </c>
    </row>
    <row r="6295" spans="1:40" x14ac:dyDescent="0.25">
      <c r="A6295" t="str">
        <f>"20190312172831420"</f>
        <v>20190312172831420</v>
      </c>
      <c r="B6295" t="str">
        <f>"1552382911415980"</f>
        <v>1552382911415980</v>
      </c>
      <c r="C6295" t="s">
        <v>40</v>
      </c>
      <c r="D6295">
        <v>3.1266980000000002</v>
      </c>
      <c r="E6295">
        <v>0.48883189999999999</v>
      </c>
      <c r="F6295" t="s">
        <v>41</v>
      </c>
      <c r="G6295">
        <v>-188.4205</v>
      </c>
      <c r="H6295" s="1">
        <v>-2.439381E-6</v>
      </c>
      <c r="I6295">
        <v>74.665909999999997</v>
      </c>
      <c r="J6295">
        <v>-187.7997</v>
      </c>
      <c r="K6295">
        <v>1.10937</v>
      </c>
      <c r="L6295">
        <v>30.795559999999998</v>
      </c>
      <c r="M6295">
        <v>-2.9597489999999998E-3</v>
      </c>
      <c r="N6295">
        <v>0</v>
      </c>
      <c r="O6295">
        <v>0.99990040000000002</v>
      </c>
      <c r="P6295">
        <v>2.5625700000000001E-2</v>
      </c>
      <c r="Q6295">
        <v>0.1854703</v>
      </c>
      <c r="R6295">
        <v>0.98231570000000001</v>
      </c>
      <c r="S6295">
        <v>-4.315186E-2</v>
      </c>
      <c r="T6295">
        <v>-7.7079770000000006E-2</v>
      </c>
      <c r="U6295">
        <v>3.069</v>
      </c>
      <c r="V6295">
        <v>2.8827249999999999E-2</v>
      </c>
      <c r="W6295">
        <v>0.19896620000000001</v>
      </c>
      <c r="X6295">
        <v>0.97958230000000002</v>
      </c>
      <c r="Y6295">
        <v>-1.1094939999999999E-2</v>
      </c>
      <c r="Z6295">
        <v>-2.5105499999999999E-2</v>
      </c>
      <c r="AA6295">
        <v>0.99962320000000005</v>
      </c>
      <c r="AB6295">
        <v>30</v>
      </c>
      <c r="AC6295">
        <v>-0.62080000000000202</v>
      </c>
      <c r="AD6295">
        <v>-1.1093724393810001</v>
      </c>
      <c r="AE6295">
        <v>43.870350000000002</v>
      </c>
      <c r="AF6295">
        <v>-0.49062601851994497</v>
      </c>
      <c r="AG6295">
        <v>-1.1093724393810001</v>
      </c>
      <c r="AH6295">
        <v>43.84396460096</v>
      </c>
      <c r="AI6295">
        <v>91.449340242508796</v>
      </c>
      <c r="AJ6295">
        <v>90.641128765579793</v>
      </c>
      <c r="AK6295">
        <v>43.860741592334499</v>
      </c>
      <c r="AL6295">
        <v>78.5234885028771</v>
      </c>
      <c r="AM6295">
        <v>88.314380307465797</v>
      </c>
      <c r="AN6295">
        <v>1.00000002077914</v>
      </c>
    </row>
    <row r="6296" spans="1:40" x14ac:dyDescent="0.25">
      <c r="A6296" t="str">
        <f>"20190312172831444"</f>
        <v>20190312172831444</v>
      </c>
      <c r="B6296" t="str">
        <f>"1552382911435500"</f>
        <v>1552382911435500</v>
      </c>
      <c r="C6296" t="s">
        <v>40</v>
      </c>
      <c r="D6296">
        <v>3.3059229999999999</v>
      </c>
      <c r="E6296">
        <v>0.4884521</v>
      </c>
      <c r="F6296" t="s">
        <v>41</v>
      </c>
      <c r="G6296">
        <v>-188.38589999999999</v>
      </c>
      <c r="H6296" s="1">
        <v>-3.1460250000000001E-6</v>
      </c>
      <c r="I6296">
        <v>76.298819999999907</v>
      </c>
      <c r="J6296">
        <v>-187.79990000000001</v>
      </c>
      <c r="K6296">
        <v>1.1094189999999999</v>
      </c>
      <c r="L6296">
        <v>31.11148</v>
      </c>
      <c r="M6296">
        <v>-2.2756909999999998E-3</v>
      </c>
      <c r="N6296">
        <v>0</v>
      </c>
      <c r="O6296">
        <v>0.99990179999999995</v>
      </c>
      <c r="P6296">
        <v>2.6252999999999999E-2</v>
      </c>
      <c r="Q6296">
        <v>0.18654029999999999</v>
      </c>
      <c r="R6296">
        <v>0.98209650000000004</v>
      </c>
      <c r="S6296">
        <v>-3.9535519999999998E-2</v>
      </c>
      <c r="T6296">
        <v>-7.4826959999999998E-2</v>
      </c>
      <c r="U6296">
        <v>3.0691830000000002</v>
      </c>
      <c r="V6296">
        <v>2.876561E-2</v>
      </c>
      <c r="W6296">
        <v>0.20006380000000001</v>
      </c>
      <c r="X6296">
        <v>0.97936049999999997</v>
      </c>
      <c r="Y6296">
        <v>-1.0600800000000001E-2</v>
      </c>
      <c r="Z6296">
        <v>-2.437106E-2</v>
      </c>
      <c r="AA6296">
        <v>0.99964679999999995</v>
      </c>
      <c r="AB6296">
        <v>30</v>
      </c>
      <c r="AC6296">
        <v>-0.58599999999998398</v>
      </c>
      <c r="AD6296">
        <v>-1.109422146025</v>
      </c>
      <c r="AE6296">
        <v>45.187339999999899</v>
      </c>
      <c r="AF6296">
        <v>-0.48286521318512199</v>
      </c>
      <c r="AG6296">
        <v>-1.109422146025</v>
      </c>
      <c r="AH6296">
        <v>45.161338798215503</v>
      </c>
      <c r="AI6296">
        <v>91.407150351158194</v>
      </c>
      <c r="AJ6296">
        <v>90.612583358754605</v>
      </c>
      <c r="AK6296">
        <v>45.177544182474101</v>
      </c>
      <c r="AL6296">
        <v>78.4593099372956</v>
      </c>
      <c r="AM6296">
        <v>88.317601803987898</v>
      </c>
      <c r="AN6296">
        <v>0.99999998667468004</v>
      </c>
    </row>
    <row r="6297" spans="1:40" x14ac:dyDescent="0.25">
      <c r="A6297" t="str">
        <f>"20190312172831486"</f>
        <v>20190312172831486</v>
      </c>
      <c r="B6297" t="str">
        <f>"1552382911475516"</f>
        <v>1552382911475516</v>
      </c>
      <c r="C6297" t="s">
        <v>40</v>
      </c>
      <c r="D6297">
        <v>3.1617299999999999</v>
      </c>
      <c r="E6297">
        <v>0.48838880000000001</v>
      </c>
      <c r="F6297" t="s">
        <v>41</v>
      </c>
      <c r="G6297">
        <v>-188.4838</v>
      </c>
      <c r="H6297" s="1">
        <v>-1.809301E-6</v>
      </c>
      <c r="I6297">
        <v>83.223369999999903</v>
      </c>
      <c r="J6297">
        <v>-187.7997</v>
      </c>
      <c r="K6297">
        <v>1.1094820000000001</v>
      </c>
      <c r="L6297">
        <v>31.669889999999999</v>
      </c>
      <c r="M6297">
        <v>-1.1292400000000001E-3</v>
      </c>
      <c r="N6297">
        <v>0</v>
      </c>
      <c r="O6297">
        <v>0.99990310000000004</v>
      </c>
      <c r="P6297">
        <v>2.7193189999999999E-2</v>
      </c>
      <c r="Q6297">
        <v>0.18696570000000001</v>
      </c>
      <c r="R6297">
        <v>0.98199000000000003</v>
      </c>
      <c r="S6297">
        <v>-4.0267940000000002E-2</v>
      </c>
      <c r="T6297">
        <v>-6.5319059999999998E-2</v>
      </c>
      <c r="U6297">
        <v>3.0681759999999998</v>
      </c>
      <c r="V6297">
        <v>2.855767E-2</v>
      </c>
      <c r="W6297">
        <v>0.20053840000000001</v>
      </c>
      <c r="X6297">
        <v>0.97926950000000001</v>
      </c>
      <c r="Y6297">
        <v>-1.199103E-2</v>
      </c>
      <c r="Z6297">
        <v>-2.128269E-2</v>
      </c>
      <c r="AA6297">
        <v>0.99970159999999997</v>
      </c>
      <c r="AB6297">
        <v>30</v>
      </c>
      <c r="AC6297">
        <v>-0.68410000000000004</v>
      </c>
      <c r="AD6297">
        <v>-1.109483809301</v>
      </c>
      <c r="AE6297">
        <v>51.553479999999901</v>
      </c>
      <c r="AF6297">
        <v>-0.62558801446735501</v>
      </c>
      <c r="AG6297">
        <v>-1.109483809301</v>
      </c>
      <c r="AH6297">
        <v>51.5303573917395</v>
      </c>
      <c r="AI6297">
        <v>91.233335862140194</v>
      </c>
      <c r="AJ6297">
        <v>90.695547129691604</v>
      </c>
      <c r="AK6297">
        <v>51.546096337233401</v>
      </c>
      <c r="AL6297">
        <v>78.431554714561202</v>
      </c>
      <c r="AM6297">
        <v>88.329601439207593</v>
      </c>
      <c r="AN6297">
        <v>0.99999997201031898</v>
      </c>
    </row>
    <row r="6298" spans="1:40" x14ac:dyDescent="0.25">
      <c r="A6298" t="str">
        <f>"20190312172831512"</f>
        <v>20190312172831512</v>
      </c>
      <c r="B6298" t="str">
        <f>"1552382911505772"</f>
        <v>1552382911505772</v>
      </c>
      <c r="C6298" t="s">
        <v>40</v>
      </c>
      <c r="D6298">
        <v>3.170509</v>
      </c>
      <c r="E6298">
        <v>0.48834119999999998</v>
      </c>
      <c r="F6298" t="s">
        <v>41</v>
      </c>
      <c r="G6298">
        <v>-188.47239999999999</v>
      </c>
      <c r="H6298" s="1">
        <v>-3.2834709999999998E-6</v>
      </c>
      <c r="I6298">
        <v>86.655000000000001</v>
      </c>
      <c r="J6298">
        <v>-187.79929999999999</v>
      </c>
      <c r="K6298">
        <v>1.109505</v>
      </c>
      <c r="L6298">
        <v>32.01596</v>
      </c>
      <c r="M6298">
        <v>-4.4123209999999999E-4</v>
      </c>
      <c r="N6298">
        <v>0</v>
      </c>
      <c r="O6298">
        <v>0.99990330000000005</v>
      </c>
      <c r="P6298">
        <v>2.7355319999999999E-2</v>
      </c>
      <c r="Q6298">
        <v>0.18614459999999999</v>
      </c>
      <c r="R6298">
        <v>0.9821415</v>
      </c>
      <c r="S6298">
        <v>-3.753662E-2</v>
      </c>
      <c r="T6298">
        <v>-6.1902640000000002E-2</v>
      </c>
      <c r="U6298">
        <v>3.067841</v>
      </c>
      <c r="V6298">
        <v>2.8036430000000001E-2</v>
      </c>
      <c r="W6298">
        <v>0.19974790000000001</v>
      </c>
      <c r="X6298">
        <v>0.97944609999999999</v>
      </c>
      <c r="Y6298">
        <v>-1.179087E-2</v>
      </c>
      <c r="Z6298">
        <v>-2.017236E-2</v>
      </c>
      <c r="AA6298">
        <v>0.99972700000000003</v>
      </c>
      <c r="AB6298">
        <v>30</v>
      </c>
      <c r="AC6298">
        <v>-0.67310000000000503</v>
      </c>
      <c r="AD6298">
        <v>-1.1095082834709999</v>
      </c>
      <c r="AE6298">
        <v>54.639040000000001</v>
      </c>
      <c r="AF6298">
        <v>-0.64872165393764103</v>
      </c>
      <c r="AG6298">
        <v>-1.1095082834709999</v>
      </c>
      <c r="AH6298">
        <v>54.616814447550198</v>
      </c>
      <c r="AI6298">
        <v>91.163687744857498</v>
      </c>
      <c r="AJ6298">
        <v>90.680509572813705</v>
      </c>
      <c r="AK6298">
        <v>54.631934514654603</v>
      </c>
      <c r="AL6298">
        <v>78.477782275657006</v>
      </c>
      <c r="AM6298">
        <v>88.360368594074103</v>
      </c>
      <c r="AN6298">
        <v>0.99999996388338097</v>
      </c>
    </row>
    <row r="6299" spans="1:40" x14ac:dyDescent="0.25">
      <c r="A6299" t="str">
        <f>"20190312172831534"</f>
        <v>20190312172831534</v>
      </c>
      <c r="B6299" t="str">
        <f>"1552382911526268"</f>
        <v>1552382911526268</v>
      </c>
      <c r="C6299" t="s">
        <v>40</v>
      </c>
      <c r="D6299">
        <v>3.1779519999999999</v>
      </c>
      <c r="E6299">
        <v>0.48828179999999999</v>
      </c>
      <c r="F6299" t="s">
        <v>41</v>
      </c>
      <c r="G6299">
        <v>-188.4307</v>
      </c>
      <c r="H6299" s="1">
        <v>-2.7520000000000001E-6</v>
      </c>
      <c r="I6299">
        <v>85.398880000000005</v>
      </c>
      <c r="J6299">
        <v>-187.7987</v>
      </c>
      <c r="K6299">
        <v>1.1095139999999999</v>
      </c>
      <c r="L6299">
        <v>32.309109999999997</v>
      </c>
      <c r="M6299">
        <v>1.3655620000000001E-4</v>
      </c>
      <c r="N6299">
        <v>0</v>
      </c>
      <c r="O6299">
        <v>0.99990299999999999</v>
      </c>
      <c r="P6299">
        <v>2.8027489999999999E-2</v>
      </c>
      <c r="Q6299">
        <v>0.18638740000000001</v>
      </c>
      <c r="R6299">
        <v>0.98207650000000002</v>
      </c>
      <c r="S6299">
        <v>-3.6285400000000002E-2</v>
      </c>
      <c r="T6299">
        <v>-6.3758019999999999E-2</v>
      </c>
      <c r="U6299">
        <v>3.0676570000000001</v>
      </c>
      <c r="V6299">
        <v>2.8138440000000001E-2</v>
      </c>
      <c r="W6299">
        <v>0.20001559999999999</v>
      </c>
      <c r="X6299">
        <v>0.97938860000000005</v>
      </c>
      <c r="Y6299">
        <v>-1.196155E-2</v>
      </c>
      <c r="Z6299">
        <v>-2.077799E-2</v>
      </c>
      <c r="AA6299">
        <v>0.99971259999999995</v>
      </c>
      <c r="AB6299">
        <v>30</v>
      </c>
      <c r="AC6299">
        <v>-0.632000000000005</v>
      </c>
      <c r="AD6299">
        <v>-1.109516752</v>
      </c>
      <c r="AE6299">
        <v>53.089770000000001</v>
      </c>
      <c r="AF6299">
        <v>-0.63897139493364297</v>
      </c>
      <c r="AG6299">
        <v>-1.109516752</v>
      </c>
      <c r="AH6299">
        <v>53.066508978815797</v>
      </c>
      <c r="AI6299">
        <v>91.197681207144697</v>
      </c>
      <c r="AJ6299">
        <v>90.689862508481795</v>
      </c>
      <c r="AK6299">
        <v>53.0819525551317</v>
      </c>
      <c r="AL6299">
        <v>78.462128965244105</v>
      </c>
      <c r="AM6299">
        <v>88.354309541832606</v>
      </c>
      <c r="AN6299">
        <v>1.0000000209294699</v>
      </c>
    </row>
    <row r="6300" spans="1:40" x14ac:dyDescent="0.25">
      <c r="A6300" t="str">
        <f>"20190312172831555"</f>
        <v>20190312172831555</v>
      </c>
      <c r="B6300" t="str">
        <f>"1552382911545789"</f>
        <v>1552382911545789</v>
      </c>
      <c r="C6300" t="s">
        <v>40</v>
      </c>
      <c r="D6300">
        <v>3.3038989999999999</v>
      </c>
      <c r="E6300">
        <v>0.51264449999999995</v>
      </c>
      <c r="F6300" t="s">
        <v>41</v>
      </c>
      <c r="G6300">
        <v>-188.41659999999999</v>
      </c>
      <c r="H6300" s="1">
        <v>-3.0885050000000001E-6</v>
      </c>
      <c r="I6300">
        <v>86.177440000000004</v>
      </c>
      <c r="J6300">
        <v>-187.79810000000001</v>
      </c>
      <c r="K6300">
        <v>1.109523</v>
      </c>
      <c r="L6300">
        <v>32.594329999999999</v>
      </c>
      <c r="M6300">
        <v>7.0005299999999996E-4</v>
      </c>
      <c r="N6300">
        <v>0</v>
      </c>
      <c r="O6300">
        <v>0.99990239999999997</v>
      </c>
      <c r="P6300">
        <v>2.9380150000000001E-2</v>
      </c>
      <c r="Q6300">
        <v>0.18626280000000001</v>
      </c>
      <c r="R6300">
        <v>0.98206059999999995</v>
      </c>
      <c r="S6300">
        <v>-3.5186769999999999E-2</v>
      </c>
      <c r="T6300">
        <v>-6.3185930000000001E-2</v>
      </c>
      <c r="U6300">
        <v>3.0677490000000001</v>
      </c>
      <c r="V6300">
        <v>2.8935659999999998E-2</v>
      </c>
      <c r="W6300">
        <v>0.1999166</v>
      </c>
      <c r="X6300">
        <v>0.97938559999999997</v>
      </c>
      <c r="Y6300">
        <v>-1.216678E-2</v>
      </c>
      <c r="Z6300">
        <v>-2.0591020000000002E-2</v>
      </c>
      <c r="AA6300">
        <v>0.99971399999999999</v>
      </c>
      <c r="AB6300">
        <v>30</v>
      </c>
      <c r="AC6300">
        <v>-0.61849999999998295</v>
      </c>
      <c r="AD6300">
        <v>-1.109526088505</v>
      </c>
      <c r="AE6300">
        <v>53.583109999999998</v>
      </c>
      <c r="AF6300">
        <v>-0.65573339956231003</v>
      </c>
      <c r="AG6300">
        <v>-1.109526088505</v>
      </c>
      <c r="AH6300">
        <v>53.559702382703598</v>
      </c>
      <c r="AI6300">
        <v>91.186662848808993</v>
      </c>
      <c r="AJ6300">
        <v>90.7014392835205</v>
      </c>
      <c r="AK6300">
        <v>53.5752065208913</v>
      </c>
      <c r="AL6300">
        <v>78.467918354209004</v>
      </c>
      <c r="AM6300">
        <v>88.307705297545496</v>
      </c>
      <c r="AN6300">
        <v>1.00000003643127</v>
      </c>
    </row>
    <row r="6301" spans="1:40" x14ac:dyDescent="0.25">
      <c r="A6301" t="str">
        <f>"20190312172831577"</f>
        <v>20190312172831577</v>
      </c>
      <c r="B6301" t="str">
        <f>"1552382911566285"</f>
        <v>1552382911566285</v>
      </c>
      <c r="C6301" t="s">
        <v>40</v>
      </c>
      <c r="D6301">
        <v>3.1928489999999998</v>
      </c>
      <c r="E6301">
        <v>0.51867870000000005</v>
      </c>
      <c r="F6301" t="s">
        <v>41</v>
      </c>
      <c r="G6301">
        <v>-185.51580000000001</v>
      </c>
      <c r="H6301" s="1">
        <v>-3.4534959999999999E-6</v>
      </c>
      <c r="I6301">
        <v>75.828810000000004</v>
      </c>
      <c r="J6301">
        <v>-187.7972</v>
      </c>
      <c r="K6301">
        <v>1.1095269999999999</v>
      </c>
      <c r="L6301">
        <v>32.889830000000003</v>
      </c>
      <c r="M6301">
        <v>1.285722E-3</v>
      </c>
      <c r="N6301">
        <v>0</v>
      </c>
      <c r="O6301">
        <v>0.99990140000000005</v>
      </c>
      <c r="P6301">
        <v>3.0498609999999999E-2</v>
      </c>
      <c r="Q6301">
        <v>0.18543219999999999</v>
      </c>
      <c r="R6301">
        <v>0.98218360000000005</v>
      </c>
      <c r="S6301">
        <v>0.16178890000000001</v>
      </c>
      <c r="T6301">
        <v>-7.8654050000000003E-2</v>
      </c>
      <c r="U6301">
        <v>3.06488</v>
      </c>
      <c r="V6301">
        <v>2.9475999999999999E-2</v>
      </c>
      <c r="W6301">
        <v>0.19911480000000001</v>
      </c>
      <c r="X6301">
        <v>0.97953279999999998</v>
      </c>
      <c r="Y6301">
        <v>5.1413210000000001E-2</v>
      </c>
      <c r="Z6301">
        <v>-2.5619739999999998E-2</v>
      </c>
      <c r="AA6301">
        <v>0.99834880000000004</v>
      </c>
      <c r="AB6301">
        <v>30</v>
      </c>
      <c r="AC6301">
        <v>2.2813999999999899</v>
      </c>
      <c r="AD6301">
        <v>-1.109530453496</v>
      </c>
      <c r="AE6301">
        <v>42.938980000000001</v>
      </c>
      <c r="AF6301">
        <v>2.2247038927610698</v>
      </c>
      <c r="AG6301">
        <v>-1.109530453496</v>
      </c>
      <c r="AH6301">
        <v>42.9133058981555</v>
      </c>
      <c r="AI6301">
        <v>91.479076319334496</v>
      </c>
      <c r="AJ6301">
        <v>87.032339194949103</v>
      </c>
      <c r="AK6301">
        <v>42.985255476109103</v>
      </c>
      <c r="AL6301">
        <v>78.514800531280798</v>
      </c>
      <c r="AM6301">
        <v>88.276381444464604</v>
      </c>
      <c r="AN6301">
        <v>1.0000000222154299</v>
      </c>
    </row>
    <row r="6302" spans="1:40" x14ac:dyDescent="0.25">
      <c r="A6302" t="str">
        <f>"20190312172831600"</f>
        <v>20190312172831600</v>
      </c>
      <c r="B6302" t="str">
        <f>"1552382911596540"</f>
        <v>1552382911596540</v>
      </c>
      <c r="C6302" t="s">
        <v>40</v>
      </c>
      <c r="D6302">
        <v>3.3064949999999902</v>
      </c>
      <c r="E6302">
        <v>0.52210999999999996</v>
      </c>
      <c r="F6302" t="s">
        <v>41</v>
      </c>
      <c r="G6302">
        <v>-184.834</v>
      </c>
      <c r="H6302" s="1">
        <v>-3.404471E-6</v>
      </c>
      <c r="I6302">
        <v>75.43262</v>
      </c>
      <c r="J6302">
        <v>-187.7962</v>
      </c>
      <c r="K6302">
        <v>1.1095349999999999</v>
      </c>
      <c r="L6302">
        <v>33.184510000000003</v>
      </c>
      <c r="M6302">
        <v>1.8668230000000001E-3</v>
      </c>
      <c r="N6302">
        <v>0</v>
      </c>
      <c r="O6302">
        <v>0.99990009999999996</v>
      </c>
      <c r="P6302">
        <v>3.1319909999999999E-2</v>
      </c>
      <c r="Q6302">
        <v>0.18516569999999999</v>
      </c>
      <c r="R6302">
        <v>0.98220810000000003</v>
      </c>
      <c r="S6302">
        <v>0.2133331</v>
      </c>
      <c r="T6302">
        <v>-7.9880599999999996E-2</v>
      </c>
      <c r="U6302">
        <v>3.0628660000000001</v>
      </c>
      <c r="V6302">
        <v>2.9723309999999999E-2</v>
      </c>
      <c r="W6302">
        <v>0.19887460000000001</v>
      </c>
      <c r="X6302">
        <v>0.9795741</v>
      </c>
      <c r="Y6302">
        <v>6.7597019999999994E-2</v>
      </c>
      <c r="Z6302">
        <v>-2.6010109999999999E-2</v>
      </c>
      <c r="AA6302">
        <v>0.99737359999999997</v>
      </c>
      <c r="AB6302">
        <v>30</v>
      </c>
      <c r="AC6302">
        <v>2.96219999999999</v>
      </c>
      <c r="AD6302">
        <v>-1.1095384044709999</v>
      </c>
      <c r="AE6302">
        <v>42.248109999999997</v>
      </c>
      <c r="AF6302">
        <v>2.8813397680465598</v>
      </c>
      <c r="AG6302">
        <v>-1.1095384044709999</v>
      </c>
      <c r="AH6302">
        <v>42.224586322526598</v>
      </c>
      <c r="AI6302">
        <v>91.501728100067197</v>
      </c>
      <c r="AJ6302">
        <v>86.096277269121202</v>
      </c>
      <c r="AK6302">
        <v>42.337322594118099</v>
      </c>
      <c r="AL6302">
        <v>78.528843571688995</v>
      </c>
      <c r="AM6302">
        <v>88.262001980397201</v>
      </c>
      <c r="AN6302">
        <v>0.99999999953666296</v>
      </c>
    </row>
    <row r="6303" spans="1:40" x14ac:dyDescent="0.25">
      <c r="A6303" t="str">
        <f>"20190312172831621"</f>
        <v>20190312172831621</v>
      </c>
      <c r="B6303" t="str">
        <f>"1552382911616060"</f>
        <v>1552382911616060</v>
      </c>
      <c r="C6303" t="s">
        <v>40</v>
      </c>
      <c r="D6303">
        <v>3.1945199999999998</v>
      </c>
      <c r="E6303">
        <v>0.52327979999999996</v>
      </c>
      <c r="F6303" t="s">
        <v>41</v>
      </c>
      <c r="G6303">
        <v>-184.4271</v>
      </c>
      <c r="H6303" s="1">
        <v>-3.5340750000000001E-6</v>
      </c>
      <c r="I6303">
        <v>75.566500000000005</v>
      </c>
      <c r="J6303">
        <v>-187.79499999999999</v>
      </c>
      <c r="K6303">
        <v>1.1095489999999999</v>
      </c>
      <c r="L6303">
        <v>33.46472</v>
      </c>
      <c r="M6303">
        <v>2.4089889999999998E-3</v>
      </c>
      <c r="N6303">
        <v>0</v>
      </c>
      <c r="O6303">
        <v>0.99989859999999997</v>
      </c>
      <c r="P6303">
        <v>3.2009200000000002E-2</v>
      </c>
      <c r="Q6303">
        <v>0.1850096</v>
      </c>
      <c r="R6303">
        <v>0.98221530000000001</v>
      </c>
      <c r="S6303">
        <v>0.2433777</v>
      </c>
      <c r="T6303">
        <v>-8.015311E-2</v>
      </c>
      <c r="U6303">
        <v>3.0616759999999998</v>
      </c>
      <c r="V6303">
        <v>2.9875280000000001E-2</v>
      </c>
      <c r="W6303">
        <v>0.19874140000000001</v>
      </c>
      <c r="X6303">
        <v>0.97959649999999998</v>
      </c>
      <c r="Y6303">
        <v>7.6812859999999997E-2</v>
      </c>
      <c r="Z6303">
        <v>-2.609063E-2</v>
      </c>
      <c r="AA6303">
        <v>0.99670409999999998</v>
      </c>
      <c r="AB6303">
        <v>30</v>
      </c>
      <c r="AC6303">
        <v>3.3678999999999899</v>
      </c>
      <c r="AD6303">
        <v>-1.1095525340750001</v>
      </c>
      <c r="AE6303">
        <v>42.101779999999998</v>
      </c>
      <c r="AF6303">
        <v>3.26420481696056</v>
      </c>
      <c r="AG6303">
        <v>-1.1095525340750001</v>
      </c>
      <c r="AH6303">
        <v>42.080731093108199</v>
      </c>
      <c r="AI6303">
        <v>91.505859759735202</v>
      </c>
      <c r="AJ6303">
        <v>85.564445154201707</v>
      </c>
      <c r="AK6303">
        <v>42.221725086067003</v>
      </c>
      <c r="AL6303">
        <v>78.536630699700794</v>
      </c>
      <c r="AM6303">
        <v>88.253161317626805</v>
      </c>
      <c r="AN6303">
        <v>0.99999998962064396</v>
      </c>
    </row>
    <row r="6304" spans="1:40" x14ac:dyDescent="0.25">
      <c r="A6304" t="str">
        <f>"20190312172831644"</f>
        <v>20190312172831644</v>
      </c>
      <c r="B6304" t="str">
        <f>"1552382911635580"</f>
        <v>1552382911635580</v>
      </c>
      <c r="C6304" t="s">
        <v>40</v>
      </c>
      <c r="D6304">
        <v>3.2503980000000001</v>
      </c>
      <c r="E6304">
        <v>0.52410459999999903</v>
      </c>
      <c r="F6304" t="s">
        <v>41</v>
      </c>
      <c r="G6304">
        <v>-184.28749999999999</v>
      </c>
      <c r="H6304" s="1">
        <v>-3.5787979999999999E-6</v>
      </c>
      <c r="I6304">
        <v>75.613010000000003</v>
      </c>
      <c r="J6304">
        <v>-187.7937</v>
      </c>
      <c r="K6304">
        <v>1.1095710000000001</v>
      </c>
      <c r="L6304">
        <v>33.766629999999999</v>
      </c>
      <c r="M6304">
        <v>2.9721940000000001E-3</v>
      </c>
      <c r="N6304">
        <v>0</v>
      </c>
      <c r="O6304">
        <v>0.99989680000000003</v>
      </c>
      <c r="P6304">
        <v>3.278039E-2</v>
      </c>
      <c r="Q6304">
        <v>0.18510769999999999</v>
      </c>
      <c r="R6304">
        <v>0.98217140000000003</v>
      </c>
      <c r="S6304">
        <v>0.25474550000000001</v>
      </c>
      <c r="T6304">
        <v>-8.058572E-2</v>
      </c>
      <c r="U6304">
        <v>3.061188</v>
      </c>
      <c r="V6304">
        <v>3.0085589999999999E-2</v>
      </c>
      <c r="W6304">
        <v>0.19886100000000001</v>
      </c>
      <c r="X6304">
        <v>0.97956580000000004</v>
      </c>
      <c r="Y6304">
        <v>7.9940070000000002E-2</v>
      </c>
      <c r="Z6304">
        <v>-2.6228290000000001E-2</v>
      </c>
      <c r="AA6304">
        <v>0.99645450000000002</v>
      </c>
      <c r="AB6304">
        <v>30</v>
      </c>
      <c r="AC6304">
        <v>3.5062000000000002</v>
      </c>
      <c r="AD6304">
        <v>-1.10957457879799</v>
      </c>
      <c r="AE6304">
        <v>41.846379999999897</v>
      </c>
      <c r="AF6304">
        <v>3.3794372535448298</v>
      </c>
      <c r="AG6304">
        <v>-1.10957457879799</v>
      </c>
      <c r="AH6304">
        <v>41.827414767810403</v>
      </c>
      <c r="AI6304">
        <v>91.514621231379607</v>
      </c>
      <c r="AJ6304">
        <v>85.380833002812693</v>
      </c>
      <c r="AK6304">
        <v>41.978379888402102</v>
      </c>
      <c r="AL6304">
        <v>78.529638660919005</v>
      </c>
      <c r="AM6304">
        <v>88.240816875530896</v>
      </c>
      <c r="AN6304">
        <v>0.99999999828814401</v>
      </c>
    </row>
    <row r="6305" spans="1:40" x14ac:dyDescent="0.25">
      <c r="A6305" t="str">
        <f>"20190312172831668"</f>
        <v>20190312172831668</v>
      </c>
      <c r="B6305" t="str">
        <f>"1552382911656077"</f>
        <v>1552382911656077</v>
      </c>
      <c r="C6305" t="s">
        <v>40</v>
      </c>
      <c r="D6305">
        <v>3.1879629999999999</v>
      </c>
      <c r="E6305">
        <v>0.52451680000000001</v>
      </c>
      <c r="F6305" t="s">
        <v>41</v>
      </c>
      <c r="G6305">
        <v>-184.17920000000001</v>
      </c>
      <c r="H6305" s="1">
        <v>-3.6863709999999998E-6</v>
      </c>
      <c r="I6305">
        <v>75.818979999999996</v>
      </c>
      <c r="J6305">
        <v>-187.7921</v>
      </c>
      <c r="K6305">
        <v>1.1096029999999999</v>
      </c>
      <c r="L6305">
        <v>34.084690000000002</v>
      </c>
      <c r="M6305">
        <v>3.5300819999999999E-3</v>
      </c>
      <c r="N6305">
        <v>0</v>
      </c>
      <c r="O6305">
        <v>0.99989470000000003</v>
      </c>
      <c r="P6305">
        <v>3.3415350000000003E-2</v>
      </c>
      <c r="Q6305">
        <v>0.185142</v>
      </c>
      <c r="R6305">
        <v>0.98214349999999995</v>
      </c>
      <c r="S6305">
        <v>0.26309199999999999</v>
      </c>
      <c r="T6305">
        <v>-8.0763940000000006E-2</v>
      </c>
      <c r="U6305">
        <v>3.0609130000000002</v>
      </c>
      <c r="V6305">
        <v>3.0160180000000002E-2</v>
      </c>
      <c r="W6305">
        <v>0.19891710000000001</v>
      </c>
      <c r="X6305">
        <v>0.97955210000000004</v>
      </c>
      <c r="Y6305">
        <v>8.2088820000000007E-2</v>
      </c>
      <c r="Z6305">
        <v>-2.6283219999999999E-2</v>
      </c>
      <c r="AA6305">
        <v>0.99627840000000001</v>
      </c>
      <c r="AB6305">
        <v>30</v>
      </c>
      <c r="AC6305">
        <v>3.61289999999999</v>
      </c>
      <c r="AD6305">
        <v>-1.1096066863709999</v>
      </c>
      <c r="AE6305">
        <v>41.734290000000001</v>
      </c>
      <c r="AF6305">
        <v>3.4631075939381599</v>
      </c>
      <c r="AG6305">
        <v>-1.1096066863709999</v>
      </c>
      <c r="AH6305">
        <v>41.717514657433803</v>
      </c>
      <c r="AI6305">
        <v>91.518379436634305</v>
      </c>
      <c r="AJ6305">
        <v>85.254570208315897</v>
      </c>
      <c r="AK6305">
        <v>41.875713371820098</v>
      </c>
      <c r="AL6305">
        <v>78.526358664253095</v>
      </c>
      <c r="AM6305">
        <v>88.2364335046138</v>
      </c>
      <c r="AN6305">
        <v>0.99999998287222602</v>
      </c>
    </row>
    <row r="6306" spans="1:40" x14ac:dyDescent="0.25">
      <c r="A6306" t="str">
        <f>"20190312172831692"</f>
        <v>20190312172831692</v>
      </c>
      <c r="B6306" t="str">
        <f>"1552382911686332"</f>
        <v>1552382911686332</v>
      </c>
      <c r="C6306" t="s">
        <v>40</v>
      </c>
      <c r="D6306">
        <v>3.2088130000000001</v>
      </c>
      <c r="E6306">
        <v>0.52501330000000002</v>
      </c>
      <c r="F6306" t="s">
        <v>41</v>
      </c>
      <c r="G6306">
        <v>-184.1275</v>
      </c>
      <c r="H6306" s="1">
        <v>-3.7355180000000001E-6</v>
      </c>
      <c r="I6306">
        <v>75.912169999999904</v>
      </c>
      <c r="J6306">
        <v>-187.79050000000001</v>
      </c>
      <c r="K6306">
        <v>1.1096379999999999</v>
      </c>
      <c r="L6306">
        <v>34.393219999999999</v>
      </c>
      <c r="M6306">
        <v>4.0188769999999997E-3</v>
      </c>
      <c r="N6306">
        <v>0</v>
      </c>
      <c r="O6306">
        <v>0.99989269999999997</v>
      </c>
      <c r="P6306">
        <v>3.3528059999999998E-2</v>
      </c>
      <c r="Q6306">
        <v>0.18493399999999999</v>
      </c>
      <c r="R6306">
        <v>0.98217889999999997</v>
      </c>
      <c r="S6306">
        <v>0.26815800000000001</v>
      </c>
      <c r="T6306">
        <v>-8.1195589999999998E-2</v>
      </c>
      <c r="U6306">
        <v>3.06073</v>
      </c>
      <c r="V6306">
        <v>2.977606E-2</v>
      </c>
      <c r="W6306">
        <v>0.19872880000000001</v>
      </c>
      <c r="X6306">
        <v>0.97960210000000003</v>
      </c>
      <c r="Y6306">
        <v>8.3242999999999998E-2</v>
      </c>
      <c r="Z6306">
        <v>-2.6421940000000001E-2</v>
      </c>
      <c r="AA6306">
        <v>0.99617889999999998</v>
      </c>
      <c r="AB6306">
        <v>29</v>
      </c>
      <c r="AC6306">
        <v>3.66300000000001</v>
      </c>
      <c r="AD6306">
        <v>-1.1096417355179999</v>
      </c>
      <c r="AE6306">
        <v>41.518949999999897</v>
      </c>
      <c r="AF6306">
        <v>3.4936181285255201</v>
      </c>
      <c r="AG6306">
        <v>-1.1096417355179999</v>
      </c>
      <c r="AH6306">
        <v>41.503920496467899</v>
      </c>
      <c r="AI6306">
        <v>91.526090872827297</v>
      </c>
      <c r="AJ6306">
        <v>85.188435166922901</v>
      </c>
      <c r="AK6306">
        <v>41.665478384224599</v>
      </c>
      <c r="AL6306">
        <v>78.537367579848393</v>
      </c>
      <c r="AM6306">
        <v>88.258969184360893</v>
      </c>
      <c r="AN6306">
        <v>1.00000001201148</v>
      </c>
    </row>
    <row r="6307" spans="1:40" x14ac:dyDescent="0.25">
      <c r="A6307" t="str">
        <f>"20190312172831714"</f>
        <v>20190312172831714</v>
      </c>
      <c r="B6307" t="str">
        <f>"1552382911705852"</f>
        <v>1552382911705852</v>
      </c>
      <c r="C6307" t="s">
        <v>40</v>
      </c>
      <c r="D6307">
        <v>3.2095530000000001</v>
      </c>
      <c r="E6307">
        <v>0.52525290000000002</v>
      </c>
      <c r="F6307" t="s">
        <v>41</v>
      </c>
      <c r="G6307">
        <v>-184.10159999999999</v>
      </c>
      <c r="H6307" s="1">
        <v>-3.6908930000000001E-6</v>
      </c>
      <c r="I6307">
        <v>75.797449999999998</v>
      </c>
      <c r="J6307">
        <v>-187.78880000000001</v>
      </c>
      <c r="K6307">
        <v>1.109664</v>
      </c>
      <c r="L6307">
        <v>34.681730000000002</v>
      </c>
      <c r="M6307">
        <v>4.4367240000000004E-3</v>
      </c>
      <c r="N6307">
        <v>0</v>
      </c>
      <c r="O6307">
        <v>0.99989070000000002</v>
      </c>
      <c r="P6307">
        <v>3.2936600000000003E-2</v>
      </c>
      <c r="Q6307">
        <v>0.18457270000000001</v>
      </c>
      <c r="R6307">
        <v>0.9822668</v>
      </c>
      <c r="S6307">
        <v>0.27267459999999999</v>
      </c>
      <c r="T6307">
        <v>-8.2024100000000003E-2</v>
      </c>
      <c r="U6307">
        <v>3.0605769999999999</v>
      </c>
      <c r="V6307">
        <v>2.8757540000000002E-2</v>
      </c>
      <c r="W6307">
        <v>0.19838439999999999</v>
      </c>
      <c r="X6307">
        <v>0.97970239999999997</v>
      </c>
      <c r="Y6307">
        <v>8.4288899999999903E-2</v>
      </c>
      <c r="Z6307">
        <v>-2.66897E-2</v>
      </c>
      <c r="AA6307">
        <v>0.99608390000000002</v>
      </c>
      <c r="AB6307">
        <v>29</v>
      </c>
      <c r="AC6307">
        <v>3.68720000000001</v>
      </c>
      <c r="AD6307">
        <v>-1.1096676908930001</v>
      </c>
      <c r="AE6307">
        <v>41.115720000000003</v>
      </c>
      <c r="AF6307">
        <v>3.5021958077342998</v>
      </c>
      <c r="AG6307">
        <v>-1.1096676908930001</v>
      </c>
      <c r="AH6307">
        <v>41.101976125870003</v>
      </c>
      <c r="AI6307">
        <v>91.540910042176506</v>
      </c>
      <c r="AJ6307">
        <v>85.129734833534101</v>
      </c>
      <c r="AK6307">
        <v>41.265835497557902</v>
      </c>
      <c r="AL6307">
        <v>78.557501898236097</v>
      </c>
      <c r="AM6307">
        <v>88.318660146110403</v>
      </c>
      <c r="AN6307">
        <v>1.00000007941798</v>
      </c>
    </row>
    <row r="6308" spans="1:40" x14ac:dyDescent="0.25">
      <c r="A6308" t="str">
        <f>"20190312172831734"</f>
        <v>20190312172831734</v>
      </c>
      <c r="B6308" t="str">
        <f>"1552382911726349"</f>
        <v>1552382911726349</v>
      </c>
      <c r="C6308" t="s">
        <v>40</v>
      </c>
      <c r="D6308">
        <v>3.1940539999999999</v>
      </c>
      <c r="E6308">
        <v>0.52558689999999997</v>
      </c>
      <c r="F6308" t="s">
        <v>41</v>
      </c>
      <c r="G6308">
        <v>-184.14179999999999</v>
      </c>
      <c r="H6308" s="1">
        <v>-3.5250379999999999E-6</v>
      </c>
      <c r="I6308">
        <v>75.426190000000005</v>
      </c>
      <c r="J6308">
        <v>-187.78720000000001</v>
      </c>
      <c r="K6308">
        <v>1.109696</v>
      </c>
      <c r="L6308">
        <v>34.953429999999997</v>
      </c>
      <c r="M6308">
        <v>4.7884370000000004E-3</v>
      </c>
      <c r="N6308">
        <v>0</v>
      </c>
      <c r="O6308">
        <v>0.99988889999999997</v>
      </c>
      <c r="P6308">
        <v>3.2471809999999997E-2</v>
      </c>
      <c r="Q6308">
        <v>0.18478059999999999</v>
      </c>
      <c r="R6308">
        <v>0.98224319999999998</v>
      </c>
      <c r="S6308">
        <v>0.27395629999999999</v>
      </c>
      <c r="T6308">
        <v>-8.3355899999999997E-2</v>
      </c>
      <c r="U6308">
        <v>3.060638</v>
      </c>
      <c r="V6308">
        <v>2.7931790000000001E-2</v>
      </c>
      <c r="W6308">
        <v>0.1986059</v>
      </c>
      <c r="X6308">
        <v>0.97968129999999998</v>
      </c>
      <c r="Y6308">
        <v>8.4349430000000003E-2</v>
      </c>
      <c r="Z6308">
        <v>-2.7121559999999999E-2</v>
      </c>
      <c r="AA6308">
        <v>0.99606700000000004</v>
      </c>
      <c r="AB6308">
        <v>29</v>
      </c>
      <c r="AC6308">
        <v>3.64540000000002</v>
      </c>
      <c r="AD6308">
        <v>-1.109699525038</v>
      </c>
      <c r="AE6308">
        <v>40.472760000000001</v>
      </c>
      <c r="AF6308">
        <v>3.44896566150434</v>
      </c>
      <c r="AG6308">
        <v>-1.109699525038</v>
      </c>
      <c r="AH6308">
        <v>40.459581870670903</v>
      </c>
      <c r="AI6308">
        <v>91.565403613752096</v>
      </c>
      <c r="AJ6308">
        <v>85.127616616991304</v>
      </c>
      <c r="AK6308">
        <v>40.621479075971898</v>
      </c>
      <c r="AL6308">
        <v>78.544551947655606</v>
      </c>
      <c r="AM6308">
        <v>88.366876805845195</v>
      </c>
      <c r="AN6308">
        <v>0.99999996898855104</v>
      </c>
    </row>
    <row r="6309" spans="1:40" x14ac:dyDescent="0.25">
      <c r="A6309" t="str">
        <f>"20190312172831756"</f>
        <v>20190312172831756</v>
      </c>
      <c r="B6309" t="str">
        <f>"1552382911745868"</f>
        <v>1552382911745868</v>
      </c>
      <c r="C6309" t="s">
        <v>40</v>
      </c>
      <c r="D6309">
        <v>3.2052360000000002</v>
      </c>
      <c r="E6309">
        <v>0.52574370000000004</v>
      </c>
      <c r="F6309" t="s">
        <v>41</v>
      </c>
      <c r="G6309">
        <v>-184.14879999999999</v>
      </c>
      <c r="H6309" s="1">
        <v>-3.5114610000000002E-6</v>
      </c>
      <c r="I6309">
        <v>75.391769999999994</v>
      </c>
      <c r="J6309">
        <v>-187.78540000000001</v>
      </c>
      <c r="K6309">
        <v>1.109734</v>
      </c>
      <c r="L6309">
        <v>35.2453</v>
      </c>
      <c r="M6309">
        <v>5.1168560000000004E-3</v>
      </c>
      <c r="N6309">
        <v>0</v>
      </c>
      <c r="O6309">
        <v>0.99988719999999998</v>
      </c>
      <c r="P6309">
        <v>3.2008410000000001E-2</v>
      </c>
      <c r="Q6309">
        <v>0.18441689999999999</v>
      </c>
      <c r="R6309">
        <v>0.9823267</v>
      </c>
      <c r="S6309">
        <v>0.27540589999999998</v>
      </c>
      <c r="T6309">
        <v>-8.3997730000000007E-2</v>
      </c>
      <c r="U6309">
        <v>3.0609440000000001</v>
      </c>
      <c r="V6309">
        <v>2.712709E-2</v>
      </c>
      <c r="W6309">
        <v>0.1982563</v>
      </c>
      <c r="X6309">
        <v>0.97977479999999995</v>
      </c>
      <c r="Y6309">
        <v>8.4480780000000005E-2</v>
      </c>
      <c r="Z6309">
        <v>-2.732673E-2</v>
      </c>
      <c r="AA6309">
        <v>0.99605030000000006</v>
      </c>
      <c r="AB6309">
        <v>29</v>
      </c>
      <c r="AC6309">
        <v>3.6366000000000098</v>
      </c>
      <c r="AD6309">
        <v>-1.109737511461</v>
      </c>
      <c r="AE6309">
        <v>40.146470000000001</v>
      </c>
      <c r="AF6309">
        <v>3.4285098155717</v>
      </c>
      <c r="AG6309">
        <v>-1.109737511461</v>
      </c>
      <c r="AH6309">
        <v>40.134137538430799</v>
      </c>
      <c r="AI6309">
        <v>91.578120678099694</v>
      </c>
      <c r="AJ6309">
        <v>85.117289469626897</v>
      </c>
      <c r="AK6309">
        <v>40.295597685770801</v>
      </c>
      <c r="AL6309">
        <v>78.564989874462</v>
      </c>
      <c r="AM6309">
        <v>88.414053110501797</v>
      </c>
      <c r="AN6309">
        <v>1.0000000491082901</v>
      </c>
    </row>
    <row r="6310" spans="1:40" x14ac:dyDescent="0.25">
      <c r="A6310" t="str">
        <f>"20190312172831778"</f>
        <v>20190312172831778</v>
      </c>
      <c r="B6310" t="str">
        <f>"1552382911766364"</f>
        <v>1552382911766364</v>
      </c>
      <c r="C6310" t="s">
        <v>40</v>
      </c>
      <c r="D6310">
        <v>3.2112409999999998</v>
      </c>
      <c r="E6310">
        <v>0.52594700000000005</v>
      </c>
      <c r="F6310" t="s">
        <v>41</v>
      </c>
      <c r="G6310">
        <v>-184.18350000000001</v>
      </c>
      <c r="H6310" s="1">
        <v>-3.4679369999999998E-6</v>
      </c>
      <c r="I6310">
        <v>75.290999999999997</v>
      </c>
      <c r="J6310">
        <v>-187.78360000000001</v>
      </c>
      <c r="K6310">
        <v>1.1097809999999999</v>
      </c>
      <c r="L6310">
        <v>35.530430000000003</v>
      </c>
      <c r="M6310">
        <v>5.3950659999999996E-3</v>
      </c>
      <c r="N6310">
        <v>0</v>
      </c>
      <c r="O6310">
        <v>0.99988560000000004</v>
      </c>
      <c r="P6310">
        <v>3.125824E-2</v>
      </c>
      <c r="Q6310">
        <v>0.18489330000000001</v>
      </c>
      <c r="R6310">
        <v>0.98226139999999995</v>
      </c>
      <c r="S6310">
        <v>0.27531430000000001</v>
      </c>
      <c r="T6310">
        <v>-8.4823369999999995E-2</v>
      </c>
      <c r="U6310">
        <v>3.0609130000000002</v>
      </c>
      <c r="V6310">
        <v>2.6087200000000001E-2</v>
      </c>
      <c r="W6310">
        <v>0.19874240000000001</v>
      </c>
      <c r="X6310">
        <v>0.97970449999999998</v>
      </c>
      <c r="Y6310">
        <v>8.4174189999999996E-2</v>
      </c>
      <c r="Z6310">
        <v>-2.7595740000000001E-2</v>
      </c>
      <c r="AA6310">
        <v>0.99606879999999998</v>
      </c>
      <c r="AB6310">
        <v>29</v>
      </c>
      <c r="AC6310">
        <v>3.6000999999999901</v>
      </c>
      <c r="AD6310">
        <v>-1.1097844679369999</v>
      </c>
      <c r="AE6310">
        <v>39.760570000000001</v>
      </c>
      <c r="AF6310">
        <v>3.3829012169277299</v>
      </c>
      <c r="AG6310">
        <v>-1.1097844679369999</v>
      </c>
      <c r="AH6310">
        <v>39.748701049769899</v>
      </c>
      <c r="AI6310">
        <v>91.593526002574293</v>
      </c>
      <c r="AJ6310">
        <v>85.1354382756505</v>
      </c>
      <c r="AK6310">
        <v>39.907829775029697</v>
      </c>
      <c r="AL6310">
        <v>78.536572305338197</v>
      </c>
      <c r="AM6310">
        <v>88.474710129182895</v>
      </c>
      <c r="AN6310">
        <v>0.99999999544092499</v>
      </c>
    </row>
    <row r="6311" spans="1:40" x14ac:dyDescent="0.25">
      <c r="A6311" t="str">
        <f>"20190312172831800"</f>
        <v>20190312172831800</v>
      </c>
      <c r="B6311" t="str">
        <f>"1552382911795645"</f>
        <v>1552382911795645</v>
      </c>
      <c r="C6311" t="s">
        <v>40</v>
      </c>
      <c r="D6311">
        <v>3.2017899999999999</v>
      </c>
      <c r="E6311">
        <v>0.52627400000000002</v>
      </c>
      <c r="F6311" t="s">
        <v>41</v>
      </c>
      <c r="G6311">
        <v>-184.10759999999999</v>
      </c>
      <c r="H6311" s="1">
        <v>-3.9210399999999996E-6</v>
      </c>
      <c r="I6311">
        <v>76.336410000000001</v>
      </c>
      <c r="J6311">
        <v>-187.7818</v>
      </c>
      <c r="K6311">
        <v>1.109812</v>
      </c>
      <c r="L6311">
        <v>35.819309999999902</v>
      </c>
      <c r="M6311">
        <v>5.6449380000000004E-3</v>
      </c>
      <c r="N6311">
        <v>0</v>
      </c>
      <c r="O6311">
        <v>0.99988410000000005</v>
      </c>
      <c r="P6311">
        <v>3.0846990000000001E-2</v>
      </c>
      <c r="Q6311">
        <v>0.1856286</v>
      </c>
      <c r="R6311">
        <v>0.98213569999999994</v>
      </c>
      <c r="S6311">
        <v>0.27575680000000002</v>
      </c>
      <c r="T6311">
        <v>-8.3250640000000001E-2</v>
      </c>
      <c r="U6311">
        <v>3.0610659999999998</v>
      </c>
      <c r="V6311">
        <v>2.5416770000000002E-2</v>
      </c>
      <c r="W6311">
        <v>0.19948489999999999</v>
      </c>
      <c r="X6311">
        <v>0.97957119999999998</v>
      </c>
      <c r="Y6311">
        <v>8.4064860000000005E-2</v>
      </c>
      <c r="Z6311">
        <v>-2.7083010000000001E-2</v>
      </c>
      <c r="AA6311">
        <v>0.99609210000000004</v>
      </c>
      <c r="AB6311">
        <v>29</v>
      </c>
      <c r="AC6311">
        <v>3.6742000000000101</v>
      </c>
      <c r="AD6311">
        <v>-1.10981592104</v>
      </c>
      <c r="AE6311">
        <v>40.517099999999999</v>
      </c>
      <c r="AF6311">
        <v>3.4428400281800098</v>
      </c>
      <c r="AG6311">
        <v>-1.10981592104</v>
      </c>
      <c r="AH6311">
        <v>40.507053149385698</v>
      </c>
      <c r="AI6311">
        <v>91.563767077296404</v>
      </c>
      <c r="AJ6311">
        <v>85.141901486982903</v>
      </c>
      <c r="AK6311">
        <v>40.668245520127797</v>
      </c>
      <c r="AL6311">
        <v>78.493160834041404</v>
      </c>
      <c r="AM6311">
        <v>88.513689484247095</v>
      </c>
      <c r="AN6311">
        <v>0.99999998669734103</v>
      </c>
    </row>
    <row r="6312" spans="1:40" x14ac:dyDescent="0.25">
      <c r="A6312" t="str">
        <f>"20190312172831822"</f>
        <v>20190312172831822</v>
      </c>
      <c r="B6312" t="str">
        <f>"1552382911816141"</f>
        <v>1552382911816141</v>
      </c>
      <c r="C6312" t="s">
        <v>40</v>
      </c>
      <c r="D6312">
        <v>3.1716679999999999</v>
      </c>
      <c r="E6312">
        <v>0.52647100000000002</v>
      </c>
      <c r="F6312" t="s">
        <v>41</v>
      </c>
      <c r="G6312">
        <v>-184.0018</v>
      </c>
      <c r="H6312" s="1">
        <v>-4.4322529999999997E-6</v>
      </c>
      <c r="I6312">
        <v>77.484309999999994</v>
      </c>
      <c r="J6312">
        <v>-187.77979999999999</v>
      </c>
      <c r="K6312">
        <v>1.1098429999999999</v>
      </c>
      <c r="L6312">
        <v>36.11627</v>
      </c>
      <c r="M6312">
        <v>5.8786769999999997E-3</v>
      </c>
      <c r="N6312">
        <v>0</v>
      </c>
      <c r="O6312">
        <v>0.99988270000000001</v>
      </c>
      <c r="P6312">
        <v>3.0836909999999999E-2</v>
      </c>
      <c r="Q6312">
        <v>0.18601980000000001</v>
      </c>
      <c r="R6312">
        <v>0.98206199999999999</v>
      </c>
      <c r="S6312">
        <v>0.27772520000000001</v>
      </c>
      <c r="T6312">
        <v>-8.1541420000000003E-2</v>
      </c>
      <c r="U6312">
        <v>3.0612490000000001</v>
      </c>
      <c r="V6312">
        <v>2.5166620000000001E-2</v>
      </c>
      <c r="W6312">
        <v>0.199882</v>
      </c>
      <c r="X6312">
        <v>0.9794967</v>
      </c>
      <c r="Y6312">
        <v>8.4463220000000006E-2</v>
      </c>
      <c r="Z6312">
        <v>-2.6524519999999999E-2</v>
      </c>
      <c r="AA6312">
        <v>0.99607349999999995</v>
      </c>
      <c r="AB6312">
        <v>29</v>
      </c>
      <c r="AC6312">
        <v>3.7779999999999898</v>
      </c>
      <c r="AD6312">
        <v>-1.1098474322530001</v>
      </c>
      <c r="AE6312">
        <v>41.368039999999901</v>
      </c>
      <c r="AF6312">
        <v>3.5321996744835902</v>
      </c>
      <c r="AG6312">
        <v>-1.1098474322530001</v>
      </c>
      <c r="AH6312">
        <v>41.3600132437018</v>
      </c>
      <c r="AI6312">
        <v>91.531523983168995</v>
      </c>
      <c r="AJ6312">
        <v>85.118708923783601</v>
      </c>
      <c r="AK6312">
        <v>41.525400556556797</v>
      </c>
      <c r="AL6312">
        <v>78.469940953607306</v>
      </c>
      <c r="AM6312">
        <v>88.528199292339593</v>
      </c>
      <c r="AN6312">
        <v>0.99999997899855597</v>
      </c>
    </row>
    <row r="6313" spans="1:40" x14ac:dyDescent="0.25">
      <c r="A6313" t="str">
        <f>"20190312172831845"</f>
        <v>20190312172831845</v>
      </c>
      <c r="B6313" t="str">
        <f>"1552382911835661"</f>
        <v>1552382911835661</v>
      </c>
      <c r="C6313" t="s">
        <v>40</v>
      </c>
      <c r="D6313">
        <v>3.181</v>
      </c>
      <c r="E6313">
        <v>0.52669250000000001</v>
      </c>
      <c r="F6313" t="s">
        <v>41</v>
      </c>
      <c r="G6313">
        <v>-183.95699999999999</v>
      </c>
      <c r="H6313" s="1">
        <v>-4.6652879999999997E-6</v>
      </c>
      <c r="I6313">
        <v>78.009</v>
      </c>
      <c r="J6313">
        <v>-187.77780000000001</v>
      </c>
      <c r="K6313">
        <v>1.1098650000000001</v>
      </c>
      <c r="L6313">
        <v>36.411470000000001</v>
      </c>
      <c r="M6313">
        <v>6.0959739999999997E-3</v>
      </c>
      <c r="N6313">
        <v>0</v>
      </c>
      <c r="O6313">
        <v>0.99988129999999997</v>
      </c>
      <c r="P6313">
        <v>3.0705699999999999E-2</v>
      </c>
      <c r="Q6313">
        <v>0.1861199</v>
      </c>
      <c r="R6313">
        <v>0.98204709999999995</v>
      </c>
      <c r="S6313">
        <v>0.27935789999999999</v>
      </c>
      <c r="T6313">
        <v>-8.1104519999999999E-2</v>
      </c>
      <c r="U6313">
        <v>3.061401</v>
      </c>
      <c r="V6313">
        <v>2.481533E-2</v>
      </c>
      <c r="W6313">
        <v>0.1999872</v>
      </c>
      <c r="X6313">
        <v>0.97948420000000003</v>
      </c>
      <c r="Y6313">
        <v>8.4769410000000003E-2</v>
      </c>
      <c r="Z6313">
        <v>-2.638016E-2</v>
      </c>
      <c r="AA6313">
        <v>0.99605129999999997</v>
      </c>
      <c r="AB6313">
        <v>29</v>
      </c>
      <c r="AC6313">
        <v>3.8208000000000202</v>
      </c>
      <c r="AD6313">
        <v>-1.10986966528799</v>
      </c>
      <c r="AE6313">
        <v>41.597529999999999</v>
      </c>
      <c r="AF6313">
        <v>3.56460978471116</v>
      </c>
      <c r="AG6313">
        <v>-1.10986966528799</v>
      </c>
      <c r="AH6313">
        <v>41.590690746011603</v>
      </c>
      <c r="AI6313">
        <v>91.523024575051096</v>
      </c>
      <c r="AJ6313">
        <v>85.101326793436598</v>
      </c>
      <c r="AK6313">
        <v>41.757919133040602</v>
      </c>
      <c r="AL6313">
        <v>78.463789351248593</v>
      </c>
      <c r="AM6313">
        <v>88.548716162957206</v>
      </c>
      <c r="AN6313">
        <v>0.99999998940824397</v>
      </c>
    </row>
    <row r="6314" spans="1:40" x14ac:dyDescent="0.25">
      <c r="A6314" t="str">
        <f>"20190312172831868"</f>
        <v>20190312172831868</v>
      </c>
      <c r="B6314" t="str">
        <f>"1552382911865920"</f>
        <v>1552382911865920</v>
      </c>
      <c r="C6314" t="s">
        <v>40</v>
      </c>
      <c r="D6314">
        <v>3.175443</v>
      </c>
      <c r="E6314">
        <v>0.52706660000000005</v>
      </c>
      <c r="F6314" t="s">
        <v>41</v>
      </c>
      <c r="G6314">
        <v>-183.97</v>
      </c>
      <c r="H6314" s="1">
        <v>-4.634867E-6</v>
      </c>
      <c r="I6314">
        <v>77.943439999999995</v>
      </c>
      <c r="J6314">
        <v>-187.7757</v>
      </c>
      <c r="K6314">
        <v>1.1098749999999999</v>
      </c>
      <c r="L6314">
        <v>36.709960000000002</v>
      </c>
      <c r="M6314">
        <v>6.3083480000000001E-3</v>
      </c>
      <c r="N6314">
        <v>0</v>
      </c>
      <c r="O6314">
        <v>0.99987999999999999</v>
      </c>
      <c r="P6314">
        <v>3.1098299999999999E-2</v>
      </c>
      <c r="Q6314">
        <v>0.18681819999999999</v>
      </c>
      <c r="R6314">
        <v>0.98190219999999995</v>
      </c>
      <c r="S6314">
        <v>0.28070070000000003</v>
      </c>
      <c r="T6314">
        <v>-8.1815479999999996E-2</v>
      </c>
      <c r="U6314">
        <v>3.0615839999999999</v>
      </c>
      <c r="V6314">
        <v>2.499695E-2</v>
      </c>
      <c r="W6314">
        <v>0.20068739999999999</v>
      </c>
      <c r="X6314">
        <v>0.9793364</v>
      </c>
      <c r="Y6314">
        <v>8.4985060000000001E-2</v>
      </c>
      <c r="Z6314">
        <v>-2.660883E-2</v>
      </c>
      <c r="AA6314">
        <v>0.99602690000000005</v>
      </c>
      <c r="AB6314">
        <v>29</v>
      </c>
      <c r="AC6314">
        <v>3.8056999999999999</v>
      </c>
      <c r="AD6314">
        <v>-1.1098796348669999</v>
      </c>
      <c r="AE6314">
        <v>41.23348</v>
      </c>
      <c r="AF6314">
        <v>3.5429378228419202</v>
      </c>
      <c r="AG6314">
        <v>-1.1098796348669999</v>
      </c>
      <c r="AH6314">
        <v>41.227051843308502</v>
      </c>
      <c r="AI6314">
        <v>91.536435507266404</v>
      </c>
      <c r="AJ6314">
        <v>85.088228306417307</v>
      </c>
      <c r="AK6314">
        <v>41.393888980274198</v>
      </c>
      <c r="AL6314">
        <v>78.422841194495206</v>
      </c>
      <c r="AM6314">
        <v>88.537878475850306</v>
      </c>
      <c r="AN6314">
        <v>1.0000000321965099</v>
      </c>
    </row>
    <row r="6315" spans="1:40" x14ac:dyDescent="0.25">
      <c r="A6315" t="str">
        <f>"20190312172831893"</f>
        <v>20190312172831893</v>
      </c>
      <c r="B6315" t="str">
        <f>"1552382911886417"</f>
        <v>1552382911886417</v>
      </c>
      <c r="C6315" t="s">
        <v>40</v>
      </c>
      <c r="D6315">
        <v>3.208078</v>
      </c>
      <c r="E6315">
        <v>0.52721409999999902</v>
      </c>
      <c r="F6315" t="s">
        <v>41</v>
      </c>
      <c r="G6315">
        <v>-183.91890000000001</v>
      </c>
      <c r="H6315" s="1">
        <v>-4.7673029999999999E-6</v>
      </c>
      <c r="I6315">
        <v>78.231049999999996</v>
      </c>
      <c r="J6315">
        <v>-187.77350000000001</v>
      </c>
      <c r="K6315">
        <v>1.109877</v>
      </c>
      <c r="L6315">
        <v>37.027500000000003</v>
      </c>
      <c r="M6315">
        <v>6.5343519999999898E-3</v>
      </c>
      <c r="N6315">
        <v>0</v>
      </c>
      <c r="O6315">
        <v>0.9998785</v>
      </c>
      <c r="P6315">
        <v>3.1767780000000002E-2</v>
      </c>
      <c r="Q6315">
        <v>0.187107</v>
      </c>
      <c r="R6315">
        <v>0.98182570000000002</v>
      </c>
      <c r="S6315">
        <v>0.28440860000000001</v>
      </c>
      <c r="T6315">
        <v>-8.1845050000000003E-2</v>
      </c>
      <c r="U6315">
        <v>3.0618590000000001</v>
      </c>
      <c r="V6315">
        <v>2.5443400000000001E-2</v>
      </c>
      <c r="W6315">
        <v>0.2009775</v>
      </c>
      <c r="X6315">
        <v>0.97926539999999995</v>
      </c>
      <c r="Y6315">
        <v>8.5947670000000004E-2</v>
      </c>
      <c r="Z6315">
        <v>-2.661343E-2</v>
      </c>
      <c r="AA6315">
        <v>0.9959441</v>
      </c>
      <c r="AB6315">
        <v>29</v>
      </c>
      <c r="AC6315">
        <v>3.8546</v>
      </c>
      <c r="AD6315">
        <v>-1.1098817673029999</v>
      </c>
      <c r="AE6315">
        <v>41.2035499999999</v>
      </c>
      <c r="AF6315">
        <v>3.5826752672084599</v>
      </c>
      <c r="AG6315">
        <v>-1.1098817673029999</v>
      </c>
      <c r="AH6315">
        <v>41.1982268088152</v>
      </c>
      <c r="AI6315">
        <v>91.537377821920998</v>
      </c>
      <c r="AJ6315">
        <v>85.029954554755307</v>
      </c>
      <c r="AK6315">
        <v>41.368602729585099</v>
      </c>
      <c r="AL6315">
        <v>78.405873883297005</v>
      </c>
      <c r="AM6315">
        <v>88.511668512049994</v>
      </c>
      <c r="AN6315">
        <v>1.00000002287348</v>
      </c>
    </row>
    <row r="6316" spans="1:40" x14ac:dyDescent="0.25">
      <c r="A6316" t="str">
        <f>"20190312172831914"</f>
        <v>20190312172831914</v>
      </c>
      <c r="B6316" t="str">
        <f>"1552382911905936"</f>
        <v>1552382911905936</v>
      </c>
      <c r="C6316" t="s">
        <v>40</v>
      </c>
      <c r="D6316">
        <v>3.1712660000000001</v>
      </c>
      <c r="E6316">
        <v>0.52732100000000004</v>
      </c>
      <c r="F6316" t="s">
        <v>41</v>
      </c>
      <c r="G6316">
        <v>-183.88040000000001</v>
      </c>
      <c r="H6316" s="1">
        <v>-4.9064589999999999E-6</v>
      </c>
      <c r="I6316">
        <v>78.539500000000004</v>
      </c>
      <c r="J6316">
        <v>-187.7714</v>
      </c>
      <c r="K6316">
        <v>1.109882</v>
      </c>
      <c r="L6316">
        <v>37.313929999999999</v>
      </c>
      <c r="M6316">
        <v>6.7421039999999996E-3</v>
      </c>
      <c r="N6316">
        <v>0</v>
      </c>
      <c r="O6316">
        <v>0.99987700000000002</v>
      </c>
      <c r="P6316">
        <v>3.2186199999999998E-2</v>
      </c>
      <c r="Q6316">
        <v>0.18695329999999999</v>
      </c>
      <c r="R6316">
        <v>0.98184139999999998</v>
      </c>
      <c r="S6316">
        <v>0.2871399</v>
      </c>
      <c r="T6316">
        <v>-8.1862329999999997E-2</v>
      </c>
      <c r="U6316">
        <v>3.0618289999999999</v>
      </c>
      <c r="V6316">
        <v>2.5656829999999999E-2</v>
      </c>
      <c r="W6316">
        <v>0.20082620000000001</v>
      </c>
      <c r="X6316">
        <v>0.97929080000000002</v>
      </c>
      <c r="Y6316">
        <v>8.6622320000000003E-2</v>
      </c>
      <c r="Z6316">
        <v>-2.661738E-2</v>
      </c>
      <c r="AA6316">
        <v>0.99588560000000004</v>
      </c>
      <c r="AB6316">
        <v>29</v>
      </c>
      <c r="AC6316">
        <v>3.8909999999999898</v>
      </c>
      <c r="AD6316">
        <v>-1.109886906459</v>
      </c>
      <c r="AE6316">
        <v>41.225569999999998</v>
      </c>
      <c r="AF6316">
        <v>3.6103428868147298</v>
      </c>
      <c r="AG6316">
        <v>-1.109886906459</v>
      </c>
      <c r="AH6316">
        <v>41.221255215627501</v>
      </c>
      <c r="AI6316">
        <v>91.5364436649173</v>
      </c>
      <c r="AJ6316">
        <v>84.994550924344693</v>
      </c>
      <c r="AK6316">
        <v>41.393940453373098</v>
      </c>
      <c r="AL6316">
        <v>78.414722341301299</v>
      </c>
      <c r="AM6316">
        <v>88.499228353255603</v>
      </c>
      <c r="AN6316">
        <v>0.99999995324836299</v>
      </c>
    </row>
    <row r="6317" spans="1:40" x14ac:dyDescent="0.25">
      <c r="A6317" t="str">
        <f>"20190312172831935"</f>
        <v>20190312172831935</v>
      </c>
      <c r="B6317" t="str">
        <f>"1552382911926432"</f>
        <v>1552382911926432</v>
      </c>
      <c r="C6317" t="s">
        <v>40</v>
      </c>
      <c r="D6317">
        <v>3.2024699999999999</v>
      </c>
      <c r="E6317">
        <v>0.52744429999999998</v>
      </c>
      <c r="F6317" t="s">
        <v>41</v>
      </c>
      <c r="G6317">
        <v>-183.89410000000001</v>
      </c>
      <c r="H6317" s="1">
        <v>-4.8224410000000003E-6</v>
      </c>
      <c r="I6317">
        <v>78.349319999999906</v>
      </c>
      <c r="J6317">
        <v>-187.76939999999999</v>
      </c>
      <c r="K6317">
        <v>1.1098809999999999</v>
      </c>
      <c r="L6317">
        <v>37.573970000000003</v>
      </c>
      <c r="M6317">
        <v>6.9344970000000004E-3</v>
      </c>
      <c r="N6317">
        <v>0</v>
      </c>
      <c r="O6317">
        <v>0.99987570000000003</v>
      </c>
      <c r="P6317">
        <v>3.2827849999999999E-2</v>
      </c>
      <c r="Q6317">
        <v>0.18698429999999999</v>
      </c>
      <c r="R6317">
        <v>0.98181430000000003</v>
      </c>
      <c r="S6317">
        <v>0.28929139999999998</v>
      </c>
      <c r="T6317">
        <v>-8.2811830000000003E-2</v>
      </c>
      <c r="U6317">
        <v>3.0617679999999998</v>
      </c>
      <c r="V6317">
        <v>2.610933E-2</v>
      </c>
      <c r="W6317">
        <v>0.20085749999999999</v>
      </c>
      <c r="X6317">
        <v>0.97927249999999999</v>
      </c>
      <c r="Y6317">
        <v>8.7125339999999996E-2</v>
      </c>
      <c r="Z6317">
        <v>-2.692489E-2</v>
      </c>
      <c r="AA6317">
        <v>0.99583350000000004</v>
      </c>
      <c r="AB6317">
        <v>29</v>
      </c>
      <c r="AC6317">
        <v>3.8752999999999802</v>
      </c>
      <c r="AD6317">
        <v>-1.109885822441</v>
      </c>
      <c r="AE6317">
        <v>40.775349999999897</v>
      </c>
      <c r="AF6317">
        <v>3.5897860380067699</v>
      </c>
      <c r="AG6317">
        <v>-1.109885822441</v>
      </c>
      <c r="AH6317">
        <v>40.771308192246103</v>
      </c>
      <c r="AI6317">
        <v>91.553327326262107</v>
      </c>
      <c r="AJ6317">
        <v>84.968261659866997</v>
      </c>
      <c r="AK6317">
        <v>40.9440836024527</v>
      </c>
      <c r="AL6317">
        <v>78.412892592693098</v>
      </c>
      <c r="AM6317">
        <v>88.472743700626495</v>
      </c>
      <c r="AN6317">
        <v>1.0000000308377699</v>
      </c>
    </row>
    <row r="6318" spans="1:40" x14ac:dyDescent="0.25">
      <c r="A6318" t="str">
        <f>"20190312172831957"</f>
        <v>20190312172831957</v>
      </c>
      <c r="B6318" t="str">
        <f>"1552382911945952"</f>
        <v>1552382911945952</v>
      </c>
      <c r="C6318" t="s">
        <v>40</v>
      </c>
      <c r="D6318">
        <v>3.156406</v>
      </c>
      <c r="E6318">
        <v>0.52756139999999996</v>
      </c>
      <c r="F6318" t="s">
        <v>41</v>
      </c>
      <c r="G6318">
        <v>-183.8862</v>
      </c>
      <c r="H6318" s="1">
        <v>-4.7954160000000003E-6</v>
      </c>
      <c r="I6318">
        <v>78.283029999999997</v>
      </c>
      <c r="J6318">
        <v>-187.7671</v>
      </c>
      <c r="K6318">
        <v>1.109882</v>
      </c>
      <c r="L6318">
        <v>37.870269999999998</v>
      </c>
      <c r="M6318">
        <v>7.1573210000000003E-3</v>
      </c>
      <c r="N6318">
        <v>0</v>
      </c>
      <c r="O6318">
        <v>0.99987409999999999</v>
      </c>
      <c r="P6318">
        <v>3.3316760000000001E-2</v>
      </c>
      <c r="Q6318">
        <v>0.1867085</v>
      </c>
      <c r="R6318">
        <v>0.98185029999999995</v>
      </c>
      <c r="S6318">
        <v>0.29205320000000001</v>
      </c>
      <c r="T6318">
        <v>-8.3473919999999993E-2</v>
      </c>
      <c r="U6318">
        <v>3.0617070000000002</v>
      </c>
      <c r="V6318">
        <v>2.6378849999999999E-2</v>
      </c>
      <c r="W6318">
        <v>0.20058229999999999</v>
      </c>
      <c r="X6318">
        <v>0.97932169999999996</v>
      </c>
      <c r="Y6318">
        <v>8.7794899999999995E-2</v>
      </c>
      <c r="Z6318">
        <v>-2.7138519999999999E-2</v>
      </c>
      <c r="AA6318">
        <v>0.99576880000000001</v>
      </c>
      <c r="AB6318">
        <v>29</v>
      </c>
      <c r="AC6318">
        <v>3.8808999999999898</v>
      </c>
      <c r="AD6318">
        <v>-1.1098867954160001</v>
      </c>
      <c r="AE6318">
        <v>40.412759999999999</v>
      </c>
      <c r="AF6318">
        <v>3.5888422890473599</v>
      </c>
      <c r="AG6318">
        <v>-1.1098867954160001</v>
      </c>
      <c r="AH6318">
        <v>40.409303736048898</v>
      </c>
      <c r="AI6318">
        <v>91.567131986098602</v>
      </c>
      <c r="AJ6318">
        <v>84.924747279163398</v>
      </c>
      <c r="AK6318">
        <v>40.583536885127998</v>
      </c>
      <c r="AL6318">
        <v>78.428988147534895</v>
      </c>
      <c r="AM6318">
        <v>88.4570632852177</v>
      </c>
      <c r="AN6318">
        <v>1.00000004744575</v>
      </c>
    </row>
    <row r="6319" spans="1:40" x14ac:dyDescent="0.25">
      <c r="A6319" t="str">
        <f>"20190312172831979"</f>
        <v>20190312172831979</v>
      </c>
      <c r="B6319" t="str">
        <f>"1552382911976209"</f>
        <v>1552382911976209</v>
      </c>
      <c r="C6319" t="s">
        <v>40</v>
      </c>
      <c r="D6319">
        <v>3.1315219999999999</v>
      </c>
      <c r="E6319">
        <v>0.52772799999999997</v>
      </c>
      <c r="F6319" t="s">
        <v>41</v>
      </c>
      <c r="G6319">
        <v>-183.9246</v>
      </c>
      <c r="H6319" s="1">
        <v>-4.5843070000000003E-6</v>
      </c>
      <c r="I6319">
        <v>77.806839999999994</v>
      </c>
      <c r="J6319">
        <v>-187.76490000000001</v>
      </c>
      <c r="K6319">
        <v>1.1098749999999999</v>
      </c>
      <c r="L6319">
        <v>38.142299999999999</v>
      </c>
      <c r="M6319">
        <v>7.3640399999999996E-3</v>
      </c>
      <c r="N6319">
        <v>0</v>
      </c>
      <c r="O6319">
        <v>0.9998726</v>
      </c>
      <c r="P6319">
        <v>3.3814089999999998E-2</v>
      </c>
      <c r="Q6319">
        <v>0.18671009999999999</v>
      </c>
      <c r="R6319">
        <v>0.98183299999999996</v>
      </c>
      <c r="S6319">
        <v>0.29457090000000002</v>
      </c>
      <c r="T6319">
        <v>-8.508694E-2</v>
      </c>
      <c r="U6319">
        <v>3.0616460000000001</v>
      </c>
      <c r="V6319">
        <v>2.6673269999999999E-2</v>
      </c>
      <c r="W6319">
        <v>0.2005837</v>
      </c>
      <c r="X6319">
        <v>0.9793134</v>
      </c>
      <c r="Y6319">
        <v>8.8400859999999998E-2</v>
      </c>
      <c r="Z6319">
        <v>-2.76612E-2</v>
      </c>
      <c r="AA6319">
        <v>0.99570080000000005</v>
      </c>
      <c r="AB6319">
        <v>29</v>
      </c>
      <c r="AC6319">
        <v>3.8403000000000098</v>
      </c>
      <c r="AD6319">
        <v>-1.109879584307</v>
      </c>
      <c r="AE6319">
        <v>39.664540000000002</v>
      </c>
      <c r="AF6319">
        <v>3.54532518114322</v>
      </c>
      <c r="AG6319">
        <v>-1.109879584307</v>
      </c>
      <c r="AH6319">
        <v>39.660982150225799</v>
      </c>
      <c r="AI6319">
        <v>91.596593421849505</v>
      </c>
      <c r="AJ6319">
        <v>84.891863951204101</v>
      </c>
      <c r="AK6319">
        <v>39.834591355406701</v>
      </c>
      <c r="AL6319">
        <v>78.428905826957802</v>
      </c>
      <c r="AM6319">
        <v>88.439837485794499</v>
      </c>
      <c r="AN6319">
        <v>1.0000000097288699</v>
      </c>
    </row>
    <row r="6320" spans="1:40" x14ac:dyDescent="0.25">
      <c r="A6320" t="str">
        <f>"20190312172832002"</f>
        <v>20190312172832002</v>
      </c>
      <c r="B6320" t="str">
        <f>"1552382911995729"</f>
        <v>1552382911995729</v>
      </c>
      <c r="C6320" t="s">
        <v>40</v>
      </c>
      <c r="D6320">
        <v>3.1479400000000002</v>
      </c>
      <c r="E6320">
        <v>0.52785470000000001</v>
      </c>
      <c r="F6320" t="s">
        <v>41</v>
      </c>
      <c r="G6320">
        <v>-183.91849999999999</v>
      </c>
      <c r="H6320" s="1">
        <v>-4.5625300000000003E-6</v>
      </c>
      <c r="I6320">
        <v>77.753559999999993</v>
      </c>
      <c r="J6320">
        <v>-187.76240000000001</v>
      </c>
      <c r="K6320">
        <v>1.1098790000000001</v>
      </c>
      <c r="L6320">
        <v>38.444519999999997</v>
      </c>
      <c r="M6320">
        <v>7.5946499999999997E-3</v>
      </c>
      <c r="N6320">
        <v>0</v>
      </c>
      <c r="O6320">
        <v>0.99987090000000001</v>
      </c>
      <c r="P6320">
        <v>3.4526960000000002E-2</v>
      </c>
      <c r="Q6320">
        <v>0.18634200000000001</v>
      </c>
      <c r="R6320">
        <v>0.98187809999999998</v>
      </c>
      <c r="S6320">
        <v>0.29728700000000002</v>
      </c>
      <c r="T6320">
        <v>-8.5783479999999995E-2</v>
      </c>
      <c r="U6320">
        <v>3.0615839999999999</v>
      </c>
      <c r="V6320">
        <v>2.7159269999999999E-2</v>
      </c>
      <c r="W6320">
        <v>0.20021610000000001</v>
      </c>
      <c r="X6320">
        <v>0.9793752</v>
      </c>
      <c r="Y6320">
        <v>8.9047539999999994E-2</v>
      </c>
      <c r="Z6320">
        <v>-2.788595E-2</v>
      </c>
      <c r="AA6320">
        <v>0.99563690000000005</v>
      </c>
      <c r="AB6320">
        <v>29</v>
      </c>
      <c r="AC6320">
        <v>3.8439000000000099</v>
      </c>
      <c r="AD6320">
        <v>-1.1098835625299901</v>
      </c>
      <c r="AE6320">
        <v>39.309039999999897</v>
      </c>
      <c r="AF6320">
        <v>3.5424234972030102</v>
      </c>
      <c r="AG6320">
        <v>-1.1098835625299901</v>
      </c>
      <c r="AH6320">
        <v>39.3060639185586</v>
      </c>
      <c r="AI6320">
        <v>91.610903103389006</v>
      </c>
      <c r="AJ6320">
        <v>84.850182445122002</v>
      </c>
      <c r="AK6320">
        <v>39.480973474899599</v>
      </c>
      <c r="AL6320">
        <v>78.450403132122105</v>
      </c>
      <c r="AM6320">
        <v>88.411525189060399</v>
      </c>
      <c r="AN6320">
        <v>0.99999994751058996</v>
      </c>
    </row>
    <row r="6321" spans="1:40" x14ac:dyDescent="0.25">
      <c r="A6321" t="str">
        <f>"20190312172832024"</f>
        <v>20190312172832024</v>
      </c>
      <c r="B6321" t="str">
        <f>"1552382912016225"</f>
        <v>1552382912016225</v>
      </c>
      <c r="C6321" t="s">
        <v>40</v>
      </c>
      <c r="D6321">
        <v>3.140339</v>
      </c>
      <c r="E6321">
        <v>0.52789180000000002</v>
      </c>
      <c r="F6321" t="s">
        <v>41</v>
      </c>
      <c r="G6321">
        <v>-183.97190000000001</v>
      </c>
      <c r="H6321" s="1">
        <v>-4.285582E-6</v>
      </c>
      <c r="I6321">
        <v>77.130039999999994</v>
      </c>
      <c r="J6321">
        <v>-187.76</v>
      </c>
      <c r="K6321">
        <v>1.109877</v>
      </c>
      <c r="L6321">
        <v>38.725769999999997</v>
      </c>
      <c r="M6321">
        <v>7.809608E-3</v>
      </c>
      <c r="N6321">
        <v>0</v>
      </c>
      <c r="O6321">
        <v>0.99986929999999996</v>
      </c>
      <c r="P6321">
        <v>3.5112869999999997E-2</v>
      </c>
      <c r="Q6321">
        <v>0.18612999999999999</v>
      </c>
      <c r="R6321">
        <v>0.98189749999999998</v>
      </c>
      <c r="S6321">
        <v>0.29997249999999998</v>
      </c>
      <c r="T6321">
        <v>-8.7833880000000003E-2</v>
      </c>
      <c r="U6321">
        <v>3.061493</v>
      </c>
      <c r="V6321">
        <v>2.7533950000000001E-2</v>
      </c>
      <c r="W6321">
        <v>0.2000035</v>
      </c>
      <c r="X6321">
        <v>0.97940819999999995</v>
      </c>
      <c r="Y6321">
        <v>8.9699570000000006E-2</v>
      </c>
      <c r="Z6321">
        <v>-2.855067E-2</v>
      </c>
      <c r="AA6321">
        <v>0.99555959999999999</v>
      </c>
      <c r="AB6321">
        <v>29</v>
      </c>
      <c r="AC6321">
        <v>3.78809999999998</v>
      </c>
      <c r="AD6321">
        <v>-1.1098812855819999</v>
      </c>
      <c r="AE6321">
        <v>38.404269999999997</v>
      </c>
      <c r="AF6321">
        <v>3.4851493341585602</v>
      </c>
      <c r="AG6321">
        <v>-1.1098812855819999</v>
      </c>
      <c r="AH6321">
        <v>38.400921478940802</v>
      </c>
      <c r="AI6321">
        <v>91.648755813715496</v>
      </c>
      <c r="AJ6321">
        <v>84.814218532685004</v>
      </c>
      <c r="AK6321">
        <v>38.574718051869802</v>
      </c>
      <c r="AL6321">
        <v>78.462835949584402</v>
      </c>
      <c r="AM6321">
        <v>88.389676825724493</v>
      </c>
      <c r="AN6321">
        <v>0.99999997032104504</v>
      </c>
    </row>
    <row r="6322" spans="1:40" x14ac:dyDescent="0.25">
      <c r="A6322" t="str">
        <f>"20190312172832046"</f>
        <v>20190312172832046</v>
      </c>
      <c r="B6322" t="str">
        <f>"1552382912035745"</f>
        <v>1552382912035745</v>
      </c>
      <c r="C6322" t="s">
        <v>40</v>
      </c>
      <c r="D6322">
        <v>3.1343350000000001</v>
      </c>
      <c r="E6322">
        <v>0.52800519999999995</v>
      </c>
      <c r="F6322" t="s">
        <v>41</v>
      </c>
      <c r="G6322">
        <v>-183.99930000000001</v>
      </c>
      <c r="H6322" s="1">
        <v>-4.1881770000000004E-6</v>
      </c>
      <c r="I6322">
        <v>76.914299999999997</v>
      </c>
      <c r="J6322">
        <v>-187.75749999999999</v>
      </c>
      <c r="K6322">
        <v>1.10988</v>
      </c>
      <c r="L6322">
        <v>39.01511</v>
      </c>
      <c r="M6322">
        <v>8.0305810000000002E-3</v>
      </c>
      <c r="N6322">
        <v>0</v>
      </c>
      <c r="O6322">
        <v>0.99986759999999997</v>
      </c>
      <c r="P6322">
        <v>3.5305339999999998E-2</v>
      </c>
      <c r="Q6322">
        <v>0.1861845</v>
      </c>
      <c r="R6322">
        <v>0.98188030000000004</v>
      </c>
      <c r="S6322">
        <v>0.30148320000000001</v>
      </c>
      <c r="T6322">
        <v>-8.8974120000000004E-2</v>
      </c>
      <c r="U6322">
        <v>3.061401</v>
      </c>
      <c r="V6322">
        <v>2.7509720000000001E-2</v>
      </c>
      <c r="W6322">
        <v>0.20005680000000001</v>
      </c>
      <c r="X6322">
        <v>0.97939799999999999</v>
      </c>
      <c r="Y6322">
        <v>8.9967870000000005E-2</v>
      </c>
      <c r="Z6322">
        <v>-2.892074E-2</v>
      </c>
      <c r="AA6322">
        <v>0.99552459999999998</v>
      </c>
      <c r="AB6322">
        <v>29</v>
      </c>
      <c r="AC6322">
        <v>3.75819999999998</v>
      </c>
      <c r="AD6322">
        <v>-1.1098841881770001</v>
      </c>
      <c r="AE6322">
        <v>37.899189999999997</v>
      </c>
      <c r="AF6322">
        <v>3.4507651594471902</v>
      </c>
      <c r="AG6322">
        <v>-1.1098841881770001</v>
      </c>
      <c r="AH6322">
        <v>37.895967316320402</v>
      </c>
      <c r="AI6322">
        <v>91.670671601522102</v>
      </c>
      <c r="AJ6322">
        <v>84.797058042896793</v>
      </c>
      <c r="AK6322">
        <v>38.068936968825902</v>
      </c>
      <c r="AL6322">
        <v>78.459719148583503</v>
      </c>
      <c r="AM6322">
        <v>88.391076424965604</v>
      </c>
      <c r="AN6322">
        <v>0.99999997516235795</v>
      </c>
    </row>
    <row r="6323" spans="1:40" x14ac:dyDescent="0.25">
      <c r="A6323" t="str">
        <f>"20190312172832069"</f>
        <v>20190312172832069</v>
      </c>
      <c r="B6323" t="str">
        <f>"1552382912066001"</f>
        <v>1552382912066001</v>
      </c>
      <c r="C6323" t="s">
        <v>40</v>
      </c>
      <c r="D6323">
        <v>3.1680920000000001</v>
      </c>
      <c r="E6323">
        <v>0.5280608</v>
      </c>
      <c r="F6323" t="s">
        <v>41</v>
      </c>
      <c r="G6323">
        <v>-184.00069999999999</v>
      </c>
      <c r="H6323" s="1">
        <v>-4.2124240000000003E-6</v>
      </c>
      <c r="I6323">
        <v>76.971440000000001</v>
      </c>
      <c r="J6323">
        <v>-187.75489999999999</v>
      </c>
      <c r="K6323">
        <v>1.1098840000000001</v>
      </c>
      <c r="L6323">
        <v>39.309049999999999</v>
      </c>
      <c r="M6323">
        <v>8.2555219999999995E-3</v>
      </c>
      <c r="N6323">
        <v>0</v>
      </c>
      <c r="O6323">
        <v>0.99986569999999997</v>
      </c>
      <c r="P6323">
        <v>3.5521669999999998E-2</v>
      </c>
      <c r="Q6323">
        <v>0.18639310000000001</v>
      </c>
      <c r="R6323">
        <v>0.98183290000000001</v>
      </c>
      <c r="S6323">
        <v>0.30300899999999997</v>
      </c>
      <c r="T6323">
        <v>-8.9519619999999994E-2</v>
      </c>
      <c r="U6323">
        <v>3.0614319999999999</v>
      </c>
      <c r="V6323">
        <v>2.7505519999999999E-2</v>
      </c>
      <c r="W6323">
        <v>0.20026369999999999</v>
      </c>
      <c r="X6323">
        <v>0.97935589999999995</v>
      </c>
      <c r="Y6323">
        <v>9.0233729999999998E-2</v>
      </c>
      <c r="Z6323">
        <v>-2.9096469999999999E-2</v>
      </c>
      <c r="AA6323">
        <v>0.99549549999999998</v>
      </c>
      <c r="AB6323">
        <v>29</v>
      </c>
      <c r="AC6323">
        <v>3.7541999999999902</v>
      </c>
      <c r="AD6323">
        <v>-1.1098882124239999</v>
      </c>
      <c r="AE6323">
        <v>37.662390000000002</v>
      </c>
      <c r="AF6323">
        <v>3.4401599888482002</v>
      </c>
      <c r="AG6323">
        <v>-1.1098882124239999</v>
      </c>
      <c r="AH6323">
        <v>37.659718637954803</v>
      </c>
      <c r="AI6323">
        <v>91.681108215965395</v>
      </c>
      <c r="AJ6323">
        <v>84.780600378015507</v>
      </c>
      <c r="AK6323">
        <v>37.832802704569403</v>
      </c>
      <c r="AL6323">
        <v>78.447620570273202</v>
      </c>
      <c r="AM6323">
        <v>88.391252818963096</v>
      </c>
      <c r="AN6323">
        <v>1.00000004101648</v>
      </c>
    </row>
    <row r="6324" spans="1:40" x14ac:dyDescent="0.25">
      <c r="A6324" t="str">
        <f>"20190312172832092"</f>
        <v>20190312172832092</v>
      </c>
      <c r="B6324" t="str">
        <f>"1552382912085521"</f>
        <v>1552382912085521</v>
      </c>
      <c r="C6324" t="s">
        <v>40</v>
      </c>
      <c r="D6324">
        <v>3.1721620000000001</v>
      </c>
      <c r="E6324">
        <v>0.52803710000000004</v>
      </c>
      <c r="F6324" t="s">
        <v>41</v>
      </c>
      <c r="G6324">
        <v>-183.9675</v>
      </c>
      <c r="H6324" s="1">
        <v>-4.4160389999999998E-6</v>
      </c>
      <c r="I6324">
        <v>77.432339999999996</v>
      </c>
      <c r="J6324">
        <v>-187.75229999999999</v>
      </c>
      <c r="K6324">
        <v>1.1098749999999999</v>
      </c>
      <c r="L6324">
        <v>39.596739999999997</v>
      </c>
      <c r="M6324">
        <v>8.4755709999999995E-3</v>
      </c>
      <c r="N6324">
        <v>0</v>
      </c>
      <c r="O6324">
        <v>0.99986390000000003</v>
      </c>
      <c r="P6324">
        <v>3.599161E-2</v>
      </c>
      <c r="Q6324">
        <v>0.18623480000000001</v>
      </c>
      <c r="R6324">
        <v>0.98184579999999999</v>
      </c>
      <c r="S6324">
        <v>0.30413820000000003</v>
      </c>
      <c r="T6324">
        <v>-8.9127899999999996E-2</v>
      </c>
      <c r="U6324">
        <v>3.0614319999999999</v>
      </c>
      <c r="V6324">
        <v>2.7759010000000001E-2</v>
      </c>
      <c r="W6324">
        <v>0.20010349999999999</v>
      </c>
      <c r="X6324">
        <v>0.97938139999999996</v>
      </c>
      <c r="Y6324">
        <v>9.0378520000000004E-2</v>
      </c>
      <c r="Z6324">
        <v>-2.8968460000000001E-2</v>
      </c>
      <c r="AA6324">
        <v>0.99548610000000004</v>
      </c>
      <c r="AB6324">
        <v>29</v>
      </c>
      <c r="AC6324">
        <v>3.78479999999999</v>
      </c>
      <c r="AD6324">
        <v>-1.109879416039</v>
      </c>
      <c r="AE6324">
        <v>37.8355999999999</v>
      </c>
      <c r="AF6324">
        <v>3.4610049020029598</v>
      </c>
      <c r="AG6324">
        <v>-1.109879416039</v>
      </c>
      <c r="AH6324">
        <v>37.834088646684897</v>
      </c>
      <c r="AI6324">
        <v>91.673331771730702</v>
      </c>
      <c r="AJ6324">
        <v>84.773216600820106</v>
      </c>
      <c r="AK6324">
        <v>38.008270823270102</v>
      </c>
      <c r="AL6324">
        <v>78.456987920496104</v>
      </c>
      <c r="AM6324">
        <v>88.376476804934001</v>
      </c>
      <c r="AN6324">
        <v>0.99999995000719299</v>
      </c>
    </row>
    <row r="6325" spans="1:40" x14ac:dyDescent="0.25">
      <c r="A6325" t="str">
        <f>"20190312172832114"</f>
        <v>20190312172832114</v>
      </c>
      <c r="B6325" t="str">
        <f>"1552382912106016"</f>
        <v>1552382912106016</v>
      </c>
      <c r="C6325" t="s">
        <v>40</v>
      </c>
      <c r="D6325">
        <v>3.1186859999999998</v>
      </c>
      <c r="E6325">
        <v>0.52801679999999995</v>
      </c>
      <c r="F6325" t="s">
        <v>41</v>
      </c>
      <c r="G6325">
        <v>-183.97130000000001</v>
      </c>
      <c r="H6325" s="1">
        <v>-4.4441910000000001E-6</v>
      </c>
      <c r="I6325">
        <v>77.499529999999993</v>
      </c>
      <c r="J6325">
        <v>-187.74959999999999</v>
      </c>
      <c r="K6325">
        <v>1.109882</v>
      </c>
      <c r="L6325">
        <v>39.887479999999996</v>
      </c>
      <c r="M6325">
        <v>8.6981109999999997E-3</v>
      </c>
      <c r="N6325">
        <v>0</v>
      </c>
      <c r="O6325">
        <v>0.99986200000000003</v>
      </c>
      <c r="P6325">
        <v>3.6063650000000003E-2</v>
      </c>
      <c r="Q6325">
        <v>0.1864275</v>
      </c>
      <c r="R6325">
        <v>0.98180659999999997</v>
      </c>
      <c r="S6325">
        <v>0.30537409999999998</v>
      </c>
      <c r="T6325">
        <v>-8.9641209999999999E-2</v>
      </c>
      <c r="U6325">
        <v>3.0612789999999999</v>
      </c>
      <c r="V6325">
        <v>2.7612669999999999E-2</v>
      </c>
      <c r="W6325">
        <v>0.20029359999999999</v>
      </c>
      <c r="X6325">
        <v>0.97934679999999996</v>
      </c>
      <c r="Y6325">
        <v>9.0559219999999996E-2</v>
      </c>
      <c r="Z6325">
        <v>-2.91357E-2</v>
      </c>
      <c r="AA6325">
        <v>0.99546480000000004</v>
      </c>
      <c r="AB6325">
        <v>29</v>
      </c>
      <c r="AC6325">
        <v>3.77829999999997</v>
      </c>
      <c r="AD6325">
        <v>-1.1098864441909999</v>
      </c>
      <c r="AE6325">
        <v>37.612050000000004</v>
      </c>
      <c r="AF6325">
        <v>3.4479980661469898</v>
      </c>
      <c r="AG6325">
        <v>-1.1098864441909999</v>
      </c>
      <c r="AH6325">
        <v>37.611070866832101</v>
      </c>
      <c r="AI6325">
        <v>91.683228848151998</v>
      </c>
      <c r="AJ6325">
        <v>84.762045697091295</v>
      </c>
      <c r="AK6325">
        <v>37.785092170497798</v>
      </c>
      <c r="AL6325">
        <v>78.445872340617697</v>
      </c>
      <c r="AM6325">
        <v>88.3849741268738</v>
      </c>
      <c r="AN6325">
        <v>1.00000007020786</v>
      </c>
    </row>
    <row r="6326" spans="1:40" x14ac:dyDescent="0.25">
      <c r="A6326" t="str">
        <f>"20190312172832135"</f>
        <v>20190312172832135</v>
      </c>
      <c r="B6326" t="str">
        <f>"1552382912125537"</f>
        <v>1552382912125537</v>
      </c>
      <c r="C6326" t="s">
        <v>40</v>
      </c>
      <c r="D6326">
        <v>3.1707839999999998</v>
      </c>
      <c r="E6326">
        <v>0.52806430000000004</v>
      </c>
      <c r="F6326" t="s">
        <v>41</v>
      </c>
      <c r="G6326">
        <v>-183.95519999999999</v>
      </c>
      <c r="H6326" s="1">
        <v>-4.6312060000000004E-6</v>
      </c>
      <c r="I6326">
        <v>77.928809999999999</v>
      </c>
      <c r="J6326">
        <v>-187.74700000000001</v>
      </c>
      <c r="K6326">
        <v>1.1098859999999999</v>
      </c>
      <c r="L6326">
        <v>40.152340000000002</v>
      </c>
      <c r="M6326">
        <v>8.90061199999999E-3</v>
      </c>
      <c r="N6326">
        <v>0</v>
      </c>
      <c r="O6326">
        <v>0.99986030000000004</v>
      </c>
      <c r="P6326">
        <v>3.6077199999999997E-2</v>
      </c>
      <c r="Q6326">
        <v>0.18641199999999999</v>
      </c>
      <c r="R6326">
        <v>0.98180909999999999</v>
      </c>
      <c r="S6326">
        <v>0.30534359999999999</v>
      </c>
      <c r="T6326">
        <v>-8.9317079999999993E-2</v>
      </c>
      <c r="U6326">
        <v>3.06134</v>
      </c>
      <c r="V6326">
        <v>2.7427110000000001E-2</v>
      </c>
      <c r="W6326">
        <v>0.2002768</v>
      </c>
      <c r="X6326">
        <v>0.97935539999999999</v>
      </c>
      <c r="Y6326">
        <v>9.0346049999999997E-2</v>
      </c>
      <c r="Z6326">
        <v>-2.903008E-2</v>
      </c>
      <c r="AA6326">
        <v>0.99548720000000002</v>
      </c>
      <c r="AB6326">
        <v>29</v>
      </c>
      <c r="AC6326">
        <v>3.7918000000000198</v>
      </c>
      <c r="AD6326">
        <v>-1.109890631206</v>
      </c>
      <c r="AE6326">
        <v>37.776470000000003</v>
      </c>
      <c r="AF6326">
        <v>3.4524319588957799</v>
      </c>
      <c r="AG6326">
        <v>-1.109890631206</v>
      </c>
      <c r="AH6326">
        <v>37.776442218559097</v>
      </c>
      <c r="AI6326">
        <v>91.675913992824206</v>
      </c>
      <c r="AJ6326">
        <v>84.778179536383604</v>
      </c>
      <c r="AK6326">
        <v>37.9501084364219</v>
      </c>
      <c r="AL6326">
        <v>78.446854243467897</v>
      </c>
      <c r="AM6326">
        <v>88.395835657145298</v>
      </c>
      <c r="AN6326">
        <v>1.0000000212451701</v>
      </c>
    </row>
    <row r="6327" spans="1:40" x14ac:dyDescent="0.25">
      <c r="A6327" t="str">
        <f>"20190312172832158"</f>
        <v>20190312172832158</v>
      </c>
      <c r="B6327" t="str">
        <f>"1552382912146366"</f>
        <v>1552382912146366</v>
      </c>
      <c r="C6327" t="s">
        <v>40</v>
      </c>
      <c r="D6327">
        <v>3.155227</v>
      </c>
      <c r="E6327">
        <v>0.52810259999999998</v>
      </c>
      <c r="F6327" t="s">
        <v>41</v>
      </c>
      <c r="G6327">
        <v>-183.9718</v>
      </c>
      <c r="H6327" s="1">
        <v>-4.6400569999999997E-6</v>
      </c>
      <c r="I6327">
        <v>77.956280000000007</v>
      </c>
      <c r="J6327">
        <v>-187.74420000000001</v>
      </c>
      <c r="K6327">
        <v>1.109888</v>
      </c>
      <c r="L6327">
        <v>40.443210000000001</v>
      </c>
      <c r="M6327">
        <v>9.1227219999999998E-3</v>
      </c>
      <c r="N6327">
        <v>0</v>
      </c>
      <c r="O6327">
        <v>0.99985829999999998</v>
      </c>
      <c r="P6327">
        <v>3.6594130000000002E-2</v>
      </c>
      <c r="Q6327">
        <v>0.18616340000000001</v>
      </c>
      <c r="R6327">
        <v>0.98183710000000002</v>
      </c>
      <c r="S6327">
        <v>0.30572510000000003</v>
      </c>
      <c r="T6327">
        <v>-8.9880109999999999E-2</v>
      </c>
      <c r="U6327">
        <v>3.061401</v>
      </c>
      <c r="V6327">
        <v>2.7725320000000001E-2</v>
      </c>
      <c r="W6327">
        <v>0.20002690000000001</v>
      </c>
      <c r="X6327">
        <v>0.97939810000000005</v>
      </c>
      <c r="Y6327">
        <v>9.0245140000000001E-2</v>
      </c>
      <c r="Z6327">
        <v>-2.9212200000000001E-2</v>
      </c>
      <c r="AA6327">
        <v>0.99549109999999996</v>
      </c>
      <c r="AB6327">
        <v>29</v>
      </c>
      <c r="AC6327">
        <v>3.7724000000000002</v>
      </c>
      <c r="AD6327">
        <v>-1.1098926400569999</v>
      </c>
      <c r="AE6327">
        <v>37.513069999999999</v>
      </c>
      <c r="AF6327">
        <v>3.42701751584972</v>
      </c>
      <c r="AG6327">
        <v>-1.1098926400569999</v>
      </c>
      <c r="AH6327">
        <v>37.5134169217325</v>
      </c>
      <c r="AI6327">
        <v>91.687666550928299</v>
      </c>
      <c r="AJ6327">
        <v>84.780264153979502</v>
      </c>
      <c r="AK6327">
        <v>37.685975639090501</v>
      </c>
      <c r="AL6327">
        <v>78.461468464747</v>
      </c>
      <c r="AM6327">
        <v>88.378473792281895</v>
      </c>
      <c r="AN6327">
        <v>1.00000004618816</v>
      </c>
    </row>
    <row r="6328" spans="1:40" x14ac:dyDescent="0.25">
      <c r="A6328" t="str">
        <f>"20190312172832180"</f>
        <v>20190312172832180</v>
      </c>
      <c r="B6328" t="str">
        <f>"1552382912175645"</f>
        <v>1552382912175645</v>
      </c>
      <c r="C6328" t="s">
        <v>40</v>
      </c>
      <c r="D6328">
        <v>3.166566</v>
      </c>
      <c r="E6328">
        <v>0.52816770000000002</v>
      </c>
      <c r="F6328" t="s">
        <v>41</v>
      </c>
      <c r="G6328">
        <v>-184.00389999999999</v>
      </c>
      <c r="H6328" s="1">
        <v>-4.5168450000000003E-6</v>
      </c>
      <c r="I6328">
        <v>77.682369999999906</v>
      </c>
      <c r="J6328">
        <v>-187.7413</v>
      </c>
      <c r="K6328">
        <v>1.109888</v>
      </c>
      <c r="L6328">
        <v>40.729979999999998</v>
      </c>
      <c r="M6328">
        <v>9.3415849999999995E-3</v>
      </c>
      <c r="N6328">
        <v>0</v>
      </c>
      <c r="O6328">
        <v>0.99985639999999998</v>
      </c>
      <c r="P6328">
        <v>3.675966E-2</v>
      </c>
      <c r="Q6328">
        <v>0.1859874</v>
      </c>
      <c r="R6328">
        <v>0.98186430000000002</v>
      </c>
      <c r="S6328">
        <v>0.30747989999999997</v>
      </c>
      <c r="T6328">
        <v>-9.1241600000000006E-2</v>
      </c>
      <c r="U6328">
        <v>3.06134</v>
      </c>
      <c r="V6328">
        <v>2.767536E-2</v>
      </c>
      <c r="W6328">
        <v>0.1998489</v>
      </c>
      <c r="X6328">
        <v>0.97943579999999997</v>
      </c>
      <c r="Y6328">
        <v>9.059275E-2</v>
      </c>
      <c r="Z6328">
        <v>-2.9653499999999999E-2</v>
      </c>
      <c r="AA6328">
        <v>0.99544639999999995</v>
      </c>
      <c r="AB6328">
        <v>29</v>
      </c>
      <c r="AC6328">
        <v>3.7374000000000001</v>
      </c>
      <c r="AD6328">
        <v>-1.109892516845</v>
      </c>
      <c r="AE6328">
        <v>36.952390000000001</v>
      </c>
      <c r="AF6328">
        <v>3.38898209165469</v>
      </c>
      <c r="AG6328">
        <v>-1.109892516845</v>
      </c>
      <c r="AH6328">
        <v>36.9526948858719</v>
      </c>
      <c r="AI6328">
        <v>91.713204476426299</v>
      </c>
      <c r="AJ6328">
        <v>84.759984253083203</v>
      </c>
      <c r="AK6328">
        <v>37.124368282098096</v>
      </c>
      <c r="AL6328">
        <v>78.471876711204899</v>
      </c>
      <c r="AM6328">
        <v>88.381456436225903</v>
      </c>
      <c r="AN6328">
        <v>0.99999999735198897</v>
      </c>
    </row>
    <row r="6329" spans="1:40" x14ac:dyDescent="0.25">
      <c r="A6329" t="str">
        <f>"20190312172832204"</f>
        <v>20190312172832204</v>
      </c>
      <c r="B6329" t="str">
        <f>"1552382912196141"</f>
        <v>1552382912196141</v>
      </c>
      <c r="C6329" t="s">
        <v>40</v>
      </c>
      <c r="D6329">
        <v>3.1606939999999999</v>
      </c>
      <c r="E6329">
        <v>0.5281844</v>
      </c>
      <c r="F6329" t="s">
        <v>41</v>
      </c>
      <c r="G6329">
        <v>-184.04640000000001</v>
      </c>
      <c r="H6329" s="1">
        <v>-4.3811009999999997E-6</v>
      </c>
      <c r="I6329">
        <v>77.383510000000001</v>
      </c>
      <c r="J6329">
        <v>-187.73830000000001</v>
      </c>
      <c r="K6329">
        <v>1.1098889999999999</v>
      </c>
      <c r="L6329">
        <v>41.031739999999999</v>
      </c>
      <c r="M6329">
        <v>9.5719670000000007E-3</v>
      </c>
      <c r="N6329">
        <v>0</v>
      </c>
      <c r="O6329">
        <v>0.99985420000000003</v>
      </c>
      <c r="P6329">
        <v>3.6728450000000003E-2</v>
      </c>
      <c r="Q6329">
        <v>0.1856738</v>
      </c>
      <c r="R6329">
        <v>0.98192480000000004</v>
      </c>
      <c r="S6329">
        <v>0.30860900000000002</v>
      </c>
      <c r="T6329">
        <v>-9.2701199999999997E-2</v>
      </c>
      <c r="U6329">
        <v>3.061401</v>
      </c>
      <c r="V6329">
        <v>2.7416889999999999E-2</v>
      </c>
      <c r="W6329">
        <v>0.1995335</v>
      </c>
      <c r="X6329">
        <v>0.97950740000000003</v>
      </c>
      <c r="Y6329">
        <v>9.0723369999999998E-2</v>
      </c>
      <c r="Z6329">
        <v>-3.012602E-2</v>
      </c>
      <c r="AA6329">
        <v>0.99542030000000004</v>
      </c>
      <c r="AB6329">
        <v>29</v>
      </c>
      <c r="AC6329">
        <v>3.6919</v>
      </c>
      <c r="AD6329">
        <v>-1.1098933811010001</v>
      </c>
      <c r="AE6329">
        <v>36.351770000000002</v>
      </c>
      <c r="AF6329">
        <v>3.3406557129492001</v>
      </c>
      <c r="AG6329">
        <v>-1.1098933811010001</v>
      </c>
      <c r="AH6329">
        <v>36.351905124785901</v>
      </c>
      <c r="AI6329">
        <v>91.741473234032398</v>
      </c>
      <c r="AJ6329">
        <v>84.749398462571506</v>
      </c>
      <c r="AK6329">
        <v>36.521950250654797</v>
      </c>
      <c r="AL6329">
        <v>78.490319577016095</v>
      </c>
      <c r="AM6329">
        <v>88.396681806843205</v>
      </c>
      <c r="AN6329">
        <v>1.0000000250671399</v>
      </c>
    </row>
    <row r="6330" spans="1:40" x14ac:dyDescent="0.25">
      <c r="A6330" t="str">
        <f>"20190312172832225"</f>
        <v>20190312172832225</v>
      </c>
      <c r="B6330" t="str">
        <f>"1552382912215662"</f>
        <v>1552382912215662</v>
      </c>
      <c r="C6330" t="s">
        <v>40</v>
      </c>
      <c r="D6330">
        <v>3.1521530000000002</v>
      </c>
      <c r="E6330">
        <v>0.52813569999999999</v>
      </c>
      <c r="F6330" t="s">
        <v>41</v>
      </c>
      <c r="G6330">
        <v>-184.09540000000001</v>
      </c>
      <c r="H6330" s="1">
        <v>-4.2752640000000002E-6</v>
      </c>
      <c r="I6330">
        <v>77.157069999999905</v>
      </c>
      <c r="J6330">
        <v>-187.7354</v>
      </c>
      <c r="K6330">
        <v>1.109883</v>
      </c>
      <c r="L6330">
        <v>41.304470000000002</v>
      </c>
      <c r="M6330">
        <v>9.7800739999999997E-3</v>
      </c>
      <c r="N6330">
        <v>0</v>
      </c>
      <c r="O6330">
        <v>0.99985219999999997</v>
      </c>
      <c r="P6330">
        <v>3.6777169999999998E-2</v>
      </c>
      <c r="Q6330">
        <v>0.1856197</v>
      </c>
      <c r="R6330">
        <v>0.98193319999999995</v>
      </c>
      <c r="S6330">
        <v>0.30871579999999998</v>
      </c>
      <c r="T6330">
        <v>-9.4058509999999998E-2</v>
      </c>
      <c r="U6330">
        <v>3.0614620000000001</v>
      </c>
      <c r="V6330">
        <v>2.7260909999999999E-2</v>
      </c>
      <c r="W6330">
        <v>0.1994774</v>
      </c>
      <c r="X6330">
        <v>0.97952320000000004</v>
      </c>
      <c r="Y6330">
        <v>9.0547169999999996E-2</v>
      </c>
      <c r="Z6330">
        <v>-3.0566200000000002E-2</v>
      </c>
      <c r="AA6330">
        <v>0.99542299999999995</v>
      </c>
      <c r="AB6330">
        <v>29</v>
      </c>
      <c r="AC6330">
        <v>3.6399999999999801</v>
      </c>
      <c r="AD6330">
        <v>-1.1098872752640001</v>
      </c>
      <c r="AE6330">
        <v>35.852599999999903</v>
      </c>
      <c r="AF6330">
        <v>3.2860327557789</v>
      </c>
      <c r="AG6330">
        <v>-1.1098872752640001</v>
      </c>
      <c r="AH6330">
        <v>35.852479927697701</v>
      </c>
      <c r="AI6330">
        <v>91.765746095989002</v>
      </c>
      <c r="AJ6330">
        <v>84.763228481769701</v>
      </c>
      <c r="AK6330">
        <v>36.019858106353098</v>
      </c>
      <c r="AL6330">
        <v>78.493600044214702</v>
      </c>
      <c r="AM6330">
        <v>88.405824375852205</v>
      </c>
      <c r="AN6330">
        <v>1.0000000448315101</v>
      </c>
    </row>
    <row r="6331" spans="1:40" x14ac:dyDescent="0.25">
      <c r="A6331" t="str">
        <f>"20190312172832249"</f>
        <v>20190312172832249</v>
      </c>
      <c r="B6331" t="str">
        <f>"1552382912246426"</f>
        <v>1552382912246426</v>
      </c>
      <c r="C6331" t="s">
        <v>40</v>
      </c>
      <c r="D6331">
        <v>3.1746300000000001</v>
      </c>
      <c r="E6331">
        <v>0.49798510000000001</v>
      </c>
      <c r="F6331" t="s">
        <v>41</v>
      </c>
      <c r="G6331">
        <v>-184.1028</v>
      </c>
      <c r="H6331" s="1">
        <v>-4.3483179999999996E-6</v>
      </c>
      <c r="I6331">
        <v>77.330410000000001</v>
      </c>
      <c r="J6331">
        <v>-187.73230000000001</v>
      </c>
      <c r="K6331">
        <v>1.109883</v>
      </c>
      <c r="L6331">
        <v>41.600340000000003</v>
      </c>
      <c r="M6331">
        <v>1.0006340000000001E-2</v>
      </c>
      <c r="N6331">
        <v>0</v>
      </c>
      <c r="O6331">
        <v>0.99985000000000002</v>
      </c>
      <c r="P6331">
        <v>3.6486640000000001E-2</v>
      </c>
      <c r="Q6331">
        <v>0.18540000000000001</v>
      </c>
      <c r="R6331">
        <v>0.98198549999999996</v>
      </c>
      <c r="S6331">
        <v>0.30870059999999999</v>
      </c>
      <c r="T6331">
        <v>-9.4317559999999995E-2</v>
      </c>
      <c r="U6331">
        <v>3.0614620000000001</v>
      </c>
      <c r="V6331">
        <v>2.6747170000000001E-2</v>
      </c>
      <c r="W6331">
        <v>0.1992564</v>
      </c>
      <c r="X6331">
        <v>0.97958230000000002</v>
      </c>
      <c r="Y6331">
        <v>9.0316590000000002E-2</v>
      </c>
      <c r="Z6331">
        <v>-3.0650520000000001E-2</v>
      </c>
      <c r="AA6331">
        <v>0.99544129999999997</v>
      </c>
      <c r="AB6331">
        <v>29</v>
      </c>
      <c r="AC6331">
        <v>3.6295000000000002</v>
      </c>
      <c r="AD6331">
        <v>-1.1098873483179901</v>
      </c>
      <c r="AE6331">
        <v>35.730069999999998</v>
      </c>
      <c r="AF6331">
        <v>3.26863354549829</v>
      </c>
      <c r="AG6331">
        <v>-1.1098873483179901</v>
      </c>
      <c r="AH6331">
        <v>35.7304776393918</v>
      </c>
      <c r="AI6331">
        <v>91.771799521665201</v>
      </c>
      <c r="AJ6331">
        <v>84.773115175089103</v>
      </c>
      <c r="AK6331">
        <v>35.896836177019701</v>
      </c>
      <c r="AL6331">
        <v>78.506521332273195</v>
      </c>
      <c r="AM6331">
        <v>88.435946345697403</v>
      </c>
      <c r="AN6331">
        <v>1.00000000325862</v>
      </c>
    </row>
    <row r="6332" spans="1:40" x14ac:dyDescent="0.25">
      <c r="A6332" t="str">
        <f>"20190312172832270"</f>
        <v>20190312172832270</v>
      </c>
      <c r="B6332" t="str">
        <f>"1552382912265946"</f>
        <v>1552382912265946</v>
      </c>
      <c r="C6332" t="s">
        <v>40</v>
      </c>
      <c r="D6332">
        <v>3.3047049999999998</v>
      </c>
      <c r="E6332">
        <v>0.49095250000000001</v>
      </c>
      <c r="F6332" t="s">
        <v>41</v>
      </c>
      <c r="G6332">
        <v>-186.8843</v>
      </c>
      <c r="H6332" s="1">
        <v>-1.0110609999999999E-6</v>
      </c>
      <c r="I6332">
        <v>80.183009999999996</v>
      </c>
      <c r="J6332">
        <v>-187.72919999999999</v>
      </c>
      <c r="K6332">
        <v>1.109885</v>
      </c>
      <c r="L6332">
        <v>41.878480000000003</v>
      </c>
      <c r="M6332">
        <v>1.021904E-2</v>
      </c>
      <c r="N6332">
        <v>0</v>
      </c>
      <c r="O6332">
        <v>0.99984790000000001</v>
      </c>
      <c r="P6332">
        <v>3.6707940000000001E-2</v>
      </c>
      <c r="Q6332">
        <v>0.18525929999999999</v>
      </c>
      <c r="R6332">
        <v>0.98200379999999998</v>
      </c>
      <c r="S6332">
        <v>6.7459110000000003E-2</v>
      </c>
      <c r="T6332">
        <v>-8.8290209999999994E-2</v>
      </c>
      <c r="U6332">
        <v>3.0692140000000001</v>
      </c>
      <c r="V6332">
        <v>2.675899E-2</v>
      </c>
      <c r="W6332">
        <v>0.19911390000000001</v>
      </c>
      <c r="X6332">
        <v>0.97961100000000001</v>
      </c>
      <c r="Y6332">
        <v>1.174614E-2</v>
      </c>
      <c r="Z6332">
        <v>-2.8747789999999999E-2</v>
      </c>
      <c r="AA6332">
        <v>0.99951769999999995</v>
      </c>
      <c r="AB6332">
        <v>28</v>
      </c>
      <c r="AC6332">
        <v>0.84489999999999499</v>
      </c>
      <c r="AD6332">
        <v>-1.1098860110609901</v>
      </c>
      <c r="AE6332">
        <v>38.30453</v>
      </c>
      <c r="AF6332">
        <v>0.45300110892663698</v>
      </c>
      <c r="AG6332">
        <v>-1.1098860110609901</v>
      </c>
      <c r="AH6332">
        <v>38.279042154921797</v>
      </c>
      <c r="AI6332">
        <v>91.660687430150801</v>
      </c>
      <c r="AJ6332">
        <v>89.321983031775204</v>
      </c>
      <c r="AK6332">
        <v>38.297808361060497</v>
      </c>
      <c r="AL6332">
        <v>78.514853474813805</v>
      </c>
      <c r="AM6332">
        <v>88.435301329111894</v>
      </c>
      <c r="AN6332">
        <v>1.0000000500200099</v>
      </c>
    </row>
    <row r="6333" spans="1:40" x14ac:dyDescent="0.25">
      <c r="A6333" t="str">
        <f>"20190312172832295"</f>
        <v>20190312172832295</v>
      </c>
      <c r="B6333" t="str">
        <f>"1552382912286442"</f>
        <v>1552382912286442</v>
      </c>
      <c r="C6333" t="s">
        <v>40</v>
      </c>
      <c r="D6333">
        <v>3.2671290000000002</v>
      </c>
      <c r="E6333">
        <v>0.488006</v>
      </c>
      <c r="F6333" t="s">
        <v>41</v>
      </c>
      <c r="G6333">
        <v>-187.5437</v>
      </c>
      <c r="H6333" s="1">
        <v>-3.5711859999999998E-6</v>
      </c>
      <c r="I6333">
        <v>86.941659999999999</v>
      </c>
      <c r="J6333">
        <v>-187.72579999999999</v>
      </c>
      <c r="K6333">
        <v>1.10989</v>
      </c>
      <c r="L6333">
        <v>42.186799999999998</v>
      </c>
      <c r="M6333">
        <v>1.045511E-2</v>
      </c>
      <c r="N6333">
        <v>0</v>
      </c>
      <c r="O6333">
        <v>0.99984550000000005</v>
      </c>
      <c r="P6333">
        <v>3.6843430000000003E-2</v>
      </c>
      <c r="Q6333">
        <v>0.18535940000000001</v>
      </c>
      <c r="R6333">
        <v>0.98197979999999996</v>
      </c>
      <c r="S6333">
        <v>1.2634279999999999E-2</v>
      </c>
      <c r="T6333">
        <v>-7.5582269999999993E-2</v>
      </c>
      <c r="U6333">
        <v>3.068756</v>
      </c>
      <c r="V6333">
        <v>2.6662519999999999E-2</v>
      </c>
      <c r="W6333">
        <v>0.1992111</v>
      </c>
      <c r="X6333">
        <v>0.97959379999999996</v>
      </c>
      <c r="Y6333">
        <v>-6.3405079999999999E-3</v>
      </c>
      <c r="Z6333">
        <v>-2.4619769999999999E-2</v>
      </c>
      <c r="AA6333">
        <v>0.99967680000000003</v>
      </c>
      <c r="AB6333">
        <v>28</v>
      </c>
      <c r="AC6333">
        <v>0.18209999999999099</v>
      </c>
      <c r="AD6333">
        <v>-1.1098935711859901</v>
      </c>
      <c r="AE6333">
        <v>44.754860000000001</v>
      </c>
      <c r="AF6333">
        <v>-0.28569795572279599</v>
      </c>
      <c r="AG6333">
        <v>-1.1098935711859901</v>
      </c>
      <c r="AH6333">
        <v>44.726810462575003</v>
      </c>
      <c r="AI6333">
        <v>91.421471194287193</v>
      </c>
      <c r="AJ6333">
        <v>90.365978800699907</v>
      </c>
      <c r="AK6333">
        <v>44.741491495214703</v>
      </c>
      <c r="AL6333">
        <v>78.509169690343398</v>
      </c>
      <c r="AM6333">
        <v>88.440912142391596</v>
      </c>
      <c r="AN6333">
        <v>0.99999998266719903</v>
      </c>
    </row>
    <row r="6334" spans="1:40" x14ac:dyDescent="0.25">
      <c r="A6334" t="str">
        <f>"20190312172832336"</f>
        <v>20190312172832336</v>
      </c>
      <c r="B6334" t="str">
        <f>"1552382912326458"</f>
        <v>1552382912326458</v>
      </c>
      <c r="C6334" t="s">
        <v>40</v>
      </c>
      <c r="D6334">
        <v>3.1455570000000002</v>
      </c>
      <c r="E6334">
        <v>0.48540179999999999</v>
      </c>
      <c r="F6334" t="s">
        <v>41</v>
      </c>
      <c r="G6334">
        <v>-187.8768</v>
      </c>
      <c r="H6334" s="1">
        <v>-3.2267879999999998E-6</v>
      </c>
      <c r="I6334">
        <v>86.276589999999999</v>
      </c>
      <c r="J6334">
        <v>-187.71979999999999</v>
      </c>
      <c r="K6334">
        <v>1.1098920000000001</v>
      </c>
      <c r="L6334">
        <v>42.716369999999998</v>
      </c>
      <c r="M6334">
        <v>1.086062E-2</v>
      </c>
      <c r="N6334">
        <v>0</v>
      </c>
      <c r="O6334">
        <v>0.99984119999999999</v>
      </c>
      <c r="P6334">
        <v>3.695416E-2</v>
      </c>
      <c r="Q6334">
        <v>0.18584790000000001</v>
      </c>
      <c r="R6334">
        <v>0.98188330000000001</v>
      </c>
      <c r="S6334">
        <v>-1.051331E-2</v>
      </c>
      <c r="T6334">
        <v>-7.7283500000000005E-2</v>
      </c>
      <c r="U6334">
        <v>3.0700379999999998</v>
      </c>
      <c r="V6334">
        <v>2.637567E-2</v>
      </c>
      <c r="W6334">
        <v>0.1996937</v>
      </c>
      <c r="X6334">
        <v>0.97950329999999997</v>
      </c>
      <c r="Y6334">
        <v>-1.428482E-2</v>
      </c>
      <c r="Z6334">
        <v>-2.5161909999999999E-2</v>
      </c>
      <c r="AA6334">
        <v>0.99958130000000001</v>
      </c>
      <c r="AB6334">
        <v>28</v>
      </c>
      <c r="AC6334">
        <v>-0.15700000000000999</v>
      </c>
      <c r="AD6334">
        <v>-1.109895226788</v>
      </c>
      <c r="AE6334">
        <v>43.560220000000001</v>
      </c>
      <c r="AF6334">
        <v>-0.629720147763701</v>
      </c>
      <c r="AG6334">
        <v>-1.109895226788</v>
      </c>
      <c r="AH6334">
        <v>43.527686939041402</v>
      </c>
      <c r="AI6334">
        <v>91.460493089095806</v>
      </c>
      <c r="AJ6334">
        <v>90.828846934489505</v>
      </c>
      <c r="AK6334">
        <v>43.546388428228397</v>
      </c>
      <c r="AL6334">
        <v>78.480951773515798</v>
      </c>
      <c r="AM6334">
        <v>88.457535086023896</v>
      </c>
      <c r="AN6334">
        <v>0.99999998224926401</v>
      </c>
    </row>
    <row r="6335" spans="1:40" x14ac:dyDescent="0.25">
      <c r="A6335" t="str">
        <f>"20190312172832359"</f>
        <v>20190312172832359</v>
      </c>
      <c r="B6335" t="str">
        <f>"1552382912355737"</f>
        <v>1552382912355737</v>
      </c>
      <c r="C6335" t="s">
        <v>40</v>
      </c>
      <c r="D6335">
        <v>3.2984010000000001</v>
      </c>
      <c r="E6335">
        <v>0.48427569999999998</v>
      </c>
      <c r="F6335" t="s">
        <v>41</v>
      </c>
      <c r="G6335">
        <v>-188.14009999999999</v>
      </c>
      <c r="H6335" s="1">
        <v>-2.3152529999999999E-6</v>
      </c>
      <c r="I6335">
        <v>84.260649999999998</v>
      </c>
      <c r="J6335">
        <v>-187.71629999999999</v>
      </c>
      <c r="K6335">
        <v>1.109896</v>
      </c>
      <c r="L6335">
        <v>43.009279999999997</v>
      </c>
      <c r="M6335">
        <v>1.108485E-2</v>
      </c>
      <c r="N6335">
        <v>0</v>
      </c>
      <c r="O6335">
        <v>0.99983880000000003</v>
      </c>
      <c r="P6335">
        <v>3.7325919999999999E-2</v>
      </c>
      <c r="Q6335">
        <v>0.18608530000000001</v>
      </c>
      <c r="R6335">
        <v>0.98182429999999998</v>
      </c>
      <c r="S6335">
        <v>-3.1082149999999999E-2</v>
      </c>
      <c r="T6335">
        <v>-8.2072729999999997E-2</v>
      </c>
      <c r="U6335">
        <v>3.0720519999999998</v>
      </c>
      <c r="V6335">
        <v>2.652767E-2</v>
      </c>
      <c r="W6335">
        <v>0.19992740000000001</v>
      </c>
      <c r="X6335">
        <v>0.97945150000000003</v>
      </c>
      <c r="Y6335">
        <v>-2.1198359999999999E-2</v>
      </c>
      <c r="Z6335">
        <v>-2.670026E-2</v>
      </c>
      <c r="AA6335">
        <v>0.99941869999999999</v>
      </c>
      <c r="AB6335">
        <v>28</v>
      </c>
      <c r="AC6335">
        <v>-0.42380000000000001</v>
      </c>
      <c r="AD6335">
        <v>-1.109898315253</v>
      </c>
      <c r="AE6335">
        <v>41.251370000000001</v>
      </c>
      <c r="AF6335">
        <v>-0.880447519912407</v>
      </c>
      <c r="AG6335">
        <v>-1.109898315253</v>
      </c>
      <c r="AH6335">
        <v>41.214304184455997</v>
      </c>
      <c r="AI6335">
        <v>91.542246776935698</v>
      </c>
      <c r="AJ6335">
        <v>91.223804603214802</v>
      </c>
      <c r="AK6335">
        <v>41.238646092159598</v>
      </c>
      <c r="AL6335">
        <v>78.467285936390894</v>
      </c>
      <c r="AM6335">
        <v>88.448568361039307</v>
      </c>
      <c r="AN6335">
        <v>0.99999996169931804</v>
      </c>
    </row>
    <row r="6336" spans="1:40" x14ac:dyDescent="0.25">
      <c r="A6336" t="str">
        <f>"20190312172832381"</f>
        <v>20190312172832381</v>
      </c>
      <c r="B6336" t="str">
        <f>"1552382912376234"</f>
        <v>1552382912376234</v>
      </c>
      <c r="C6336" t="s">
        <v>40</v>
      </c>
      <c r="D6336">
        <v>3.1657579999999998</v>
      </c>
      <c r="E6336">
        <v>0.4838443</v>
      </c>
      <c r="F6336" t="s">
        <v>41</v>
      </c>
      <c r="G6336">
        <v>-188.2321</v>
      </c>
      <c r="H6336" s="1">
        <v>-2.0501979999999998E-6</v>
      </c>
      <c r="I6336">
        <v>83.680850000000007</v>
      </c>
      <c r="J6336">
        <v>-187.7132</v>
      </c>
      <c r="K6336">
        <v>1.1098969999999999</v>
      </c>
      <c r="L6336">
        <v>43.275910000000003</v>
      </c>
      <c r="M6336">
        <v>1.128906E-2</v>
      </c>
      <c r="N6336">
        <v>0</v>
      </c>
      <c r="O6336">
        <v>0.99983659999999996</v>
      </c>
      <c r="P6336">
        <v>3.7658869999999997E-2</v>
      </c>
      <c r="Q6336">
        <v>0.18633749999999999</v>
      </c>
      <c r="R6336">
        <v>0.98176379999999996</v>
      </c>
      <c r="S6336">
        <v>-3.8970949999999997E-2</v>
      </c>
      <c r="T6336">
        <v>-8.3857420000000002E-2</v>
      </c>
      <c r="U6336">
        <v>3.0729060000000001</v>
      </c>
      <c r="V6336">
        <v>2.666058E-2</v>
      </c>
      <c r="W6336">
        <v>0.2001764</v>
      </c>
      <c r="X6336">
        <v>0.97939710000000002</v>
      </c>
      <c r="Y6336">
        <v>-2.3964849999999999E-2</v>
      </c>
      <c r="Z6336">
        <v>-2.7271509999999999E-2</v>
      </c>
      <c r="AA6336">
        <v>0.99934080000000003</v>
      </c>
      <c r="AB6336">
        <v>28</v>
      </c>
      <c r="AC6336">
        <v>-0.51890000000000203</v>
      </c>
      <c r="AD6336">
        <v>-1.1098990501979999</v>
      </c>
      <c r="AE6336">
        <v>40.404940000000003</v>
      </c>
      <c r="AF6336">
        <v>-0.97431112456497604</v>
      </c>
      <c r="AG6336">
        <v>-1.1098990501979999</v>
      </c>
      <c r="AH6336">
        <v>40.366052382926199</v>
      </c>
      <c r="AI6336">
        <v>91.574541152559107</v>
      </c>
      <c r="AJ6336">
        <v>91.382673683740094</v>
      </c>
      <c r="AK6336">
        <v>40.393060580379696</v>
      </c>
      <c r="AL6336">
        <v>78.452725723291394</v>
      </c>
      <c r="AM6336">
        <v>88.440712581179</v>
      </c>
      <c r="AN6336">
        <v>1.0000000285656501</v>
      </c>
    </row>
    <row r="6337" spans="1:40" x14ac:dyDescent="0.25">
      <c r="A6337" t="str">
        <f>"20190312172832402"</f>
        <v>20190312172832402</v>
      </c>
      <c r="B6337" t="str">
        <f>"1552382912395754"</f>
        <v>1552382912395754</v>
      </c>
      <c r="C6337" t="s">
        <v>40</v>
      </c>
      <c r="D6337">
        <v>3.3055509999999999</v>
      </c>
      <c r="E6337">
        <v>0.48341810000000002</v>
      </c>
      <c r="F6337" t="s">
        <v>41</v>
      </c>
      <c r="G6337">
        <v>-188.2713</v>
      </c>
      <c r="H6337" s="1">
        <v>-2.5627960000000002E-6</v>
      </c>
      <c r="I6337">
        <v>84.891930000000002</v>
      </c>
      <c r="J6337">
        <v>-187.7097</v>
      </c>
      <c r="K6337">
        <v>1.109899</v>
      </c>
      <c r="L6337">
        <v>43.555660000000003</v>
      </c>
      <c r="M6337">
        <v>1.150326E-2</v>
      </c>
      <c r="N6337">
        <v>0</v>
      </c>
      <c r="O6337">
        <v>0.99983420000000001</v>
      </c>
      <c r="P6337">
        <v>3.7749919999999999E-2</v>
      </c>
      <c r="Q6337">
        <v>0.1863041</v>
      </c>
      <c r="R6337">
        <v>0.98176660000000004</v>
      </c>
      <c r="S6337">
        <v>-4.1213989999999999E-2</v>
      </c>
      <c r="T6337">
        <v>-8.1952810000000001E-2</v>
      </c>
      <c r="U6337">
        <v>3.072845</v>
      </c>
      <c r="V6337">
        <v>2.6540959999999999E-2</v>
      </c>
      <c r="W6337">
        <v>0.2001404</v>
      </c>
      <c r="X6337">
        <v>0.97940769999999999</v>
      </c>
      <c r="Y6337">
        <v>-2.4908840000000002E-2</v>
      </c>
      <c r="Z6337">
        <v>-2.6652550000000001E-2</v>
      </c>
      <c r="AA6337">
        <v>0.99933439999999996</v>
      </c>
      <c r="AB6337">
        <v>28</v>
      </c>
      <c r="AC6337">
        <v>-0.56159999999999799</v>
      </c>
      <c r="AD6337">
        <v>-1.1099015627960001</v>
      </c>
      <c r="AE6337">
        <v>41.336269999999999</v>
      </c>
      <c r="AF6337">
        <v>-1.03636504254326</v>
      </c>
      <c r="AG6337">
        <v>-1.1099015627960001</v>
      </c>
      <c r="AH6337">
        <v>41.297305698385699</v>
      </c>
      <c r="AI6337">
        <v>91.539019774229899</v>
      </c>
      <c r="AJ6337">
        <v>91.437548565554195</v>
      </c>
      <c r="AK6337">
        <v>41.325214965277901</v>
      </c>
      <c r="AL6337">
        <v>78.454830903623503</v>
      </c>
      <c r="AM6337">
        <v>88.447722112934301</v>
      </c>
      <c r="AN6337">
        <v>1.00000002254458</v>
      </c>
    </row>
    <row r="6338" spans="1:40" x14ac:dyDescent="0.25">
      <c r="A6338" t="str">
        <f>"20190312172832425"</f>
        <v>20190312172832425</v>
      </c>
      <c r="B6338" t="str">
        <f>"1552382912416251"</f>
        <v>1552382912416251</v>
      </c>
      <c r="C6338" t="s">
        <v>40</v>
      </c>
      <c r="D6338">
        <v>3.1785809999999999</v>
      </c>
      <c r="E6338">
        <v>0.48308069999999997</v>
      </c>
      <c r="F6338" t="s">
        <v>41</v>
      </c>
      <c r="G6338">
        <v>-188.3124</v>
      </c>
      <c r="H6338" s="1">
        <v>-2.8622700000000001E-6</v>
      </c>
      <c r="I6338">
        <v>85.606989999999996</v>
      </c>
      <c r="J6338">
        <v>-187.7062</v>
      </c>
      <c r="K6338">
        <v>1.109899</v>
      </c>
      <c r="L6338">
        <v>43.842860000000002</v>
      </c>
      <c r="M6338">
        <v>1.172335E-2</v>
      </c>
      <c r="N6338">
        <v>0</v>
      </c>
      <c r="O6338">
        <v>0.99983160000000004</v>
      </c>
      <c r="P6338">
        <v>3.7719309999999999E-2</v>
      </c>
      <c r="Q6338">
        <v>0.18598339999999999</v>
      </c>
      <c r="R6338">
        <v>0.98182860000000005</v>
      </c>
      <c r="S6338">
        <v>-4.4036869999999999E-2</v>
      </c>
      <c r="T6338">
        <v>-8.1103800000000004E-2</v>
      </c>
      <c r="U6338">
        <v>3.0728149999999999</v>
      </c>
      <c r="V6338">
        <v>2.629306E-2</v>
      </c>
      <c r="W6338">
        <v>0.19981850000000001</v>
      </c>
      <c r="X6338">
        <v>0.97948009999999996</v>
      </c>
      <c r="Y6338">
        <v>-2.6046989999999999E-2</v>
      </c>
      <c r="Z6338">
        <v>-2.6376239999999999E-2</v>
      </c>
      <c r="AA6338">
        <v>0.99931270000000005</v>
      </c>
      <c r="AB6338">
        <v>28</v>
      </c>
      <c r="AC6338">
        <v>-0.60620000000000096</v>
      </c>
      <c r="AD6338">
        <v>-1.1099018622700001</v>
      </c>
      <c r="AE6338">
        <v>41.764130000000002</v>
      </c>
      <c r="AF6338">
        <v>-1.09504942998004</v>
      </c>
      <c r="AG6338">
        <v>-1.1099018622700001</v>
      </c>
      <c r="AH6338">
        <v>41.724689844550099</v>
      </c>
      <c r="AI6338">
        <v>91.523218646175707</v>
      </c>
      <c r="AJ6338">
        <v>91.503361960958898</v>
      </c>
      <c r="AK6338">
        <v>41.753811299351703</v>
      </c>
      <c r="AL6338">
        <v>78.473654530924804</v>
      </c>
      <c r="AM6338">
        <v>88.462327442162803</v>
      </c>
      <c r="AN6338">
        <v>1.00000001212121</v>
      </c>
    </row>
    <row r="6339" spans="1:40" x14ac:dyDescent="0.25">
      <c r="A6339" t="str">
        <f>"20190312172832449"</f>
        <v>20190312172832449</v>
      </c>
      <c r="B6339" t="str">
        <f>"1552382912445530"</f>
        <v>1552382912445530</v>
      </c>
      <c r="C6339" t="s">
        <v>40</v>
      </c>
      <c r="D6339">
        <v>3.3006730000000002</v>
      </c>
      <c r="E6339">
        <v>0.48270990000000003</v>
      </c>
      <c r="F6339" t="s">
        <v>41</v>
      </c>
      <c r="G6339">
        <v>-188.33629999999999</v>
      </c>
      <c r="H6339" s="1">
        <v>-2.8591190000000002E-6</v>
      </c>
      <c r="I6339">
        <v>85.609539999999996</v>
      </c>
      <c r="J6339">
        <v>-187.70249999999999</v>
      </c>
      <c r="K6339">
        <v>1.1099000000000001</v>
      </c>
      <c r="L6339">
        <v>44.137450000000001</v>
      </c>
      <c r="M6339">
        <v>1.194898E-2</v>
      </c>
      <c r="N6339">
        <v>0</v>
      </c>
      <c r="O6339">
        <v>0.99982899999999997</v>
      </c>
      <c r="P6339">
        <v>3.7951539999999999E-2</v>
      </c>
      <c r="Q6339">
        <v>0.18618850000000001</v>
      </c>
      <c r="R6339">
        <v>0.98178080000000001</v>
      </c>
      <c r="S6339">
        <v>-4.6356199999999903E-2</v>
      </c>
      <c r="T6339">
        <v>-8.1655740000000004E-2</v>
      </c>
      <c r="U6339">
        <v>3.072784</v>
      </c>
      <c r="V6339">
        <v>2.6304080000000001E-2</v>
      </c>
      <c r="W6339">
        <v>0.2000199</v>
      </c>
      <c r="X6339">
        <v>0.9794387</v>
      </c>
      <c r="Y6339">
        <v>-2.702676E-2</v>
      </c>
      <c r="Z6339">
        <v>-2.6555280000000001E-2</v>
      </c>
      <c r="AA6339">
        <v>0.99928189999999995</v>
      </c>
      <c r="AB6339">
        <v>28</v>
      </c>
      <c r="AC6339">
        <v>-0.63380000000000702</v>
      </c>
      <c r="AD6339">
        <v>-1.1099028591189899</v>
      </c>
      <c r="AE6339">
        <v>41.472090000000001</v>
      </c>
      <c r="AF6339">
        <v>-1.1285451596407401</v>
      </c>
      <c r="AG6339">
        <v>-1.1099028591189899</v>
      </c>
      <c r="AH6339">
        <v>41.431886420323501</v>
      </c>
      <c r="AI6339">
        <v>91.533938918813405</v>
      </c>
      <c r="AJ6339">
        <v>91.5602690548955</v>
      </c>
      <c r="AK6339">
        <v>41.462111751340103</v>
      </c>
      <c r="AL6339">
        <v>78.461877454901099</v>
      </c>
      <c r="AM6339">
        <v>88.461618287332499</v>
      </c>
      <c r="AN6339">
        <v>1.00000001603917</v>
      </c>
    </row>
    <row r="6340" spans="1:40" x14ac:dyDescent="0.25">
      <c r="A6340" t="str">
        <f>"20190312172832469"</f>
        <v>20190312172832469</v>
      </c>
      <c r="B6340" t="str">
        <f>"1552382912466026"</f>
        <v>1552382912466026</v>
      </c>
      <c r="C6340" t="s">
        <v>40</v>
      </c>
      <c r="D6340">
        <v>3.348849</v>
      </c>
      <c r="E6340">
        <v>0.48245670000000002</v>
      </c>
      <c r="F6340" t="s">
        <v>41</v>
      </c>
      <c r="G6340">
        <v>-188.36500000000001</v>
      </c>
      <c r="H6340" s="1">
        <v>-3.1347900000000002E-6</v>
      </c>
      <c r="I6340">
        <v>86.263990000000007</v>
      </c>
      <c r="J6340">
        <v>-187.69909999999999</v>
      </c>
      <c r="K6340">
        <v>1.1099049999999999</v>
      </c>
      <c r="L6340">
        <v>44.4024</v>
      </c>
      <c r="M6340">
        <v>1.215171E-2</v>
      </c>
      <c r="N6340">
        <v>0</v>
      </c>
      <c r="O6340">
        <v>0.99982660000000001</v>
      </c>
      <c r="P6340">
        <v>3.8026369999999997E-2</v>
      </c>
      <c r="Q6340">
        <v>0.18615280000000001</v>
      </c>
      <c r="R6340">
        <v>0.98178460000000001</v>
      </c>
      <c r="S6340">
        <v>-4.8324579999999999E-2</v>
      </c>
      <c r="T6340">
        <v>-8.0960749999999998E-2</v>
      </c>
      <c r="U6340">
        <v>3.0728759999999999</v>
      </c>
      <c r="V6340">
        <v>2.6179600000000001E-2</v>
      </c>
      <c r="W6340">
        <v>0.19998150000000001</v>
      </c>
      <c r="X6340">
        <v>0.97944989999999998</v>
      </c>
      <c r="Y6340">
        <v>-2.7869029999999999E-2</v>
      </c>
      <c r="Z6340">
        <v>-2.63281E-2</v>
      </c>
      <c r="AA6340">
        <v>0.99926479999999995</v>
      </c>
      <c r="AB6340">
        <v>28</v>
      </c>
      <c r="AC6340">
        <v>-0.66590000000002103</v>
      </c>
      <c r="AD6340">
        <v>-1.1099081347899999</v>
      </c>
      <c r="AE6340">
        <v>41.86159</v>
      </c>
      <c r="AF6340">
        <v>-1.1737664496478499</v>
      </c>
      <c r="AG6340">
        <v>-1.1099081347899999</v>
      </c>
      <c r="AH6340">
        <v>41.821014038737999</v>
      </c>
      <c r="AI6340">
        <v>91.519645436016702</v>
      </c>
      <c r="AJ6340">
        <v>91.6076657857855</v>
      </c>
      <c r="AK6340">
        <v>41.852202319284302</v>
      </c>
      <c r="AL6340">
        <v>78.464123252878196</v>
      </c>
      <c r="AM6340">
        <v>88.468912467638205</v>
      </c>
      <c r="AN6340">
        <v>1.0000000392042001</v>
      </c>
    </row>
    <row r="6341" spans="1:40" x14ac:dyDescent="0.25">
      <c r="A6341" t="str">
        <f>"20190312172832495"</f>
        <v>20190312172832495</v>
      </c>
      <c r="B6341" t="str">
        <f>"1552382912485545"</f>
        <v>1552382912485545</v>
      </c>
      <c r="C6341" t="s">
        <v>40</v>
      </c>
      <c r="D6341">
        <v>3.3733710000000001</v>
      </c>
      <c r="E6341">
        <v>0.48228759999999998</v>
      </c>
      <c r="F6341" t="s">
        <v>41</v>
      </c>
      <c r="G6341">
        <v>-188.38040000000001</v>
      </c>
      <c r="H6341" s="1">
        <v>-3.0061380000000001E-6</v>
      </c>
      <c r="I6341">
        <v>85.970479999999995</v>
      </c>
      <c r="J6341">
        <v>-187.6951</v>
      </c>
      <c r="K6341">
        <v>1.109901</v>
      </c>
      <c r="L6341">
        <v>44.710509999999999</v>
      </c>
      <c r="M6341">
        <v>1.238765E-2</v>
      </c>
      <c r="N6341">
        <v>0</v>
      </c>
      <c r="O6341">
        <v>0.99982369999999998</v>
      </c>
      <c r="P6341">
        <v>3.8234549999999999E-2</v>
      </c>
      <c r="Q6341">
        <v>0.18605250000000001</v>
      </c>
      <c r="R6341">
        <v>0.98179559999999999</v>
      </c>
      <c r="S6341">
        <v>-5.0369259999999999E-2</v>
      </c>
      <c r="T6341">
        <v>-8.2056879999999999E-2</v>
      </c>
      <c r="U6341">
        <v>3.0731809999999999</v>
      </c>
      <c r="V6341">
        <v>2.6155609999999999E-2</v>
      </c>
      <c r="W6341">
        <v>0.19987830000000001</v>
      </c>
      <c r="X6341">
        <v>0.9794716</v>
      </c>
      <c r="Y6341">
        <v>-2.8767859999999999E-2</v>
      </c>
      <c r="Z6341">
        <v>-2.6681050000000001E-2</v>
      </c>
      <c r="AA6341">
        <v>0.99922999999999995</v>
      </c>
      <c r="AB6341">
        <v>28</v>
      </c>
      <c r="AC6341">
        <v>-0.68530000000001201</v>
      </c>
      <c r="AD6341">
        <v>-1.1099040061380001</v>
      </c>
      <c r="AE6341">
        <v>41.259970000000003</v>
      </c>
      <c r="AF6341">
        <v>-1.1955474783906399</v>
      </c>
      <c r="AG6341">
        <v>-1.1099040061380001</v>
      </c>
      <c r="AH6341">
        <v>41.218494924818202</v>
      </c>
      <c r="AI6341">
        <v>91.541801514967105</v>
      </c>
      <c r="AJ6341">
        <v>91.661405273695493</v>
      </c>
      <c r="AK6341">
        <v>41.250764169202903</v>
      </c>
      <c r="AL6341">
        <v>78.470157944963802</v>
      </c>
      <c r="AM6341">
        <v>88.470348705474905</v>
      </c>
      <c r="AN6341">
        <v>1.00000003297596</v>
      </c>
    </row>
    <row r="6342" spans="1:40" x14ac:dyDescent="0.25">
      <c r="A6342" t="str">
        <f>"20190312172832517"</f>
        <v>20190312172832517</v>
      </c>
      <c r="B6342" t="str">
        <f>"1552382912506041"</f>
        <v>1552382912506041</v>
      </c>
      <c r="C6342" t="s">
        <v>40</v>
      </c>
      <c r="D6342">
        <v>3.222172</v>
      </c>
      <c r="E6342">
        <v>0.48215849999999999</v>
      </c>
      <c r="F6342" t="s">
        <v>41</v>
      </c>
      <c r="G6342">
        <v>-188.38560000000001</v>
      </c>
      <c r="H6342" s="1">
        <v>-3.1297790000000001E-6</v>
      </c>
      <c r="I6342">
        <v>86.260840000000002</v>
      </c>
      <c r="J6342">
        <v>-187.69130000000001</v>
      </c>
      <c r="K6342">
        <v>1.109901</v>
      </c>
      <c r="L6342">
        <v>44.99738</v>
      </c>
      <c r="M6342">
        <v>1.260727E-2</v>
      </c>
      <c r="N6342">
        <v>0</v>
      </c>
      <c r="O6342">
        <v>0.99982110000000002</v>
      </c>
      <c r="P6342">
        <v>3.8210019999999997E-2</v>
      </c>
      <c r="Q6342">
        <v>0.18586359999999999</v>
      </c>
      <c r="R6342">
        <v>0.98183229999999999</v>
      </c>
      <c r="S6342">
        <v>-5.1071169999999999E-2</v>
      </c>
      <c r="T6342">
        <v>-8.2091689999999995E-2</v>
      </c>
      <c r="U6342">
        <v>3.0731809999999999</v>
      </c>
      <c r="V6342">
        <v>2.5914630000000001E-2</v>
      </c>
      <c r="W6342">
        <v>0.19968720000000001</v>
      </c>
      <c r="X6342">
        <v>0.97951690000000002</v>
      </c>
      <c r="Y6342">
        <v>-2.921559E-2</v>
      </c>
      <c r="Z6342">
        <v>-2.6692029999999999E-2</v>
      </c>
      <c r="AA6342">
        <v>0.99921669999999996</v>
      </c>
      <c r="AB6342">
        <v>28</v>
      </c>
      <c r="AC6342">
        <v>-0.69429999999999803</v>
      </c>
      <c r="AD6342">
        <v>-1.109904129779</v>
      </c>
      <c r="AE6342">
        <v>41.263459999999903</v>
      </c>
      <c r="AF6342">
        <v>-1.21363829397175</v>
      </c>
      <c r="AG6342">
        <v>-1.109904129779</v>
      </c>
      <c r="AH6342">
        <v>41.221610374705698</v>
      </c>
      <c r="AI6342">
        <v>91.541665569186904</v>
      </c>
      <c r="AJ6342">
        <v>91.686403565776104</v>
      </c>
      <c r="AK6342">
        <v>41.254405424996001</v>
      </c>
      <c r="AL6342">
        <v>78.481331493801406</v>
      </c>
      <c r="AM6342">
        <v>88.484505326647295</v>
      </c>
      <c r="AN6342">
        <v>0.999999951638742</v>
      </c>
    </row>
    <row r="6343" spans="1:40" x14ac:dyDescent="0.25">
      <c r="A6343" t="str">
        <f>"20190312172832538"</f>
        <v>20190312172832538</v>
      </c>
      <c r="B6343" t="str">
        <f>"1552382912526539"</f>
        <v>1552382912526539</v>
      </c>
      <c r="C6343" t="s">
        <v>40</v>
      </c>
      <c r="D6343">
        <v>3.2021060000000001</v>
      </c>
      <c r="E6343">
        <v>0.48205360000000003</v>
      </c>
      <c r="F6343" t="s">
        <v>41</v>
      </c>
      <c r="G6343">
        <v>-188.39160000000001</v>
      </c>
      <c r="H6343" s="1">
        <v>-3.2001469999999999E-6</v>
      </c>
      <c r="I6343">
        <v>86.427319999999995</v>
      </c>
      <c r="J6343">
        <v>-187.68780000000001</v>
      </c>
      <c r="K6343">
        <v>1.1099060000000001</v>
      </c>
      <c r="L6343">
        <v>45.259120000000003</v>
      </c>
      <c r="M6343">
        <v>1.280771E-2</v>
      </c>
      <c r="N6343">
        <v>0</v>
      </c>
      <c r="O6343">
        <v>0.9998186</v>
      </c>
      <c r="P6343">
        <v>3.8598439999999998E-2</v>
      </c>
      <c r="Q6343">
        <v>0.18575620000000001</v>
      </c>
      <c r="R6343">
        <v>0.98183750000000003</v>
      </c>
      <c r="S6343">
        <v>-5.1940920000000002E-2</v>
      </c>
      <c r="T6343">
        <v>-8.2328559999999995E-2</v>
      </c>
      <c r="U6343">
        <v>3.0731199999999999</v>
      </c>
      <c r="V6343">
        <v>2.610583E-2</v>
      </c>
      <c r="W6343">
        <v>0.1995779</v>
      </c>
      <c r="X6343">
        <v>0.97953409999999996</v>
      </c>
      <c r="Y6343">
        <v>-2.969898E-2</v>
      </c>
      <c r="Z6343">
        <v>-2.6769169999999998E-2</v>
      </c>
      <c r="AA6343">
        <v>0.99920030000000004</v>
      </c>
      <c r="AB6343">
        <v>28</v>
      </c>
      <c r="AC6343">
        <v>-0.70380000000000098</v>
      </c>
      <c r="AD6343">
        <v>-1.1099092001469999</v>
      </c>
      <c r="AE6343">
        <v>41.168199999999899</v>
      </c>
      <c r="AF6343">
        <v>-1.2301711264433699</v>
      </c>
      <c r="AG6343">
        <v>-1.1099092001469999</v>
      </c>
      <c r="AH6343">
        <v>41.125923584590304</v>
      </c>
      <c r="AI6343">
        <v>91.545236300286604</v>
      </c>
      <c r="AJ6343">
        <v>91.713337892953405</v>
      </c>
      <c r="AK6343">
        <v>41.159285831006201</v>
      </c>
      <c r="AL6343">
        <v>78.487722583373397</v>
      </c>
      <c r="AM6343">
        <v>88.473355965143099</v>
      </c>
      <c r="AN6343">
        <v>0.99999995279560305</v>
      </c>
    </row>
    <row r="6344" spans="1:40" x14ac:dyDescent="0.25">
      <c r="A6344" t="str">
        <f>"20190312172832560"</f>
        <v>20190312172832560</v>
      </c>
      <c r="B6344" t="str">
        <f>"1552382912555818"</f>
        <v>1552382912555818</v>
      </c>
      <c r="C6344" t="s">
        <v>40</v>
      </c>
      <c r="D6344">
        <v>3.1936450000000001</v>
      </c>
      <c r="E6344">
        <v>0.4820892</v>
      </c>
      <c r="F6344" t="s">
        <v>41</v>
      </c>
      <c r="G6344">
        <v>-188.38460000000001</v>
      </c>
      <c r="H6344" s="1">
        <v>-3.3793200000000001E-6</v>
      </c>
      <c r="I6344">
        <v>86.842119999999994</v>
      </c>
      <c r="J6344">
        <v>-187.68389999999999</v>
      </c>
      <c r="K6344">
        <v>1.109907</v>
      </c>
      <c r="L6344">
        <v>45.539400000000001</v>
      </c>
      <c r="M6344">
        <v>1.3022570000000001E-2</v>
      </c>
      <c r="N6344">
        <v>0</v>
      </c>
      <c r="O6344">
        <v>0.99981580000000003</v>
      </c>
      <c r="P6344">
        <v>3.8319100000000002E-2</v>
      </c>
      <c r="Q6344">
        <v>0.1863406</v>
      </c>
      <c r="R6344">
        <v>0.98173770000000005</v>
      </c>
      <c r="S6344">
        <v>-5.1498410000000001E-2</v>
      </c>
      <c r="T6344">
        <v>-8.2023499999999999E-2</v>
      </c>
      <c r="U6344">
        <v>3.073029</v>
      </c>
      <c r="V6344">
        <v>2.5616779999999999E-2</v>
      </c>
      <c r="W6344">
        <v>0.20015810000000001</v>
      </c>
      <c r="X6344">
        <v>0.97942859999999998</v>
      </c>
      <c r="Y6344">
        <v>-2.977049E-2</v>
      </c>
      <c r="Z6344">
        <v>-2.6670739999999998E-2</v>
      </c>
      <c r="AA6344">
        <v>0.99920089999999995</v>
      </c>
      <c r="AB6344">
        <v>28</v>
      </c>
      <c r="AC6344">
        <v>-0.70070000000001098</v>
      </c>
      <c r="AD6344">
        <v>-1.10991037932</v>
      </c>
      <c r="AE6344">
        <v>41.302720000000001</v>
      </c>
      <c r="AF6344">
        <v>-1.23766809288238</v>
      </c>
      <c r="AG6344">
        <v>-1.10991037932</v>
      </c>
      <c r="AH6344">
        <v>41.2603041790004</v>
      </c>
      <c r="AI6344">
        <v>91.540203804300504</v>
      </c>
      <c r="AJ6344">
        <v>91.7181623341408</v>
      </c>
      <c r="AK6344">
        <v>41.293781908441098</v>
      </c>
      <c r="AL6344">
        <v>78.453794781152794</v>
      </c>
      <c r="AM6344">
        <v>88.501780695121496</v>
      </c>
      <c r="AN6344">
        <v>0.99999993345556704</v>
      </c>
    </row>
    <row r="6345" spans="1:40" x14ac:dyDescent="0.25">
      <c r="A6345" t="str">
        <f>"20190312172832583"</f>
        <v>20190312172832583</v>
      </c>
      <c r="B6345" t="str">
        <f>"1552382912576314"</f>
        <v>1552382912576314</v>
      </c>
      <c r="C6345" t="s">
        <v>40</v>
      </c>
      <c r="D6345">
        <v>3.4676589999999998</v>
      </c>
      <c r="E6345">
        <v>0.48201490000000002</v>
      </c>
      <c r="F6345" t="s">
        <v>41</v>
      </c>
      <c r="G6345">
        <v>-188.3938</v>
      </c>
      <c r="H6345" s="1">
        <v>-3.70949E-6</v>
      </c>
      <c r="I6345">
        <v>87.615549999999999</v>
      </c>
      <c r="J6345">
        <v>-187.68020000000001</v>
      </c>
      <c r="K6345">
        <v>1.109915</v>
      </c>
      <c r="L6345">
        <v>45.807279999999999</v>
      </c>
      <c r="M6345">
        <v>1.3227849999999999E-2</v>
      </c>
      <c r="N6345">
        <v>0</v>
      </c>
      <c r="O6345">
        <v>0.99981310000000001</v>
      </c>
      <c r="P6345">
        <v>3.8567240000000003E-2</v>
      </c>
      <c r="Q6345">
        <v>0.18656880000000001</v>
      </c>
      <c r="R6345">
        <v>0.98168460000000002</v>
      </c>
      <c r="S6345">
        <v>-5.1849369999999999E-2</v>
      </c>
      <c r="T6345">
        <v>-8.1067089999999994E-2</v>
      </c>
      <c r="U6345">
        <v>3.0732119999999998</v>
      </c>
      <c r="V6345">
        <v>2.566388E-2</v>
      </c>
      <c r="W6345">
        <v>0.2003828</v>
      </c>
      <c r="X6345">
        <v>0.97938150000000002</v>
      </c>
      <c r="Y6345">
        <v>-3.0088940000000002E-2</v>
      </c>
      <c r="Z6345">
        <v>-2.6358139999999999E-2</v>
      </c>
      <c r="AA6345">
        <v>0.99919959999999997</v>
      </c>
      <c r="AB6345">
        <v>28</v>
      </c>
      <c r="AC6345">
        <v>-0.71359999999998502</v>
      </c>
      <c r="AD6345">
        <v>-1.10991870949</v>
      </c>
      <c r="AE6345">
        <v>41.80827</v>
      </c>
      <c r="AF6345">
        <v>-1.26573424107263</v>
      </c>
      <c r="AG6345">
        <v>-1.10991870949</v>
      </c>
      <c r="AH6345">
        <v>41.765743673743103</v>
      </c>
      <c r="AI6345">
        <v>91.521570684295398</v>
      </c>
      <c r="AJ6345">
        <v>91.735849383504103</v>
      </c>
      <c r="AK6345">
        <v>41.799657263325898</v>
      </c>
      <c r="AL6345">
        <v>78.440655118314396</v>
      </c>
      <c r="AM6345">
        <v>88.498955119177097</v>
      </c>
      <c r="AN6345">
        <v>1.00000001190737</v>
      </c>
    </row>
    <row r="6346" spans="1:40" x14ac:dyDescent="0.25">
      <c r="A6346" t="str">
        <f>"20190312172832604"</f>
        <v>20190312172832604</v>
      </c>
      <c r="B6346" t="str">
        <f>"1552382912595834"</f>
        <v>1552382912595834</v>
      </c>
      <c r="C6346" t="s">
        <v>40</v>
      </c>
      <c r="D6346">
        <v>3.1881390000000001</v>
      </c>
      <c r="E6346">
        <v>0.48192679999999999</v>
      </c>
      <c r="F6346" t="s">
        <v>41</v>
      </c>
      <c r="G6346">
        <v>-188.4014</v>
      </c>
      <c r="H6346" s="1">
        <v>-4.2767780000000001E-6</v>
      </c>
      <c r="I6346">
        <v>88.941029999999998</v>
      </c>
      <c r="J6346">
        <v>-187.6763</v>
      </c>
      <c r="K6346">
        <v>1.109915</v>
      </c>
      <c r="L6346">
        <v>46.085659999999997</v>
      </c>
      <c r="M6346">
        <v>1.344149E-2</v>
      </c>
      <c r="N6346">
        <v>0</v>
      </c>
      <c r="O6346">
        <v>0.99981030000000004</v>
      </c>
      <c r="P6346">
        <v>3.8358950000000003E-2</v>
      </c>
      <c r="Q6346">
        <v>0.18671509999999999</v>
      </c>
      <c r="R6346">
        <v>0.98166500000000001</v>
      </c>
      <c r="S6346">
        <v>-5.137634E-2</v>
      </c>
      <c r="T6346">
        <v>-7.9075339999999994E-2</v>
      </c>
      <c r="U6346">
        <v>3.073029</v>
      </c>
      <c r="V6346">
        <v>2.5245819999999999E-2</v>
      </c>
      <c r="W6346">
        <v>0.2005267</v>
      </c>
      <c r="X6346">
        <v>0.97936290000000004</v>
      </c>
      <c r="Y6346">
        <v>-3.0150039999999999E-2</v>
      </c>
      <c r="Z6346">
        <v>-2.5712410000000002E-2</v>
      </c>
      <c r="AA6346">
        <v>0.99921459999999995</v>
      </c>
      <c r="AB6346">
        <v>28</v>
      </c>
      <c r="AC6346">
        <v>-0.72509999999999697</v>
      </c>
      <c r="AD6346">
        <v>-1.109919276778</v>
      </c>
      <c r="AE6346">
        <v>42.855370000000001</v>
      </c>
      <c r="AF6346">
        <v>-1.3002598204431199</v>
      </c>
      <c r="AG6346">
        <v>-1.109919276778</v>
      </c>
      <c r="AH6346">
        <v>42.8130408487851</v>
      </c>
      <c r="AI6346">
        <v>91.484364551910502</v>
      </c>
      <c r="AJ6346">
        <v>91.739575271455905</v>
      </c>
      <c r="AK6346">
        <v>42.847159335495803</v>
      </c>
      <c r="AL6346">
        <v>78.432239295389607</v>
      </c>
      <c r="AM6346">
        <v>88.523367924811197</v>
      </c>
      <c r="AN6346">
        <v>0.99999999936838602</v>
      </c>
    </row>
    <row r="6347" spans="1:40" x14ac:dyDescent="0.25">
      <c r="A6347" t="str">
        <f>"20190312172832627"</f>
        <v>20190312172832627</v>
      </c>
      <c r="B6347" t="str">
        <f>"1552382912616330"</f>
        <v>1552382912616330</v>
      </c>
      <c r="C6347" t="s">
        <v>40</v>
      </c>
      <c r="D6347">
        <v>3.3996930000000001</v>
      </c>
      <c r="E6347">
        <v>0.48184379999999999</v>
      </c>
      <c r="F6347" t="s">
        <v>41</v>
      </c>
      <c r="G6347">
        <v>-188.42019999999999</v>
      </c>
      <c r="H6347" s="1">
        <v>-4.1282390000000003E-7</v>
      </c>
      <c r="I6347">
        <v>89.626000000000005</v>
      </c>
      <c r="J6347">
        <v>-187.67240000000001</v>
      </c>
      <c r="K6347">
        <v>1.109915</v>
      </c>
      <c r="L6347">
        <v>46.360900000000001</v>
      </c>
      <c r="M6347">
        <v>1.3652950000000001E-2</v>
      </c>
      <c r="N6347">
        <v>0</v>
      </c>
      <c r="O6347">
        <v>0.99980749999999996</v>
      </c>
      <c r="P6347">
        <v>3.8437569999999997E-2</v>
      </c>
      <c r="Q6347">
        <v>0.18698999999999999</v>
      </c>
      <c r="R6347">
        <v>0.98160950000000002</v>
      </c>
      <c r="S6347">
        <v>-5.2505490000000002E-2</v>
      </c>
      <c r="T6347">
        <v>-7.8335050000000003E-2</v>
      </c>
      <c r="U6347">
        <v>3.0729679999999999</v>
      </c>
      <c r="V6347">
        <v>2.5117319999999999E-2</v>
      </c>
      <c r="W6347">
        <v>0.2007977</v>
      </c>
      <c r="X6347">
        <v>0.97931069999999998</v>
      </c>
      <c r="Y6347">
        <v>-3.072894E-2</v>
      </c>
      <c r="Z6347">
        <v>-2.5471939999999998E-2</v>
      </c>
      <c r="AA6347">
        <v>0.99920310000000001</v>
      </c>
      <c r="AB6347">
        <v>28</v>
      </c>
      <c r="AC6347">
        <v>-0.74779999999998303</v>
      </c>
      <c r="AD6347">
        <v>-1.1099154128238999</v>
      </c>
      <c r="AE6347">
        <v>43.265099999999997</v>
      </c>
      <c r="AF6347">
        <v>-1.33760514660653</v>
      </c>
      <c r="AG6347">
        <v>-1.1099154128238999</v>
      </c>
      <c r="AH6347">
        <v>43.222418954182999</v>
      </c>
      <c r="AI6347">
        <v>91.470280636155806</v>
      </c>
      <c r="AJ6347">
        <v>91.772568015162094</v>
      </c>
      <c r="AK6347">
        <v>43.257353132187497</v>
      </c>
      <c r="AL6347">
        <v>78.416390028720301</v>
      </c>
      <c r="AM6347">
        <v>88.530802334351193</v>
      </c>
      <c r="AN6347">
        <v>1.0000000216118801</v>
      </c>
    </row>
    <row r="6348" spans="1:40" x14ac:dyDescent="0.25">
      <c r="A6348" t="str">
        <f>"20190312172832649"</f>
        <v>20190312172832649</v>
      </c>
      <c r="B6348" t="str">
        <f>"1552382912645611"</f>
        <v>1552382912645611</v>
      </c>
      <c r="C6348" t="s">
        <v>40</v>
      </c>
      <c r="D6348">
        <v>3.3216899999999998</v>
      </c>
      <c r="E6348">
        <v>0.48172120000000002</v>
      </c>
      <c r="F6348" t="s">
        <v>41</v>
      </c>
      <c r="G6348">
        <v>-188.43809999999999</v>
      </c>
      <c r="H6348" s="1">
        <v>-7.9111349999999999E-7</v>
      </c>
      <c r="I6348">
        <v>90.751609999999999</v>
      </c>
      <c r="J6348">
        <v>-187.66839999999999</v>
      </c>
      <c r="K6348">
        <v>1.109912</v>
      </c>
      <c r="L6348">
        <v>46.636510000000001</v>
      </c>
      <c r="M6348">
        <v>1.386455E-2</v>
      </c>
      <c r="N6348">
        <v>0</v>
      </c>
      <c r="O6348">
        <v>0.99980460000000004</v>
      </c>
      <c r="P6348">
        <v>3.8745330000000001E-2</v>
      </c>
      <c r="Q6348">
        <v>0.18675449999999999</v>
      </c>
      <c r="R6348">
        <v>0.98164229999999997</v>
      </c>
      <c r="S6348">
        <v>-5.3009029999999999E-2</v>
      </c>
      <c r="T6348">
        <v>-7.6832890000000001E-2</v>
      </c>
      <c r="U6348">
        <v>3.0729060000000001</v>
      </c>
      <c r="V6348">
        <v>2.5216450000000001E-2</v>
      </c>
      <c r="W6348">
        <v>0.2005604</v>
      </c>
      <c r="X6348">
        <v>0.97935680000000003</v>
      </c>
      <c r="Y6348">
        <v>-3.1104710000000001E-2</v>
      </c>
      <c r="Z6348">
        <v>-2.4984010000000001E-2</v>
      </c>
      <c r="AA6348">
        <v>0.99920390000000003</v>
      </c>
      <c r="AB6348">
        <v>28</v>
      </c>
      <c r="AC6348">
        <v>-0.76970000000000005</v>
      </c>
      <c r="AD6348">
        <v>-1.1099127911135001</v>
      </c>
      <c r="AE6348">
        <v>44.115099999999998</v>
      </c>
      <c r="AF6348">
        <v>-1.3804491809936701</v>
      </c>
      <c r="AG6348">
        <v>-1.1099127911135001</v>
      </c>
      <c r="AH6348">
        <v>44.072297081667003</v>
      </c>
      <c r="AI6348">
        <v>91.441920001560305</v>
      </c>
      <c r="AJ6348">
        <v>91.794053549173796</v>
      </c>
      <c r="AK6348">
        <v>44.107878167056498</v>
      </c>
      <c r="AL6348">
        <v>78.430268894754505</v>
      </c>
      <c r="AM6348">
        <v>88.525075839033207</v>
      </c>
      <c r="AN6348">
        <v>1.0000000425525</v>
      </c>
    </row>
    <row r="6349" spans="1:40" x14ac:dyDescent="0.25">
      <c r="A6349" t="str">
        <f>"20190312172832670"</f>
        <v>20190312172832670</v>
      </c>
      <c r="B6349" t="str">
        <f>"1552382912666106"</f>
        <v>1552382912666106</v>
      </c>
      <c r="C6349" t="s">
        <v>40</v>
      </c>
      <c r="D6349">
        <v>3.118773</v>
      </c>
      <c r="E6349">
        <v>0.48168499999999997</v>
      </c>
      <c r="F6349" t="s">
        <v>41</v>
      </c>
      <c r="G6349">
        <v>-188.4316</v>
      </c>
      <c r="H6349" s="1">
        <v>-9.8362610000000001E-7</v>
      </c>
      <c r="I6349">
        <v>91.27713</v>
      </c>
      <c r="J6349">
        <v>-187.6645</v>
      </c>
      <c r="K6349">
        <v>1.109918</v>
      </c>
      <c r="L6349">
        <v>46.902799999999999</v>
      </c>
      <c r="M6349">
        <v>1.406871E-2</v>
      </c>
      <c r="N6349">
        <v>0</v>
      </c>
      <c r="O6349">
        <v>0.99980179999999996</v>
      </c>
      <c r="P6349">
        <v>3.8919229999999999E-2</v>
      </c>
      <c r="Q6349">
        <v>0.18697420000000001</v>
      </c>
      <c r="R6349">
        <v>0.98159350000000001</v>
      </c>
      <c r="S6349">
        <v>-5.2536010000000001E-2</v>
      </c>
      <c r="T6349">
        <v>-7.6398019999999997E-2</v>
      </c>
      <c r="U6349">
        <v>3.0727229999999999</v>
      </c>
      <c r="V6349">
        <v>2.519045E-2</v>
      </c>
      <c r="W6349">
        <v>0.20077709999999999</v>
      </c>
      <c r="X6349">
        <v>0.97931299999999999</v>
      </c>
      <c r="Y6349">
        <v>-3.1156119999999999E-2</v>
      </c>
      <c r="Z6349">
        <v>-2.4844069999999999E-2</v>
      </c>
      <c r="AA6349">
        <v>0.99920569999999997</v>
      </c>
      <c r="AB6349">
        <v>28</v>
      </c>
      <c r="AC6349">
        <v>-0.767099999999999</v>
      </c>
      <c r="AD6349">
        <v>-1.1099189836261001</v>
      </c>
      <c r="AE6349">
        <v>44.37433</v>
      </c>
      <c r="AF6349">
        <v>-1.3905059095745</v>
      </c>
      <c r="AG6349">
        <v>-1.1099189836261001</v>
      </c>
      <c r="AH6349">
        <v>44.331417391540299</v>
      </c>
      <c r="AI6349">
        <v>91.433501433411294</v>
      </c>
      <c r="AJ6349">
        <v>91.796559024661207</v>
      </c>
      <c r="AK6349">
        <v>44.367104872616302</v>
      </c>
      <c r="AL6349">
        <v>78.4175943380977</v>
      </c>
      <c r="AM6349">
        <v>88.526530053474801</v>
      </c>
      <c r="AN6349">
        <v>0.99999997731230605</v>
      </c>
    </row>
    <row r="6350" spans="1:40" x14ac:dyDescent="0.25">
      <c r="A6350" t="str">
        <f>"20190312172832694"</f>
        <v>20190312172832694</v>
      </c>
      <c r="B6350" t="str">
        <f>"1552382912685627"</f>
        <v>1552382912685627</v>
      </c>
      <c r="C6350" t="s">
        <v>40</v>
      </c>
      <c r="D6350">
        <v>2.8561550000000002</v>
      </c>
      <c r="E6350">
        <v>0.48163630000000002</v>
      </c>
      <c r="F6350" t="s">
        <v>41</v>
      </c>
      <c r="G6350">
        <v>-188.42699999999999</v>
      </c>
      <c r="H6350" s="1">
        <v>-1.2504459999999999E-6</v>
      </c>
      <c r="I6350">
        <v>91.897189999999995</v>
      </c>
      <c r="J6350">
        <v>-187.65989999999999</v>
      </c>
      <c r="K6350">
        <v>1.109918</v>
      </c>
      <c r="L6350">
        <v>47.204830000000001</v>
      </c>
      <c r="M6350">
        <v>1.4300449999999999E-2</v>
      </c>
      <c r="N6350">
        <v>0</v>
      </c>
      <c r="O6350">
        <v>0.99979859999999998</v>
      </c>
      <c r="P6350">
        <v>3.9176309999999999E-2</v>
      </c>
      <c r="Q6350">
        <v>0.18672559999999999</v>
      </c>
      <c r="R6350">
        <v>0.98163069999999997</v>
      </c>
      <c r="S6350">
        <v>-5.207825E-2</v>
      </c>
      <c r="T6350">
        <v>-7.5798509999999999E-2</v>
      </c>
      <c r="U6350">
        <v>3.0727540000000002</v>
      </c>
      <c r="V6350">
        <v>2.521907E-2</v>
      </c>
      <c r="W6350">
        <v>0.2005258</v>
      </c>
      <c r="X6350">
        <v>0.97936380000000001</v>
      </c>
      <c r="Y6350">
        <v>-3.1238889999999998E-2</v>
      </c>
      <c r="Z6350">
        <v>-2.464887E-2</v>
      </c>
      <c r="AA6350">
        <v>0.99920799999999999</v>
      </c>
      <c r="AB6350">
        <v>28</v>
      </c>
      <c r="AC6350">
        <v>-0.76710000000002698</v>
      </c>
      <c r="AD6350">
        <v>-1.109919250446</v>
      </c>
      <c r="AE6350">
        <v>44.692360000000001</v>
      </c>
      <c r="AF6350">
        <v>-1.4053392655425201</v>
      </c>
      <c r="AG6350">
        <v>-1.109919250446</v>
      </c>
      <c r="AH6350">
        <v>44.6492882552268</v>
      </c>
      <c r="AI6350">
        <v>91.423295623837305</v>
      </c>
      <c r="AJ6350">
        <v>91.802793231248401</v>
      </c>
      <c r="AK6350">
        <v>44.685185922094199</v>
      </c>
      <c r="AL6350">
        <v>78.432292235446695</v>
      </c>
      <c r="AM6350">
        <v>88.5249331999334</v>
      </c>
      <c r="AN6350">
        <v>1.0000000253538699</v>
      </c>
    </row>
    <row r="6351" spans="1:40" x14ac:dyDescent="0.25">
      <c r="A6351" t="str">
        <f>"20190312172832850"</f>
        <v>20190312172832850</v>
      </c>
      <c r="B6351" t="str">
        <f>"1552382912845690"</f>
        <v>1552382912845690</v>
      </c>
      <c r="C6351" t="s">
        <v>40</v>
      </c>
      <c r="D6351">
        <v>3.0236830000000001</v>
      </c>
      <c r="E6351">
        <v>0.48143069999999999</v>
      </c>
      <c r="F6351" t="s">
        <v>41</v>
      </c>
      <c r="G6351">
        <v>-188.4025</v>
      </c>
      <c r="H6351" s="1">
        <v>-1.0691850000000001E-6</v>
      </c>
      <c r="I6351">
        <v>91.46454</v>
      </c>
      <c r="J6351">
        <v>-187.62989999999999</v>
      </c>
      <c r="K6351">
        <v>1.1100080000000001</v>
      </c>
      <c r="L6351">
        <v>49.119959999999999</v>
      </c>
      <c r="M6351">
        <v>1.554409E-2</v>
      </c>
      <c r="N6351">
        <v>0</v>
      </c>
      <c r="O6351">
        <v>0.99978029999999996</v>
      </c>
      <c r="P6351">
        <v>3.9090470000000002E-2</v>
      </c>
      <c r="Q6351">
        <v>0.18549750000000001</v>
      </c>
      <c r="R6351">
        <v>0.98186689999999999</v>
      </c>
      <c r="S6351">
        <v>-5.155945E-2</v>
      </c>
      <c r="T6351">
        <v>-7.7059030000000001E-2</v>
      </c>
      <c r="U6351">
        <v>3.072845</v>
      </c>
      <c r="V6351">
        <v>2.3870809999999999E-2</v>
      </c>
      <c r="W6351">
        <v>0.1992872</v>
      </c>
      <c r="X6351">
        <v>0.97965029999999997</v>
      </c>
      <c r="Y6351">
        <v>-3.2312840000000002E-2</v>
      </c>
      <c r="Z6351">
        <v>-2.5056680000000001E-2</v>
      </c>
      <c r="AA6351">
        <v>0.99916369999999999</v>
      </c>
      <c r="AB6351">
        <v>28</v>
      </c>
      <c r="AC6351">
        <v>-0.77260000000001094</v>
      </c>
      <c r="AD6351">
        <v>-1.110009069185</v>
      </c>
      <c r="AE6351">
        <v>42.344580000000001</v>
      </c>
      <c r="AF6351">
        <v>-1.42979751386589</v>
      </c>
      <c r="AG6351">
        <v>-1.110009069185</v>
      </c>
      <c r="AH6351">
        <v>42.298396444282801</v>
      </c>
      <c r="AI6351">
        <v>91.502372864988303</v>
      </c>
      <c r="AJ6351">
        <v>91.936011521412297</v>
      </c>
      <c r="AK6351">
        <v>42.337108815105097</v>
      </c>
      <c r="AL6351">
        <v>78.504719966016907</v>
      </c>
      <c r="AM6351">
        <v>88.604169181467199</v>
      </c>
      <c r="AN6351">
        <v>0.99999995697199195</v>
      </c>
    </row>
    <row r="6352" spans="1:40" x14ac:dyDescent="0.25">
      <c r="A6352" t="str">
        <f>"20190312172832872"</f>
        <v>20190312172832872</v>
      </c>
      <c r="B6352" t="str">
        <f>"1552382912866187"</f>
        <v>1552382912866187</v>
      </c>
      <c r="C6352" t="s">
        <v>40</v>
      </c>
      <c r="D6352">
        <v>3.0518429999999999</v>
      </c>
      <c r="E6352">
        <v>0.48112129999999997</v>
      </c>
      <c r="F6352" t="s">
        <v>41</v>
      </c>
      <c r="G6352">
        <v>-188.41130000000001</v>
      </c>
      <c r="H6352" s="1">
        <v>-1.8586019999999999E-6</v>
      </c>
      <c r="I6352">
        <v>93.308300000000003</v>
      </c>
      <c r="J6352">
        <v>-187.62549999999999</v>
      </c>
      <c r="K6352">
        <v>1.110036</v>
      </c>
      <c r="L6352">
        <v>49.396819999999998</v>
      </c>
      <c r="M6352">
        <v>1.5602950000000001E-2</v>
      </c>
      <c r="N6352">
        <v>0</v>
      </c>
      <c r="O6352">
        <v>0.99977939999999998</v>
      </c>
      <c r="P6352">
        <v>3.8725120000000002E-2</v>
      </c>
      <c r="Q6352">
        <v>0.18543870000000001</v>
      </c>
      <c r="R6352">
        <v>0.98189249999999995</v>
      </c>
      <c r="S6352">
        <v>-5.4321290000000001E-2</v>
      </c>
      <c r="T6352">
        <v>-7.7172160000000004E-2</v>
      </c>
      <c r="U6352">
        <v>3.0721440000000002</v>
      </c>
      <c r="V6352">
        <v>2.343071E-2</v>
      </c>
      <c r="W6352">
        <v>0.1992274</v>
      </c>
      <c r="X6352">
        <v>0.97967309999999996</v>
      </c>
      <c r="Y6352">
        <v>-3.3273450000000003E-2</v>
      </c>
      <c r="Z6352">
        <v>-2.5098550000000001E-2</v>
      </c>
      <c r="AA6352">
        <v>0.99913110000000005</v>
      </c>
      <c r="AB6352">
        <v>27</v>
      </c>
      <c r="AC6352">
        <v>-0.78580000000002304</v>
      </c>
      <c r="AD6352">
        <v>-1.1100378586020001</v>
      </c>
      <c r="AE6352">
        <v>43.911479999999997</v>
      </c>
      <c r="AF6352">
        <v>-1.4699816288424701</v>
      </c>
      <c r="AG6352">
        <v>-1.1100378586020001</v>
      </c>
      <c r="AH6352">
        <v>43.8658489348838</v>
      </c>
      <c r="AI6352">
        <v>91.448763842746402</v>
      </c>
      <c r="AJ6352">
        <v>91.919311707499105</v>
      </c>
      <c r="AK6352">
        <v>43.904506976103399</v>
      </c>
      <c r="AL6352">
        <v>78.508216506168296</v>
      </c>
      <c r="AM6352">
        <v>88.629925729199897</v>
      </c>
      <c r="AN6352">
        <v>0.99999996897273602</v>
      </c>
    </row>
    <row r="6353" spans="1:40" x14ac:dyDescent="0.25">
      <c r="A6353" t="str">
        <f>"20190312172832896"</f>
        <v>20190312172832896</v>
      </c>
      <c r="B6353" t="str">
        <f>"1552382912885707"</f>
        <v>1552382912885707</v>
      </c>
      <c r="C6353" t="s">
        <v>40</v>
      </c>
      <c r="D6353">
        <v>3.0011030000000001</v>
      </c>
      <c r="E6353">
        <v>0.48089549999999998</v>
      </c>
      <c r="F6353" t="s">
        <v>41</v>
      </c>
      <c r="G6353">
        <v>-188.47819999999999</v>
      </c>
      <c r="H6353" s="1">
        <v>-2.5773599999999998E-6</v>
      </c>
      <c r="I6353">
        <v>95.011430000000004</v>
      </c>
      <c r="J6353">
        <v>-187.62110000000001</v>
      </c>
      <c r="K6353">
        <v>1.110069</v>
      </c>
      <c r="L6353">
        <v>49.680149999999998</v>
      </c>
      <c r="M6353">
        <v>1.562435E-2</v>
      </c>
      <c r="N6353">
        <v>0</v>
      </c>
      <c r="O6353">
        <v>0.99977919999999998</v>
      </c>
      <c r="P6353">
        <v>3.8545410000000002E-2</v>
      </c>
      <c r="Q6353">
        <v>0.18545729999999999</v>
      </c>
      <c r="R6353">
        <v>0.98189599999999999</v>
      </c>
      <c r="S6353">
        <v>-5.7418820000000002E-2</v>
      </c>
      <c r="T6353">
        <v>-7.4749949999999996E-2</v>
      </c>
      <c r="U6353">
        <v>3.0716860000000001</v>
      </c>
      <c r="V6353">
        <v>2.3215139999999999E-2</v>
      </c>
      <c r="W6353">
        <v>0.1992447</v>
      </c>
      <c r="X6353">
        <v>0.97967479999999996</v>
      </c>
      <c r="Y6353">
        <v>-3.4305019999999999E-2</v>
      </c>
      <c r="Z6353">
        <v>-2.4314209999999999E-2</v>
      </c>
      <c r="AA6353">
        <v>0.99911559999999999</v>
      </c>
      <c r="AB6353">
        <v>27</v>
      </c>
      <c r="AC6353">
        <v>-0.85709999999997399</v>
      </c>
      <c r="AD6353">
        <v>-1.1100715773600001</v>
      </c>
      <c r="AE6353">
        <v>45.33128</v>
      </c>
      <c r="AF6353">
        <v>-1.56439929317323</v>
      </c>
      <c r="AG6353">
        <v>-1.1100715773600001</v>
      </c>
      <c r="AH6353">
        <v>45.2852063938981</v>
      </c>
      <c r="AI6353">
        <v>91.403367506597505</v>
      </c>
      <c r="AJ6353">
        <v>91.978523533562594</v>
      </c>
      <c r="AK6353">
        <v>45.325815185094001</v>
      </c>
      <c r="AL6353">
        <v>78.507205994655607</v>
      </c>
      <c r="AM6353">
        <v>88.642528465435205</v>
      </c>
      <c r="AN6353">
        <v>1.00000005347917</v>
      </c>
    </row>
    <row r="6354" spans="1:40" x14ac:dyDescent="0.25">
      <c r="A6354" t="str">
        <f>"20190312172832918"</f>
        <v>20190312172832918</v>
      </c>
      <c r="B6354" t="str">
        <f>"1552382912915962"</f>
        <v>1552382912915962</v>
      </c>
      <c r="C6354" t="s">
        <v>40</v>
      </c>
      <c r="D6354">
        <v>3.1136089999999998</v>
      </c>
      <c r="E6354">
        <v>0.48050159999999997</v>
      </c>
      <c r="F6354" t="s">
        <v>41</v>
      </c>
      <c r="G6354">
        <v>-188.5274</v>
      </c>
      <c r="H6354" s="1">
        <v>-3.15186E-6</v>
      </c>
      <c r="I6354">
        <v>96.370919999999998</v>
      </c>
      <c r="J6354">
        <v>-187.61670000000001</v>
      </c>
      <c r="K6354">
        <v>1.110106</v>
      </c>
      <c r="L6354">
        <v>49.965000000000003</v>
      </c>
      <c r="M6354">
        <v>1.558969E-2</v>
      </c>
      <c r="N6354">
        <v>0</v>
      </c>
      <c r="O6354">
        <v>0.99977969999999905</v>
      </c>
      <c r="P6354">
        <v>3.7777810000000002E-2</v>
      </c>
      <c r="Q6354">
        <v>0.18533279999999999</v>
      </c>
      <c r="R6354">
        <v>0.98194939999999997</v>
      </c>
      <c r="S6354">
        <v>-5.9616089999999997E-2</v>
      </c>
      <c r="T6354">
        <v>-7.3023439999999995E-2</v>
      </c>
      <c r="U6354">
        <v>3.0714419999999998</v>
      </c>
      <c r="V6354">
        <v>2.246532E-2</v>
      </c>
      <c r="W6354">
        <v>0.1991195</v>
      </c>
      <c r="X6354">
        <v>0.97971770000000002</v>
      </c>
      <c r="Y6354">
        <v>-3.4986610000000001E-2</v>
      </c>
      <c r="Z6354">
        <v>-2.375441E-2</v>
      </c>
      <c r="AA6354">
        <v>0.99910549999999998</v>
      </c>
      <c r="AB6354">
        <v>27</v>
      </c>
      <c r="AC6354">
        <v>-0.91069999999999096</v>
      </c>
      <c r="AD6354">
        <v>-1.1101091518599999</v>
      </c>
      <c r="AE6354">
        <v>46.405920000000002</v>
      </c>
      <c r="AF6354">
        <v>-1.63318044208641</v>
      </c>
      <c r="AG6354">
        <v>-1.1101091518599999</v>
      </c>
      <c r="AH6354">
        <v>46.359561427103799</v>
      </c>
      <c r="AI6354">
        <v>91.370871630961503</v>
      </c>
      <c r="AJ6354">
        <v>92.017613244158696</v>
      </c>
      <c r="AK6354">
        <v>46.401600795650097</v>
      </c>
      <c r="AL6354">
        <v>78.514525698689994</v>
      </c>
      <c r="AM6354">
        <v>88.686414981079807</v>
      </c>
      <c r="AN6354">
        <v>1.0000000187881199</v>
      </c>
    </row>
    <row r="6355" spans="1:40" x14ac:dyDescent="0.25">
      <c r="A6355" t="str">
        <f>"20190312172832961"</f>
        <v>20190312172832961</v>
      </c>
      <c r="B6355" t="str">
        <f>"1552382912955978"</f>
        <v>1552382912955978</v>
      </c>
      <c r="C6355" t="s">
        <v>40</v>
      </c>
      <c r="D6355">
        <v>3.0075349999999998</v>
      </c>
      <c r="E6355">
        <v>0.48011510000000002</v>
      </c>
      <c r="F6355" t="s">
        <v>41</v>
      </c>
      <c r="G6355">
        <v>-188.62350000000001</v>
      </c>
      <c r="H6355" s="1">
        <v>-3.8167329999999997E-6</v>
      </c>
      <c r="I6355">
        <v>97.960499999999996</v>
      </c>
      <c r="J6355">
        <v>-187.6088</v>
      </c>
      <c r="K6355">
        <v>1.110193</v>
      </c>
      <c r="L6355">
        <v>50.484409999999997</v>
      </c>
      <c r="M6355">
        <v>1.5342929999999999E-2</v>
      </c>
      <c r="N6355">
        <v>0</v>
      </c>
      <c r="O6355">
        <v>0.99978359999999999</v>
      </c>
      <c r="P6355">
        <v>3.6203600000000002E-2</v>
      </c>
      <c r="Q6355">
        <v>0.186475</v>
      </c>
      <c r="R6355">
        <v>0.98179240000000001</v>
      </c>
      <c r="S6355">
        <v>-6.4422610000000005E-2</v>
      </c>
      <c r="T6355">
        <v>-7.1031570000000002E-2</v>
      </c>
      <c r="U6355">
        <v>3.0710449999999998</v>
      </c>
      <c r="V6355">
        <v>2.109513E-2</v>
      </c>
      <c r="W6355">
        <v>0.20025770000000001</v>
      </c>
      <c r="X6355">
        <v>0.9795161</v>
      </c>
      <c r="Y6355">
        <v>-3.6305799999999999E-2</v>
      </c>
      <c r="Z6355">
        <v>-2.3109020000000001E-2</v>
      </c>
      <c r="AA6355">
        <v>0.99907349999999995</v>
      </c>
      <c r="AB6355">
        <v>27</v>
      </c>
      <c r="AC6355">
        <v>-1.0146999999999999</v>
      </c>
      <c r="AD6355">
        <v>-1.1101968167330001</v>
      </c>
      <c r="AE6355">
        <v>47.476089999999999</v>
      </c>
      <c r="AF6355">
        <v>-1.74212254388712</v>
      </c>
      <c r="AG6355">
        <v>-1.1101968167330001</v>
      </c>
      <c r="AH6355">
        <v>47.429006867479004</v>
      </c>
      <c r="AI6355">
        <v>91.340005600331395</v>
      </c>
      <c r="AJ6355">
        <v>92.103594868878801</v>
      </c>
      <c r="AK6355">
        <v>47.4739741370487</v>
      </c>
      <c r="AL6355">
        <v>78.447970627517904</v>
      </c>
      <c r="AM6355">
        <v>88.766252943050503</v>
      </c>
      <c r="AN6355">
        <v>0.99999997053910705</v>
      </c>
    </row>
    <row r="6356" spans="1:40" x14ac:dyDescent="0.25">
      <c r="A6356" t="str">
        <f>"20190312172832984"</f>
        <v>20190312172832984</v>
      </c>
      <c r="B6356" t="str">
        <f>"1552382912976475"</f>
        <v>1552382912976475</v>
      </c>
      <c r="C6356" t="s">
        <v>40</v>
      </c>
      <c r="D6356">
        <v>3.0186709999999999</v>
      </c>
      <c r="E6356">
        <v>0.47989369999999998</v>
      </c>
      <c r="F6356" t="s">
        <v>41</v>
      </c>
      <c r="G6356">
        <v>-188.8082</v>
      </c>
      <c r="H6356" s="1">
        <v>-1.234883E-6</v>
      </c>
      <c r="I6356">
        <v>102.0185</v>
      </c>
      <c r="J6356">
        <v>-187.60480000000001</v>
      </c>
      <c r="K6356">
        <v>1.110249</v>
      </c>
      <c r="L6356">
        <v>50.753909999999998</v>
      </c>
      <c r="M6356">
        <v>1.5125420000000001E-2</v>
      </c>
      <c r="N6356">
        <v>0</v>
      </c>
      <c r="O6356">
        <v>0.99978699999999998</v>
      </c>
      <c r="P6356">
        <v>3.5642720000000003E-2</v>
      </c>
      <c r="Q6356">
        <v>0.18661759999999999</v>
      </c>
      <c r="R6356">
        <v>0.98178589999999999</v>
      </c>
      <c r="S6356">
        <v>-7.1472170000000002E-2</v>
      </c>
      <c r="T6356">
        <v>-6.6154599999999994E-2</v>
      </c>
      <c r="U6356">
        <v>3.0708310000000001</v>
      </c>
      <c r="V6356">
        <v>2.0722560000000001E-2</v>
      </c>
      <c r="W6356">
        <v>0.20039969999999999</v>
      </c>
      <c r="X6356">
        <v>0.979495</v>
      </c>
      <c r="Y6356">
        <v>-3.8382989999999999E-2</v>
      </c>
      <c r="Z6356">
        <v>-2.152335E-2</v>
      </c>
      <c r="AA6356">
        <v>0.99903129999999996</v>
      </c>
      <c r="AB6356">
        <v>27</v>
      </c>
      <c r="AC6356">
        <v>-1.20339999999998</v>
      </c>
      <c r="AD6356">
        <v>-1.1102502348829999</v>
      </c>
      <c r="AE6356">
        <v>51.264589999999998</v>
      </c>
      <c r="AF6356">
        <v>-1.97781006584991</v>
      </c>
      <c r="AG6356">
        <v>-1.1102502348829999</v>
      </c>
      <c r="AH6356">
        <v>51.216511478693803</v>
      </c>
      <c r="AI6356">
        <v>91.240914962276406</v>
      </c>
      <c r="AJ6356">
        <v>92.211472182053498</v>
      </c>
      <c r="AK6356">
        <v>51.266708849776997</v>
      </c>
      <c r="AL6356">
        <v>78.439666159413704</v>
      </c>
      <c r="AM6356">
        <v>88.788010013345101</v>
      </c>
      <c r="AN6356">
        <v>0.999999959639021</v>
      </c>
    </row>
    <row r="6357" spans="1:40" x14ac:dyDescent="0.25">
      <c r="A6357" t="str">
        <f>"20190312172833006"</f>
        <v>20190312172833006</v>
      </c>
      <c r="B6357" t="str">
        <f>"1552382912995995"</f>
        <v>1552382912995995</v>
      </c>
      <c r="C6357" t="s">
        <v>40</v>
      </c>
      <c r="D6357">
        <v>3.0421119999999999</v>
      </c>
      <c r="E6357">
        <v>0.47974430000000001</v>
      </c>
      <c r="F6357" t="s">
        <v>41</v>
      </c>
      <c r="G6357">
        <v>-188.88079999999999</v>
      </c>
      <c r="H6357" s="1">
        <v>-1.729348E-6</v>
      </c>
      <c r="I6357">
        <v>103.2012</v>
      </c>
      <c r="J6357">
        <v>-187.601</v>
      </c>
      <c r="K6357">
        <v>1.1102970000000001</v>
      </c>
      <c r="L6357">
        <v>51.030239999999999</v>
      </c>
      <c r="M6357">
        <v>1.4837919999999999E-2</v>
      </c>
      <c r="N6357">
        <v>0</v>
      </c>
      <c r="O6357">
        <v>0.99979130000000005</v>
      </c>
      <c r="P6357">
        <v>3.4703369999999997E-2</v>
      </c>
      <c r="Q6357">
        <v>0.18612909999999999</v>
      </c>
      <c r="R6357">
        <v>0.98191229999999996</v>
      </c>
      <c r="S6357">
        <v>-7.4707029999999994E-2</v>
      </c>
      <c r="T6357">
        <v>-6.500351E-2</v>
      </c>
      <c r="U6357">
        <v>3.0707089999999999</v>
      </c>
      <c r="V6357">
        <v>2.0038050000000002E-2</v>
      </c>
      <c r="W6357">
        <v>0.1999129</v>
      </c>
      <c r="X6357">
        <v>0.97960879999999995</v>
      </c>
      <c r="Y6357">
        <v>-3.9148589999999997E-2</v>
      </c>
      <c r="Z6357">
        <v>-2.1149419999999999E-2</v>
      </c>
      <c r="AA6357">
        <v>0.99900949999999999</v>
      </c>
      <c r="AB6357">
        <v>27</v>
      </c>
      <c r="AC6357">
        <v>-1.2797999999999901</v>
      </c>
      <c r="AD6357">
        <v>-1.11029872934799</v>
      </c>
      <c r="AE6357">
        <v>52.170960000000001</v>
      </c>
      <c r="AF6357">
        <v>-2.0529146998418799</v>
      </c>
      <c r="AG6357">
        <v>-1.11029872934799</v>
      </c>
      <c r="AH6357">
        <v>52.122630814976397</v>
      </c>
      <c r="AI6357">
        <v>91.219365712484006</v>
      </c>
      <c r="AJ6357">
        <v>92.255499782114001</v>
      </c>
      <c r="AK6357">
        <v>52.174858553785697</v>
      </c>
      <c r="AL6357">
        <v>78.468134828499899</v>
      </c>
      <c r="AM6357">
        <v>88.828169358357897</v>
      </c>
      <c r="AN6357">
        <v>1.00000004603582</v>
      </c>
    </row>
    <row r="6358" spans="1:40" x14ac:dyDescent="0.25">
      <c r="A6358" t="str">
        <f>"20190312172833030"</f>
        <v>20190312172833030</v>
      </c>
      <c r="B6358" t="str">
        <f>"1552382913026251"</f>
        <v>1552382913026251</v>
      </c>
      <c r="C6358" t="s">
        <v>40</v>
      </c>
      <c r="D6358">
        <v>3.053366</v>
      </c>
      <c r="E6358">
        <v>0.47954039999999998</v>
      </c>
      <c r="F6358" t="s">
        <v>41</v>
      </c>
      <c r="G6358">
        <v>-188.9091</v>
      </c>
      <c r="H6358" s="1">
        <v>-1.4647740000000001E-6</v>
      </c>
      <c r="I6358">
        <v>102.59610000000001</v>
      </c>
      <c r="J6358">
        <v>-187.59729999999999</v>
      </c>
      <c r="K6358">
        <v>1.1103479999999999</v>
      </c>
      <c r="L6358">
        <v>51.30612</v>
      </c>
      <c r="M6358">
        <v>1.4476350000000001E-2</v>
      </c>
      <c r="N6358">
        <v>0</v>
      </c>
      <c r="O6358">
        <v>0.99979669999999998</v>
      </c>
      <c r="P6358">
        <v>3.377873E-2</v>
      </c>
      <c r="Q6358">
        <v>0.18611050000000001</v>
      </c>
      <c r="R6358">
        <v>0.98194800000000004</v>
      </c>
      <c r="S6358">
        <v>-7.7896119999999999E-2</v>
      </c>
      <c r="T6358">
        <v>-6.6113469999999994E-2</v>
      </c>
      <c r="U6358">
        <v>3.0705260000000001</v>
      </c>
      <c r="V6358">
        <v>1.944355E-2</v>
      </c>
      <c r="W6358">
        <v>0.19989370000000001</v>
      </c>
      <c r="X6358">
        <v>0.97962459999999996</v>
      </c>
      <c r="Y6358">
        <v>-3.982542E-2</v>
      </c>
      <c r="Z6358">
        <v>-2.1511269999999999E-2</v>
      </c>
      <c r="AA6358">
        <v>0.9989751</v>
      </c>
      <c r="AB6358">
        <v>27</v>
      </c>
      <c r="AC6358">
        <v>-1.3118000000000001</v>
      </c>
      <c r="AD6358">
        <v>-1.110349464774</v>
      </c>
      <c r="AE6358">
        <v>51.28998</v>
      </c>
      <c r="AF6358">
        <v>-2.0532657116475002</v>
      </c>
      <c r="AG6358">
        <v>-1.110349464774</v>
      </c>
      <c r="AH6358">
        <v>51.241613429519703</v>
      </c>
      <c r="AI6358">
        <v>91.240347272416102</v>
      </c>
      <c r="AJ6358">
        <v>92.294630250082093</v>
      </c>
      <c r="AK6358">
        <v>51.294753365981698</v>
      </c>
      <c r="AL6358">
        <v>78.469256445856701</v>
      </c>
      <c r="AM6358">
        <v>88.862944948175794</v>
      </c>
      <c r="AN6358">
        <v>0.99999994993072405</v>
      </c>
    </row>
    <row r="6359" spans="1:40" x14ac:dyDescent="0.25">
      <c r="A6359" t="str">
        <f>"20190312172833050"</f>
        <v>20190312172833050</v>
      </c>
      <c r="B6359" t="str">
        <f>"1552382913045772"</f>
        <v>1552382913045772</v>
      </c>
      <c r="C6359" t="s">
        <v>40</v>
      </c>
      <c r="D6359">
        <v>3.0664699999999998</v>
      </c>
      <c r="E6359">
        <v>0.47937220000000003</v>
      </c>
      <c r="F6359" t="s">
        <v>41</v>
      </c>
      <c r="G6359">
        <v>-188.98759999999999</v>
      </c>
      <c r="H6359" s="1">
        <v>-1.8516359999999999E-6</v>
      </c>
      <c r="I6359">
        <v>103.5304</v>
      </c>
      <c r="J6359">
        <v>-187.59389999999999</v>
      </c>
      <c r="K6359">
        <v>1.11039</v>
      </c>
      <c r="L6359">
        <v>51.565770000000001</v>
      </c>
      <c r="M6359">
        <v>1.407487E-2</v>
      </c>
      <c r="N6359">
        <v>0</v>
      </c>
      <c r="O6359">
        <v>0.99980239999999998</v>
      </c>
      <c r="P6359">
        <v>3.3169999999999998E-2</v>
      </c>
      <c r="Q6359">
        <v>0.18596550000000001</v>
      </c>
      <c r="R6359">
        <v>0.98199619999999999</v>
      </c>
      <c r="S6359">
        <v>-8.1741330000000001E-2</v>
      </c>
      <c r="T6359">
        <v>-6.5279130000000005E-2</v>
      </c>
      <c r="U6359">
        <v>3.0703429999999998</v>
      </c>
      <c r="V6359">
        <v>1.920827E-2</v>
      </c>
      <c r="W6359">
        <v>0.19974839999999999</v>
      </c>
      <c r="X6359">
        <v>0.9796589</v>
      </c>
      <c r="Y6359">
        <v>-4.0676070000000002E-2</v>
      </c>
      <c r="Z6359">
        <v>-2.124067E-2</v>
      </c>
      <c r="AA6359">
        <v>0.99894660000000002</v>
      </c>
      <c r="AB6359">
        <v>27</v>
      </c>
      <c r="AC6359">
        <v>-1.3936999999999899</v>
      </c>
      <c r="AD6359">
        <v>-1.1103918516360001</v>
      </c>
      <c r="AE6359">
        <v>51.96463</v>
      </c>
      <c r="AF6359">
        <v>-2.1240602542221398</v>
      </c>
      <c r="AG6359">
        <v>-1.1103918516360001</v>
      </c>
      <c r="AH6359">
        <v>51.916175565240501</v>
      </c>
      <c r="AI6359">
        <v>91.224241024883696</v>
      </c>
      <c r="AJ6359">
        <v>92.342850770773495</v>
      </c>
      <c r="AK6359">
        <v>51.971471860518101</v>
      </c>
      <c r="AL6359">
        <v>78.477753117524699</v>
      </c>
      <c r="AM6359">
        <v>88.876739849253099</v>
      </c>
      <c r="AN6359">
        <v>0.99999997064408097</v>
      </c>
    </row>
    <row r="6360" spans="1:40" x14ac:dyDescent="0.25">
      <c r="A6360" t="str">
        <f>"20190312172833073"</f>
        <v>20190312172833073</v>
      </c>
      <c r="B6360" t="str">
        <f>"1552382913066267"</f>
        <v>1552382913066267</v>
      </c>
      <c r="C6360" t="s">
        <v>40</v>
      </c>
      <c r="D6360">
        <v>3.0821719999999999</v>
      </c>
      <c r="E6360">
        <v>0.47925250000000003</v>
      </c>
      <c r="F6360" t="s">
        <v>41</v>
      </c>
      <c r="G6360">
        <v>-189.0412</v>
      </c>
      <c r="H6360" s="1">
        <v>-2.0303669999999998E-6</v>
      </c>
      <c r="I6360">
        <v>103.9692</v>
      </c>
      <c r="J6360">
        <v>-187.59059999999999</v>
      </c>
      <c r="K6360">
        <v>1.110422</v>
      </c>
      <c r="L6360">
        <v>51.834989999999998</v>
      </c>
      <c r="M6360">
        <v>1.361558E-2</v>
      </c>
      <c r="N6360">
        <v>0</v>
      </c>
      <c r="O6360">
        <v>0.99980880000000005</v>
      </c>
      <c r="P6360">
        <v>3.2758450000000001E-2</v>
      </c>
      <c r="Q6360">
        <v>0.18575449999999999</v>
      </c>
      <c r="R6360">
        <v>0.98204990000000003</v>
      </c>
      <c r="S6360">
        <v>-8.4793090000000002E-2</v>
      </c>
      <c r="T6360">
        <v>-6.5055249999999995E-2</v>
      </c>
      <c r="U6360">
        <v>3.0701900000000002</v>
      </c>
      <c r="V6360">
        <v>1.9230649999999998E-2</v>
      </c>
      <c r="W6360">
        <v>0.1995372</v>
      </c>
      <c r="X6360">
        <v>0.9797015</v>
      </c>
      <c r="Y6360">
        <v>-4.1210650000000001E-2</v>
      </c>
      <c r="Z6360">
        <v>-2.1168590000000001E-2</v>
      </c>
      <c r="AA6360">
        <v>0.99892619999999999</v>
      </c>
      <c r="AB6360">
        <v>27</v>
      </c>
      <c r="AC6360">
        <v>-1.4505999999999999</v>
      </c>
      <c r="AD6360">
        <v>-1.1104240303669899</v>
      </c>
      <c r="AE6360">
        <v>52.134210000000003</v>
      </c>
      <c r="AF6360">
        <v>-2.1593940607334901</v>
      </c>
      <c r="AG6360">
        <v>-1.1104240303669899</v>
      </c>
      <c r="AH6360">
        <v>52.086012544253201</v>
      </c>
      <c r="AI6360">
        <v>91.220258365787799</v>
      </c>
      <c r="AJ6360">
        <v>92.374022273406894</v>
      </c>
      <c r="AK6360">
        <v>52.142580747378098</v>
      </c>
      <c r="AL6360">
        <v>78.490102596509601</v>
      </c>
      <c r="AM6360">
        <v>88.875480335388204</v>
      </c>
      <c r="AN6360">
        <v>0.99999997059275503</v>
      </c>
    </row>
    <row r="6361" spans="1:40" x14ac:dyDescent="0.25">
      <c r="A6361" t="str">
        <f>"20190312172833096"</f>
        <v>20190312172833096</v>
      </c>
      <c r="B6361" t="str">
        <f>"1552382913085786"</f>
        <v>1552382913085786</v>
      </c>
      <c r="C6361" t="s">
        <v>40</v>
      </c>
      <c r="D6361">
        <v>3.0971839999999999</v>
      </c>
      <c r="E6361">
        <v>0.47914180000000001</v>
      </c>
      <c r="F6361" t="s">
        <v>41</v>
      </c>
      <c r="G6361">
        <v>-189.07470000000001</v>
      </c>
      <c r="H6361" s="1">
        <v>-2.092207E-6</v>
      </c>
      <c r="I6361">
        <v>104.1271</v>
      </c>
      <c r="J6361">
        <v>-187.5873</v>
      </c>
      <c r="K6361">
        <v>1.110449</v>
      </c>
      <c r="L6361">
        <v>52.120269999999998</v>
      </c>
      <c r="M6361">
        <v>1.3092970000000001E-2</v>
      </c>
      <c r="N6361">
        <v>0</v>
      </c>
      <c r="O6361">
        <v>0.99981580000000003</v>
      </c>
      <c r="P6361">
        <v>3.1873440000000003E-2</v>
      </c>
      <c r="Q6361">
        <v>0.18498519999999999</v>
      </c>
      <c r="R6361">
        <v>0.98222430000000005</v>
      </c>
      <c r="S6361">
        <v>-8.7127689999999994E-2</v>
      </c>
      <c r="T6361">
        <v>-6.5192940000000005E-2</v>
      </c>
      <c r="U6361">
        <v>3.070068</v>
      </c>
      <c r="V6361">
        <v>1.8844630000000001E-2</v>
      </c>
      <c r="W6361">
        <v>0.198768</v>
      </c>
      <c r="X6361">
        <v>0.9798654</v>
      </c>
      <c r="Y6361">
        <v>-4.1448480000000003E-2</v>
      </c>
      <c r="Z6361">
        <v>-2.1214110000000001E-2</v>
      </c>
      <c r="AA6361">
        <v>0.99891540000000001</v>
      </c>
      <c r="AB6361">
        <v>27</v>
      </c>
      <c r="AC6361">
        <v>-1.4874000000000001</v>
      </c>
      <c r="AD6361">
        <v>-1.1104510922069999</v>
      </c>
      <c r="AE6361">
        <v>52.006830000000001</v>
      </c>
      <c r="AF6361">
        <v>-2.16727613253726</v>
      </c>
      <c r="AG6361">
        <v>-1.1104510922069999</v>
      </c>
      <c r="AH6361">
        <v>51.959225556802302</v>
      </c>
      <c r="AI6361">
        <v>91.223252010175401</v>
      </c>
      <c r="AJ6361">
        <v>92.388485103057207</v>
      </c>
      <c r="AK6361">
        <v>52.016260034007701</v>
      </c>
      <c r="AL6361">
        <v>78.535075959850204</v>
      </c>
      <c r="AM6361">
        <v>88.898231656433495</v>
      </c>
      <c r="AN6361">
        <v>1.0000000200104899</v>
      </c>
    </row>
    <row r="6362" spans="1:40" x14ac:dyDescent="0.25">
      <c r="A6362" t="str">
        <f>"20190312172833119"</f>
        <v>20190312172833119</v>
      </c>
      <c r="B6362" t="str">
        <f>"1552382913116043"</f>
        <v>1552382913116043</v>
      </c>
      <c r="C6362" t="s">
        <v>40</v>
      </c>
      <c r="D6362">
        <v>3.1129159999999998</v>
      </c>
      <c r="E6362">
        <v>0.47897260000000003</v>
      </c>
      <c r="F6362" t="s">
        <v>41</v>
      </c>
      <c r="G6362">
        <v>-189.0821</v>
      </c>
      <c r="H6362" s="1">
        <v>-1.4970029999999999E-6</v>
      </c>
      <c r="I6362">
        <v>102.7428</v>
      </c>
      <c r="J6362">
        <v>-187.58420000000001</v>
      </c>
      <c r="K6362">
        <v>1.11046</v>
      </c>
      <c r="L6362">
        <v>52.400849999999998</v>
      </c>
      <c r="M6362">
        <v>1.255537E-2</v>
      </c>
      <c r="N6362">
        <v>0</v>
      </c>
      <c r="O6362">
        <v>0.99982280000000001</v>
      </c>
      <c r="P6362">
        <v>3.1051530000000001E-2</v>
      </c>
      <c r="Q6362">
        <v>0.18415670000000001</v>
      </c>
      <c r="R6362">
        <v>0.98240629999999995</v>
      </c>
      <c r="S6362">
        <v>-9.0652469999999999E-2</v>
      </c>
      <c r="T6362">
        <v>-6.7341330000000005E-2</v>
      </c>
      <c r="U6362">
        <v>3.0699160000000001</v>
      </c>
      <c r="V6362">
        <v>1.854097E-2</v>
      </c>
      <c r="W6362">
        <v>0.1979399</v>
      </c>
      <c r="X6362">
        <v>0.98003879999999999</v>
      </c>
      <c r="Y6362">
        <v>-4.2058159999999997E-2</v>
      </c>
      <c r="Z6362">
        <v>-2.1913539999999999E-2</v>
      </c>
      <c r="AA6362">
        <v>0.99887479999999995</v>
      </c>
      <c r="AB6362">
        <v>27</v>
      </c>
      <c r="AC6362">
        <v>-1.49789999999998</v>
      </c>
      <c r="AD6362">
        <v>-1.110461497003</v>
      </c>
      <c r="AE6362">
        <v>50.341949999999997</v>
      </c>
      <c r="AF6362">
        <v>-2.1288709684209799</v>
      </c>
      <c r="AG6362">
        <v>-1.110461497003</v>
      </c>
      <c r="AH6362">
        <v>50.294722291644597</v>
      </c>
      <c r="AI6362">
        <v>91.2637017551246</v>
      </c>
      <c r="AJ6362">
        <v>92.423764332800701</v>
      </c>
      <c r="AK6362">
        <v>50.352003999147499</v>
      </c>
      <c r="AL6362">
        <v>78.583484340555202</v>
      </c>
      <c r="AM6362">
        <v>88.916172893634496</v>
      </c>
      <c r="AN6362">
        <v>1.00000001054299</v>
      </c>
    </row>
    <row r="6363" spans="1:40" x14ac:dyDescent="0.25">
      <c r="A6363" t="str">
        <f>"20190312172833143"</f>
        <v>20190312172833143</v>
      </c>
      <c r="B6363" t="str">
        <f>"1552382913136539"</f>
        <v>1552382913136539</v>
      </c>
      <c r="C6363" t="s">
        <v>40</v>
      </c>
      <c r="D6363">
        <v>3.1129660000000001</v>
      </c>
      <c r="E6363">
        <v>0.47886600000000001</v>
      </c>
      <c r="F6363" t="s">
        <v>41</v>
      </c>
      <c r="G6363">
        <v>-189.09010000000001</v>
      </c>
      <c r="H6363" s="1">
        <v>-9.632419000000001E-7</v>
      </c>
      <c r="I6363">
        <v>101.50190000000001</v>
      </c>
      <c r="J6363">
        <v>-187.5813</v>
      </c>
      <c r="K6363">
        <v>1.1104719999999999</v>
      </c>
      <c r="L6363">
        <v>52.677250000000001</v>
      </c>
      <c r="M6363">
        <v>1.201403E-2</v>
      </c>
      <c r="N6363">
        <v>0</v>
      </c>
      <c r="O6363">
        <v>0.99982950000000004</v>
      </c>
      <c r="P6363">
        <v>3.074354E-2</v>
      </c>
      <c r="Q6363">
        <v>0.18364820000000001</v>
      </c>
      <c r="R6363">
        <v>0.98251120000000003</v>
      </c>
      <c r="S6363">
        <v>-9.4146729999999998E-2</v>
      </c>
      <c r="T6363">
        <v>-6.9423910000000005E-2</v>
      </c>
      <c r="U6363">
        <v>3.0697019999999999</v>
      </c>
      <c r="V6363">
        <v>1.87593E-2</v>
      </c>
      <c r="W6363">
        <v>0.19743089999999999</v>
      </c>
      <c r="X6363">
        <v>0.98013729999999999</v>
      </c>
      <c r="Y6363">
        <v>-4.2654780000000003E-2</v>
      </c>
      <c r="Z6363">
        <v>-2.2592020000000001E-2</v>
      </c>
      <c r="AA6363">
        <v>0.99883440000000001</v>
      </c>
      <c r="AB6363">
        <v>27</v>
      </c>
      <c r="AC6363">
        <v>-1.5087999999999999</v>
      </c>
      <c r="AD6363">
        <v>-1.1104729632418999</v>
      </c>
      <c r="AE6363">
        <v>48.824649999999998</v>
      </c>
      <c r="AF6363">
        <v>-2.09424726746597</v>
      </c>
      <c r="AG6363">
        <v>-1.1104729632418999</v>
      </c>
      <c r="AH6363">
        <v>48.777788629697497</v>
      </c>
      <c r="AI6363">
        <v>91.302967927140202</v>
      </c>
      <c r="AJ6363">
        <v>92.4584526079082</v>
      </c>
      <c r="AK6363">
        <v>48.835352823777399</v>
      </c>
      <c r="AL6363">
        <v>78.613234875875804</v>
      </c>
      <c r="AM6363">
        <v>88.903523514438902</v>
      </c>
      <c r="AN6363">
        <v>0.99999999923129501</v>
      </c>
    </row>
    <row r="6364" spans="1:40" x14ac:dyDescent="0.25">
      <c r="A6364" t="str">
        <f>"20190312172833162"</f>
        <v>20190312172833162</v>
      </c>
      <c r="B6364" t="str">
        <f>"1552382913156058"</f>
        <v>1552382913156058</v>
      </c>
      <c r="C6364" t="s">
        <v>40</v>
      </c>
      <c r="D6364">
        <v>3.11911</v>
      </c>
      <c r="E6364">
        <v>0.47874860000000002</v>
      </c>
      <c r="F6364" t="s">
        <v>41</v>
      </c>
      <c r="G6364">
        <v>-189.09610000000001</v>
      </c>
      <c r="H6364" s="1">
        <v>-7.5319950000000003E-7</v>
      </c>
      <c r="I6364">
        <v>101.0147</v>
      </c>
      <c r="J6364">
        <v>-187.5789</v>
      </c>
      <c r="K6364">
        <v>1.1104719999999999</v>
      </c>
      <c r="L6364">
        <v>52.920529999999999</v>
      </c>
      <c r="M6364">
        <v>1.153465E-2</v>
      </c>
      <c r="N6364">
        <v>0</v>
      </c>
      <c r="O6364">
        <v>0.99983509999999998</v>
      </c>
      <c r="P6364">
        <v>3.0453640000000001E-2</v>
      </c>
      <c r="Q6364">
        <v>0.18327570000000001</v>
      </c>
      <c r="R6364">
        <v>0.98258970000000001</v>
      </c>
      <c r="S6364">
        <v>-9.6191410000000005E-2</v>
      </c>
      <c r="T6364">
        <v>-7.0518490000000003E-2</v>
      </c>
      <c r="U6364">
        <v>3.0695800000000002</v>
      </c>
      <c r="V6364">
        <v>1.8938070000000001E-2</v>
      </c>
      <c r="W6364">
        <v>0.19705690000000001</v>
      </c>
      <c r="X6364">
        <v>0.98020910000000006</v>
      </c>
      <c r="Y6364">
        <v>-4.284139E-2</v>
      </c>
      <c r="Z6364">
        <v>-2.294881E-2</v>
      </c>
      <c r="AA6364">
        <v>0.99881830000000005</v>
      </c>
      <c r="AB6364">
        <v>27</v>
      </c>
      <c r="AC6364">
        <v>-1.5172000000000001</v>
      </c>
      <c r="AD6364">
        <v>-1.1104727531995</v>
      </c>
      <c r="AE6364">
        <v>48.094169999999998</v>
      </c>
      <c r="AF6364">
        <v>-2.0708001363808899</v>
      </c>
      <c r="AG6364">
        <v>-1.1104727531995</v>
      </c>
      <c r="AH6364">
        <v>48.047877581338298</v>
      </c>
      <c r="AI6364">
        <v>91.322745185331598</v>
      </c>
      <c r="AJ6364">
        <v>92.467845260972396</v>
      </c>
      <c r="AK6364">
        <v>48.105300155094199</v>
      </c>
      <c r="AL6364">
        <v>78.635092643516202</v>
      </c>
      <c r="AM6364">
        <v>88.893158100901204</v>
      </c>
      <c r="AN6364">
        <v>0.99999997602787205</v>
      </c>
    </row>
    <row r="6365" spans="1:40" x14ac:dyDescent="0.25">
      <c r="A6365" t="str">
        <f>"20190312172833184"</f>
        <v>20190312172833184</v>
      </c>
      <c r="B6365" t="str">
        <f>"1552382913175581"</f>
        <v>1552382913175581</v>
      </c>
      <c r="C6365" t="s">
        <v>40</v>
      </c>
      <c r="D6365">
        <v>3.1246239999999998</v>
      </c>
      <c r="E6365">
        <v>0.47864269999999998</v>
      </c>
      <c r="F6365" t="s">
        <v>41</v>
      </c>
      <c r="G6365">
        <v>-189.113</v>
      </c>
      <c r="H6365" s="1">
        <v>-7.0134769999999903E-7</v>
      </c>
      <c r="I6365">
        <v>100.90089999999999</v>
      </c>
      <c r="J6365">
        <v>-187.57650000000001</v>
      </c>
      <c r="K6365">
        <v>1.110476</v>
      </c>
      <c r="L6365">
        <v>53.174160000000001</v>
      </c>
      <c r="M6365">
        <v>1.103604E-2</v>
      </c>
      <c r="N6365">
        <v>0</v>
      </c>
      <c r="O6365">
        <v>0.99984079999999997</v>
      </c>
      <c r="P6365">
        <v>3.0704370000000002E-2</v>
      </c>
      <c r="Q6365">
        <v>0.18331500000000001</v>
      </c>
      <c r="R6365">
        <v>0.98257459999999996</v>
      </c>
      <c r="S6365">
        <v>-9.8144529999999994E-2</v>
      </c>
      <c r="T6365">
        <v>-7.1040510000000001E-2</v>
      </c>
      <c r="U6365">
        <v>3.069458</v>
      </c>
      <c r="V6365">
        <v>1.9678669999999999E-2</v>
      </c>
      <c r="W6365">
        <v>0.1970943</v>
      </c>
      <c r="X6365">
        <v>0.98018700000000003</v>
      </c>
      <c r="Y6365">
        <v>-4.2979219999999999E-2</v>
      </c>
      <c r="Z6365">
        <v>-2.311941E-2</v>
      </c>
      <c r="AA6365">
        <v>0.99880840000000004</v>
      </c>
      <c r="AB6365">
        <v>27</v>
      </c>
      <c r="AC6365">
        <v>-1.53649999999998</v>
      </c>
      <c r="AD6365">
        <v>-1.1104767013476999</v>
      </c>
      <c r="AE6365">
        <v>47.7267399999999</v>
      </c>
      <c r="AF6365">
        <v>-2.0620572174601901</v>
      </c>
      <c r="AG6365">
        <v>-1.1104767013476999</v>
      </c>
      <c r="AH6365">
        <v>47.681087923580399</v>
      </c>
      <c r="AI6365">
        <v>91.332913055242301</v>
      </c>
      <c r="AJ6365">
        <v>92.476319371918706</v>
      </c>
      <c r="AK6365">
        <v>47.738573334867503</v>
      </c>
      <c r="AL6365">
        <v>78.632907007940702</v>
      </c>
      <c r="AM6365">
        <v>88.849858967042096</v>
      </c>
      <c r="AN6365">
        <v>0.99999998405722901</v>
      </c>
    </row>
    <row r="6366" spans="1:40" x14ac:dyDescent="0.25">
      <c r="A6366" t="str">
        <f>"20190312172833207"</f>
        <v>20190312172833207</v>
      </c>
      <c r="B6366" t="str">
        <f>"1552382913196074"</f>
        <v>1552382913196074</v>
      </c>
      <c r="C6366" t="s">
        <v>40</v>
      </c>
      <c r="D6366">
        <v>3.124806</v>
      </c>
      <c r="E6366">
        <v>0.4785914</v>
      </c>
      <c r="F6366" t="s">
        <v>41</v>
      </c>
      <c r="G6366">
        <v>-189.14609999999999</v>
      </c>
      <c r="H6366" s="1">
        <v>-1.097091E-6</v>
      </c>
      <c r="I6366">
        <v>101.837</v>
      </c>
      <c r="J6366">
        <v>-187.57400000000001</v>
      </c>
      <c r="K6366">
        <v>1.110474</v>
      </c>
      <c r="L6366">
        <v>53.461820000000003</v>
      </c>
      <c r="M6366">
        <v>1.047417E-2</v>
      </c>
      <c r="N6366">
        <v>0</v>
      </c>
      <c r="O6366">
        <v>0.99984689999999998</v>
      </c>
      <c r="P6366">
        <v>3.095289E-2</v>
      </c>
      <c r="Q6366">
        <v>0.18333940000000001</v>
      </c>
      <c r="R6366">
        <v>0.98256220000000005</v>
      </c>
      <c r="S6366">
        <v>-9.8999019999999993E-2</v>
      </c>
      <c r="T6366">
        <v>-7.0042370000000007E-2</v>
      </c>
      <c r="U6366">
        <v>3.069366</v>
      </c>
      <c r="V6366">
        <v>2.0480470000000001E-2</v>
      </c>
      <c r="W6366">
        <v>0.19711580000000001</v>
      </c>
      <c r="X6366">
        <v>0.98016630000000005</v>
      </c>
      <c r="Y6366">
        <v>-4.2696749999999999E-2</v>
      </c>
      <c r="Z6366">
        <v>-2.2795679999999999E-2</v>
      </c>
      <c r="AA6366">
        <v>0.99882800000000005</v>
      </c>
      <c r="AB6366">
        <v>27</v>
      </c>
      <c r="AC6366">
        <v>-1.5720999999999701</v>
      </c>
      <c r="AD6366">
        <v>-1.110475097091</v>
      </c>
      <c r="AE6366">
        <v>48.37518</v>
      </c>
      <c r="AF6366">
        <v>-2.0776597098004399</v>
      </c>
      <c r="AG6366">
        <v>-1.110475097091</v>
      </c>
      <c r="AH6366">
        <v>48.330616639085399</v>
      </c>
      <c r="AI6366">
        <v>91.31501871431</v>
      </c>
      <c r="AJ6366">
        <v>92.461542856300994</v>
      </c>
      <c r="AK6366">
        <v>48.387997783802</v>
      </c>
      <c r="AL6366">
        <v>78.631651050754499</v>
      </c>
      <c r="AM6366">
        <v>88.802984999356894</v>
      </c>
      <c r="AN6366">
        <v>1.00000003195837</v>
      </c>
    </row>
    <row r="6367" spans="1:40" x14ac:dyDescent="0.25">
      <c r="A6367" t="str">
        <f>"20190312172833231"</f>
        <v>20190312172833231</v>
      </c>
      <c r="B6367" t="str">
        <f>"1552382913226332"</f>
        <v>1552382913226332</v>
      </c>
      <c r="C6367" t="s">
        <v>40</v>
      </c>
      <c r="D6367">
        <v>3.1174029999999999</v>
      </c>
      <c r="E6367">
        <v>0.47850530000000002</v>
      </c>
      <c r="F6367" t="s">
        <v>41</v>
      </c>
      <c r="G6367">
        <v>-189.15180000000001</v>
      </c>
      <c r="H6367" s="1">
        <v>-1.364682E-6</v>
      </c>
      <c r="I6367">
        <v>102.4632</v>
      </c>
      <c r="J6367">
        <v>-187.57169999999999</v>
      </c>
      <c r="K6367">
        <v>1.1104750000000001</v>
      </c>
      <c r="L6367">
        <v>53.730040000000002</v>
      </c>
      <c r="M6367">
        <v>9.9547479999999994E-3</v>
      </c>
      <c r="N6367">
        <v>0</v>
      </c>
      <c r="O6367">
        <v>0.99985219999999997</v>
      </c>
      <c r="P6367">
        <v>3.10041E-2</v>
      </c>
      <c r="Q6367">
        <v>0.18260209999999999</v>
      </c>
      <c r="R6367">
        <v>0.98269790000000001</v>
      </c>
      <c r="S6367">
        <v>-9.8831180000000005E-2</v>
      </c>
      <c r="T6367">
        <v>-6.9557789999999994E-2</v>
      </c>
      <c r="U6367">
        <v>3.0693359999999998</v>
      </c>
      <c r="V6367">
        <v>2.104309E-2</v>
      </c>
      <c r="W6367">
        <v>0.196378</v>
      </c>
      <c r="X6367">
        <v>0.98030249999999997</v>
      </c>
      <c r="Y6367">
        <v>-4.2123580000000001E-2</v>
      </c>
      <c r="Z6367">
        <v>-2.2638740000000001E-2</v>
      </c>
      <c r="AA6367">
        <v>0.99885590000000002</v>
      </c>
      <c r="AB6367">
        <v>27</v>
      </c>
      <c r="AC6367">
        <v>-1.5801000000000101</v>
      </c>
      <c r="AD6367">
        <v>-1.110476364682</v>
      </c>
      <c r="AE6367">
        <v>48.733159999999998</v>
      </c>
      <c r="AF6367">
        <v>-2.0641250301851901</v>
      </c>
      <c r="AG6367">
        <v>-1.110476364682</v>
      </c>
      <c r="AH6367">
        <v>48.689758569120499</v>
      </c>
      <c r="AI6367">
        <v>91.305356913827097</v>
      </c>
      <c r="AJ6367">
        <v>92.427510082681593</v>
      </c>
      <c r="AK6367">
        <v>48.746141995197902</v>
      </c>
      <c r="AL6367">
        <v>78.674766933081102</v>
      </c>
      <c r="AM6367">
        <v>88.770282530711199</v>
      </c>
      <c r="AN6367">
        <v>1.00000006101349</v>
      </c>
    </row>
    <row r="6368" spans="1:40" x14ac:dyDescent="0.25">
      <c r="A6368" t="str">
        <f>"20190312172833253"</f>
        <v>20190312172833253</v>
      </c>
      <c r="B6368" t="str">
        <f>"1552382913245851"</f>
        <v>1552382913245851</v>
      </c>
      <c r="C6368" t="s">
        <v>40</v>
      </c>
      <c r="D6368">
        <v>3.1203319999999999</v>
      </c>
      <c r="E6368">
        <v>0.47847430000000002</v>
      </c>
      <c r="F6368" t="s">
        <v>41</v>
      </c>
      <c r="G6368">
        <v>-189.1223</v>
      </c>
      <c r="H6368" s="1">
        <v>-1.0070419999999999E-6</v>
      </c>
      <c r="I6368">
        <v>101.6173</v>
      </c>
      <c r="J6368">
        <v>-187.56960000000001</v>
      </c>
      <c r="K6368">
        <v>1.110471</v>
      </c>
      <c r="L6368">
        <v>54.004089999999998</v>
      </c>
      <c r="M6368">
        <v>9.4277330000000006E-3</v>
      </c>
      <c r="N6368">
        <v>0</v>
      </c>
      <c r="O6368">
        <v>0.99985740000000001</v>
      </c>
      <c r="P6368">
        <v>3.07529E-2</v>
      </c>
      <c r="Q6368">
        <v>0.18231559999999999</v>
      </c>
      <c r="R6368">
        <v>0.98275900000000005</v>
      </c>
      <c r="S6368">
        <v>-9.9380490000000002E-2</v>
      </c>
      <c r="T6368">
        <v>-7.1172479999999996E-2</v>
      </c>
      <c r="U6368">
        <v>3.0691830000000002</v>
      </c>
      <c r="V6368">
        <v>2.1311429999999999E-2</v>
      </c>
      <c r="W6368">
        <v>0.1960896</v>
      </c>
      <c r="X6368">
        <v>0.98035439999999996</v>
      </c>
      <c r="Y6368">
        <v>-4.177674E-2</v>
      </c>
      <c r="Z6368">
        <v>-2.3165419999999999E-2</v>
      </c>
      <c r="AA6368">
        <v>0.99885840000000004</v>
      </c>
      <c r="AB6368">
        <v>27</v>
      </c>
      <c r="AC6368">
        <v>-1.55269999999998</v>
      </c>
      <c r="AD6368">
        <v>-1.110472007042</v>
      </c>
      <c r="AE6368">
        <v>47.613210000000002</v>
      </c>
      <c r="AF6368">
        <v>-2.0004726719220902</v>
      </c>
      <c r="AG6368">
        <v>-1.110472007042</v>
      </c>
      <c r="AH6368">
        <v>47.570605056608798</v>
      </c>
      <c r="AI6368">
        <v>91.336069879821807</v>
      </c>
      <c r="AJ6368">
        <v>92.408023769682799</v>
      </c>
      <c r="AK6368">
        <v>47.625597155745801</v>
      </c>
      <c r="AL6368">
        <v>78.691618313662104</v>
      </c>
      <c r="AM6368">
        <v>88.754672078354304</v>
      </c>
      <c r="AN6368">
        <v>1.0000000289380799</v>
      </c>
    </row>
    <row r="6369" spans="1:40" x14ac:dyDescent="0.25">
      <c r="A6369" t="str">
        <f>"20190312172833276"</f>
        <v>20190312172833276</v>
      </c>
      <c r="B6369" t="str">
        <f>"1552382913266347"</f>
        <v>1552382913266347</v>
      </c>
      <c r="C6369" t="s">
        <v>40</v>
      </c>
      <c r="D6369">
        <v>3.0902219999999998</v>
      </c>
      <c r="E6369">
        <v>0.47843259999999999</v>
      </c>
      <c r="F6369" t="s">
        <v>41</v>
      </c>
      <c r="G6369">
        <v>-189.10419999999999</v>
      </c>
      <c r="H6369" s="1">
        <v>-7.6442560000000005E-7</v>
      </c>
      <c r="I6369">
        <v>101.04430000000001</v>
      </c>
      <c r="J6369">
        <v>-187.5677</v>
      </c>
      <c r="K6369">
        <v>1.1104700000000001</v>
      </c>
      <c r="L6369">
        <v>54.26755</v>
      </c>
      <c r="M6369">
        <v>8.9235249999999999E-3</v>
      </c>
      <c r="N6369">
        <v>0</v>
      </c>
      <c r="O6369">
        <v>0.99986209999999998</v>
      </c>
      <c r="P6369">
        <v>3.0400610000000002E-2</v>
      </c>
      <c r="Q6369">
        <v>0.1822318</v>
      </c>
      <c r="R6369">
        <v>0.98278549999999998</v>
      </c>
      <c r="S6369">
        <v>-0.1001282</v>
      </c>
      <c r="T6369">
        <v>-7.2454569999999996E-2</v>
      </c>
      <c r="U6369">
        <v>3.0692140000000001</v>
      </c>
      <c r="V6369">
        <v>2.1456329999999999E-2</v>
      </c>
      <c r="W6369">
        <v>0.1960035</v>
      </c>
      <c r="X6369">
        <v>0.98036840000000003</v>
      </c>
      <c r="Y6369">
        <v>-4.1515349999999999E-2</v>
      </c>
      <c r="Z6369">
        <v>-2.358246E-2</v>
      </c>
      <c r="AA6369">
        <v>0.99885950000000001</v>
      </c>
      <c r="AB6369">
        <v>27</v>
      </c>
      <c r="AC6369">
        <v>-1.53649999999998</v>
      </c>
      <c r="AD6369">
        <v>-1.1104707644256</v>
      </c>
      <c r="AE6369">
        <v>46.77675</v>
      </c>
      <c r="AF6369">
        <v>-1.95279388796474</v>
      </c>
      <c r="AG6369">
        <v>-1.1104707644256</v>
      </c>
      <c r="AH6369">
        <v>46.734864494490502</v>
      </c>
      <c r="AI6369">
        <v>91.359967114708894</v>
      </c>
      <c r="AJ6369">
        <v>92.392684802687896</v>
      </c>
      <c r="AK6369">
        <v>46.788824612356997</v>
      </c>
      <c r="AL6369">
        <v>78.696648463087399</v>
      </c>
      <c r="AM6369">
        <v>88.746225476729606</v>
      </c>
      <c r="AN6369">
        <v>0.99999997291393905</v>
      </c>
    </row>
    <row r="6370" spans="1:40" x14ac:dyDescent="0.25">
      <c r="A6370" t="str">
        <f>"20190312172833296"</f>
        <v>20190312172833296</v>
      </c>
      <c r="B6370" t="str">
        <f>"1552382913285866"</f>
        <v>1552382913285866</v>
      </c>
      <c r="C6370" t="s">
        <v>40</v>
      </c>
      <c r="D6370">
        <v>3.1430009999999999</v>
      </c>
      <c r="E6370">
        <v>0.47839540000000003</v>
      </c>
      <c r="F6370" t="s">
        <v>41</v>
      </c>
      <c r="G6370">
        <v>-189.0994</v>
      </c>
      <c r="H6370" s="1">
        <v>-6.370643E-7</v>
      </c>
      <c r="I6370">
        <v>100.7454</v>
      </c>
      <c r="J6370">
        <v>-187.566</v>
      </c>
      <c r="K6370">
        <v>1.1104700000000001</v>
      </c>
      <c r="L6370">
        <v>54.52704</v>
      </c>
      <c r="M6370">
        <v>8.4286610000000005E-3</v>
      </c>
      <c r="N6370">
        <v>0</v>
      </c>
      <c r="O6370">
        <v>0.99986640000000004</v>
      </c>
      <c r="P6370">
        <v>3.0035909999999999E-2</v>
      </c>
      <c r="Q6370">
        <v>0.1823447</v>
      </c>
      <c r="R6370">
        <v>0.98277579999999998</v>
      </c>
      <c r="S6370">
        <v>-0.1011505</v>
      </c>
      <c r="T6370">
        <v>-7.3332549999999996E-2</v>
      </c>
      <c r="U6370">
        <v>3.0692750000000002</v>
      </c>
      <c r="V6370">
        <v>2.1579540000000001E-2</v>
      </c>
      <c r="W6370">
        <v>0.19611290000000001</v>
      </c>
      <c r="X6370">
        <v>0.98034379999999999</v>
      </c>
      <c r="Y6370">
        <v>-4.1352310000000003E-2</v>
      </c>
      <c r="Z6370">
        <v>-2.386769E-2</v>
      </c>
      <c r="AA6370">
        <v>0.99885950000000001</v>
      </c>
      <c r="AB6370">
        <v>27</v>
      </c>
      <c r="AC6370">
        <v>-1.5334000000000201</v>
      </c>
      <c r="AD6370">
        <v>-1.1104706370643</v>
      </c>
      <c r="AE6370">
        <v>46.218359999999997</v>
      </c>
      <c r="AF6370">
        <v>-1.9218344051328999</v>
      </c>
      <c r="AG6370">
        <v>-1.1104706370643</v>
      </c>
      <c r="AH6370">
        <v>46.177164385798903</v>
      </c>
      <c r="AI6370">
        <v>91.376395040339105</v>
      </c>
      <c r="AJ6370">
        <v>92.383201557858897</v>
      </c>
      <c r="AK6370">
        <v>46.2304780770178</v>
      </c>
      <c r="AL6370">
        <v>78.690256054003896</v>
      </c>
      <c r="AM6370">
        <v>88.738996536657098</v>
      </c>
      <c r="AN6370">
        <v>0.99999995614572901</v>
      </c>
    </row>
    <row r="6371" spans="1:40" x14ac:dyDescent="0.25">
      <c r="A6371" t="str">
        <f>"20190312172833341"</f>
        <v>20190312172833341</v>
      </c>
      <c r="B6371" t="str">
        <f>"1552382913335643"</f>
        <v>1552382913335643</v>
      </c>
      <c r="C6371" t="s">
        <v>40</v>
      </c>
      <c r="D6371">
        <v>3.2203279999999999</v>
      </c>
      <c r="E6371">
        <v>0.50157419999999997</v>
      </c>
      <c r="F6371" t="s">
        <v>41</v>
      </c>
      <c r="G6371">
        <v>-189.13900000000001</v>
      </c>
      <c r="H6371" s="1">
        <v>-9.1141370000000001E-7</v>
      </c>
      <c r="I6371">
        <v>101.40130000000001</v>
      </c>
      <c r="J6371">
        <v>-187.56290000000001</v>
      </c>
      <c r="K6371">
        <v>1.1104670000000001</v>
      </c>
      <c r="L6371">
        <v>55.049840000000003</v>
      </c>
      <c r="M6371">
        <v>7.4334140000000002E-3</v>
      </c>
      <c r="N6371">
        <v>0</v>
      </c>
      <c r="O6371">
        <v>0.99987440000000005</v>
      </c>
      <c r="P6371">
        <v>2.877155E-2</v>
      </c>
      <c r="Q6371">
        <v>0.18112449999999999</v>
      </c>
      <c r="R6371">
        <v>0.98303929999999995</v>
      </c>
      <c r="S6371">
        <v>-0.1029968</v>
      </c>
      <c r="T6371">
        <v>-7.2710990000000003E-2</v>
      </c>
      <c r="U6371">
        <v>3.0692140000000001</v>
      </c>
      <c r="V6371">
        <v>2.129489E-2</v>
      </c>
      <c r="W6371">
        <v>0.19489100000000001</v>
      </c>
      <c r="X6371">
        <v>0.98059370000000001</v>
      </c>
      <c r="Y6371">
        <v>-4.0958809999999998E-2</v>
      </c>
      <c r="Z6371">
        <v>-2.366621E-2</v>
      </c>
      <c r="AA6371">
        <v>0.99888049999999995</v>
      </c>
      <c r="AB6371">
        <v>27</v>
      </c>
      <c r="AC6371">
        <v>-1.5760999999999901</v>
      </c>
      <c r="AD6371">
        <v>-1.1104679114136999</v>
      </c>
      <c r="AE6371">
        <v>46.351459999999904</v>
      </c>
      <c r="AF6371">
        <v>-1.9195393214199401</v>
      </c>
      <c r="AG6371">
        <v>-1.1104679114136999</v>
      </c>
      <c r="AH6371">
        <v>46.311911485416701</v>
      </c>
      <c r="AI6371">
        <v>91.372398215025797</v>
      </c>
      <c r="AJ6371">
        <v>92.373440922852893</v>
      </c>
      <c r="AK6371">
        <v>46.364975095667099</v>
      </c>
      <c r="AL6371">
        <v>78.761643690889002</v>
      </c>
      <c r="AM6371">
        <v>88.7559418583823</v>
      </c>
      <c r="AN6371">
        <v>0.99999998935040002</v>
      </c>
    </row>
    <row r="6372" spans="1:40" x14ac:dyDescent="0.25">
      <c r="A6372" t="str">
        <f>"20190312172833362"</f>
        <v>20190312172833362</v>
      </c>
      <c r="B6372" t="str">
        <f>"1552382913356139"</f>
        <v>1552382913356139</v>
      </c>
      <c r="C6372" t="s">
        <v>40</v>
      </c>
      <c r="D6372">
        <v>3.2002320000000002</v>
      </c>
      <c r="E6372">
        <v>0.51066020000000001</v>
      </c>
      <c r="F6372" t="s">
        <v>41</v>
      </c>
      <c r="G6372">
        <v>-186.72579999999999</v>
      </c>
      <c r="H6372" s="1">
        <v>-4.3487609999999997E-6</v>
      </c>
      <c r="I6372">
        <v>88.415989999999994</v>
      </c>
      <c r="J6372">
        <v>-187.5615</v>
      </c>
      <c r="K6372">
        <v>1.1104639999999999</v>
      </c>
      <c r="L6372">
        <v>55.31033</v>
      </c>
      <c r="M6372">
        <v>6.9373450000000001E-3</v>
      </c>
      <c r="N6372">
        <v>0</v>
      </c>
      <c r="O6372">
        <v>0.99987800000000004</v>
      </c>
      <c r="P6372">
        <v>2.8023159999999998E-2</v>
      </c>
      <c r="Q6372">
        <v>0.1812444</v>
      </c>
      <c r="R6372">
        <v>0.98303870000000004</v>
      </c>
      <c r="S6372">
        <v>7.6980590000000002E-2</v>
      </c>
      <c r="T6372">
        <v>-0.1021181</v>
      </c>
      <c r="U6372">
        <v>3.0683289999999999</v>
      </c>
      <c r="V6372">
        <v>2.1035020000000001E-2</v>
      </c>
      <c r="W6372">
        <v>0.1950075</v>
      </c>
      <c r="X6372">
        <v>0.98057620000000001</v>
      </c>
      <c r="Y6372">
        <v>1.813056E-2</v>
      </c>
      <c r="Z6372">
        <v>-3.3253779999999997E-2</v>
      </c>
      <c r="AA6372">
        <v>0.99928249999999996</v>
      </c>
      <c r="AB6372">
        <v>27</v>
      </c>
      <c r="AC6372">
        <v>0.835700000000002</v>
      </c>
      <c r="AD6372">
        <v>-1.1104683487610001</v>
      </c>
      <c r="AE6372">
        <v>33.10566</v>
      </c>
      <c r="AF6372">
        <v>0.60531137856205097</v>
      </c>
      <c r="AG6372">
        <v>-1.1104683487610001</v>
      </c>
      <c r="AH6372">
        <v>33.073472606498001</v>
      </c>
      <c r="AI6372">
        <v>91.922707550134703</v>
      </c>
      <c r="AJ6372">
        <v>88.951488521009296</v>
      </c>
      <c r="AK6372">
        <v>33.097645415820601</v>
      </c>
      <c r="AL6372">
        <v>78.754838740391307</v>
      </c>
      <c r="AM6372">
        <v>88.771096985055806</v>
      </c>
      <c r="AN6372">
        <v>1.0000000405645399</v>
      </c>
    </row>
    <row r="6373" spans="1:40" x14ac:dyDescent="0.25">
      <c r="A6373" t="str">
        <f>"20190312172833385"</f>
        <v>20190312172833385</v>
      </c>
      <c r="B6373" t="str">
        <f>"1552382913375659"</f>
        <v>1552382913375659</v>
      </c>
      <c r="C6373" t="s">
        <v>40</v>
      </c>
      <c r="D6373">
        <v>3.2022179999999998</v>
      </c>
      <c r="E6373">
        <v>0.51419970000000004</v>
      </c>
      <c r="F6373" t="s">
        <v>41</v>
      </c>
      <c r="G6373">
        <v>-186.1832</v>
      </c>
      <c r="H6373" s="1">
        <v>-2.5391119999999999E-6</v>
      </c>
      <c r="I6373">
        <v>83.973320000000001</v>
      </c>
      <c r="J6373">
        <v>-187.56020000000001</v>
      </c>
      <c r="K6373">
        <v>1.110457</v>
      </c>
      <c r="L6373">
        <v>55.577120000000001</v>
      </c>
      <c r="M6373">
        <v>6.4288319999999998E-3</v>
      </c>
      <c r="N6373">
        <v>0</v>
      </c>
      <c r="O6373">
        <v>0.99988140000000003</v>
      </c>
      <c r="P6373">
        <v>2.7221820000000001E-2</v>
      </c>
      <c r="Q6373">
        <v>0.18111179999999999</v>
      </c>
      <c r="R6373">
        <v>0.98308569999999995</v>
      </c>
      <c r="S6373">
        <v>0.14759829999999999</v>
      </c>
      <c r="T6373">
        <v>-0.1189187</v>
      </c>
      <c r="U6373">
        <v>3.0694889999999999</v>
      </c>
      <c r="V6373">
        <v>2.0734220000000001E-2</v>
      </c>
      <c r="W6373">
        <v>0.19487280000000001</v>
      </c>
      <c r="X6373">
        <v>0.98060939999999996</v>
      </c>
      <c r="Y6373">
        <v>4.1571169999999998E-2</v>
      </c>
      <c r="Z6373">
        <v>-3.8672890000000001E-2</v>
      </c>
      <c r="AA6373">
        <v>0.99838680000000002</v>
      </c>
      <c r="AB6373">
        <v>27</v>
      </c>
      <c r="AC6373">
        <v>1.377</v>
      </c>
      <c r="AD6373">
        <v>-1.110459539112</v>
      </c>
      <c r="AE6373">
        <v>28.3962</v>
      </c>
      <c r="AF6373">
        <v>1.1925797579894999</v>
      </c>
      <c r="AG6373">
        <v>-1.110459539112</v>
      </c>
      <c r="AH6373">
        <v>28.361196180457299</v>
      </c>
      <c r="AI6373">
        <v>92.240246557170593</v>
      </c>
      <c r="AJ6373">
        <v>87.592148227929698</v>
      </c>
      <c r="AK6373">
        <v>28.407970987973702</v>
      </c>
      <c r="AL6373">
        <v>78.762707613957403</v>
      </c>
      <c r="AM6373">
        <v>88.788705977556603</v>
      </c>
      <c r="AN6373">
        <v>1.0000000557136</v>
      </c>
    </row>
    <row r="6374" spans="1:40" x14ac:dyDescent="0.25">
      <c r="A6374" t="str">
        <f>"20190312172833408"</f>
        <v>20190312172833408</v>
      </c>
      <c r="B6374" t="str">
        <f>"1552382913396155"</f>
        <v>1552382913396155</v>
      </c>
      <c r="C6374" t="s">
        <v>40</v>
      </c>
      <c r="D6374">
        <v>3.215433</v>
      </c>
      <c r="E6374">
        <v>0.51599200000000001</v>
      </c>
      <c r="F6374" t="s">
        <v>41</v>
      </c>
      <c r="G6374">
        <v>-186.08770000000001</v>
      </c>
      <c r="H6374" s="1">
        <v>-1.74826699999999E-6</v>
      </c>
      <c r="I6374">
        <v>81.726489999999998</v>
      </c>
      <c r="J6374">
        <v>-187.5591</v>
      </c>
      <c r="K6374">
        <v>1.1104510000000001</v>
      </c>
      <c r="L6374">
        <v>55.849640000000001</v>
      </c>
      <c r="M6374">
        <v>5.9089160000000002E-3</v>
      </c>
      <c r="N6374">
        <v>0</v>
      </c>
      <c r="O6374">
        <v>0.99988469999999996</v>
      </c>
      <c r="P6374">
        <v>2.727342E-2</v>
      </c>
      <c r="Q6374">
        <v>0.18108460000000001</v>
      </c>
      <c r="R6374">
        <v>0.98308930000000005</v>
      </c>
      <c r="S6374">
        <v>0.1729279</v>
      </c>
      <c r="T6374">
        <v>-0.13040589999999999</v>
      </c>
      <c r="U6374">
        <v>3.0708310000000001</v>
      </c>
      <c r="V6374">
        <v>2.129766E-2</v>
      </c>
      <c r="W6374">
        <v>0.19484280000000001</v>
      </c>
      <c r="X6374">
        <v>0.98060320000000001</v>
      </c>
      <c r="Y6374">
        <v>5.0272360000000002E-2</v>
      </c>
      <c r="Z6374">
        <v>-4.2366319999999999E-2</v>
      </c>
      <c r="AA6374">
        <v>0.99783650000000002</v>
      </c>
      <c r="AB6374">
        <v>27</v>
      </c>
      <c r="AC6374">
        <v>1.4713999999999801</v>
      </c>
      <c r="AD6374">
        <v>-1.1104527482669999</v>
      </c>
      <c r="AE6374">
        <v>25.876850000000001</v>
      </c>
      <c r="AF6374">
        <v>1.3160395053245</v>
      </c>
      <c r="AG6374">
        <v>-1.1104527482669999</v>
      </c>
      <c r="AH6374">
        <v>25.837666054287599</v>
      </c>
      <c r="AI6374">
        <v>92.457764757503398</v>
      </c>
      <c r="AJ6374">
        <v>87.084163779403795</v>
      </c>
      <c r="AK6374">
        <v>25.894981220664999</v>
      </c>
      <c r="AL6374">
        <v>78.764459120205103</v>
      </c>
      <c r="AM6374">
        <v>88.755792134568395</v>
      </c>
      <c r="AN6374">
        <v>0.99999997144177699</v>
      </c>
    </row>
    <row r="6375" spans="1:40" x14ac:dyDescent="0.25">
      <c r="A6375" t="str">
        <f>"20190312172833429"</f>
        <v>20190312172833429</v>
      </c>
      <c r="B6375" t="str">
        <f>"1552382913426411"</f>
        <v>1552382913426411</v>
      </c>
      <c r="C6375" t="s">
        <v>40</v>
      </c>
      <c r="D6375">
        <v>3.2095630000000002</v>
      </c>
      <c r="E6375">
        <v>0.51775959999999999</v>
      </c>
      <c r="F6375" t="s">
        <v>41</v>
      </c>
      <c r="G6375">
        <v>-185.99170000000001</v>
      </c>
      <c r="H6375" s="1">
        <v>-1.7427459999999899E-6</v>
      </c>
      <c r="I6375">
        <v>81.635199999999998</v>
      </c>
      <c r="J6375">
        <v>-187.5581</v>
      </c>
      <c r="K6375">
        <v>1.1104499999999999</v>
      </c>
      <c r="L6375">
        <v>56.105829999999997</v>
      </c>
      <c r="M6375">
        <v>5.4198329999999998E-3</v>
      </c>
      <c r="N6375">
        <v>0</v>
      </c>
      <c r="O6375">
        <v>0.99988750000000004</v>
      </c>
      <c r="P6375">
        <v>2.7834709999999999E-2</v>
      </c>
      <c r="Q6375">
        <v>0.18047279999999999</v>
      </c>
      <c r="R6375">
        <v>0.98318609999999995</v>
      </c>
      <c r="S6375">
        <v>0.18666079999999999</v>
      </c>
      <c r="T6375">
        <v>-0.13224379999999999</v>
      </c>
      <c r="U6375">
        <v>3.0708009999999999</v>
      </c>
      <c r="V6375">
        <v>2.234032E-2</v>
      </c>
      <c r="W6375">
        <v>0.1942306</v>
      </c>
      <c r="X6375">
        <v>0.9807015</v>
      </c>
      <c r="Y6375">
        <v>5.5206459999999999E-2</v>
      </c>
      <c r="Z6375">
        <v>-4.2951719999999999E-2</v>
      </c>
      <c r="AA6375">
        <v>0.99755070000000001</v>
      </c>
      <c r="AB6375">
        <v>27</v>
      </c>
      <c r="AC6375">
        <v>1.56639999999998</v>
      </c>
      <c r="AD6375">
        <v>-1.1104517427459999</v>
      </c>
      <c r="AE6375">
        <v>25.52937</v>
      </c>
      <c r="AF6375">
        <v>1.4253119680330599</v>
      </c>
      <c r="AG6375">
        <v>-1.1104517427459999</v>
      </c>
      <c r="AH6375">
        <v>25.4894404907864</v>
      </c>
      <c r="AI6375">
        <v>92.490636983321195</v>
      </c>
      <c r="AJ6375">
        <v>86.799482368380296</v>
      </c>
      <c r="AK6375">
        <v>25.5533988700628</v>
      </c>
      <c r="AL6375">
        <v>78.800219373886804</v>
      </c>
      <c r="AM6375">
        <v>88.695031354006503</v>
      </c>
      <c r="AN6375">
        <v>1.0000000239881499</v>
      </c>
    </row>
    <row r="6376" spans="1:40" x14ac:dyDescent="0.25">
      <c r="A6376" t="str">
        <f>"20190312172833452"</f>
        <v>20190312172833452</v>
      </c>
      <c r="B6376" t="str">
        <f>"1552382913445931"</f>
        <v>1552382913445931</v>
      </c>
      <c r="C6376" t="s">
        <v>40</v>
      </c>
      <c r="D6376">
        <v>3.1986110000000001</v>
      </c>
      <c r="E6376">
        <v>0.51843760000000005</v>
      </c>
      <c r="F6376" t="s">
        <v>41</v>
      </c>
      <c r="G6376">
        <v>-185.917</v>
      </c>
      <c r="H6376" s="1">
        <v>-1.558256E-6</v>
      </c>
      <c r="I6376">
        <v>81.034679999999994</v>
      </c>
      <c r="J6376">
        <v>-187.55719999999999</v>
      </c>
      <c r="K6376">
        <v>1.1104480000000001</v>
      </c>
      <c r="L6376">
        <v>56.383450000000003</v>
      </c>
      <c r="M6376">
        <v>4.8895299999999996E-3</v>
      </c>
      <c r="N6376">
        <v>0</v>
      </c>
      <c r="O6376">
        <v>0.99989019999999995</v>
      </c>
      <c r="P6376">
        <v>2.874875E-2</v>
      </c>
      <c r="Q6376">
        <v>0.17971519999999999</v>
      </c>
      <c r="R6376">
        <v>0.98329849999999996</v>
      </c>
      <c r="S6376">
        <v>0.20214840000000001</v>
      </c>
      <c r="T6376">
        <v>-0.13678290000000001</v>
      </c>
      <c r="U6376">
        <v>3.0706790000000002</v>
      </c>
      <c r="V6376">
        <v>2.37764E-2</v>
      </c>
      <c r="W6376">
        <v>0.1934728</v>
      </c>
      <c r="X6376">
        <v>0.98081750000000001</v>
      </c>
      <c r="Y6376">
        <v>6.0744630000000001E-2</v>
      </c>
      <c r="Z6376">
        <v>-4.4410860000000003E-2</v>
      </c>
      <c r="AA6376">
        <v>0.99716479999999996</v>
      </c>
      <c r="AB6376">
        <v>27</v>
      </c>
      <c r="AC6376">
        <v>1.6401999999999901</v>
      </c>
      <c r="AD6376">
        <v>-1.1104495582559999</v>
      </c>
      <c r="AE6376">
        <v>24.651230000000002</v>
      </c>
      <c r="AF6376">
        <v>1.5165718333840601</v>
      </c>
      <c r="AG6376">
        <v>-1.1104495582559999</v>
      </c>
      <c r="AH6376">
        <v>24.609239389949099</v>
      </c>
      <c r="AI6376">
        <v>92.578735374922204</v>
      </c>
      <c r="AJ6376">
        <v>86.473543385019596</v>
      </c>
      <c r="AK6376">
        <v>24.680918777449701</v>
      </c>
      <c r="AL6376">
        <v>78.844477442559196</v>
      </c>
      <c r="AM6376">
        <v>88.611341438659807</v>
      </c>
      <c r="AN6376">
        <v>1.0000000049215201</v>
      </c>
    </row>
    <row r="6377" spans="1:40" x14ac:dyDescent="0.25">
      <c r="A6377" t="str">
        <f>"20190312172833475"</f>
        <v>20190312172833475</v>
      </c>
      <c r="B6377" t="str">
        <f>"1552382913466427"</f>
        <v>1552382913466427</v>
      </c>
      <c r="C6377" t="s">
        <v>40</v>
      </c>
      <c r="D6377">
        <v>3.2429199999999998</v>
      </c>
      <c r="E6377">
        <v>0.51895809999999998</v>
      </c>
      <c r="F6377" t="s">
        <v>41</v>
      </c>
      <c r="G6377">
        <v>-185.88040000000001</v>
      </c>
      <c r="H6377" s="1">
        <v>-1.5028860000000001E-6</v>
      </c>
      <c r="I6377">
        <v>80.843350000000001</v>
      </c>
      <c r="J6377">
        <v>-187.5565</v>
      </c>
      <c r="K6377">
        <v>1.1104400000000001</v>
      </c>
      <c r="L6377">
        <v>56.639980000000001</v>
      </c>
      <c r="M6377">
        <v>4.3995320000000003E-3</v>
      </c>
      <c r="N6377">
        <v>0</v>
      </c>
      <c r="O6377">
        <v>0.99989249999999996</v>
      </c>
      <c r="P6377">
        <v>2.9278269999999999E-2</v>
      </c>
      <c r="Q6377">
        <v>0.17892759999999999</v>
      </c>
      <c r="R6377">
        <v>0.98342649999999998</v>
      </c>
      <c r="S6377">
        <v>0.21047969999999999</v>
      </c>
      <c r="T6377">
        <v>-0.13938699999999901</v>
      </c>
      <c r="U6377">
        <v>3.0702820000000002</v>
      </c>
      <c r="V6377">
        <v>2.4788290000000001E-2</v>
      </c>
      <c r="W6377">
        <v>0.19268489999999999</v>
      </c>
      <c r="X6377">
        <v>0.98094760000000003</v>
      </c>
      <c r="Y6377">
        <v>6.3932959999999997E-2</v>
      </c>
      <c r="Z6377">
        <v>-4.5252010000000002E-2</v>
      </c>
      <c r="AA6377">
        <v>0.99692769999999997</v>
      </c>
      <c r="AB6377">
        <v>26</v>
      </c>
      <c r="AC6377">
        <v>1.6760999999999899</v>
      </c>
      <c r="AD6377">
        <v>-1.110441502886</v>
      </c>
      <c r="AE6377">
        <v>24.20337</v>
      </c>
      <c r="AF6377">
        <v>1.56630860772049</v>
      </c>
      <c r="AG6377">
        <v>-1.110441502886</v>
      </c>
      <c r="AH6377">
        <v>24.159898078759401</v>
      </c>
      <c r="AI6377">
        <v>92.626081440259895</v>
      </c>
      <c r="AJ6377">
        <v>86.290652500565102</v>
      </c>
      <c r="AK6377">
        <v>24.236069775481202</v>
      </c>
      <c r="AL6377">
        <v>78.890487172078593</v>
      </c>
      <c r="AM6377">
        <v>88.552458657077494</v>
      </c>
      <c r="AN6377">
        <v>1.0000000619774401</v>
      </c>
    </row>
    <row r="6378" spans="1:40" x14ac:dyDescent="0.25">
      <c r="A6378" t="str">
        <f>"20190312172833496"</f>
        <v>20190312172833496</v>
      </c>
      <c r="B6378" t="str">
        <f>"1552382913485951"</f>
        <v>1552382913485951</v>
      </c>
      <c r="C6378" t="s">
        <v>40</v>
      </c>
      <c r="D6378">
        <v>3.2390150000000002</v>
      </c>
      <c r="E6378">
        <v>0.51939840000000004</v>
      </c>
      <c r="F6378" t="s">
        <v>41</v>
      </c>
      <c r="G6378">
        <v>-185.85120000000001</v>
      </c>
      <c r="H6378" s="1">
        <v>-1.4995969999999999E-6</v>
      </c>
      <c r="I6378">
        <v>80.810850000000002</v>
      </c>
      <c r="J6378">
        <v>-187.55600000000001</v>
      </c>
      <c r="K6378">
        <v>1.1104369999999999</v>
      </c>
      <c r="L6378">
        <v>56.902679999999997</v>
      </c>
      <c r="M6378">
        <v>3.8973979999999998E-3</v>
      </c>
      <c r="N6378">
        <v>0</v>
      </c>
      <c r="O6378">
        <v>0.99989470000000003</v>
      </c>
      <c r="P6378">
        <v>2.956311E-2</v>
      </c>
      <c r="Q6378">
        <v>0.1786346</v>
      </c>
      <c r="R6378">
        <v>0.98347130000000005</v>
      </c>
      <c r="S6378">
        <v>0.21658330000000001</v>
      </c>
      <c r="T6378">
        <v>-0.1410303</v>
      </c>
      <c r="U6378">
        <v>3.0697939999999999</v>
      </c>
      <c r="V6378">
        <v>2.5567530000000002E-2</v>
      </c>
      <c r="W6378">
        <v>0.19239049999999999</v>
      </c>
      <c r="X6378">
        <v>0.98098529999999995</v>
      </c>
      <c r="Y6378">
        <v>6.6415650000000007E-2</v>
      </c>
      <c r="Z6378">
        <v>-4.5784930000000001E-2</v>
      </c>
      <c r="AA6378">
        <v>0.99674110000000005</v>
      </c>
      <c r="AB6378">
        <v>26</v>
      </c>
      <c r="AC6378">
        <v>1.7047999999999699</v>
      </c>
      <c r="AD6378">
        <v>-1.110438499597</v>
      </c>
      <c r="AE6378">
        <v>23.908169999999998</v>
      </c>
      <c r="AF6378">
        <v>1.60814669917658</v>
      </c>
      <c r="AG6378">
        <v>-1.110438499597</v>
      </c>
      <c r="AH6378">
        <v>23.863414879225999</v>
      </c>
      <c r="AI6378">
        <v>92.658207531898199</v>
      </c>
      <c r="AJ6378">
        <v>86.144687690502806</v>
      </c>
      <c r="AK6378">
        <v>23.943303430511101</v>
      </c>
      <c r="AL6378">
        <v>78.907675761152205</v>
      </c>
      <c r="AM6378">
        <v>88.507031656014505</v>
      </c>
      <c r="AN6378">
        <v>0.99999998094831999</v>
      </c>
    </row>
    <row r="6379" spans="1:40" x14ac:dyDescent="0.25">
      <c r="A6379" t="str">
        <f>"20190312172833522"</f>
        <v>20190312172833522</v>
      </c>
      <c r="B6379" t="str">
        <f>"1552382913516203"</f>
        <v>1552382913516203</v>
      </c>
      <c r="C6379" t="s">
        <v>40</v>
      </c>
      <c r="D6379">
        <v>3.2566259999999998</v>
      </c>
      <c r="E6379">
        <v>0.51993449999999997</v>
      </c>
      <c r="F6379" t="s">
        <v>41</v>
      </c>
      <c r="G6379">
        <v>-185.8202</v>
      </c>
      <c r="H6379" s="1">
        <v>-1.574549E-6</v>
      </c>
      <c r="I6379">
        <v>81.006839999999997</v>
      </c>
      <c r="J6379">
        <v>-187.55549999999999</v>
      </c>
      <c r="K6379">
        <v>1.110439</v>
      </c>
      <c r="L6379">
        <v>57.18826</v>
      </c>
      <c r="M6379">
        <v>3.3513459999999998E-3</v>
      </c>
      <c r="N6379">
        <v>0</v>
      </c>
      <c r="O6379">
        <v>0.99989669999999997</v>
      </c>
      <c r="P6379">
        <v>2.9633610000000001E-2</v>
      </c>
      <c r="Q6379">
        <v>0.17816370000000001</v>
      </c>
      <c r="R6379">
        <v>0.9835545</v>
      </c>
      <c r="S6379">
        <v>0.22103880000000001</v>
      </c>
      <c r="T6379">
        <v>-0.1414049</v>
      </c>
      <c r="U6379">
        <v>3.069458</v>
      </c>
      <c r="V6379">
        <v>2.6175739999999999E-2</v>
      </c>
      <c r="W6379">
        <v>0.1919179</v>
      </c>
      <c r="X6379">
        <v>0.98106190000000004</v>
      </c>
      <c r="Y6379">
        <v>6.8407190000000007E-2</v>
      </c>
      <c r="Z6379">
        <v>-4.5905950000000001E-2</v>
      </c>
      <c r="AA6379">
        <v>0.99660070000000001</v>
      </c>
      <c r="AB6379">
        <v>26</v>
      </c>
      <c r="AC6379">
        <v>1.7352999999999901</v>
      </c>
      <c r="AD6379">
        <v>-1.110440574549</v>
      </c>
      <c r="AE6379">
        <v>23.818580000000001</v>
      </c>
      <c r="AF6379">
        <v>1.6518867386446101</v>
      </c>
      <c r="AG6379">
        <v>-1.110440574549</v>
      </c>
      <c r="AH6379">
        <v>23.772864947223201</v>
      </c>
      <c r="AI6379">
        <v>92.667942409402002</v>
      </c>
      <c r="AJ6379">
        <v>86.025121475311295</v>
      </c>
      <c r="AK6379">
        <v>23.856045687955699</v>
      </c>
      <c r="AL6379">
        <v>78.935268715722898</v>
      </c>
      <c r="AM6379">
        <v>88.471652300410398</v>
      </c>
      <c r="AN6379">
        <v>1.00000005066828</v>
      </c>
    </row>
    <row r="6380" spans="1:40" x14ac:dyDescent="0.25">
      <c r="A6380" t="str">
        <f>"20190312172833544"</f>
        <v>20190312172833544</v>
      </c>
      <c r="B6380" t="str">
        <f>"1552382913535723"</f>
        <v>1552382913535723</v>
      </c>
      <c r="C6380" t="s">
        <v>40</v>
      </c>
      <c r="D6380">
        <v>3.227716</v>
      </c>
      <c r="E6380">
        <v>0.52030609999999999</v>
      </c>
      <c r="F6380" t="s">
        <v>41</v>
      </c>
      <c r="G6380">
        <v>-185.8134</v>
      </c>
      <c r="H6380" s="1">
        <v>-1.5314169999999999E-6</v>
      </c>
      <c r="I6380">
        <v>80.874790000000004</v>
      </c>
      <c r="J6380">
        <v>-187.55520000000001</v>
      </c>
      <c r="K6380">
        <v>1.110439</v>
      </c>
      <c r="L6380">
        <v>57.458710000000004</v>
      </c>
      <c r="M6380">
        <v>2.8338909999999998E-3</v>
      </c>
      <c r="N6380">
        <v>0</v>
      </c>
      <c r="O6380">
        <v>0.99989830000000002</v>
      </c>
      <c r="P6380">
        <v>2.978971E-2</v>
      </c>
      <c r="Q6380">
        <v>0.17756569999999999</v>
      </c>
      <c r="R6380">
        <v>0.98365800000000003</v>
      </c>
      <c r="S6380">
        <v>0.2257538</v>
      </c>
      <c r="T6380">
        <v>-0.14389679999999999</v>
      </c>
      <c r="U6380">
        <v>3.0694270000000001</v>
      </c>
      <c r="V6380">
        <v>2.684158E-2</v>
      </c>
      <c r="W6380">
        <v>0.19131889999999999</v>
      </c>
      <c r="X6380">
        <v>0.9811609</v>
      </c>
      <c r="Y6380">
        <v>7.0444160000000006E-2</v>
      </c>
      <c r="Z6380">
        <v>-4.6707859999999997E-2</v>
      </c>
      <c r="AA6380">
        <v>0.99642160000000002</v>
      </c>
      <c r="AB6380">
        <v>26</v>
      </c>
      <c r="AC6380">
        <v>1.74180000000001</v>
      </c>
      <c r="AD6380">
        <v>-1.1104405314170001</v>
      </c>
      <c r="AE6380">
        <v>23.416080000000001</v>
      </c>
      <c r="AF6380">
        <v>1.6716891966391001</v>
      </c>
      <c r="AG6380">
        <v>-1.1104405314170001</v>
      </c>
      <c r="AH6380">
        <v>23.368658869661299</v>
      </c>
      <c r="AI6380">
        <v>92.713631489089096</v>
      </c>
      <c r="AJ6380">
        <v>85.908286589946798</v>
      </c>
      <c r="AK6380">
        <v>23.454676299419901</v>
      </c>
      <c r="AL6380">
        <v>78.970236876191393</v>
      </c>
      <c r="AM6380">
        <v>88.432952472046395</v>
      </c>
      <c r="AN6380">
        <v>1.00000005180145</v>
      </c>
    </row>
    <row r="6381" spans="1:40" x14ac:dyDescent="0.25">
      <c r="A6381" t="str">
        <f>"20190312172833565"</f>
        <v>20190312172833565</v>
      </c>
      <c r="B6381" t="str">
        <f>"1552382913556219"</f>
        <v>1552382913556219</v>
      </c>
      <c r="C6381" t="s">
        <v>40</v>
      </c>
      <c r="D6381">
        <v>3.2455910000000001</v>
      </c>
      <c r="E6381">
        <v>0.52061759999999901</v>
      </c>
      <c r="F6381" t="s">
        <v>41</v>
      </c>
      <c r="G6381">
        <v>-185.8219</v>
      </c>
      <c r="H6381" s="1">
        <v>-1.460797E-6</v>
      </c>
      <c r="I6381">
        <v>80.673900000000003</v>
      </c>
      <c r="J6381">
        <v>-187.55500000000001</v>
      </c>
      <c r="K6381">
        <v>1.1104339999999999</v>
      </c>
      <c r="L6381">
        <v>57.700839999999999</v>
      </c>
      <c r="M6381">
        <v>2.3704920000000001E-3</v>
      </c>
      <c r="N6381">
        <v>0</v>
      </c>
      <c r="O6381">
        <v>0.9998996</v>
      </c>
      <c r="P6381">
        <v>3.0358220000000002E-2</v>
      </c>
      <c r="Q6381">
        <v>0.17793519999999999</v>
      </c>
      <c r="R6381">
        <v>0.98357380000000005</v>
      </c>
      <c r="S6381">
        <v>0.22917180000000001</v>
      </c>
      <c r="T6381">
        <v>-0.146817</v>
      </c>
      <c r="U6381">
        <v>3.0693969999999999</v>
      </c>
      <c r="V6381">
        <v>2.786632E-2</v>
      </c>
      <c r="W6381">
        <v>0.1916853</v>
      </c>
      <c r="X6381">
        <v>0.98106070000000001</v>
      </c>
      <c r="Y6381">
        <v>7.2007269999999998E-2</v>
      </c>
      <c r="Z6381">
        <v>-4.7649509999999999E-2</v>
      </c>
      <c r="AA6381">
        <v>0.99626530000000002</v>
      </c>
      <c r="AB6381">
        <v>26</v>
      </c>
      <c r="AC6381">
        <v>1.7331000000000001</v>
      </c>
      <c r="AD6381">
        <v>-1.110435460797</v>
      </c>
      <c r="AE6381">
        <v>22.97306</v>
      </c>
      <c r="AF6381">
        <v>1.6747416208703001</v>
      </c>
      <c r="AG6381">
        <v>-1.110435460797</v>
      </c>
      <c r="AH6381">
        <v>22.9238477452067</v>
      </c>
      <c r="AI6381">
        <v>92.765890641509699</v>
      </c>
      <c r="AJ6381">
        <v>85.8215803003405</v>
      </c>
      <c r="AK6381">
        <v>23.011749647836201</v>
      </c>
      <c r="AL6381">
        <v>78.948846605954699</v>
      </c>
      <c r="AM6381">
        <v>88.372992264692101</v>
      </c>
      <c r="AN6381">
        <v>0.99999994155545902</v>
      </c>
    </row>
    <row r="6382" spans="1:40" x14ac:dyDescent="0.25">
      <c r="A6382" t="str">
        <f>"20190312172833587"</f>
        <v>20190312172833587</v>
      </c>
      <c r="B6382" t="str">
        <f>"1552382913575744"</f>
        <v>1552382913575744</v>
      </c>
      <c r="C6382" t="s">
        <v>40</v>
      </c>
      <c r="D6382">
        <v>3.2550720000000002</v>
      </c>
      <c r="E6382">
        <v>0.52081339999999998</v>
      </c>
      <c r="F6382" t="s">
        <v>41</v>
      </c>
      <c r="G6382">
        <v>-185.78440000000001</v>
      </c>
      <c r="H6382" s="1">
        <v>-1.569533E-6</v>
      </c>
      <c r="I6382">
        <v>80.964179999999999</v>
      </c>
      <c r="J6382">
        <v>-187.55500000000001</v>
      </c>
      <c r="K6382">
        <v>1.1104290000000001</v>
      </c>
      <c r="L6382">
        <v>57.962069999999997</v>
      </c>
      <c r="M6382">
        <v>1.8706860000000001E-3</v>
      </c>
      <c r="N6382">
        <v>0</v>
      </c>
      <c r="O6382">
        <v>0.99990060000000003</v>
      </c>
      <c r="P6382">
        <v>3.052651E-2</v>
      </c>
      <c r="Q6382">
        <v>0.1781355</v>
      </c>
      <c r="R6382">
        <v>0.98353239999999997</v>
      </c>
      <c r="S6382">
        <v>0.23361209999999999</v>
      </c>
      <c r="T6382">
        <v>-0.14651239999999999</v>
      </c>
      <c r="U6382">
        <v>3.0693969999999999</v>
      </c>
      <c r="V6382">
        <v>2.8526619999999999E-2</v>
      </c>
      <c r="W6382">
        <v>0.19188279999999999</v>
      </c>
      <c r="X6382">
        <v>0.98100319999999996</v>
      </c>
      <c r="Y6382">
        <v>7.3939149999999995E-2</v>
      </c>
      <c r="Z6382">
        <v>-4.754502E-2</v>
      </c>
      <c r="AA6382">
        <v>0.99612869999999998</v>
      </c>
      <c r="AB6382">
        <v>26</v>
      </c>
      <c r="AC6382">
        <v>1.7706</v>
      </c>
      <c r="AD6382">
        <v>-1.1104305695329999</v>
      </c>
      <c r="AE6382">
        <v>23.002109999999998</v>
      </c>
      <c r="AF6382">
        <v>1.7235698695769199</v>
      </c>
      <c r="AG6382">
        <v>-1.1104305695329999</v>
      </c>
      <c r="AH6382">
        <v>22.952207460710301</v>
      </c>
      <c r="AI6382">
        <v>92.762052350315102</v>
      </c>
      <c r="AJ6382">
        <v>85.705498968285696</v>
      </c>
      <c r="AK6382">
        <v>23.043601638297599</v>
      </c>
      <c r="AL6382">
        <v>78.937317625112698</v>
      </c>
      <c r="AM6382">
        <v>88.334363771180605</v>
      </c>
      <c r="AN6382">
        <v>1.00000002769735</v>
      </c>
    </row>
    <row r="6383" spans="1:40" x14ac:dyDescent="0.25">
      <c r="A6383" t="str">
        <f>"20190312172833609"</f>
        <v>20190312172833609</v>
      </c>
      <c r="B6383" t="str">
        <f>"1552382913605997"</f>
        <v>1552382913605997</v>
      </c>
      <c r="C6383" t="s">
        <v>40</v>
      </c>
      <c r="D6383">
        <v>3.2623869999999999</v>
      </c>
      <c r="E6383">
        <v>0.52107590000000004</v>
      </c>
      <c r="F6383" t="s">
        <v>41</v>
      </c>
      <c r="G6383">
        <v>-185.76</v>
      </c>
      <c r="H6383" s="1">
        <v>-1.7093929999999999E-6</v>
      </c>
      <c r="I6383">
        <v>81.356039999999993</v>
      </c>
      <c r="J6383">
        <v>-187.55510000000001</v>
      </c>
      <c r="K6383">
        <v>1.110433</v>
      </c>
      <c r="L6383">
        <v>58.221440000000001</v>
      </c>
      <c r="M6383">
        <v>1.3744460000000001E-3</v>
      </c>
      <c r="N6383">
        <v>0</v>
      </c>
      <c r="O6383">
        <v>0.9999015</v>
      </c>
      <c r="P6383">
        <v>3.027966E-2</v>
      </c>
      <c r="Q6383">
        <v>0.1777801</v>
      </c>
      <c r="R6383">
        <v>0.98360429999999999</v>
      </c>
      <c r="S6383">
        <v>0.2355042</v>
      </c>
      <c r="T6383">
        <v>-0.14568919999999999</v>
      </c>
      <c r="U6383">
        <v>3.0693049999999999</v>
      </c>
      <c r="V6383">
        <v>2.876853E-2</v>
      </c>
      <c r="W6383">
        <v>0.19152569999999999</v>
      </c>
      <c r="X6383">
        <v>0.98106590000000005</v>
      </c>
      <c r="Y6383">
        <v>7.504777E-2</v>
      </c>
      <c r="Z6383">
        <v>-4.7276899999999997E-2</v>
      </c>
      <c r="AA6383">
        <v>0.99605860000000002</v>
      </c>
      <c r="AB6383">
        <v>26</v>
      </c>
      <c r="AC6383">
        <v>1.7951000000000099</v>
      </c>
      <c r="AD6383">
        <v>-1.110434709393</v>
      </c>
      <c r="AE6383">
        <v>23.134599999999999</v>
      </c>
      <c r="AF6383">
        <v>1.7592690351885101</v>
      </c>
      <c r="AG6383">
        <v>-1.110434709393</v>
      </c>
      <c r="AH6383">
        <v>23.084180489927199</v>
      </c>
      <c r="AI6383">
        <v>92.746065649283807</v>
      </c>
      <c r="AJ6383">
        <v>85.641854483431302</v>
      </c>
      <c r="AK6383">
        <v>23.177736767715999</v>
      </c>
      <c r="AL6383">
        <v>78.958164416367694</v>
      </c>
      <c r="AM6383">
        <v>88.320354276883407</v>
      </c>
      <c r="AN6383">
        <v>1.00000001111083</v>
      </c>
    </row>
    <row r="6384" spans="1:40" x14ac:dyDescent="0.25">
      <c r="A6384" t="str">
        <f>"20190312172833632"</f>
        <v>20190312172833632</v>
      </c>
      <c r="B6384" t="str">
        <f>"1552382913626491"</f>
        <v>1552382913626491</v>
      </c>
      <c r="C6384" t="s">
        <v>40</v>
      </c>
      <c r="D6384">
        <v>3.208961</v>
      </c>
      <c r="E6384">
        <v>0.52122239999999997</v>
      </c>
      <c r="F6384" t="s">
        <v>41</v>
      </c>
      <c r="G6384">
        <v>-185.7629</v>
      </c>
      <c r="H6384" s="1">
        <v>-1.7397189999999999E-6</v>
      </c>
      <c r="I6384">
        <v>81.447409999999905</v>
      </c>
      <c r="J6384">
        <v>-187.55529999999999</v>
      </c>
      <c r="K6384">
        <v>1.11043</v>
      </c>
      <c r="L6384">
        <v>58.485199999999999</v>
      </c>
      <c r="M6384">
        <v>8.7000409999999999E-4</v>
      </c>
      <c r="N6384">
        <v>0</v>
      </c>
      <c r="O6384">
        <v>0.99990210000000002</v>
      </c>
      <c r="P6384">
        <v>2.9755230000000001E-2</v>
      </c>
      <c r="Q6384">
        <v>0.17741089999999901</v>
      </c>
      <c r="R6384">
        <v>0.98368690000000003</v>
      </c>
      <c r="S6384">
        <v>0.23683170000000001</v>
      </c>
      <c r="T6384">
        <v>-0.1467407</v>
      </c>
      <c r="U6384">
        <v>3.0692439999999999</v>
      </c>
      <c r="V6384">
        <v>2.8740950000000001E-2</v>
      </c>
      <c r="W6384">
        <v>0.19115460000000001</v>
      </c>
      <c r="X6384">
        <v>0.98113910000000004</v>
      </c>
      <c r="Y6384">
        <v>7.5979359999999996E-2</v>
      </c>
      <c r="Z6384">
        <v>-4.7615829999999998E-2</v>
      </c>
      <c r="AA6384">
        <v>0.99597179999999996</v>
      </c>
      <c r="AB6384">
        <v>26</v>
      </c>
      <c r="AC6384">
        <v>1.79239999999998</v>
      </c>
      <c r="AD6384">
        <v>-1.110431739719</v>
      </c>
      <c r="AE6384">
        <v>22.962209999999899</v>
      </c>
      <c r="AF6384">
        <v>1.76830982781141</v>
      </c>
      <c r="AG6384">
        <v>-1.110431739719</v>
      </c>
      <c r="AH6384">
        <v>22.910506778271401</v>
      </c>
      <c r="AI6384">
        <v>92.766637854570803</v>
      </c>
      <c r="AJ6384">
        <v>85.586469703567204</v>
      </c>
      <c r="AK6384">
        <v>23.005462375986401</v>
      </c>
      <c r="AL6384">
        <v>78.979827318060103</v>
      </c>
      <c r="AM6384">
        <v>88.322088731369107</v>
      </c>
      <c r="AN6384">
        <v>1.0000000284284301</v>
      </c>
    </row>
    <row r="6385" spans="1:40" x14ac:dyDescent="0.25">
      <c r="A6385" t="str">
        <f>"20190312172833653"</f>
        <v>20190312172833653</v>
      </c>
      <c r="B6385" t="str">
        <f>"1552382913646011"</f>
        <v>1552382913646011</v>
      </c>
      <c r="C6385" t="s">
        <v>40</v>
      </c>
      <c r="D6385">
        <v>3.2449499999999998</v>
      </c>
      <c r="E6385">
        <v>0.52132699999999998</v>
      </c>
      <c r="F6385" t="s">
        <v>41</v>
      </c>
      <c r="G6385">
        <v>-185.773</v>
      </c>
      <c r="H6385" s="1">
        <v>-1.770523E-6</v>
      </c>
      <c r="I6385">
        <v>81.545829999999995</v>
      </c>
      <c r="J6385">
        <v>-187.5556</v>
      </c>
      <c r="K6385">
        <v>1.1104240000000001</v>
      </c>
      <c r="L6385">
        <v>58.738680000000002</v>
      </c>
      <c r="M6385">
        <v>3.8545129999999997E-4</v>
      </c>
      <c r="N6385">
        <v>0</v>
      </c>
      <c r="O6385">
        <v>0.99990239999999997</v>
      </c>
      <c r="P6385">
        <v>2.9561460000000001E-2</v>
      </c>
      <c r="Q6385">
        <v>0.1767756</v>
      </c>
      <c r="R6385">
        <v>0.98380710000000005</v>
      </c>
      <c r="S6385">
        <v>0.23721310000000001</v>
      </c>
      <c r="T6385">
        <v>-0.14779249999999999</v>
      </c>
      <c r="U6385">
        <v>3.0692439999999999</v>
      </c>
      <c r="V6385">
        <v>2.9024899999999999E-2</v>
      </c>
      <c r="W6385">
        <v>0.19051850000000001</v>
      </c>
      <c r="X6385">
        <v>0.98125450000000003</v>
      </c>
      <c r="Y6385">
        <v>7.6584330000000006E-2</v>
      </c>
      <c r="Z6385">
        <v>-4.7955009999999999E-2</v>
      </c>
      <c r="AA6385">
        <v>0.99590919999999905</v>
      </c>
      <c r="AB6385">
        <v>26</v>
      </c>
      <c r="AC6385">
        <v>1.7826</v>
      </c>
      <c r="AD6385">
        <v>-1.1104257705230001</v>
      </c>
      <c r="AE6385">
        <v>22.80715</v>
      </c>
      <c r="AF6385">
        <v>1.76963853546552</v>
      </c>
      <c r="AG6385">
        <v>-1.1104257705230001</v>
      </c>
      <c r="AH6385">
        <v>22.754224459521701</v>
      </c>
      <c r="AI6385">
        <v>92.785469058213195</v>
      </c>
      <c r="AJ6385">
        <v>85.5529517334746</v>
      </c>
      <c r="AK6385">
        <v>22.849932093823501</v>
      </c>
      <c r="AL6385">
        <v>79.016955959388099</v>
      </c>
      <c r="AM6385">
        <v>88.305720365373006</v>
      </c>
      <c r="AN6385">
        <v>1.00000006871625</v>
      </c>
    </row>
    <row r="6386" spans="1:40" x14ac:dyDescent="0.25">
      <c r="A6386" t="str">
        <f>"20190312172833676"</f>
        <v>20190312172833676</v>
      </c>
      <c r="B6386" t="str">
        <f>"1552382913666507"</f>
        <v>1552382913666507</v>
      </c>
      <c r="C6386" t="s">
        <v>40</v>
      </c>
      <c r="D6386">
        <v>3.2016179999999999</v>
      </c>
      <c r="E6386">
        <v>0.52143139999999999</v>
      </c>
      <c r="F6386" t="s">
        <v>41</v>
      </c>
      <c r="G6386">
        <v>-185.79390000000001</v>
      </c>
      <c r="H6386" s="1">
        <v>-1.744201E-6</v>
      </c>
      <c r="I6386">
        <v>81.484870000000001</v>
      </c>
      <c r="J6386">
        <v>-187.55609999999999</v>
      </c>
      <c r="K6386">
        <v>1.1104270000000001</v>
      </c>
      <c r="L6386">
        <v>58.999209999999998</v>
      </c>
      <c r="M6386">
        <v>-1.102559E-4</v>
      </c>
      <c r="N6386">
        <v>0</v>
      </c>
      <c r="O6386">
        <v>0.99990250000000003</v>
      </c>
      <c r="P6386">
        <v>2.908794E-2</v>
      </c>
      <c r="Q6386">
        <v>0.17608309999999999</v>
      </c>
      <c r="R6386">
        <v>0.98394539999999997</v>
      </c>
      <c r="S6386">
        <v>0.23770140000000001</v>
      </c>
      <c r="T6386">
        <v>-0.1498302</v>
      </c>
      <c r="U6386">
        <v>3.069153</v>
      </c>
      <c r="V6386">
        <v>2.9040699999999999E-2</v>
      </c>
      <c r="W6386">
        <v>0.1898252</v>
      </c>
      <c r="X6386">
        <v>0.98138829999999999</v>
      </c>
      <c r="Y6386">
        <v>7.7235940000000003E-2</v>
      </c>
      <c r="Z6386">
        <v>-4.8614589999999999E-2</v>
      </c>
      <c r="AA6386">
        <v>0.99582689999999996</v>
      </c>
      <c r="AB6386">
        <v>26</v>
      </c>
      <c r="AC6386">
        <v>1.76219999999997</v>
      </c>
      <c r="AD6386">
        <v>-1.1104287442009999</v>
      </c>
      <c r="AE6386">
        <v>22.485659999999999</v>
      </c>
      <c r="AF6386">
        <v>1.7604123814629</v>
      </c>
      <c r="AG6386">
        <v>-1.1104287442009999</v>
      </c>
      <c r="AH6386">
        <v>22.431095295293201</v>
      </c>
      <c r="AI6386">
        <v>92.825382566867205</v>
      </c>
      <c r="AJ6386">
        <v>85.5125740564864</v>
      </c>
      <c r="AK6386">
        <v>22.527453027257199</v>
      </c>
      <c r="AL6386">
        <v>79.057416552102495</v>
      </c>
      <c r="AM6386">
        <v>88.305029589640895</v>
      </c>
      <c r="AN6386">
        <v>0.99999998209420904</v>
      </c>
    </row>
    <row r="6387" spans="1:40" x14ac:dyDescent="0.25">
      <c r="A6387" t="str">
        <f>"20190312172833698"</f>
        <v>20190312172833698</v>
      </c>
      <c r="B6387" t="str">
        <f>"1552382913686027"</f>
        <v>1552382913686027</v>
      </c>
      <c r="C6387" t="s">
        <v>40</v>
      </c>
      <c r="D6387">
        <v>3.2217090000000002</v>
      </c>
      <c r="E6387">
        <v>0.52153590000000005</v>
      </c>
      <c r="F6387" t="s">
        <v>41</v>
      </c>
      <c r="G6387">
        <v>-185.82310000000001</v>
      </c>
      <c r="H6387" s="1">
        <v>-1.708968E-6</v>
      </c>
      <c r="I6387">
        <v>81.404110000000003</v>
      </c>
      <c r="J6387">
        <v>-187.55670000000001</v>
      </c>
      <c r="K6387">
        <v>1.110422</v>
      </c>
      <c r="L6387">
        <v>59.260860000000001</v>
      </c>
      <c r="M6387">
        <v>-6.0458690000000004E-4</v>
      </c>
      <c r="N6387">
        <v>0</v>
      </c>
      <c r="O6387">
        <v>0.99990239999999997</v>
      </c>
      <c r="P6387">
        <v>2.8839879999999998E-2</v>
      </c>
      <c r="Q6387">
        <v>0.1757205</v>
      </c>
      <c r="R6387">
        <v>0.98401760000000005</v>
      </c>
      <c r="S6387">
        <v>0.2373962</v>
      </c>
      <c r="T6387">
        <v>-0.15211279999999999</v>
      </c>
      <c r="U6387">
        <v>3.069153</v>
      </c>
      <c r="V6387">
        <v>2.928093E-2</v>
      </c>
      <c r="W6387">
        <v>0.1894605</v>
      </c>
      <c r="X6387">
        <v>0.98145159999999998</v>
      </c>
      <c r="Y6387">
        <v>7.762761E-2</v>
      </c>
      <c r="Z6387">
        <v>-4.9352840000000002E-2</v>
      </c>
      <c r="AA6387">
        <v>0.99576010000000004</v>
      </c>
      <c r="AB6387">
        <v>26</v>
      </c>
      <c r="AC6387">
        <v>1.73359999999999</v>
      </c>
      <c r="AD6387">
        <v>-1.110423708968</v>
      </c>
      <c r="AE6387">
        <v>22.143249999999998</v>
      </c>
      <c r="AF6387">
        <v>1.7426329180339599</v>
      </c>
      <c r="AG6387">
        <v>-1.110423708968</v>
      </c>
      <c r="AH6387">
        <v>22.0869928552674</v>
      </c>
      <c r="AI6387">
        <v>92.869220815941404</v>
      </c>
      <c r="AJ6387">
        <v>85.488788202727306</v>
      </c>
      <c r="AK6387">
        <v>22.1834412048511</v>
      </c>
      <c r="AL6387">
        <v>79.078698153328901</v>
      </c>
      <c r="AM6387">
        <v>88.291126921662595</v>
      </c>
      <c r="AN6387">
        <v>0.99999994853223595</v>
      </c>
    </row>
    <row r="6388" spans="1:40" x14ac:dyDescent="0.25">
      <c r="A6388" t="str">
        <f>"20190312172833723"</f>
        <v>20190312172833723</v>
      </c>
      <c r="B6388" t="str">
        <f>"1552382913716283"</f>
        <v>1552382913716283</v>
      </c>
      <c r="C6388" t="s">
        <v>40</v>
      </c>
      <c r="D6388">
        <v>3.225676</v>
      </c>
      <c r="E6388">
        <v>0.52177439999999997</v>
      </c>
      <c r="F6388" t="s">
        <v>41</v>
      </c>
      <c r="G6388">
        <v>-185.834</v>
      </c>
      <c r="H6388" s="1">
        <v>-1.7442190000000001E-6</v>
      </c>
      <c r="I6388">
        <v>81.516260000000003</v>
      </c>
      <c r="J6388">
        <v>-187.5575</v>
      </c>
      <c r="K6388">
        <v>1.11042</v>
      </c>
      <c r="L6388">
        <v>59.536900000000003</v>
      </c>
      <c r="M6388">
        <v>-1.1205099999999999E-3</v>
      </c>
      <c r="N6388">
        <v>0</v>
      </c>
      <c r="O6388">
        <v>0.99990199999999996</v>
      </c>
      <c r="P6388">
        <v>2.8839940000000001E-2</v>
      </c>
      <c r="Q6388">
        <v>0.1759396</v>
      </c>
      <c r="R6388">
        <v>0.98397840000000003</v>
      </c>
      <c r="S6388">
        <v>0.2375641</v>
      </c>
      <c r="T6388">
        <v>-0.15313270000000001</v>
      </c>
      <c r="U6388">
        <v>3.0691220000000001</v>
      </c>
      <c r="V6388">
        <v>2.9790790000000001E-2</v>
      </c>
      <c r="W6388">
        <v>0.18967529999999999</v>
      </c>
      <c r="X6388">
        <v>0.98139480000000001</v>
      </c>
      <c r="Y6388">
        <v>7.8195650000000005E-2</v>
      </c>
      <c r="Z6388">
        <v>-4.9682160000000003E-2</v>
      </c>
      <c r="AA6388">
        <v>0.99569929999999995</v>
      </c>
      <c r="AB6388">
        <v>26</v>
      </c>
      <c r="AC6388">
        <v>1.7235</v>
      </c>
      <c r="AD6388">
        <v>-1.1104217442190001</v>
      </c>
      <c r="AE6388">
        <v>21.97936</v>
      </c>
      <c r="AF6388">
        <v>1.7437060021758899</v>
      </c>
      <c r="AG6388">
        <v>-1.1104217442190001</v>
      </c>
      <c r="AH6388">
        <v>21.921803916238201</v>
      </c>
      <c r="AI6388">
        <v>92.890653625920905</v>
      </c>
      <c r="AJ6388">
        <v>85.452149407320405</v>
      </c>
      <c r="AK6388">
        <v>22.019060697814901</v>
      </c>
      <c r="AL6388">
        <v>79.066164111194396</v>
      </c>
      <c r="AM6388">
        <v>88.261288373360998</v>
      </c>
      <c r="AN6388">
        <v>0.99999998203297602</v>
      </c>
    </row>
    <row r="6389" spans="1:40" x14ac:dyDescent="0.25">
      <c r="A6389" t="str">
        <f>"20190312172833745"</f>
        <v>20190312172833745</v>
      </c>
      <c r="B6389" t="str">
        <f>"1552382913735803"</f>
        <v>1552382913735803</v>
      </c>
      <c r="C6389" t="s">
        <v>40</v>
      </c>
      <c r="D6389">
        <v>3.2292800000000002</v>
      </c>
      <c r="E6389">
        <v>0.52187759999999905</v>
      </c>
      <c r="F6389" t="s">
        <v>41</v>
      </c>
      <c r="G6389">
        <v>-185.81909999999999</v>
      </c>
      <c r="H6389" s="1">
        <v>-1.867334E-6</v>
      </c>
      <c r="I6389">
        <v>81.86636</v>
      </c>
      <c r="J6389">
        <v>-187.5583</v>
      </c>
      <c r="K6389">
        <v>1.110409</v>
      </c>
      <c r="L6389">
        <v>59.799349999999997</v>
      </c>
      <c r="M6389">
        <v>-1.6039610000000001E-3</v>
      </c>
      <c r="N6389">
        <v>0</v>
      </c>
      <c r="O6389">
        <v>0.99990140000000005</v>
      </c>
      <c r="P6389">
        <v>2.878033E-2</v>
      </c>
      <c r="Q6389">
        <v>0.17562649999999999</v>
      </c>
      <c r="R6389">
        <v>0.98403609999999997</v>
      </c>
      <c r="S6389">
        <v>0.23893739999999999</v>
      </c>
      <c r="T6389">
        <v>-0.15262439999999999</v>
      </c>
      <c r="U6389">
        <v>3.0691220000000001</v>
      </c>
      <c r="V6389">
        <v>3.0210089999999998E-2</v>
      </c>
      <c r="W6389">
        <v>0.18936030000000001</v>
      </c>
      <c r="X6389">
        <v>0.98144279999999995</v>
      </c>
      <c r="Y6389">
        <v>7.9121140000000006E-2</v>
      </c>
      <c r="Z6389">
        <v>-4.951494E-2</v>
      </c>
      <c r="AA6389">
        <v>0.99563460000000004</v>
      </c>
      <c r="AB6389">
        <v>26</v>
      </c>
      <c r="AC6389">
        <v>1.7392000000000101</v>
      </c>
      <c r="AD6389">
        <v>-1.1104108673340001</v>
      </c>
      <c r="AE6389">
        <v>22.06701</v>
      </c>
      <c r="AF6389">
        <v>1.7701413301848601</v>
      </c>
      <c r="AG6389">
        <v>-1.1104108673340001</v>
      </c>
      <c r="AH6389">
        <v>22.0088073149848</v>
      </c>
      <c r="AI6389">
        <v>92.879015090426293</v>
      </c>
      <c r="AJ6389">
        <v>85.401669015092395</v>
      </c>
      <c r="AK6389">
        <v>22.107781708060401</v>
      </c>
      <c r="AL6389">
        <v>79.084545281477801</v>
      </c>
      <c r="AM6389">
        <v>88.236917838205102</v>
      </c>
      <c r="AN6389">
        <v>0.99999997121286799</v>
      </c>
    </row>
    <row r="6390" spans="1:40" x14ac:dyDescent="0.25">
      <c r="A6390" t="str">
        <f>"20190312172833765"</f>
        <v>20190312172833765</v>
      </c>
      <c r="B6390" t="str">
        <f>"1552382913756299"</f>
        <v>1552382913756299</v>
      </c>
      <c r="C6390" t="s">
        <v>40</v>
      </c>
      <c r="D6390">
        <v>3.2267109999999999</v>
      </c>
      <c r="E6390">
        <v>0.5219916</v>
      </c>
      <c r="F6390" t="s">
        <v>41</v>
      </c>
      <c r="G6390">
        <v>-185.82599999999999</v>
      </c>
      <c r="H6390" s="1">
        <v>-1.9175100000000001E-6</v>
      </c>
      <c r="I6390">
        <v>82.019210000000001</v>
      </c>
      <c r="J6390">
        <v>-187.5592</v>
      </c>
      <c r="K6390">
        <v>1.1104050000000001</v>
      </c>
      <c r="L6390">
        <v>60.038269999999997</v>
      </c>
      <c r="M6390">
        <v>-2.0373769999999999E-3</v>
      </c>
      <c r="N6390">
        <v>0</v>
      </c>
      <c r="O6390">
        <v>0.99990060000000003</v>
      </c>
      <c r="P6390">
        <v>2.8710389999999999E-2</v>
      </c>
      <c r="Q6390">
        <v>0.17512349999999999</v>
      </c>
      <c r="R6390">
        <v>0.9841278</v>
      </c>
      <c r="S6390">
        <v>0.23927309999999999</v>
      </c>
      <c r="T6390">
        <v>-0.1533726</v>
      </c>
      <c r="U6390">
        <v>3.069061</v>
      </c>
      <c r="V6390">
        <v>3.0569989999999998E-2</v>
      </c>
      <c r="W6390">
        <v>0.18885550000000001</v>
      </c>
      <c r="X6390">
        <v>0.98152890000000004</v>
      </c>
      <c r="Y6390">
        <v>7.9662049999999998E-2</v>
      </c>
      <c r="Z6390">
        <v>-4.9756740000000001E-2</v>
      </c>
      <c r="AA6390">
        <v>0.9955794</v>
      </c>
      <c r="AB6390">
        <v>26</v>
      </c>
      <c r="AC6390">
        <v>1.7332000000000101</v>
      </c>
      <c r="AD6390">
        <v>-1.11040691750999</v>
      </c>
      <c r="AE6390">
        <v>21.98094</v>
      </c>
      <c r="AF6390">
        <v>1.7734863428583101</v>
      </c>
      <c r="AG6390">
        <v>-1.11040691750999</v>
      </c>
      <c r="AH6390">
        <v>21.921765312170699</v>
      </c>
      <c r="AI6390">
        <v>92.890307688084903</v>
      </c>
      <c r="AJ6390">
        <v>85.374803818898101</v>
      </c>
      <c r="AK6390">
        <v>22.021399858606799</v>
      </c>
      <c r="AL6390">
        <v>79.113999455399806</v>
      </c>
      <c r="AM6390">
        <v>88.216083712733294</v>
      </c>
      <c r="AN6390">
        <v>0.99999995285202803</v>
      </c>
    </row>
    <row r="6391" spans="1:40" x14ac:dyDescent="0.25">
      <c r="A6391" t="str">
        <f>"20190312172833787"</f>
        <v>20190312172833787</v>
      </c>
      <c r="B6391" t="str">
        <f>"1552382913775823"</f>
        <v>1552382913775823</v>
      </c>
      <c r="C6391" t="s">
        <v>40</v>
      </c>
      <c r="D6391">
        <v>3.246597</v>
      </c>
      <c r="E6391">
        <v>0.52212040000000004</v>
      </c>
      <c r="F6391" t="s">
        <v>41</v>
      </c>
      <c r="G6391">
        <v>-185.83269999999999</v>
      </c>
      <c r="H6391" s="1">
        <v>-1.9296640000000002E-6</v>
      </c>
      <c r="I6391">
        <v>82.060169999999999</v>
      </c>
      <c r="J6391">
        <v>-187.56030000000001</v>
      </c>
      <c r="K6391">
        <v>1.1104050000000001</v>
      </c>
      <c r="L6391">
        <v>60.298400000000001</v>
      </c>
      <c r="M6391">
        <v>-2.5033030000000001E-3</v>
      </c>
      <c r="N6391">
        <v>0</v>
      </c>
      <c r="O6391">
        <v>0.9998996</v>
      </c>
      <c r="P6391">
        <v>2.8659529999999999E-2</v>
      </c>
      <c r="Q6391">
        <v>0.17514649999999901</v>
      </c>
      <c r="R6391">
        <v>0.98412520000000003</v>
      </c>
      <c r="S6391">
        <v>0.2406006</v>
      </c>
      <c r="T6391">
        <v>-0.15474309999999999</v>
      </c>
      <c r="U6391">
        <v>3.0689090000000001</v>
      </c>
      <c r="V6391">
        <v>3.0980359999999998E-2</v>
      </c>
      <c r="W6391">
        <v>0.18887519999999999</v>
      </c>
      <c r="X6391">
        <v>0.9815123</v>
      </c>
      <c r="Y6391">
        <v>8.0556669999999997E-2</v>
      </c>
      <c r="Z6391">
        <v>-5.0199969999999997E-2</v>
      </c>
      <c r="AA6391">
        <v>0.99548510000000001</v>
      </c>
      <c r="AB6391">
        <v>26</v>
      </c>
      <c r="AC6391">
        <v>1.72760000000002</v>
      </c>
      <c r="AD6391">
        <v>-1.11040692966399</v>
      </c>
      <c r="AE6391">
        <v>21.761769999999999</v>
      </c>
      <c r="AF6391">
        <v>1.7774773153497501</v>
      </c>
      <c r="AG6391">
        <v>-1.11040692966399</v>
      </c>
      <c r="AH6391">
        <v>21.701229000745599</v>
      </c>
      <c r="AI6391">
        <v>92.919392471607395</v>
      </c>
      <c r="AJ6391">
        <v>85.317540874933599</v>
      </c>
      <c r="AK6391">
        <v>21.802196432901699</v>
      </c>
      <c r="AL6391">
        <v>79.112850666388994</v>
      </c>
      <c r="AM6391">
        <v>88.192121741459999</v>
      </c>
      <c r="AN6391">
        <v>1.00000000946602</v>
      </c>
    </row>
    <row r="6392" spans="1:40" x14ac:dyDescent="0.25">
      <c r="A6392" t="str">
        <f>"20190312172833810"</f>
        <v>20190312172833810</v>
      </c>
      <c r="B6392" t="str">
        <f>"1552382913806076"</f>
        <v>1552382913806076</v>
      </c>
      <c r="C6392" t="s">
        <v>40</v>
      </c>
      <c r="D6392">
        <v>3.2596539999999998</v>
      </c>
      <c r="E6392">
        <v>0.52232029999999996</v>
      </c>
      <c r="F6392" t="s">
        <v>41</v>
      </c>
      <c r="G6392">
        <v>-185.8177</v>
      </c>
      <c r="H6392" s="1">
        <v>-2.0479069999999999E-6</v>
      </c>
      <c r="I6392">
        <v>82.395949999999999</v>
      </c>
      <c r="J6392">
        <v>-187.56139999999999</v>
      </c>
      <c r="K6392">
        <v>1.1104050000000001</v>
      </c>
      <c r="L6392">
        <v>60.554409999999997</v>
      </c>
      <c r="M6392">
        <v>-2.9545930000000001E-3</v>
      </c>
      <c r="N6392">
        <v>0</v>
      </c>
      <c r="O6392">
        <v>0.99989839999999997</v>
      </c>
      <c r="P6392">
        <v>2.8456479999999999E-2</v>
      </c>
      <c r="Q6392">
        <v>0.17532159999999999</v>
      </c>
      <c r="R6392">
        <v>0.98409990000000003</v>
      </c>
      <c r="S6392">
        <v>0.24198910000000001</v>
      </c>
      <c r="T6392">
        <v>-0.15420729999999999</v>
      </c>
      <c r="U6392">
        <v>3.0687869999999999</v>
      </c>
      <c r="V6392">
        <v>3.1223609999999999E-2</v>
      </c>
      <c r="W6392">
        <v>0.18904660000000001</v>
      </c>
      <c r="X6392">
        <v>0.9814716</v>
      </c>
      <c r="Y6392">
        <v>8.1457950000000001E-2</v>
      </c>
      <c r="Z6392">
        <v>-5.0025779999999999E-2</v>
      </c>
      <c r="AA6392">
        <v>0.99542050000000004</v>
      </c>
      <c r="AB6392">
        <v>26</v>
      </c>
      <c r="AC6392">
        <v>1.74369999999998</v>
      </c>
      <c r="AD6392">
        <v>-1.1104070479069901</v>
      </c>
      <c r="AE6392">
        <v>21.841539999999998</v>
      </c>
      <c r="AF6392">
        <v>1.80359941484201</v>
      </c>
      <c r="AG6392">
        <v>-1.1104070479069901</v>
      </c>
      <c r="AH6392">
        <v>21.780354643080202</v>
      </c>
      <c r="AI6392">
        <v>92.9085909936164</v>
      </c>
      <c r="AJ6392">
        <v>85.266220557452201</v>
      </c>
      <c r="AK6392">
        <v>21.883094457585401</v>
      </c>
      <c r="AL6392">
        <v>79.102850078327407</v>
      </c>
      <c r="AM6392">
        <v>88.177860759891502</v>
      </c>
      <c r="AN6392">
        <v>1.00000001619977</v>
      </c>
    </row>
    <row r="6393" spans="1:40" x14ac:dyDescent="0.25">
      <c r="A6393" t="str">
        <f>"20190312172833833"</f>
        <v>20190312172833833</v>
      </c>
      <c r="B6393" t="str">
        <f>"1552382913826571"</f>
        <v>1552382913826571</v>
      </c>
      <c r="C6393" t="s">
        <v>40</v>
      </c>
      <c r="D6393">
        <v>3.2625540000000002</v>
      </c>
      <c r="E6393">
        <v>0.52242250000000001</v>
      </c>
      <c r="F6393" t="s">
        <v>41</v>
      </c>
      <c r="G6393">
        <v>-185.80459999999999</v>
      </c>
      <c r="H6393" s="1">
        <v>-2.1751219999999999E-6</v>
      </c>
      <c r="I6393">
        <v>82.75949</v>
      </c>
      <c r="J6393">
        <v>-187.56270000000001</v>
      </c>
      <c r="K6393">
        <v>1.1104000000000001</v>
      </c>
      <c r="L6393">
        <v>60.818049999999999</v>
      </c>
      <c r="M6393">
        <v>-3.4132009999999998E-3</v>
      </c>
      <c r="N6393">
        <v>0</v>
      </c>
      <c r="O6393">
        <v>0.99989700000000004</v>
      </c>
      <c r="P6393">
        <v>2.8455020000000001E-2</v>
      </c>
      <c r="Q6393">
        <v>0.17572009999999999</v>
      </c>
      <c r="R6393">
        <v>0.98402880000000004</v>
      </c>
      <c r="S6393">
        <v>0.24279790000000001</v>
      </c>
      <c r="T6393">
        <v>-0.1534605</v>
      </c>
      <c r="U6393">
        <v>3.0687869999999999</v>
      </c>
      <c r="V6393">
        <v>3.1675000000000002E-2</v>
      </c>
      <c r="W6393">
        <v>0.18944130000000001</v>
      </c>
      <c r="X6393">
        <v>0.98138099999999995</v>
      </c>
      <c r="Y6393">
        <v>8.2176689999999997E-2</v>
      </c>
      <c r="Z6393">
        <v>-4.9782010000000002E-2</v>
      </c>
      <c r="AA6393">
        <v>0.99537370000000003</v>
      </c>
      <c r="AB6393">
        <v>26</v>
      </c>
      <c r="AC6393">
        <v>1.75810000000001</v>
      </c>
      <c r="AD6393">
        <v>-1.1104021751219999</v>
      </c>
      <c r="AE6393">
        <v>21.94144</v>
      </c>
      <c r="AF6393">
        <v>1.82833486256807</v>
      </c>
      <c r="AG6393">
        <v>-1.1104021751219999</v>
      </c>
      <c r="AH6393">
        <v>21.879631893572999</v>
      </c>
      <c r="AI6393">
        <v>92.895223062675498</v>
      </c>
      <c r="AJ6393">
        <v>85.223271699803504</v>
      </c>
      <c r="AK6393">
        <v>21.983950808679801</v>
      </c>
      <c r="AL6393">
        <v>79.079818974506694</v>
      </c>
      <c r="AM6393">
        <v>88.151366275456397</v>
      </c>
      <c r="AN6393">
        <v>0.99999998946584401</v>
      </c>
    </row>
    <row r="6394" spans="1:40" x14ac:dyDescent="0.25">
      <c r="A6394" t="str">
        <f>"20190312172833853"</f>
        <v>20190312172833853</v>
      </c>
      <c r="B6394" t="str">
        <f>"1552382913846092"</f>
        <v>1552382913846092</v>
      </c>
      <c r="C6394" t="s">
        <v>40</v>
      </c>
      <c r="D6394">
        <v>3.2284449999999998</v>
      </c>
      <c r="E6394">
        <v>0.52253809999999901</v>
      </c>
      <c r="F6394" t="s">
        <v>41</v>
      </c>
      <c r="G6394">
        <v>-185.7824</v>
      </c>
      <c r="H6394" s="1">
        <v>-2.336707E-6</v>
      </c>
      <c r="I6394">
        <v>83.216980000000007</v>
      </c>
      <c r="J6394">
        <v>-187.5641</v>
      </c>
      <c r="K6394">
        <v>1.1103959999999999</v>
      </c>
      <c r="L6394">
        <v>61.061100000000003</v>
      </c>
      <c r="M6394">
        <v>-3.8324069999999999E-3</v>
      </c>
      <c r="N6394">
        <v>0</v>
      </c>
      <c r="O6394">
        <v>0.99989550000000005</v>
      </c>
      <c r="P6394">
        <v>2.8518310000000002E-2</v>
      </c>
      <c r="Q6394">
        <v>0.17575569999999999</v>
      </c>
      <c r="R6394">
        <v>0.98402069999999997</v>
      </c>
      <c r="S6394">
        <v>0.24391170000000001</v>
      </c>
      <c r="T6394">
        <v>-0.15213180000000001</v>
      </c>
      <c r="U6394">
        <v>3.0687869999999999</v>
      </c>
      <c r="V6394">
        <v>3.2152439999999997E-2</v>
      </c>
      <c r="W6394">
        <v>0.18947410000000001</v>
      </c>
      <c r="X6394">
        <v>0.98135919999999999</v>
      </c>
      <c r="Y6394">
        <v>8.2955230000000005E-2</v>
      </c>
      <c r="Z6394">
        <v>-4.9349619999999997E-2</v>
      </c>
      <c r="AA6394">
        <v>0.99533059999999995</v>
      </c>
      <c r="AB6394">
        <v>26</v>
      </c>
      <c r="AC6394">
        <v>1.7817000000000001</v>
      </c>
      <c r="AD6394">
        <v>-1.1103983367069901</v>
      </c>
      <c r="AE6394">
        <v>22.15588</v>
      </c>
      <c r="AF6394">
        <v>1.8619587536867199</v>
      </c>
      <c r="AG6394">
        <v>-1.1103983367069901</v>
      </c>
      <c r="AH6394">
        <v>22.093750580829902</v>
      </c>
      <c r="AI6394">
        <v>92.867031704535194</v>
      </c>
      <c r="AJ6394">
        <v>85.182760664702897</v>
      </c>
      <c r="AK6394">
        <v>22.1998578732954</v>
      </c>
      <c r="AL6394">
        <v>79.077905641627694</v>
      </c>
      <c r="AM6394">
        <v>88.123479779064695</v>
      </c>
      <c r="AN6394">
        <v>1.0000000466967001</v>
      </c>
    </row>
    <row r="6395" spans="1:40" x14ac:dyDescent="0.25">
      <c r="A6395" t="str">
        <f>"20190312172833876"</f>
        <v>20190312172833876</v>
      </c>
      <c r="B6395" t="str">
        <f>"1552382913866588"</f>
        <v>1552382913866588</v>
      </c>
      <c r="C6395" t="s">
        <v>40</v>
      </c>
      <c r="D6395">
        <v>3.261037</v>
      </c>
      <c r="E6395">
        <v>0.52264860000000002</v>
      </c>
      <c r="F6395" t="s">
        <v>41</v>
      </c>
      <c r="G6395">
        <v>-185.7758</v>
      </c>
      <c r="H6395" s="1">
        <v>-2.4140769999999999E-6</v>
      </c>
      <c r="I6395">
        <v>83.439130000000006</v>
      </c>
      <c r="J6395">
        <v>-187.56559999999999</v>
      </c>
      <c r="K6395">
        <v>1.1103889999999901</v>
      </c>
      <c r="L6395">
        <v>61.326349999999998</v>
      </c>
      <c r="M6395">
        <v>-4.2851499999999997E-3</v>
      </c>
      <c r="N6395">
        <v>0</v>
      </c>
      <c r="O6395">
        <v>0.9998937</v>
      </c>
      <c r="P6395">
        <v>2.8431789999999998E-2</v>
      </c>
      <c r="Q6395">
        <v>0.1757234</v>
      </c>
      <c r="R6395">
        <v>0.98402889999999998</v>
      </c>
      <c r="S6395">
        <v>0.24523929999999999</v>
      </c>
      <c r="T6395">
        <v>-0.15227470000000001</v>
      </c>
      <c r="U6395">
        <v>3.0688170000000001</v>
      </c>
      <c r="V6395">
        <v>3.2513399999999998E-2</v>
      </c>
      <c r="W6395">
        <v>0.18943889999999999</v>
      </c>
      <c r="X6395">
        <v>0.98135410000000001</v>
      </c>
      <c r="Y6395">
        <v>8.3833320000000003E-2</v>
      </c>
      <c r="Z6395">
        <v>-4.9392579999999998E-2</v>
      </c>
      <c r="AA6395">
        <v>0.99525490000000005</v>
      </c>
      <c r="AB6395">
        <v>26</v>
      </c>
      <c r="AC6395">
        <v>1.7897999999999801</v>
      </c>
      <c r="AD6395">
        <v>-1.1103914140769999</v>
      </c>
      <c r="AE6395">
        <v>22.112780000000001</v>
      </c>
      <c r="AF6395">
        <v>1.8798401099619</v>
      </c>
      <c r="AG6395">
        <v>-1.1103914140769999</v>
      </c>
      <c r="AH6395">
        <v>22.049669424281099</v>
      </c>
      <c r="AI6395">
        <v>92.872499539186705</v>
      </c>
      <c r="AJ6395">
        <v>85.127043270139197</v>
      </c>
      <c r="AK6395">
        <v>22.157497368871699</v>
      </c>
      <c r="AL6395">
        <v>79.0799596209079</v>
      </c>
      <c r="AM6395">
        <v>88.102418449721199</v>
      </c>
      <c r="AN6395">
        <v>1.00000004379978</v>
      </c>
    </row>
    <row r="6396" spans="1:40" x14ac:dyDescent="0.25">
      <c r="A6396" t="str">
        <f>"20190312172833899"</f>
        <v>20190312172833899</v>
      </c>
      <c r="B6396" t="str">
        <f>"1552382913895867"</f>
        <v>1552382913895867</v>
      </c>
      <c r="C6396" t="s">
        <v>40</v>
      </c>
      <c r="D6396">
        <v>3.2814890000000001</v>
      </c>
      <c r="E6396">
        <v>0.52265909999999904</v>
      </c>
      <c r="F6396" t="s">
        <v>41</v>
      </c>
      <c r="G6396">
        <v>-185.7747</v>
      </c>
      <c r="H6396" s="1">
        <v>-2.4929279999999998E-6</v>
      </c>
      <c r="I6396">
        <v>83.67004</v>
      </c>
      <c r="J6396">
        <v>-187.56729999999999</v>
      </c>
      <c r="K6396">
        <v>1.1103829999999999</v>
      </c>
      <c r="L6396">
        <v>61.590269999999997</v>
      </c>
      <c r="M6396">
        <v>-4.7294950000000002E-3</v>
      </c>
      <c r="N6396">
        <v>0</v>
      </c>
      <c r="O6396">
        <v>0.9998918</v>
      </c>
      <c r="P6396">
        <v>2.8580040000000001E-2</v>
      </c>
      <c r="Q6396">
        <v>0.17592829999999901</v>
      </c>
      <c r="R6396">
        <v>0.98398799999999997</v>
      </c>
      <c r="S6396">
        <v>0.24597169999999999</v>
      </c>
      <c r="T6396">
        <v>-0.15250949999999999</v>
      </c>
      <c r="U6396">
        <v>3.068848</v>
      </c>
      <c r="V6396">
        <v>3.3100879999999999E-2</v>
      </c>
      <c r="W6396">
        <v>0.18964030000000001</v>
      </c>
      <c r="X6396">
        <v>0.98129549999999999</v>
      </c>
      <c r="Y6396">
        <v>8.4511059999999999E-2</v>
      </c>
      <c r="Z6396">
        <v>-4.9466000000000003E-2</v>
      </c>
      <c r="AA6396">
        <v>0.99519400000000002</v>
      </c>
      <c r="AB6396">
        <v>26</v>
      </c>
      <c r="AC6396">
        <v>1.79259999999999</v>
      </c>
      <c r="AD6396">
        <v>-1.1103854929279999</v>
      </c>
      <c r="AE6396">
        <v>22.07977</v>
      </c>
      <c r="AF6396">
        <v>1.89226194195778</v>
      </c>
      <c r="AG6396">
        <v>-1.1103854929279999</v>
      </c>
      <c r="AH6396">
        <v>22.015729677271899</v>
      </c>
      <c r="AI6396">
        <v>92.876735291885893</v>
      </c>
      <c r="AJ6396">
        <v>85.087475108944105</v>
      </c>
      <c r="AK6396">
        <v>22.1247816807894</v>
      </c>
      <c r="AL6396">
        <v>79.068206565572595</v>
      </c>
      <c r="AM6396">
        <v>88.068041791945006</v>
      </c>
      <c r="AN6396">
        <v>0.99999998498055698</v>
      </c>
    </row>
    <row r="6397" spans="1:40" x14ac:dyDescent="0.25">
      <c r="A6397" t="str">
        <f>"20190312172833924"</f>
        <v>20190312172833924</v>
      </c>
      <c r="B6397" t="str">
        <f>"1552382913916363"</f>
        <v>1552382913916363</v>
      </c>
      <c r="C6397" t="s">
        <v>40</v>
      </c>
      <c r="D6397">
        <v>3.2675450000000001</v>
      </c>
      <c r="E6397">
        <v>0.51484399999999997</v>
      </c>
      <c r="F6397" t="s">
        <v>41</v>
      </c>
      <c r="G6397">
        <v>-185.77510000000001</v>
      </c>
      <c r="H6397" s="1">
        <v>-2.5954000000000002E-6</v>
      </c>
      <c r="I6397">
        <v>83.935769999999906</v>
      </c>
      <c r="J6397">
        <v>-187.56909999999999</v>
      </c>
      <c r="K6397">
        <v>1.1103809999999901</v>
      </c>
      <c r="L6397">
        <v>61.868870000000001</v>
      </c>
      <c r="M6397">
        <v>-5.1908859999999996E-3</v>
      </c>
      <c r="N6397">
        <v>0</v>
      </c>
      <c r="O6397">
        <v>0.99988960000000005</v>
      </c>
      <c r="P6397">
        <v>2.865301E-2</v>
      </c>
      <c r="Q6397">
        <v>0.1757736</v>
      </c>
      <c r="R6397">
        <v>0.98401360000000004</v>
      </c>
      <c r="S6397">
        <v>0.24613950000000001</v>
      </c>
      <c r="T6397">
        <v>-0.15250069999999999</v>
      </c>
      <c r="U6397">
        <v>3.0689389999999999</v>
      </c>
      <c r="V6397">
        <v>3.3631130000000002E-2</v>
      </c>
      <c r="W6397">
        <v>0.1894825</v>
      </c>
      <c r="X6397">
        <v>0.98130799999999996</v>
      </c>
      <c r="Y6397">
        <v>8.5022570000000006E-2</v>
      </c>
      <c r="Z6397">
        <v>-4.9460360000000002E-2</v>
      </c>
      <c r="AA6397">
        <v>0.99515070000000005</v>
      </c>
      <c r="AB6397">
        <v>26</v>
      </c>
      <c r="AC6397">
        <v>1.7939999999999801</v>
      </c>
      <c r="AD6397">
        <v>-1.1103835954000001</v>
      </c>
      <c r="AE6397">
        <v>22.0669</v>
      </c>
      <c r="AF6397">
        <v>1.9037450617293901</v>
      </c>
      <c r="AG6397">
        <v>-1.1103835954000001</v>
      </c>
      <c r="AH6397">
        <v>22.001946181808901</v>
      </c>
      <c r="AI6397">
        <v>92.878387902056303</v>
      </c>
      <c r="AJ6397">
        <v>85.054730078345798</v>
      </c>
      <c r="AK6397">
        <v>22.112051754104801</v>
      </c>
      <c r="AL6397">
        <v>79.0774153018356</v>
      </c>
      <c r="AM6397">
        <v>88.037142347559296</v>
      </c>
      <c r="AN6397">
        <v>1.00000003078766</v>
      </c>
    </row>
    <row r="6398" spans="1:40" x14ac:dyDescent="0.25">
      <c r="A6398" t="str">
        <f>"20190312172833946"</f>
        <v>20190312172833946</v>
      </c>
      <c r="B6398" t="str">
        <f>"1552382913935883"</f>
        <v>1552382913935883</v>
      </c>
      <c r="C6398" t="s">
        <v>40</v>
      </c>
      <c r="D6398">
        <v>3.2773140000000001</v>
      </c>
      <c r="E6398">
        <v>0.51518379999999997</v>
      </c>
      <c r="F6398" t="s">
        <v>41</v>
      </c>
      <c r="G6398">
        <v>-186.3065</v>
      </c>
      <c r="H6398" s="1">
        <v>-2.1090749999999998E-6</v>
      </c>
      <c r="I6398">
        <v>82.957790000000003</v>
      </c>
      <c r="J6398">
        <v>-187.57089999999999</v>
      </c>
      <c r="K6398">
        <v>1.110371</v>
      </c>
      <c r="L6398">
        <v>62.118290000000002</v>
      </c>
      <c r="M6398">
        <v>-5.5967730000000002E-3</v>
      </c>
      <c r="N6398">
        <v>0</v>
      </c>
      <c r="O6398">
        <v>0.99988739999999998</v>
      </c>
      <c r="P6398">
        <v>2.8441870000000001E-2</v>
      </c>
      <c r="Q6398">
        <v>0.17549429999999999</v>
      </c>
      <c r="R6398">
        <v>0.98406950000000004</v>
      </c>
      <c r="S6398">
        <v>0.18394469999999999</v>
      </c>
      <c r="T6398">
        <v>-0.16176219999999999</v>
      </c>
      <c r="U6398">
        <v>3.0722659999999999</v>
      </c>
      <c r="V6398">
        <v>3.3822779999999997E-2</v>
      </c>
      <c r="W6398">
        <v>0.18920110000000001</v>
      </c>
      <c r="X6398">
        <v>0.98135570000000005</v>
      </c>
      <c r="Y6398">
        <v>6.5269659999999993E-2</v>
      </c>
      <c r="Z6398">
        <v>-5.2475439999999998E-2</v>
      </c>
      <c r="AA6398">
        <v>0.99648689999999995</v>
      </c>
      <c r="AB6398">
        <v>26</v>
      </c>
      <c r="AC6398">
        <v>1.26439999999999</v>
      </c>
      <c r="AD6398">
        <v>-1.110373109075</v>
      </c>
      <c r="AE6398">
        <v>20.839500000000001</v>
      </c>
      <c r="AF6398">
        <v>1.3771301373011899</v>
      </c>
      <c r="AG6398">
        <v>-1.110373109075</v>
      </c>
      <c r="AH6398">
        <v>20.773337389060799</v>
      </c>
      <c r="AI6398">
        <v>93.052964667320097</v>
      </c>
      <c r="AJ6398">
        <v>86.2072314719357</v>
      </c>
      <c r="AK6398">
        <v>20.848524219622099</v>
      </c>
      <c r="AL6398">
        <v>79.093835269485396</v>
      </c>
      <c r="AM6398">
        <v>88.026061526866002</v>
      </c>
      <c r="AN6398">
        <v>1.0000000233053099</v>
      </c>
    </row>
    <row r="6399" spans="1:40" x14ac:dyDescent="0.25">
      <c r="A6399" t="str">
        <f>"20190312172833991"</f>
        <v>20190312172833991</v>
      </c>
      <c r="B6399" t="str">
        <f>"1552382913986167"</f>
        <v>1552382913986167</v>
      </c>
      <c r="C6399" t="s">
        <v>40</v>
      </c>
      <c r="D6399">
        <v>3.280761</v>
      </c>
      <c r="E6399">
        <v>0.51541499999999996</v>
      </c>
      <c r="F6399" t="s">
        <v>41</v>
      </c>
      <c r="G6399">
        <v>-186.3186</v>
      </c>
      <c r="H6399" s="1">
        <v>-2.0477479999999999E-6</v>
      </c>
      <c r="I6399">
        <v>82.787099999999995</v>
      </c>
      <c r="J6399">
        <v>-187.57480000000001</v>
      </c>
      <c r="K6399">
        <v>1.11036</v>
      </c>
      <c r="L6399">
        <v>62.627839999999999</v>
      </c>
      <c r="M6399">
        <v>-6.4046729999999996E-3</v>
      </c>
      <c r="N6399">
        <v>0</v>
      </c>
      <c r="O6399">
        <v>0.99988259999999995</v>
      </c>
      <c r="P6399">
        <v>2.8433139999999999E-2</v>
      </c>
      <c r="Q6399">
        <v>0.17554810000000001</v>
      </c>
      <c r="R6399">
        <v>0.98406020000000005</v>
      </c>
      <c r="S6399">
        <v>0.18615719999999999</v>
      </c>
      <c r="T6399">
        <v>-0.1650684</v>
      </c>
      <c r="U6399">
        <v>3.072632</v>
      </c>
      <c r="V6399">
        <v>3.4614440000000003E-2</v>
      </c>
      <c r="W6399">
        <v>0.18924879999999999</v>
      </c>
      <c r="X6399">
        <v>0.98131889999999999</v>
      </c>
      <c r="Y6399">
        <v>6.6780309999999996E-2</v>
      </c>
      <c r="Z6399">
        <v>-5.3534320000000003E-2</v>
      </c>
      <c r="AA6399">
        <v>0.99633050000000001</v>
      </c>
      <c r="AB6399">
        <v>26</v>
      </c>
      <c r="AC6399">
        <v>1.2562</v>
      </c>
      <c r="AD6399">
        <v>-1.1103620477480001</v>
      </c>
      <c r="AE6399">
        <v>20.15926</v>
      </c>
      <c r="AF6399">
        <v>1.3811264212471399</v>
      </c>
      <c r="AG6399">
        <v>-1.1103620477480001</v>
      </c>
      <c r="AH6399">
        <v>20.0900875295135</v>
      </c>
      <c r="AI6399">
        <v>93.156036510381497</v>
      </c>
      <c r="AJ6399">
        <v>86.067294182727196</v>
      </c>
      <c r="AK6399">
        <v>20.1680943822678</v>
      </c>
      <c r="AL6399">
        <v>79.091052002900199</v>
      </c>
      <c r="AM6399">
        <v>87.979821438912893</v>
      </c>
      <c r="AN6399">
        <v>1.0000000256275801</v>
      </c>
    </row>
    <row r="6400" spans="1:40" x14ac:dyDescent="0.25">
      <c r="A6400" t="str">
        <f>"20190312172834010"</f>
        <v>20190312172834010</v>
      </c>
      <c r="B6400" t="str">
        <f>"1552382914005686"</f>
        <v>1552382914005686</v>
      </c>
      <c r="C6400" t="s">
        <v>40</v>
      </c>
      <c r="D6400">
        <v>3.3010120000000001</v>
      </c>
      <c r="E6400">
        <v>0.51548430000000001</v>
      </c>
      <c r="F6400" t="s">
        <v>41</v>
      </c>
      <c r="G6400">
        <v>-186.31989999999999</v>
      </c>
      <c r="H6400" s="1">
        <v>-2.1845520000000002E-6</v>
      </c>
      <c r="I6400">
        <v>83.19014</v>
      </c>
      <c r="J6400">
        <v>-187.57660000000001</v>
      </c>
      <c r="K6400">
        <v>1.110355</v>
      </c>
      <c r="L6400">
        <v>62.859380000000002</v>
      </c>
      <c r="M6400">
        <v>-6.7640299999999999E-3</v>
      </c>
      <c r="N6400">
        <v>0</v>
      </c>
      <c r="O6400">
        <v>0.99988030000000006</v>
      </c>
      <c r="P6400">
        <v>2.8632709999999999E-2</v>
      </c>
      <c r="Q6400">
        <v>0.17573250000000001</v>
      </c>
      <c r="R6400">
        <v>0.98402149999999999</v>
      </c>
      <c r="S6400">
        <v>0.1875153</v>
      </c>
      <c r="T6400">
        <v>-0.16592999999999999</v>
      </c>
      <c r="U6400">
        <v>3.072784</v>
      </c>
      <c r="V6400">
        <v>3.5169079999999998E-2</v>
      </c>
      <c r="W6400">
        <v>0.1894296</v>
      </c>
      <c r="X6400">
        <v>0.98126429999999998</v>
      </c>
      <c r="Y6400">
        <v>6.75737E-2</v>
      </c>
      <c r="Z6400">
        <v>-5.380795E-2</v>
      </c>
      <c r="AA6400">
        <v>0.99626230000000005</v>
      </c>
      <c r="AB6400">
        <v>26</v>
      </c>
      <c r="AC6400">
        <v>1.2567000000000199</v>
      </c>
      <c r="AD6400">
        <v>-1.1103571845519999</v>
      </c>
      <c r="AE6400">
        <v>20.330760000000001</v>
      </c>
      <c r="AF6400">
        <v>1.39007196418789</v>
      </c>
      <c r="AG6400">
        <v>-1.1103571845519999</v>
      </c>
      <c r="AH6400">
        <v>20.261588233501399</v>
      </c>
      <c r="AI6400">
        <v>93.129392398991698</v>
      </c>
      <c r="AJ6400">
        <v>86.075300271031296</v>
      </c>
      <c r="AK6400">
        <v>20.339546476921999</v>
      </c>
      <c r="AL6400">
        <v>79.080502167221695</v>
      </c>
      <c r="AM6400">
        <v>87.947364728102897</v>
      </c>
      <c r="AN6400">
        <v>1.0000000319993401</v>
      </c>
    </row>
    <row r="6401" spans="1:40" x14ac:dyDescent="0.25">
      <c r="A6401" t="str">
        <f>"20190312172834033"</f>
        <v>20190312172834033</v>
      </c>
      <c r="B6401" t="str">
        <f>"1552382914026182"</f>
        <v>1552382914026182</v>
      </c>
      <c r="C6401" t="s">
        <v>40</v>
      </c>
      <c r="D6401">
        <v>3.3034680000000001</v>
      </c>
      <c r="E6401">
        <v>0.51550560000000001</v>
      </c>
      <c r="F6401" t="s">
        <v>41</v>
      </c>
      <c r="G6401">
        <v>-186.31970000000001</v>
      </c>
      <c r="H6401" s="1">
        <v>-2.232407E-6</v>
      </c>
      <c r="I6401">
        <v>83.314830000000001</v>
      </c>
      <c r="J6401">
        <v>-187.5789</v>
      </c>
      <c r="K6401">
        <v>1.1103540000000001</v>
      </c>
      <c r="L6401">
        <v>63.115450000000003</v>
      </c>
      <c r="M6401">
        <v>-7.1572069999999996E-3</v>
      </c>
      <c r="N6401">
        <v>0</v>
      </c>
      <c r="O6401">
        <v>0.99987760000000003</v>
      </c>
      <c r="P6401">
        <v>2.8688109999999999E-2</v>
      </c>
      <c r="Q6401">
        <v>0.17589299999999999</v>
      </c>
      <c r="R6401">
        <v>0.98399119999999995</v>
      </c>
      <c r="S6401">
        <v>0.18882750000000001</v>
      </c>
      <c r="T6401">
        <v>-0.1668077</v>
      </c>
      <c r="U6401">
        <v>3.0729980000000001</v>
      </c>
      <c r="V6401">
        <v>3.561259E-2</v>
      </c>
      <c r="W6401">
        <v>0.1895869</v>
      </c>
      <c r="X6401">
        <v>0.98121789999999998</v>
      </c>
      <c r="Y6401">
        <v>6.8384739999999999E-2</v>
      </c>
      <c r="Z6401">
        <v>-5.4085550000000003E-2</v>
      </c>
      <c r="AA6401">
        <v>0.99619190000000002</v>
      </c>
      <c r="AB6401">
        <v>26</v>
      </c>
      <c r="AC6401">
        <v>1.2591999999999901</v>
      </c>
      <c r="AD6401">
        <v>-1.110356232407</v>
      </c>
      <c r="AE6401">
        <v>20.199380000000001</v>
      </c>
      <c r="AF6401">
        <v>1.3995402856875301</v>
      </c>
      <c r="AG6401">
        <v>-1.110356232407</v>
      </c>
      <c r="AH6401">
        <v>20.129260555725399</v>
      </c>
      <c r="AI6401">
        <v>93.149721620287707</v>
      </c>
      <c r="AJ6401">
        <v>86.022759347821903</v>
      </c>
      <c r="AK6401">
        <v>20.2083827778076</v>
      </c>
      <c r="AL6401">
        <v>79.071322947950804</v>
      </c>
      <c r="AM6401">
        <v>87.921403729552793</v>
      </c>
      <c r="AN6401">
        <v>1.0000000082492599</v>
      </c>
    </row>
    <row r="6402" spans="1:40" x14ac:dyDescent="0.25">
      <c r="A6402" t="str">
        <f>"20190312172834055"</f>
        <v>20190312172834055</v>
      </c>
      <c r="B6402" t="str">
        <f>"1552382914045702"</f>
        <v>1552382914045702</v>
      </c>
      <c r="C6402" t="s">
        <v>40</v>
      </c>
      <c r="D6402">
        <v>3.2955420000000002</v>
      </c>
      <c r="E6402">
        <v>0.51562370000000002</v>
      </c>
      <c r="F6402" t="s">
        <v>41</v>
      </c>
      <c r="G6402">
        <v>-186.31630000000001</v>
      </c>
      <c r="H6402" s="1">
        <v>-2.377604E-6</v>
      </c>
      <c r="I6402">
        <v>83.651889999999995</v>
      </c>
      <c r="J6402">
        <v>-187.5812</v>
      </c>
      <c r="K6402">
        <v>1.1103479999999999</v>
      </c>
      <c r="L6402">
        <v>63.375579999999999</v>
      </c>
      <c r="M6402">
        <v>-7.5499479999999999E-3</v>
      </c>
      <c r="N6402">
        <v>0</v>
      </c>
      <c r="O6402">
        <v>0.99987470000000001</v>
      </c>
      <c r="P6402">
        <v>2.8597569999999999E-2</v>
      </c>
      <c r="Q6402">
        <v>0.1757204</v>
      </c>
      <c r="R6402">
        <v>0.98402460000000003</v>
      </c>
      <c r="S6402">
        <v>0.18891910000000001</v>
      </c>
      <c r="T6402">
        <v>-0.16614960000000001</v>
      </c>
      <c r="U6402">
        <v>3.0729980000000001</v>
      </c>
      <c r="V6402">
        <v>3.591076E-2</v>
      </c>
      <c r="W6402">
        <v>0.18941179999999999</v>
      </c>
      <c r="X6402">
        <v>0.98124089999999997</v>
      </c>
      <c r="Y6402">
        <v>6.8806859999999997E-2</v>
      </c>
      <c r="Z6402">
        <v>-5.3871750000000003E-2</v>
      </c>
      <c r="AA6402">
        <v>0.99617440000000002</v>
      </c>
      <c r="AB6402">
        <v>26</v>
      </c>
      <c r="AC6402">
        <v>1.2648999999999799</v>
      </c>
      <c r="AD6402">
        <v>-1.11035037760399</v>
      </c>
      <c r="AE6402">
        <v>20.276309999999999</v>
      </c>
      <c r="AF6402">
        <v>1.4137408073737201</v>
      </c>
      <c r="AG6402">
        <v>-1.11035037760399</v>
      </c>
      <c r="AH6402">
        <v>20.2058235349642</v>
      </c>
      <c r="AI6402">
        <v>93.137698728425505</v>
      </c>
      <c r="AJ6402">
        <v>85.997708739942993</v>
      </c>
      <c r="AK6402">
        <v>20.2856315099528</v>
      </c>
      <c r="AL6402">
        <v>79.081541126215697</v>
      </c>
      <c r="AM6402">
        <v>87.904065016030899</v>
      </c>
      <c r="AN6402">
        <v>1.0000000582479101</v>
      </c>
    </row>
    <row r="6403" spans="1:40" x14ac:dyDescent="0.25">
      <c r="A6403" t="str">
        <f>"20190312172834079"</f>
        <v>20190312172834079</v>
      </c>
      <c r="B6403" t="str">
        <f>"1552382914076464"</f>
        <v>1552382914076464</v>
      </c>
      <c r="C6403" t="s">
        <v>40</v>
      </c>
      <c r="D6403">
        <v>3.3138260000000002</v>
      </c>
      <c r="E6403">
        <v>0.51576469999999996</v>
      </c>
      <c r="F6403" t="s">
        <v>41</v>
      </c>
      <c r="G6403">
        <v>-186.3177</v>
      </c>
      <c r="H6403" s="1">
        <v>-2.458973E-6</v>
      </c>
      <c r="I6403">
        <v>83.842150000000004</v>
      </c>
      <c r="J6403">
        <v>-187.58359999999999</v>
      </c>
      <c r="K6403">
        <v>1.1103430000000001</v>
      </c>
      <c r="L6403">
        <v>63.637999999999998</v>
      </c>
      <c r="M6403">
        <v>-7.9384509999999991E-3</v>
      </c>
      <c r="N6403">
        <v>0</v>
      </c>
      <c r="O6403">
        <v>0.99987170000000003</v>
      </c>
      <c r="P6403">
        <v>2.8619559999999999E-2</v>
      </c>
      <c r="Q6403">
        <v>0.17586280000000001</v>
      </c>
      <c r="R6403">
        <v>0.98399859999999995</v>
      </c>
      <c r="S6403">
        <v>0.18969730000000001</v>
      </c>
      <c r="T6403">
        <v>-0.16671429999999901</v>
      </c>
      <c r="U6403">
        <v>3.0729679999999999</v>
      </c>
      <c r="V6403">
        <v>3.6317389999999998E-2</v>
      </c>
      <c r="W6403">
        <v>0.18955040000000001</v>
      </c>
      <c r="X6403">
        <v>0.98119909999999999</v>
      </c>
      <c r="Y6403">
        <v>6.9445789999999993E-2</v>
      </c>
      <c r="Z6403">
        <v>-5.4052969999999999E-2</v>
      </c>
      <c r="AA6403">
        <v>0.99612029999999996</v>
      </c>
      <c r="AB6403">
        <v>26</v>
      </c>
      <c r="AC6403">
        <v>1.26589999999998</v>
      </c>
      <c r="AD6403">
        <v>-1.110345458973</v>
      </c>
      <c r="AE6403">
        <v>20.204149999999998</v>
      </c>
      <c r="AF6403">
        <v>1.42198739728188</v>
      </c>
      <c r="AG6403">
        <v>-1.110345458973</v>
      </c>
      <c r="AH6403">
        <v>20.132895473621701</v>
      </c>
      <c r="AI6403">
        <v>93.148882002456006</v>
      </c>
      <c r="AJ6403">
        <v>85.959905505442194</v>
      </c>
      <c r="AK6403">
        <v>20.213569584515898</v>
      </c>
      <c r="AL6403">
        <v>79.073452667221304</v>
      </c>
      <c r="AM6403">
        <v>87.880263327459801</v>
      </c>
      <c r="AN6403">
        <v>0.99999999039869003</v>
      </c>
    </row>
    <row r="6404" spans="1:40" x14ac:dyDescent="0.25">
      <c r="A6404" t="str">
        <f>"20190312172834099"</f>
        <v>20190312172834099</v>
      </c>
      <c r="B6404" t="str">
        <f>"1552382914095986"</f>
        <v>1552382914095986</v>
      </c>
      <c r="C6404" t="s">
        <v>40</v>
      </c>
      <c r="D6404">
        <v>3.3169780000000002</v>
      </c>
      <c r="E6404">
        <v>0.51585559999999997</v>
      </c>
      <c r="F6404" t="s">
        <v>41</v>
      </c>
      <c r="G6404">
        <v>-186.31399999999999</v>
      </c>
      <c r="H6404" s="1">
        <v>-2.562562E-6</v>
      </c>
      <c r="I6404">
        <v>84.082059999999998</v>
      </c>
      <c r="J6404">
        <v>-187.58590000000001</v>
      </c>
      <c r="K6404">
        <v>1.1103369999999999</v>
      </c>
      <c r="L6404">
        <v>63.876860000000001</v>
      </c>
      <c r="M6404">
        <v>-8.2845850000000006E-3</v>
      </c>
      <c r="N6404">
        <v>0</v>
      </c>
      <c r="O6404">
        <v>0.99986900000000001</v>
      </c>
      <c r="P6404">
        <v>2.8395980000000001E-2</v>
      </c>
      <c r="Q6404">
        <v>0.17572289999999999</v>
      </c>
      <c r="R6404">
        <v>0.98403010000000002</v>
      </c>
      <c r="S6404">
        <v>0.1908417</v>
      </c>
      <c r="T6404">
        <v>-0.1669021</v>
      </c>
      <c r="U6404">
        <v>3.0730590000000002</v>
      </c>
      <c r="V6404">
        <v>3.6437770000000001E-2</v>
      </c>
      <c r="W6404">
        <v>0.18940799999999999</v>
      </c>
      <c r="X6404">
        <v>0.98122220000000004</v>
      </c>
      <c r="Y6404">
        <v>7.0158650000000003E-2</v>
      </c>
      <c r="Z6404">
        <v>-5.4109869999999997E-2</v>
      </c>
      <c r="AA6404">
        <v>0.99606719999999904</v>
      </c>
      <c r="AB6404">
        <v>25</v>
      </c>
      <c r="AC6404">
        <v>1.27189999999998</v>
      </c>
      <c r="AD6404">
        <v>-1.1103395625620001</v>
      </c>
      <c r="AE6404">
        <v>20.205200000000001</v>
      </c>
      <c r="AF6404">
        <v>1.4349480006728901</v>
      </c>
      <c r="AG6404">
        <v>-1.1103395625620001</v>
      </c>
      <c r="AH6404">
        <v>20.133408394088999</v>
      </c>
      <c r="AI6404">
        <v>93.148642848768205</v>
      </c>
      <c r="AJ6404">
        <v>85.923309463410007</v>
      </c>
      <c r="AK6404">
        <v>20.214995999801701</v>
      </c>
      <c r="AL6404">
        <v>79.081762813328893</v>
      </c>
      <c r="AM6404">
        <v>87.873293573149198</v>
      </c>
      <c r="AN6404">
        <v>1.0000000536597</v>
      </c>
    </row>
    <row r="6405" spans="1:40" x14ac:dyDescent="0.25">
      <c r="A6405" t="str">
        <f>"20190312172834124"</f>
        <v>20190312172834124</v>
      </c>
      <c r="B6405" t="str">
        <f>"1552382914116483"</f>
        <v>1552382914116483</v>
      </c>
      <c r="C6405" t="s">
        <v>40</v>
      </c>
      <c r="D6405">
        <v>3.2996180000000002</v>
      </c>
      <c r="E6405">
        <v>0.51596589999999998</v>
      </c>
      <c r="F6405" t="s">
        <v>41</v>
      </c>
      <c r="G6405">
        <v>-186.31970000000001</v>
      </c>
      <c r="H6405" s="1">
        <v>-2.635767E-6</v>
      </c>
      <c r="I6405">
        <v>84.255049999999997</v>
      </c>
      <c r="J6405">
        <v>-187.58860000000001</v>
      </c>
      <c r="K6405">
        <v>1.11032999999999</v>
      </c>
      <c r="L6405">
        <v>64.150019999999998</v>
      </c>
      <c r="M6405">
        <v>-8.6705129999999995E-3</v>
      </c>
      <c r="N6405">
        <v>0</v>
      </c>
      <c r="O6405">
        <v>0.99986580000000003</v>
      </c>
      <c r="P6405">
        <v>2.8329960000000001E-2</v>
      </c>
      <c r="Q6405">
        <v>0.1757416</v>
      </c>
      <c r="R6405">
        <v>0.98402860000000003</v>
      </c>
      <c r="S6405">
        <v>0.19094849999999999</v>
      </c>
      <c r="T6405">
        <v>-0.16744239999999999</v>
      </c>
      <c r="U6405">
        <v>3.0730900000000001</v>
      </c>
      <c r="V6405">
        <v>3.6755500000000003E-2</v>
      </c>
      <c r="W6405">
        <v>0.18942300000000001</v>
      </c>
      <c r="X6405">
        <v>0.98120739999999995</v>
      </c>
      <c r="Y6405">
        <v>7.0576940000000005E-2</v>
      </c>
      <c r="Z6405">
        <v>-5.4282879999999999E-2</v>
      </c>
      <c r="AA6405">
        <v>0.99602820000000003</v>
      </c>
      <c r="AB6405">
        <v>25</v>
      </c>
      <c r="AC6405">
        <v>1.2688999999999999</v>
      </c>
      <c r="AD6405">
        <v>-1.11033263576699</v>
      </c>
      <c r="AE6405">
        <v>20.105029999999999</v>
      </c>
      <c r="AF6405">
        <v>1.43881910330244</v>
      </c>
      <c r="AG6405">
        <v>-1.11033263576699</v>
      </c>
      <c r="AH6405">
        <v>20.032415013538898</v>
      </c>
      <c r="AI6405">
        <v>93.164340629522101</v>
      </c>
      <c r="AJ6405">
        <v>85.891811379871299</v>
      </c>
      <c r="AK6405">
        <v>20.1146884203742</v>
      </c>
      <c r="AL6405">
        <v>79.080886946787302</v>
      </c>
      <c r="AM6405">
        <v>87.854734046527795</v>
      </c>
      <c r="AN6405">
        <v>1.000000000762</v>
      </c>
    </row>
    <row r="6406" spans="1:40" x14ac:dyDescent="0.25">
      <c r="A6406" t="str">
        <f>"20190312172834146"</f>
        <v>20190312172834146</v>
      </c>
      <c r="B6406" t="str">
        <f>"1552382914136001"</f>
        <v>1552382914136001</v>
      </c>
      <c r="C6406" t="s">
        <v>40</v>
      </c>
      <c r="D6406">
        <v>3.3156089999999998</v>
      </c>
      <c r="E6406">
        <v>0.51603759999999999</v>
      </c>
      <c r="F6406" t="s">
        <v>41</v>
      </c>
      <c r="G6406">
        <v>-186.31229999999999</v>
      </c>
      <c r="H6406" s="1">
        <v>-2.786143E-6</v>
      </c>
      <c r="I6406">
        <v>84.602549999999994</v>
      </c>
      <c r="J6406">
        <v>-187.59119999999999</v>
      </c>
      <c r="K6406">
        <v>1.110317</v>
      </c>
      <c r="L6406">
        <v>64.404269999999997</v>
      </c>
      <c r="M6406">
        <v>-9.0186780000000005E-3</v>
      </c>
      <c r="N6406">
        <v>0</v>
      </c>
      <c r="O6406">
        <v>0.99986269999999999</v>
      </c>
      <c r="P6406">
        <v>2.821721E-2</v>
      </c>
      <c r="Q6406">
        <v>0.17564560000000001</v>
      </c>
      <c r="R6406">
        <v>0.98404899999999995</v>
      </c>
      <c r="S6406">
        <v>0.19175719999999999</v>
      </c>
      <c r="T6406">
        <v>-0.16682620000000001</v>
      </c>
      <c r="U6406">
        <v>3.0729679999999999</v>
      </c>
      <c r="V6406">
        <v>3.6989479999999998E-2</v>
      </c>
      <c r="W6406">
        <v>0.1893233</v>
      </c>
      <c r="X6406">
        <v>0.98121789999999998</v>
      </c>
      <c r="Y6406">
        <v>7.1188500000000002E-2</v>
      </c>
      <c r="Z6406">
        <v>-5.4083970000000002E-2</v>
      </c>
      <c r="AA6406">
        <v>0.99599550000000003</v>
      </c>
      <c r="AB6406">
        <v>25</v>
      </c>
      <c r="AC6406">
        <v>1.2788999999999899</v>
      </c>
      <c r="AD6406">
        <v>-1.1103197861430001</v>
      </c>
      <c r="AE6406">
        <v>20.19828</v>
      </c>
      <c r="AF6406">
        <v>1.45664324002644</v>
      </c>
      <c r="AG6406">
        <v>-1.1103197861430001</v>
      </c>
      <c r="AH6406">
        <v>20.1253511128293</v>
      </c>
      <c r="AI6406">
        <v>93.149596349256498</v>
      </c>
      <c r="AJ6406">
        <v>85.860234815026601</v>
      </c>
      <c r="AK6406">
        <v>20.208522384649399</v>
      </c>
      <c r="AL6406">
        <v>79.086705153956203</v>
      </c>
      <c r="AM6406">
        <v>87.841113567532403</v>
      </c>
      <c r="AN6406">
        <v>1.0000000504169799</v>
      </c>
    </row>
    <row r="6407" spans="1:40" x14ac:dyDescent="0.25">
      <c r="A6407" t="str">
        <f>"20190312172834170"</f>
        <v>20190312172834170</v>
      </c>
      <c r="B6407" t="str">
        <f>"1552382914166257"</f>
        <v>1552382914166257</v>
      </c>
      <c r="C6407" t="s">
        <v>40</v>
      </c>
      <c r="D6407">
        <v>3.327798</v>
      </c>
      <c r="E6407">
        <v>0.51630549999999997</v>
      </c>
      <c r="F6407" t="s">
        <v>41</v>
      </c>
      <c r="G6407">
        <v>-186.3203</v>
      </c>
      <c r="H6407" s="1">
        <v>-2.855576E-6</v>
      </c>
      <c r="I6407">
        <v>84.767669999999995</v>
      </c>
      <c r="J6407">
        <v>-187.59389999999999</v>
      </c>
      <c r="K6407">
        <v>1.110309</v>
      </c>
      <c r="L6407">
        <v>64.660640000000001</v>
      </c>
      <c r="M6407">
        <v>-9.3576570000000001E-3</v>
      </c>
      <c r="N6407">
        <v>0</v>
      </c>
      <c r="O6407">
        <v>0.99985959999999996</v>
      </c>
      <c r="P6407">
        <v>2.7978989999999999E-2</v>
      </c>
      <c r="Q6407">
        <v>0.17536280000000001</v>
      </c>
      <c r="R6407">
        <v>0.98410620000000004</v>
      </c>
      <c r="S6407">
        <v>0.191803</v>
      </c>
      <c r="T6407">
        <v>-0.1675576</v>
      </c>
      <c r="U6407">
        <v>3.073029</v>
      </c>
      <c r="V6407">
        <v>3.7089520000000001E-2</v>
      </c>
      <c r="W6407">
        <v>0.1890386</v>
      </c>
      <c r="X6407">
        <v>0.9812689</v>
      </c>
      <c r="Y6407">
        <v>7.1539420000000006E-2</v>
      </c>
      <c r="Z6407">
        <v>-5.431834E-2</v>
      </c>
      <c r="AA6407">
        <v>0.99595769999999995</v>
      </c>
      <c r="AB6407">
        <v>25</v>
      </c>
      <c r="AC6407">
        <v>1.2735999999999801</v>
      </c>
      <c r="AD6407">
        <v>-1.1103118555760001</v>
      </c>
      <c r="AE6407">
        <v>20.107029999999899</v>
      </c>
      <c r="AF6407">
        <v>1.4572911968698199</v>
      </c>
      <c r="AG6407">
        <v>-1.1103118555760001</v>
      </c>
      <c r="AH6407">
        <v>20.033387552856201</v>
      </c>
      <c r="AI6407">
        <v>93.163919658078797</v>
      </c>
      <c r="AJ6407">
        <v>85.839454269171199</v>
      </c>
      <c r="AK6407">
        <v>20.116985531933899</v>
      </c>
      <c r="AL6407">
        <v>79.103316014571107</v>
      </c>
      <c r="AM6407">
        <v>87.835392693680504</v>
      </c>
      <c r="AN6407">
        <v>0.99999993944549803</v>
      </c>
    </row>
    <row r="6408" spans="1:40" x14ac:dyDescent="0.25">
      <c r="A6408" t="str">
        <f>"20190312172834188"</f>
        <v>20190312172834188</v>
      </c>
      <c r="B6408" t="str">
        <f>"1552382914185777"</f>
        <v>1552382914185777</v>
      </c>
      <c r="C6408" t="s">
        <v>40</v>
      </c>
      <c r="D6408">
        <v>3.33588</v>
      </c>
      <c r="E6408">
        <v>0.5164067</v>
      </c>
      <c r="F6408" t="s">
        <v>41</v>
      </c>
      <c r="G6408">
        <v>-186.32380000000001</v>
      </c>
      <c r="H6408" s="1">
        <v>-2.9015589999999998E-6</v>
      </c>
      <c r="I6408">
        <v>84.876300000000001</v>
      </c>
      <c r="J6408">
        <v>-187.59639999999999</v>
      </c>
      <c r="K6408">
        <v>1.1102970000000001</v>
      </c>
      <c r="L6408">
        <v>64.889309999999995</v>
      </c>
      <c r="M6408">
        <v>-9.6492120000000008E-3</v>
      </c>
      <c r="N6408">
        <v>0</v>
      </c>
      <c r="O6408">
        <v>0.99985690000000005</v>
      </c>
      <c r="P6408">
        <v>2.793E-2</v>
      </c>
      <c r="Q6408">
        <v>0.1751405</v>
      </c>
      <c r="R6408">
        <v>0.9841472</v>
      </c>
      <c r="S6408">
        <v>0.1930847</v>
      </c>
      <c r="T6408">
        <v>-0.16878099999999999</v>
      </c>
      <c r="U6408">
        <v>3.073029</v>
      </c>
      <c r="V6408">
        <v>3.7331429999999999E-2</v>
      </c>
      <c r="W6408">
        <v>0.18881339999999999</v>
      </c>
      <c r="X6408">
        <v>0.98130320000000004</v>
      </c>
      <c r="Y6408">
        <v>7.2242680000000004E-2</v>
      </c>
      <c r="Z6408">
        <v>-5.4711429999999998E-2</v>
      </c>
      <c r="AA6408">
        <v>0.99588540000000003</v>
      </c>
      <c r="AB6408">
        <v>25</v>
      </c>
      <c r="AC6408">
        <v>1.27259999999998</v>
      </c>
      <c r="AD6408">
        <v>-1.1102999015589901</v>
      </c>
      <c r="AE6408">
        <v>19.986989999999999</v>
      </c>
      <c r="AF6408">
        <v>1.4609279517251399</v>
      </c>
      <c r="AG6408">
        <v>-1.1102999015589901</v>
      </c>
      <c r="AH6408">
        <v>19.912577884232501</v>
      </c>
      <c r="AI6408">
        <v>93.182897589111903</v>
      </c>
      <c r="AJ6408">
        <v>85.803893281536901</v>
      </c>
      <c r="AK6408">
        <v>19.996945625448902</v>
      </c>
      <c r="AL6408">
        <v>79.116456903442298</v>
      </c>
      <c r="AM6408">
        <v>87.821364057602693</v>
      </c>
      <c r="AN6408">
        <v>1.0000000530078199</v>
      </c>
    </row>
    <row r="6409" spans="1:40" x14ac:dyDescent="0.25">
      <c r="A6409" t="str">
        <f>"20190312172834214"</f>
        <v>20190312172834214</v>
      </c>
      <c r="B6409" t="str">
        <f>"1552382914206274"</f>
        <v>1552382914206274</v>
      </c>
      <c r="C6409" t="s">
        <v>40</v>
      </c>
      <c r="D6409">
        <v>3.3139240000000001</v>
      </c>
      <c r="E6409">
        <v>0.51652880000000001</v>
      </c>
      <c r="F6409" t="s">
        <v>41</v>
      </c>
      <c r="G6409">
        <v>-186.3287</v>
      </c>
      <c r="H6409" s="1">
        <v>-2.9630880000000001E-6</v>
      </c>
      <c r="I6409">
        <v>85.021789999999996</v>
      </c>
      <c r="J6409">
        <v>-187.59950000000001</v>
      </c>
      <c r="K6409">
        <v>1.11029</v>
      </c>
      <c r="L6409">
        <v>65.170649999999995</v>
      </c>
      <c r="M6409">
        <v>-9.9967270000000004E-3</v>
      </c>
      <c r="N6409">
        <v>0</v>
      </c>
      <c r="O6409">
        <v>0.99985349999999995</v>
      </c>
      <c r="P6409">
        <v>2.8009829999999999E-2</v>
      </c>
      <c r="Q6409">
        <v>0.17501929999999999</v>
      </c>
      <c r="R6409">
        <v>0.98416650000000006</v>
      </c>
      <c r="S6409">
        <v>0.19349669999999999</v>
      </c>
      <c r="T6409">
        <v>-0.16947319999999999</v>
      </c>
      <c r="U6409">
        <v>3.0729679999999999</v>
      </c>
      <c r="V6409">
        <v>3.7757199999999998E-2</v>
      </c>
      <c r="W6409">
        <v>0.18868879999999999</v>
      </c>
      <c r="X6409">
        <v>0.98131080000000004</v>
      </c>
      <c r="Y6409">
        <v>7.2722800000000004E-2</v>
      </c>
      <c r="Z6409">
        <v>-5.4934730000000001E-2</v>
      </c>
      <c r="AA6409">
        <v>0.99583809999999995</v>
      </c>
      <c r="AB6409">
        <v>25</v>
      </c>
      <c r="AC6409">
        <v>1.2707999999999999</v>
      </c>
      <c r="AD6409">
        <v>-1.1102929630880001</v>
      </c>
      <c r="AE6409">
        <v>19.851140000000001</v>
      </c>
      <c r="AF6409">
        <v>1.4646389855776301</v>
      </c>
      <c r="AG6409">
        <v>-1.1102929630880001</v>
      </c>
      <c r="AH6409">
        <v>19.775831155460899</v>
      </c>
      <c r="AI6409">
        <v>93.204678159945402</v>
      </c>
      <c r="AJ6409">
        <v>85.764289247694293</v>
      </c>
      <c r="AK6409">
        <v>19.861052734214699</v>
      </c>
      <c r="AL6409">
        <v>79.123725802839203</v>
      </c>
      <c r="AM6409">
        <v>87.796557823357105</v>
      </c>
      <c r="AN6409">
        <v>0.99999997779695904</v>
      </c>
    </row>
    <row r="6410" spans="1:40" x14ac:dyDescent="0.25">
      <c r="A6410" t="str">
        <f>"20190312172834237"</f>
        <v>20190312172834237</v>
      </c>
      <c r="B6410" t="str">
        <f>"1552382914225794"</f>
        <v>1552382914225794</v>
      </c>
      <c r="C6410" t="s">
        <v>40</v>
      </c>
      <c r="D6410">
        <v>3.3599380000000001</v>
      </c>
      <c r="E6410">
        <v>0.51662799999999998</v>
      </c>
      <c r="F6410" t="s">
        <v>41</v>
      </c>
      <c r="G6410">
        <v>-186.32929999999999</v>
      </c>
      <c r="H6410" s="1">
        <v>-3.0544930000000002E-6</v>
      </c>
      <c r="I6410">
        <v>85.235079999999996</v>
      </c>
      <c r="J6410">
        <v>-187.60249999999999</v>
      </c>
      <c r="K6410">
        <v>1.1102829999999999</v>
      </c>
      <c r="L6410">
        <v>65.424769999999995</v>
      </c>
      <c r="M6410">
        <v>-1.030142E-2</v>
      </c>
      <c r="N6410">
        <v>0</v>
      </c>
      <c r="O6410">
        <v>0.99985049999999998</v>
      </c>
      <c r="P6410">
        <v>2.757443E-2</v>
      </c>
      <c r="Q6410">
        <v>0.17542439999999901</v>
      </c>
      <c r="R6410">
        <v>0.9841067</v>
      </c>
      <c r="S6410">
        <v>0.19454959999999999</v>
      </c>
      <c r="T6410">
        <v>-0.1700469</v>
      </c>
      <c r="U6410">
        <v>3.0729679999999999</v>
      </c>
      <c r="V6410">
        <v>3.7623820000000002E-2</v>
      </c>
      <c r="W6410">
        <v>0.1890896</v>
      </c>
      <c r="X6410">
        <v>0.98123879999999997</v>
      </c>
      <c r="Y6410">
        <v>7.3365899999999998E-2</v>
      </c>
      <c r="Z6410">
        <v>-5.5117989999999999E-2</v>
      </c>
      <c r="AA6410">
        <v>0.99578080000000002</v>
      </c>
      <c r="AB6410">
        <v>25</v>
      </c>
      <c r="AC6410">
        <v>1.2732000000000001</v>
      </c>
      <c r="AD6410">
        <v>-1.110286054493</v>
      </c>
      <c r="AE6410">
        <v>19.810310000000001</v>
      </c>
      <c r="AF6410">
        <v>1.4726197589769401</v>
      </c>
      <c r="AG6410">
        <v>-1.110286054493</v>
      </c>
      <c r="AH6410">
        <v>19.7344080748382</v>
      </c>
      <c r="AI6410">
        <v>93.211238218009299</v>
      </c>
      <c r="AJ6410">
        <v>85.732387519589295</v>
      </c>
      <c r="AK6410">
        <v>19.820398738208301</v>
      </c>
      <c r="AL6410">
        <v>79.100340991525698</v>
      </c>
      <c r="AM6410">
        <v>87.804173055176804</v>
      </c>
      <c r="AN6410">
        <v>1.00000000564249</v>
      </c>
    </row>
    <row r="6411" spans="1:40" x14ac:dyDescent="0.25">
      <c r="A6411" t="str">
        <f>"20190312172834258"</f>
        <v>20190312172834258</v>
      </c>
      <c r="B6411" t="str">
        <f>"1552382914256558"</f>
        <v>1552382914256558</v>
      </c>
      <c r="C6411" t="s">
        <v>40</v>
      </c>
      <c r="D6411">
        <v>3.368179</v>
      </c>
      <c r="E6411">
        <v>0.51965130000000004</v>
      </c>
      <c r="F6411" t="s">
        <v>41</v>
      </c>
      <c r="G6411">
        <v>-186.3254</v>
      </c>
      <c r="H6411" s="1">
        <v>-3.227992E-6</v>
      </c>
      <c r="I6411">
        <v>85.637919999999994</v>
      </c>
      <c r="J6411">
        <v>-187.6054</v>
      </c>
      <c r="K6411">
        <v>1.110276</v>
      </c>
      <c r="L6411">
        <v>65.673220000000001</v>
      </c>
      <c r="M6411">
        <v>-1.059093E-2</v>
      </c>
      <c r="N6411">
        <v>0</v>
      </c>
      <c r="O6411">
        <v>0.9998475</v>
      </c>
      <c r="P6411">
        <v>2.7579409999999999E-2</v>
      </c>
      <c r="Q6411">
        <v>0.17523179999999999</v>
      </c>
      <c r="R6411">
        <v>0.98414089999999999</v>
      </c>
      <c r="S6411">
        <v>0.19415279999999999</v>
      </c>
      <c r="T6411">
        <v>-0.16880139999999999</v>
      </c>
      <c r="U6411">
        <v>3.0730900000000001</v>
      </c>
      <c r="V6411">
        <v>3.7916940000000003E-2</v>
      </c>
      <c r="W6411">
        <v>0.18889439999999999</v>
      </c>
      <c r="X6411">
        <v>0.9812651</v>
      </c>
      <c r="Y6411">
        <v>7.3525530000000006E-2</v>
      </c>
      <c r="Z6411">
        <v>-5.4712990000000003E-2</v>
      </c>
      <c r="AA6411">
        <v>0.99579139999999999</v>
      </c>
      <c r="AB6411">
        <v>25</v>
      </c>
      <c r="AC6411">
        <v>1.28</v>
      </c>
      <c r="AD6411">
        <v>-1.110279227992</v>
      </c>
      <c r="AE6411">
        <v>19.964700000000001</v>
      </c>
      <c r="AF6411">
        <v>1.48681386748416</v>
      </c>
      <c r="AG6411">
        <v>-1.110279227992</v>
      </c>
      <c r="AH6411">
        <v>19.888764028799098</v>
      </c>
      <c r="AI6411">
        <v>93.186316147311004</v>
      </c>
      <c r="AJ6411">
        <v>85.724721898341002</v>
      </c>
      <c r="AK6411">
        <v>19.975141301975999</v>
      </c>
      <c r="AL6411">
        <v>79.111730236141099</v>
      </c>
      <c r="AM6411">
        <v>87.787141980571903</v>
      </c>
      <c r="AN6411">
        <v>0.99999999258416605</v>
      </c>
    </row>
    <row r="6412" spans="1:40" x14ac:dyDescent="0.25">
      <c r="A6412" t="str">
        <f>"20190312172834280"</f>
        <v>20190312172834280</v>
      </c>
      <c r="B6412" t="str">
        <f>"1552382914276078"</f>
        <v>1552382914276078</v>
      </c>
      <c r="C6412" t="s">
        <v>40</v>
      </c>
      <c r="D6412">
        <v>3.3528829999999998</v>
      </c>
      <c r="E6412">
        <v>0.51982229999999996</v>
      </c>
      <c r="F6412" t="s">
        <v>41</v>
      </c>
      <c r="G6412">
        <v>-186.24449999999999</v>
      </c>
      <c r="H6412" s="1">
        <v>-2.9187059999999999E-6</v>
      </c>
      <c r="I6412">
        <v>84.883499999999998</v>
      </c>
      <c r="J6412">
        <v>-187.60830000000001</v>
      </c>
      <c r="K6412">
        <v>1.1102730000000001</v>
      </c>
      <c r="L6412">
        <v>65.922519999999906</v>
      </c>
      <c r="M6412">
        <v>-1.0873219999999999E-2</v>
      </c>
      <c r="N6412">
        <v>0</v>
      </c>
      <c r="O6412">
        <v>0.99984450000000002</v>
      </c>
      <c r="P6412">
        <v>2.7569779999999999E-2</v>
      </c>
      <c r="Q6412">
        <v>0.1748912</v>
      </c>
      <c r="R6412">
        <v>0.98420169999999996</v>
      </c>
      <c r="S6412">
        <v>0.21775820000000001</v>
      </c>
      <c r="T6412">
        <v>-0.17765839999999999</v>
      </c>
      <c r="U6412">
        <v>3.0738829999999999</v>
      </c>
      <c r="V6412">
        <v>3.8188859999999998E-2</v>
      </c>
      <c r="W6412">
        <v>0.18855160000000001</v>
      </c>
      <c r="X6412">
        <v>0.98132050000000004</v>
      </c>
      <c r="Y6412">
        <v>8.1390160000000003E-2</v>
      </c>
      <c r="Z6412">
        <v>-5.7527120000000001E-2</v>
      </c>
      <c r="AA6412">
        <v>0.99502069999999998</v>
      </c>
      <c r="AB6412">
        <v>25</v>
      </c>
      <c r="AC6412">
        <v>1.3638000000000201</v>
      </c>
      <c r="AD6412">
        <v>-1.1102759187060001</v>
      </c>
      <c r="AE6412">
        <v>18.960979999999999</v>
      </c>
      <c r="AF6412">
        <v>1.5645691809995299</v>
      </c>
      <c r="AG6412">
        <v>-1.1102759187060001</v>
      </c>
      <c r="AH6412">
        <v>18.880624162722501</v>
      </c>
      <c r="AI6412">
        <v>93.353935741128396</v>
      </c>
      <c r="AJ6412">
        <v>85.262928659601002</v>
      </c>
      <c r="AK6412">
        <v>18.9778438741542</v>
      </c>
      <c r="AL6412">
        <v>79.131730813417704</v>
      </c>
      <c r="AM6412">
        <v>87.771414187338195</v>
      </c>
      <c r="AN6412">
        <v>1.00000000930545</v>
      </c>
    </row>
    <row r="6413" spans="1:40" x14ac:dyDescent="0.25">
      <c r="A6413" t="str">
        <f>"20190312172834301"</f>
        <v>20190312172834301</v>
      </c>
      <c r="B6413" t="str">
        <f>"1552382914296573"</f>
        <v>1552382914296573</v>
      </c>
      <c r="C6413" t="s">
        <v>40</v>
      </c>
      <c r="D6413">
        <v>3.301053</v>
      </c>
      <c r="E6413">
        <v>0.52217579999999997</v>
      </c>
      <c r="F6413" t="s">
        <v>41</v>
      </c>
      <c r="G6413">
        <v>-186.27510000000001</v>
      </c>
      <c r="H6413" s="1">
        <v>-2.8106159999999998E-6</v>
      </c>
      <c r="I6413">
        <v>84.644210000000001</v>
      </c>
      <c r="J6413">
        <v>-187.61109999999999</v>
      </c>
      <c r="K6413">
        <v>1.110268</v>
      </c>
      <c r="L6413">
        <v>66.155000000000001</v>
      </c>
      <c r="M6413">
        <v>-1.112901E-2</v>
      </c>
      <c r="N6413">
        <v>0</v>
      </c>
      <c r="O6413">
        <v>0.99984170000000006</v>
      </c>
      <c r="P6413">
        <v>2.7643689999999999E-2</v>
      </c>
      <c r="Q6413">
        <v>0.1746046</v>
      </c>
      <c r="R6413">
        <v>0.98425050000000003</v>
      </c>
      <c r="S6413">
        <v>0.21893309999999999</v>
      </c>
      <c r="T6413">
        <v>-0.18232680000000001</v>
      </c>
      <c r="U6413">
        <v>3.0744319999999998</v>
      </c>
      <c r="V6413">
        <v>3.8517950000000002E-2</v>
      </c>
      <c r="W6413">
        <v>0.18826270000000001</v>
      </c>
      <c r="X6413">
        <v>0.98136310000000004</v>
      </c>
      <c r="Y6413">
        <v>8.2004759999999996E-2</v>
      </c>
      <c r="Z6413">
        <v>-5.9020530000000002E-2</v>
      </c>
      <c r="AA6413">
        <v>0.99488279999999996</v>
      </c>
      <c r="AB6413">
        <v>25</v>
      </c>
      <c r="AC6413">
        <v>1.3359999999999801</v>
      </c>
      <c r="AD6413">
        <v>-1.110270810616</v>
      </c>
      <c r="AE6413">
        <v>18.48921</v>
      </c>
      <c r="AF6413">
        <v>1.5361929992910699</v>
      </c>
      <c r="AG6413">
        <v>-1.110270810616</v>
      </c>
      <c r="AH6413">
        <v>18.407164195934602</v>
      </c>
      <c r="AI6413">
        <v>93.439816470347196</v>
      </c>
      <c r="AJ6413">
        <v>85.229364027496601</v>
      </c>
      <c r="AK6413">
        <v>18.504493614797202</v>
      </c>
      <c r="AL6413">
        <v>79.1485853696269</v>
      </c>
      <c r="AM6413">
        <v>87.752326583332504</v>
      </c>
      <c r="AN6413">
        <v>1.00000000536255</v>
      </c>
    </row>
    <row r="6414" spans="1:40" x14ac:dyDescent="0.25">
      <c r="A6414" t="str">
        <f>"20190312172834323"</f>
        <v>20190312172834323</v>
      </c>
      <c r="B6414" t="str">
        <f>"1552382914316094"</f>
        <v>1552382914316094</v>
      </c>
      <c r="C6414" t="s">
        <v>40</v>
      </c>
      <c r="D6414">
        <v>3.342498</v>
      </c>
      <c r="E6414">
        <v>0.52441629999999995</v>
      </c>
      <c r="F6414" t="s">
        <v>44</v>
      </c>
      <c r="G6414">
        <v>-187.55090000000001</v>
      </c>
      <c r="H6414">
        <v>1.0301849999999999</v>
      </c>
      <c r="I6414">
        <v>66.950719999999905</v>
      </c>
      <c r="J6414">
        <v>-187.61420000000001</v>
      </c>
      <c r="K6414">
        <v>1.110257</v>
      </c>
      <c r="L6414">
        <v>66.402159999999995</v>
      </c>
      <c r="M6414">
        <v>-1.139329E-2</v>
      </c>
      <c r="N6414">
        <v>0</v>
      </c>
      <c r="O6414">
        <v>0.99983880000000003</v>
      </c>
      <c r="P6414">
        <v>2.7968260000000002E-2</v>
      </c>
      <c r="Q6414">
        <v>0.17463890000000001</v>
      </c>
      <c r="R6414">
        <v>0.98423519999999998</v>
      </c>
      <c r="S6414">
        <v>0.23361209999999999</v>
      </c>
      <c r="T6414">
        <v>-0.3117085</v>
      </c>
      <c r="U6414">
        <v>3.0967410000000002</v>
      </c>
      <c r="V6414">
        <v>3.9105470000000003E-2</v>
      </c>
      <c r="W6414">
        <v>0.18829360000000001</v>
      </c>
      <c r="X6414">
        <v>0.98133389999999998</v>
      </c>
      <c r="Y6414">
        <v>8.620572E-2</v>
      </c>
      <c r="Z6414">
        <v>-9.9814219999999995E-2</v>
      </c>
      <c r="AA6414">
        <v>0.9912647</v>
      </c>
      <c r="AB6414">
        <v>25</v>
      </c>
      <c r="AC6414">
        <v>6.3299999999998094E-2</v>
      </c>
      <c r="AD6414">
        <v>-8.0071999999999893E-2</v>
      </c>
      <c r="AE6414">
        <v>0.54855999999999405</v>
      </c>
      <c r="AF6414">
        <v>6.8114188151352895E-2</v>
      </c>
      <c r="AG6414">
        <v>-8.0071999999999893E-2</v>
      </c>
      <c r="AH6414">
        <v>0.53652190990321003</v>
      </c>
      <c r="AI6414">
        <v>98.421711211656401</v>
      </c>
      <c r="AJ6414">
        <v>82.764715191975796</v>
      </c>
      <c r="AK6414">
        <v>0.54672372146972603</v>
      </c>
      <c r="AL6414">
        <v>79.146782306823795</v>
      </c>
      <c r="AM6414">
        <v>87.718010630677497</v>
      </c>
      <c r="AN6414">
        <v>0.99999997043704503</v>
      </c>
    </row>
    <row r="6415" spans="1:40" x14ac:dyDescent="0.25">
      <c r="A6415" t="str">
        <f>"20190312172834348"</f>
        <v>20190312172834348</v>
      </c>
      <c r="B6415" t="str">
        <f>"1552382914346349"</f>
        <v>1552382914346349</v>
      </c>
      <c r="C6415" t="s">
        <v>40</v>
      </c>
      <c r="D6415">
        <v>3.48197</v>
      </c>
      <c r="E6415">
        <v>0.52610950000000001</v>
      </c>
      <c r="F6415" t="s">
        <v>44</v>
      </c>
      <c r="G6415">
        <v>-187.55350000000001</v>
      </c>
      <c r="H6415">
        <v>1.0090049999999999</v>
      </c>
      <c r="I6415">
        <v>67.164450000000002</v>
      </c>
      <c r="J6415">
        <v>-187.61770000000001</v>
      </c>
      <c r="K6415">
        <v>1.110249</v>
      </c>
      <c r="L6415">
        <v>66.675449999999998</v>
      </c>
      <c r="M6415">
        <v>-1.167664E-2</v>
      </c>
      <c r="N6415">
        <v>0</v>
      </c>
      <c r="O6415">
        <v>0.99983560000000005</v>
      </c>
      <c r="P6415">
        <v>2.8330689999999999E-2</v>
      </c>
      <c r="Q6415">
        <v>0.173933</v>
      </c>
      <c r="R6415">
        <v>0.9843499</v>
      </c>
      <c r="S6415">
        <v>0.24835209999999999</v>
      </c>
      <c r="T6415">
        <v>-0.4136589</v>
      </c>
      <c r="U6415">
        <v>3.1143800000000001</v>
      </c>
      <c r="V6415">
        <v>3.9751580000000002E-2</v>
      </c>
      <c r="W6415">
        <v>0.1875859</v>
      </c>
      <c r="X6415">
        <v>0.98144350000000002</v>
      </c>
      <c r="Y6415">
        <v>9.0439549999999994E-2</v>
      </c>
      <c r="Z6415">
        <v>-0.13117779999999901</v>
      </c>
      <c r="AA6415">
        <v>0.98722489999999996</v>
      </c>
      <c r="AB6415">
        <v>25</v>
      </c>
      <c r="AC6415">
        <v>6.4199999999999494E-2</v>
      </c>
      <c r="AD6415">
        <v>-0.101244</v>
      </c>
      <c r="AE6415">
        <v>0.48900000000000399</v>
      </c>
      <c r="AF6415">
        <v>6.7079298811067098E-2</v>
      </c>
      <c r="AG6415">
        <v>-0.101244</v>
      </c>
      <c r="AH6415">
        <v>0.46847520118587499</v>
      </c>
      <c r="AI6415">
        <v>102.07537722162</v>
      </c>
      <c r="AJ6415">
        <v>81.851408206495506</v>
      </c>
      <c r="AK6415">
        <v>0.483961769142079</v>
      </c>
      <c r="AL6415">
        <v>79.188066520578801</v>
      </c>
      <c r="AM6415">
        <v>87.680606662025696</v>
      </c>
      <c r="AN6415">
        <v>1.00000000084177</v>
      </c>
    </row>
    <row r="6416" spans="1:40" x14ac:dyDescent="0.25">
      <c r="A6416" t="str">
        <f>"20190312172834370"</f>
        <v>20190312172834370</v>
      </c>
      <c r="B6416" t="str">
        <f>"1552382914365870"</f>
        <v>1552382914365870</v>
      </c>
      <c r="C6416" t="s">
        <v>40</v>
      </c>
      <c r="D6416">
        <v>3.306</v>
      </c>
      <c r="E6416">
        <v>0.52674730000000003</v>
      </c>
      <c r="F6416" t="s">
        <v>44</v>
      </c>
      <c r="G6416">
        <v>-187.54130000000001</v>
      </c>
      <c r="H6416">
        <v>0.96704049999999997</v>
      </c>
      <c r="I6416">
        <v>67.591610000000003</v>
      </c>
      <c r="J6416">
        <v>-187.6208</v>
      </c>
      <c r="K6416">
        <v>1.110247</v>
      </c>
      <c r="L6416">
        <v>66.92389</v>
      </c>
      <c r="M6416">
        <v>-1.192521E-2</v>
      </c>
      <c r="N6416">
        <v>0</v>
      </c>
      <c r="O6416">
        <v>0.99983259999999996</v>
      </c>
      <c r="P6416">
        <v>2.875815E-2</v>
      </c>
      <c r="Q6416">
        <v>0.173486</v>
      </c>
      <c r="R6416">
        <v>0.98441639999999997</v>
      </c>
      <c r="S6416">
        <v>0.26074219999999998</v>
      </c>
      <c r="T6416">
        <v>-0.48873939999999999</v>
      </c>
      <c r="U6416">
        <v>3.1265559999999999</v>
      </c>
      <c r="V6416">
        <v>4.0427320000000003E-2</v>
      </c>
      <c r="W6416">
        <v>0.18713630000000001</v>
      </c>
      <c r="X6416">
        <v>0.98150179999999998</v>
      </c>
      <c r="Y6416">
        <v>9.3997120000000003E-2</v>
      </c>
      <c r="Z6416">
        <v>-0.15382370000000001</v>
      </c>
      <c r="AA6416">
        <v>0.98361719999999997</v>
      </c>
      <c r="AB6416">
        <v>25</v>
      </c>
      <c r="AC6416">
        <v>7.9499999999995893E-2</v>
      </c>
      <c r="AD6416">
        <v>-0.14320649999999899</v>
      </c>
      <c r="AE6416">
        <v>0.66772000000000198</v>
      </c>
      <c r="AF6416">
        <v>8.3663280532389001E-2</v>
      </c>
      <c r="AG6416">
        <v>-0.14320649999999899</v>
      </c>
      <c r="AH6416">
        <v>0.63779718664239904</v>
      </c>
      <c r="AI6416">
        <v>102.55084022039399</v>
      </c>
      <c r="AJ6416">
        <v>82.526873429314094</v>
      </c>
      <c r="AK6416">
        <v>0.65900902682789597</v>
      </c>
      <c r="AL6416">
        <v>79.214291901457997</v>
      </c>
      <c r="AM6416">
        <v>87.641363238406399</v>
      </c>
      <c r="AN6416">
        <v>1.0000000731916501</v>
      </c>
    </row>
    <row r="6417" spans="1:40" x14ac:dyDescent="0.25">
      <c r="A6417" t="str">
        <f>"20190312172834391"</f>
        <v>20190312172834391</v>
      </c>
      <c r="B6417" t="str">
        <f>"1552382914386366"</f>
        <v>1552382914386366</v>
      </c>
      <c r="C6417" t="s">
        <v>40</v>
      </c>
      <c r="D6417">
        <v>3.3600370000000002</v>
      </c>
      <c r="E6417">
        <v>0.52692320000000004</v>
      </c>
      <c r="F6417" t="s">
        <v>44</v>
      </c>
      <c r="G6417">
        <v>-187.54499999999999</v>
      </c>
      <c r="H6417">
        <v>0.96451350000000002</v>
      </c>
      <c r="I6417">
        <v>67.813680000000005</v>
      </c>
      <c r="J6417">
        <v>-187.62389999999999</v>
      </c>
      <c r="K6417">
        <v>1.110241</v>
      </c>
      <c r="L6417">
        <v>67.159329999999997</v>
      </c>
      <c r="M6417">
        <v>-1.215458E-2</v>
      </c>
      <c r="N6417">
        <v>0</v>
      </c>
      <c r="O6417">
        <v>0.99982990000000005</v>
      </c>
      <c r="P6417">
        <v>2.9158139999999999E-2</v>
      </c>
      <c r="Q6417">
        <v>0.17260410000000001</v>
      </c>
      <c r="R6417">
        <v>0.98455959999999998</v>
      </c>
      <c r="S6417">
        <v>0.2664185</v>
      </c>
      <c r="T6417">
        <v>-0.51266659999999997</v>
      </c>
      <c r="U6417">
        <v>3.1300659999999998</v>
      </c>
      <c r="V6417">
        <v>4.1057120000000003E-2</v>
      </c>
      <c r="W6417">
        <v>0.18625420000000001</v>
      </c>
      <c r="X6417">
        <v>0.98164340000000005</v>
      </c>
      <c r="Y6417">
        <v>9.5808660000000004E-2</v>
      </c>
      <c r="Z6417">
        <v>-0.16096050000000001</v>
      </c>
      <c r="AA6417">
        <v>0.98229960000000005</v>
      </c>
      <c r="AB6417">
        <v>25</v>
      </c>
      <c r="AC6417">
        <v>7.8900000000004397E-2</v>
      </c>
      <c r="AD6417">
        <v>-0.14572750000000001</v>
      </c>
      <c r="AE6417">
        <v>0.65434999999999299</v>
      </c>
      <c r="AF6417">
        <v>8.2800415013815104E-2</v>
      </c>
      <c r="AG6417">
        <v>-0.14572750000000001</v>
      </c>
      <c r="AH6417">
        <v>0.62289123317449402</v>
      </c>
      <c r="AI6417">
        <v>103.05684062692799</v>
      </c>
      <c r="AJ6417">
        <v>82.428110166625402</v>
      </c>
      <c r="AK6417">
        <v>0.64504720861992004</v>
      </c>
      <c r="AL6417">
        <v>79.265736654496294</v>
      </c>
      <c r="AM6417">
        <v>87.605006632434893</v>
      </c>
      <c r="AN6417">
        <v>1.0000000394419399</v>
      </c>
    </row>
    <row r="6418" spans="1:40" x14ac:dyDescent="0.25">
      <c r="A6418" t="str">
        <f>"20190312172834413"</f>
        <v>20190312172834413</v>
      </c>
      <c r="B6418" t="str">
        <f>"1552382914405886"</f>
        <v>1552382914405886</v>
      </c>
      <c r="C6418" t="s">
        <v>40</v>
      </c>
      <c r="D6418">
        <v>3.3250829999999998</v>
      </c>
      <c r="E6418">
        <v>0.52705009999999997</v>
      </c>
      <c r="F6418" t="s">
        <v>44</v>
      </c>
      <c r="G6418">
        <v>-187.54900000000001</v>
      </c>
      <c r="H6418">
        <v>0.96181289999999997</v>
      </c>
      <c r="I6418">
        <v>68.035439999999994</v>
      </c>
      <c r="J6418">
        <v>-187.62719999999999</v>
      </c>
      <c r="K6418">
        <v>1.1102270000000001</v>
      </c>
      <c r="L6418">
        <v>67.408419999999893</v>
      </c>
      <c r="M6418">
        <v>-1.2391620000000001E-2</v>
      </c>
      <c r="N6418">
        <v>0</v>
      </c>
      <c r="O6418">
        <v>0.99982700000000002</v>
      </c>
      <c r="P6418">
        <v>2.986157E-2</v>
      </c>
      <c r="Q6418">
        <v>0.1720296</v>
      </c>
      <c r="R6418">
        <v>0.98463900000000004</v>
      </c>
      <c r="S6418">
        <v>0.26766970000000001</v>
      </c>
      <c r="T6418">
        <v>-0.53065010000000001</v>
      </c>
      <c r="U6418">
        <v>3.1321720000000002</v>
      </c>
      <c r="V6418">
        <v>4.1996869999999999E-2</v>
      </c>
      <c r="W6418">
        <v>0.18567739999999999</v>
      </c>
      <c r="X6418">
        <v>0.9817129</v>
      </c>
      <c r="Y6418">
        <v>9.6302399999999899E-2</v>
      </c>
      <c r="Z6418">
        <v>-0.16633629999999999</v>
      </c>
      <c r="AA6418">
        <v>0.98135519999999998</v>
      </c>
      <c r="AB6418">
        <v>25</v>
      </c>
      <c r="AC6418">
        <v>7.8199999999981104E-2</v>
      </c>
      <c r="AD6418">
        <v>-0.14841409999999999</v>
      </c>
      <c r="AE6418">
        <v>0.62702000000001501</v>
      </c>
      <c r="AF6418">
        <v>8.1470027018120506E-2</v>
      </c>
      <c r="AG6418">
        <v>-0.14841409999999999</v>
      </c>
      <c r="AH6418">
        <v>0.59327324742315102</v>
      </c>
      <c r="AI6418">
        <v>103.919466861147</v>
      </c>
      <c r="AJ6418">
        <v>82.180880233978101</v>
      </c>
      <c r="AK6418">
        <v>0.61695806704277301</v>
      </c>
      <c r="AL6418">
        <v>79.299371433997194</v>
      </c>
      <c r="AM6418">
        <v>87.550427259924305</v>
      </c>
      <c r="AN6418">
        <v>1.00000002599348</v>
      </c>
    </row>
    <row r="6419" spans="1:40" x14ac:dyDescent="0.25">
      <c r="A6419" t="str">
        <f>"20190312172834435"</f>
        <v>20190312172834435</v>
      </c>
      <c r="B6419" t="str">
        <f>"1552382914426382"</f>
        <v>1552382914426382</v>
      </c>
      <c r="C6419" t="s">
        <v>40</v>
      </c>
      <c r="D6419">
        <v>3.3394910000000002</v>
      </c>
      <c r="E6419">
        <v>0.52731660000000002</v>
      </c>
      <c r="F6419" t="s">
        <v>44</v>
      </c>
      <c r="G6419">
        <v>-187.55369999999999</v>
      </c>
      <c r="H6419">
        <v>0.96270069999999996</v>
      </c>
      <c r="I6419">
        <v>68.258669999999995</v>
      </c>
      <c r="J6419">
        <v>-187.63040000000001</v>
      </c>
      <c r="K6419">
        <v>1.1102240000000001</v>
      </c>
      <c r="L6419">
        <v>67.64716</v>
      </c>
      <c r="M6419">
        <v>-1.26137E-2</v>
      </c>
      <c r="N6419">
        <v>0</v>
      </c>
      <c r="O6419">
        <v>0.9998243</v>
      </c>
      <c r="P6419">
        <v>3.0541889999999999E-2</v>
      </c>
      <c r="Q6419">
        <v>0.17121320000000001</v>
      </c>
      <c r="R6419">
        <v>0.98476050000000004</v>
      </c>
      <c r="S6419">
        <v>0.27052310000000002</v>
      </c>
      <c r="T6419">
        <v>-0.5437343</v>
      </c>
      <c r="U6419">
        <v>3.1336059999999999</v>
      </c>
      <c r="V6419">
        <v>4.2899189999999997E-2</v>
      </c>
      <c r="W6419">
        <v>0.1848602</v>
      </c>
      <c r="X6419">
        <v>0.98182809999999998</v>
      </c>
      <c r="Y6419">
        <v>9.7315159999999998E-2</v>
      </c>
      <c r="Z6419">
        <v>-0.1702285</v>
      </c>
      <c r="AA6419">
        <v>0.9805876</v>
      </c>
      <c r="AB6419">
        <v>25</v>
      </c>
      <c r="AC6419">
        <v>7.6700000000016602E-2</v>
      </c>
      <c r="AD6419">
        <v>-0.147523299999999</v>
      </c>
      <c r="AE6419">
        <v>0.611509999999995</v>
      </c>
      <c r="AF6419">
        <v>7.9833773825093102E-2</v>
      </c>
      <c r="AG6419">
        <v>-0.147523299999999</v>
      </c>
      <c r="AH6419">
        <v>0.57740969818294396</v>
      </c>
      <c r="AI6419">
        <v>104.202427472876</v>
      </c>
      <c r="AJ6419">
        <v>82.128083104404396</v>
      </c>
      <c r="AK6419">
        <v>0.60128072897920604</v>
      </c>
      <c r="AL6419">
        <v>79.347018415504394</v>
      </c>
      <c r="AM6419">
        <v>87.498156578397399</v>
      </c>
      <c r="AN6419">
        <v>1.0000000259981501</v>
      </c>
    </row>
    <row r="6420" spans="1:40" x14ac:dyDescent="0.25">
      <c r="A6420" t="str">
        <f>"20190312172834459"</f>
        <v>20190312172834459</v>
      </c>
      <c r="B6420" t="str">
        <f>"1552382914455662"</f>
        <v>1552382914455662</v>
      </c>
      <c r="C6420" t="s">
        <v>40</v>
      </c>
      <c r="D6420">
        <v>3.3027030000000002</v>
      </c>
      <c r="E6420">
        <v>0.52767280000000005</v>
      </c>
      <c r="F6420" t="s">
        <v>44</v>
      </c>
      <c r="G6420">
        <v>-187.55760000000001</v>
      </c>
      <c r="H6420">
        <v>0.96275619999999995</v>
      </c>
      <c r="I6420">
        <v>68.481219999999993</v>
      </c>
      <c r="J6420">
        <v>-187.63409999999999</v>
      </c>
      <c r="K6420">
        <v>1.11022</v>
      </c>
      <c r="L6420">
        <v>67.913179999999997</v>
      </c>
      <c r="M6420">
        <v>-1.285507E-2</v>
      </c>
      <c r="N6420">
        <v>0</v>
      </c>
      <c r="O6420">
        <v>0.99982119999999997</v>
      </c>
      <c r="P6420">
        <v>3.1575930000000002E-2</v>
      </c>
      <c r="Q6420">
        <v>0.17088420000000001</v>
      </c>
      <c r="R6420">
        <v>0.98478500000000002</v>
      </c>
      <c r="S6420">
        <v>0.27365109999999998</v>
      </c>
      <c r="T6420">
        <v>-0.5541701</v>
      </c>
      <c r="U6420">
        <v>3.134277</v>
      </c>
      <c r="V6420">
        <v>4.4173049999999998E-2</v>
      </c>
      <c r="W6420">
        <v>0.18452840000000001</v>
      </c>
      <c r="X6420">
        <v>0.98183399999999998</v>
      </c>
      <c r="Y6420">
        <v>9.846133E-2</v>
      </c>
      <c r="Z6420">
        <v>-0.1733441</v>
      </c>
      <c r="AA6420">
        <v>0.97992710000000005</v>
      </c>
      <c r="AB6420">
        <v>25</v>
      </c>
      <c r="AC6420">
        <v>7.6499999999981499E-2</v>
      </c>
      <c r="AD6420">
        <v>-0.14746380000000001</v>
      </c>
      <c r="AE6420">
        <v>0.568039999999982</v>
      </c>
      <c r="AF6420">
        <v>7.8594247937663606E-2</v>
      </c>
      <c r="AG6420">
        <v>-0.14746380000000001</v>
      </c>
      <c r="AH6420">
        <v>0.53180800651412796</v>
      </c>
      <c r="AI6420">
        <v>105.339397862463</v>
      </c>
      <c r="AJ6420">
        <v>81.593286433472798</v>
      </c>
      <c r="AK6420">
        <v>0.55744271805438195</v>
      </c>
      <c r="AL6420">
        <v>79.366361619321594</v>
      </c>
      <c r="AM6420">
        <v>87.423980265646094</v>
      </c>
      <c r="AN6420">
        <v>0.99999999615443103</v>
      </c>
    </row>
    <row r="6421" spans="1:40" x14ac:dyDescent="0.25">
      <c r="A6421" t="str">
        <f>"20190312172834480"</f>
        <v>20190312172834480</v>
      </c>
      <c r="B6421" t="str">
        <f>"1552382914476158"</f>
        <v>1552382914476158</v>
      </c>
      <c r="C6421" t="s">
        <v>40</v>
      </c>
      <c r="D6421">
        <v>3.36226</v>
      </c>
      <c r="E6421">
        <v>0.55670589999999998</v>
      </c>
      <c r="F6421" t="s">
        <v>44</v>
      </c>
      <c r="G6421">
        <v>-187.5634</v>
      </c>
      <c r="H6421">
        <v>0.96818919999999997</v>
      </c>
      <c r="I6421">
        <v>68.706109999999995</v>
      </c>
      <c r="J6421">
        <v>-187.63730000000001</v>
      </c>
      <c r="K6421">
        <v>1.1102179999999999</v>
      </c>
      <c r="L6421">
        <v>68.144779999999997</v>
      </c>
      <c r="M6421">
        <v>-1.305922E-2</v>
      </c>
      <c r="N6421">
        <v>0</v>
      </c>
      <c r="O6421">
        <v>0.9998186</v>
      </c>
      <c r="P6421">
        <v>3.2271229999999998E-2</v>
      </c>
      <c r="Q6421">
        <v>0.17109050000000001</v>
      </c>
      <c r="R6421">
        <v>0.98472669999999995</v>
      </c>
      <c r="S6421">
        <v>0.27871699999999999</v>
      </c>
      <c r="T6421">
        <v>-0.5615426</v>
      </c>
      <c r="U6421">
        <v>3.1348569999999998</v>
      </c>
      <c r="V6421">
        <v>4.5070409999999998E-2</v>
      </c>
      <c r="W6421">
        <v>0.1847308</v>
      </c>
      <c r="X6421">
        <v>0.98175509999999999</v>
      </c>
      <c r="Y6421">
        <v>0.10018580000000001</v>
      </c>
      <c r="Z6421">
        <v>-0.17551989999999901</v>
      </c>
      <c r="AA6421">
        <v>0.97936489999999998</v>
      </c>
      <c r="AB6421">
        <v>25</v>
      </c>
      <c r="AC6421">
        <v>7.3900000000008903E-2</v>
      </c>
      <c r="AD6421">
        <v>-0.14202879999999901</v>
      </c>
      <c r="AE6421">
        <v>0.56132999999998301</v>
      </c>
      <c r="AF6421">
        <v>7.64161137173546E-2</v>
      </c>
      <c r="AG6421">
        <v>-0.14202879999999901</v>
      </c>
      <c r="AH6421">
        <v>0.52714409486116298</v>
      </c>
      <c r="AI6421">
        <v>104.93018439652</v>
      </c>
      <c r="AJ6421">
        <v>81.751718421826098</v>
      </c>
      <c r="AK6421">
        <v>0.55126445487814502</v>
      </c>
      <c r="AL6421">
        <v>79.354561529515294</v>
      </c>
      <c r="AM6421">
        <v>87.371511052375496</v>
      </c>
      <c r="AN6421">
        <v>0.99999994335110698</v>
      </c>
    </row>
    <row r="6422" spans="1:40" x14ac:dyDescent="0.25">
      <c r="A6422" t="str">
        <f>"20190312172834502"</f>
        <v>20190312172834502</v>
      </c>
      <c r="B6422" t="str">
        <f>"1552382914495678"</f>
        <v>1552382914495678</v>
      </c>
      <c r="C6422" t="s">
        <v>40</v>
      </c>
      <c r="D6422">
        <v>3.3378209999999999</v>
      </c>
      <c r="E6422">
        <v>0.55901210000000001</v>
      </c>
      <c r="F6422" t="s">
        <v>44</v>
      </c>
      <c r="G6422">
        <v>-187.51300000000001</v>
      </c>
      <c r="H6422">
        <v>0.93969360000000002</v>
      </c>
      <c r="I6422">
        <v>68.916409999999999</v>
      </c>
      <c r="J6422">
        <v>-187.64080000000001</v>
      </c>
      <c r="K6422">
        <v>1.1102099999999999</v>
      </c>
      <c r="L6422">
        <v>68.396270000000001</v>
      </c>
      <c r="M6422">
        <v>-1.327367E-2</v>
      </c>
      <c r="N6422">
        <v>0</v>
      </c>
      <c r="O6422">
        <v>0.99981589999999998</v>
      </c>
      <c r="P6422">
        <v>3.2962770000000002E-2</v>
      </c>
      <c r="Q6422">
        <v>0.1713422</v>
      </c>
      <c r="R6422">
        <v>0.98465999999999998</v>
      </c>
      <c r="S6422">
        <v>0.50743099999999997</v>
      </c>
      <c r="T6422">
        <v>-0.6963201</v>
      </c>
      <c r="U6422">
        <v>3.150909</v>
      </c>
      <c r="V6422">
        <v>4.5974609999999999E-2</v>
      </c>
      <c r="W6422">
        <v>0.1849788</v>
      </c>
      <c r="X6422">
        <v>0.98166659999999994</v>
      </c>
      <c r="Y6422">
        <v>0.16843839999999999</v>
      </c>
      <c r="Z6422">
        <v>-0.21290329999999999</v>
      </c>
      <c r="AA6422">
        <v>0.96244510000000005</v>
      </c>
      <c r="AB6422">
        <v>25</v>
      </c>
      <c r="AC6422">
        <v>0.12780000000000699</v>
      </c>
      <c r="AD6422">
        <v>-0.17051640000000001</v>
      </c>
      <c r="AE6422">
        <v>0.52013999999999705</v>
      </c>
      <c r="AF6422">
        <v>0.122298329588597</v>
      </c>
      <c r="AG6422">
        <v>-0.17051640000000001</v>
      </c>
      <c r="AH6422">
        <v>0.47069184479935999</v>
      </c>
      <c r="AI6422">
        <v>109.321968225321</v>
      </c>
      <c r="AJ6422">
        <v>75.435082453981906</v>
      </c>
      <c r="AK6422">
        <v>0.51534797646808095</v>
      </c>
      <c r="AL6422">
        <v>79.340104332323307</v>
      </c>
      <c r="AM6422">
        <v>87.318613289008994</v>
      </c>
      <c r="AN6422">
        <v>1.0000000673848199</v>
      </c>
    </row>
    <row r="6423" spans="1:40" x14ac:dyDescent="0.25">
      <c r="A6423" t="str">
        <f>"20190312172834524"</f>
        <v>20190312172834524</v>
      </c>
      <c r="B6423" t="str">
        <f>"1552382914516174"</f>
        <v>1552382914516174</v>
      </c>
      <c r="C6423" t="s">
        <v>40</v>
      </c>
      <c r="D6423">
        <v>3.3486859999999998</v>
      </c>
      <c r="E6423">
        <v>0.56002089999999904</v>
      </c>
      <c r="F6423" t="s">
        <v>44</v>
      </c>
      <c r="G6423">
        <v>-187.51580000000001</v>
      </c>
      <c r="H6423">
        <v>0.94519830000000005</v>
      </c>
      <c r="I6423">
        <v>69.140810000000002</v>
      </c>
      <c r="J6423">
        <v>-187.64429999999999</v>
      </c>
      <c r="K6423">
        <v>1.110206</v>
      </c>
      <c r="L6423">
        <v>68.640259999999998</v>
      </c>
      <c r="M6423">
        <v>-1.347338E-2</v>
      </c>
      <c r="N6423">
        <v>0</v>
      </c>
      <c r="O6423">
        <v>0.99981319999999996</v>
      </c>
      <c r="P6423">
        <v>3.3173269999999998E-2</v>
      </c>
      <c r="Q6423">
        <v>0.17162839999999999</v>
      </c>
      <c r="R6423">
        <v>0.98460309999999995</v>
      </c>
      <c r="S6423">
        <v>0.52876279999999998</v>
      </c>
      <c r="T6423">
        <v>-0.69829889999999994</v>
      </c>
      <c r="U6423">
        <v>3.1505429999999999</v>
      </c>
      <c r="V6423">
        <v>4.63837E-2</v>
      </c>
      <c r="W6423">
        <v>0.18526090000000001</v>
      </c>
      <c r="X6423">
        <v>0.98159410000000002</v>
      </c>
      <c r="Y6423">
        <v>0.17498029999999901</v>
      </c>
      <c r="Z6423">
        <v>-0.21326909999999999</v>
      </c>
      <c r="AA6423">
        <v>0.96119619999999995</v>
      </c>
      <c r="AB6423">
        <v>25</v>
      </c>
      <c r="AC6423">
        <v>0.128499999999974</v>
      </c>
      <c r="AD6423">
        <v>-0.16500769999999901</v>
      </c>
      <c r="AE6423">
        <v>0.50055000000000305</v>
      </c>
      <c r="AF6423">
        <v>0.122721399048291</v>
      </c>
      <c r="AG6423">
        <v>-0.16500769999999901</v>
      </c>
      <c r="AH6423">
        <v>0.452626879483634</v>
      </c>
      <c r="AI6423">
        <v>109.384537135047</v>
      </c>
      <c r="AJ6423">
        <v>74.830017597298905</v>
      </c>
      <c r="AK6423">
        <v>0.497151058406549</v>
      </c>
      <c r="AL6423">
        <v>79.323656327787106</v>
      </c>
      <c r="AM6423">
        <v>87.294589626802093</v>
      </c>
      <c r="AN6423">
        <v>1.00000001292465</v>
      </c>
    </row>
    <row r="6424" spans="1:40" x14ac:dyDescent="0.25">
      <c r="A6424" t="str">
        <f>"20190312172834550"</f>
        <v>20190312172834550</v>
      </c>
      <c r="B6424" t="str">
        <f>"1552382914546430"</f>
        <v>1552382914546430</v>
      </c>
      <c r="C6424" t="s">
        <v>40</v>
      </c>
      <c r="D6424">
        <v>3.3685239999999999</v>
      </c>
      <c r="E6424">
        <v>0.56066969999999905</v>
      </c>
      <c r="F6424" t="s">
        <v>44</v>
      </c>
      <c r="G6424">
        <v>-187.52090000000001</v>
      </c>
      <c r="H6424">
        <v>0.94913890000000001</v>
      </c>
      <c r="I6424">
        <v>69.36403</v>
      </c>
      <c r="J6424">
        <v>-187.6482</v>
      </c>
      <c r="K6424">
        <v>1.1101989999999999</v>
      </c>
      <c r="L6424">
        <v>68.913640000000001</v>
      </c>
      <c r="M6424">
        <v>-1.36852999999999E-2</v>
      </c>
      <c r="N6424">
        <v>0</v>
      </c>
      <c r="O6424">
        <v>0.99981039999999999</v>
      </c>
      <c r="P6424">
        <v>3.3149310000000001E-2</v>
      </c>
      <c r="Q6424">
        <v>0.17219899999999999</v>
      </c>
      <c r="R6424">
        <v>0.9845043</v>
      </c>
      <c r="S6424">
        <v>0.53710939999999996</v>
      </c>
      <c r="T6424">
        <v>-0.70124030000000004</v>
      </c>
      <c r="U6424">
        <v>3.151062</v>
      </c>
      <c r="V6424">
        <v>4.6570279999999999E-2</v>
      </c>
      <c r="W6424">
        <v>0.18582589999999999</v>
      </c>
      <c r="X6424">
        <v>0.98147850000000003</v>
      </c>
      <c r="Y6424">
        <v>0.17761070000000001</v>
      </c>
      <c r="Z6424">
        <v>-0.21399589999999999</v>
      </c>
      <c r="AA6424">
        <v>0.96055199999999996</v>
      </c>
      <c r="AB6424">
        <v>25</v>
      </c>
      <c r="AC6424">
        <v>0.127299999999991</v>
      </c>
      <c r="AD6424">
        <v>-0.16106009999999901</v>
      </c>
      <c r="AE6424">
        <v>0.45038999999999801</v>
      </c>
      <c r="AF6424">
        <v>0.119322399279414</v>
      </c>
      <c r="AG6424">
        <v>-0.16106009999999901</v>
      </c>
      <c r="AH6424">
        <v>0.40110698303426601</v>
      </c>
      <c r="AI6424">
        <v>111.050230248733</v>
      </c>
      <c r="AJ6424">
        <v>73.4331675420501</v>
      </c>
      <c r="AK6424">
        <v>0.44840272369897199</v>
      </c>
      <c r="AL6424">
        <v>79.290712585162296</v>
      </c>
      <c r="AM6424">
        <v>87.283403840288898</v>
      </c>
      <c r="AN6424">
        <v>1.00000005102616</v>
      </c>
    </row>
    <row r="6425" spans="1:40" x14ac:dyDescent="0.25">
      <c r="A6425" t="str">
        <f>"20190312172834571"</f>
        <v>20190312172834571</v>
      </c>
      <c r="B6425" t="str">
        <f>"1552382914565950"</f>
        <v>1552382914565950</v>
      </c>
      <c r="C6425" t="s">
        <v>40</v>
      </c>
      <c r="D6425">
        <v>3.3799190000000001</v>
      </c>
      <c r="E6425">
        <v>0.56093819999999905</v>
      </c>
      <c r="F6425" t="s">
        <v>44</v>
      </c>
      <c r="G6425">
        <v>-187.4975</v>
      </c>
      <c r="H6425">
        <v>0.91453359999999995</v>
      </c>
      <c r="I6425">
        <v>69.792339999999996</v>
      </c>
      <c r="J6425">
        <v>-187.65180000000001</v>
      </c>
      <c r="K6425">
        <v>1.110185</v>
      </c>
      <c r="L6425">
        <v>69.159090000000006</v>
      </c>
      <c r="M6425">
        <v>-1.386279E-2</v>
      </c>
      <c r="N6425">
        <v>0</v>
      </c>
      <c r="O6425">
        <v>0.99980800000000003</v>
      </c>
      <c r="P6425">
        <v>3.3279540000000003E-2</v>
      </c>
      <c r="Q6425">
        <v>0.1723961</v>
      </c>
      <c r="R6425">
        <v>0.98446540000000005</v>
      </c>
      <c r="S6425">
        <v>0.54057310000000003</v>
      </c>
      <c r="T6425">
        <v>-0.70183249999999997</v>
      </c>
      <c r="U6425">
        <v>3.151764</v>
      </c>
      <c r="V6425">
        <v>4.6878200000000002E-2</v>
      </c>
      <c r="W6425">
        <v>0.1860185</v>
      </c>
      <c r="X6425">
        <v>0.9814273</v>
      </c>
      <c r="Y6425">
        <v>0.17877209999999999</v>
      </c>
      <c r="Z6425">
        <v>-0.21408099999999999</v>
      </c>
      <c r="AA6425">
        <v>0.96031759999999999</v>
      </c>
      <c r="AB6425">
        <v>25</v>
      </c>
      <c r="AC6425">
        <v>0.15430000000000599</v>
      </c>
      <c r="AD6425">
        <v>-0.1956514</v>
      </c>
      <c r="AE6425">
        <v>0.63324999999998899</v>
      </c>
      <c r="AF6425">
        <v>0.14958564565201299</v>
      </c>
      <c r="AG6425">
        <v>-0.1956514</v>
      </c>
      <c r="AH6425">
        <v>0.57888710103499796</v>
      </c>
      <c r="AI6425">
        <v>108.11965842802699</v>
      </c>
      <c r="AJ6425">
        <v>75.5115726684527</v>
      </c>
      <c r="AK6425">
        <v>0.62909904740970102</v>
      </c>
      <c r="AL6425">
        <v>79.2794810098234</v>
      </c>
      <c r="AM6425">
        <v>87.265326596922705</v>
      </c>
      <c r="AN6425">
        <v>0.99999999658138905</v>
      </c>
    </row>
    <row r="6426" spans="1:40" x14ac:dyDescent="0.25">
      <c r="A6426" t="str">
        <f>"20190312172834615"</f>
        <v>20190312172834615</v>
      </c>
      <c r="B6426" t="str">
        <f>"1552382914605968"</f>
        <v>1552382914605968</v>
      </c>
      <c r="C6426" t="s">
        <v>40</v>
      </c>
      <c r="D6426">
        <v>3.3702100000000002</v>
      </c>
      <c r="E6426">
        <v>0.56088819999999995</v>
      </c>
      <c r="F6426" t="s">
        <v>44</v>
      </c>
      <c r="G6426">
        <v>-187.50399999999999</v>
      </c>
      <c r="H6426">
        <v>0.91963830000000002</v>
      </c>
      <c r="I6426">
        <v>70.014969999999906</v>
      </c>
      <c r="J6426">
        <v>-187.65889999999999</v>
      </c>
      <c r="K6426">
        <v>1.110177</v>
      </c>
      <c r="L6426">
        <v>69.640630000000002</v>
      </c>
      <c r="M6426">
        <v>-1.417932E-2</v>
      </c>
      <c r="N6426">
        <v>0</v>
      </c>
      <c r="O6426">
        <v>0.99980360000000001</v>
      </c>
      <c r="P6426">
        <v>3.3822989999999997E-2</v>
      </c>
      <c r="Q6426">
        <v>0.1724473</v>
      </c>
      <c r="R6426">
        <v>0.98443789999999998</v>
      </c>
      <c r="S6426">
        <v>0.54356380000000004</v>
      </c>
      <c r="T6426">
        <v>-0.70170080000000001</v>
      </c>
      <c r="U6426">
        <v>3.1518250000000001</v>
      </c>
      <c r="V6426">
        <v>4.7739289999999997E-2</v>
      </c>
      <c r="W6426">
        <v>0.18606249999999999</v>
      </c>
      <c r="X6426">
        <v>0.98137739999999996</v>
      </c>
      <c r="Y6426">
        <v>0.17996819999999999</v>
      </c>
      <c r="Z6426">
        <v>-0.21399750000000001</v>
      </c>
      <c r="AA6426">
        <v>0.96011279999999999</v>
      </c>
      <c r="AB6426">
        <v>25</v>
      </c>
      <c r="AC6426">
        <v>0.15489999999996901</v>
      </c>
      <c r="AD6426">
        <v>-0.19053869999999901</v>
      </c>
      <c r="AE6426">
        <v>0.37433999999998901</v>
      </c>
      <c r="AF6426">
        <v>0.13117612644162099</v>
      </c>
      <c r="AG6426">
        <v>-0.19053869999999901</v>
      </c>
      <c r="AH6426">
        <v>0.30470400494362299</v>
      </c>
      <c r="AI6426">
        <v>119.87137158050101</v>
      </c>
      <c r="AJ6426">
        <v>66.707955167028999</v>
      </c>
      <c r="AK6426">
        <v>0.38256594591599702</v>
      </c>
      <c r="AL6426">
        <v>79.276914669011305</v>
      </c>
      <c r="AM6426">
        <v>87.215031280932607</v>
      </c>
      <c r="AN6426">
        <v>0.99999994747335497</v>
      </c>
    </row>
    <row r="6427" spans="1:40" x14ac:dyDescent="0.25">
      <c r="A6427" t="str">
        <f>"20190312172834636"</f>
        <v>20190312172834636</v>
      </c>
      <c r="B6427" t="str">
        <f>"1552382914626462"</f>
        <v>1552382914626462</v>
      </c>
      <c r="C6427" t="s">
        <v>40</v>
      </c>
      <c r="D6427">
        <v>3.3939360000000001</v>
      </c>
      <c r="E6427">
        <v>0.56078549999999905</v>
      </c>
      <c r="F6427" t="s">
        <v>44</v>
      </c>
      <c r="G6427">
        <v>-187.51750000000001</v>
      </c>
      <c r="H6427">
        <v>0.92763819999999997</v>
      </c>
      <c r="I6427">
        <v>70.458449999999999</v>
      </c>
      <c r="J6427">
        <v>-187.66239999999999</v>
      </c>
      <c r="K6427">
        <v>1.1101730000000001</v>
      </c>
      <c r="L6427">
        <v>69.872649999999993</v>
      </c>
      <c r="M6427">
        <v>-1.431557E-2</v>
      </c>
      <c r="N6427">
        <v>0</v>
      </c>
      <c r="O6427">
        <v>0.99980170000000002</v>
      </c>
      <c r="P6427">
        <v>3.4170230000000003E-2</v>
      </c>
      <c r="Q6427">
        <v>0.17211689999999999</v>
      </c>
      <c r="R6427">
        <v>0.98448369999999996</v>
      </c>
      <c r="S6427">
        <v>0.54394529999999996</v>
      </c>
      <c r="T6427">
        <v>-0.70355579999999995</v>
      </c>
      <c r="U6427">
        <v>3.1519780000000002</v>
      </c>
      <c r="V6427">
        <v>4.8224660000000003E-2</v>
      </c>
      <c r="W6427">
        <v>0.18572900000000001</v>
      </c>
      <c r="X6427">
        <v>0.98141690000000004</v>
      </c>
      <c r="Y6427">
        <v>0.18018770000000001</v>
      </c>
      <c r="Z6427">
        <v>-0.21451990000000001</v>
      </c>
      <c r="AA6427">
        <v>0.959955</v>
      </c>
      <c r="AB6427">
        <v>25</v>
      </c>
      <c r="AC6427">
        <v>0.14489999999997799</v>
      </c>
      <c r="AD6427">
        <v>-0.182534799999999</v>
      </c>
      <c r="AE6427">
        <v>0.58580000000000598</v>
      </c>
      <c r="AF6427">
        <v>0.14042380289082901</v>
      </c>
      <c r="AG6427">
        <v>-0.182534799999999</v>
      </c>
      <c r="AH6427">
        <v>0.53473897948480198</v>
      </c>
      <c r="AI6427">
        <v>108.27110284319799</v>
      </c>
      <c r="AJ6427">
        <v>75.286201002631302</v>
      </c>
      <c r="AK6427">
        <v>0.58222295884807795</v>
      </c>
      <c r="AL6427">
        <v>79.296362413878299</v>
      </c>
      <c r="AM6427">
        <v>87.186874536893399</v>
      </c>
      <c r="AN6427">
        <v>1.0000000054393601</v>
      </c>
    </row>
    <row r="6428" spans="1:40" x14ac:dyDescent="0.25">
      <c r="A6428" t="str">
        <f>"20190312172834658"</f>
        <v>20190312172834658</v>
      </c>
      <c r="B6428" t="str">
        <f>"1552382914645986"</f>
        <v>1552382914645986</v>
      </c>
      <c r="C6428" t="s">
        <v>40</v>
      </c>
      <c r="D6428">
        <v>3.3964479999999999</v>
      </c>
      <c r="E6428">
        <v>0.56064169999999902</v>
      </c>
      <c r="F6428" t="s">
        <v>44</v>
      </c>
      <c r="G6428">
        <v>-187.52289999999999</v>
      </c>
      <c r="H6428">
        <v>0.92956629999999996</v>
      </c>
      <c r="I6428">
        <v>70.678960000000004</v>
      </c>
      <c r="J6428">
        <v>-187.666</v>
      </c>
      <c r="K6428">
        <v>1.1101620000000001</v>
      </c>
      <c r="L6428">
        <v>70.113590000000002</v>
      </c>
      <c r="M6428">
        <v>-1.4445390000000001E-2</v>
      </c>
      <c r="N6428">
        <v>0</v>
      </c>
      <c r="O6428">
        <v>0.99979989999999996</v>
      </c>
      <c r="P6428">
        <v>3.465567E-2</v>
      </c>
      <c r="Q6428">
        <v>0.17230699999999999</v>
      </c>
      <c r="R6428">
        <v>0.98443349999999996</v>
      </c>
      <c r="S6428">
        <v>0.5446472</v>
      </c>
      <c r="T6428">
        <v>-0.70598479999999997</v>
      </c>
      <c r="U6428">
        <v>3.1517940000000002</v>
      </c>
      <c r="V6428">
        <v>4.8840729999999999E-2</v>
      </c>
      <c r="W6428">
        <v>0.18591489999999999</v>
      </c>
      <c r="X6428">
        <v>0.98135119999999998</v>
      </c>
      <c r="Y6428">
        <v>0.18050559999999999</v>
      </c>
      <c r="Z6428">
        <v>-0.21522659999999999</v>
      </c>
      <c r="AA6428">
        <v>0.95973710000000001</v>
      </c>
      <c r="AB6428">
        <v>25</v>
      </c>
      <c r="AC6428">
        <v>0.143100000000004</v>
      </c>
      <c r="AD6428">
        <v>-0.1805957</v>
      </c>
      <c r="AE6428">
        <v>0.56537000000000104</v>
      </c>
      <c r="AF6428">
        <v>0.13801803753806199</v>
      </c>
      <c r="AG6428">
        <v>-0.1805957</v>
      </c>
      <c r="AH6428">
        <v>0.51395918344073699</v>
      </c>
      <c r="AI6428">
        <v>108.745069455207</v>
      </c>
      <c r="AJ6428">
        <v>74.968479853387393</v>
      </c>
      <c r="AK6428">
        <v>0.56197671463096899</v>
      </c>
      <c r="AL6428">
        <v>79.285521972709802</v>
      </c>
      <c r="AM6428">
        <v>87.150805274788695</v>
      </c>
      <c r="AN6428">
        <v>0.999999972345191</v>
      </c>
    </row>
    <row r="6429" spans="1:40" x14ac:dyDescent="0.25">
      <c r="A6429" t="str">
        <f>"20190312172834681"</f>
        <v>20190312172834681</v>
      </c>
      <c r="B6429" t="str">
        <f>"1552382914676238"</f>
        <v>1552382914676238</v>
      </c>
      <c r="C6429" t="s">
        <v>40</v>
      </c>
      <c r="D6429">
        <v>3.3983780000000001</v>
      </c>
      <c r="E6429">
        <v>0.56050080000000002</v>
      </c>
      <c r="F6429" t="s">
        <v>44</v>
      </c>
      <c r="G6429">
        <v>-187.5299</v>
      </c>
      <c r="H6429">
        <v>0.93381130000000001</v>
      </c>
      <c r="I6429">
        <v>70.900120000000001</v>
      </c>
      <c r="J6429">
        <v>-187.66970000000001</v>
      </c>
      <c r="K6429">
        <v>1.11015</v>
      </c>
      <c r="L6429">
        <v>70.362880000000004</v>
      </c>
      <c r="M6429">
        <v>-1.4565369999999999E-2</v>
      </c>
      <c r="N6429">
        <v>0</v>
      </c>
      <c r="O6429">
        <v>0.99979819999999997</v>
      </c>
      <c r="P6429">
        <v>3.5216360000000002E-2</v>
      </c>
      <c r="Q6429">
        <v>0.17260130000000001</v>
      </c>
      <c r="R6429">
        <v>0.98436199999999996</v>
      </c>
      <c r="S6429">
        <v>0.54454040000000004</v>
      </c>
      <c r="T6429">
        <v>-0.70672170000000001</v>
      </c>
      <c r="U6429">
        <v>3.1519780000000002</v>
      </c>
      <c r="V6429">
        <v>4.952289E-2</v>
      </c>
      <c r="W6429">
        <v>0.1862045</v>
      </c>
      <c r="X6429">
        <v>0.98126210000000003</v>
      </c>
      <c r="Y6429">
        <v>0.18057509999999999</v>
      </c>
      <c r="Z6429">
        <v>-0.21542749999999999</v>
      </c>
      <c r="AA6429">
        <v>0.9596789</v>
      </c>
      <c r="AB6429">
        <v>25</v>
      </c>
      <c r="AC6429">
        <v>0.139800000000008</v>
      </c>
      <c r="AD6429">
        <v>-0.17633869999999899</v>
      </c>
      <c r="AE6429">
        <v>0.53723999999999705</v>
      </c>
      <c r="AF6429">
        <v>0.134081773951952</v>
      </c>
      <c r="AG6429">
        <v>-0.17633869999999899</v>
      </c>
      <c r="AH6429">
        <v>0.48609787344924099</v>
      </c>
      <c r="AI6429">
        <v>109.27494728010799</v>
      </c>
      <c r="AJ6429">
        <v>74.579393095571604</v>
      </c>
      <c r="AK6429">
        <v>0.53419509712806901</v>
      </c>
      <c r="AL6429">
        <v>79.268634209938895</v>
      </c>
      <c r="AM6429">
        <v>87.110815558774405</v>
      </c>
      <c r="AN6429">
        <v>0.99999997067530499</v>
      </c>
    </row>
    <row r="6430" spans="1:40" x14ac:dyDescent="0.25">
      <c r="A6430" t="str">
        <f>"20190312172834703"</f>
        <v>20190312172834703</v>
      </c>
      <c r="B6430" t="str">
        <f>"1552382914695758"</f>
        <v>1552382914695758</v>
      </c>
      <c r="C6430" t="s">
        <v>40</v>
      </c>
      <c r="D6430">
        <v>3.3632230000000001</v>
      </c>
      <c r="E6430">
        <v>0.56032599999999999</v>
      </c>
      <c r="F6430" t="s">
        <v>44</v>
      </c>
      <c r="G6430">
        <v>-187.53829999999999</v>
      </c>
      <c r="H6430">
        <v>0.93988470000000002</v>
      </c>
      <c r="I6430">
        <v>71.121979999999994</v>
      </c>
      <c r="J6430">
        <v>-187.67349999999999</v>
      </c>
      <c r="K6430">
        <v>1.110139</v>
      </c>
      <c r="L6430">
        <v>70.611789999999999</v>
      </c>
      <c r="M6430">
        <v>-1.4670799999999999E-2</v>
      </c>
      <c r="N6430">
        <v>0</v>
      </c>
      <c r="O6430">
        <v>0.99979669999999998</v>
      </c>
      <c r="P6430">
        <v>3.5585289999999999E-2</v>
      </c>
      <c r="Q6430">
        <v>0.17240169999999999</v>
      </c>
      <c r="R6430">
        <v>0.98438380000000003</v>
      </c>
      <c r="S6430">
        <v>0.54554749999999996</v>
      </c>
      <c r="T6430">
        <v>-0.70702200000000004</v>
      </c>
      <c r="U6430">
        <v>3.1521300000000001</v>
      </c>
      <c r="V6430">
        <v>5.0000830000000003E-2</v>
      </c>
      <c r="W6430">
        <v>0.18600069999999999</v>
      </c>
      <c r="X6430">
        <v>0.9812765</v>
      </c>
      <c r="Y6430">
        <v>0.18096619999999999</v>
      </c>
      <c r="Z6430">
        <v>-0.21549099999999999</v>
      </c>
      <c r="AA6430">
        <v>0.95959099999999997</v>
      </c>
      <c r="AB6430">
        <v>25</v>
      </c>
      <c r="AC6430">
        <v>0.13519999999999699</v>
      </c>
      <c r="AD6430">
        <v>-0.170254299999999</v>
      </c>
      <c r="AE6430">
        <v>0.51019000000000803</v>
      </c>
      <c r="AF6430">
        <v>0.129224750377289</v>
      </c>
      <c r="AG6430">
        <v>-0.170254299999999</v>
      </c>
      <c r="AH6430">
        <v>0.46025969516933002</v>
      </c>
      <c r="AI6430">
        <v>109.602769194096</v>
      </c>
      <c r="AJ6430">
        <v>74.317124158544203</v>
      </c>
      <c r="AK6430">
        <v>0.50746876729107904</v>
      </c>
      <c r="AL6430">
        <v>79.280518554070497</v>
      </c>
      <c r="AM6430">
        <v>87.083023015583706</v>
      </c>
      <c r="AN6430">
        <v>0.99999995642671302</v>
      </c>
    </row>
    <row r="6431" spans="1:40" x14ac:dyDescent="0.25">
      <c r="A6431" t="str">
        <f>"20190312172834726"</f>
        <v>20190312172834726</v>
      </c>
      <c r="B6431" t="str">
        <f>"1552382914716254"</f>
        <v>1552382914716254</v>
      </c>
      <c r="C6431" t="s">
        <v>40</v>
      </c>
      <c r="D6431">
        <v>3.3931849999999999</v>
      </c>
      <c r="E6431">
        <v>0.55134589999999895</v>
      </c>
      <c r="F6431" t="s">
        <v>44</v>
      </c>
      <c r="G6431">
        <v>-187.54660000000001</v>
      </c>
      <c r="H6431">
        <v>0.94568560000000002</v>
      </c>
      <c r="I6431">
        <v>71.34348</v>
      </c>
      <c r="J6431">
        <v>-187.6771</v>
      </c>
      <c r="K6431">
        <v>1.110133</v>
      </c>
      <c r="L6431">
        <v>70.853359999999995</v>
      </c>
      <c r="M6431">
        <v>-1.4760240000000001E-2</v>
      </c>
      <c r="N6431">
        <v>0</v>
      </c>
      <c r="O6431">
        <v>0.9997954</v>
      </c>
      <c r="P6431">
        <v>3.6176159999999999E-2</v>
      </c>
      <c r="Q6431">
        <v>0.17283280000000001</v>
      </c>
      <c r="R6431">
        <v>0.98428660000000001</v>
      </c>
      <c r="S6431">
        <v>0.5457611</v>
      </c>
      <c r="T6431">
        <v>-0.70844849999999904</v>
      </c>
      <c r="U6431">
        <v>3.1519469999999998</v>
      </c>
      <c r="V6431">
        <v>5.0682779999999997E-2</v>
      </c>
      <c r="W6431">
        <v>0.18642610000000001</v>
      </c>
      <c r="X6431">
        <v>0.98116080000000006</v>
      </c>
      <c r="Y6431">
        <v>0.18111070000000001</v>
      </c>
      <c r="Z6431">
        <v>-0.21591250000000001</v>
      </c>
      <c r="AA6431">
        <v>0.95946900000000002</v>
      </c>
      <c r="AB6431">
        <v>25</v>
      </c>
      <c r="AC6431">
        <v>0.13049999999998299</v>
      </c>
      <c r="AD6431">
        <v>-0.16444739999999999</v>
      </c>
      <c r="AE6431">
        <v>0.490120000000004</v>
      </c>
      <c r="AF6431">
        <v>0.12462017893018699</v>
      </c>
      <c r="AG6431">
        <v>-0.16444739999999999</v>
      </c>
      <c r="AH6431">
        <v>0.44170623577582502</v>
      </c>
      <c r="AI6431">
        <v>109.713245423598</v>
      </c>
      <c r="AJ6431">
        <v>74.244456499280105</v>
      </c>
      <c r="AK6431">
        <v>0.487521830369267</v>
      </c>
      <c r="AL6431">
        <v>79.255711231860801</v>
      </c>
      <c r="AM6431">
        <v>87.042961106005507</v>
      </c>
      <c r="AN6431">
        <v>0.99999997520318895</v>
      </c>
    </row>
    <row r="6432" spans="1:40" x14ac:dyDescent="0.25">
      <c r="A6432" t="str">
        <f>"20190312172834749"</f>
        <v>20190312172834749</v>
      </c>
      <c r="B6432" t="str">
        <f>"1552382914746510"</f>
        <v>1552382914746510</v>
      </c>
      <c r="C6432" t="s">
        <v>40</v>
      </c>
      <c r="D6432">
        <v>3.4459270000000002</v>
      </c>
      <c r="E6432">
        <v>0.54510119999999995</v>
      </c>
      <c r="F6432" t="s">
        <v>44</v>
      </c>
      <c r="G6432">
        <v>-187.56649999999999</v>
      </c>
      <c r="H6432">
        <v>0.97357479999999996</v>
      </c>
      <c r="I6432">
        <v>71.574789999999993</v>
      </c>
      <c r="J6432">
        <v>-187.68100000000001</v>
      </c>
      <c r="K6432">
        <v>1.110128</v>
      </c>
      <c r="L6432">
        <v>71.106960000000001</v>
      </c>
      <c r="M6432">
        <v>-1.4841099999999999E-2</v>
      </c>
      <c r="N6432">
        <v>0</v>
      </c>
      <c r="O6432">
        <v>0.99979419999999997</v>
      </c>
      <c r="P6432">
        <v>3.7115740000000001E-2</v>
      </c>
      <c r="Q6432">
        <v>0.17359289999999999</v>
      </c>
      <c r="R6432">
        <v>0.98411789999999999</v>
      </c>
      <c r="S6432">
        <v>0.48008729999999999</v>
      </c>
      <c r="T6432">
        <v>-0.59333069999999999</v>
      </c>
      <c r="U6432">
        <v>3.13443</v>
      </c>
      <c r="V6432">
        <v>5.1703480000000003E-2</v>
      </c>
      <c r="W6432">
        <v>0.18718029999999999</v>
      </c>
      <c r="X6432">
        <v>0.9809639</v>
      </c>
      <c r="Y6432">
        <v>0.16347709999999999</v>
      </c>
      <c r="Z6432">
        <v>-0.18367410000000001</v>
      </c>
      <c r="AA6432">
        <v>0.9692982</v>
      </c>
      <c r="AB6432">
        <v>24</v>
      </c>
      <c r="AC6432">
        <v>0.114499999999992</v>
      </c>
      <c r="AD6432">
        <v>-0.13655320000000001</v>
      </c>
      <c r="AE6432">
        <v>0.46783000000000602</v>
      </c>
      <c r="AF6432">
        <v>0.11239644017462599</v>
      </c>
      <c r="AG6432">
        <v>-0.13655320000000001</v>
      </c>
      <c r="AH6432">
        <v>0.43140178159589398</v>
      </c>
      <c r="AI6432">
        <v>107.030260277883</v>
      </c>
      <c r="AJ6432">
        <v>75.396928868414506</v>
      </c>
      <c r="AK6432">
        <v>0.46624803844979301</v>
      </c>
      <c r="AL6432">
        <v>79.211724126785299</v>
      </c>
      <c r="AM6432">
        <v>86.982913875579698</v>
      </c>
      <c r="AN6432">
        <v>0.99999994382770296</v>
      </c>
    </row>
    <row r="6433" spans="1:40" x14ac:dyDescent="0.25">
      <c r="A6433" t="str">
        <f>"20190312172834772"</f>
        <v>20190312172834772</v>
      </c>
      <c r="B6433" t="str">
        <f>"1552382914766031"</f>
        <v>1552382914766031</v>
      </c>
      <c r="C6433" t="s">
        <v>40</v>
      </c>
      <c r="D6433">
        <v>3.4326310000000002</v>
      </c>
      <c r="E6433">
        <v>0.54403009999999996</v>
      </c>
      <c r="F6433" t="s">
        <v>44</v>
      </c>
      <c r="G6433">
        <v>-187.55170000000001</v>
      </c>
      <c r="H6433">
        <v>0.99062059999999996</v>
      </c>
      <c r="I6433">
        <v>72.020629999999997</v>
      </c>
      <c r="J6433">
        <v>-187.6849</v>
      </c>
      <c r="K6433">
        <v>1.1101219999999901</v>
      </c>
      <c r="L6433">
        <v>71.365359999999995</v>
      </c>
      <c r="M6433">
        <v>-1.491027E-2</v>
      </c>
      <c r="N6433">
        <v>0</v>
      </c>
      <c r="O6433">
        <v>0.99979320000000005</v>
      </c>
      <c r="P6433">
        <v>3.771132E-2</v>
      </c>
      <c r="Q6433">
        <v>0.1735447</v>
      </c>
      <c r="R6433">
        <v>0.98410370000000003</v>
      </c>
      <c r="S6433">
        <v>0.43920900000000002</v>
      </c>
      <c r="T6433">
        <v>-0.40592889999999998</v>
      </c>
      <c r="U6433">
        <v>3.1034549999999999</v>
      </c>
      <c r="V6433">
        <v>5.2370260000000002E-2</v>
      </c>
      <c r="W6433">
        <v>0.1871283</v>
      </c>
      <c r="X6433">
        <v>0.98093850000000005</v>
      </c>
      <c r="Y6433">
        <v>0.15371679999999999</v>
      </c>
      <c r="Z6433">
        <v>-0.1282731</v>
      </c>
      <c r="AA6433">
        <v>0.9797536</v>
      </c>
      <c r="AB6433">
        <v>24</v>
      </c>
      <c r="AC6433">
        <v>0.13319999999998799</v>
      </c>
      <c r="AD6433">
        <v>-0.11950139999999899</v>
      </c>
      <c r="AE6433">
        <v>0.65527000000001501</v>
      </c>
      <c r="AF6433">
        <v>0.13853181364728501</v>
      </c>
      <c r="AG6433">
        <v>-0.11950139999999899</v>
      </c>
      <c r="AH6433">
        <v>0.632993737593469</v>
      </c>
      <c r="AI6433">
        <v>100.449234712253</v>
      </c>
      <c r="AJ6433">
        <v>77.655346938614201</v>
      </c>
      <c r="AK6433">
        <v>0.65890266339339998</v>
      </c>
      <c r="AL6433">
        <v>79.214757632872903</v>
      </c>
      <c r="AM6433">
        <v>86.943999138604894</v>
      </c>
      <c r="AN6433">
        <v>0.99999999278780305</v>
      </c>
    </row>
    <row r="6434" spans="1:40" x14ac:dyDescent="0.25">
      <c r="A6434" t="str">
        <f>"20190312172834795"</f>
        <v>20190312172834795</v>
      </c>
      <c r="B6434" t="str">
        <f>"1552382914786526"</f>
        <v>1552382914786526</v>
      </c>
      <c r="C6434" t="s">
        <v>40</v>
      </c>
      <c r="D6434">
        <v>3.4339189999999999</v>
      </c>
      <c r="E6434">
        <v>0.54354820000000004</v>
      </c>
      <c r="F6434" t="s">
        <v>44</v>
      </c>
      <c r="G6434">
        <v>-187.5609</v>
      </c>
      <c r="H6434">
        <v>1.0084299999999999</v>
      </c>
      <c r="I6434">
        <v>72.247</v>
      </c>
      <c r="J6434">
        <v>-187.6885</v>
      </c>
      <c r="K6434">
        <v>1.1101179999999999</v>
      </c>
      <c r="L6434">
        <v>71.60275</v>
      </c>
      <c r="M6434">
        <v>-1.4966190000000001E-2</v>
      </c>
      <c r="N6434">
        <v>0</v>
      </c>
      <c r="O6434">
        <v>0.99979249999999997</v>
      </c>
      <c r="P6434">
        <v>3.8463740000000003E-2</v>
      </c>
      <c r="Q6434">
        <v>0.17388890000000001</v>
      </c>
      <c r="R6434">
        <v>0.98401380000000005</v>
      </c>
      <c r="S6434">
        <v>0.43469239999999998</v>
      </c>
      <c r="T6434">
        <v>-0.3570024</v>
      </c>
      <c r="U6434">
        <v>3.094757</v>
      </c>
      <c r="V6434">
        <v>5.317852E-2</v>
      </c>
      <c r="W6434">
        <v>0.18746789999999999</v>
      </c>
      <c r="X6434">
        <v>0.98083019999999999</v>
      </c>
      <c r="Y6434">
        <v>0.153004799999999</v>
      </c>
      <c r="Z6434">
        <v>-0.1133538</v>
      </c>
      <c r="AA6434">
        <v>0.98170279999999999</v>
      </c>
      <c r="AB6434">
        <v>24</v>
      </c>
      <c r="AC6434">
        <v>0.12760000000000099</v>
      </c>
      <c r="AD6434">
        <v>-0.101688</v>
      </c>
      <c r="AE6434">
        <v>0.64424999999999899</v>
      </c>
      <c r="AF6434">
        <v>0.13401585151446899</v>
      </c>
      <c r="AG6434">
        <v>-0.101688</v>
      </c>
      <c r="AH6434">
        <v>0.62723143068005205</v>
      </c>
      <c r="AI6434">
        <v>99.008888836328893</v>
      </c>
      <c r="AJ6434">
        <v>77.939385784456704</v>
      </c>
      <c r="AK6434">
        <v>0.64939969620726901</v>
      </c>
      <c r="AL6434">
        <v>79.194949793638997</v>
      </c>
      <c r="AM6434">
        <v>86.896583654899302</v>
      </c>
      <c r="AN6434">
        <v>1.00000002487592</v>
      </c>
    </row>
    <row r="6435" spans="1:40" x14ac:dyDescent="0.25">
      <c r="A6435" t="str">
        <f>"20190312172834815"</f>
        <v>20190312172834815</v>
      </c>
      <c r="B6435" t="str">
        <f>"1552382914806047"</f>
        <v>1552382914806047</v>
      </c>
      <c r="C6435" t="s">
        <v>40</v>
      </c>
      <c r="D6435">
        <v>3.4455800000000001</v>
      </c>
      <c r="E6435">
        <v>0.54350189999999998</v>
      </c>
      <c r="F6435" t="s">
        <v>44</v>
      </c>
      <c r="G6435">
        <v>-187.56639999999999</v>
      </c>
      <c r="H6435">
        <v>1.0181249999999999</v>
      </c>
      <c r="I6435">
        <v>72.469279999999998</v>
      </c>
      <c r="J6435">
        <v>-187.6919</v>
      </c>
      <c r="K6435">
        <v>1.1101160000000001</v>
      </c>
      <c r="L6435">
        <v>71.824039999999997</v>
      </c>
      <c r="M6435">
        <v>-1.501399E-2</v>
      </c>
      <c r="N6435">
        <v>0</v>
      </c>
      <c r="O6435">
        <v>0.99979169999999995</v>
      </c>
      <c r="P6435">
        <v>3.9313729999999998E-2</v>
      </c>
      <c r="Q6435">
        <v>0.1741742</v>
      </c>
      <c r="R6435">
        <v>0.98392979999999997</v>
      </c>
      <c r="S6435">
        <v>0.43502809999999997</v>
      </c>
      <c r="T6435">
        <v>-0.32802880000000001</v>
      </c>
      <c r="U6435">
        <v>3.0896910000000002</v>
      </c>
      <c r="V6435">
        <v>5.4075739999999997E-2</v>
      </c>
      <c r="W6435">
        <v>0.18774940000000001</v>
      </c>
      <c r="X6435">
        <v>0.98072729999999997</v>
      </c>
      <c r="Y6435">
        <v>0.15351489999999901</v>
      </c>
      <c r="Z6435">
        <v>-0.1044223</v>
      </c>
      <c r="AA6435">
        <v>0.98261339999999997</v>
      </c>
      <c r="AB6435">
        <v>24</v>
      </c>
      <c r="AC6435">
        <v>0.12550000000001599</v>
      </c>
      <c r="AD6435">
        <v>-9.1990999999999906E-2</v>
      </c>
      <c r="AE6435">
        <v>0.64524000000000103</v>
      </c>
      <c r="AF6435">
        <v>0.132577878437251</v>
      </c>
      <c r="AG6435">
        <v>-9.1990999999999906E-2</v>
      </c>
      <c r="AH6435">
        <v>0.63092618848769</v>
      </c>
      <c r="AI6435">
        <v>98.120544638337094</v>
      </c>
      <c r="AJ6435">
        <v>78.132969069960396</v>
      </c>
      <c r="AK6435">
        <v>0.65123505222886002</v>
      </c>
      <c r="AL6435">
        <v>79.178529525597995</v>
      </c>
      <c r="AM6435">
        <v>86.843997799461206</v>
      </c>
      <c r="AN6435">
        <v>1.00000002991109</v>
      </c>
    </row>
    <row r="6436" spans="1:40" x14ac:dyDescent="0.25">
      <c r="A6436" t="str">
        <f>"20190312172834838"</f>
        <v>20190312172834838</v>
      </c>
      <c r="B6436" t="str">
        <f>"1552382914826542"</f>
        <v>1552382914826542</v>
      </c>
      <c r="C6436" t="s">
        <v>40</v>
      </c>
      <c r="D6436">
        <v>3.4667599999999998</v>
      </c>
      <c r="E6436">
        <v>0.54349639999999999</v>
      </c>
      <c r="F6436" t="s">
        <v>44</v>
      </c>
      <c r="G6436">
        <v>-187.56880000000001</v>
      </c>
      <c r="H6436">
        <v>1.0234449999999999</v>
      </c>
      <c r="I6436">
        <v>72.689319999999995</v>
      </c>
      <c r="J6436">
        <v>-187.69579999999999</v>
      </c>
      <c r="K6436">
        <v>1.1101160000000001</v>
      </c>
      <c r="L6436">
        <v>72.077449999999999</v>
      </c>
      <c r="M6436">
        <v>-1.5064630000000001E-2</v>
      </c>
      <c r="N6436">
        <v>0</v>
      </c>
      <c r="O6436">
        <v>0.99979099999999999</v>
      </c>
      <c r="P6436">
        <v>3.9924759999999997E-2</v>
      </c>
      <c r="Q6436">
        <v>0.17429500000000001</v>
      </c>
      <c r="R6436">
        <v>0.98388370000000003</v>
      </c>
      <c r="S6436">
        <v>0.43847659999999999</v>
      </c>
      <c r="T6436">
        <v>-0.30916120000000002</v>
      </c>
      <c r="U6436">
        <v>3.0862120000000002</v>
      </c>
      <c r="V6436">
        <v>5.4736989999999999E-2</v>
      </c>
      <c r="W6436">
        <v>0.18786600000000001</v>
      </c>
      <c r="X6436">
        <v>0.98066819999999999</v>
      </c>
      <c r="Y6436">
        <v>0.15487819999999999</v>
      </c>
      <c r="Z6436">
        <v>-9.8567479999999999E-2</v>
      </c>
      <c r="AA6436">
        <v>0.98300419999999999</v>
      </c>
      <c r="AB6436">
        <v>24</v>
      </c>
      <c r="AC6436">
        <v>0.12699999999998099</v>
      </c>
      <c r="AD6436">
        <v>-8.6670999999999707E-2</v>
      </c>
      <c r="AE6436">
        <v>0.61186999999999603</v>
      </c>
      <c r="AF6436">
        <v>0.13363350858370401</v>
      </c>
      <c r="AG6436">
        <v>-8.6670999999999707E-2</v>
      </c>
      <c r="AH6436">
        <v>0.59837688117350496</v>
      </c>
      <c r="AI6436">
        <v>98.046088261160094</v>
      </c>
      <c r="AJ6436">
        <v>77.410904810418103</v>
      </c>
      <c r="AK6436">
        <v>0.61921294300129204</v>
      </c>
      <c r="AL6436">
        <v>79.171726879196896</v>
      </c>
      <c r="AM6436">
        <v>86.805292841784294</v>
      </c>
      <c r="AN6436">
        <v>0.99999994526074798</v>
      </c>
    </row>
    <row r="6437" spans="1:40" x14ac:dyDescent="0.25">
      <c r="A6437" t="str">
        <f>"20190312172834859"</f>
        <v>20190312172834859</v>
      </c>
      <c r="B6437" t="str">
        <f>"1552382914855822"</f>
        <v>1552382914855822</v>
      </c>
      <c r="C6437" t="s">
        <v>40</v>
      </c>
      <c r="D6437">
        <v>3.4429400000000001</v>
      </c>
      <c r="E6437">
        <v>0.54337049999999998</v>
      </c>
      <c r="F6437" t="s">
        <v>44</v>
      </c>
      <c r="G6437">
        <v>-187.57669999999999</v>
      </c>
      <c r="H6437">
        <v>1.0298959999999999</v>
      </c>
      <c r="I6437">
        <v>72.909419999999997</v>
      </c>
      <c r="J6437">
        <v>-187.69929999999999</v>
      </c>
      <c r="K6437">
        <v>1.110115</v>
      </c>
      <c r="L6437">
        <v>72.308009999999996</v>
      </c>
      <c r="M6437">
        <v>-1.5108770000000001E-2</v>
      </c>
      <c r="N6437">
        <v>0</v>
      </c>
      <c r="O6437">
        <v>0.99979039999999997</v>
      </c>
      <c r="P6437">
        <v>4.0295049999999999E-2</v>
      </c>
      <c r="Q6437">
        <v>0.17469129999999899</v>
      </c>
      <c r="R6437">
        <v>0.98379839999999996</v>
      </c>
      <c r="S6437">
        <v>0.4408569</v>
      </c>
      <c r="T6437">
        <v>-0.29738140000000002</v>
      </c>
      <c r="U6437">
        <v>3.083923</v>
      </c>
      <c r="V6437">
        <v>5.5150020000000001E-2</v>
      </c>
      <c r="W6437">
        <v>0.18825839999999999</v>
      </c>
      <c r="X6437">
        <v>0.98056980000000005</v>
      </c>
      <c r="Y6437">
        <v>0.15581739999999999</v>
      </c>
      <c r="Z6437">
        <v>-9.490353E-2</v>
      </c>
      <c r="AA6437">
        <v>0.98321630000000004</v>
      </c>
      <c r="AB6437">
        <v>24</v>
      </c>
      <c r="AC6437">
        <v>0.122600000000005</v>
      </c>
      <c r="AD6437">
        <v>-8.0218999999999999E-2</v>
      </c>
      <c r="AE6437">
        <v>0.601410000000001</v>
      </c>
      <c r="AF6437">
        <v>0.12946200863820301</v>
      </c>
      <c r="AG6437">
        <v>-8.0218999999999999E-2</v>
      </c>
      <c r="AH6437">
        <v>0.58942054018023005</v>
      </c>
      <c r="AI6437">
        <v>97.571901909373594</v>
      </c>
      <c r="AJ6437">
        <v>77.612101302712404</v>
      </c>
      <c r="AK6437">
        <v>0.60877916589514802</v>
      </c>
      <c r="AL6437">
        <v>79.148835523160798</v>
      </c>
      <c r="AM6437">
        <v>86.780914651202096</v>
      </c>
      <c r="AN6437">
        <v>0.99999994127429803</v>
      </c>
    </row>
    <row r="6438" spans="1:40" x14ac:dyDescent="0.25">
      <c r="A6438" t="str">
        <f>"20190312172834882"</f>
        <v>20190312172834882</v>
      </c>
      <c r="B6438" t="str">
        <f>"1552382914876318"</f>
        <v>1552382914876318</v>
      </c>
      <c r="C6438" t="s">
        <v>40</v>
      </c>
      <c r="D6438">
        <v>3.496461</v>
      </c>
      <c r="E6438">
        <v>0.54337040000000003</v>
      </c>
      <c r="F6438" t="s">
        <v>44</v>
      </c>
      <c r="G6438">
        <v>-187.58150000000001</v>
      </c>
      <c r="H6438">
        <v>1.034462</v>
      </c>
      <c r="I6438">
        <v>73.12876</v>
      </c>
      <c r="J6438">
        <v>-187.703</v>
      </c>
      <c r="K6438">
        <v>1.110106</v>
      </c>
      <c r="L6438">
        <v>72.548190000000005</v>
      </c>
      <c r="M6438">
        <v>-1.5154229999999999E-2</v>
      </c>
      <c r="N6438">
        <v>0</v>
      </c>
      <c r="O6438">
        <v>0.9997897</v>
      </c>
      <c r="P6438">
        <v>4.0030259999999998E-2</v>
      </c>
      <c r="Q6438">
        <v>0.17433799999999999</v>
      </c>
      <c r="R6438">
        <v>0.98387190000000002</v>
      </c>
      <c r="S6438">
        <v>0.44192500000000001</v>
      </c>
      <c r="T6438">
        <v>-0.2840763</v>
      </c>
      <c r="U6438">
        <v>3.0817570000000001</v>
      </c>
      <c r="V6438">
        <v>5.4931430000000003E-2</v>
      </c>
      <c r="W6438">
        <v>0.18790390000000001</v>
      </c>
      <c r="X6438">
        <v>0.98065009999999997</v>
      </c>
      <c r="Y6438">
        <v>0.15634799999999999</v>
      </c>
      <c r="Z6438">
        <v>-9.0750140000000007E-2</v>
      </c>
      <c r="AA6438">
        <v>0.98352410000000001</v>
      </c>
      <c r="AB6438">
        <v>24</v>
      </c>
      <c r="AC6438">
        <v>0.121499999999997</v>
      </c>
      <c r="AD6438">
        <v>-7.5644000000000003E-2</v>
      </c>
      <c r="AE6438">
        <v>0.58056999999999404</v>
      </c>
      <c r="AF6438">
        <v>0.12819994968225501</v>
      </c>
      <c r="AG6438">
        <v>-7.5644000000000003E-2</v>
      </c>
      <c r="AH6438">
        <v>0.56940123910915297</v>
      </c>
      <c r="AI6438">
        <v>97.384598485161803</v>
      </c>
      <c r="AJ6438">
        <v>77.311507331776895</v>
      </c>
      <c r="AK6438">
        <v>0.58853633102262304</v>
      </c>
      <c r="AL6438">
        <v>79.169516355828094</v>
      </c>
      <c r="AM6438">
        <v>86.793908993526401</v>
      </c>
      <c r="AN6438">
        <v>0.99999997813353203</v>
      </c>
    </row>
    <row r="6439" spans="1:40" x14ac:dyDescent="0.25">
      <c r="A6439" t="str">
        <f>"20190312172834905"</f>
        <v>20190312172834905</v>
      </c>
      <c r="B6439" t="str">
        <f>"1552382914895838"</f>
        <v>1552382914895838</v>
      </c>
      <c r="C6439" t="s">
        <v>40</v>
      </c>
      <c r="D6439">
        <v>3.4846020000000002</v>
      </c>
      <c r="E6439">
        <v>0.54339609999999905</v>
      </c>
      <c r="F6439" t="s">
        <v>44</v>
      </c>
      <c r="G6439">
        <v>-187.58840000000001</v>
      </c>
      <c r="H6439">
        <v>1.0374190000000001</v>
      </c>
      <c r="I6439">
        <v>73.347430000000003</v>
      </c>
      <c r="J6439">
        <v>-187.70679999999999</v>
      </c>
      <c r="K6439">
        <v>1.1101080000000001</v>
      </c>
      <c r="L6439">
        <v>72.795199999999994</v>
      </c>
      <c r="M6439">
        <v>-1.520115E-2</v>
      </c>
      <c r="N6439">
        <v>0</v>
      </c>
      <c r="O6439">
        <v>0.99978909999999999</v>
      </c>
      <c r="P6439">
        <v>4.0240650000000003E-2</v>
      </c>
      <c r="Q6439">
        <v>0.1743432</v>
      </c>
      <c r="R6439">
        <v>0.98386229999999997</v>
      </c>
      <c r="S6439">
        <v>0.44177250000000001</v>
      </c>
      <c r="T6439">
        <v>-0.28018310000000002</v>
      </c>
      <c r="U6439">
        <v>3.0808409999999999</v>
      </c>
      <c r="V6439">
        <v>5.5187800000000002E-2</v>
      </c>
      <c r="W6439">
        <v>0.1879063</v>
      </c>
      <c r="X6439">
        <v>0.98063529999999999</v>
      </c>
      <c r="Y6439">
        <v>0.1564033</v>
      </c>
      <c r="Z6439">
        <v>-8.9542540000000004E-2</v>
      </c>
      <c r="AA6439">
        <v>0.983626</v>
      </c>
      <c r="AB6439">
        <v>24</v>
      </c>
      <c r="AC6439">
        <v>0.11839999999997899</v>
      </c>
      <c r="AD6439">
        <v>-7.2689000000000004E-2</v>
      </c>
      <c r="AE6439">
        <v>0.55223000000000799</v>
      </c>
      <c r="AF6439">
        <v>0.124715792197557</v>
      </c>
      <c r="AG6439">
        <v>-7.2689000000000004E-2</v>
      </c>
      <c r="AH6439">
        <v>0.54139819599360695</v>
      </c>
      <c r="AI6439">
        <v>97.453959640362001</v>
      </c>
      <c r="AJ6439">
        <v>77.027716835490196</v>
      </c>
      <c r="AK6439">
        <v>0.56031216850037802</v>
      </c>
      <c r="AL6439">
        <v>79.1693769340812</v>
      </c>
      <c r="AM6439">
        <v>86.778928797343696</v>
      </c>
      <c r="AN6439">
        <v>1.0000000312273001</v>
      </c>
    </row>
    <row r="6440" spans="1:40" x14ac:dyDescent="0.25">
      <c r="A6440" t="str">
        <f>"20190312172834927"</f>
        <v>20190312172834927</v>
      </c>
      <c r="B6440" t="str">
        <f>"1552382914916334"</f>
        <v>1552382914916334</v>
      </c>
      <c r="C6440" t="s">
        <v>40</v>
      </c>
      <c r="D6440">
        <v>3.4958390000000001</v>
      </c>
      <c r="E6440">
        <v>0.54344040000000005</v>
      </c>
      <c r="F6440" t="s">
        <v>44</v>
      </c>
      <c r="G6440">
        <v>-187.5958</v>
      </c>
      <c r="H6440">
        <v>1.0408900000000001</v>
      </c>
      <c r="I6440">
        <v>73.566230000000004</v>
      </c>
      <c r="J6440">
        <v>-187.7105</v>
      </c>
      <c r="K6440">
        <v>1.110112</v>
      </c>
      <c r="L6440">
        <v>73.039000000000001</v>
      </c>
      <c r="M6440">
        <v>-1.5248019999999999E-2</v>
      </c>
      <c r="N6440">
        <v>0</v>
      </c>
      <c r="O6440">
        <v>0.99978840000000002</v>
      </c>
      <c r="P6440">
        <v>4.0272219999999997E-2</v>
      </c>
      <c r="Q6440">
        <v>0.17430889999999999</v>
      </c>
      <c r="R6440">
        <v>0.98386709999999999</v>
      </c>
      <c r="S6440">
        <v>0.4430847</v>
      </c>
      <c r="T6440">
        <v>-0.27653919999999999</v>
      </c>
      <c r="U6440">
        <v>3.0800779999999999</v>
      </c>
      <c r="V6440">
        <v>5.5265229999999999E-2</v>
      </c>
      <c r="W6440">
        <v>0.1878698</v>
      </c>
      <c r="X6440">
        <v>0.98063789999999995</v>
      </c>
      <c r="Y6440">
        <v>0.15690889999999999</v>
      </c>
      <c r="Z6440">
        <v>-8.8402460000000002E-2</v>
      </c>
      <c r="AA6440">
        <v>0.98364859999999998</v>
      </c>
      <c r="AB6440">
        <v>24</v>
      </c>
      <c r="AC6440">
        <v>0.114699999999999</v>
      </c>
      <c r="AD6440">
        <v>-6.9222000000000103E-2</v>
      </c>
      <c r="AE6440">
        <v>0.52723000000000297</v>
      </c>
      <c r="AF6440">
        <v>0.120739386235499</v>
      </c>
      <c r="AG6440">
        <v>-6.9222000000000103E-2</v>
      </c>
      <c r="AH6440">
        <v>0.51691169970067696</v>
      </c>
      <c r="AI6440">
        <v>97.429698412999699</v>
      </c>
      <c r="AJ6440">
        <v>76.852664390253594</v>
      </c>
      <c r="AK6440">
        <v>0.53531989497866395</v>
      </c>
      <c r="AL6440">
        <v>79.171505798888703</v>
      </c>
      <c r="AM6440">
        <v>86.774427615989893</v>
      </c>
      <c r="AN6440">
        <v>0.99999999915770099</v>
      </c>
    </row>
    <row r="6441" spans="1:40" x14ac:dyDescent="0.25">
      <c r="A6441" t="str">
        <f>"20190312172834949"</f>
        <v>20190312172834949</v>
      </c>
      <c r="B6441" t="str">
        <f>"1552382914946591"</f>
        <v>1552382914946591</v>
      </c>
      <c r="C6441" t="s">
        <v>40</v>
      </c>
      <c r="D6441">
        <v>3.4817330000000002</v>
      </c>
      <c r="E6441">
        <v>0.54348920000000001</v>
      </c>
      <c r="F6441" t="s">
        <v>44</v>
      </c>
      <c r="G6441">
        <v>-187.60310000000001</v>
      </c>
      <c r="H6441">
        <v>1.0438480000000001</v>
      </c>
      <c r="I6441">
        <v>73.784289999999999</v>
      </c>
      <c r="J6441">
        <v>-187.71420000000001</v>
      </c>
      <c r="K6441">
        <v>1.110117</v>
      </c>
      <c r="L6441">
        <v>73.274109999999993</v>
      </c>
      <c r="M6441">
        <v>-1.5293849999999999E-2</v>
      </c>
      <c r="N6441">
        <v>0</v>
      </c>
      <c r="O6441">
        <v>0.99978769999999995</v>
      </c>
      <c r="P6441">
        <v>4.0136749999999999E-2</v>
      </c>
      <c r="Q6441">
        <v>0.17459189999999999</v>
      </c>
      <c r="R6441">
        <v>0.98382250000000004</v>
      </c>
      <c r="S6441">
        <v>0.4437103</v>
      </c>
      <c r="T6441">
        <v>-0.27381040000000001</v>
      </c>
      <c r="U6441">
        <v>3.079529</v>
      </c>
      <c r="V6441">
        <v>5.5173739999999999E-2</v>
      </c>
      <c r="W6441">
        <v>0.18814980000000001</v>
      </c>
      <c r="X6441">
        <v>0.98058940000000006</v>
      </c>
      <c r="Y6441">
        <v>0.1571854</v>
      </c>
      <c r="Z6441">
        <v>-8.7549000000000002E-2</v>
      </c>
      <c r="AA6441">
        <v>0.98368080000000002</v>
      </c>
      <c r="AB6441">
        <v>24</v>
      </c>
      <c r="AC6441">
        <v>0.111099999999993</v>
      </c>
      <c r="AD6441">
        <v>-6.6269000000000106E-2</v>
      </c>
      <c r="AE6441">
        <v>0.51018000000000496</v>
      </c>
      <c r="AF6441">
        <v>0.117005591737685</v>
      </c>
      <c r="AG6441">
        <v>-6.6269000000000106E-2</v>
      </c>
      <c r="AH6441">
        <v>0.50036099869271999</v>
      </c>
      <c r="AI6441">
        <v>97.348493215422906</v>
      </c>
      <c r="AJ6441">
        <v>76.838322168668299</v>
      </c>
      <c r="AK6441">
        <v>0.51811486937904205</v>
      </c>
      <c r="AL6441">
        <v>79.155172036728104</v>
      </c>
      <c r="AM6441">
        <v>86.779597272743402</v>
      </c>
      <c r="AN6441">
        <v>1.00000003010899</v>
      </c>
    </row>
    <row r="6442" spans="1:40" x14ac:dyDescent="0.25">
      <c r="A6442" t="str">
        <f>"20190312172834972"</f>
        <v>20190312172834972</v>
      </c>
      <c r="B6442" t="str">
        <f>"1552382914966111"</f>
        <v>1552382914966111</v>
      </c>
      <c r="C6442" t="s">
        <v>40</v>
      </c>
      <c r="D6442">
        <v>3.4909750000000002</v>
      </c>
      <c r="E6442">
        <v>0.54348379999999996</v>
      </c>
      <c r="F6442" t="s">
        <v>44</v>
      </c>
      <c r="G6442">
        <v>-187.5796</v>
      </c>
      <c r="H6442">
        <v>1.028443</v>
      </c>
      <c r="I6442">
        <v>74.207449999999994</v>
      </c>
      <c r="J6442">
        <v>-187.71809999999999</v>
      </c>
      <c r="K6442">
        <v>1.110117</v>
      </c>
      <c r="L6442">
        <v>73.528750000000002</v>
      </c>
      <c r="M6442">
        <v>-1.534425E-2</v>
      </c>
      <c r="N6442">
        <v>0</v>
      </c>
      <c r="O6442">
        <v>0.99978699999999998</v>
      </c>
      <c r="P6442">
        <v>4.0302989999999997E-2</v>
      </c>
      <c r="Q6442">
        <v>0.1744319</v>
      </c>
      <c r="R6442">
        <v>0.9838441</v>
      </c>
      <c r="S6442">
        <v>0.4437256</v>
      </c>
      <c r="T6442">
        <v>-0.26945010000000003</v>
      </c>
      <c r="U6442">
        <v>3.0790709999999999</v>
      </c>
      <c r="V6442">
        <v>5.5389380000000002E-2</v>
      </c>
      <c r="W6442">
        <v>0.1879873</v>
      </c>
      <c r="X6442">
        <v>0.98060840000000005</v>
      </c>
      <c r="Y6442">
        <v>0.15727759999999999</v>
      </c>
      <c r="Z6442">
        <v>-8.6177199999999995E-2</v>
      </c>
      <c r="AA6442">
        <v>0.98378719999999997</v>
      </c>
      <c r="AB6442">
        <v>24</v>
      </c>
      <c r="AC6442">
        <v>0.13849999999999299</v>
      </c>
      <c r="AD6442">
        <v>-8.1673999999999997E-2</v>
      </c>
      <c r="AE6442">
        <v>0.67869999999999198</v>
      </c>
      <c r="AF6442">
        <v>0.14685714410168399</v>
      </c>
      <c r="AG6442">
        <v>-8.1673999999999997E-2</v>
      </c>
      <c r="AH6442">
        <v>0.66721869090376096</v>
      </c>
      <c r="AI6442">
        <v>96.817247743181497</v>
      </c>
      <c r="AJ6442">
        <v>77.586927299641005</v>
      </c>
      <c r="AK6442">
        <v>0.68805410001033496</v>
      </c>
      <c r="AL6442">
        <v>79.164651660672803</v>
      </c>
      <c r="AM6442">
        <v>86.767099867097997</v>
      </c>
      <c r="AN6442">
        <v>1.0000000212643101</v>
      </c>
    </row>
    <row r="6443" spans="1:40" x14ac:dyDescent="0.25">
      <c r="A6443" t="str">
        <f>"20190312172834997"</f>
        <v>20190312172834997</v>
      </c>
      <c r="B6443" t="str">
        <f>"1552382914986607"</f>
        <v>1552382914986607</v>
      </c>
      <c r="C6443" t="s">
        <v>40</v>
      </c>
      <c r="D6443">
        <v>3.4835370000000001</v>
      </c>
      <c r="E6443">
        <v>0.5359855</v>
      </c>
      <c r="F6443" t="s">
        <v>44</v>
      </c>
      <c r="G6443">
        <v>-187.58860000000001</v>
      </c>
      <c r="H6443">
        <v>1.032181</v>
      </c>
      <c r="I6443">
        <v>74.42456</v>
      </c>
      <c r="J6443">
        <v>-187.72219999999999</v>
      </c>
      <c r="K6443">
        <v>1.1101219999999901</v>
      </c>
      <c r="L6443">
        <v>73.791290000000004</v>
      </c>
      <c r="M6443">
        <v>-1.539691E-2</v>
      </c>
      <c r="N6443">
        <v>0</v>
      </c>
      <c r="O6443">
        <v>0.99978619999999996</v>
      </c>
      <c r="P6443">
        <v>4.0840790000000002E-2</v>
      </c>
      <c r="Q6443">
        <v>0.174037</v>
      </c>
      <c r="R6443">
        <v>0.98389179999999998</v>
      </c>
      <c r="S6443">
        <v>0.4446716</v>
      </c>
      <c r="T6443">
        <v>-0.267876</v>
      </c>
      <c r="U6443">
        <v>3.0785520000000002</v>
      </c>
      <c r="V6443">
        <v>5.5979180000000003E-2</v>
      </c>
      <c r="W6443">
        <v>0.1875906</v>
      </c>
      <c r="X6443">
        <v>0.98065080000000004</v>
      </c>
      <c r="Y6443">
        <v>0.1576553</v>
      </c>
      <c r="Z6443">
        <v>-8.5687180000000002E-2</v>
      </c>
      <c r="AA6443">
        <v>0.98376949999999996</v>
      </c>
      <c r="AB6443">
        <v>24</v>
      </c>
      <c r="AC6443">
        <v>0.13359999999997199</v>
      </c>
      <c r="AD6443">
        <v>-7.7940999999999802E-2</v>
      </c>
      <c r="AE6443">
        <v>0.633269999999996</v>
      </c>
      <c r="AF6443">
        <v>0.141286484754235</v>
      </c>
      <c r="AG6443">
        <v>-7.7940999999999802E-2</v>
      </c>
      <c r="AH6443">
        <v>0.62211547373574805</v>
      </c>
      <c r="AI6443">
        <v>96.965463954237805</v>
      </c>
      <c r="AJ6443">
        <v>77.204789113518402</v>
      </c>
      <c r="AK6443">
        <v>0.64270081135522406</v>
      </c>
      <c r="AL6443">
        <v>79.187791770755197</v>
      </c>
      <c r="AM6443">
        <v>86.732890282468802</v>
      </c>
      <c r="AN6443">
        <v>0.99999994667123404</v>
      </c>
    </row>
    <row r="6444" spans="1:40" x14ac:dyDescent="0.25">
      <c r="A6444" t="str">
        <f>"20190312172835016"</f>
        <v>20190312172835016</v>
      </c>
      <c r="B6444" t="str">
        <f>"1552382915006127"</f>
        <v>1552382915006127</v>
      </c>
      <c r="C6444" t="s">
        <v>40</v>
      </c>
      <c r="D6444">
        <v>3.471279</v>
      </c>
      <c r="E6444">
        <v>0.53531989999999996</v>
      </c>
      <c r="F6444" t="s">
        <v>41</v>
      </c>
      <c r="G6444">
        <v>-185.0394</v>
      </c>
      <c r="H6444" s="1">
        <v>-3.1320409999999999E-6</v>
      </c>
      <c r="I6444">
        <v>94.882490000000004</v>
      </c>
      <c r="J6444">
        <v>-187.72550000000001</v>
      </c>
      <c r="K6444">
        <v>1.1101219999999901</v>
      </c>
      <c r="L6444">
        <v>74.002589999999998</v>
      </c>
      <c r="M6444">
        <v>-1.543977E-2</v>
      </c>
      <c r="N6444">
        <v>0</v>
      </c>
      <c r="O6444">
        <v>0.99978560000000005</v>
      </c>
      <c r="P6444">
        <v>4.1072280000000003E-2</v>
      </c>
      <c r="Q6444">
        <v>0.17440320000000001</v>
      </c>
      <c r="R6444">
        <v>0.98381730000000001</v>
      </c>
      <c r="S6444">
        <v>0.38941959999999998</v>
      </c>
      <c r="T6444">
        <v>-0.161137</v>
      </c>
      <c r="U6444">
        <v>3.0614319999999999</v>
      </c>
      <c r="V6444">
        <v>5.6251410000000002E-2</v>
      </c>
      <c r="W6444">
        <v>0.1879536</v>
      </c>
      <c r="X6444">
        <v>0.98056580000000004</v>
      </c>
      <c r="Y6444">
        <v>0.14131640000000001</v>
      </c>
      <c r="Z6444">
        <v>-5.2079340000000002E-2</v>
      </c>
      <c r="AA6444">
        <v>0.98859359999999996</v>
      </c>
      <c r="AB6444">
        <v>24</v>
      </c>
      <c r="AC6444">
        <v>2.6861000000000099</v>
      </c>
      <c r="AD6444">
        <v>-1.1101251320409999</v>
      </c>
      <c r="AE6444">
        <v>20.879899999999999</v>
      </c>
      <c r="AF6444">
        <v>2.9998495336325699</v>
      </c>
      <c r="AG6444">
        <v>-1.1101251320409999</v>
      </c>
      <c r="AH6444">
        <v>20.778155527242198</v>
      </c>
      <c r="AI6444">
        <v>93.026938105170203</v>
      </c>
      <c r="AJ6444">
        <v>81.7846793502992</v>
      </c>
      <c r="AK6444">
        <v>21.022921351408002</v>
      </c>
      <c r="AL6444">
        <v>79.166617694624094</v>
      </c>
      <c r="AM6444">
        <v>86.716752846911902</v>
      </c>
      <c r="AN6444">
        <v>1.00000003250479</v>
      </c>
    </row>
    <row r="6445" spans="1:40" x14ac:dyDescent="0.25">
      <c r="A6445" t="str">
        <f>"20190312172835039"</f>
        <v>20190312172835039</v>
      </c>
      <c r="B6445" t="str">
        <f>"1552382915025652"</f>
        <v>1552382915025652</v>
      </c>
      <c r="C6445" t="s">
        <v>40</v>
      </c>
      <c r="D6445">
        <v>3.4586990000000002</v>
      </c>
      <c r="E6445">
        <v>0.53606690000000001</v>
      </c>
      <c r="F6445" t="s">
        <v>41</v>
      </c>
      <c r="G6445">
        <v>-185.1217</v>
      </c>
      <c r="H6445" s="1">
        <v>-3.0515689999999999E-6</v>
      </c>
      <c r="I6445">
        <v>94.728960000000001</v>
      </c>
      <c r="J6445">
        <v>-187.72919999999999</v>
      </c>
      <c r="K6445">
        <v>1.1101259999999999</v>
      </c>
      <c r="L6445">
        <v>74.239689999999996</v>
      </c>
      <c r="M6445">
        <v>-1.548835E-2</v>
      </c>
      <c r="N6445">
        <v>0</v>
      </c>
      <c r="O6445">
        <v>0.99978489999999998</v>
      </c>
      <c r="P6445">
        <v>4.1689379999999998E-2</v>
      </c>
      <c r="Q6445">
        <v>0.17383870000000001</v>
      </c>
      <c r="R6445">
        <v>0.98389130000000002</v>
      </c>
      <c r="S6445">
        <v>0.3847198</v>
      </c>
      <c r="T6445">
        <v>-0.16402410000000001</v>
      </c>
      <c r="U6445">
        <v>3.0623779999999998</v>
      </c>
      <c r="V6445">
        <v>5.6917210000000003E-2</v>
      </c>
      <c r="W6445">
        <v>0.18738779999999999</v>
      </c>
      <c r="X6445">
        <v>0.98063560000000005</v>
      </c>
      <c r="Y6445">
        <v>0.139826799999999</v>
      </c>
      <c r="Z6445">
        <v>-5.3004269999999999E-2</v>
      </c>
      <c r="AA6445">
        <v>0.98875630000000003</v>
      </c>
      <c r="AB6445">
        <v>24</v>
      </c>
      <c r="AC6445">
        <v>2.6074999999999799</v>
      </c>
      <c r="AD6445">
        <v>-1.1101290515690001</v>
      </c>
      <c r="AE6445">
        <v>20.489270000000001</v>
      </c>
      <c r="AF6445">
        <v>2.9161382209385001</v>
      </c>
      <c r="AG6445">
        <v>-1.1101290515690001</v>
      </c>
      <c r="AH6445">
        <v>20.387526715669601</v>
      </c>
      <c r="AI6445">
        <v>93.085415543345803</v>
      </c>
      <c r="AJ6445">
        <v>81.859888279767404</v>
      </c>
      <c r="AK6445">
        <v>20.624924102088201</v>
      </c>
      <c r="AL6445">
        <v>79.199621364645395</v>
      </c>
      <c r="AM6445">
        <v>86.678214301953901</v>
      </c>
      <c r="AN6445">
        <v>0.99999996818519099</v>
      </c>
    </row>
    <row r="6446" spans="1:40" x14ac:dyDescent="0.25">
      <c r="A6446" t="str">
        <f>"20190312172835059"</f>
        <v>20190312172835059</v>
      </c>
      <c r="B6446" t="str">
        <f>"1552382915055902"</f>
        <v>1552382915055902</v>
      </c>
      <c r="C6446" t="s">
        <v>40</v>
      </c>
      <c r="D6446">
        <v>3.4192870000000002</v>
      </c>
      <c r="E6446">
        <v>0.53584480000000001</v>
      </c>
      <c r="F6446" t="s">
        <v>41</v>
      </c>
      <c r="G6446">
        <v>-185.148</v>
      </c>
      <c r="H6446" s="1">
        <v>-2.9037709999999999E-6</v>
      </c>
      <c r="I6446">
        <v>94.387280000000004</v>
      </c>
      <c r="J6446">
        <v>-187.7328</v>
      </c>
      <c r="K6446">
        <v>1.110123</v>
      </c>
      <c r="L6446">
        <v>74.468509999999995</v>
      </c>
      <c r="M6446">
        <v>-1.5535230000000001E-2</v>
      </c>
      <c r="N6446">
        <v>0</v>
      </c>
      <c r="O6446">
        <v>0.99978420000000001</v>
      </c>
      <c r="P6446">
        <v>4.2357970000000002E-2</v>
      </c>
      <c r="Q6446">
        <v>0.17417850000000001</v>
      </c>
      <c r="R6446">
        <v>0.98380270000000003</v>
      </c>
      <c r="S6446">
        <v>0.39233400000000002</v>
      </c>
      <c r="T6446">
        <v>-0.1687332</v>
      </c>
      <c r="U6446">
        <v>3.0623170000000002</v>
      </c>
      <c r="V6446">
        <v>5.7630309999999997E-2</v>
      </c>
      <c r="W6446">
        <v>0.18772359999999999</v>
      </c>
      <c r="X6446">
        <v>0.98052969999999895</v>
      </c>
      <c r="Y6446">
        <v>0.14228440000000001</v>
      </c>
      <c r="Z6446">
        <v>-5.4504469999999999E-2</v>
      </c>
      <c r="AA6446">
        <v>0.98832399999999998</v>
      </c>
      <c r="AB6446">
        <v>24</v>
      </c>
      <c r="AC6446">
        <v>2.5848</v>
      </c>
      <c r="AD6446">
        <v>-1.1101259037710001</v>
      </c>
      <c r="AE6446">
        <v>19.918769999999999</v>
      </c>
      <c r="AF6446">
        <v>2.8851468894887198</v>
      </c>
      <c r="AG6446">
        <v>-1.1101259037710001</v>
      </c>
      <c r="AH6446">
        <v>19.815675752318</v>
      </c>
      <c r="AI6446">
        <v>93.173119568884601</v>
      </c>
      <c r="AJ6446">
        <v>81.715989965599405</v>
      </c>
      <c r="AK6446">
        <v>20.055359822679598</v>
      </c>
      <c r="AL6446">
        <v>79.180033614966902</v>
      </c>
      <c r="AM6446">
        <v>86.636329102777594</v>
      </c>
      <c r="AN6446">
        <v>0.99999994760487099</v>
      </c>
    </row>
    <row r="6447" spans="1:40" x14ac:dyDescent="0.25">
      <c r="A6447" t="str">
        <f>"20190312172835083"</f>
        <v>20190312172835083</v>
      </c>
      <c r="B6447" t="str">
        <f>"1552382915076398"</f>
        <v>1552382915076398</v>
      </c>
      <c r="C6447" t="s">
        <v>40</v>
      </c>
      <c r="D6447">
        <v>3.4249269999999998</v>
      </c>
      <c r="E6447">
        <v>0.53586429999999996</v>
      </c>
      <c r="F6447" t="s">
        <v>41</v>
      </c>
      <c r="G6447">
        <v>-185.0729</v>
      </c>
      <c r="H6447" s="1">
        <v>-3.2605759999999999E-6</v>
      </c>
      <c r="I6447">
        <v>95.195980000000006</v>
      </c>
      <c r="J6447">
        <v>-187.73679999999999</v>
      </c>
      <c r="K6447">
        <v>1.1101209999999999</v>
      </c>
      <c r="L6447">
        <v>74.717290000000006</v>
      </c>
      <c r="M6447">
        <v>-1.5586330000000001E-2</v>
      </c>
      <c r="N6447">
        <v>0</v>
      </c>
      <c r="O6447">
        <v>0.99978339999999999</v>
      </c>
      <c r="P6447">
        <v>4.2953169999999999E-2</v>
      </c>
      <c r="Q6447">
        <v>0.173771799999999</v>
      </c>
      <c r="R6447">
        <v>0.98384879999999997</v>
      </c>
      <c r="S6447">
        <v>0.39288329999999999</v>
      </c>
      <c r="T6447">
        <v>-0.16396959999999999</v>
      </c>
      <c r="U6447">
        <v>3.0615230000000002</v>
      </c>
      <c r="V6447">
        <v>5.8276370000000001E-2</v>
      </c>
      <c r="W6447">
        <v>0.18731519999999999</v>
      </c>
      <c r="X6447">
        <v>0.98056969999999999</v>
      </c>
      <c r="Y6447">
        <v>0.14255219999999999</v>
      </c>
      <c r="Z6447">
        <v>-5.2982040000000001E-2</v>
      </c>
      <c r="AA6447">
        <v>0.98836820000000003</v>
      </c>
      <c r="AB6447">
        <v>24</v>
      </c>
      <c r="AC6447">
        <v>2.66389999999998</v>
      </c>
      <c r="AD6447">
        <v>-1.110124260576</v>
      </c>
      <c r="AE6447">
        <v>20.47869</v>
      </c>
      <c r="AF6447">
        <v>2.9741998047200302</v>
      </c>
      <c r="AG6447">
        <v>-1.110124260576</v>
      </c>
      <c r="AH6447">
        <v>20.375797742536701</v>
      </c>
      <c r="AI6447">
        <v>93.085896461820596</v>
      </c>
      <c r="AJ6447">
        <v>81.695340330632206</v>
      </c>
      <c r="AK6447">
        <v>20.621623941801399</v>
      </c>
      <c r="AL6447">
        <v>79.203856675286801</v>
      </c>
      <c r="AM6447">
        <v>86.598847398973405</v>
      </c>
      <c r="AN6447">
        <v>1.0000000280047501</v>
      </c>
    </row>
    <row r="6448" spans="1:40" x14ac:dyDescent="0.25">
      <c r="A6448" t="str">
        <f>"20190312172835105"</f>
        <v>20190312172835105</v>
      </c>
      <c r="B6448" t="str">
        <f>"1552382915095919"</f>
        <v>1552382915095919</v>
      </c>
      <c r="C6448" t="s">
        <v>40</v>
      </c>
      <c r="D6448">
        <v>3.410949</v>
      </c>
      <c r="E6448">
        <v>0.53588610000000003</v>
      </c>
      <c r="F6448" t="s">
        <v>41</v>
      </c>
      <c r="G6448">
        <v>-185.0581</v>
      </c>
      <c r="H6448" s="1">
        <v>-3.3825549999999998E-6</v>
      </c>
      <c r="I6448">
        <v>95.474199999999996</v>
      </c>
      <c r="J6448">
        <v>-187.7406</v>
      </c>
      <c r="K6448">
        <v>1.1101110000000001</v>
      </c>
      <c r="L6448">
        <v>74.959869999999995</v>
      </c>
      <c r="M6448">
        <v>-1.5635710000000001E-2</v>
      </c>
      <c r="N6448">
        <v>0</v>
      </c>
      <c r="O6448">
        <v>0.99978270000000002</v>
      </c>
      <c r="P6448">
        <v>4.3489069999999998E-2</v>
      </c>
      <c r="Q6448">
        <v>0.1735717</v>
      </c>
      <c r="R6448">
        <v>0.98386059999999997</v>
      </c>
      <c r="S6448">
        <v>0.39500429999999997</v>
      </c>
      <c r="T6448">
        <v>-0.1637043</v>
      </c>
      <c r="U6448">
        <v>3.0609130000000002</v>
      </c>
      <c r="V6448">
        <v>5.8860889999999999E-2</v>
      </c>
      <c r="W6448">
        <v>0.1871129</v>
      </c>
      <c r="X6448">
        <v>0.98057340000000004</v>
      </c>
      <c r="Y6448">
        <v>0.14330019999999999</v>
      </c>
      <c r="Z6448">
        <v>-5.2901709999999998E-2</v>
      </c>
      <c r="AA6448">
        <v>0.98826440000000004</v>
      </c>
      <c r="AB6448">
        <v>24</v>
      </c>
      <c r="AC6448">
        <v>2.6825000000000001</v>
      </c>
      <c r="AD6448">
        <v>-1.1101143825549999</v>
      </c>
      <c r="AE6448">
        <v>20.514329999999902</v>
      </c>
      <c r="AF6448">
        <v>2.9943376028607398</v>
      </c>
      <c r="AG6448">
        <v>-1.1101143825549999</v>
      </c>
      <c r="AH6448">
        <v>20.411109219064802</v>
      </c>
      <c r="AI6448">
        <v>93.080217416517996</v>
      </c>
      <c r="AJ6448">
        <v>81.654162169672503</v>
      </c>
      <c r="AK6448">
        <v>20.6594237861285</v>
      </c>
      <c r="AL6448">
        <v>79.215656120194794</v>
      </c>
      <c r="AM6448">
        <v>86.564827590782599</v>
      </c>
      <c r="AN6448">
        <v>1.0000000172527801</v>
      </c>
    </row>
    <row r="6449" spans="1:40" x14ac:dyDescent="0.25">
      <c r="A6449" t="str">
        <f>"20190312172835128"</f>
        <v>20190312172835128</v>
      </c>
      <c r="B6449" t="str">
        <f>"1552382915116414"</f>
        <v>1552382915116414</v>
      </c>
      <c r="C6449" t="s">
        <v>40</v>
      </c>
      <c r="D6449">
        <v>3.4146809999999999</v>
      </c>
      <c r="E6449">
        <v>0.53592209999999996</v>
      </c>
      <c r="F6449" t="s">
        <v>41</v>
      </c>
      <c r="G6449">
        <v>-185.02500000000001</v>
      </c>
      <c r="H6449" s="1">
        <v>-3.5601090000000001E-6</v>
      </c>
      <c r="I6449">
        <v>95.874399999999994</v>
      </c>
      <c r="J6449">
        <v>-187.74430000000001</v>
      </c>
      <c r="K6449">
        <v>1.1101110000000001</v>
      </c>
      <c r="L6449">
        <v>75.193759999999997</v>
      </c>
      <c r="M6449">
        <v>-1.5683539999999999E-2</v>
      </c>
      <c r="N6449">
        <v>0</v>
      </c>
      <c r="O6449">
        <v>0.99978199999999995</v>
      </c>
      <c r="P6449">
        <v>4.4131410000000003E-2</v>
      </c>
      <c r="Q6449">
        <v>0.17295139999999901</v>
      </c>
      <c r="R6449">
        <v>0.98394119999999996</v>
      </c>
      <c r="S6449">
        <v>0.39735409999999999</v>
      </c>
      <c r="T6449">
        <v>-0.16243669999999999</v>
      </c>
      <c r="U6449">
        <v>3.0603030000000002</v>
      </c>
      <c r="V6449">
        <v>5.9551529999999998E-2</v>
      </c>
      <c r="W6449">
        <v>0.18649070000000001</v>
      </c>
      <c r="X6449">
        <v>0.98065020000000003</v>
      </c>
      <c r="Y6449">
        <v>0.14412150000000001</v>
      </c>
      <c r="Z6449">
        <v>-5.2497820000000001E-2</v>
      </c>
      <c r="AA6449">
        <v>0.98816649999999995</v>
      </c>
      <c r="AB6449">
        <v>24</v>
      </c>
      <c r="AC6449">
        <v>2.7193000000000001</v>
      </c>
      <c r="AD6449">
        <v>-1.1101145601089999</v>
      </c>
      <c r="AE6449">
        <v>20.68064</v>
      </c>
      <c r="AF6449">
        <v>3.0347461546425198</v>
      </c>
      <c r="AG6449">
        <v>-1.1101145601089999</v>
      </c>
      <c r="AH6449">
        <v>20.577159735002599</v>
      </c>
      <c r="AI6449">
        <v>93.055066483435795</v>
      </c>
      <c r="AJ6449">
        <v>81.610421915667004</v>
      </c>
      <c r="AK6449">
        <v>20.8293432762413</v>
      </c>
      <c r="AL6449">
        <v>79.251944019970594</v>
      </c>
      <c r="AM6449">
        <v>86.524890973677699</v>
      </c>
      <c r="AN6449">
        <v>0.99999999033593501</v>
      </c>
    </row>
    <row r="6450" spans="1:40" x14ac:dyDescent="0.25">
      <c r="A6450" t="str">
        <f>"20190312172835150"</f>
        <v>20190312172835150</v>
      </c>
      <c r="B6450" t="str">
        <f>"1552382915145695"</f>
        <v>1552382915145695</v>
      </c>
      <c r="C6450" t="s">
        <v>40</v>
      </c>
      <c r="D6450">
        <v>3.4080400000000002</v>
      </c>
      <c r="E6450">
        <v>0.53592589999999996</v>
      </c>
      <c r="F6450" t="s">
        <v>41</v>
      </c>
      <c r="G6450">
        <v>-185.0231</v>
      </c>
      <c r="H6450" s="1">
        <v>-3.622307E-6</v>
      </c>
      <c r="I6450">
        <v>96.018600000000006</v>
      </c>
      <c r="J6450">
        <v>-187.74799999999999</v>
      </c>
      <c r="K6450">
        <v>1.1101160000000001</v>
      </c>
      <c r="L6450">
        <v>75.426299999999998</v>
      </c>
      <c r="M6450">
        <v>-1.5730810000000001E-2</v>
      </c>
      <c r="N6450">
        <v>0</v>
      </c>
      <c r="O6450">
        <v>0.99978129999999998</v>
      </c>
      <c r="P6450">
        <v>4.494418E-2</v>
      </c>
      <c r="Q6450">
        <v>0.17279510000000001</v>
      </c>
      <c r="R6450">
        <v>0.98393180000000002</v>
      </c>
      <c r="S6450">
        <v>0.39981080000000002</v>
      </c>
      <c r="T6450">
        <v>-0.16310369999999999</v>
      </c>
      <c r="U6450">
        <v>3.0596920000000001</v>
      </c>
      <c r="V6450">
        <v>6.0410569999999997E-2</v>
      </c>
      <c r="W6450">
        <v>0.18633189999999999</v>
      </c>
      <c r="X6450">
        <v>0.98062780000000005</v>
      </c>
      <c r="Y6450">
        <v>0.14497209999999999</v>
      </c>
      <c r="Z6450">
        <v>-5.2717100000000003E-2</v>
      </c>
      <c r="AA6450">
        <v>0.98803039999999998</v>
      </c>
      <c r="AB6450">
        <v>24</v>
      </c>
      <c r="AC6450">
        <v>2.7248999999999901</v>
      </c>
      <c r="AD6450">
        <v>-1.11011962230699</v>
      </c>
      <c r="AE6450">
        <v>20.592300000000002</v>
      </c>
      <c r="AF6450">
        <v>3.0398446317659902</v>
      </c>
      <c r="AG6450">
        <v>-1.11011962230699</v>
      </c>
      <c r="AH6450">
        <v>20.488363341152098</v>
      </c>
      <c r="AI6450">
        <v>93.0679021872768</v>
      </c>
      <c r="AJ6450">
        <v>81.560631057799</v>
      </c>
      <c r="AK6450">
        <v>20.742373378188201</v>
      </c>
      <c r="AL6450">
        <v>79.261204457039796</v>
      </c>
      <c r="AM6450">
        <v>86.474807182289894</v>
      </c>
      <c r="AN6450">
        <v>0.99999994802908598</v>
      </c>
    </row>
    <row r="6451" spans="1:40" x14ac:dyDescent="0.25">
      <c r="A6451" t="str">
        <f>"20190312172835174"</f>
        <v>20190312172835174</v>
      </c>
      <c r="B6451" t="str">
        <f>"1552382915166191"</f>
        <v>1552382915166191</v>
      </c>
      <c r="C6451" t="s">
        <v>40</v>
      </c>
      <c r="D6451">
        <v>3.3979659999999998</v>
      </c>
      <c r="E6451">
        <v>0.53592209999999996</v>
      </c>
      <c r="F6451" t="s">
        <v>41</v>
      </c>
      <c r="G6451">
        <v>-184.98560000000001</v>
      </c>
      <c r="H6451" s="1">
        <v>-3.8031149999999998E-6</v>
      </c>
      <c r="I6451">
        <v>96.42456</v>
      </c>
      <c r="J6451">
        <v>-187.75219999999999</v>
      </c>
      <c r="K6451">
        <v>1.1101099999999999</v>
      </c>
      <c r="L6451">
        <v>75.689239999999998</v>
      </c>
      <c r="M6451">
        <v>-1.5784220000000002E-2</v>
      </c>
      <c r="N6451">
        <v>0</v>
      </c>
      <c r="O6451">
        <v>0.99978049999999996</v>
      </c>
      <c r="P6451">
        <v>4.5734360000000002E-2</v>
      </c>
      <c r="Q6451">
        <v>0.17272479999999901</v>
      </c>
      <c r="R6451">
        <v>0.9839078</v>
      </c>
      <c r="S6451">
        <v>0.40242</v>
      </c>
      <c r="T6451">
        <v>-0.1617219</v>
      </c>
      <c r="U6451">
        <v>3.059021</v>
      </c>
      <c r="V6451">
        <v>6.1252840000000003E-2</v>
      </c>
      <c r="W6451">
        <v>0.18625839999999999</v>
      </c>
      <c r="X6451">
        <v>0.98058959999999995</v>
      </c>
      <c r="Y6451">
        <v>0.14588429999999999</v>
      </c>
      <c r="Z6451">
        <v>-5.2276610000000001E-2</v>
      </c>
      <c r="AA6451">
        <v>0.98791949999999995</v>
      </c>
      <c r="AB6451">
        <v>24</v>
      </c>
      <c r="AC6451">
        <v>2.76659999999998</v>
      </c>
      <c r="AD6451">
        <v>-1.110113803115</v>
      </c>
      <c r="AE6451">
        <v>20.735320000000002</v>
      </c>
      <c r="AF6451">
        <v>3.0848897938965498</v>
      </c>
      <c r="AG6451">
        <v>-1.110113803115</v>
      </c>
      <c r="AH6451">
        <v>20.6309644246234</v>
      </c>
      <c r="AI6451">
        <v>93.046207997514699</v>
      </c>
      <c r="AJ6451">
        <v>81.495731063704696</v>
      </c>
      <c r="AK6451">
        <v>20.8898442020621</v>
      </c>
      <c r="AL6451">
        <v>79.265491654172905</v>
      </c>
      <c r="AM6451">
        <v>86.4256450988171</v>
      </c>
      <c r="AN6451">
        <v>1.00000003280339</v>
      </c>
    </row>
    <row r="6452" spans="1:40" x14ac:dyDescent="0.25">
      <c r="A6452" t="str">
        <f>"20190312172835197"</f>
        <v>20190312172835197</v>
      </c>
      <c r="B6452" t="str">
        <f>"1552382915185711"</f>
        <v>1552382915185711</v>
      </c>
      <c r="C6452" t="s">
        <v>40</v>
      </c>
      <c r="D6452">
        <v>3.3887860000000001</v>
      </c>
      <c r="E6452">
        <v>0.53585519999999998</v>
      </c>
      <c r="F6452" t="s">
        <v>41</v>
      </c>
      <c r="G6452">
        <v>-184.95820000000001</v>
      </c>
      <c r="H6452" s="1">
        <v>-3.966128E-6</v>
      </c>
      <c r="I6452">
        <v>96.793210000000002</v>
      </c>
      <c r="J6452">
        <v>-187.756</v>
      </c>
      <c r="K6452">
        <v>1.110109</v>
      </c>
      <c r="L6452">
        <v>75.925419999999903</v>
      </c>
      <c r="M6452">
        <v>-1.5832249999999999E-2</v>
      </c>
      <c r="N6452">
        <v>0</v>
      </c>
      <c r="O6452">
        <v>0.99977969999999905</v>
      </c>
      <c r="P6452">
        <v>4.6470280000000003E-2</v>
      </c>
      <c r="Q6452">
        <v>0.17311270000000001</v>
      </c>
      <c r="R6452">
        <v>0.98380509999999999</v>
      </c>
      <c r="S6452">
        <v>0.40492250000000002</v>
      </c>
      <c r="T6452">
        <v>-0.16088379999999999</v>
      </c>
      <c r="U6452">
        <v>3.0585019999999998</v>
      </c>
      <c r="V6452">
        <v>6.2034310000000002E-2</v>
      </c>
      <c r="W6452">
        <v>0.18664249999999999</v>
      </c>
      <c r="X6452">
        <v>0.98046739999999999</v>
      </c>
      <c r="Y6452">
        <v>0.14674970000000001</v>
      </c>
      <c r="Z6452">
        <v>-5.2008980000000003E-2</v>
      </c>
      <c r="AA6452">
        <v>0.98780539999999994</v>
      </c>
      <c r="AB6452">
        <v>24</v>
      </c>
      <c r="AC6452">
        <v>2.7977999999999601</v>
      </c>
      <c r="AD6452">
        <v>-1.110112966128</v>
      </c>
      <c r="AE6452">
        <v>20.867789999999999</v>
      </c>
      <c r="AF6452">
        <v>3.1191933601444601</v>
      </c>
      <c r="AG6452">
        <v>-1.110112966128</v>
      </c>
      <c r="AH6452">
        <v>20.763152827456199</v>
      </c>
      <c r="AI6452">
        <v>93.026538179664499</v>
      </c>
      <c r="AJ6452">
        <v>81.456495439847103</v>
      </c>
      <c r="AK6452">
        <v>21.025466305217499</v>
      </c>
      <c r="AL6452">
        <v>79.243091193497705</v>
      </c>
      <c r="AM6452">
        <v>86.379713645350904</v>
      </c>
      <c r="AN6452">
        <v>1.00000000044309</v>
      </c>
    </row>
    <row r="6453" spans="1:40" x14ac:dyDescent="0.25">
      <c r="A6453" t="str">
        <f>"20190312172835218"</f>
        <v>20190312172835218</v>
      </c>
      <c r="B6453" t="str">
        <f>"1552382915206207"</f>
        <v>1552382915206207</v>
      </c>
      <c r="C6453" t="s">
        <v>40</v>
      </c>
      <c r="D6453">
        <v>3.3917790000000001</v>
      </c>
      <c r="E6453">
        <v>0.53573780000000004</v>
      </c>
      <c r="F6453" t="s">
        <v>41</v>
      </c>
      <c r="G6453">
        <v>-184.91730000000001</v>
      </c>
      <c r="H6453" s="1">
        <v>-4.1786470000000003E-6</v>
      </c>
      <c r="I6453">
        <v>97.27167</v>
      </c>
      <c r="J6453">
        <v>-187.75970000000001</v>
      </c>
      <c r="K6453">
        <v>1.110115</v>
      </c>
      <c r="L6453">
        <v>76.153589999999994</v>
      </c>
      <c r="M6453">
        <v>-1.5878690000000001E-2</v>
      </c>
      <c r="N6453">
        <v>0</v>
      </c>
      <c r="O6453">
        <v>0.99977899999999997</v>
      </c>
      <c r="P6453">
        <v>4.7215390000000003E-2</v>
      </c>
      <c r="Q6453">
        <v>0.17291029999999999</v>
      </c>
      <c r="R6453">
        <v>0.98380520000000005</v>
      </c>
      <c r="S6453">
        <v>0.40669250000000001</v>
      </c>
      <c r="T6453">
        <v>-0.15904019999999999</v>
      </c>
      <c r="U6453">
        <v>3.0581670000000001</v>
      </c>
      <c r="V6453">
        <v>6.282509E-2</v>
      </c>
      <c r="W6453">
        <v>0.1864373</v>
      </c>
      <c r="X6453">
        <v>0.98045610000000005</v>
      </c>
      <c r="Y6453">
        <v>0.1473757</v>
      </c>
      <c r="Z6453">
        <v>-5.1415780000000001E-2</v>
      </c>
      <c r="AA6453">
        <v>0.98774329999999999</v>
      </c>
      <c r="AB6453">
        <v>24</v>
      </c>
      <c r="AC6453">
        <v>2.8423999999999898</v>
      </c>
      <c r="AD6453">
        <v>-1.1101191786469999</v>
      </c>
      <c r="AE6453">
        <v>21.1180799999999</v>
      </c>
      <c r="AF6453">
        <v>3.1688002696317898</v>
      </c>
      <c r="AG6453">
        <v>-1.1101191786469999</v>
      </c>
      <c r="AH6453">
        <v>21.0132461693896</v>
      </c>
      <c r="AI6453">
        <v>92.990348071996195</v>
      </c>
      <c r="AJ6453">
        <v>81.424404341480596</v>
      </c>
      <c r="AK6453">
        <v>21.279806726448101</v>
      </c>
      <c r="AL6453">
        <v>79.255058461305296</v>
      </c>
      <c r="AM6453">
        <v>86.333647127626705</v>
      </c>
      <c r="AN6453">
        <v>1.0000000113959999</v>
      </c>
    </row>
    <row r="6454" spans="1:40" x14ac:dyDescent="0.25">
      <c r="A6454" t="str">
        <f>"20190312172835240"</f>
        <v>20190312172835240</v>
      </c>
      <c r="B6454" t="str">
        <f>"1552382915236467"</f>
        <v>1552382915236467</v>
      </c>
      <c r="C6454" t="s">
        <v>40</v>
      </c>
      <c r="D6454">
        <v>3.400617</v>
      </c>
      <c r="E6454">
        <v>0.535694</v>
      </c>
      <c r="F6454" t="s">
        <v>41</v>
      </c>
      <c r="G6454">
        <v>-184.9177</v>
      </c>
      <c r="H6454" s="1">
        <v>-4.2522209999999997E-6</v>
      </c>
      <c r="I6454">
        <v>97.443349999999995</v>
      </c>
      <c r="J6454">
        <v>-187.76349999999999</v>
      </c>
      <c r="K6454">
        <v>1.1101160000000001</v>
      </c>
      <c r="L6454">
        <v>76.389769999999999</v>
      </c>
      <c r="M6454">
        <v>-1.59265E-2</v>
      </c>
      <c r="N6454">
        <v>0</v>
      </c>
      <c r="O6454">
        <v>0.99977830000000001</v>
      </c>
      <c r="P6454">
        <v>4.7611529999999999E-2</v>
      </c>
      <c r="Q6454">
        <v>0.1732446</v>
      </c>
      <c r="R6454">
        <v>0.98372729999999997</v>
      </c>
      <c r="S6454">
        <v>0.40818789999999999</v>
      </c>
      <c r="T6454">
        <v>-0.159444</v>
      </c>
      <c r="U6454">
        <v>3.0577999999999999</v>
      </c>
      <c r="V6454">
        <v>6.3266929999999999E-2</v>
      </c>
      <c r="W6454">
        <v>0.18676809999999999</v>
      </c>
      <c r="X6454">
        <v>0.98036469999999998</v>
      </c>
      <c r="Y6454">
        <v>0.14791209999999999</v>
      </c>
      <c r="Z6454">
        <v>-5.1548280000000002E-2</v>
      </c>
      <c r="AA6454">
        <v>0.98765619999999998</v>
      </c>
      <c r="AB6454">
        <v>24</v>
      </c>
      <c r="AC6454">
        <v>2.8457999999999899</v>
      </c>
      <c r="AD6454">
        <v>-1.1101202522210001</v>
      </c>
      <c r="AE6454">
        <v>21.05358</v>
      </c>
      <c r="AF6454">
        <v>3.1721195083323601</v>
      </c>
      <c r="AG6454">
        <v>-1.1101202522210001</v>
      </c>
      <c r="AH6454">
        <v>20.9483839529377</v>
      </c>
      <c r="AI6454">
        <v>92.999316443666103</v>
      </c>
      <c r="AJ6454">
        <v>81.389373276823093</v>
      </c>
      <c r="AK6454">
        <v>21.216255545907</v>
      </c>
      <c r="AL6454">
        <v>79.235765883831604</v>
      </c>
      <c r="AM6454">
        <v>86.307589994893803</v>
      </c>
      <c r="AN6454">
        <v>0.99999998630766196</v>
      </c>
    </row>
    <row r="6455" spans="1:40" x14ac:dyDescent="0.25">
      <c r="A6455" t="str">
        <f>"20190312172835263"</f>
        <v>20190312172835263</v>
      </c>
      <c r="B6455" t="str">
        <f>"1552382915255983"</f>
        <v>1552382915255983</v>
      </c>
      <c r="C6455" t="s">
        <v>40</v>
      </c>
      <c r="D6455">
        <v>3.4062480000000002</v>
      </c>
      <c r="E6455">
        <v>0.53562779999999999</v>
      </c>
      <c r="F6455" t="s">
        <v>41</v>
      </c>
      <c r="G6455">
        <v>-184.8903</v>
      </c>
      <c r="H6455" s="1">
        <v>-4.4416900000000003E-6</v>
      </c>
      <c r="I6455">
        <v>97.873670000000004</v>
      </c>
      <c r="J6455">
        <v>-187.76730000000001</v>
      </c>
      <c r="K6455">
        <v>1.110117</v>
      </c>
      <c r="L6455">
        <v>76.628879999999995</v>
      </c>
      <c r="M6455">
        <v>-1.5975110000000001E-2</v>
      </c>
      <c r="N6455">
        <v>0</v>
      </c>
      <c r="O6455">
        <v>0.99977760000000004</v>
      </c>
      <c r="P6455">
        <v>4.8002879999999998E-2</v>
      </c>
      <c r="Q6455">
        <v>0.17278099999999999</v>
      </c>
      <c r="R6455">
        <v>0.98378989999999999</v>
      </c>
      <c r="S6455">
        <v>0.40892030000000001</v>
      </c>
      <c r="T6455">
        <v>-0.15799530000000001</v>
      </c>
      <c r="U6455">
        <v>3.0576479999999999</v>
      </c>
      <c r="V6455">
        <v>6.3707070000000005E-2</v>
      </c>
      <c r="W6455">
        <v>0.18630289999999999</v>
      </c>
      <c r="X6455">
        <v>0.98042470000000004</v>
      </c>
      <c r="Y6455">
        <v>0.14820220000000001</v>
      </c>
      <c r="Z6455">
        <v>-5.1081710000000002E-2</v>
      </c>
      <c r="AA6455">
        <v>0.98763699999999999</v>
      </c>
      <c r="AB6455">
        <v>24</v>
      </c>
      <c r="AC6455">
        <v>2.8769999999999998</v>
      </c>
      <c r="AD6455">
        <v>-1.11012144169</v>
      </c>
      <c r="AE6455">
        <v>21.244789999999899</v>
      </c>
      <c r="AF6455">
        <v>3.20745271261154</v>
      </c>
      <c r="AG6455">
        <v>-1.11012144169</v>
      </c>
      <c r="AH6455">
        <v>21.139432743298599</v>
      </c>
      <c r="AI6455">
        <v>92.972128794290896</v>
      </c>
      <c r="AJ6455">
        <v>81.372407078037</v>
      </c>
      <c r="AK6455">
        <v>21.4101784025118</v>
      </c>
      <c r="AL6455">
        <v>79.262895961211399</v>
      </c>
      <c r="AM6455">
        <v>86.282201069009602</v>
      </c>
      <c r="AN6455">
        <v>0.99999997684324204</v>
      </c>
    </row>
    <row r="6456" spans="1:40" x14ac:dyDescent="0.25">
      <c r="A6456" t="str">
        <f>"20190312172835285"</f>
        <v>20190312172835285</v>
      </c>
      <c r="B6456" t="str">
        <f>"1552382915276479"</f>
        <v>1552382915276479</v>
      </c>
      <c r="C6456" t="s">
        <v>40</v>
      </c>
      <c r="D6456">
        <v>3.373799</v>
      </c>
      <c r="E6456">
        <v>0.5355818</v>
      </c>
      <c r="F6456" t="s">
        <v>41</v>
      </c>
      <c r="G6456">
        <v>-184.91069999999999</v>
      </c>
      <c r="H6456" s="1">
        <v>-4.4722000000000001E-6</v>
      </c>
      <c r="I6456">
        <v>97.953220000000002</v>
      </c>
      <c r="J6456">
        <v>-187.77109999999999</v>
      </c>
      <c r="K6456">
        <v>1.1101160000000001</v>
      </c>
      <c r="L6456">
        <v>76.861969999999999</v>
      </c>
      <c r="M6456">
        <v>-1.6022229999999998E-2</v>
      </c>
      <c r="N6456">
        <v>0</v>
      </c>
      <c r="O6456">
        <v>0.99977680000000002</v>
      </c>
      <c r="P6456">
        <v>4.847601E-2</v>
      </c>
      <c r="Q6456">
        <v>0.17278209999999999</v>
      </c>
      <c r="R6456">
        <v>0.98376640000000004</v>
      </c>
      <c r="S6456">
        <v>0.40957640000000001</v>
      </c>
      <c r="T6456">
        <v>-0.159165</v>
      </c>
      <c r="U6456">
        <v>3.057404</v>
      </c>
      <c r="V6456">
        <v>6.4226069999999996E-2</v>
      </c>
      <c r="W6456">
        <v>0.18630050000000001</v>
      </c>
      <c r="X6456">
        <v>0.98039129999999997</v>
      </c>
      <c r="Y6456">
        <v>0.14846479999999901</v>
      </c>
      <c r="Z6456">
        <v>-5.1461130000000001E-2</v>
      </c>
      <c r="AA6456">
        <v>0.98757779999999995</v>
      </c>
      <c r="AB6456">
        <v>24</v>
      </c>
      <c r="AC6456">
        <v>2.8603999999999901</v>
      </c>
      <c r="AD6456">
        <v>-1.1101204722</v>
      </c>
      <c r="AE6456">
        <v>21.091249999999999</v>
      </c>
      <c r="AF6456">
        <v>3.1893176929544298</v>
      </c>
      <c r="AG6456">
        <v>-1.1101204722</v>
      </c>
      <c r="AH6456">
        <v>20.985620157682099</v>
      </c>
      <c r="AI6456">
        <v>92.993760733316293</v>
      </c>
      <c r="AJ6456">
        <v>81.358522566615406</v>
      </c>
      <c r="AK6456">
        <v>21.255596162232202</v>
      </c>
      <c r="AL6456">
        <v>79.263035985511706</v>
      </c>
      <c r="AM6456">
        <v>86.251872074510601</v>
      </c>
      <c r="AN6456">
        <v>0.99999998274179203</v>
      </c>
    </row>
    <row r="6457" spans="1:40" x14ac:dyDescent="0.25">
      <c r="A6457" t="str">
        <f>"20190312172835307"</f>
        <v>20190312172835307</v>
      </c>
      <c r="B6457" t="str">
        <f>"1552382915295999"</f>
        <v>1552382915295999</v>
      </c>
      <c r="C6457" t="s">
        <v>40</v>
      </c>
      <c r="D6457">
        <v>3.4102329999999998</v>
      </c>
      <c r="E6457">
        <v>0.53556289999999995</v>
      </c>
      <c r="F6457" t="s">
        <v>41</v>
      </c>
      <c r="G6457">
        <v>-184.90690000000001</v>
      </c>
      <c r="H6457" s="1">
        <v>-4.5686679999999999E-6</v>
      </c>
      <c r="I6457">
        <v>98.176509999999993</v>
      </c>
      <c r="J6457">
        <v>-187.7749</v>
      </c>
      <c r="K6457">
        <v>1.110117</v>
      </c>
      <c r="L6457">
        <v>77.093350000000001</v>
      </c>
      <c r="M6457">
        <v>-1.6069130000000001E-2</v>
      </c>
      <c r="N6457">
        <v>0</v>
      </c>
      <c r="O6457">
        <v>0.99977609999999995</v>
      </c>
      <c r="P6457">
        <v>4.8815909999999997E-2</v>
      </c>
      <c r="Q6457">
        <v>0.17223959999999999</v>
      </c>
      <c r="R6457">
        <v>0.98384479999999996</v>
      </c>
      <c r="S6457">
        <v>0.41082760000000001</v>
      </c>
      <c r="T6457">
        <v>-0.1592286</v>
      </c>
      <c r="U6457">
        <v>3.05722</v>
      </c>
      <c r="V6457">
        <v>6.4613340000000005E-2</v>
      </c>
      <c r="W6457">
        <v>0.18575710000000001</v>
      </c>
      <c r="X6457">
        <v>0.98046900000000003</v>
      </c>
      <c r="Y6457">
        <v>0.14891589999999999</v>
      </c>
      <c r="Z6457">
        <v>-5.148146E-2</v>
      </c>
      <c r="AA6457">
        <v>0.98750879999999996</v>
      </c>
      <c r="AB6457">
        <v>24</v>
      </c>
      <c r="AC6457">
        <v>2.8679999999999901</v>
      </c>
      <c r="AD6457">
        <v>-1.1101215686679999</v>
      </c>
      <c r="AE6457">
        <v>21.0831599999999</v>
      </c>
      <c r="AF6457">
        <v>3.1977451403816501</v>
      </c>
      <c r="AG6457">
        <v>-1.1101215686679999</v>
      </c>
      <c r="AH6457">
        <v>20.977244179461401</v>
      </c>
      <c r="AI6457">
        <v>92.994751241768896</v>
      </c>
      <c r="AJ6457">
        <v>81.332627492480199</v>
      </c>
      <c r="AK6457">
        <v>21.248593300376498</v>
      </c>
      <c r="AL6457">
        <v>79.294724068116295</v>
      </c>
      <c r="AM6457">
        <v>86.229634592690303</v>
      </c>
      <c r="AN6457">
        <v>1.00000002193368</v>
      </c>
    </row>
    <row r="6458" spans="1:40" x14ac:dyDescent="0.25">
      <c r="A6458" t="str">
        <f>"20190312172835330"</f>
        <v>20190312172835330</v>
      </c>
      <c r="B6458" t="str">
        <f>"1552382915326255"</f>
        <v>1552382915326255</v>
      </c>
      <c r="C6458" t="s">
        <v>40</v>
      </c>
      <c r="D6458">
        <v>3.3973770000000001</v>
      </c>
      <c r="E6458">
        <v>0.53558019999999995</v>
      </c>
      <c r="F6458" t="s">
        <v>41</v>
      </c>
      <c r="G6458">
        <v>-184.93340000000001</v>
      </c>
      <c r="H6458" s="1">
        <v>-4.5699680000000003E-6</v>
      </c>
      <c r="I6458">
        <v>98.190520000000006</v>
      </c>
      <c r="J6458">
        <v>-187.77869999999999</v>
      </c>
      <c r="K6458">
        <v>1.110114</v>
      </c>
      <c r="L6458">
        <v>77.325530000000001</v>
      </c>
      <c r="M6458">
        <v>-1.6116490000000001E-2</v>
      </c>
      <c r="N6458">
        <v>0</v>
      </c>
      <c r="O6458">
        <v>0.99977539999999998</v>
      </c>
      <c r="P6458">
        <v>4.9261239999999998E-2</v>
      </c>
      <c r="Q6458">
        <v>0.1719542</v>
      </c>
      <c r="R6458">
        <v>0.98387250000000004</v>
      </c>
      <c r="S6458">
        <v>0.41172789999999998</v>
      </c>
      <c r="T6458">
        <v>-0.16085650000000001</v>
      </c>
      <c r="U6458">
        <v>3.0569760000000001</v>
      </c>
      <c r="V6458">
        <v>6.5105759999999999E-2</v>
      </c>
      <c r="W6458">
        <v>0.18546940000000001</v>
      </c>
      <c r="X6458">
        <v>0.98049090000000005</v>
      </c>
      <c r="Y6458">
        <v>0.1492552</v>
      </c>
      <c r="Z6458">
        <v>-5.2008060000000002E-2</v>
      </c>
      <c r="AA6458">
        <v>0.98743000000000003</v>
      </c>
      <c r="AB6458">
        <v>24</v>
      </c>
      <c r="AC6458">
        <v>2.84529999999998</v>
      </c>
      <c r="AD6458">
        <v>-1.1101185699680001</v>
      </c>
      <c r="AE6458">
        <v>20.864989999999899</v>
      </c>
      <c r="AF6458">
        <v>3.1724162530673001</v>
      </c>
      <c r="AG6458">
        <v>-1.1101185699680001</v>
      </c>
      <c r="AH6458">
        <v>20.7587288864651</v>
      </c>
      <c r="AI6458">
        <v>93.026035610552796</v>
      </c>
      <c r="AJ6458">
        <v>81.311099929430895</v>
      </c>
      <c r="AK6458">
        <v>21.029061156025801</v>
      </c>
      <c r="AL6458">
        <v>79.311499678666806</v>
      </c>
      <c r="AM6458">
        <v>86.201068968818106</v>
      </c>
      <c r="AN6458">
        <v>1.00000003165217</v>
      </c>
    </row>
    <row r="6459" spans="1:40" x14ac:dyDescent="0.25">
      <c r="A6459" t="str">
        <f>"20190312172835350"</f>
        <v>20190312172835350</v>
      </c>
      <c r="B6459" t="str">
        <f>"1552382915345775"</f>
        <v>1552382915345775</v>
      </c>
      <c r="C6459" t="s">
        <v>40</v>
      </c>
      <c r="D6459">
        <v>3.4041990000000002</v>
      </c>
      <c r="E6459">
        <v>0.53556550000000003</v>
      </c>
      <c r="F6459" t="s">
        <v>41</v>
      </c>
      <c r="G6459">
        <v>-184.94980000000001</v>
      </c>
      <c r="H6459" s="1">
        <v>-4.5988940000000004E-6</v>
      </c>
      <c r="I6459">
        <v>98.264709999999994</v>
      </c>
      <c r="J6459">
        <v>-187.7824</v>
      </c>
      <c r="K6459">
        <v>1.110109</v>
      </c>
      <c r="L6459">
        <v>77.554779999999994</v>
      </c>
      <c r="M6459">
        <v>-1.6162570000000001E-2</v>
      </c>
      <c r="N6459">
        <v>0</v>
      </c>
      <c r="O6459">
        <v>0.99977470000000002</v>
      </c>
      <c r="P6459">
        <v>4.9723070000000001E-2</v>
      </c>
      <c r="Q6459">
        <v>0.17193149999999999</v>
      </c>
      <c r="R6459">
        <v>0.98385319999999998</v>
      </c>
      <c r="S6459">
        <v>0.41297909999999999</v>
      </c>
      <c r="T6459">
        <v>-0.1620616</v>
      </c>
      <c r="U6459">
        <v>3.0568240000000002</v>
      </c>
      <c r="V6459">
        <v>6.5612550000000006E-2</v>
      </c>
      <c r="W6459">
        <v>0.1854441</v>
      </c>
      <c r="X6459">
        <v>0.9804619</v>
      </c>
      <c r="Y6459">
        <v>0.14970149999999999</v>
      </c>
      <c r="Z6459">
        <v>-5.2395940000000002E-2</v>
      </c>
      <c r="AA6459">
        <v>0.98734189999999999</v>
      </c>
      <c r="AB6459">
        <v>24</v>
      </c>
      <c r="AC6459">
        <v>2.8325999999999798</v>
      </c>
      <c r="AD6459">
        <v>-1.1101135988940001</v>
      </c>
      <c r="AE6459">
        <v>20.7099299999999</v>
      </c>
      <c r="AF6459">
        <v>3.1580799048066002</v>
      </c>
      <c r="AG6459">
        <v>-1.1101135988940001</v>
      </c>
      <c r="AH6459">
        <v>20.603325915843399</v>
      </c>
      <c r="AI6459">
        <v>93.048595405562196</v>
      </c>
      <c r="AJ6459">
        <v>81.285522911116601</v>
      </c>
      <c r="AK6459">
        <v>20.873496584953301</v>
      </c>
      <c r="AL6459">
        <v>79.312974825437905</v>
      </c>
      <c r="AM6459">
        <v>86.171472396701404</v>
      </c>
      <c r="AN6459">
        <v>1.00000002914696</v>
      </c>
    </row>
    <row r="6460" spans="1:40" x14ac:dyDescent="0.25">
      <c r="A6460" t="str">
        <f>"20190312172835374"</f>
        <v>20190312172835374</v>
      </c>
      <c r="B6460" t="str">
        <f>"1552382915366271"</f>
        <v>1552382915366271</v>
      </c>
      <c r="C6460" t="s">
        <v>40</v>
      </c>
      <c r="D6460">
        <v>3.40313</v>
      </c>
      <c r="E6460">
        <v>0.53555929999999996</v>
      </c>
      <c r="F6460" t="s">
        <v>41</v>
      </c>
      <c r="G6460">
        <v>-184.94319999999999</v>
      </c>
      <c r="H6460" s="1">
        <v>-4.6876919999999998E-6</v>
      </c>
      <c r="I6460">
        <v>98.468990000000005</v>
      </c>
      <c r="J6460">
        <v>-187.78630000000001</v>
      </c>
      <c r="K6460">
        <v>1.110107</v>
      </c>
      <c r="L6460">
        <v>77.791229999999999</v>
      </c>
      <c r="M6460">
        <v>-1.6209910000000001E-2</v>
      </c>
      <c r="N6460">
        <v>0</v>
      </c>
      <c r="O6460">
        <v>0.99977389999999999</v>
      </c>
      <c r="P6460">
        <v>5.055896E-2</v>
      </c>
      <c r="Q6460">
        <v>0.17117539999999901</v>
      </c>
      <c r="R6460">
        <v>0.98394239999999999</v>
      </c>
      <c r="S6460">
        <v>0.41494750000000002</v>
      </c>
      <c r="T6460">
        <v>-0.162243</v>
      </c>
      <c r="U6460">
        <v>3.05661</v>
      </c>
      <c r="V6460">
        <v>6.6496509999999995E-2</v>
      </c>
      <c r="W6460">
        <v>0.1846863</v>
      </c>
      <c r="X6460">
        <v>0.98054529999999995</v>
      </c>
      <c r="Y6460">
        <v>0.1503813</v>
      </c>
      <c r="Z6460">
        <v>-5.2453020000000003E-2</v>
      </c>
      <c r="AA6460">
        <v>0.98723559999999999</v>
      </c>
      <c r="AB6460">
        <v>24</v>
      </c>
      <c r="AC6460">
        <v>2.8431000000000202</v>
      </c>
      <c r="AD6460">
        <v>-1.1101116876920001</v>
      </c>
      <c r="AE6460">
        <v>20.677759999999999</v>
      </c>
      <c r="AF6460">
        <v>3.1689785407833502</v>
      </c>
      <c r="AG6460">
        <v>-1.1101116876920001</v>
      </c>
      <c r="AH6460">
        <v>20.570762600828001</v>
      </c>
      <c r="AI6460">
        <v>93.053053542465406</v>
      </c>
      <c r="AJ6460">
        <v>81.242285602091698</v>
      </c>
      <c r="AK6460">
        <v>20.843009545905801</v>
      </c>
      <c r="AL6460">
        <v>79.357155905944794</v>
      </c>
      <c r="AM6460">
        <v>86.1203783546853</v>
      </c>
      <c r="AN6460">
        <v>0.99999995030097799</v>
      </c>
    </row>
    <row r="6461" spans="1:40" x14ac:dyDescent="0.25">
      <c r="A6461" t="str">
        <f>"20190312172835397"</f>
        <v>20190312172835397</v>
      </c>
      <c r="B6461" t="str">
        <f>"1552382915386767"</f>
        <v>1552382915386767</v>
      </c>
      <c r="C6461" t="s">
        <v>40</v>
      </c>
      <c r="D6461">
        <v>3.3813580000000001</v>
      </c>
      <c r="E6461">
        <v>0.53561630000000005</v>
      </c>
      <c r="F6461" t="s">
        <v>41</v>
      </c>
      <c r="G6461">
        <v>-184.9819</v>
      </c>
      <c r="H6461" s="1">
        <v>-4.629134E-6</v>
      </c>
      <c r="I6461">
        <v>98.348479999999995</v>
      </c>
      <c r="J6461">
        <v>-187.79040000000001</v>
      </c>
      <c r="K6461">
        <v>1.1101049999999999</v>
      </c>
      <c r="L6461">
        <v>78.041929999999994</v>
      </c>
      <c r="M6461">
        <v>-1.625969E-2</v>
      </c>
      <c r="N6461">
        <v>0</v>
      </c>
      <c r="O6461">
        <v>0.99977309999999997</v>
      </c>
      <c r="P6461">
        <v>5.1206460000000002E-2</v>
      </c>
      <c r="Q6461">
        <v>0.17124739999999999</v>
      </c>
      <c r="R6461">
        <v>0.9838964</v>
      </c>
      <c r="S6461">
        <v>0.4169312</v>
      </c>
      <c r="T6461">
        <v>-0.1650401</v>
      </c>
      <c r="U6461">
        <v>3.056244</v>
      </c>
      <c r="V6461">
        <v>6.7192370000000001E-2</v>
      </c>
      <c r="W6461">
        <v>0.18475569999999999</v>
      </c>
      <c r="X6461">
        <v>0.98048480000000005</v>
      </c>
      <c r="Y6461">
        <v>0.15106889999999901</v>
      </c>
      <c r="Z6461">
        <v>-5.3355859999999998E-2</v>
      </c>
      <c r="AA6461">
        <v>0.98708220000000002</v>
      </c>
      <c r="AB6461">
        <v>24</v>
      </c>
      <c r="AC6461">
        <v>2.8085</v>
      </c>
      <c r="AD6461">
        <v>-1.11010962913399</v>
      </c>
      <c r="AE6461">
        <v>20.306550000000001</v>
      </c>
      <c r="AF6461">
        <v>3.1291620179994402</v>
      </c>
      <c r="AG6461">
        <v>-1.11010962913399</v>
      </c>
      <c r="AH6461">
        <v>20.198962908065599</v>
      </c>
      <c r="AI6461">
        <v>93.108730998019695</v>
      </c>
      <c r="AJ6461">
        <v>81.193913041696007</v>
      </c>
      <c r="AK6461">
        <v>20.470029332783</v>
      </c>
      <c r="AL6461">
        <v>79.353110090219104</v>
      </c>
      <c r="AM6461">
        <v>86.079664424798096</v>
      </c>
      <c r="AN6461">
        <v>0.99999996314987205</v>
      </c>
    </row>
    <row r="6462" spans="1:40" x14ac:dyDescent="0.25">
      <c r="A6462" t="str">
        <f>"20190312172835419"</f>
        <v>20190312172835419</v>
      </c>
      <c r="B6462" t="str">
        <f>"1552382915416047"</f>
        <v>1552382915416047</v>
      </c>
      <c r="C6462" t="s">
        <v>40</v>
      </c>
      <c r="D6462">
        <v>3.4166029999999998</v>
      </c>
      <c r="E6462">
        <v>0.53568739999999904</v>
      </c>
      <c r="F6462" t="s">
        <v>41</v>
      </c>
      <c r="G6462">
        <v>-184.96090000000001</v>
      </c>
      <c r="H6462" s="1">
        <v>-4.762685E-6</v>
      </c>
      <c r="I6462">
        <v>98.651120000000006</v>
      </c>
      <c r="J6462">
        <v>-187.79429999999999</v>
      </c>
      <c r="K6462">
        <v>1.1101019999999999</v>
      </c>
      <c r="L6462">
        <v>78.279969999999906</v>
      </c>
      <c r="M6462">
        <v>-1.630587E-2</v>
      </c>
      <c r="N6462">
        <v>0</v>
      </c>
      <c r="O6462">
        <v>0.99977240000000001</v>
      </c>
      <c r="P6462">
        <v>5.1676140000000002E-2</v>
      </c>
      <c r="Q6462">
        <v>0.1714002</v>
      </c>
      <c r="R6462">
        <v>0.98384530000000003</v>
      </c>
      <c r="S6462">
        <v>0.41955569999999998</v>
      </c>
      <c r="T6462">
        <v>-0.1646059</v>
      </c>
      <c r="U6462">
        <v>3.0559080000000001</v>
      </c>
      <c r="V6462">
        <v>6.7706929999999999E-2</v>
      </c>
      <c r="W6462">
        <v>0.18490470000000001</v>
      </c>
      <c r="X6462">
        <v>0.9804214</v>
      </c>
      <c r="Y6462">
        <v>0.15196229999999999</v>
      </c>
      <c r="Z6462">
        <v>-5.3214839999999999E-2</v>
      </c>
      <c r="AA6462">
        <v>0.98695270000000002</v>
      </c>
      <c r="AB6462">
        <v>23</v>
      </c>
      <c r="AC6462">
        <v>2.8333999999999802</v>
      </c>
      <c r="AD6462">
        <v>-1.1101067626850001</v>
      </c>
      <c r="AE6462">
        <v>20.37115</v>
      </c>
      <c r="AF6462">
        <v>3.15602970637971</v>
      </c>
      <c r="AG6462">
        <v>-1.1101067626850001</v>
      </c>
      <c r="AH6462">
        <v>20.263204063985</v>
      </c>
      <c r="AI6462">
        <v>93.098494947764806</v>
      </c>
      <c r="AJ6462">
        <v>81.147209646670007</v>
      </c>
      <c r="AK6462">
        <v>20.537533918920499</v>
      </c>
      <c r="AL6462">
        <v>79.3444242759318</v>
      </c>
      <c r="AM6462">
        <v>86.049482495738999</v>
      </c>
      <c r="AN6462">
        <v>1.00000004901503</v>
      </c>
    </row>
    <row r="6463" spans="1:40" x14ac:dyDescent="0.25">
      <c r="A6463" t="str">
        <f>"20190312172835441"</f>
        <v>20190312172835441</v>
      </c>
      <c r="B6463" t="str">
        <f>"1552382915436543"</f>
        <v>1552382915436543</v>
      </c>
      <c r="C6463" t="s">
        <v>40</v>
      </c>
      <c r="D6463">
        <v>3.4321100000000002</v>
      </c>
      <c r="E6463">
        <v>0.53573159999999997</v>
      </c>
      <c r="F6463" t="s">
        <v>41</v>
      </c>
      <c r="G6463">
        <v>-184.93940000000001</v>
      </c>
      <c r="H6463" s="1">
        <v>-4.9008429999999999E-6</v>
      </c>
      <c r="I6463">
        <v>98.964280000000002</v>
      </c>
      <c r="J6463">
        <v>-187.7979</v>
      </c>
      <c r="K6463">
        <v>1.1101080000000001</v>
      </c>
      <c r="L6463">
        <v>78.495760000000004</v>
      </c>
      <c r="M6463">
        <v>-1.6345800000000001E-2</v>
      </c>
      <c r="N6463">
        <v>0</v>
      </c>
      <c r="O6463">
        <v>0.99977179999999999</v>
      </c>
      <c r="P6463">
        <v>5.2260420000000002E-2</v>
      </c>
      <c r="Q6463">
        <v>0.1718054</v>
      </c>
      <c r="R6463">
        <v>0.9837437</v>
      </c>
      <c r="S6463">
        <v>0.42175289999999999</v>
      </c>
      <c r="T6463">
        <v>-0.16399459999999999</v>
      </c>
      <c r="U6463">
        <v>3.0556640000000002</v>
      </c>
      <c r="V6463">
        <v>6.8329189999999998E-2</v>
      </c>
      <c r="W6463">
        <v>0.18530630000000001</v>
      </c>
      <c r="X6463">
        <v>0.98030229999999996</v>
      </c>
      <c r="Y6463">
        <v>0.15271019999999999</v>
      </c>
      <c r="Z6463">
        <v>-5.3016250000000001E-2</v>
      </c>
      <c r="AA6463">
        <v>0.9868479</v>
      </c>
      <c r="AB6463">
        <v>23</v>
      </c>
      <c r="AC6463">
        <v>2.85849999999999</v>
      </c>
      <c r="AD6463">
        <v>-1.110112900843</v>
      </c>
      <c r="AE6463">
        <v>20.468520000000002</v>
      </c>
      <c r="AF6463">
        <v>3.1835389291223501</v>
      </c>
      <c r="AG6463">
        <v>-1.110112900843</v>
      </c>
      <c r="AH6463">
        <v>20.360312806905199</v>
      </c>
      <c r="AI6463">
        <v>93.083477055450203</v>
      </c>
      <c r="AJ6463">
        <v>81.113187470442696</v>
      </c>
      <c r="AK6463">
        <v>20.6375775797665</v>
      </c>
      <c r="AL6463">
        <v>79.3210085989558</v>
      </c>
      <c r="AM6463">
        <v>86.012809045332801</v>
      </c>
      <c r="AN6463">
        <v>0.99999995120551599</v>
      </c>
    </row>
    <row r="6464" spans="1:40" x14ac:dyDescent="0.25">
      <c r="A6464" t="str">
        <f>"20190312172835462"</f>
        <v>20190312172835462</v>
      </c>
      <c r="B6464" t="str">
        <f>"1552382915456063"</f>
        <v>1552382915456063</v>
      </c>
      <c r="C6464" t="s">
        <v>40</v>
      </c>
      <c r="D6464">
        <v>3.443133</v>
      </c>
      <c r="E6464">
        <v>0.53578530000000002</v>
      </c>
      <c r="F6464" t="s">
        <v>41</v>
      </c>
      <c r="G6464">
        <v>-184.9015</v>
      </c>
      <c r="H6464" s="1">
        <v>-5.0710640000000003E-6</v>
      </c>
      <c r="I6464">
        <v>99.345389999999995</v>
      </c>
      <c r="J6464">
        <v>-187.80179999999999</v>
      </c>
      <c r="K6464">
        <v>1.110106</v>
      </c>
      <c r="L6464">
        <v>78.730559999999997</v>
      </c>
      <c r="M6464">
        <v>-1.6386189999999998E-2</v>
      </c>
      <c r="N6464">
        <v>0</v>
      </c>
      <c r="O6464">
        <v>0.99977119999999997</v>
      </c>
      <c r="P6464">
        <v>5.2586510000000003E-2</v>
      </c>
      <c r="Q6464">
        <v>0.17225579999999999</v>
      </c>
      <c r="R6464">
        <v>0.98364759999999996</v>
      </c>
      <c r="S6464">
        <v>0.42445369999999999</v>
      </c>
      <c r="T6464">
        <v>-0.1626821</v>
      </c>
      <c r="U6464">
        <v>3.0554199999999998</v>
      </c>
      <c r="V6464">
        <v>6.8694320000000003E-2</v>
      </c>
      <c r="W6464">
        <v>0.1857529</v>
      </c>
      <c r="X6464">
        <v>0.98019230000000002</v>
      </c>
      <c r="Y6464">
        <v>0.153619799999999</v>
      </c>
      <c r="Z6464">
        <v>-5.2590350000000001E-2</v>
      </c>
      <c r="AA6464">
        <v>0.98672959999999998</v>
      </c>
      <c r="AB6464">
        <v>23</v>
      </c>
      <c r="AC6464">
        <v>2.9002999999999801</v>
      </c>
      <c r="AD6464">
        <v>-1.1101110710640001</v>
      </c>
      <c r="AE6464">
        <v>20.614830000000001</v>
      </c>
      <c r="AF6464">
        <v>3.2285604024428398</v>
      </c>
      <c r="AG6464">
        <v>-1.1101110710640001</v>
      </c>
      <c r="AH6464">
        <v>20.506221825858201</v>
      </c>
      <c r="AI6464">
        <v>93.061067174070004</v>
      </c>
      <c r="AJ6464">
        <v>81.052630033723602</v>
      </c>
      <c r="AK6464">
        <v>20.788484370767002</v>
      </c>
      <c r="AL6464">
        <v>79.294968704987397</v>
      </c>
      <c r="AM6464">
        <v>85.991123632710995</v>
      </c>
      <c r="AN6464">
        <v>0.99999999721898103</v>
      </c>
    </row>
    <row r="6465" spans="1:40" x14ac:dyDescent="0.25">
      <c r="A6465" t="str">
        <f>"20190312172835486"</f>
        <v>20190312172835486</v>
      </c>
      <c r="B6465" t="str">
        <f>"1552382915476560"</f>
        <v>1552382915476560</v>
      </c>
      <c r="C6465" t="s">
        <v>40</v>
      </c>
      <c r="D6465">
        <v>3.3958590000000002</v>
      </c>
      <c r="E6465">
        <v>0.5358444</v>
      </c>
      <c r="F6465" t="s">
        <v>41</v>
      </c>
      <c r="G6465">
        <v>-184.87180000000001</v>
      </c>
      <c r="H6465" s="1">
        <v>-1.398965E-6</v>
      </c>
      <c r="I6465">
        <v>99.749359999999996</v>
      </c>
      <c r="J6465">
        <v>-187.8056</v>
      </c>
      <c r="K6465">
        <v>1.110106</v>
      </c>
      <c r="L6465">
        <v>78.963650000000001</v>
      </c>
      <c r="M6465">
        <v>-1.642101E-2</v>
      </c>
      <c r="N6465">
        <v>0</v>
      </c>
      <c r="O6465">
        <v>0.99977059999999995</v>
      </c>
      <c r="P6465">
        <v>5.3395390000000001E-2</v>
      </c>
      <c r="Q6465">
        <v>0.1721869</v>
      </c>
      <c r="R6465">
        <v>0.98361609999999999</v>
      </c>
      <c r="S6465">
        <v>0.42591859999999998</v>
      </c>
      <c r="T6465">
        <v>-0.16137029999999999</v>
      </c>
      <c r="U6465">
        <v>3.0553889999999999</v>
      </c>
      <c r="V6465">
        <v>6.9538420000000004E-2</v>
      </c>
      <c r="W6465">
        <v>0.18567980000000001</v>
      </c>
      <c r="X6465">
        <v>0.98014659999999998</v>
      </c>
      <c r="Y6465">
        <v>0.1541227</v>
      </c>
      <c r="Z6465">
        <v>-5.2164160000000001E-2</v>
      </c>
      <c r="AA6465">
        <v>0.98667380000000005</v>
      </c>
      <c r="AB6465">
        <v>23</v>
      </c>
      <c r="AC6465">
        <v>2.93379999999999</v>
      </c>
      <c r="AD6465">
        <v>-1.1101073989650001</v>
      </c>
      <c r="AE6465">
        <v>20.785709999999899</v>
      </c>
      <c r="AF6465">
        <v>3.2656262643461198</v>
      </c>
      <c r="AG6465">
        <v>-1.1101073989650001</v>
      </c>
      <c r="AH6465">
        <v>20.676900918580799</v>
      </c>
      <c r="AI6465">
        <v>93.035606953235302</v>
      </c>
      <c r="AJ6465">
        <v>81.025068755016505</v>
      </c>
      <c r="AK6465">
        <v>20.962606825784601</v>
      </c>
      <c r="AL6465">
        <v>79.299230870684895</v>
      </c>
      <c r="AM6465">
        <v>85.941838481709098</v>
      </c>
      <c r="AN6465">
        <v>0.99999996873784702</v>
      </c>
    </row>
    <row r="6466" spans="1:40" x14ac:dyDescent="0.25">
      <c r="A6466" t="str">
        <f>"20190312172835509"</f>
        <v>20190312172835509</v>
      </c>
      <c r="B6466" t="str">
        <f>"1552382915505839"</f>
        <v>1552382915505839</v>
      </c>
      <c r="C6466" t="s">
        <v>40</v>
      </c>
      <c r="D6466">
        <v>3.4163619999999999</v>
      </c>
      <c r="E6466">
        <v>0.53589619999999905</v>
      </c>
      <c r="F6466" t="s">
        <v>41</v>
      </c>
      <c r="G6466">
        <v>-184.86680000000001</v>
      </c>
      <c r="H6466" s="1">
        <v>-1.4500249999999999E-6</v>
      </c>
      <c r="I6466">
        <v>99.89555</v>
      </c>
      <c r="J6466">
        <v>-187.80959999999999</v>
      </c>
      <c r="K6466">
        <v>1.1100969999999999</v>
      </c>
      <c r="L6466">
        <v>79.201779999999999</v>
      </c>
      <c r="M6466">
        <v>-1.6449020000000002E-2</v>
      </c>
      <c r="N6466">
        <v>0</v>
      </c>
      <c r="O6466">
        <v>0.99977020000000005</v>
      </c>
      <c r="P6466">
        <v>5.3864250000000002E-2</v>
      </c>
      <c r="Q6466">
        <v>0.1723565</v>
      </c>
      <c r="R6466">
        <v>0.98356080000000001</v>
      </c>
      <c r="S6466">
        <v>0.42892459999999999</v>
      </c>
      <c r="T6466">
        <v>-0.16202259999999999</v>
      </c>
      <c r="U6466">
        <v>3.0550540000000002</v>
      </c>
      <c r="V6466">
        <v>7.0036310000000004E-2</v>
      </c>
      <c r="W6466">
        <v>0.1858447</v>
      </c>
      <c r="X6466">
        <v>0.9800799</v>
      </c>
      <c r="Y6466">
        <v>0.1551158</v>
      </c>
      <c r="Z6466">
        <v>-5.2372460000000003E-2</v>
      </c>
      <c r="AA6466">
        <v>0.98650709999999997</v>
      </c>
      <c r="AB6466">
        <v>23</v>
      </c>
      <c r="AC6466">
        <v>2.9427999999999699</v>
      </c>
      <c r="AD6466">
        <v>-1.110098450025</v>
      </c>
      <c r="AE6466">
        <v>20.693770000000001</v>
      </c>
      <c r="AF6466">
        <v>3.2735925366090401</v>
      </c>
      <c r="AG6466">
        <v>-1.110098450025</v>
      </c>
      <c r="AH6466">
        <v>20.584497374148601</v>
      </c>
      <c r="AI6466">
        <v>93.048667930513005</v>
      </c>
      <c r="AJ6466">
        <v>80.963812543618801</v>
      </c>
      <c r="AK6466">
        <v>20.872715654912302</v>
      </c>
      <c r="AL6466">
        <v>79.289615491992294</v>
      </c>
      <c r="AM6466">
        <v>85.912603252797794</v>
      </c>
      <c r="AN6466">
        <v>0.99999997381025696</v>
      </c>
    </row>
    <row r="6467" spans="1:40" x14ac:dyDescent="0.25">
      <c r="A6467" t="str">
        <f>"20190312172835530"</f>
        <v>20190312172835530</v>
      </c>
      <c r="B6467" t="str">
        <f>"1552382915526335"</f>
        <v>1552382915526335</v>
      </c>
      <c r="C6467" t="s">
        <v>40</v>
      </c>
      <c r="D6467">
        <v>3.4253399999999998</v>
      </c>
      <c r="E6467">
        <v>0.53591309999999903</v>
      </c>
      <c r="F6467" t="s">
        <v>41</v>
      </c>
      <c r="G6467">
        <v>-184.8519</v>
      </c>
      <c r="H6467" s="1">
        <v>-1.5428299999999901E-6</v>
      </c>
      <c r="I6467">
        <v>100.1566</v>
      </c>
      <c r="J6467">
        <v>-187.81319999999999</v>
      </c>
      <c r="K6467">
        <v>1.11009</v>
      </c>
      <c r="L6467">
        <v>79.422939999999997</v>
      </c>
      <c r="M6467">
        <v>-1.6465569999999999E-2</v>
      </c>
      <c r="N6467">
        <v>0</v>
      </c>
      <c r="O6467">
        <v>0.99977000000000005</v>
      </c>
      <c r="P6467">
        <v>5.4347510000000002E-2</v>
      </c>
      <c r="Q6467">
        <v>0.17199919999999999</v>
      </c>
      <c r="R6467">
        <v>0.98359680000000005</v>
      </c>
      <c r="S6467">
        <v>0.43118289999999998</v>
      </c>
      <c r="T6467">
        <v>-0.16183449999999999</v>
      </c>
      <c r="U6467">
        <v>3.0548709999999999</v>
      </c>
      <c r="V6467">
        <v>7.0539299999999999E-2</v>
      </c>
      <c r="W6467">
        <v>0.18548480000000001</v>
      </c>
      <c r="X6467">
        <v>0.98011199999999998</v>
      </c>
      <c r="Y6467">
        <v>0.15585579999999999</v>
      </c>
      <c r="Z6467">
        <v>-5.2309149999999999E-2</v>
      </c>
      <c r="AA6467">
        <v>0.98639379999999999</v>
      </c>
      <c r="AB6467">
        <v>23</v>
      </c>
      <c r="AC6467">
        <v>2.9612999999999898</v>
      </c>
      <c r="AD6467">
        <v>-1.11009154283</v>
      </c>
      <c r="AE6467">
        <v>20.73366</v>
      </c>
      <c r="AF6467">
        <v>3.2930710684468001</v>
      </c>
      <c r="AG6467">
        <v>-1.11009154283</v>
      </c>
      <c r="AH6467">
        <v>20.6241455109779</v>
      </c>
      <c r="AI6467">
        <v>93.042497806322103</v>
      </c>
      <c r="AJ6467">
        <v>80.928122420306494</v>
      </c>
      <c r="AK6467">
        <v>20.914875049908701</v>
      </c>
      <c r="AL6467">
        <v>79.310601057102303</v>
      </c>
      <c r="AM6467">
        <v>85.883483125022494</v>
      </c>
      <c r="AN6467">
        <v>0.999999968209764</v>
      </c>
    </row>
    <row r="6468" spans="1:40" x14ac:dyDescent="0.25">
      <c r="A6468" t="str">
        <f>"20190312172835552"</f>
        <v>20190312172835552</v>
      </c>
      <c r="B6468" t="str">
        <f>"1552382915546830"</f>
        <v>1552382915546830</v>
      </c>
      <c r="C6468" t="s">
        <v>40</v>
      </c>
      <c r="D6468">
        <v>3.4418060000000001</v>
      </c>
      <c r="E6468">
        <v>0.53593400000000002</v>
      </c>
      <c r="F6468" t="s">
        <v>41</v>
      </c>
      <c r="G6468">
        <v>-184.86619999999999</v>
      </c>
      <c r="H6468" s="1">
        <v>-1.5560159999999901E-6</v>
      </c>
      <c r="I6468">
        <v>100.20650000000001</v>
      </c>
      <c r="J6468">
        <v>-187.81720000000001</v>
      </c>
      <c r="K6468">
        <v>1.110088</v>
      </c>
      <c r="L6468">
        <v>79.659639999999996</v>
      </c>
      <c r="M6468">
        <v>-1.6474889999999999E-2</v>
      </c>
      <c r="N6468">
        <v>0</v>
      </c>
      <c r="O6468">
        <v>0.99976989999999999</v>
      </c>
      <c r="P6468">
        <v>5.4741039999999998E-2</v>
      </c>
      <c r="Q6468">
        <v>0.17129339999999901</v>
      </c>
      <c r="R6468">
        <v>0.98369810000000002</v>
      </c>
      <c r="S6468">
        <v>0.43313600000000002</v>
      </c>
      <c r="T6468">
        <v>-0.16315379999999999</v>
      </c>
      <c r="U6468">
        <v>3.0546259999999998</v>
      </c>
      <c r="V6468">
        <v>7.0946739999999994E-2</v>
      </c>
      <c r="W6468">
        <v>0.18477579999999999</v>
      </c>
      <c r="X6468">
        <v>0.98021650000000005</v>
      </c>
      <c r="Y6468">
        <v>0.15649099999999999</v>
      </c>
      <c r="Z6468">
        <v>-5.2733530000000001E-2</v>
      </c>
      <c r="AA6468">
        <v>0.9862706</v>
      </c>
      <c r="AB6468">
        <v>23</v>
      </c>
      <c r="AC6468">
        <v>2.9510000000000201</v>
      </c>
      <c r="AD6468">
        <v>-1.110089556016</v>
      </c>
      <c r="AE6468">
        <v>20.546859999999999</v>
      </c>
      <c r="AF6468">
        <v>3.2797586867412898</v>
      </c>
      <c r="AG6468">
        <v>-1.110089556016</v>
      </c>
      <c r="AH6468">
        <v>20.437000144884198</v>
      </c>
      <c r="AI6468">
        <v>93.069912225002199</v>
      </c>
      <c r="AJ6468">
        <v>80.882830594226107</v>
      </c>
      <c r="AK6468">
        <v>20.728243794099502</v>
      </c>
      <c r="AL6468">
        <v>79.351938251805095</v>
      </c>
      <c r="AM6468">
        <v>85.860228128324295</v>
      </c>
      <c r="AN6468">
        <v>0.99999996152725801</v>
      </c>
    </row>
    <row r="6469" spans="1:40" x14ac:dyDescent="0.25">
      <c r="A6469" t="str">
        <f>"20190312172835574"</f>
        <v>20190312172835574</v>
      </c>
      <c r="B6469" t="str">
        <f>"1552382915565966"</f>
        <v>1552382915565966</v>
      </c>
      <c r="C6469" t="s">
        <v>40</v>
      </c>
      <c r="D6469">
        <v>3.4301550000000001</v>
      </c>
      <c r="E6469">
        <v>0.53594350000000002</v>
      </c>
      <c r="F6469" t="s">
        <v>41</v>
      </c>
      <c r="G6469">
        <v>-184.91229999999999</v>
      </c>
      <c r="H6469" s="1">
        <v>-1.510753E-6</v>
      </c>
      <c r="I6469">
        <v>100.1096</v>
      </c>
      <c r="J6469">
        <v>-187.82089999999999</v>
      </c>
      <c r="K6469">
        <v>1.1100840000000001</v>
      </c>
      <c r="L6469">
        <v>79.884029999999996</v>
      </c>
      <c r="M6469">
        <v>-1.6477350000000002E-2</v>
      </c>
      <c r="N6469">
        <v>0</v>
      </c>
      <c r="O6469">
        <v>0.99976989999999999</v>
      </c>
      <c r="P6469">
        <v>5.5157579999999998E-2</v>
      </c>
      <c r="Q6469">
        <v>0.17083319999999999</v>
      </c>
      <c r="R6469">
        <v>0.98375489999999999</v>
      </c>
      <c r="S6469">
        <v>0.43386839999999999</v>
      </c>
      <c r="T6469">
        <v>-0.16580510000000001</v>
      </c>
      <c r="U6469">
        <v>3.054443</v>
      </c>
      <c r="V6469">
        <v>7.1368849999999998E-2</v>
      </c>
      <c r="W6469">
        <v>0.18431330000000001</v>
      </c>
      <c r="X6469">
        <v>0.9802729</v>
      </c>
      <c r="Y6469">
        <v>0.15672710000000001</v>
      </c>
      <c r="Z6469">
        <v>-5.358926E-2</v>
      </c>
      <c r="AA6469">
        <v>0.98618700000000004</v>
      </c>
      <c r="AB6469">
        <v>23</v>
      </c>
      <c r="AC6469">
        <v>2.9085999999999999</v>
      </c>
      <c r="AD6469">
        <v>-1.1100855107529899</v>
      </c>
      <c r="AE6469">
        <v>20.225569999999902</v>
      </c>
      <c r="AF6469">
        <v>3.2319616211876601</v>
      </c>
      <c r="AG6469">
        <v>-1.1100855107529899</v>
      </c>
      <c r="AH6469">
        <v>20.115525053480798</v>
      </c>
      <c r="AI6469">
        <v>93.118774510336294</v>
      </c>
      <c r="AJ6469">
        <v>80.872296445818705</v>
      </c>
      <c r="AK6469">
        <v>20.403730392730399</v>
      </c>
      <c r="AL6469">
        <v>79.378900334902895</v>
      </c>
      <c r="AM6469">
        <v>85.835922978638905</v>
      </c>
      <c r="AN6469">
        <v>0.99999993189080905</v>
      </c>
    </row>
    <row r="6470" spans="1:40" x14ac:dyDescent="0.25">
      <c r="A6470" t="str">
        <f>"20190312172835599"</f>
        <v>20190312172835599</v>
      </c>
      <c r="B6470" t="str">
        <f>"1552382915596222"</f>
        <v>1552382915596222</v>
      </c>
      <c r="C6470" t="s">
        <v>40</v>
      </c>
      <c r="D6470">
        <v>3.4278369999999998</v>
      </c>
      <c r="E6470">
        <v>0.53598889999999999</v>
      </c>
      <c r="F6470" t="s">
        <v>41</v>
      </c>
      <c r="G6470">
        <v>-184.93219999999999</v>
      </c>
      <c r="H6470" s="1">
        <v>-1.51659E-6</v>
      </c>
      <c r="I6470">
        <v>100.14230000000001</v>
      </c>
      <c r="J6470">
        <v>-187.82509999999999</v>
      </c>
      <c r="K6470">
        <v>1.1100810000000001</v>
      </c>
      <c r="L6470">
        <v>80.140349999999998</v>
      </c>
      <c r="M6470">
        <v>-1.6474409999999998E-2</v>
      </c>
      <c r="N6470">
        <v>0</v>
      </c>
      <c r="O6470">
        <v>0.99977000000000005</v>
      </c>
      <c r="P6470">
        <v>5.5724870000000003E-2</v>
      </c>
      <c r="Q6470">
        <v>0.170892299999999</v>
      </c>
      <c r="R6470">
        <v>0.98371260000000005</v>
      </c>
      <c r="S6470">
        <v>0.43550109999999997</v>
      </c>
      <c r="T6470">
        <v>-0.16736019999999999</v>
      </c>
      <c r="U6470">
        <v>3.0541990000000001</v>
      </c>
      <c r="V6470">
        <v>7.1933949999999997E-2</v>
      </c>
      <c r="W6470">
        <v>0.18436810000000001</v>
      </c>
      <c r="X6470">
        <v>0.98022129999999996</v>
      </c>
      <c r="Y6470">
        <v>0.157248</v>
      </c>
      <c r="Z6470">
        <v>-5.409038E-2</v>
      </c>
      <c r="AA6470">
        <v>0.98607670000000003</v>
      </c>
      <c r="AB6470">
        <v>23</v>
      </c>
      <c r="AC6470">
        <v>2.8928999999999898</v>
      </c>
      <c r="AD6470">
        <v>-1.1100825165899999</v>
      </c>
      <c r="AE6470">
        <v>20.001950000000001</v>
      </c>
      <c r="AF6470">
        <v>3.2123670141540699</v>
      </c>
      <c r="AG6470">
        <v>-1.1100825165899999</v>
      </c>
      <c r="AH6470">
        <v>19.891558880082101</v>
      </c>
      <c r="AI6470">
        <v>93.153403765582098</v>
      </c>
      <c r="AJ6470">
        <v>80.826280461534907</v>
      </c>
      <c r="AK6470">
        <v>20.179833986111898</v>
      </c>
      <c r="AL6470">
        <v>79.375705900686995</v>
      </c>
      <c r="AM6470">
        <v>85.802848944292606</v>
      </c>
      <c r="AN6470">
        <v>0.99999994321694896</v>
      </c>
    </row>
    <row r="6471" spans="1:40" x14ac:dyDescent="0.25">
      <c r="A6471" t="str">
        <f>"20190312172835642"</f>
        <v>20190312172835642</v>
      </c>
      <c r="B6471" t="str">
        <f>"1552382915636238"</f>
        <v>1552382915636238</v>
      </c>
      <c r="C6471" t="s">
        <v>40</v>
      </c>
      <c r="D6471">
        <v>3.4373300000000002</v>
      </c>
      <c r="E6471">
        <v>0.53603669999999903</v>
      </c>
      <c r="F6471" t="s">
        <v>41</v>
      </c>
      <c r="G6471">
        <v>-184.9194</v>
      </c>
      <c r="H6471" s="1">
        <v>-1.6103479999999999E-6</v>
      </c>
      <c r="I6471">
        <v>100.40770000000001</v>
      </c>
      <c r="J6471">
        <v>-187.8323</v>
      </c>
      <c r="K6471">
        <v>1.110077</v>
      </c>
      <c r="L6471">
        <v>80.578890000000001</v>
      </c>
      <c r="M6471">
        <v>-1.6463120000000001E-2</v>
      </c>
      <c r="N6471">
        <v>0</v>
      </c>
      <c r="O6471">
        <v>0.99977020000000005</v>
      </c>
      <c r="P6471">
        <v>5.6933860000000003E-2</v>
      </c>
      <c r="Q6471">
        <v>0.1699485</v>
      </c>
      <c r="R6471">
        <v>0.98380690000000004</v>
      </c>
      <c r="S6471">
        <v>0.43783569999999999</v>
      </c>
      <c r="T6471">
        <v>-0.1672691</v>
      </c>
      <c r="U6471">
        <v>3.053925</v>
      </c>
      <c r="V6471">
        <v>7.3133619999999996E-2</v>
      </c>
      <c r="W6471">
        <v>0.18342040000000001</v>
      </c>
      <c r="X6471">
        <v>0.98031040000000003</v>
      </c>
      <c r="Y6471">
        <v>0.1579882</v>
      </c>
      <c r="Z6471">
        <v>-5.4059740000000002E-2</v>
      </c>
      <c r="AA6471">
        <v>0.98596010000000001</v>
      </c>
      <c r="AB6471">
        <v>23</v>
      </c>
      <c r="AC6471">
        <v>2.9129</v>
      </c>
      <c r="AD6471">
        <v>-1.110078610348</v>
      </c>
      <c r="AE6471">
        <v>19.828810000000001</v>
      </c>
      <c r="AF6471">
        <v>3.22907351826731</v>
      </c>
      <c r="AG6471">
        <v>-1.110078610348</v>
      </c>
      <c r="AH6471">
        <v>19.7176703207708</v>
      </c>
      <c r="AI6471">
        <v>93.180003028131594</v>
      </c>
      <c r="AJ6471">
        <v>80.699487291133707</v>
      </c>
      <c r="AK6471">
        <v>20.0111397273153</v>
      </c>
      <c r="AL6471">
        <v>79.430948073261405</v>
      </c>
      <c r="AM6471">
        <v>85.733494242670304</v>
      </c>
      <c r="AN6471">
        <v>1.0000000249293099</v>
      </c>
    </row>
    <row r="6472" spans="1:40" x14ac:dyDescent="0.25">
      <c r="A6472" t="str">
        <f>"20190312172835663"</f>
        <v>20190312172835663</v>
      </c>
      <c r="B6472" t="str">
        <f>"1552382915655758"</f>
        <v>1552382915655758</v>
      </c>
      <c r="C6472" t="s">
        <v>40</v>
      </c>
      <c r="D6472">
        <v>3.4373079999999998</v>
      </c>
      <c r="E6472">
        <v>0.53604849999999904</v>
      </c>
      <c r="F6472" t="s">
        <v>41</v>
      </c>
      <c r="G6472">
        <v>-184.96039999999999</v>
      </c>
      <c r="H6472" s="1">
        <v>-1.6122319999999901E-6</v>
      </c>
      <c r="I6472">
        <v>100.4453</v>
      </c>
      <c r="J6472">
        <v>-187.83600000000001</v>
      </c>
      <c r="K6472">
        <v>1.110077</v>
      </c>
      <c r="L6472">
        <v>80.806240000000003</v>
      </c>
      <c r="M6472">
        <v>-1.6457670000000001E-2</v>
      </c>
      <c r="N6472">
        <v>0</v>
      </c>
      <c r="O6472">
        <v>0.9997703</v>
      </c>
      <c r="P6472">
        <v>5.7436439999999998E-2</v>
      </c>
      <c r="Q6472">
        <v>0.16957710000000001</v>
      </c>
      <c r="R6472">
        <v>0.98384179999999999</v>
      </c>
      <c r="S6472">
        <v>0.44139099999999998</v>
      </c>
      <c r="T6472">
        <v>-0.17061019999999999</v>
      </c>
      <c r="U6472">
        <v>3.0533139999999999</v>
      </c>
      <c r="V6472">
        <v>7.3631059999999998E-2</v>
      </c>
      <c r="W6472">
        <v>0.1830473</v>
      </c>
      <c r="X6472">
        <v>0.98034290000000002</v>
      </c>
      <c r="Y6472">
        <v>0.15912670000000001</v>
      </c>
      <c r="Z6472">
        <v>-5.5137520000000002E-2</v>
      </c>
      <c r="AA6472">
        <v>0.98571730000000002</v>
      </c>
      <c r="AB6472">
        <v>23</v>
      </c>
      <c r="AC6472">
        <v>2.8755999999999902</v>
      </c>
      <c r="AD6472">
        <v>-1.1100786122320001</v>
      </c>
      <c r="AE6472">
        <v>19.639060000000001</v>
      </c>
      <c r="AF6472">
        <v>3.1884808376973099</v>
      </c>
      <c r="AG6472">
        <v>-1.1100786122320001</v>
      </c>
      <c r="AH6472">
        <v>19.527987843407502</v>
      </c>
      <c r="AI6472">
        <v>93.211076268973002</v>
      </c>
      <c r="AJ6472">
        <v>80.726718270143607</v>
      </c>
      <c r="AK6472">
        <v>19.8176939574202</v>
      </c>
      <c r="AL6472">
        <v>79.452693282080503</v>
      </c>
      <c r="AM6472">
        <v>85.704724454421694</v>
      </c>
      <c r="AN6472">
        <v>1.00000002430721</v>
      </c>
    </row>
    <row r="6473" spans="1:40" x14ac:dyDescent="0.25">
      <c r="A6473" t="str">
        <f>"20190312172835686"</f>
        <v>20190312172835686</v>
      </c>
      <c r="B6473" t="str">
        <f>"1552382915676255"</f>
        <v>1552382915676255</v>
      </c>
      <c r="C6473" t="s">
        <v>40</v>
      </c>
      <c r="D6473">
        <v>3.4627289999999999</v>
      </c>
      <c r="E6473">
        <v>0.53606359999999997</v>
      </c>
      <c r="F6473" t="s">
        <v>41</v>
      </c>
      <c r="G6473">
        <v>-184.9811</v>
      </c>
      <c r="H6473" s="1">
        <v>-1.62525E-6</v>
      </c>
      <c r="I6473">
        <v>100.49979999999999</v>
      </c>
      <c r="J6473">
        <v>-187.8398</v>
      </c>
      <c r="K6473">
        <v>1.1100669999999999</v>
      </c>
      <c r="L6473">
        <v>81.03604</v>
      </c>
      <c r="M6473">
        <v>-1.6453949999999998E-2</v>
      </c>
      <c r="N6473">
        <v>0</v>
      </c>
      <c r="O6473">
        <v>0.99977050000000001</v>
      </c>
      <c r="P6473">
        <v>5.8498330000000001E-2</v>
      </c>
      <c r="Q6473">
        <v>0.168615299999999</v>
      </c>
      <c r="R6473">
        <v>0.9839445</v>
      </c>
      <c r="S6473">
        <v>0.4425964</v>
      </c>
      <c r="T6473">
        <v>-0.17209430000000001</v>
      </c>
      <c r="U6473">
        <v>3.05307</v>
      </c>
      <c r="V6473">
        <v>7.4690480000000004E-2</v>
      </c>
      <c r="W6473">
        <v>0.1820843</v>
      </c>
      <c r="X6473">
        <v>0.98044200000000004</v>
      </c>
      <c r="Y6473">
        <v>0.1595116</v>
      </c>
      <c r="Z6473">
        <v>-5.5616760000000001E-2</v>
      </c>
      <c r="AA6473">
        <v>0.98562810000000001</v>
      </c>
      <c r="AB6473">
        <v>23</v>
      </c>
      <c r="AC6473">
        <v>2.85869999999999</v>
      </c>
      <c r="AD6473">
        <v>-1.1100686252499901</v>
      </c>
      <c r="AE6473">
        <v>19.463759999999901</v>
      </c>
      <c r="AF6473">
        <v>3.1685101703183798</v>
      </c>
      <c r="AG6473">
        <v>-1.1100686252499901</v>
      </c>
      <c r="AH6473">
        <v>19.3524644022561</v>
      </c>
      <c r="AI6473">
        <v>93.239878156280895</v>
      </c>
      <c r="AJ6473">
        <v>80.701664871078904</v>
      </c>
      <c r="AK6473">
        <v>19.6415271171252</v>
      </c>
      <c r="AL6473">
        <v>79.508811356422001</v>
      </c>
      <c r="AM6473">
        <v>85.643598040850506</v>
      </c>
      <c r="AN6473">
        <v>0.99999993773655804</v>
      </c>
    </row>
    <row r="6474" spans="1:40" x14ac:dyDescent="0.25">
      <c r="A6474" t="str">
        <f>"20190312172835709"</f>
        <v>20190312172835709</v>
      </c>
      <c r="B6474" t="str">
        <f>"1552382915706512"</f>
        <v>1552382915706512</v>
      </c>
      <c r="C6474" t="s">
        <v>40</v>
      </c>
      <c r="D6474">
        <v>3.4303810000000001</v>
      </c>
      <c r="E6474">
        <v>0.54696650000000002</v>
      </c>
      <c r="F6474" t="s">
        <v>41</v>
      </c>
      <c r="G6474">
        <v>-185.02260000000001</v>
      </c>
      <c r="H6474" s="1">
        <v>-1.558623E-6</v>
      </c>
      <c r="I6474">
        <v>100.3364</v>
      </c>
      <c r="J6474">
        <v>-187.84379999999999</v>
      </c>
      <c r="K6474">
        <v>1.1100639999999999</v>
      </c>
      <c r="L6474">
        <v>81.276579999999996</v>
      </c>
      <c r="M6474">
        <v>-1.6452140000000001E-2</v>
      </c>
      <c r="N6474">
        <v>0</v>
      </c>
      <c r="O6474">
        <v>0.99977050000000001</v>
      </c>
      <c r="P6474">
        <v>5.9039580000000001E-2</v>
      </c>
      <c r="Q6474">
        <v>0.16752729999999999</v>
      </c>
      <c r="R6474">
        <v>0.98409800000000003</v>
      </c>
      <c r="S6474">
        <v>0.44557190000000002</v>
      </c>
      <c r="T6474">
        <v>-0.17556849999999999</v>
      </c>
      <c r="U6474">
        <v>3.0525509999999998</v>
      </c>
      <c r="V6474">
        <v>7.5231930000000002E-2</v>
      </c>
      <c r="W6474">
        <v>0.18099589999999999</v>
      </c>
      <c r="X6474">
        <v>0.98060210000000003</v>
      </c>
      <c r="Y6474">
        <v>0.1604652</v>
      </c>
      <c r="Z6474">
        <v>-5.6737030000000001E-2</v>
      </c>
      <c r="AA6474">
        <v>0.98540950000000005</v>
      </c>
      <c r="AB6474">
        <v>23</v>
      </c>
      <c r="AC6474">
        <v>2.82119999999997</v>
      </c>
      <c r="AD6474">
        <v>-1.1100655586229999</v>
      </c>
      <c r="AE6474">
        <v>19.059819999999899</v>
      </c>
      <c r="AF6474">
        <v>3.12405275450344</v>
      </c>
      <c r="AG6474">
        <v>-1.1100655586229999</v>
      </c>
      <c r="AH6474">
        <v>18.9479267385193</v>
      </c>
      <c r="AI6474">
        <v>93.3082812705821</v>
      </c>
      <c r="AJ6474">
        <v>80.637547947446606</v>
      </c>
      <c r="AK6474">
        <v>19.235796808181799</v>
      </c>
      <c r="AL6474">
        <v>79.572225614489597</v>
      </c>
      <c r="AM6474">
        <v>85.612853879808597</v>
      </c>
      <c r="AN6474">
        <v>0.99999991881636896</v>
      </c>
    </row>
    <row r="6475" spans="1:40" x14ac:dyDescent="0.25">
      <c r="A6475" t="str">
        <f>"20190312172835729"</f>
        <v>20190312172835729</v>
      </c>
      <c r="B6475" t="str">
        <f>"1552382915726031"</f>
        <v>1552382915726031</v>
      </c>
      <c r="C6475" t="s">
        <v>40</v>
      </c>
      <c r="D6475">
        <v>3.430968</v>
      </c>
      <c r="E6475">
        <v>0.54868749999999999</v>
      </c>
      <c r="F6475" t="s">
        <v>44</v>
      </c>
      <c r="G6475">
        <v>-187.69380000000001</v>
      </c>
      <c r="H6475">
        <v>0.95849280000000003</v>
      </c>
      <c r="I6475">
        <v>82.163929999999993</v>
      </c>
      <c r="J6475">
        <v>-187.84729999999999</v>
      </c>
      <c r="K6475">
        <v>1.110061</v>
      </c>
      <c r="L6475">
        <v>81.492159999999998</v>
      </c>
      <c r="M6475">
        <v>-1.6451810000000001E-2</v>
      </c>
      <c r="N6475">
        <v>0</v>
      </c>
      <c r="O6475">
        <v>0.99977050000000001</v>
      </c>
      <c r="P6475">
        <v>6.015384E-2</v>
      </c>
      <c r="Q6475">
        <v>0.1673925</v>
      </c>
      <c r="R6475">
        <v>0.98405350000000003</v>
      </c>
      <c r="S6475">
        <v>0.52520749999999905</v>
      </c>
      <c r="T6475">
        <v>-0.53077019999999997</v>
      </c>
      <c r="U6475">
        <v>3.1073300000000001</v>
      </c>
      <c r="V6475">
        <v>7.6344629999999997E-2</v>
      </c>
      <c r="W6475">
        <v>0.18085809999999999</v>
      </c>
      <c r="X6475">
        <v>0.98054160000000001</v>
      </c>
      <c r="Y6475">
        <v>0.18054980000000001</v>
      </c>
      <c r="Z6475">
        <v>-0.1658116</v>
      </c>
      <c r="AA6475">
        <v>0.96948869999999998</v>
      </c>
      <c r="AB6475">
        <v>23</v>
      </c>
      <c r="AC6475">
        <v>0.15349999999997899</v>
      </c>
      <c r="AD6475">
        <v>-0.15156819999999899</v>
      </c>
      <c r="AE6475">
        <v>0.67177000000000897</v>
      </c>
      <c r="AF6475">
        <v>0.15693927433152599</v>
      </c>
      <c r="AG6475">
        <v>-0.15156819999999899</v>
      </c>
      <c r="AH6475">
        <v>0.63827340892375894</v>
      </c>
      <c r="AI6475">
        <v>102.98527808461699</v>
      </c>
      <c r="AJ6475">
        <v>76.1860922992757</v>
      </c>
      <c r="AK6475">
        <v>0.674533764624204</v>
      </c>
      <c r="AL6475">
        <v>79.580254233021407</v>
      </c>
      <c r="AM6475">
        <v>85.5479522085285</v>
      </c>
      <c r="AN6475">
        <v>0.99999999209800305</v>
      </c>
    </row>
    <row r="6476" spans="1:40" x14ac:dyDescent="0.25">
      <c r="A6476" t="str">
        <f>"20190312172835752"</f>
        <v>20190312172835752</v>
      </c>
      <c r="B6476" t="str">
        <f>"1552382915746526"</f>
        <v>1552382915746526</v>
      </c>
      <c r="C6476" t="s">
        <v>40</v>
      </c>
      <c r="D6476">
        <v>3.3969480000000001</v>
      </c>
      <c r="E6476">
        <v>0.54996540000000005</v>
      </c>
      <c r="F6476" t="s">
        <v>44</v>
      </c>
      <c r="G6476">
        <v>-187.6969</v>
      </c>
      <c r="H6476">
        <v>0.93916820000000001</v>
      </c>
      <c r="I6476">
        <v>82.360100000000003</v>
      </c>
      <c r="J6476">
        <v>-187.851</v>
      </c>
      <c r="K6476">
        <v>1.1100650000000001</v>
      </c>
      <c r="L6476">
        <v>81.715760000000003</v>
      </c>
      <c r="M6476">
        <v>-1.6452109999999999E-2</v>
      </c>
      <c r="N6476">
        <v>0</v>
      </c>
      <c r="O6476">
        <v>0.99977059999999995</v>
      </c>
      <c r="P6476">
        <v>6.0914610000000001E-2</v>
      </c>
      <c r="Q6476">
        <v>0.16755129999999999</v>
      </c>
      <c r="R6476">
        <v>0.98397959999999995</v>
      </c>
      <c r="S6476">
        <v>0.54052730000000004</v>
      </c>
      <c r="T6476">
        <v>-0.61433349999999998</v>
      </c>
      <c r="U6476">
        <v>3.1200869999999998</v>
      </c>
      <c r="V6476">
        <v>7.7103989999999997E-2</v>
      </c>
      <c r="W6476">
        <v>0.1810138</v>
      </c>
      <c r="X6476">
        <v>0.98045340000000003</v>
      </c>
      <c r="Y6476">
        <v>0.18377060000000001</v>
      </c>
      <c r="Z6476">
        <v>-0.1901369</v>
      </c>
      <c r="AA6476">
        <v>0.96440459999999995</v>
      </c>
      <c r="AB6476">
        <v>23</v>
      </c>
      <c r="AC6476">
        <v>0.15409999999999899</v>
      </c>
      <c r="AD6476">
        <v>-0.17089679999999899</v>
      </c>
      <c r="AE6476">
        <v>0.64433999999999902</v>
      </c>
      <c r="AF6476">
        <v>0.15440669453073799</v>
      </c>
      <c r="AG6476">
        <v>-0.17089679999999899</v>
      </c>
      <c r="AH6476">
        <v>0.60168148594904702</v>
      </c>
      <c r="AI6476">
        <v>105.382499441183</v>
      </c>
      <c r="AJ6476">
        <v>75.6070447682539</v>
      </c>
      <c r="AK6476">
        <v>0.64425752157037497</v>
      </c>
      <c r="AL6476">
        <v>79.571183074341107</v>
      </c>
      <c r="AM6476">
        <v>85.503447895712597</v>
      </c>
      <c r="AN6476">
        <v>0.99999994531795799</v>
      </c>
    </row>
    <row r="6477" spans="1:40" x14ac:dyDescent="0.25">
      <c r="A6477" t="str">
        <f>"20190312172835774"</f>
        <v>20190312172835774</v>
      </c>
      <c r="B6477" t="str">
        <f>"1552382915766122"</f>
        <v>1552382915766122</v>
      </c>
      <c r="C6477" t="s">
        <v>40</v>
      </c>
      <c r="D6477">
        <v>3.4036400000000002</v>
      </c>
      <c r="E6477">
        <v>0.5509541</v>
      </c>
      <c r="F6477" t="s">
        <v>44</v>
      </c>
      <c r="G6477">
        <v>-187.70140000000001</v>
      </c>
      <c r="H6477">
        <v>0.93300740000000004</v>
      </c>
      <c r="I6477">
        <v>82.562200000000004</v>
      </c>
      <c r="J6477">
        <v>-187.85480000000001</v>
      </c>
      <c r="K6477">
        <v>1.1100719999999999</v>
      </c>
      <c r="L6477">
        <v>81.949860000000001</v>
      </c>
      <c r="M6477">
        <v>-1.645274E-2</v>
      </c>
      <c r="N6477">
        <v>0</v>
      </c>
      <c r="O6477">
        <v>0.99977059999999995</v>
      </c>
      <c r="P6477">
        <v>6.150605E-2</v>
      </c>
      <c r="Q6477">
        <v>0.167827799999999</v>
      </c>
      <c r="R6477">
        <v>0.98389570000000004</v>
      </c>
      <c r="S6477">
        <v>0.55221560000000003</v>
      </c>
      <c r="T6477">
        <v>-0.6539085</v>
      </c>
      <c r="U6477">
        <v>3.126007</v>
      </c>
      <c r="V6477">
        <v>7.7694289999999999E-2</v>
      </c>
      <c r="W6477">
        <v>0.1812867</v>
      </c>
      <c r="X6477">
        <v>0.98035649999999996</v>
      </c>
      <c r="Y6477">
        <v>0.18656980000000001</v>
      </c>
      <c r="Z6477">
        <v>-0.20141519999999999</v>
      </c>
      <c r="AA6477">
        <v>0.96157349999999997</v>
      </c>
      <c r="AB6477">
        <v>23</v>
      </c>
      <c r="AC6477">
        <v>0.15340000000000401</v>
      </c>
      <c r="AD6477">
        <v>-0.17706459999999899</v>
      </c>
      <c r="AE6477">
        <v>0.61234000000000299</v>
      </c>
      <c r="AF6477">
        <v>0.15153280668185901</v>
      </c>
      <c r="AG6477">
        <v>-0.17706459999999899</v>
      </c>
      <c r="AH6477">
        <v>0.56526040284873902</v>
      </c>
      <c r="AI6477">
        <v>106.83377630571199</v>
      </c>
      <c r="AJ6477">
        <v>74.993215802661396</v>
      </c>
      <c r="AK6477">
        <v>0.61141915827258797</v>
      </c>
      <c r="AL6477">
        <v>79.555285315150101</v>
      </c>
      <c r="AM6477">
        <v>85.468719592042007</v>
      </c>
      <c r="AN6477">
        <v>1.0000000686938599</v>
      </c>
    </row>
    <row r="6478" spans="1:40" x14ac:dyDescent="0.25">
      <c r="A6478" t="str">
        <f>"20190312172835800"</f>
        <v>20190312172835800</v>
      </c>
      <c r="B6478" t="str">
        <f>"1552382915796379"</f>
        <v>1552382915796379</v>
      </c>
      <c r="C6478" t="s">
        <v>40</v>
      </c>
      <c r="D6478">
        <v>3.4182679999999999</v>
      </c>
      <c r="E6478">
        <v>0.55180169999999995</v>
      </c>
      <c r="F6478" t="s">
        <v>44</v>
      </c>
      <c r="G6478">
        <v>-187.70840000000001</v>
      </c>
      <c r="H6478">
        <v>0.93279889999999999</v>
      </c>
      <c r="I6478">
        <v>82.766469999999998</v>
      </c>
      <c r="J6478">
        <v>-187.85910000000001</v>
      </c>
      <c r="K6478">
        <v>1.1100749999999999</v>
      </c>
      <c r="L6478">
        <v>82.208069999999907</v>
      </c>
      <c r="M6478">
        <v>-1.6453559999999999E-2</v>
      </c>
      <c r="N6478">
        <v>0</v>
      </c>
      <c r="O6478">
        <v>0.99977059999999995</v>
      </c>
      <c r="P6478">
        <v>6.1843559999999999E-2</v>
      </c>
      <c r="Q6478">
        <v>0.16787270000000001</v>
      </c>
      <c r="R6478">
        <v>0.98386689999999999</v>
      </c>
      <c r="S6478">
        <v>0.56083680000000002</v>
      </c>
      <c r="T6478">
        <v>-0.67947880000000005</v>
      </c>
      <c r="U6478">
        <v>3.1299440000000001</v>
      </c>
      <c r="V6478">
        <v>7.8031809999999993E-2</v>
      </c>
      <c r="W6478">
        <v>0.1813284</v>
      </c>
      <c r="X6478">
        <v>0.98032189999999997</v>
      </c>
      <c r="Y6478">
        <v>0.1886641</v>
      </c>
      <c r="Z6478">
        <v>-0.20861009999999999</v>
      </c>
      <c r="AA6478">
        <v>0.95962890000000001</v>
      </c>
      <c r="AB6478">
        <v>23</v>
      </c>
      <c r="AC6478">
        <v>0.1507</v>
      </c>
      <c r="AD6478">
        <v>-0.17727609999999899</v>
      </c>
      <c r="AE6478">
        <v>0.558400000000006</v>
      </c>
      <c r="AF6478">
        <v>0.14613899687131801</v>
      </c>
      <c r="AG6478">
        <v>-0.17727609999999899</v>
      </c>
      <c r="AH6478">
        <v>0.50810987139866703</v>
      </c>
      <c r="AI6478">
        <v>108.53632936934601</v>
      </c>
      <c r="AJ6478">
        <v>73.954077533821106</v>
      </c>
      <c r="AK6478">
        <v>0.55763703558007605</v>
      </c>
      <c r="AL6478">
        <v>79.552854982601502</v>
      </c>
      <c r="AM6478">
        <v>85.448957339558305</v>
      </c>
      <c r="AN6478">
        <v>0.99999998981902305</v>
      </c>
    </row>
    <row r="6479" spans="1:40" x14ac:dyDescent="0.25">
      <c r="A6479" t="str">
        <f>"20190312172835821"</f>
        <v>20190312172835821</v>
      </c>
      <c r="B6479" t="str">
        <f>"1552382915815898"</f>
        <v>1552382915815898</v>
      </c>
      <c r="C6479" t="s">
        <v>40</v>
      </c>
      <c r="D6479">
        <v>3.4142079999999999</v>
      </c>
      <c r="E6479">
        <v>0.55221640000000005</v>
      </c>
      <c r="F6479" t="s">
        <v>44</v>
      </c>
      <c r="G6479">
        <v>-187.72040000000001</v>
      </c>
      <c r="H6479">
        <v>0.93839399999999995</v>
      </c>
      <c r="I6479">
        <v>82.972700000000003</v>
      </c>
      <c r="J6479">
        <v>-187.86259999999999</v>
      </c>
      <c r="K6479">
        <v>1.1100719999999999</v>
      </c>
      <c r="L6479">
        <v>82.423919999999995</v>
      </c>
      <c r="M6479">
        <v>-1.6454239999999998E-2</v>
      </c>
      <c r="N6479">
        <v>0</v>
      </c>
      <c r="O6479">
        <v>0.99977059999999995</v>
      </c>
      <c r="P6479">
        <v>6.2212959999999998E-2</v>
      </c>
      <c r="Q6479">
        <v>0.16797379999999901</v>
      </c>
      <c r="R6479">
        <v>0.98382639999999999</v>
      </c>
      <c r="S6479">
        <v>0.56805419999999995</v>
      </c>
      <c r="T6479">
        <v>-0.7035595</v>
      </c>
      <c r="U6479">
        <v>3.1335139999999999</v>
      </c>
      <c r="V6479">
        <v>7.8400999999999998E-2</v>
      </c>
      <c r="W6479">
        <v>0.18142639999999999</v>
      </c>
      <c r="X6479">
        <v>0.98027430000000004</v>
      </c>
      <c r="Y6479">
        <v>0.1903542</v>
      </c>
      <c r="Z6479">
        <v>-0.21535090000000001</v>
      </c>
      <c r="AA6479">
        <v>0.9578044</v>
      </c>
      <c r="AB6479">
        <v>23</v>
      </c>
      <c r="AC6479">
        <v>0.14219999999997401</v>
      </c>
      <c r="AD6479">
        <v>-0.171677999999999</v>
      </c>
      <c r="AE6479">
        <v>0.54878000000000704</v>
      </c>
      <c r="AF6479">
        <v>0.13850889691762999</v>
      </c>
      <c r="AG6479">
        <v>-0.171677999999999</v>
      </c>
      <c r="AH6479">
        <v>0.50046842709735395</v>
      </c>
      <c r="AI6479">
        <v>108.29423485231401</v>
      </c>
      <c r="AJ6479">
        <v>74.530119542897296</v>
      </c>
      <c r="AK6479">
        <v>0.54692476331817197</v>
      </c>
      <c r="AL6479">
        <v>79.547145181863598</v>
      </c>
      <c r="AM6479">
        <v>85.427295107449197</v>
      </c>
      <c r="AN6479">
        <v>0.99999997932922402</v>
      </c>
    </row>
    <row r="6480" spans="1:40" x14ac:dyDescent="0.25">
      <c r="A6480" t="str">
        <f>"20190312172835842"</f>
        <v>20190312172835842</v>
      </c>
      <c r="B6480" t="str">
        <f>"1552382915836395"</f>
        <v>1552382915836395</v>
      </c>
      <c r="C6480" t="s">
        <v>40</v>
      </c>
      <c r="D6480">
        <v>3.4032640000000001</v>
      </c>
      <c r="E6480">
        <v>0.55238809999999905</v>
      </c>
      <c r="F6480" t="s">
        <v>44</v>
      </c>
      <c r="G6480">
        <v>-187.7251</v>
      </c>
      <c r="H6480">
        <v>0.93851090000000004</v>
      </c>
      <c r="I6480">
        <v>83.176789999999997</v>
      </c>
      <c r="J6480">
        <v>-187.86619999999999</v>
      </c>
      <c r="K6480">
        <v>1.1100779999999999</v>
      </c>
      <c r="L6480">
        <v>82.641329999999996</v>
      </c>
      <c r="M6480">
        <v>-1.645483E-2</v>
      </c>
      <c r="N6480">
        <v>0</v>
      </c>
      <c r="O6480">
        <v>0.99977059999999995</v>
      </c>
      <c r="P6480">
        <v>6.2104340000000001E-2</v>
      </c>
      <c r="Q6480">
        <v>0.16791929999999999</v>
      </c>
      <c r="R6480">
        <v>0.98384260000000001</v>
      </c>
      <c r="S6480">
        <v>0.57215879999999997</v>
      </c>
      <c r="T6480">
        <v>-0.71442139999999998</v>
      </c>
      <c r="U6480">
        <v>3.1351010000000001</v>
      </c>
      <c r="V6480">
        <v>7.8293160000000001E-2</v>
      </c>
      <c r="W6480">
        <v>0.18137020000000001</v>
      </c>
      <c r="X6480">
        <v>0.98029330000000003</v>
      </c>
      <c r="Y6480">
        <v>0.19136300000000001</v>
      </c>
      <c r="Z6480">
        <v>-0.21836549999999999</v>
      </c>
      <c r="AA6480">
        <v>0.9569204</v>
      </c>
      <c r="AB6480">
        <v>23</v>
      </c>
      <c r="AC6480">
        <v>0.14109999999999401</v>
      </c>
      <c r="AD6480">
        <v>-0.1715671</v>
      </c>
      <c r="AE6480">
        <v>0.53545999999998595</v>
      </c>
      <c r="AF6480">
        <v>0.13676370398691901</v>
      </c>
      <c r="AG6480">
        <v>-0.1715671</v>
      </c>
      <c r="AH6480">
        <v>0.48637490958781998</v>
      </c>
      <c r="AI6480">
        <v>108.756314666855</v>
      </c>
      <c r="AJ6480">
        <v>74.294554175067603</v>
      </c>
      <c r="AK6480">
        <v>0.53357298770382999</v>
      </c>
      <c r="AL6480">
        <v>79.5504193353799</v>
      </c>
      <c r="AM6480">
        <v>85.433646342458601</v>
      </c>
      <c r="AN6480">
        <v>0.99999996118785694</v>
      </c>
    </row>
    <row r="6481" spans="1:40" x14ac:dyDescent="0.25">
      <c r="A6481" t="str">
        <f>"20190312172835864"</f>
        <v>20190312172835864</v>
      </c>
      <c r="B6481" t="str">
        <f>"1552382915855916"</f>
        <v>1552382915855916</v>
      </c>
      <c r="C6481" t="s">
        <v>40</v>
      </c>
      <c r="D6481">
        <v>3.4372929999999999</v>
      </c>
      <c r="E6481">
        <v>0.55241830000000003</v>
      </c>
      <c r="F6481" t="s">
        <v>44</v>
      </c>
      <c r="G6481">
        <v>-187.73089999999999</v>
      </c>
      <c r="H6481">
        <v>0.93981040000000005</v>
      </c>
      <c r="I6481">
        <v>83.381100000000004</v>
      </c>
      <c r="J6481">
        <v>-187.8698</v>
      </c>
      <c r="K6481">
        <v>1.110077</v>
      </c>
      <c r="L6481">
        <v>82.863919999999993</v>
      </c>
      <c r="M6481">
        <v>-1.6455270000000001E-2</v>
      </c>
      <c r="N6481">
        <v>0</v>
      </c>
      <c r="O6481">
        <v>0.99977070000000001</v>
      </c>
      <c r="P6481">
        <v>6.2452849999999997E-2</v>
      </c>
      <c r="Q6481">
        <v>0.1682932</v>
      </c>
      <c r="R6481">
        <v>0.98375659999999998</v>
      </c>
      <c r="S6481">
        <v>0.57322689999999998</v>
      </c>
      <c r="T6481">
        <v>-0.72185239999999995</v>
      </c>
      <c r="U6481">
        <v>3.1362920000000001</v>
      </c>
      <c r="V6481">
        <v>7.8640630000000003E-2</v>
      </c>
      <c r="W6481">
        <v>0.1817406</v>
      </c>
      <c r="X6481">
        <v>0.98019699999999998</v>
      </c>
      <c r="Y6481">
        <v>0.1915309</v>
      </c>
      <c r="Z6481">
        <v>-0.22043650000000001</v>
      </c>
      <c r="AA6481">
        <v>0.95641189999999998</v>
      </c>
      <c r="AB6481">
        <v>23</v>
      </c>
      <c r="AC6481">
        <v>0.13890000000000599</v>
      </c>
      <c r="AD6481">
        <v>-0.17026659999999999</v>
      </c>
      <c r="AE6481">
        <v>0.51718000000000997</v>
      </c>
      <c r="AF6481">
        <v>0.13385982800514101</v>
      </c>
      <c r="AG6481">
        <v>-0.17026659999999999</v>
      </c>
      <c r="AH6481">
        <v>0.46755668367377901</v>
      </c>
      <c r="AI6481">
        <v>109.294999902217</v>
      </c>
      <c r="AJ6481">
        <v>74.023769634721106</v>
      </c>
      <c r="AK6481">
        <v>0.51528479608576405</v>
      </c>
      <c r="AL6481">
        <v>79.528839538675797</v>
      </c>
      <c r="AM6481">
        <v>85.413018167192405</v>
      </c>
      <c r="AN6481">
        <v>1.00000007659207</v>
      </c>
    </row>
    <row r="6482" spans="1:40" x14ac:dyDescent="0.25">
      <c r="A6482" t="str">
        <f>"20190312172835888"</f>
        <v>20190312172835888</v>
      </c>
      <c r="B6482" t="str">
        <f>"1552382915876410"</f>
        <v>1552382915876410</v>
      </c>
      <c r="C6482" t="s">
        <v>40</v>
      </c>
      <c r="D6482">
        <v>3.4157609999999998</v>
      </c>
      <c r="E6482">
        <v>0.55235610000000002</v>
      </c>
      <c r="F6482" t="s">
        <v>44</v>
      </c>
      <c r="G6482">
        <v>-187.73750000000001</v>
      </c>
      <c r="H6482">
        <v>0.94280730000000001</v>
      </c>
      <c r="I6482">
        <v>83.585920000000002</v>
      </c>
      <c r="J6482">
        <v>-187.87379999999999</v>
      </c>
      <c r="K6482">
        <v>1.1100760000000001</v>
      </c>
      <c r="L6482">
        <v>83.103030000000004</v>
      </c>
      <c r="M6482">
        <v>-1.6455560000000001E-2</v>
      </c>
      <c r="N6482">
        <v>0</v>
      </c>
      <c r="O6482">
        <v>0.99977070000000001</v>
      </c>
      <c r="P6482">
        <v>6.2750760000000003E-2</v>
      </c>
      <c r="Q6482">
        <v>0.16791900000000001</v>
      </c>
      <c r="R6482">
        <v>0.98380160000000005</v>
      </c>
      <c r="S6482">
        <v>0.57412719999999995</v>
      </c>
      <c r="T6482">
        <v>-0.72686219999999901</v>
      </c>
      <c r="U6482">
        <v>3.1374209999999998</v>
      </c>
      <c r="V6482">
        <v>7.8939540000000002E-2</v>
      </c>
      <c r="W6482">
        <v>0.18136459999999999</v>
      </c>
      <c r="X6482">
        <v>0.98024259999999996</v>
      </c>
      <c r="Y6482">
        <v>0.19167980000000001</v>
      </c>
      <c r="Z6482">
        <v>-0.22180649999999999</v>
      </c>
      <c r="AA6482">
        <v>0.95606519999999995</v>
      </c>
      <c r="AB6482">
        <v>23</v>
      </c>
      <c r="AC6482">
        <v>0.136299999999977</v>
      </c>
      <c r="AD6482">
        <v>-0.16726869999999999</v>
      </c>
      <c r="AE6482">
        <v>0.48288999999999699</v>
      </c>
      <c r="AF6482">
        <v>0.129803139234166</v>
      </c>
      <c r="AG6482">
        <v>-0.16726869999999999</v>
      </c>
      <c r="AH6482">
        <v>0.43251494581526401</v>
      </c>
      <c r="AI6482">
        <v>110.32531235679799</v>
      </c>
      <c r="AJ6482">
        <v>73.294842690643407</v>
      </c>
      <c r="AK6482">
        <v>0.48155669583997601</v>
      </c>
      <c r="AL6482">
        <v>79.550746667823702</v>
      </c>
      <c r="AM6482">
        <v>85.395871319165295</v>
      </c>
      <c r="AN6482">
        <v>1.00000006198166</v>
      </c>
    </row>
    <row r="6483" spans="1:40" x14ac:dyDescent="0.25">
      <c r="A6483" t="str">
        <f>"20190312172835908"</f>
        <v>20190312172835908</v>
      </c>
      <c r="B6483" t="str">
        <f>"1552382915906667"</f>
        <v>1552382915906667</v>
      </c>
      <c r="C6483" t="s">
        <v>40</v>
      </c>
      <c r="D6483">
        <v>3.4094579999999999</v>
      </c>
      <c r="E6483">
        <v>0.552181699999999</v>
      </c>
      <c r="F6483" t="s">
        <v>44</v>
      </c>
      <c r="G6483">
        <v>-187.74780000000001</v>
      </c>
      <c r="H6483">
        <v>0.94904200000000005</v>
      </c>
      <c r="I6483">
        <v>83.791820000000001</v>
      </c>
      <c r="J6483">
        <v>-187.87729999999999</v>
      </c>
      <c r="K6483">
        <v>1.1100730000000001</v>
      </c>
      <c r="L6483">
        <v>83.316379999999995</v>
      </c>
      <c r="M6483">
        <v>-1.6455649999999999E-2</v>
      </c>
      <c r="N6483">
        <v>0</v>
      </c>
      <c r="O6483">
        <v>0.99977079999999996</v>
      </c>
      <c r="P6483">
        <v>6.2931570000000006E-2</v>
      </c>
      <c r="Q6483">
        <v>0.16798250000000001</v>
      </c>
      <c r="R6483">
        <v>0.98377919999999996</v>
      </c>
      <c r="S6483">
        <v>0.57391359999999902</v>
      </c>
      <c r="T6483">
        <v>-0.73363040000000002</v>
      </c>
      <c r="U6483">
        <v>3.1379999999999999</v>
      </c>
      <c r="V6483">
        <v>7.9120049999999997E-2</v>
      </c>
      <c r="W6483">
        <v>0.18142359999999999</v>
      </c>
      <c r="X6483">
        <v>0.980217</v>
      </c>
      <c r="Y6483">
        <v>0.19150639999999999</v>
      </c>
      <c r="Z6483">
        <v>-0.2237334</v>
      </c>
      <c r="AA6483">
        <v>0.95565089999999997</v>
      </c>
      <c r="AB6483">
        <v>23</v>
      </c>
      <c r="AC6483">
        <v>0.12949999999997799</v>
      </c>
      <c r="AD6483">
        <v>-0.16103099999999901</v>
      </c>
      <c r="AE6483">
        <v>0.47543999999999098</v>
      </c>
      <c r="AF6483">
        <v>0.12405821532526</v>
      </c>
      <c r="AG6483">
        <v>-0.16103099999999901</v>
      </c>
      <c r="AH6483">
        <v>0.42758134618825699</v>
      </c>
      <c r="AI6483">
        <v>109.884692517989</v>
      </c>
      <c r="AJ6483">
        <v>73.820471345084599</v>
      </c>
      <c r="AK6483">
        <v>0.47344189860937602</v>
      </c>
      <c r="AL6483">
        <v>79.547307859518895</v>
      </c>
      <c r="AM6483">
        <v>85.385268539816394</v>
      </c>
      <c r="AN6483">
        <v>0.99999993601897896</v>
      </c>
    </row>
    <row r="6484" spans="1:40" x14ac:dyDescent="0.25">
      <c r="A6484" t="str">
        <f>"20190312172835931"</f>
        <v>20190312172835931</v>
      </c>
      <c r="B6484" t="str">
        <f>"1552382915926187"</f>
        <v>1552382915926187</v>
      </c>
      <c r="C6484" t="s">
        <v>40</v>
      </c>
      <c r="D6484">
        <v>3.4237280000000001</v>
      </c>
      <c r="E6484">
        <v>0.55202289999999998</v>
      </c>
      <c r="F6484" t="s">
        <v>44</v>
      </c>
      <c r="G6484">
        <v>-187.71940000000001</v>
      </c>
      <c r="H6484">
        <v>0.90640770000000004</v>
      </c>
      <c r="I6484">
        <v>84.180940000000007</v>
      </c>
      <c r="J6484">
        <v>-187.881</v>
      </c>
      <c r="K6484">
        <v>1.1100719999999999</v>
      </c>
      <c r="L6484">
        <v>83.542540000000002</v>
      </c>
      <c r="M6484">
        <v>-1.6455649999999999E-2</v>
      </c>
      <c r="N6484">
        <v>0</v>
      </c>
      <c r="O6484">
        <v>0.99977090000000002</v>
      </c>
      <c r="P6484">
        <v>6.3200560000000003E-2</v>
      </c>
      <c r="Q6484">
        <v>0.1678654</v>
      </c>
      <c r="R6484">
        <v>0.98378189999999999</v>
      </c>
      <c r="S6484">
        <v>0.57325740000000003</v>
      </c>
      <c r="T6484">
        <v>-0.73946909999999999</v>
      </c>
      <c r="U6484">
        <v>3.1390690000000001</v>
      </c>
      <c r="V6484">
        <v>7.9389100000000004E-2</v>
      </c>
      <c r="W6484">
        <v>0.18129419999999999</v>
      </c>
      <c r="X6484">
        <v>0.98021919999999996</v>
      </c>
      <c r="Y6484">
        <v>0.1911881</v>
      </c>
      <c r="Z6484">
        <v>-0.22536149999999999</v>
      </c>
      <c r="AA6484">
        <v>0.95533199999999996</v>
      </c>
      <c r="AB6484">
        <v>23</v>
      </c>
      <c r="AC6484">
        <v>0.16159999999996399</v>
      </c>
      <c r="AD6484">
        <v>-0.20366429999999999</v>
      </c>
      <c r="AE6484">
        <v>0.63840000000000396</v>
      </c>
      <c r="AF6484">
        <v>0.157061888647583</v>
      </c>
      <c r="AG6484">
        <v>-0.20366429999999999</v>
      </c>
      <c r="AH6484">
        <v>0.58016319527232496</v>
      </c>
      <c r="AI6484">
        <v>108.718902718995</v>
      </c>
      <c r="AJ6484">
        <v>74.851971913221206</v>
      </c>
      <c r="AK6484">
        <v>0.634615566393254</v>
      </c>
      <c r="AL6484">
        <v>79.554847082491506</v>
      </c>
      <c r="AM6484">
        <v>85.369654482089601</v>
      </c>
      <c r="AN6484">
        <v>0.99999994810054305</v>
      </c>
    </row>
    <row r="6485" spans="1:40" x14ac:dyDescent="0.25">
      <c r="A6485" t="str">
        <f>"20190312172835954"</f>
        <v>20190312172835954</v>
      </c>
      <c r="B6485" t="str">
        <f>"1552382915946682"</f>
        <v>1552382915946682</v>
      </c>
      <c r="C6485" t="s">
        <v>40</v>
      </c>
      <c r="D6485">
        <v>3.4137369999999998</v>
      </c>
      <c r="E6485">
        <v>0.55189169999999999</v>
      </c>
      <c r="F6485" t="s">
        <v>44</v>
      </c>
      <c r="G6485">
        <v>-187.72720000000001</v>
      </c>
      <c r="H6485">
        <v>0.91052200000000005</v>
      </c>
      <c r="I6485">
        <v>84.385000000000005</v>
      </c>
      <c r="J6485">
        <v>-187.88489999999999</v>
      </c>
      <c r="K6485">
        <v>1.110069</v>
      </c>
      <c r="L6485">
        <v>83.775819999999996</v>
      </c>
      <c r="M6485">
        <v>-1.6455640000000001E-2</v>
      </c>
      <c r="N6485">
        <v>0</v>
      </c>
      <c r="O6485">
        <v>0.99977119999999997</v>
      </c>
      <c r="P6485">
        <v>6.3505549999999994E-2</v>
      </c>
      <c r="Q6485">
        <v>0.16797529999999999</v>
      </c>
      <c r="R6485">
        <v>0.98374349999999999</v>
      </c>
      <c r="S6485">
        <v>0.57273859999999999</v>
      </c>
      <c r="T6485">
        <v>-0.7436566</v>
      </c>
      <c r="U6485">
        <v>3.1395569999999999</v>
      </c>
      <c r="V6485">
        <v>7.9693420000000001E-2</v>
      </c>
      <c r="W6485">
        <v>0.18138660000000001</v>
      </c>
      <c r="X6485">
        <v>0.98017750000000003</v>
      </c>
      <c r="Y6485">
        <v>0.19095960000000001</v>
      </c>
      <c r="Z6485">
        <v>-0.22654650000000001</v>
      </c>
      <c r="AA6485">
        <v>0.95509739999999999</v>
      </c>
      <c r="AB6485">
        <v>23</v>
      </c>
      <c r="AC6485">
        <v>0.157699999999977</v>
      </c>
      <c r="AD6485">
        <v>-0.199547</v>
      </c>
      <c r="AE6485">
        <v>0.60918000000000905</v>
      </c>
      <c r="AF6485">
        <v>0.15238052277808201</v>
      </c>
      <c r="AG6485">
        <v>-0.199547</v>
      </c>
      <c r="AH6485">
        <v>0.55108469959400297</v>
      </c>
      <c r="AI6485">
        <v>109.23910646967499</v>
      </c>
      <c r="AJ6485">
        <v>74.543337090928105</v>
      </c>
      <c r="AK6485">
        <v>0.60558498582588205</v>
      </c>
      <c r="AL6485">
        <v>79.549464623270893</v>
      </c>
      <c r="AM6485">
        <v>85.351785855729702</v>
      </c>
      <c r="AN6485">
        <v>1.0000000356785499</v>
      </c>
    </row>
    <row r="6486" spans="1:40" x14ac:dyDescent="0.25">
      <c r="A6486" t="str">
        <f>"20190312172835975"</f>
        <v>20190312172835975</v>
      </c>
      <c r="B6486" t="str">
        <f>"1552382915966202"</f>
        <v>1552382915966202</v>
      </c>
      <c r="C6486" t="s">
        <v>40</v>
      </c>
      <c r="D6486">
        <v>3.4085390000000002</v>
      </c>
      <c r="E6486">
        <v>0.55171969999999904</v>
      </c>
      <c r="F6486" t="s">
        <v>44</v>
      </c>
      <c r="G6486">
        <v>-187.73660000000001</v>
      </c>
      <c r="H6486">
        <v>0.9165546</v>
      </c>
      <c r="I6486">
        <v>84.589550000000003</v>
      </c>
      <c r="J6486">
        <v>-187.88849999999999</v>
      </c>
      <c r="K6486">
        <v>1.110069</v>
      </c>
      <c r="L6486">
        <v>83.995269999999906</v>
      </c>
      <c r="M6486">
        <v>-1.6455629999999999E-2</v>
      </c>
      <c r="N6486">
        <v>0</v>
      </c>
      <c r="O6486">
        <v>0.99977139999999998</v>
      </c>
      <c r="P6486">
        <v>6.4225550000000006E-2</v>
      </c>
      <c r="Q6486">
        <v>0.1683665</v>
      </c>
      <c r="R6486">
        <v>0.98362989999999995</v>
      </c>
      <c r="S6486">
        <v>0.572052</v>
      </c>
      <c r="T6486">
        <v>-0.7467549</v>
      </c>
      <c r="U6486">
        <v>3.1401370000000002</v>
      </c>
      <c r="V6486">
        <v>8.0411479999999994E-2</v>
      </c>
      <c r="W6486">
        <v>0.1817589</v>
      </c>
      <c r="X6486">
        <v>0.98004979999999997</v>
      </c>
      <c r="Y6486">
        <v>0.1906902</v>
      </c>
      <c r="Z6486">
        <v>-0.22741169999999999</v>
      </c>
      <c r="AA6486">
        <v>0.95494559999999995</v>
      </c>
      <c r="AB6486">
        <v>23</v>
      </c>
      <c r="AC6486">
        <v>0.15189999999998299</v>
      </c>
      <c r="AD6486">
        <v>-0.1935144</v>
      </c>
      <c r="AE6486">
        <v>0.59428000000001102</v>
      </c>
      <c r="AF6486">
        <v>0.147025934613081</v>
      </c>
      <c r="AG6486">
        <v>-0.1935144</v>
      </c>
      <c r="AH6486">
        <v>0.53813817540279796</v>
      </c>
      <c r="AI6486">
        <v>109.130953078066</v>
      </c>
      <c r="AJ6486">
        <v>74.719021760679794</v>
      </c>
      <c r="AK6486">
        <v>0.590471967397321</v>
      </c>
      <c r="AL6486">
        <v>79.527772002234997</v>
      </c>
      <c r="AM6486">
        <v>85.309481776697893</v>
      </c>
      <c r="AN6486">
        <v>0.99999995716251899</v>
      </c>
    </row>
    <row r="6487" spans="1:40" x14ac:dyDescent="0.25">
      <c r="A6487" t="str">
        <f>"20190312172836001"</f>
        <v>20190312172836001</v>
      </c>
      <c r="B6487" t="str">
        <f>"1552382915996458"</f>
        <v>1552382915996458</v>
      </c>
      <c r="C6487" t="s">
        <v>40</v>
      </c>
      <c r="D6487">
        <v>3.4409230000000002</v>
      </c>
      <c r="E6487">
        <v>0.55153209999999997</v>
      </c>
      <c r="F6487" t="s">
        <v>44</v>
      </c>
      <c r="G6487">
        <v>-187.74289999999999</v>
      </c>
      <c r="H6487">
        <v>0.91992890000000005</v>
      </c>
      <c r="I6487">
        <v>84.792950000000005</v>
      </c>
      <c r="J6487">
        <v>-187.89259999999999</v>
      </c>
      <c r="K6487">
        <v>1.1100639999999999</v>
      </c>
      <c r="L6487">
        <v>84.24982</v>
      </c>
      <c r="M6487">
        <v>-1.6455629999999999E-2</v>
      </c>
      <c r="N6487">
        <v>0</v>
      </c>
      <c r="O6487">
        <v>0.99977179999999999</v>
      </c>
      <c r="P6487">
        <v>6.4575209999999994E-2</v>
      </c>
      <c r="Q6487">
        <v>0.16897679999999901</v>
      </c>
      <c r="R6487">
        <v>0.9835024</v>
      </c>
      <c r="S6487">
        <v>0.57283019999999996</v>
      </c>
      <c r="T6487">
        <v>-0.7486391</v>
      </c>
      <c r="U6487">
        <v>3.1406559999999999</v>
      </c>
      <c r="V6487">
        <v>8.0759029999999996E-2</v>
      </c>
      <c r="W6487">
        <v>0.1823398</v>
      </c>
      <c r="X6487">
        <v>0.97991340000000005</v>
      </c>
      <c r="Y6487">
        <v>0.1908704</v>
      </c>
      <c r="Z6487">
        <v>-0.22791130000000001</v>
      </c>
      <c r="AA6487">
        <v>0.95479049999999999</v>
      </c>
      <c r="AB6487">
        <v>23</v>
      </c>
      <c r="AC6487">
        <v>0.149699999999995</v>
      </c>
      <c r="AD6487">
        <v>-0.190135099999999</v>
      </c>
      <c r="AE6487">
        <v>0.543130000000005</v>
      </c>
      <c r="AF6487">
        <v>0.14239908674792101</v>
      </c>
      <c r="AG6487">
        <v>-0.190135099999999</v>
      </c>
      <c r="AH6487">
        <v>0.485316122371454</v>
      </c>
      <c r="AI6487">
        <v>110.60262495114701</v>
      </c>
      <c r="AJ6487">
        <v>73.647513945966793</v>
      </c>
      <c r="AK6487">
        <v>0.54033378090983397</v>
      </c>
      <c r="AL6487">
        <v>79.493924209109096</v>
      </c>
      <c r="AM6487">
        <v>85.288646963607704</v>
      </c>
      <c r="AN6487">
        <v>1.0000000475450599</v>
      </c>
    </row>
    <row r="6488" spans="1:40" x14ac:dyDescent="0.25">
      <c r="A6488" t="str">
        <f>"20190312172836022"</f>
        <v>20190312172836022</v>
      </c>
      <c r="B6488" t="str">
        <f>"1552382916015979"</f>
        <v>1552382916015979</v>
      </c>
      <c r="C6488" t="s">
        <v>40</v>
      </c>
      <c r="D6488">
        <v>3.4291040000000002</v>
      </c>
      <c r="E6488">
        <v>0.53935239999999995</v>
      </c>
      <c r="F6488" t="s">
        <v>44</v>
      </c>
      <c r="G6488">
        <v>-187.7561</v>
      </c>
      <c r="H6488">
        <v>0.93117930000000004</v>
      </c>
      <c r="I6488">
        <v>84.999069999999904</v>
      </c>
      <c r="J6488">
        <v>-187.8963</v>
      </c>
      <c r="K6488">
        <v>1.11006</v>
      </c>
      <c r="L6488">
        <v>84.46902</v>
      </c>
      <c r="M6488">
        <v>-1.6455620000000001E-2</v>
      </c>
      <c r="N6488">
        <v>0</v>
      </c>
      <c r="O6488">
        <v>0.99977229999999995</v>
      </c>
      <c r="P6488">
        <v>6.5196859999999995E-2</v>
      </c>
      <c r="Q6488">
        <v>0.16863739999999999</v>
      </c>
      <c r="R6488">
        <v>0.98351960000000005</v>
      </c>
      <c r="S6488">
        <v>0.57257080000000005</v>
      </c>
      <c r="T6488">
        <v>-0.75005049999999995</v>
      </c>
      <c r="U6488">
        <v>3.1416019999999998</v>
      </c>
      <c r="V6488">
        <v>8.1380850000000005E-2</v>
      </c>
      <c r="W6488">
        <v>0.18196519999999999</v>
      </c>
      <c r="X6488">
        <v>0.97993149999999996</v>
      </c>
      <c r="Y6488">
        <v>0.1907287</v>
      </c>
      <c r="Z6488">
        <v>-0.22825889999999999</v>
      </c>
      <c r="AA6488">
        <v>0.95473580000000002</v>
      </c>
      <c r="AB6488">
        <v>23</v>
      </c>
      <c r="AC6488">
        <v>0.140199999999993</v>
      </c>
      <c r="AD6488">
        <v>-0.1788807</v>
      </c>
      <c r="AE6488">
        <v>0.53004999999998803</v>
      </c>
      <c r="AF6488">
        <v>0.134578881424122</v>
      </c>
      <c r="AG6488">
        <v>-0.1788807</v>
      </c>
      <c r="AH6488">
        <v>0.47690663772877401</v>
      </c>
      <c r="AI6488">
        <v>109.84895295917001</v>
      </c>
      <c r="AJ6488">
        <v>74.241397870364594</v>
      </c>
      <c r="AK6488">
        <v>0.52682987886757304</v>
      </c>
      <c r="AL6488">
        <v>79.5157514656958</v>
      </c>
      <c r="AM6488">
        <v>85.252623445146497</v>
      </c>
      <c r="AN6488">
        <v>0.99999996072500497</v>
      </c>
    </row>
    <row r="6489" spans="1:40" x14ac:dyDescent="0.25">
      <c r="A6489" t="str">
        <f>"20190312172836045"</f>
        <v>20190312172836045</v>
      </c>
      <c r="B6489" t="str">
        <f>"1552382916036475"</f>
        <v>1552382916036475</v>
      </c>
      <c r="C6489" t="s">
        <v>40</v>
      </c>
      <c r="D6489">
        <v>3.4158919999999999</v>
      </c>
      <c r="E6489">
        <v>0.53915100000000005</v>
      </c>
      <c r="F6489" t="s">
        <v>44</v>
      </c>
      <c r="G6489">
        <v>-187.77850000000001</v>
      </c>
      <c r="H6489">
        <v>0.98452930000000005</v>
      </c>
      <c r="I6489">
        <v>85.225189999999998</v>
      </c>
      <c r="J6489">
        <v>-187.8999</v>
      </c>
      <c r="K6489">
        <v>1.11005</v>
      </c>
      <c r="L6489">
        <v>84.688140000000004</v>
      </c>
      <c r="M6489">
        <v>-1.6455640000000001E-2</v>
      </c>
      <c r="N6489">
        <v>0</v>
      </c>
      <c r="O6489">
        <v>0.99977300000000002</v>
      </c>
      <c r="P6489">
        <v>6.5786830000000004E-2</v>
      </c>
      <c r="Q6489">
        <v>0.16853589999999999</v>
      </c>
      <c r="R6489">
        <v>0.98349770000000003</v>
      </c>
      <c r="S6489">
        <v>0.48371890000000001</v>
      </c>
      <c r="T6489">
        <v>-0.51572899999999999</v>
      </c>
      <c r="U6489">
        <v>3.1066280000000002</v>
      </c>
      <c r="V6489">
        <v>8.1970360000000006E-2</v>
      </c>
      <c r="W6489">
        <v>0.1818147</v>
      </c>
      <c r="X6489">
        <v>0.97991030000000001</v>
      </c>
      <c r="Y6489">
        <v>0.16806740000000001</v>
      </c>
      <c r="Z6489">
        <v>-0.16162089999999901</v>
      </c>
      <c r="AA6489">
        <v>0.97243610000000003</v>
      </c>
      <c r="AB6489">
        <v>23</v>
      </c>
      <c r="AC6489">
        <v>0.121399999999994</v>
      </c>
      <c r="AD6489">
        <v>-0.12552070000000001</v>
      </c>
      <c r="AE6489">
        <v>0.53704999999999303</v>
      </c>
      <c r="AF6489">
        <v>0.12378850518524</v>
      </c>
      <c r="AG6489">
        <v>-0.12552070000000001</v>
      </c>
      <c r="AH6489">
        <v>0.50854972847256297</v>
      </c>
      <c r="AI6489">
        <v>103.485895734162</v>
      </c>
      <c r="AJ6489">
        <v>76.319415537213501</v>
      </c>
      <c r="AK6489">
        <v>0.53823959950379296</v>
      </c>
      <c r="AL6489">
        <v>79.524520760595806</v>
      </c>
      <c r="AM6489">
        <v>85.218290114401995</v>
      </c>
      <c r="AN6489">
        <v>0.99999996055035401</v>
      </c>
    </row>
    <row r="6490" spans="1:40" x14ac:dyDescent="0.25">
      <c r="A6490" t="str">
        <f>"20190312172836064"</f>
        <v>20190312172836064</v>
      </c>
      <c r="B6490" t="str">
        <f>"1552382916055995"</f>
        <v>1552382916055995</v>
      </c>
      <c r="C6490" t="s">
        <v>40</v>
      </c>
      <c r="D6490">
        <v>3.4333499999999999</v>
      </c>
      <c r="E6490">
        <v>0.539331</v>
      </c>
      <c r="F6490" t="s">
        <v>44</v>
      </c>
      <c r="G6490">
        <v>-187.78120000000001</v>
      </c>
      <c r="H6490">
        <v>1.0123879999999901</v>
      </c>
      <c r="I6490">
        <v>85.44041</v>
      </c>
      <c r="J6490">
        <v>-187.9033</v>
      </c>
      <c r="K6490">
        <v>1.110039</v>
      </c>
      <c r="L6490">
        <v>84.896479999999997</v>
      </c>
      <c r="M6490">
        <v>-1.6455669999999999E-2</v>
      </c>
      <c r="N6490">
        <v>0</v>
      </c>
      <c r="O6490">
        <v>0.99977369999999999</v>
      </c>
      <c r="P6490">
        <v>6.6742739999999995E-2</v>
      </c>
      <c r="Q6490">
        <v>0.16836199999999901</v>
      </c>
      <c r="R6490">
        <v>0.98346310000000003</v>
      </c>
      <c r="S6490">
        <v>0.48712159999999899</v>
      </c>
      <c r="T6490">
        <v>-0.40067160000000002</v>
      </c>
      <c r="U6490">
        <v>3.086395</v>
      </c>
      <c r="V6490">
        <v>8.2925600000000002E-2</v>
      </c>
      <c r="W6490">
        <v>0.18158079999999999</v>
      </c>
      <c r="X6490">
        <v>0.97987340000000001</v>
      </c>
      <c r="Y6490">
        <v>0.1708703</v>
      </c>
      <c r="Z6490">
        <v>-0.12699189999999999</v>
      </c>
      <c r="AA6490">
        <v>0.97707540000000004</v>
      </c>
      <c r="AB6490">
        <v>23</v>
      </c>
      <c r="AC6490">
        <v>0.122099999999989</v>
      </c>
      <c r="AD6490">
        <v>-9.7651000000000099E-2</v>
      </c>
      <c r="AE6490">
        <v>0.54392999999998803</v>
      </c>
      <c r="AF6490">
        <v>0.12713398822345801</v>
      </c>
      <c r="AG6490">
        <v>-9.7651000000000099E-2</v>
      </c>
      <c r="AH6490">
        <v>0.52571567956744103</v>
      </c>
      <c r="AI6490">
        <v>100.234184337548</v>
      </c>
      <c r="AJ6490">
        <v>76.405150170018203</v>
      </c>
      <c r="AK6490">
        <v>0.54961417786085098</v>
      </c>
      <c r="AL6490">
        <v>79.538150158668799</v>
      </c>
      <c r="AM6490">
        <v>85.162648148931595</v>
      </c>
      <c r="AN6490">
        <v>1.00000006104577</v>
      </c>
    </row>
    <row r="6491" spans="1:40" x14ac:dyDescent="0.25">
      <c r="A6491" t="str">
        <f>"20190312172836089"</f>
        <v>20190312172836089</v>
      </c>
      <c r="B6491" t="str">
        <f>"1552382916086252"</f>
        <v>1552382916086252</v>
      </c>
      <c r="C6491" t="s">
        <v>40</v>
      </c>
      <c r="D6491">
        <v>3.396766</v>
      </c>
      <c r="E6491">
        <v>0.53925029999999996</v>
      </c>
      <c r="F6491" t="s">
        <v>44</v>
      </c>
      <c r="G6491">
        <v>-187.78290000000001</v>
      </c>
      <c r="H6491">
        <v>1.0239879999999999</v>
      </c>
      <c r="I6491">
        <v>85.64761</v>
      </c>
      <c r="J6491">
        <v>-187.90719999999999</v>
      </c>
      <c r="K6491">
        <v>1.1100190000000001</v>
      </c>
      <c r="L6491">
        <v>85.132930000000002</v>
      </c>
      <c r="M6491">
        <v>-1.6455750000000002E-2</v>
      </c>
      <c r="N6491">
        <v>0</v>
      </c>
      <c r="O6491">
        <v>0.99977479999999996</v>
      </c>
      <c r="P6491">
        <v>6.7210119999999998E-2</v>
      </c>
      <c r="Q6491">
        <v>0.16885320000000001</v>
      </c>
      <c r="R6491">
        <v>0.98334710000000003</v>
      </c>
      <c r="S6491">
        <v>0.49278260000000002</v>
      </c>
      <c r="T6491">
        <v>-0.35256910000000002</v>
      </c>
      <c r="U6491">
        <v>3.0773619999999999</v>
      </c>
      <c r="V6491">
        <v>8.3391060000000003E-2</v>
      </c>
      <c r="W6491">
        <v>0.1819943</v>
      </c>
      <c r="X6491">
        <v>0.97975710000000005</v>
      </c>
      <c r="Y6491">
        <v>0.173346</v>
      </c>
      <c r="Z6491">
        <v>-0.1122331</v>
      </c>
      <c r="AA6491">
        <v>0.97844520000000001</v>
      </c>
      <c r="AB6491">
        <v>23</v>
      </c>
      <c r="AC6491">
        <v>0.124299999999976</v>
      </c>
      <c r="AD6491">
        <v>-8.6031000000000094E-2</v>
      </c>
      <c r="AE6491">
        <v>0.51467999999999803</v>
      </c>
      <c r="AF6491">
        <v>0.12933873764854401</v>
      </c>
      <c r="AG6491">
        <v>-8.6031000000000094E-2</v>
      </c>
      <c r="AH6491">
        <v>0.49938066035175999</v>
      </c>
      <c r="AI6491">
        <v>99.468228429112898</v>
      </c>
      <c r="AJ6491">
        <v>75.479556450108305</v>
      </c>
      <c r="AK6491">
        <v>0.52298268226670597</v>
      </c>
      <c r="AL6491">
        <v>79.514056098214397</v>
      </c>
      <c r="AM6491">
        <v>85.1350514537789</v>
      </c>
      <c r="AN6491">
        <v>0.99999998456041095</v>
      </c>
    </row>
    <row r="6492" spans="1:40" x14ac:dyDescent="0.25">
      <c r="A6492" t="str">
        <f>"20190312172836110"</f>
        <v>20190312172836110</v>
      </c>
      <c r="B6492" t="str">
        <f>"1552382916106747"</f>
        <v>1552382916106747</v>
      </c>
      <c r="C6492" t="s">
        <v>40</v>
      </c>
      <c r="D6492">
        <v>3.4821749999999998</v>
      </c>
      <c r="E6492">
        <v>0.53951329999999997</v>
      </c>
      <c r="F6492" t="s">
        <v>44</v>
      </c>
      <c r="G6492">
        <v>-187.75989999999999</v>
      </c>
      <c r="H6492">
        <v>1.015854</v>
      </c>
      <c r="I6492">
        <v>86.047550000000001</v>
      </c>
      <c r="J6492">
        <v>-187.9109</v>
      </c>
      <c r="K6492">
        <v>1.1100049999999999</v>
      </c>
      <c r="L6492">
        <v>85.355559999999997</v>
      </c>
      <c r="M6492">
        <v>-1.6455689999999999E-2</v>
      </c>
      <c r="N6492">
        <v>0</v>
      </c>
      <c r="O6492">
        <v>0.99977590000000005</v>
      </c>
      <c r="P6492">
        <v>6.7804219999999998E-2</v>
      </c>
      <c r="Q6492">
        <v>0.16888699999999901</v>
      </c>
      <c r="R6492">
        <v>0.98330039999999996</v>
      </c>
      <c r="S6492">
        <v>0.4942627</v>
      </c>
      <c r="T6492">
        <v>-0.31624020000000003</v>
      </c>
      <c r="U6492">
        <v>3.0713200000000001</v>
      </c>
      <c r="V6492">
        <v>8.3984219999999998E-2</v>
      </c>
      <c r="W6492">
        <v>0.18194969999999999</v>
      </c>
      <c r="X6492">
        <v>0.9797148</v>
      </c>
      <c r="Y6492">
        <v>0.17429800000000001</v>
      </c>
      <c r="Z6492">
        <v>-0.1009762</v>
      </c>
      <c r="AA6492">
        <v>0.97950190000000004</v>
      </c>
      <c r="AB6492">
        <v>23</v>
      </c>
      <c r="AC6492">
        <v>0.15100000000000999</v>
      </c>
      <c r="AD6492">
        <v>-9.4150999999999804E-2</v>
      </c>
      <c r="AE6492">
        <v>0.69199000000000399</v>
      </c>
      <c r="AF6492">
        <v>0.159548437664397</v>
      </c>
      <c r="AG6492">
        <v>-9.4150999999999804E-2</v>
      </c>
      <c r="AH6492">
        <v>0.67744056372523298</v>
      </c>
      <c r="AI6492">
        <v>97.704160860800201</v>
      </c>
      <c r="AJ6492">
        <v>76.747406951567498</v>
      </c>
      <c r="AK6492">
        <v>0.70231462475340201</v>
      </c>
      <c r="AL6492">
        <v>79.5166557427996</v>
      </c>
      <c r="AM6492">
        <v>85.1004044536094</v>
      </c>
      <c r="AN6492">
        <v>1.00000006593906</v>
      </c>
    </row>
    <row r="6493" spans="1:40" x14ac:dyDescent="0.25">
      <c r="A6493" t="str">
        <f>"20190312172836133"</f>
        <v>20190312172836133</v>
      </c>
      <c r="B6493" t="str">
        <f>"1552382916126266"</f>
        <v>1552382916126266</v>
      </c>
      <c r="C6493" t="s">
        <v>40</v>
      </c>
      <c r="D6493">
        <v>3.4115129999999998</v>
      </c>
      <c r="E6493">
        <v>0.53964129999999999</v>
      </c>
      <c r="F6493" t="s">
        <v>44</v>
      </c>
      <c r="G6493">
        <v>-187.7654</v>
      </c>
      <c r="H6493">
        <v>1.0195989999999999</v>
      </c>
      <c r="I6493">
        <v>86.250469999999893</v>
      </c>
      <c r="J6493">
        <v>-187.9145</v>
      </c>
      <c r="K6493">
        <v>1.10999</v>
      </c>
      <c r="L6493">
        <v>85.577640000000002</v>
      </c>
      <c r="M6493">
        <v>-1.6455859999999999E-2</v>
      </c>
      <c r="N6493">
        <v>0</v>
      </c>
      <c r="O6493">
        <v>0.99977700000000003</v>
      </c>
      <c r="P6493">
        <v>6.8020399999999995E-2</v>
      </c>
      <c r="Q6493">
        <v>0.16872799999999999</v>
      </c>
      <c r="R6493">
        <v>0.98331279999999999</v>
      </c>
      <c r="S6493">
        <v>0.49882510000000002</v>
      </c>
      <c r="T6493">
        <v>-0.31012869999999998</v>
      </c>
      <c r="U6493">
        <v>3.0697939999999999</v>
      </c>
      <c r="V6493">
        <v>8.4200709999999998E-2</v>
      </c>
      <c r="W6493">
        <v>0.18171200000000001</v>
      </c>
      <c r="X6493">
        <v>0.97974030000000001</v>
      </c>
      <c r="Y6493">
        <v>0.1758237</v>
      </c>
      <c r="Z6493">
        <v>-9.9067429999999998E-2</v>
      </c>
      <c r="AA6493">
        <v>0.97942419999999997</v>
      </c>
      <c r="AB6493">
        <v>23</v>
      </c>
      <c r="AC6493">
        <v>0.14910000000000401</v>
      </c>
      <c r="AD6493">
        <v>-9.0391000000000096E-2</v>
      </c>
      <c r="AE6493">
        <v>0.67282999999999005</v>
      </c>
      <c r="AF6493">
        <v>0.15744416377315801</v>
      </c>
      <c r="AG6493">
        <v>-9.0391000000000096E-2</v>
      </c>
      <c r="AH6493">
        <v>0.65894878990087902</v>
      </c>
      <c r="AI6493">
        <v>97.599468327095494</v>
      </c>
      <c r="AJ6493">
        <v>76.562122530941096</v>
      </c>
      <c r="AK6493">
        <v>0.68350033306433899</v>
      </c>
      <c r="AL6493">
        <v>79.530505483133496</v>
      </c>
      <c r="AM6493">
        <v>85.087963483582698</v>
      </c>
      <c r="AN6493">
        <v>1.0000000329762899</v>
      </c>
    </row>
    <row r="6494" spans="1:40" x14ac:dyDescent="0.25">
      <c r="A6494" t="str">
        <f>"20190312172836155"</f>
        <v>20190312172836155</v>
      </c>
      <c r="B6494" t="str">
        <f>"1552382916145787"</f>
        <v>1552382916145787</v>
      </c>
      <c r="C6494" t="s">
        <v>40</v>
      </c>
      <c r="D6494">
        <v>3.3968400000000001</v>
      </c>
      <c r="E6494">
        <v>0.53960940000000002</v>
      </c>
      <c r="F6494" t="s">
        <v>44</v>
      </c>
      <c r="G6494">
        <v>-187.7713</v>
      </c>
      <c r="H6494">
        <v>1.0228569999999999</v>
      </c>
      <c r="I6494">
        <v>86.453719999999905</v>
      </c>
      <c r="J6494">
        <v>-187.91820000000001</v>
      </c>
      <c r="K6494">
        <v>1.1099810000000001</v>
      </c>
      <c r="L6494">
        <v>85.802980000000005</v>
      </c>
      <c r="M6494">
        <v>-1.645607E-2</v>
      </c>
      <c r="N6494">
        <v>0</v>
      </c>
      <c r="O6494">
        <v>0.9997781</v>
      </c>
      <c r="P6494">
        <v>6.8241800000000005E-2</v>
      </c>
      <c r="Q6494">
        <v>0.16880200000000001</v>
      </c>
      <c r="R6494">
        <v>0.98328479999999996</v>
      </c>
      <c r="S6494">
        <v>0.50099179999999999</v>
      </c>
      <c r="T6494">
        <v>-0.30521540000000003</v>
      </c>
      <c r="U6494">
        <v>3.0686040000000001</v>
      </c>
      <c r="V6494">
        <v>8.4421850000000007E-2</v>
      </c>
      <c r="W6494">
        <v>0.18169750000000001</v>
      </c>
      <c r="X6494">
        <v>0.97972389999999998</v>
      </c>
      <c r="Y6494">
        <v>0.17658209999999999</v>
      </c>
      <c r="Z6494">
        <v>-9.7538070000000004E-2</v>
      </c>
      <c r="AA6494">
        <v>0.97944120000000001</v>
      </c>
      <c r="AB6494">
        <v>23</v>
      </c>
      <c r="AC6494">
        <v>0.14690000000001599</v>
      </c>
      <c r="AD6494">
        <v>-8.7123999999999896E-2</v>
      </c>
      <c r="AE6494">
        <v>0.650739999999984</v>
      </c>
      <c r="AF6494">
        <v>0.15494689625216701</v>
      </c>
      <c r="AG6494">
        <v>-8.7123999999999896E-2</v>
      </c>
      <c r="AH6494">
        <v>0.63736345921445503</v>
      </c>
      <c r="AI6494">
        <v>97.566063181919304</v>
      </c>
      <c r="AJ6494">
        <v>76.336116006552999</v>
      </c>
      <c r="AK6494">
        <v>0.66168822807723904</v>
      </c>
      <c r="AL6494">
        <v>79.531349724903293</v>
      </c>
      <c r="AM6494">
        <v>85.075044120250993</v>
      </c>
      <c r="AN6494">
        <v>0.999999975247441</v>
      </c>
    </row>
    <row r="6495" spans="1:40" x14ac:dyDescent="0.25">
      <c r="A6495" t="str">
        <f>"20190312172836177"</f>
        <v>20190312172836177</v>
      </c>
      <c r="B6495" t="str">
        <f>"1552382916166282"</f>
        <v>1552382916166282</v>
      </c>
      <c r="C6495" t="s">
        <v>40</v>
      </c>
      <c r="D6495">
        <v>3.4088129999999999</v>
      </c>
      <c r="E6495">
        <v>0.5396434</v>
      </c>
      <c r="F6495" t="s">
        <v>44</v>
      </c>
      <c r="G6495">
        <v>-187.77850000000001</v>
      </c>
      <c r="H6495">
        <v>1.0270549999999901</v>
      </c>
      <c r="I6495">
        <v>86.657439999999994</v>
      </c>
      <c r="J6495">
        <v>-187.92179999999999</v>
      </c>
      <c r="K6495">
        <v>1.109964</v>
      </c>
      <c r="L6495">
        <v>86.023989999999998</v>
      </c>
      <c r="M6495">
        <v>-1.6456169999999999E-2</v>
      </c>
      <c r="N6495">
        <v>0</v>
      </c>
      <c r="O6495">
        <v>0.99977939999999998</v>
      </c>
      <c r="P6495">
        <v>6.8896819999999998E-2</v>
      </c>
      <c r="Q6495">
        <v>0.1694042</v>
      </c>
      <c r="R6495">
        <v>0.98313550000000005</v>
      </c>
      <c r="S6495">
        <v>0.50114440000000005</v>
      </c>
      <c r="T6495">
        <v>-0.29768420000000001</v>
      </c>
      <c r="U6495">
        <v>3.0673219999999999</v>
      </c>
      <c r="V6495">
        <v>8.5074430000000006E-2</v>
      </c>
      <c r="W6495">
        <v>0.1822029</v>
      </c>
      <c r="X6495">
        <v>0.97957360000000004</v>
      </c>
      <c r="Y6495">
        <v>0.17673129999999901</v>
      </c>
      <c r="Z6495">
        <v>-9.5190990000000003E-2</v>
      </c>
      <c r="AA6495">
        <v>0.97964519999999999</v>
      </c>
      <c r="AB6495">
        <v>23</v>
      </c>
      <c r="AC6495">
        <v>0.143299999999982</v>
      </c>
      <c r="AD6495">
        <v>-8.2909000000000094E-2</v>
      </c>
      <c r="AE6495">
        <v>0.63345000000000995</v>
      </c>
      <c r="AF6495">
        <v>0.15124089368903901</v>
      </c>
      <c r="AG6495">
        <v>-8.2909000000000094E-2</v>
      </c>
      <c r="AH6495">
        <v>0.62088734237974097</v>
      </c>
      <c r="AI6495">
        <v>97.392233072004899</v>
      </c>
      <c r="AJ6495">
        <v>76.310028333469901</v>
      </c>
      <c r="AK6495">
        <v>0.64439801530749397</v>
      </c>
      <c r="AL6495">
        <v>79.501901095921596</v>
      </c>
      <c r="AM6495">
        <v>85.036406006875396</v>
      </c>
      <c r="AN6495">
        <v>0.99999999661259698</v>
      </c>
    </row>
    <row r="6496" spans="1:40" x14ac:dyDescent="0.25">
      <c r="A6496" t="str">
        <f>"20190312172836200"</f>
        <v>20190312172836200</v>
      </c>
      <c r="B6496" t="str">
        <f>"1552382916196539"</f>
        <v>1552382916196539</v>
      </c>
      <c r="C6496" t="s">
        <v>40</v>
      </c>
      <c r="D6496">
        <v>3.4129710000000002</v>
      </c>
      <c r="E6496">
        <v>0.53964290000000004</v>
      </c>
      <c r="F6496" t="s">
        <v>44</v>
      </c>
      <c r="G6496">
        <v>-187.7843</v>
      </c>
      <c r="H6496">
        <v>1.0307729999999999</v>
      </c>
      <c r="I6496">
        <v>86.861040000000003</v>
      </c>
      <c r="J6496">
        <v>-187.9256</v>
      </c>
      <c r="K6496">
        <v>1.1099490000000001</v>
      </c>
      <c r="L6496">
        <v>86.252169999999893</v>
      </c>
      <c r="M6496">
        <v>-1.6456249999999999E-2</v>
      </c>
      <c r="N6496">
        <v>0</v>
      </c>
      <c r="O6496">
        <v>0.99978080000000003</v>
      </c>
      <c r="P6496">
        <v>6.922594E-2</v>
      </c>
      <c r="Q6496">
        <v>0.16937169999999999</v>
      </c>
      <c r="R6496">
        <v>0.98311800000000005</v>
      </c>
      <c r="S6496">
        <v>0.50337219999999905</v>
      </c>
      <c r="T6496">
        <v>-0.2901087</v>
      </c>
      <c r="U6496">
        <v>3.0661619999999998</v>
      </c>
      <c r="V6496">
        <v>8.5403259999999995E-2</v>
      </c>
      <c r="W6496">
        <v>0.1820669</v>
      </c>
      <c r="X6496">
        <v>0.9795703</v>
      </c>
      <c r="Y6496">
        <v>0.17751989999999901</v>
      </c>
      <c r="Z6496">
        <v>-9.2812359999999997E-2</v>
      </c>
      <c r="AA6496">
        <v>0.97973080000000001</v>
      </c>
      <c r="AB6496">
        <v>22</v>
      </c>
      <c r="AC6496">
        <v>0.14130000000000101</v>
      </c>
      <c r="AD6496">
        <v>-7.9176000000000094E-2</v>
      </c>
      <c r="AE6496">
        <v>0.60887000000001001</v>
      </c>
      <c r="AF6496">
        <v>0.148912032699655</v>
      </c>
      <c r="AG6496">
        <v>-7.9176000000000094E-2</v>
      </c>
      <c r="AH6496">
        <v>0.59688468640735703</v>
      </c>
      <c r="AI6496">
        <v>97.333870158653895</v>
      </c>
      <c r="AJ6496">
        <v>75.991689032284498</v>
      </c>
      <c r="AK6496">
        <v>0.62025394906147302</v>
      </c>
      <c r="AL6496">
        <v>79.509826152864406</v>
      </c>
      <c r="AM6496">
        <v>85.017300402597996</v>
      </c>
      <c r="AN6496">
        <v>1.00000002276816</v>
      </c>
    </row>
    <row r="6497" spans="1:40" x14ac:dyDescent="0.25">
      <c r="A6497" t="str">
        <f>"20190312172836225"</f>
        <v>20190312172836225</v>
      </c>
      <c r="B6497" t="str">
        <f>"1552382916216059"</f>
        <v>1552382916216059</v>
      </c>
      <c r="C6497" t="s">
        <v>40</v>
      </c>
      <c r="D6497">
        <v>3.414463</v>
      </c>
      <c r="E6497">
        <v>0.5397189</v>
      </c>
      <c r="F6497" t="s">
        <v>44</v>
      </c>
      <c r="G6497">
        <v>-187.7919</v>
      </c>
      <c r="H6497">
        <v>1.0346379999999999</v>
      </c>
      <c r="I6497">
        <v>87.064350000000005</v>
      </c>
      <c r="J6497">
        <v>-187.9297</v>
      </c>
      <c r="K6497">
        <v>1.109939</v>
      </c>
      <c r="L6497">
        <v>86.503910000000005</v>
      </c>
      <c r="M6497">
        <v>-1.6456350000000002E-2</v>
      </c>
      <c r="N6497">
        <v>0</v>
      </c>
      <c r="O6497">
        <v>0.99978230000000001</v>
      </c>
      <c r="P6497">
        <v>6.9612229999999997E-2</v>
      </c>
      <c r="Q6497">
        <v>0.16905029999999999</v>
      </c>
      <c r="R6497">
        <v>0.98314610000000002</v>
      </c>
      <c r="S6497">
        <v>0.50428770000000001</v>
      </c>
      <c r="T6497">
        <v>-0.28421030000000003</v>
      </c>
      <c r="U6497">
        <v>3.064972</v>
      </c>
      <c r="V6497">
        <v>8.5789989999999997E-2</v>
      </c>
      <c r="W6497">
        <v>0.1816257</v>
      </c>
      <c r="X6497">
        <v>0.9796184</v>
      </c>
      <c r="Y6497">
        <v>0.1778933</v>
      </c>
      <c r="Z6497">
        <v>-9.0970670000000003E-2</v>
      </c>
      <c r="AA6497">
        <v>0.97983589999999998</v>
      </c>
      <c r="AB6497">
        <v>22</v>
      </c>
      <c r="AC6497">
        <v>0.13779999999999801</v>
      </c>
      <c r="AD6497">
        <v>-7.5301000000000007E-2</v>
      </c>
      <c r="AE6497">
        <v>0.56043999999999905</v>
      </c>
      <c r="AF6497">
        <v>0.14454423408960601</v>
      </c>
      <c r="AG6497">
        <v>-7.5301000000000007E-2</v>
      </c>
      <c r="AH6497">
        <v>0.54875446605935696</v>
      </c>
      <c r="AI6497">
        <v>97.558735130829703</v>
      </c>
      <c r="AJ6497">
        <v>75.243239428608703</v>
      </c>
      <c r="AK6497">
        <v>0.57244627715589202</v>
      </c>
      <c r="AL6497">
        <v>79.535533574171595</v>
      </c>
      <c r="AM6497">
        <v>84.995096201033206</v>
      </c>
      <c r="AN6497">
        <v>1.00000001345162</v>
      </c>
    </row>
    <row r="6498" spans="1:40" x14ac:dyDescent="0.25">
      <c r="A6498" t="str">
        <f>"20190312172836247"</f>
        <v>20190312172836247</v>
      </c>
      <c r="B6498" t="str">
        <f>"1552382916236555"</f>
        <v>1552382916236555</v>
      </c>
      <c r="C6498" t="s">
        <v>40</v>
      </c>
      <c r="D6498">
        <v>3.438771</v>
      </c>
      <c r="E6498">
        <v>0.53974040000000001</v>
      </c>
      <c r="F6498" t="s">
        <v>44</v>
      </c>
      <c r="G6498">
        <v>-187.8032</v>
      </c>
      <c r="H6498">
        <v>1.0396650000000001</v>
      </c>
      <c r="I6498">
        <v>87.267949999999999</v>
      </c>
      <c r="J6498">
        <v>-187.9333</v>
      </c>
      <c r="K6498">
        <v>1.1099209999999999</v>
      </c>
      <c r="L6498">
        <v>86.718379999999996</v>
      </c>
      <c r="M6498">
        <v>-1.6456479999999999E-2</v>
      </c>
      <c r="N6498">
        <v>0</v>
      </c>
      <c r="O6498">
        <v>0.9997838</v>
      </c>
      <c r="P6498">
        <v>6.9656960000000004E-2</v>
      </c>
      <c r="Q6498">
        <v>0.16934289999999999</v>
      </c>
      <c r="R6498">
        <v>0.98309250000000004</v>
      </c>
      <c r="S6498">
        <v>0.50688169999999999</v>
      </c>
      <c r="T6498">
        <v>-0.28186369999999999</v>
      </c>
      <c r="U6498">
        <v>3.0639949999999998</v>
      </c>
      <c r="V6498">
        <v>8.5833939999999997E-2</v>
      </c>
      <c r="W6498">
        <v>0.18180299999999999</v>
      </c>
      <c r="X6498">
        <v>0.9795817</v>
      </c>
      <c r="Y6498">
        <v>0.1787618</v>
      </c>
      <c r="Z6498">
        <v>-9.024066E-2</v>
      </c>
      <c r="AA6498">
        <v>0.97974530000000004</v>
      </c>
      <c r="AB6498">
        <v>22</v>
      </c>
      <c r="AC6498">
        <v>0.130099999999998</v>
      </c>
      <c r="AD6498">
        <v>-7.0255999999999805E-2</v>
      </c>
      <c r="AE6498">
        <v>0.54956999999998801</v>
      </c>
      <c r="AF6498">
        <v>0.13700687130115399</v>
      </c>
      <c r="AG6498">
        <v>-7.0255999999999805E-2</v>
      </c>
      <c r="AH6498">
        <v>0.53901300244621697</v>
      </c>
      <c r="AI6498">
        <v>97.199753254877294</v>
      </c>
      <c r="AJ6498">
        <v>75.738516281964806</v>
      </c>
      <c r="AK6498">
        <v>0.560572747398423</v>
      </c>
      <c r="AL6498">
        <v>79.525203446549</v>
      </c>
      <c r="AM6498">
        <v>84.992358583846894</v>
      </c>
      <c r="AN6498">
        <v>1.0000000515198999</v>
      </c>
    </row>
    <row r="6499" spans="1:40" x14ac:dyDescent="0.25">
      <c r="A6499" t="str">
        <f>"20190312172836267"</f>
        <v>20190312172836267</v>
      </c>
      <c r="B6499" t="str">
        <f>"1552382916256074"</f>
        <v>1552382916256074</v>
      </c>
      <c r="C6499" t="s">
        <v>40</v>
      </c>
      <c r="D6499">
        <v>3.425303</v>
      </c>
      <c r="E6499">
        <v>0.53976359999999901</v>
      </c>
      <c r="F6499" t="s">
        <v>44</v>
      </c>
      <c r="G6499">
        <v>-187.80869999999999</v>
      </c>
      <c r="H6499">
        <v>1.041706</v>
      </c>
      <c r="I6499">
        <v>87.47054</v>
      </c>
      <c r="J6499">
        <v>-187.93680000000001</v>
      </c>
      <c r="K6499">
        <v>1.109901</v>
      </c>
      <c r="L6499">
        <v>86.934780000000003</v>
      </c>
      <c r="M6499">
        <v>-1.6456640000000002E-2</v>
      </c>
      <c r="N6499">
        <v>0</v>
      </c>
      <c r="O6499">
        <v>0.99978540000000005</v>
      </c>
      <c r="P6499">
        <v>6.9684949999999996E-2</v>
      </c>
      <c r="Q6499">
        <v>0.1694774</v>
      </c>
      <c r="R6499">
        <v>0.98306729999999998</v>
      </c>
      <c r="S6499">
        <v>0.50727840000000002</v>
      </c>
      <c r="T6499">
        <v>-0.27783669999999999</v>
      </c>
      <c r="U6499">
        <v>3.063507</v>
      </c>
      <c r="V6499">
        <v>8.586162E-2</v>
      </c>
      <c r="W6499">
        <v>0.18181710000000001</v>
      </c>
      <c r="X6499">
        <v>0.97957660000000002</v>
      </c>
      <c r="Y6499">
        <v>0.17892920000000001</v>
      </c>
      <c r="Z6499">
        <v>-8.8973410000000003E-2</v>
      </c>
      <c r="AA6499">
        <v>0.9798306</v>
      </c>
      <c r="AB6499">
        <v>22</v>
      </c>
      <c r="AC6499">
        <v>0.12810000000001701</v>
      </c>
      <c r="AD6499">
        <v>-6.8195000000000006E-2</v>
      </c>
      <c r="AE6499">
        <v>0.53575999999999602</v>
      </c>
      <c r="AF6499">
        <v>0.13483373653483299</v>
      </c>
      <c r="AG6499">
        <v>-6.8195000000000006E-2</v>
      </c>
      <c r="AH6499">
        <v>0.52552513462648798</v>
      </c>
      <c r="AI6499">
        <v>97.164179993284506</v>
      </c>
      <c r="AJ6499">
        <v>75.610043026726601</v>
      </c>
      <c r="AK6499">
        <v>0.54681565600952997</v>
      </c>
      <c r="AL6499">
        <v>79.524381289709495</v>
      </c>
      <c r="AM6499">
        <v>84.990725971870603</v>
      </c>
      <c r="AN6499">
        <v>0.99999999545449703</v>
      </c>
    </row>
    <row r="6500" spans="1:40" x14ac:dyDescent="0.25">
      <c r="A6500" t="str">
        <f>"20190312172836290"</f>
        <v>20190312172836290</v>
      </c>
      <c r="B6500" t="str">
        <f>"1552382916286331"</f>
        <v>1552382916286331</v>
      </c>
      <c r="C6500" t="s">
        <v>40</v>
      </c>
      <c r="D6500">
        <v>3.4246289999999999</v>
      </c>
      <c r="E6500">
        <v>0.53985950000000005</v>
      </c>
      <c r="F6500" t="s">
        <v>41</v>
      </c>
      <c r="G6500">
        <v>-185.8837</v>
      </c>
      <c r="H6500" s="1">
        <v>-4.8893860000000002E-6</v>
      </c>
      <c r="I6500">
        <v>99.328000000000003</v>
      </c>
      <c r="J6500">
        <v>-187.94049999999999</v>
      </c>
      <c r="K6500">
        <v>1.109891</v>
      </c>
      <c r="L6500">
        <v>87.157200000000003</v>
      </c>
      <c r="M6500">
        <v>-1.6456809999999999E-2</v>
      </c>
      <c r="N6500">
        <v>0</v>
      </c>
      <c r="O6500">
        <v>0.99978690000000003</v>
      </c>
      <c r="P6500">
        <v>7.0375030000000005E-2</v>
      </c>
      <c r="Q6500">
        <v>0.16959589999999999</v>
      </c>
      <c r="R6500">
        <v>0.98299780000000003</v>
      </c>
      <c r="S6500">
        <v>0.50744630000000002</v>
      </c>
      <c r="T6500">
        <v>-0.27431620000000001</v>
      </c>
      <c r="U6500">
        <v>3.0630190000000002</v>
      </c>
      <c r="V6500">
        <v>8.655061E-2</v>
      </c>
      <c r="W6500">
        <v>0.18182029999999999</v>
      </c>
      <c r="X6500">
        <v>0.97951540000000004</v>
      </c>
      <c r="Y6500">
        <v>0.17902279999999901</v>
      </c>
      <c r="Z6500">
        <v>-8.7867509999999996E-2</v>
      </c>
      <c r="AA6500">
        <v>0.97991329999999999</v>
      </c>
      <c r="AB6500">
        <v>23</v>
      </c>
      <c r="AC6500">
        <v>2.05679999999998</v>
      </c>
      <c r="AD6500">
        <v>-1.109895889386</v>
      </c>
      <c r="AE6500">
        <v>12.1707999999999</v>
      </c>
      <c r="AF6500">
        <v>2.23872869353931</v>
      </c>
      <c r="AG6500">
        <v>-1.109895889386</v>
      </c>
      <c r="AH6500">
        <v>12.037969770436399</v>
      </c>
      <c r="AI6500">
        <v>95.179443912687503</v>
      </c>
      <c r="AJ6500">
        <v>79.464927154189397</v>
      </c>
      <c r="AK6500">
        <v>12.294571616876</v>
      </c>
      <c r="AL6500">
        <v>79.524195140049599</v>
      </c>
      <c r="AM6500">
        <v>84.950422563341107</v>
      </c>
      <c r="AN6500">
        <v>1.00000002421031</v>
      </c>
    </row>
    <row r="6501" spans="1:40" x14ac:dyDescent="0.25">
      <c r="A6501" t="str">
        <f>"20190312172836310"</f>
        <v>20190312172836310</v>
      </c>
      <c r="B6501" t="str">
        <f>"1552382916306827"</f>
        <v>1552382916306827</v>
      </c>
      <c r="C6501" t="s">
        <v>40</v>
      </c>
      <c r="D6501">
        <v>3.4446560000000002</v>
      </c>
      <c r="E6501">
        <v>0.53996429999999995</v>
      </c>
      <c r="F6501" t="s">
        <v>41</v>
      </c>
      <c r="G6501">
        <v>-185.82169999999999</v>
      </c>
      <c r="H6501" s="1">
        <v>-1.186387E-6</v>
      </c>
      <c r="I6501">
        <v>99.867429999999999</v>
      </c>
      <c r="J6501">
        <v>-187.94390000000001</v>
      </c>
      <c r="K6501">
        <v>1.109885</v>
      </c>
      <c r="L6501">
        <v>87.368039999999993</v>
      </c>
      <c r="M6501">
        <v>-1.6456970000000001E-2</v>
      </c>
      <c r="N6501">
        <v>0</v>
      </c>
      <c r="O6501">
        <v>0.99978800000000001</v>
      </c>
      <c r="P6501">
        <v>7.1103860000000005E-2</v>
      </c>
      <c r="Q6501">
        <v>0.1689795</v>
      </c>
      <c r="R6501">
        <v>0.98305149999999997</v>
      </c>
      <c r="S6501">
        <v>0.51034550000000001</v>
      </c>
      <c r="T6501">
        <v>-0.26733780000000001</v>
      </c>
      <c r="U6501">
        <v>3.061493</v>
      </c>
      <c r="V6501">
        <v>8.7280300000000005E-2</v>
      </c>
      <c r="W6501">
        <v>0.18110799999999999</v>
      </c>
      <c r="X6501">
        <v>0.97958259999999997</v>
      </c>
      <c r="Y6501">
        <v>0.1800361</v>
      </c>
      <c r="Z6501">
        <v>-8.5676379999999996E-2</v>
      </c>
      <c r="AA6501">
        <v>0.97992170000000001</v>
      </c>
      <c r="AB6501">
        <v>23</v>
      </c>
      <c r="AC6501">
        <v>2.1222000000000198</v>
      </c>
      <c r="AD6501">
        <v>-1.109886186387</v>
      </c>
      <c r="AE6501">
        <v>12.499389999999901</v>
      </c>
      <c r="AF6501">
        <v>2.3099278595180701</v>
      </c>
      <c r="AG6501">
        <v>-1.109886186387</v>
      </c>
      <c r="AH6501">
        <v>12.3679851465086</v>
      </c>
      <c r="AI6501">
        <v>95.041201173715393</v>
      </c>
      <c r="AJ6501">
        <v>79.420937785423504</v>
      </c>
      <c r="AK6501">
        <v>12.6307034897969</v>
      </c>
      <c r="AL6501">
        <v>79.565695833967496</v>
      </c>
      <c r="AM6501">
        <v>84.908420985485904</v>
      </c>
      <c r="AN6501">
        <v>1.0000000143274199</v>
      </c>
    </row>
    <row r="6502" spans="1:40" x14ac:dyDescent="0.25">
      <c r="A6502" t="str">
        <f>"20190312172836333"</f>
        <v>20190312172836333</v>
      </c>
      <c r="B6502" t="str">
        <f>"1552382916326347"</f>
        <v>1552382916326347</v>
      </c>
      <c r="C6502" t="s">
        <v>40</v>
      </c>
      <c r="D6502">
        <v>3.4183910000000002</v>
      </c>
      <c r="E6502">
        <v>0.54003480000000004</v>
      </c>
      <c r="F6502" t="s">
        <v>41</v>
      </c>
      <c r="G6502">
        <v>-185.79769999999999</v>
      </c>
      <c r="H6502" s="1">
        <v>-1.292704E-6</v>
      </c>
      <c r="I6502">
        <v>100.161</v>
      </c>
      <c r="J6502">
        <v>-187.94759999999999</v>
      </c>
      <c r="K6502">
        <v>1.109877</v>
      </c>
      <c r="L6502">
        <v>87.592929999999996</v>
      </c>
      <c r="M6502">
        <v>-1.6457119999999999E-2</v>
      </c>
      <c r="N6502">
        <v>0</v>
      </c>
      <c r="O6502">
        <v>0.99978920000000004</v>
      </c>
      <c r="P6502">
        <v>7.1743639999999997E-2</v>
      </c>
      <c r="Q6502">
        <v>0.16926369999999999</v>
      </c>
      <c r="R6502">
        <v>0.9829561</v>
      </c>
      <c r="S6502">
        <v>0.51341250000000005</v>
      </c>
      <c r="T6502">
        <v>-0.2654958</v>
      </c>
      <c r="U6502">
        <v>3.0602109999999998</v>
      </c>
      <c r="V6502">
        <v>8.7918590000000005E-2</v>
      </c>
      <c r="W6502">
        <v>0.18129609999999999</v>
      </c>
      <c r="X6502">
        <v>0.97949070000000005</v>
      </c>
      <c r="Y6502">
        <v>0.18106610000000001</v>
      </c>
      <c r="Z6502">
        <v>-8.5110249999999998E-2</v>
      </c>
      <c r="AA6502">
        <v>0.97978129999999997</v>
      </c>
      <c r="AB6502">
        <v>23</v>
      </c>
      <c r="AC6502">
        <v>2.1499000000000001</v>
      </c>
      <c r="AD6502">
        <v>-1.1098782927040001</v>
      </c>
      <c r="AE6502">
        <v>12.568069999999899</v>
      </c>
      <c r="AF6502">
        <v>2.3387383944793401</v>
      </c>
      <c r="AG6502">
        <v>-1.1098782927040001</v>
      </c>
      <c r="AH6502">
        <v>12.4367526509374</v>
      </c>
      <c r="AI6502">
        <v>95.012274185284696</v>
      </c>
      <c r="AJ6502">
        <v>79.3498739148298</v>
      </c>
      <c r="AK6502">
        <v>12.703320180292399</v>
      </c>
      <c r="AL6502">
        <v>79.554736858947905</v>
      </c>
      <c r="AM6502">
        <v>84.870904970475493</v>
      </c>
      <c r="AN6502">
        <v>0.99999999286464403</v>
      </c>
    </row>
    <row r="6503" spans="1:40" x14ac:dyDescent="0.25">
      <c r="A6503" t="str">
        <f>"20190312172836355"</f>
        <v>20190312172836355</v>
      </c>
      <c r="B6503" t="str">
        <f>"1552382916346843"</f>
        <v>1552382916346843</v>
      </c>
      <c r="C6503" t="s">
        <v>40</v>
      </c>
      <c r="D6503">
        <v>3.4237519999999901</v>
      </c>
      <c r="E6503">
        <v>0.54011989999999999</v>
      </c>
      <c r="F6503" t="s">
        <v>41</v>
      </c>
      <c r="G6503">
        <v>-185.7501</v>
      </c>
      <c r="H6503" s="1">
        <v>-1.4597589999999999E-6</v>
      </c>
      <c r="I6503">
        <v>100.6148</v>
      </c>
      <c r="J6503">
        <v>-187.95140000000001</v>
      </c>
      <c r="K6503">
        <v>1.109874</v>
      </c>
      <c r="L6503">
        <v>87.821439999999996</v>
      </c>
      <c r="M6503">
        <v>-1.6457280000000001E-2</v>
      </c>
      <c r="N6503">
        <v>0</v>
      </c>
      <c r="O6503">
        <v>0.99979039999999997</v>
      </c>
      <c r="P6503">
        <v>7.2546799999999995E-2</v>
      </c>
      <c r="Q6503">
        <v>0.16940379999999899</v>
      </c>
      <c r="R6503">
        <v>0.982873</v>
      </c>
      <c r="S6503">
        <v>0.51626590000000006</v>
      </c>
      <c r="T6503">
        <v>-0.2607447</v>
      </c>
      <c r="U6503">
        <v>3.0592350000000001</v>
      </c>
      <c r="V6503">
        <v>8.8720359999999998E-2</v>
      </c>
      <c r="W6503">
        <v>0.18134110000000001</v>
      </c>
      <c r="X6503">
        <v>0.97941009999999995</v>
      </c>
      <c r="Y6503">
        <v>0.18202699999999999</v>
      </c>
      <c r="Z6503">
        <v>-8.3610390000000007E-2</v>
      </c>
      <c r="AA6503">
        <v>0.9797323</v>
      </c>
      <c r="AB6503">
        <v>23</v>
      </c>
      <c r="AC6503">
        <v>2.2012999999999998</v>
      </c>
      <c r="AD6503">
        <v>-1.1098754597589999</v>
      </c>
      <c r="AE6503">
        <v>12.79336</v>
      </c>
      <c r="AF6503">
        <v>2.3940611501114</v>
      </c>
      <c r="AG6503">
        <v>-1.1098754597589999</v>
      </c>
      <c r="AH6503">
        <v>12.662833739706601</v>
      </c>
      <c r="AI6503">
        <v>94.922314615916605</v>
      </c>
      <c r="AJ6503">
        <v>79.293910636442902</v>
      </c>
      <c r="AK6503">
        <v>12.9348641525955</v>
      </c>
      <c r="AL6503">
        <v>79.552115382471101</v>
      </c>
      <c r="AM6503">
        <v>84.823959680528006</v>
      </c>
      <c r="AN6503">
        <v>1.00000002040487</v>
      </c>
    </row>
    <row r="6504" spans="1:40" x14ac:dyDescent="0.25">
      <c r="A6504" t="str">
        <f>"20190312172836378"</f>
        <v>20190312172836378</v>
      </c>
      <c r="B6504" t="str">
        <f>"1552382916366363"</f>
        <v>1552382916366363</v>
      </c>
      <c r="C6504" t="s">
        <v>40</v>
      </c>
      <c r="D6504">
        <v>3.4116339999999998</v>
      </c>
      <c r="E6504">
        <v>0.54023350000000003</v>
      </c>
      <c r="F6504" t="s">
        <v>41</v>
      </c>
      <c r="G6504">
        <v>-185.71279999999999</v>
      </c>
      <c r="H6504" s="1">
        <v>-1.6031740000000001E-6</v>
      </c>
      <c r="I6504">
        <v>101.00700000000001</v>
      </c>
      <c r="J6504">
        <v>-187.95509999999999</v>
      </c>
      <c r="K6504">
        <v>1.1098629999999901</v>
      </c>
      <c r="L6504">
        <v>88.049800000000005</v>
      </c>
      <c r="M6504">
        <v>-1.6457449999999998E-2</v>
      </c>
      <c r="N6504">
        <v>0</v>
      </c>
      <c r="O6504">
        <v>0.99979150000000006</v>
      </c>
      <c r="P6504">
        <v>7.384483E-2</v>
      </c>
      <c r="Q6504">
        <v>0.17004739999999999</v>
      </c>
      <c r="R6504">
        <v>0.98266520000000002</v>
      </c>
      <c r="S6504">
        <v>0.51922609999999902</v>
      </c>
      <c r="T6504">
        <v>-0.25742910000000002</v>
      </c>
      <c r="U6504">
        <v>3.058319</v>
      </c>
      <c r="V6504">
        <v>9.0014979999999994E-2</v>
      </c>
      <c r="W6504">
        <v>0.18189350000000001</v>
      </c>
      <c r="X6504">
        <v>0.97918950000000005</v>
      </c>
      <c r="Y6504">
        <v>0.1830117</v>
      </c>
      <c r="Z6504">
        <v>-8.2564650000000003E-2</v>
      </c>
      <c r="AA6504">
        <v>0.9796376</v>
      </c>
      <c r="AB6504">
        <v>23</v>
      </c>
      <c r="AC6504">
        <v>2.2423000000000002</v>
      </c>
      <c r="AD6504">
        <v>-1.10986460317399</v>
      </c>
      <c r="AE6504">
        <v>12.9572</v>
      </c>
      <c r="AF6504">
        <v>2.4378876715021001</v>
      </c>
      <c r="AG6504">
        <v>-1.10986460317399</v>
      </c>
      <c r="AH6504">
        <v>12.827163476144801</v>
      </c>
      <c r="AI6504">
        <v>94.858630998323406</v>
      </c>
      <c r="AJ6504">
        <v>79.2389004352207</v>
      </c>
      <c r="AK6504">
        <v>13.103862735086301</v>
      </c>
      <c r="AL6504">
        <v>79.519929810805294</v>
      </c>
      <c r="AM6504">
        <v>84.747672993634396</v>
      </c>
      <c r="AN6504">
        <v>1.00000000943845</v>
      </c>
    </row>
    <row r="6505" spans="1:40" x14ac:dyDescent="0.25">
      <c r="A6505" t="str">
        <f>"20190312172836400"</f>
        <v>20190312172836400</v>
      </c>
      <c r="B6505" t="str">
        <f>"1552382916396618"</f>
        <v>1552382916396618</v>
      </c>
      <c r="C6505" t="s">
        <v>40</v>
      </c>
      <c r="D6505">
        <v>3.3805360000000002</v>
      </c>
      <c r="E6505">
        <v>0.54036669999999998</v>
      </c>
      <c r="F6505" t="s">
        <v>41</v>
      </c>
      <c r="G6505">
        <v>-185.65100000000001</v>
      </c>
      <c r="H6505" s="1">
        <v>-1.783419E-6</v>
      </c>
      <c r="I6505">
        <v>101.4883</v>
      </c>
      <c r="J6505">
        <v>-187.95869999999999</v>
      </c>
      <c r="K6505">
        <v>1.1098629999999901</v>
      </c>
      <c r="L6505">
        <v>88.264919999999904</v>
      </c>
      <c r="M6505">
        <v>-1.6457610000000001E-2</v>
      </c>
      <c r="N6505">
        <v>0</v>
      </c>
      <c r="O6505">
        <v>0.99979240000000003</v>
      </c>
      <c r="P6505">
        <v>7.5107610000000005E-2</v>
      </c>
      <c r="Q6505">
        <v>0.1703585</v>
      </c>
      <c r="R6505">
        <v>0.98251560000000004</v>
      </c>
      <c r="S6505">
        <v>0.52418520000000002</v>
      </c>
      <c r="T6505">
        <v>-0.2524903</v>
      </c>
      <c r="U6505">
        <v>3.05722</v>
      </c>
      <c r="V6505">
        <v>9.127528E-2</v>
      </c>
      <c r="W6505">
        <v>0.1821284</v>
      </c>
      <c r="X6505">
        <v>0.97902909999999999</v>
      </c>
      <c r="Y6505">
        <v>0.18463550000000001</v>
      </c>
      <c r="Z6505">
        <v>-8.0996499999999999E-2</v>
      </c>
      <c r="AA6505">
        <v>0.9794638</v>
      </c>
      <c r="AB6505">
        <v>23</v>
      </c>
      <c r="AC6505">
        <v>2.3077000000000099</v>
      </c>
      <c r="AD6505">
        <v>-1.1098647834190001</v>
      </c>
      <c r="AE6505">
        <v>13.223380000000001</v>
      </c>
      <c r="AF6505">
        <v>2.5078835193081002</v>
      </c>
      <c r="AG6505">
        <v>-1.1098647834190001</v>
      </c>
      <c r="AH6505">
        <v>13.0940907776857</v>
      </c>
      <c r="AI6505">
        <v>94.758763680762996</v>
      </c>
      <c r="AJ6505">
        <v>79.157565382387304</v>
      </c>
      <c r="AK6505">
        <v>13.378209629025999</v>
      </c>
      <c r="AL6505">
        <v>79.506241824219003</v>
      </c>
      <c r="AM6505">
        <v>84.673687575167705</v>
      </c>
      <c r="AN6505">
        <v>0.99999995473622305</v>
      </c>
    </row>
    <row r="6506" spans="1:40" x14ac:dyDescent="0.25">
      <c r="A6506" t="str">
        <f>"20190312172836446"</f>
        <v>20190312172836446</v>
      </c>
      <c r="B6506" t="str">
        <f>"1552382916436635"</f>
        <v>1552382916436635</v>
      </c>
      <c r="C6506" t="s">
        <v>40</v>
      </c>
      <c r="D6506">
        <v>3.3835639999999998</v>
      </c>
      <c r="E6506">
        <v>0.54055969999999998</v>
      </c>
      <c r="F6506" t="s">
        <v>41</v>
      </c>
      <c r="G6506">
        <v>-185.58590000000001</v>
      </c>
      <c r="H6506" s="1">
        <v>-1.9679100000000001E-6</v>
      </c>
      <c r="I6506">
        <v>101.9796</v>
      </c>
      <c r="J6506">
        <v>-187.96639999999999</v>
      </c>
      <c r="K6506">
        <v>1.109856</v>
      </c>
      <c r="L6506">
        <v>88.732759999999999</v>
      </c>
      <c r="M6506">
        <v>-1.6457920000000001E-2</v>
      </c>
      <c r="N6506">
        <v>0</v>
      </c>
      <c r="O6506">
        <v>0.99979399999999996</v>
      </c>
      <c r="P6506">
        <v>7.686229E-2</v>
      </c>
      <c r="Q6506">
        <v>0.17032120000000001</v>
      </c>
      <c r="R6506">
        <v>0.98238639999999999</v>
      </c>
      <c r="S6506">
        <v>0.5287018</v>
      </c>
      <c r="T6506">
        <v>-0.24729599999999999</v>
      </c>
      <c r="U6506">
        <v>3.055847</v>
      </c>
      <c r="V6506">
        <v>9.3027849999999995E-2</v>
      </c>
      <c r="W6506">
        <v>0.1819568</v>
      </c>
      <c r="X6506">
        <v>0.97889610000000005</v>
      </c>
      <c r="Y6506">
        <v>0.18613730000000001</v>
      </c>
      <c r="Z6506">
        <v>-7.9354759999999996E-2</v>
      </c>
      <c r="AA6506">
        <v>0.97931389999999996</v>
      </c>
      <c r="AB6506">
        <v>23</v>
      </c>
      <c r="AC6506">
        <v>2.3804999999999801</v>
      </c>
      <c r="AD6506">
        <v>-1.10985796791</v>
      </c>
      <c r="AE6506">
        <v>13.246840000000001</v>
      </c>
      <c r="AF6506">
        <v>2.5806599369322298</v>
      </c>
      <c r="AG6506">
        <v>-1.10985796791</v>
      </c>
      <c r="AH6506">
        <v>13.1166717388545</v>
      </c>
      <c r="AI6506">
        <v>94.745965034372603</v>
      </c>
      <c r="AJ6506">
        <v>78.869418428210196</v>
      </c>
      <c r="AK6506">
        <v>13.4141219587375</v>
      </c>
      <c r="AL6506">
        <v>79.516241510251106</v>
      </c>
      <c r="AM6506">
        <v>84.571289473177202</v>
      </c>
      <c r="AN6506">
        <v>1.0000000162685301</v>
      </c>
    </row>
    <row r="6507" spans="1:40" x14ac:dyDescent="0.25">
      <c r="A6507" t="str">
        <f>"20190312172836467"</f>
        <v>20190312172836467</v>
      </c>
      <c r="B6507" t="str">
        <f>"1552382916456155"</f>
        <v>1552382916456155</v>
      </c>
      <c r="C6507" t="s">
        <v>40</v>
      </c>
      <c r="D6507">
        <v>3.3707419999999999</v>
      </c>
      <c r="E6507">
        <v>0.54060509999999995</v>
      </c>
      <c r="F6507" t="s">
        <v>41</v>
      </c>
      <c r="G6507">
        <v>-185.51259999999999</v>
      </c>
      <c r="H6507" s="1">
        <v>-2.2334219999999998E-6</v>
      </c>
      <c r="I6507">
        <v>102.7025</v>
      </c>
      <c r="J6507">
        <v>-187.97</v>
      </c>
      <c r="K6507">
        <v>1.109855</v>
      </c>
      <c r="L6507">
        <v>88.951660000000004</v>
      </c>
      <c r="M6507">
        <v>-1.645808E-2</v>
      </c>
      <c r="N6507">
        <v>0</v>
      </c>
      <c r="O6507">
        <v>0.99979470000000004</v>
      </c>
      <c r="P6507">
        <v>7.7969860000000002E-2</v>
      </c>
      <c r="Q6507">
        <v>0.17016120000000001</v>
      </c>
      <c r="R6507">
        <v>0.9823267</v>
      </c>
      <c r="S6507">
        <v>0.53640750000000004</v>
      </c>
      <c r="T6507">
        <v>-0.24262310000000001</v>
      </c>
      <c r="U6507">
        <v>3.0538940000000001</v>
      </c>
      <c r="V6507">
        <v>9.4134430000000005E-2</v>
      </c>
      <c r="W6507">
        <v>0.1817444</v>
      </c>
      <c r="X6507">
        <v>0.97882970000000002</v>
      </c>
      <c r="Y6507">
        <v>0.18866040000000001</v>
      </c>
      <c r="Z6507">
        <v>-7.787782E-2</v>
      </c>
      <c r="AA6507">
        <v>0.97894959999999998</v>
      </c>
      <c r="AB6507">
        <v>23</v>
      </c>
      <c r="AC6507">
        <v>2.4573999999999998</v>
      </c>
      <c r="AD6507">
        <v>-1.109857233422</v>
      </c>
      <c r="AE6507">
        <v>13.750839999999901</v>
      </c>
      <c r="AF6507">
        <v>2.66656185365605</v>
      </c>
      <c r="AG6507">
        <v>-1.109857233422</v>
      </c>
      <c r="AH6507">
        <v>13.622533920135201</v>
      </c>
      <c r="AI6507">
        <v>94.571345525088205</v>
      </c>
      <c r="AJ6507">
        <v>78.924598287587003</v>
      </c>
      <c r="AK6507">
        <v>13.9253641102553</v>
      </c>
      <c r="AL6507">
        <v>79.528616783889902</v>
      </c>
      <c r="AM6507">
        <v>84.506736466871104</v>
      </c>
      <c r="AN6507">
        <v>0.999999949722436</v>
      </c>
    </row>
    <row r="6508" spans="1:40" x14ac:dyDescent="0.25">
      <c r="A6508" t="str">
        <f>"20190312172836490"</f>
        <v>20190312172836490</v>
      </c>
      <c r="B6508" t="str">
        <f>"1552382916486411"</f>
        <v>1552382916486411</v>
      </c>
      <c r="C6508" t="s">
        <v>40</v>
      </c>
      <c r="D6508">
        <v>3.3542100000000001</v>
      </c>
      <c r="E6508">
        <v>0.54071899999999995</v>
      </c>
      <c r="F6508" t="s">
        <v>41</v>
      </c>
      <c r="G6508">
        <v>-185.48419999999999</v>
      </c>
      <c r="H6508" s="1">
        <v>-2.3429870000000001E-6</v>
      </c>
      <c r="I6508">
        <v>103.00230000000001</v>
      </c>
      <c r="J6508">
        <v>-187.9736</v>
      </c>
      <c r="K6508">
        <v>1.1098509999999999</v>
      </c>
      <c r="L6508">
        <v>89.170749999999998</v>
      </c>
      <c r="M6508">
        <v>-1.6458230000000001E-2</v>
      </c>
      <c r="N6508">
        <v>0</v>
      </c>
      <c r="O6508">
        <v>0.9997952</v>
      </c>
      <c r="P6508">
        <v>7.9217159999999995E-2</v>
      </c>
      <c r="Q6508">
        <v>0.16975970000000001</v>
      </c>
      <c r="R6508">
        <v>0.98229639999999996</v>
      </c>
      <c r="S6508">
        <v>0.54010009999999997</v>
      </c>
      <c r="T6508">
        <v>-0.24114749999999999</v>
      </c>
      <c r="U6508">
        <v>3.0528870000000001</v>
      </c>
      <c r="V6508">
        <v>9.5381190000000005E-2</v>
      </c>
      <c r="W6508">
        <v>0.18129700000000001</v>
      </c>
      <c r="X6508">
        <v>0.978792</v>
      </c>
      <c r="Y6508">
        <v>0.18987000000000001</v>
      </c>
      <c r="Z6508">
        <v>-7.7414940000000002E-2</v>
      </c>
      <c r="AA6508">
        <v>0.97875239999999997</v>
      </c>
      <c r="AB6508">
        <v>23</v>
      </c>
      <c r="AC6508">
        <v>2.48940000000001</v>
      </c>
      <c r="AD6508">
        <v>-1.1098533429869999</v>
      </c>
      <c r="AE6508">
        <v>13.83155</v>
      </c>
      <c r="AF6508">
        <v>2.6998834291273601</v>
      </c>
      <c r="AG6508">
        <v>-1.1098533429869999</v>
      </c>
      <c r="AH6508">
        <v>13.7032413781256</v>
      </c>
      <c r="AI6508">
        <v>94.5434249284814</v>
      </c>
      <c r="AJ6508">
        <v>78.854050641942806</v>
      </c>
      <c r="AK6508">
        <v>14.010709091298301</v>
      </c>
      <c r="AL6508">
        <v>79.554684250322595</v>
      </c>
      <c r="AM6508">
        <v>84.434221962896203</v>
      </c>
      <c r="AN6508">
        <v>0.99999997643940697</v>
      </c>
    </row>
    <row r="6509" spans="1:40" x14ac:dyDescent="0.25">
      <c r="A6509" t="str">
        <f>"20190312172836511"</f>
        <v>20190312172836511</v>
      </c>
      <c r="B6509" t="str">
        <f>"1552382916505931"</f>
        <v>1552382916505931</v>
      </c>
      <c r="C6509" t="s">
        <v>40</v>
      </c>
      <c r="D6509">
        <v>3.3860809999999999</v>
      </c>
      <c r="E6509">
        <v>0.54078859999999995</v>
      </c>
      <c r="F6509" t="s">
        <v>41</v>
      </c>
      <c r="G6509">
        <v>-185.4503</v>
      </c>
      <c r="H6509" s="1">
        <v>-2.453725E-6</v>
      </c>
      <c r="I6509">
        <v>103.30119999999999</v>
      </c>
      <c r="J6509">
        <v>-187.97720000000001</v>
      </c>
      <c r="K6509">
        <v>1.1098490000000001</v>
      </c>
      <c r="L6509">
        <v>89.393829999999994</v>
      </c>
      <c r="M6509">
        <v>-1.6458359999999998E-2</v>
      </c>
      <c r="N6509">
        <v>0</v>
      </c>
      <c r="O6509">
        <v>0.99979569999999995</v>
      </c>
      <c r="P6509">
        <v>8.0753569999999997E-2</v>
      </c>
      <c r="Q6509">
        <v>0.1694396</v>
      </c>
      <c r="R6509">
        <v>0.98222659999999995</v>
      </c>
      <c r="S6509">
        <v>0.54490660000000002</v>
      </c>
      <c r="T6509">
        <v>-0.23967859999999999</v>
      </c>
      <c r="U6509">
        <v>3.0515439999999998</v>
      </c>
      <c r="V6509">
        <v>9.6916379999999996E-2</v>
      </c>
      <c r="W6509">
        <v>0.18093590000000001</v>
      </c>
      <c r="X6509">
        <v>0.97870800000000002</v>
      </c>
      <c r="Y6509">
        <v>0.19144439999999999</v>
      </c>
      <c r="Z6509">
        <v>-7.6957049999999999E-2</v>
      </c>
      <c r="AA6509">
        <v>0.97848179999999996</v>
      </c>
      <c r="AB6509">
        <v>23</v>
      </c>
      <c r="AC6509">
        <v>2.5269000000000101</v>
      </c>
      <c r="AD6509">
        <v>-1.1098514537249999</v>
      </c>
      <c r="AE6509">
        <v>13.907369999999901</v>
      </c>
      <c r="AF6509">
        <v>2.7385825579856502</v>
      </c>
      <c r="AG6509">
        <v>-1.1098514537249999</v>
      </c>
      <c r="AH6509">
        <v>13.778947158642101</v>
      </c>
      <c r="AI6509">
        <v>94.517079121722304</v>
      </c>
      <c r="AJ6509">
        <v>78.758881926368105</v>
      </c>
      <c r="AK6509">
        <v>14.092231529352899</v>
      </c>
      <c r="AL6509">
        <v>79.575721581071306</v>
      </c>
      <c r="AM6509">
        <v>84.3447328852791</v>
      </c>
      <c r="AN6509">
        <v>0.999999966942556</v>
      </c>
    </row>
    <row r="6510" spans="1:40" x14ac:dyDescent="0.25">
      <c r="A6510" t="str">
        <f>"20190312172836534"</f>
        <v>20190312172836534</v>
      </c>
      <c r="B6510" t="str">
        <f>"1552382916526427"</f>
        <v>1552382916526427</v>
      </c>
      <c r="C6510" t="s">
        <v>40</v>
      </c>
      <c r="D6510">
        <v>3.3722650000000001</v>
      </c>
      <c r="E6510">
        <v>0.54085209999999995</v>
      </c>
      <c r="F6510" t="s">
        <v>41</v>
      </c>
      <c r="G6510">
        <v>-185.42</v>
      </c>
      <c r="H6510" s="1">
        <v>-2.5502970000000001E-6</v>
      </c>
      <c r="I6510">
        <v>103.5612</v>
      </c>
      <c r="J6510">
        <v>-187.98089999999999</v>
      </c>
      <c r="K6510">
        <v>1.1098460000000001</v>
      </c>
      <c r="L6510">
        <v>89.617429999999999</v>
      </c>
      <c r="M6510">
        <v>-1.6458480000000001E-2</v>
      </c>
      <c r="N6510">
        <v>0</v>
      </c>
      <c r="O6510">
        <v>0.99979609999999997</v>
      </c>
      <c r="P6510">
        <v>8.2430310000000007E-2</v>
      </c>
      <c r="Q6510">
        <v>0.16951429999999901</v>
      </c>
      <c r="R6510">
        <v>0.98207440000000001</v>
      </c>
      <c r="S6510">
        <v>0.55058289999999999</v>
      </c>
      <c r="T6510">
        <v>-0.23895050000000001</v>
      </c>
      <c r="U6510">
        <v>3.0502319999999998</v>
      </c>
      <c r="V6510">
        <v>9.8590469999999999E-2</v>
      </c>
      <c r="W6510">
        <v>0.18097350000000001</v>
      </c>
      <c r="X6510">
        <v>0.97853389999999996</v>
      </c>
      <c r="Y6510">
        <v>0.19328409999999999</v>
      </c>
      <c r="Z6510">
        <v>-7.6730519999999997E-2</v>
      </c>
      <c r="AA6510">
        <v>0.9781379</v>
      </c>
      <c r="AB6510">
        <v>23</v>
      </c>
      <c r="AC6510">
        <v>2.5609000000000002</v>
      </c>
      <c r="AD6510">
        <v>-1.1098485502969999</v>
      </c>
      <c r="AE6510">
        <v>13.943770000000001</v>
      </c>
      <c r="AF6510">
        <v>2.7730670920065799</v>
      </c>
      <c r="AG6510">
        <v>-1.1098485502969999</v>
      </c>
      <c r="AH6510">
        <v>13.815062980071501</v>
      </c>
      <c r="AI6510">
        <v>94.5036042663465</v>
      </c>
      <c r="AJ6510">
        <v>78.649977542357206</v>
      </c>
      <c r="AK6510">
        <v>14.134271472018201</v>
      </c>
      <c r="AL6510">
        <v>79.5735318783548</v>
      </c>
      <c r="AM6510">
        <v>84.246679356741495</v>
      </c>
      <c r="AN6510">
        <v>1.00000004096313</v>
      </c>
    </row>
    <row r="6511" spans="1:40" x14ac:dyDescent="0.25">
      <c r="A6511" t="str">
        <f>"20190312172836556"</f>
        <v>20190312172836556</v>
      </c>
      <c r="B6511" t="str">
        <f>"1552382916545951"</f>
        <v>1552382916545951</v>
      </c>
      <c r="C6511" t="s">
        <v>40</v>
      </c>
      <c r="D6511">
        <v>3.3671199999999999</v>
      </c>
      <c r="E6511">
        <v>0.54090439999999995</v>
      </c>
      <c r="F6511" t="s">
        <v>41</v>
      </c>
      <c r="G6511">
        <v>-185.37649999999999</v>
      </c>
      <c r="H6511" s="1">
        <v>-2.6725240000000001E-6</v>
      </c>
      <c r="I6511">
        <v>103.88639999999999</v>
      </c>
      <c r="J6511">
        <v>-187.9847</v>
      </c>
      <c r="K6511">
        <v>1.1098429999999999</v>
      </c>
      <c r="L6511">
        <v>89.849669999999904</v>
      </c>
      <c r="M6511">
        <v>-1.645862E-2</v>
      </c>
      <c r="N6511">
        <v>0</v>
      </c>
      <c r="O6511">
        <v>0.99979649999999998</v>
      </c>
      <c r="P6511">
        <v>8.4293129999999994E-2</v>
      </c>
      <c r="Q6511">
        <v>0.16961699999999999</v>
      </c>
      <c r="R6511">
        <v>0.98189850000000001</v>
      </c>
      <c r="S6511">
        <v>0.55651859999999997</v>
      </c>
      <c r="T6511">
        <v>-0.23715149999999999</v>
      </c>
      <c r="U6511">
        <v>3.0489809999999999</v>
      </c>
      <c r="V6511">
        <v>0.10045030000000001</v>
      </c>
      <c r="W6511">
        <v>0.18104239999999999</v>
      </c>
      <c r="X6511">
        <v>0.97833190000000003</v>
      </c>
      <c r="Y6511">
        <v>0.1952054</v>
      </c>
      <c r="Z6511">
        <v>-7.6159160000000004E-2</v>
      </c>
      <c r="AA6511">
        <v>0.97780089999999997</v>
      </c>
      <c r="AB6511">
        <v>23</v>
      </c>
      <c r="AC6511">
        <v>2.6082000000000098</v>
      </c>
      <c r="AD6511">
        <v>-1.109845672524</v>
      </c>
      <c r="AE6511">
        <v>14.03673</v>
      </c>
      <c r="AF6511">
        <v>2.8218352722303401</v>
      </c>
      <c r="AG6511">
        <v>-1.109845672524</v>
      </c>
      <c r="AH6511">
        <v>13.907853145204699</v>
      </c>
      <c r="AI6511">
        <v>94.471795897690996</v>
      </c>
      <c r="AJ6511">
        <v>78.530659492242705</v>
      </c>
      <c r="AK6511">
        <v>14.234566759441799</v>
      </c>
      <c r="AL6511">
        <v>79.569517040527202</v>
      </c>
      <c r="AM6511">
        <v>84.137694491921096</v>
      </c>
      <c r="AN6511">
        <v>0.99999995996272895</v>
      </c>
    </row>
    <row r="6512" spans="1:40" x14ac:dyDescent="0.25">
      <c r="A6512" t="str">
        <f>"20190312172836580"</f>
        <v>20190312172836580</v>
      </c>
      <c r="B6512" t="str">
        <f>"1552382916576203"</f>
        <v>1552382916576203</v>
      </c>
      <c r="C6512" t="s">
        <v>40</v>
      </c>
      <c r="D6512">
        <v>3.3280989999999999</v>
      </c>
      <c r="E6512">
        <v>0.54096440000000001</v>
      </c>
      <c r="F6512" t="s">
        <v>41</v>
      </c>
      <c r="G6512">
        <v>-185.32929999999999</v>
      </c>
      <c r="H6512" s="1">
        <v>-2.801034E-6</v>
      </c>
      <c r="I6512">
        <v>104.22709999999999</v>
      </c>
      <c r="J6512">
        <v>-187.98849999999999</v>
      </c>
      <c r="K6512">
        <v>1.109842</v>
      </c>
      <c r="L6512">
        <v>90.077969999999993</v>
      </c>
      <c r="M6512">
        <v>-1.6458770000000001E-2</v>
      </c>
      <c r="N6512">
        <v>0</v>
      </c>
      <c r="O6512">
        <v>0.99979669999999998</v>
      </c>
      <c r="P6512">
        <v>8.6628750000000004E-2</v>
      </c>
      <c r="Q6512">
        <v>0.16976350000000001</v>
      </c>
      <c r="R6512">
        <v>0.98166989999999998</v>
      </c>
      <c r="S6512">
        <v>0.56288149999999904</v>
      </c>
      <c r="T6512">
        <v>-0.23525550000000001</v>
      </c>
      <c r="U6512">
        <v>3.0476070000000002</v>
      </c>
      <c r="V6512">
        <v>0.102782</v>
      </c>
      <c r="W6512">
        <v>0.18115870000000001</v>
      </c>
      <c r="X6512">
        <v>0.97806820000000005</v>
      </c>
      <c r="Y6512">
        <v>0.1972661</v>
      </c>
      <c r="Z6512">
        <v>-7.5557349999999995E-2</v>
      </c>
      <c r="AA6512">
        <v>0.97743400000000003</v>
      </c>
      <c r="AB6512">
        <v>23</v>
      </c>
      <c r="AC6512">
        <v>2.65919999999999</v>
      </c>
      <c r="AD6512">
        <v>-1.1098448010340001</v>
      </c>
      <c r="AE6512">
        <v>14.14913</v>
      </c>
      <c r="AF6512">
        <v>2.87464941465855</v>
      </c>
      <c r="AG6512">
        <v>-1.1098448010340001</v>
      </c>
      <c r="AH6512">
        <v>14.020124521897401</v>
      </c>
      <c r="AI6512">
        <v>94.434273235620395</v>
      </c>
      <c r="AJ6512">
        <v>78.412819173615802</v>
      </c>
      <c r="AK6512">
        <v>14.3547642387149</v>
      </c>
      <c r="AL6512">
        <v>79.562742022143496</v>
      </c>
      <c r="AM6512">
        <v>84.000991375161504</v>
      </c>
      <c r="AN6512">
        <v>1.0000000089804599</v>
      </c>
    </row>
    <row r="6513" spans="1:40" x14ac:dyDescent="0.25">
      <c r="A6513" t="str">
        <f>"20190312172836601"</f>
        <v>20190312172836601</v>
      </c>
      <c r="B6513" t="str">
        <f>"1552382916596701"</f>
        <v>1552382916596701</v>
      </c>
      <c r="C6513" t="s">
        <v>40</v>
      </c>
      <c r="D6513">
        <v>3.3084950000000002</v>
      </c>
      <c r="E6513">
        <v>0.540995</v>
      </c>
      <c r="F6513" t="s">
        <v>41</v>
      </c>
      <c r="G6513">
        <v>-185.2664</v>
      </c>
      <c r="H6513" s="1">
        <v>-2.976299E-6</v>
      </c>
      <c r="I6513">
        <v>104.6133</v>
      </c>
      <c r="J6513">
        <v>-187.99209999999999</v>
      </c>
      <c r="K6513">
        <v>1.109839</v>
      </c>
      <c r="L6513">
        <v>90.299930000000003</v>
      </c>
      <c r="M6513">
        <v>-1.6458919999999998E-2</v>
      </c>
      <c r="N6513">
        <v>0</v>
      </c>
      <c r="O6513">
        <v>0.99979700000000005</v>
      </c>
      <c r="P6513">
        <v>9.0257599999999993E-2</v>
      </c>
      <c r="Q6513">
        <v>0.1694486</v>
      </c>
      <c r="R6513">
        <v>0.98139730000000003</v>
      </c>
      <c r="S6513">
        <v>0.57041929999999996</v>
      </c>
      <c r="T6513">
        <v>-0.2325692</v>
      </c>
      <c r="U6513">
        <v>3.0458980000000002</v>
      </c>
      <c r="V6513">
        <v>0.106406</v>
      </c>
      <c r="W6513">
        <v>0.18081729999999999</v>
      </c>
      <c r="X6513">
        <v>0.97774369999999999</v>
      </c>
      <c r="Y6513">
        <v>0.19971340000000001</v>
      </c>
      <c r="Z6513">
        <v>-7.4705129999999995E-2</v>
      </c>
      <c r="AA6513">
        <v>0.97700240000000005</v>
      </c>
      <c r="AB6513">
        <v>23</v>
      </c>
      <c r="AC6513">
        <v>2.7256999999999798</v>
      </c>
      <c r="AD6513">
        <v>-1.1098419762989999</v>
      </c>
      <c r="AE6513">
        <v>14.3133699999999</v>
      </c>
      <c r="AF6513">
        <v>2.94384941708419</v>
      </c>
      <c r="AG6513">
        <v>-1.1098419762989999</v>
      </c>
      <c r="AH6513">
        <v>14.184270447641699</v>
      </c>
      <c r="AI6513">
        <v>94.380983795972</v>
      </c>
      <c r="AJ6513">
        <v>78.275103959095304</v>
      </c>
      <c r="AK6513">
        <v>14.528989184890399</v>
      </c>
      <c r="AL6513">
        <v>79.582630516764397</v>
      </c>
      <c r="AM6513">
        <v>83.789051487363807</v>
      </c>
      <c r="AN6513">
        <v>0.99999993785248797</v>
      </c>
    </row>
    <row r="6514" spans="1:40" x14ac:dyDescent="0.25">
      <c r="A6514" t="str">
        <f>"20190312172836625"</f>
        <v>20190312172836625</v>
      </c>
      <c r="B6514" t="str">
        <f>"1552382916616219"</f>
        <v>1552382916616219</v>
      </c>
      <c r="C6514" t="s">
        <v>40</v>
      </c>
      <c r="D6514">
        <v>3.2936969999999999</v>
      </c>
      <c r="E6514">
        <v>0.54097769999999901</v>
      </c>
      <c r="F6514" t="s">
        <v>41</v>
      </c>
      <c r="G6514">
        <v>-185.20500000000001</v>
      </c>
      <c r="H6514" s="1">
        <v>-3.0974179999999998E-6</v>
      </c>
      <c r="I6514">
        <v>104.8703</v>
      </c>
      <c r="J6514">
        <v>-187.99600000000001</v>
      </c>
      <c r="K6514">
        <v>1.109839</v>
      </c>
      <c r="L6514">
        <v>90.537779999999998</v>
      </c>
      <c r="M6514">
        <v>-1.6459080000000001E-2</v>
      </c>
      <c r="N6514">
        <v>0</v>
      </c>
      <c r="O6514">
        <v>0.9997973</v>
      </c>
      <c r="P6514">
        <v>9.3337069999999994E-2</v>
      </c>
      <c r="Q6514">
        <v>0.1691896</v>
      </c>
      <c r="R6514">
        <v>0.98115399999999997</v>
      </c>
      <c r="S6514">
        <v>0.58215329999999998</v>
      </c>
      <c r="T6514">
        <v>-0.23181489999999999</v>
      </c>
      <c r="U6514">
        <v>3.0433349999999999</v>
      </c>
      <c r="V6514">
        <v>0.1094812</v>
      </c>
      <c r="W6514">
        <v>0.18053350000000001</v>
      </c>
      <c r="X6514">
        <v>0.97745660000000001</v>
      </c>
      <c r="Y6514">
        <v>0.20350080000000001</v>
      </c>
      <c r="Z6514">
        <v>-7.4469809999999997E-2</v>
      </c>
      <c r="AA6514">
        <v>0.97623850000000001</v>
      </c>
      <c r="AB6514">
        <v>23</v>
      </c>
      <c r="AC6514">
        <v>2.79099999999996</v>
      </c>
      <c r="AD6514">
        <v>-1.1098420974179899</v>
      </c>
      <c r="AE6514">
        <v>14.332520000000001</v>
      </c>
      <c r="AF6514">
        <v>3.0091535227469501</v>
      </c>
      <c r="AG6514">
        <v>-1.1098420974179899</v>
      </c>
      <c r="AH6514">
        <v>14.202587489062701</v>
      </c>
      <c r="AI6514">
        <v>94.3715665521717</v>
      </c>
      <c r="AJ6514">
        <v>78.037443794922297</v>
      </c>
      <c r="AK6514">
        <v>14.5602282189923</v>
      </c>
      <c r="AL6514">
        <v>79.599163177703204</v>
      </c>
      <c r="AM6514">
        <v>83.609153819664996</v>
      </c>
      <c r="AN6514">
        <v>0.999999941329623</v>
      </c>
    </row>
    <row r="6515" spans="1:40" x14ac:dyDescent="0.25">
      <c r="A6515" t="str">
        <f>"20190312172836647"</f>
        <v>20190312172836647</v>
      </c>
      <c r="B6515" t="str">
        <f>"1552382916636716"</f>
        <v>1552382916636716</v>
      </c>
      <c r="C6515" t="s">
        <v>40</v>
      </c>
      <c r="D6515">
        <v>3.2826089999999901</v>
      </c>
      <c r="E6515">
        <v>0.54094049999999905</v>
      </c>
      <c r="F6515" t="s">
        <v>41</v>
      </c>
      <c r="G6515">
        <v>-185.1481</v>
      </c>
      <c r="H6515" s="1">
        <v>-3.2366789999999999E-6</v>
      </c>
      <c r="I6515">
        <v>105.17140000000001</v>
      </c>
      <c r="J6515">
        <v>-187.99969999999999</v>
      </c>
      <c r="K6515">
        <v>1.1098410000000001</v>
      </c>
      <c r="L6515">
        <v>90.764889999999994</v>
      </c>
      <c r="M6515">
        <v>-1.6459250000000002E-2</v>
      </c>
      <c r="N6515">
        <v>0</v>
      </c>
      <c r="O6515">
        <v>0.99979750000000001</v>
      </c>
      <c r="P6515">
        <v>9.7598439999999995E-2</v>
      </c>
      <c r="Q6515">
        <v>0.16895450000000001</v>
      </c>
      <c r="R6515">
        <v>0.98077979999999998</v>
      </c>
      <c r="S6515">
        <v>0.5918274</v>
      </c>
      <c r="T6515">
        <v>-0.2306415</v>
      </c>
      <c r="U6515">
        <v>3.041077</v>
      </c>
      <c r="V6515">
        <v>0.11373610000000001</v>
      </c>
      <c r="W6515">
        <v>0.18027650000000001</v>
      </c>
      <c r="X6515">
        <v>0.97701819999999895</v>
      </c>
      <c r="Y6515">
        <v>0.20663290000000001</v>
      </c>
      <c r="Z6515">
        <v>-7.4102100000000004E-2</v>
      </c>
      <c r="AA6515">
        <v>0.97560840000000004</v>
      </c>
      <c r="AB6515">
        <v>23</v>
      </c>
      <c r="AC6515">
        <v>2.8515999999999901</v>
      </c>
      <c r="AD6515">
        <v>-1.109844236679</v>
      </c>
      <c r="AE6515">
        <v>14.4065099999999</v>
      </c>
      <c r="AF6515">
        <v>3.0708123474682099</v>
      </c>
      <c r="AG6515">
        <v>-1.109844236679</v>
      </c>
      <c r="AH6515">
        <v>14.276088409412999</v>
      </c>
      <c r="AI6515">
        <v>94.346299569977006</v>
      </c>
      <c r="AJ6515">
        <v>77.860544811238398</v>
      </c>
      <c r="AK6515">
        <v>14.644737723033099</v>
      </c>
      <c r="AL6515">
        <v>79.614134862477499</v>
      </c>
      <c r="AM6515">
        <v>83.360002163834807</v>
      </c>
      <c r="AN6515">
        <v>1.00000004001334</v>
      </c>
    </row>
    <row r="6516" spans="1:40" x14ac:dyDescent="0.25">
      <c r="A6516" t="str">
        <f>"20190312172836667"</f>
        <v>20190312172836667</v>
      </c>
      <c r="B6516" t="str">
        <f>"1552382916656235"</f>
        <v>1552382916656235</v>
      </c>
      <c r="C6516" t="s">
        <v>40</v>
      </c>
      <c r="D6516">
        <v>3.2481580000000001</v>
      </c>
      <c r="E6516">
        <v>0.54089339999999997</v>
      </c>
      <c r="F6516" t="s">
        <v>41</v>
      </c>
      <c r="G6516">
        <v>-185.07149999999999</v>
      </c>
      <c r="H6516" s="1">
        <v>-3.3775989999999998E-6</v>
      </c>
      <c r="I6516">
        <v>105.4682</v>
      </c>
      <c r="J6516">
        <v>-188.00319999999999</v>
      </c>
      <c r="K6516">
        <v>1.1098380000000001</v>
      </c>
      <c r="L6516">
        <v>90.974209999999999</v>
      </c>
      <c r="M6516">
        <v>-1.6459519999999998E-2</v>
      </c>
      <c r="N6516">
        <v>0</v>
      </c>
      <c r="O6516">
        <v>0.99979759999999995</v>
      </c>
      <c r="P6516">
        <v>0.1020191</v>
      </c>
      <c r="Q6516">
        <v>0.16944239999999999</v>
      </c>
      <c r="R6516">
        <v>0.98024560000000005</v>
      </c>
      <c r="S6516">
        <v>0.60505679999999995</v>
      </c>
      <c r="T6516">
        <v>-0.22932330000000001</v>
      </c>
      <c r="U6516">
        <v>3.0380859999999998</v>
      </c>
      <c r="V6516">
        <v>0.118147699999999</v>
      </c>
      <c r="W6516">
        <v>0.18074370000000001</v>
      </c>
      <c r="X6516">
        <v>0.9764081</v>
      </c>
      <c r="Y6516">
        <v>0.21090690000000001</v>
      </c>
      <c r="Z6516">
        <v>-7.3687169999999996E-2</v>
      </c>
      <c r="AA6516">
        <v>0.97472479999999995</v>
      </c>
      <c r="AB6516">
        <v>23</v>
      </c>
      <c r="AC6516">
        <v>2.9317000000000002</v>
      </c>
      <c r="AD6516">
        <v>-1.1098413775989999</v>
      </c>
      <c r="AE6516">
        <v>14.493989999999901</v>
      </c>
      <c r="AF6516">
        <v>3.1521272911420102</v>
      </c>
      <c r="AG6516">
        <v>-1.1098413775989999</v>
      </c>
      <c r="AH6516">
        <v>14.3628642148325</v>
      </c>
      <c r="AI6516">
        <v>94.316235939531097</v>
      </c>
      <c r="AJ6516">
        <v>77.621894053850795</v>
      </c>
      <c r="AK6516">
        <v>14.7465088341854</v>
      </c>
      <c r="AL6516">
        <v>79.586918479664007</v>
      </c>
      <c r="AM6516">
        <v>83.100616686353703</v>
      </c>
      <c r="AN6516">
        <v>0.99999997092529402</v>
      </c>
    </row>
    <row r="6517" spans="1:40" x14ac:dyDescent="0.25">
      <c r="A6517" t="str">
        <f>"20190312172836690"</f>
        <v>20190312172836690</v>
      </c>
      <c r="B6517" t="str">
        <f>"1552382916686491"</f>
        <v>1552382916686491</v>
      </c>
      <c r="C6517" t="s">
        <v>40</v>
      </c>
      <c r="D6517">
        <v>3.2584200000000001</v>
      </c>
      <c r="E6517">
        <v>0.54133849999999994</v>
      </c>
      <c r="F6517" t="s">
        <v>41</v>
      </c>
      <c r="G6517">
        <v>-184.9658</v>
      </c>
      <c r="H6517" s="1">
        <v>-3.5708510000000001E-6</v>
      </c>
      <c r="I6517">
        <v>105.8749</v>
      </c>
      <c r="J6517">
        <v>-188.00700000000001</v>
      </c>
      <c r="K6517">
        <v>1.1098410000000001</v>
      </c>
      <c r="L6517">
        <v>91.202359999999999</v>
      </c>
      <c r="M6517">
        <v>-1.645976E-2</v>
      </c>
      <c r="N6517">
        <v>0</v>
      </c>
      <c r="O6517">
        <v>0.99979779999999996</v>
      </c>
      <c r="P6517">
        <v>0.1064321</v>
      </c>
      <c r="Q6517">
        <v>0.16961689999999999</v>
      </c>
      <c r="R6517">
        <v>0.97974600000000001</v>
      </c>
      <c r="S6517">
        <v>0.61869810000000003</v>
      </c>
      <c r="T6517">
        <v>-0.22606580000000001</v>
      </c>
      <c r="U6517">
        <v>3.0351560000000002</v>
      </c>
      <c r="V6517">
        <v>0.1225521</v>
      </c>
      <c r="W6517">
        <v>0.1808989</v>
      </c>
      <c r="X6517">
        <v>0.97583629999999999</v>
      </c>
      <c r="Y6517">
        <v>0.21531020000000001</v>
      </c>
      <c r="Z6517">
        <v>-7.2647450000000002E-2</v>
      </c>
      <c r="AA6517">
        <v>0.97383980000000003</v>
      </c>
      <c r="AB6517">
        <v>23</v>
      </c>
      <c r="AC6517">
        <v>3.0411999999999999</v>
      </c>
      <c r="AD6517">
        <v>-1.1098445708509901</v>
      </c>
      <c r="AE6517">
        <v>14.6725399999999</v>
      </c>
      <c r="AF6517">
        <v>3.2644024670637202</v>
      </c>
      <c r="AG6517">
        <v>-1.1098445708509901</v>
      </c>
      <c r="AH6517">
        <v>14.540722765881601</v>
      </c>
      <c r="AI6517">
        <v>94.259124660899701</v>
      </c>
      <c r="AJ6517">
        <v>77.346848613874798</v>
      </c>
      <c r="AK6517">
        <v>14.943918394873799</v>
      </c>
      <c r="AL6517">
        <v>79.577876987923901</v>
      </c>
      <c r="AM6517">
        <v>82.8418854971614</v>
      </c>
      <c r="AN6517">
        <v>0.99999995681665399</v>
      </c>
    </row>
    <row r="6518" spans="1:40" x14ac:dyDescent="0.25">
      <c r="A6518" t="str">
        <f>"20190312172836714"</f>
        <v>20190312172836714</v>
      </c>
      <c r="B6518" t="str">
        <f>"1552382916706011"</f>
        <v>1552382916706011</v>
      </c>
      <c r="C6518" t="s">
        <v>40</v>
      </c>
      <c r="D6518">
        <v>3.238734</v>
      </c>
      <c r="E6518">
        <v>0.56863960000000002</v>
      </c>
      <c r="F6518" t="s">
        <v>41</v>
      </c>
      <c r="G6518">
        <v>-184.84610000000001</v>
      </c>
      <c r="H6518" s="1">
        <v>-3.7548660000000002E-6</v>
      </c>
      <c r="I6518">
        <v>106.2544</v>
      </c>
      <c r="J6518">
        <v>-188.01070000000001</v>
      </c>
      <c r="K6518">
        <v>1.1098399999999999</v>
      </c>
      <c r="L6518">
        <v>91.433930000000004</v>
      </c>
      <c r="M6518">
        <v>-1.6460059999999999E-2</v>
      </c>
      <c r="N6518">
        <v>0</v>
      </c>
      <c r="O6518">
        <v>0.99979790000000002</v>
      </c>
      <c r="P6518">
        <v>0.11089160000000001</v>
      </c>
      <c r="Q6518">
        <v>0.1695692</v>
      </c>
      <c r="R6518">
        <v>0.97925960000000001</v>
      </c>
      <c r="S6518">
        <v>0.63661190000000001</v>
      </c>
      <c r="T6518">
        <v>-0.22353039999999999</v>
      </c>
      <c r="U6518">
        <v>3.0315859999999999</v>
      </c>
      <c r="V6518">
        <v>0.12700330000000001</v>
      </c>
      <c r="W6518">
        <v>0.1808342</v>
      </c>
      <c r="X6518">
        <v>0.97527900000000001</v>
      </c>
      <c r="Y6518">
        <v>0.22106120000000001</v>
      </c>
      <c r="Z6518">
        <v>-7.1830329999999998E-2</v>
      </c>
      <c r="AA6518">
        <v>0.97261109999999995</v>
      </c>
      <c r="AB6518">
        <v>23</v>
      </c>
      <c r="AC6518">
        <v>3.1646000000000001</v>
      </c>
      <c r="AD6518">
        <v>-1.1098437548659901</v>
      </c>
      <c r="AE6518">
        <v>14.82047</v>
      </c>
      <c r="AF6518">
        <v>3.3899517842722799</v>
      </c>
      <c r="AG6518">
        <v>-1.1098437548659901</v>
      </c>
      <c r="AH6518">
        <v>14.6875941854993</v>
      </c>
      <c r="AI6518">
        <v>94.210958279631498</v>
      </c>
      <c r="AJ6518">
        <v>77.003505536819006</v>
      </c>
      <c r="AK6518">
        <v>15.114527753714899</v>
      </c>
      <c r="AL6518">
        <v>79.581646505669099</v>
      </c>
      <c r="AM6518">
        <v>82.580550025803205</v>
      </c>
      <c r="AN6518">
        <v>0.99999998697076398</v>
      </c>
    </row>
    <row r="6519" spans="1:40" x14ac:dyDescent="0.25">
      <c r="A6519" t="str">
        <f>"20190312172836735"</f>
        <v>20190312172836735</v>
      </c>
      <c r="B6519" t="str">
        <f>"1552382916726507"</f>
        <v>1552382916726507</v>
      </c>
      <c r="C6519" t="s">
        <v>40</v>
      </c>
      <c r="D6519">
        <v>3.2537660000000002</v>
      </c>
      <c r="E6519">
        <v>0.56881110000000001</v>
      </c>
      <c r="F6519" t="s">
        <v>41</v>
      </c>
      <c r="G6519">
        <v>-181.54040000000001</v>
      </c>
      <c r="H6519" s="1">
        <v>-3.6341300000000001E-6</v>
      </c>
      <c r="I6519">
        <v>113.7128</v>
      </c>
      <c r="J6519">
        <v>-188.01439999999999</v>
      </c>
      <c r="K6519">
        <v>1.109842</v>
      </c>
      <c r="L6519">
        <v>91.657679999999999</v>
      </c>
      <c r="M6519">
        <v>-1.6460249999999999E-2</v>
      </c>
      <c r="N6519">
        <v>0</v>
      </c>
      <c r="O6519">
        <v>0.99979790000000002</v>
      </c>
      <c r="P6519">
        <v>0.1151162</v>
      </c>
      <c r="Q6519">
        <v>0.16940859999999999</v>
      </c>
      <c r="R6519">
        <v>0.9787998</v>
      </c>
      <c r="S6519">
        <v>0.86865230000000004</v>
      </c>
      <c r="T6519">
        <v>-0.14899799999999999</v>
      </c>
      <c r="U6519">
        <v>2.9909669999999999</v>
      </c>
      <c r="V6519">
        <v>0.131219899999999</v>
      </c>
      <c r="W6519">
        <v>0.18066109999999999</v>
      </c>
      <c r="X6519">
        <v>0.97475270000000003</v>
      </c>
      <c r="Y6519">
        <v>0.29435409999999901</v>
      </c>
      <c r="Z6519">
        <v>-4.7659720000000003E-2</v>
      </c>
      <c r="AA6519">
        <v>0.95450729999999995</v>
      </c>
      <c r="AB6519">
        <v>23</v>
      </c>
      <c r="AC6519">
        <v>6.4739999999999798</v>
      </c>
      <c r="AD6519">
        <v>-1.10984563412999</v>
      </c>
      <c r="AE6519">
        <v>22.055119999999999</v>
      </c>
      <c r="AF6519">
        <v>6.8202791831608396</v>
      </c>
      <c r="AG6519">
        <v>-1.10984563412999</v>
      </c>
      <c r="AH6519">
        <v>21.8945166594787</v>
      </c>
      <c r="AI6519">
        <v>92.7707710782486</v>
      </c>
      <c r="AJ6519">
        <v>72.6978611188337</v>
      </c>
      <c r="AK6519">
        <v>22.959046696673798</v>
      </c>
      <c r="AL6519">
        <v>79.591730216865599</v>
      </c>
      <c r="AM6519">
        <v>82.333011545866697</v>
      </c>
      <c r="AN6519">
        <v>0.99999996068325403</v>
      </c>
    </row>
    <row r="6520" spans="1:40" x14ac:dyDescent="0.25">
      <c r="A6520" t="str">
        <f>"20190312172836756"</f>
        <v>20190312172836756</v>
      </c>
      <c r="B6520" t="str">
        <f>"1552382916746027"</f>
        <v>1552382916746027</v>
      </c>
      <c r="C6520" t="s">
        <v>40</v>
      </c>
      <c r="D6520">
        <v>3.2477200000000002</v>
      </c>
      <c r="E6520">
        <v>0.56848109999999996</v>
      </c>
      <c r="F6520" t="s">
        <v>41</v>
      </c>
      <c r="G6520">
        <v>-181.49119999999999</v>
      </c>
      <c r="H6520" s="1">
        <v>-3.6469030000000001E-6</v>
      </c>
      <c r="I6520">
        <v>113.7118</v>
      </c>
      <c r="J6520">
        <v>-188.0181</v>
      </c>
      <c r="K6520">
        <v>1.10985</v>
      </c>
      <c r="L6520">
        <v>91.878810000000001</v>
      </c>
      <c r="M6520">
        <v>-1.6460309999999999E-2</v>
      </c>
      <c r="N6520">
        <v>0</v>
      </c>
      <c r="O6520">
        <v>0.99979779999999996</v>
      </c>
      <c r="P6520">
        <v>0.1195671</v>
      </c>
      <c r="Q6520">
        <v>0.16944029999999999</v>
      </c>
      <c r="R6520">
        <v>0.97826049999999998</v>
      </c>
      <c r="S6520">
        <v>0.88352969999999897</v>
      </c>
      <c r="T6520">
        <v>-0.15032139999999999</v>
      </c>
      <c r="U6520">
        <v>2.9870909999999999</v>
      </c>
      <c r="V6520">
        <v>0.13566149999999999</v>
      </c>
      <c r="W6520">
        <v>0.1806963</v>
      </c>
      <c r="X6520">
        <v>0.97413799999999995</v>
      </c>
      <c r="Y6520">
        <v>0.29905409999999999</v>
      </c>
      <c r="Z6520">
        <v>-4.8072869999999997E-2</v>
      </c>
      <c r="AA6520">
        <v>0.95302450000000005</v>
      </c>
      <c r="AB6520">
        <v>23</v>
      </c>
      <c r="AC6520">
        <v>6.5269000000000101</v>
      </c>
      <c r="AD6520">
        <v>-1.109853646903</v>
      </c>
      <c r="AE6520">
        <v>21.832989999999899</v>
      </c>
      <c r="AF6520">
        <v>6.8691232442225898</v>
      </c>
      <c r="AG6520">
        <v>-1.109853646903</v>
      </c>
      <c r="AH6520">
        <v>21.671183852029898</v>
      </c>
      <c r="AI6520">
        <v>92.794936163171897</v>
      </c>
      <c r="AJ6520">
        <v>72.412927387593299</v>
      </c>
      <c r="AK6520">
        <v>22.760861996206199</v>
      </c>
      <c r="AL6520">
        <v>79.589680273883104</v>
      </c>
      <c r="AM6520">
        <v>82.071802133773005</v>
      </c>
      <c r="AN6520">
        <v>1.0000000192299601</v>
      </c>
    </row>
    <row r="6521" spans="1:40" x14ac:dyDescent="0.25">
      <c r="A6521" t="str">
        <f>"20190312172836802"</f>
        <v>20190312172836802</v>
      </c>
      <c r="B6521" t="str">
        <f>"1552382916796781"</f>
        <v>1552382916796781</v>
      </c>
      <c r="C6521" t="s">
        <v>40</v>
      </c>
      <c r="D6521">
        <v>3.2271730000000001</v>
      </c>
      <c r="E6521">
        <v>0.56711650000000002</v>
      </c>
      <c r="F6521" t="s">
        <v>41</v>
      </c>
      <c r="G6521">
        <v>-181.45820000000001</v>
      </c>
      <c r="H6521" s="1">
        <v>-3.6660149999999999E-6</v>
      </c>
      <c r="I6521">
        <v>113.7422</v>
      </c>
      <c r="J6521">
        <v>-188.02549999999999</v>
      </c>
      <c r="K6521">
        <v>1.109893</v>
      </c>
      <c r="L6521">
        <v>92.33484</v>
      </c>
      <c r="M6521">
        <v>-1.6460309999999999E-2</v>
      </c>
      <c r="N6521">
        <v>0</v>
      </c>
      <c r="O6521">
        <v>0.99979640000000003</v>
      </c>
      <c r="P6521">
        <v>0.1287895</v>
      </c>
      <c r="Q6521">
        <v>0.16989589999999999</v>
      </c>
      <c r="R6521">
        <v>0.97701009999999999</v>
      </c>
      <c r="S6521">
        <v>0.89515689999999903</v>
      </c>
      <c r="T6521">
        <v>-0.15145110000000001</v>
      </c>
      <c r="U6521">
        <v>2.9834900000000002</v>
      </c>
      <c r="V6521">
        <v>0.14486209999999999</v>
      </c>
      <c r="W6521">
        <v>0.18125579999999999</v>
      </c>
      <c r="X6521">
        <v>0.97270820000000002</v>
      </c>
      <c r="Y6521">
        <v>0.302770599999999</v>
      </c>
      <c r="Z6521">
        <v>-4.8433759999999999E-2</v>
      </c>
      <c r="AA6521">
        <v>0.95183200000000001</v>
      </c>
      <c r="AB6521">
        <v>23</v>
      </c>
      <c r="AC6521">
        <v>6.5672999999999799</v>
      </c>
      <c r="AD6521">
        <v>-1.109896666015</v>
      </c>
      <c r="AE6521">
        <v>21.407360000000001</v>
      </c>
      <c r="AF6521">
        <v>6.9018491851194499</v>
      </c>
      <c r="AG6521">
        <v>-1.109896666015</v>
      </c>
      <c r="AH6521">
        <v>21.244158678150399</v>
      </c>
      <c r="AI6521">
        <v>92.844590273848894</v>
      </c>
      <c r="AJ6521">
        <v>72.001942814812494</v>
      </c>
      <c r="AK6521">
        <v>22.3647416869902</v>
      </c>
      <c r="AL6521">
        <v>79.557084512821902</v>
      </c>
      <c r="AM6521">
        <v>81.529393243048105</v>
      </c>
      <c r="AN6521">
        <v>0.99999996769864397</v>
      </c>
    </row>
    <row r="6522" spans="1:40" x14ac:dyDescent="0.25">
      <c r="A6522" t="str">
        <f>"20190312172836825"</f>
        <v>20190312172836825</v>
      </c>
      <c r="B6522" t="str">
        <f>"1552382916816299"</f>
        <v>1552382916816299</v>
      </c>
      <c r="C6522" t="s">
        <v>40</v>
      </c>
      <c r="D6522">
        <v>3.2518410000000002</v>
      </c>
      <c r="E6522">
        <v>0.56653050000000005</v>
      </c>
      <c r="F6522" t="s">
        <v>41</v>
      </c>
      <c r="G6522">
        <v>-181.41460000000001</v>
      </c>
      <c r="H6522" s="1">
        <v>-3.7312279999999999E-6</v>
      </c>
      <c r="I6522">
        <v>113.8997</v>
      </c>
      <c r="J6522">
        <v>-188.02930000000001</v>
      </c>
      <c r="K6522">
        <v>1.1099289999999999</v>
      </c>
      <c r="L6522">
        <v>92.566559999999996</v>
      </c>
      <c r="M6522">
        <v>-1.6460269999999999E-2</v>
      </c>
      <c r="N6522">
        <v>0</v>
      </c>
      <c r="O6522">
        <v>0.99979479999999998</v>
      </c>
      <c r="P6522">
        <v>0.13266610000000001</v>
      </c>
      <c r="Q6522">
        <v>0.16938420000000001</v>
      </c>
      <c r="R6522">
        <v>0.97658009999999995</v>
      </c>
      <c r="S6522">
        <v>0.91261289999999995</v>
      </c>
      <c r="T6522">
        <v>-0.15321589999999999</v>
      </c>
      <c r="U6522">
        <v>2.9769290000000002</v>
      </c>
      <c r="V6522">
        <v>0.148731</v>
      </c>
      <c r="W6522">
        <v>0.18086559999999999</v>
      </c>
      <c r="X6522">
        <v>0.97219690000000003</v>
      </c>
      <c r="Y6522">
        <v>0.30844440000000001</v>
      </c>
      <c r="Z6522">
        <v>-4.9013330000000001E-2</v>
      </c>
      <c r="AA6522">
        <v>0.94997880000000001</v>
      </c>
      <c r="AB6522">
        <v>23</v>
      </c>
      <c r="AC6522">
        <v>6.6146999999999903</v>
      </c>
      <c r="AD6522">
        <v>-1.1099327312279901</v>
      </c>
      <c r="AE6522">
        <v>21.33314</v>
      </c>
      <c r="AF6522">
        <v>6.9478194836273399</v>
      </c>
      <c r="AG6522">
        <v>-1.1099327312279901</v>
      </c>
      <c r="AH6522">
        <v>21.169084027263999</v>
      </c>
      <c r="AI6522">
        <v>92.851960503980905</v>
      </c>
      <c r="AJ6522">
        <v>71.829855938102298</v>
      </c>
      <c r="AK6522">
        <v>22.307717606207198</v>
      </c>
      <c r="AL6522">
        <v>79.579817855985397</v>
      </c>
      <c r="AM6522">
        <v>81.302074880406096</v>
      </c>
      <c r="AN6522">
        <v>1.0000000439969801</v>
      </c>
    </row>
    <row r="6523" spans="1:40" x14ac:dyDescent="0.25">
      <c r="A6523" t="str">
        <f>"20190312172836848"</f>
        <v>20190312172836848</v>
      </c>
      <c r="B6523" t="str">
        <f>"1552382916835819"</f>
        <v>1552382916835819</v>
      </c>
      <c r="C6523" t="s">
        <v>40</v>
      </c>
      <c r="D6523">
        <v>3.2266409999999999</v>
      </c>
      <c r="E6523">
        <v>0.5659826</v>
      </c>
      <c r="F6523" t="s">
        <v>41</v>
      </c>
      <c r="G6523">
        <v>-181.4282</v>
      </c>
      <c r="H6523" s="1">
        <v>-3.7278109999999998E-6</v>
      </c>
      <c r="I6523">
        <v>113.9004</v>
      </c>
      <c r="J6523">
        <v>-188.03319999999999</v>
      </c>
      <c r="K6523">
        <v>1.109972</v>
      </c>
      <c r="L6523">
        <v>92.798649999999995</v>
      </c>
      <c r="M6523">
        <v>-1.6460260000000001E-2</v>
      </c>
      <c r="N6523">
        <v>0</v>
      </c>
      <c r="O6523">
        <v>0.99979289999999998</v>
      </c>
      <c r="P6523">
        <v>0.13601830000000001</v>
      </c>
      <c r="Q6523">
        <v>0.16871449999999999</v>
      </c>
      <c r="R6523">
        <v>0.97623479999999996</v>
      </c>
      <c r="S6523">
        <v>0.92015080000000005</v>
      </c>
      <c r="T6523">
        <v>-0.1547171</v>
      </c>
      <c r="U6523">
        <v>2.9737849999999999</v>
      </c>
      <c r="V6523">
        <v>0.15207709999999999</v>
      </c>
      <c r="W6523">
        <v>0.1803506</v>
      </c>
      <c r="X6523">
        <v>0.97177480000000005</v>
      </c>
      <c r="Y6523">
        <v>0.31091669999999999</v>
      </c>
      <c r="Z6523">
        <v>-4.9503760000000001E-2</v>
      </c>
      <c r="AA6523">
        <v>0.94914710000000002</v>
      </c>
      <c r="AB6523">
        <v>23</v>
      </c>
      <c r="AC6523">
        <v>6.6049999999999898</v>
      </c>
      <c r="AD6523">
        <v>-1.1099757278110001</v>
      </c>
      <c r="AE6523">
        <v>21.101749999999999</v>
      </c>
      <c r="AF6523">
        <v>6.9339966225777196</v>
      </c>
      <c r="AG6523">
        <v>-1.1099757278110001</v>
      </c>
      <c r="AH6523">
        <v>20.937400977390102</v>
      </c>
      <c r="AI6523">
        <v>92.8810347949359</v>
      </c>
      <c r="AJ6523">
        <v>71.676289859384696</v>
      </c>
      <c r="AK6523">
        <v>22.083639078880601</v>
      </c>
      <c r="AL6523">
        <v>79.609818313581002</v>
      </c>
      <c r="AM6523">
        <v>81.105684326301898</v>
      </c>
      <c r="AN6523">
        <v>1.0000000225899</v>
      </c>
    </row>
    <row r="6524" spans="1:40" x14ac:dyDescent="0.25">
      <c r="A6524" t="str">
        <f>"20190312172836891"</f>
        <v>20190312172836891</v>
      </c>
      <c r="B6524" t="str">
        <f>"1552382916886571"</f>
        <v>1552382916886571</v>
      </c>
      <c r="C6524" t="s">
        <v>40</v>
      </c>
      <c r="D6524">
        <v>3.2803460000000002</v>
      </c>
      <c r="E6524">
        <v>0.55960500000000002</v>
      </c>
      <c r="F6524" t="s">
        <v>41</v>
      </c>
      <c r="G6524">
        <v>-181.46879999999999</v>
      </c>
      <c r="H6524" s="1">
        <v>-3.6996819999999998E-6</v>
      </c>
      <c r="I6524">
        <v>113.8494</v>
      </c>
      <c r="J6524">
        <v>-188.0403</v>
      </c>
      <c r="K6524">
        <v>1.110042</v>
      </c>
      <c r="L6524">
        <v>93.232939999999999</v>
      </c>
      <c r="M6524">
        <v>-1.6460269999999999E-2</v>
      </c>
      <c r="N6524">
        <v>0</v>
      </c>
      <c r="O6524">
        <v>0.99978889999999998</v>
      </c>
      <c r="P6524">
        <v>0.14145439999999901</v>
      </c>
      <c r="Q6524">
        <v>0.16849710000000001</v>
      </c>
      <c r="R6524">
        <v>0.97549960000000002</v>
      </c>
      <c r="S6524">
        <v>0.92646790000000001</v>
      </c>
      <c r="T6524">
        <v>-0.1566582</v>
      </c>
      <c r="U6524">
        <v>2.9710390000000002</v>
      </c>
      <c r="V6524">
        <v>0.15750039999999901</v>
      </c>
      <c r="W6524">
        <v>0.18044350000000001</v>
      </c>
      <c r="X6524">
        <v>0.97089329999999996</v>
      </c>
      <c r="Y6524">
        <v>0.31299470000000001</v>
      </c>
      <c r="Z6524">
        <v>-5.0134369999999998E-2</v>
      </c>
      <c r="AA6524">
        <v>0.94843069999999896</v>
      </c>
      <c r="AB6524">
        <v>23</v>
      </c>
      <c r="AC6524">
        <v>6.5715000000000101</v>
      </c>
      <c r="AD6524">
        <v>-1.1100456996820001</v>
      </c>
      <c r="AE6524">
        <v>20.61646</v>
      </c>
      <c r="AF6524">
        <v>6.89185074791801</v>
      </c>
      <c r="AG6524">
        <v>-1.1100456996820001</v>
      </c>
      <c r="AH6524">
        <v>20.4516678953892</v>
      </c>
      <c r="AI6524">
        <v>92.944394342580495</v>
      </c>
      <c r="AJ6524">
        <v>71.377092591276906</v>
      </c>
      <c r="AK6524">
        <v>21.610194998894698</v>
      </c>
      <c r="AL6524">
        <v>79.604406687321301</v>
      </c>
      <c r="AM6524">
        <v>80.785624424188498</v>
      </c>
      <c r="AN6524">
        <v>1.00000001633864</v>
      </c>
    </row>
    <row r="6525" spans="1:40" x14ac:dyDescent="0.25">
      <c r="A6525" t="str">
        <f>"20190312172836912"</f>
        <v>20190312172836912</v>
      </c>
      <c r="B6525" t="str">
        <f>"1552382916906091"</f>
        <v>1552382916906091</v>
      </c>
      <c r="C6525" t="s">
        <v>40</v>
      </c>
      <c r="D6525">
        <v>3.2510210000000002</v>
      </c>
      <c r="E6525">
        <v>0.5590444</v>
      </c>
      <c r="F6525" t="s">
        <v>41</v>
      </c>
      <c r="G6525">
        <v>-182.21619999999999</v>
      </c>
      <c r="H6525" s="1">
        <v>-3.0836999999999998E-6</v>
      </c>
      <c r="I6525">
        <v>112.6237</v>
      </c>
      <c r="J6525">
        <v>-188.04400000000001</v>
      </c>
      <c r="K6525">
        <v>1.1100699999999999</v>
      </c>
      <c r="L6525">
        <v>93.457490000000007</v>
      </c>
      <c r="M6525">
        <v>-1.6460260000000001E-2</v>
      </c>
      <c r="N6525">
        <v>0</v>
      </c>
      <c r="O6525">
        <v>0.99978699999999998</v>
      </c>
      <c r="P6525">
        <v>0.1435149</v>
      </c>
      <c r="Q6525">
        <v>0.16863049999999999</v>
      </c>
      <c r="R6525">
        <v>0.97517549999999997</v>
      </c>
      <c r="S6525">
        <v>0.89360049999999902</v>
      </c>
      <c r="T6525">
        <v>-0.17031760000000001</v>
      </c>
      <c r="U6525">
        <v>2.9751889999999999</v>
      </c>
      <c r="V6525">
        <v>0.15955510000000001</v>
      </c>
      <c r="W6525">
        <v>0.18072250000000001</v>
      </c>
      <c r="X6525">
        <v>0.97050579999999997</v>
      </c>
      <c r="Y6525">
        <v>0.30295319999999998</v>
      </c>
      <c r="Z6525">
        <v>-5.4596899999999997E-2</v>
      </c>
      <c r="AA6525">
        <v>0.95144019999999996</v>
      </c>
      <c r="AB6525">
        <v>23</v>
      </c>
      <c r="AC6525">
        <v>5.8278000000000203</v>
      </c>
      <c r="AD6525">
        <v>-1.1100730836999999</v>
      </c>
      <c r="AE6525">
        <v>19.1662099999999</v>
      </c>
      <c r="AF6525">
        <v>6.1237119726789198</v>
      </c>
      <c r="AG6525">
        <v>-1.1100730836999999</v>
      </c>
      <c r="AH6525">
        <v>19.009308007411001</v>
      </c>
      <c r="AI6525">
        <v>93.181418267854099</v>
      </c>
      <c r="AJ6525">
        <v>72.144027828738203</v>
      </c>
      <c r="AK6525">
        <v>20.002147422117101</v>
      </c>
      <c r="AL6525">
        <v>79.588153582483599</v>
      </c>
      <c r="AM6525">
        <v>80.663857614841007</v>
      </c>
      <c r="AN6525">
        <v>0.99999997988794898</v>
      </c>
    </row>
    <row r="6526" spans="1:40" x14ac:dyDescent="0.25">
      <c r="A6526" t="str">
        <f>"20190312172836935"</f>
        <v>20190312172836935</v>
      </c>
      <c r="B6526" t="str">
        <f>"1552382916926587"</f>
        <v>1552382916926587</v>
      </c>
      <c r="C6526" t="s">
        <v>40</v>
      </c>
      <c r="D6526">
        <v>3.268491</v>
      </c>
      <c r="E6526">
        <v>0.55894319999999997</v>
      </c>
      <c r="F6526" t="s">
        <v>41</v>
      </c>
      <c r="G6526">
        <v>-182.16380000000001</v>
      </c>
      <c r="H6526" s="1">
        <v>-3.2173940000000001E-6</v>
      </c>
      <c r="I6526">
        <v>112.9756</v>
      </c>
      <c r="J6526">
        <v>-188.04759999999999</v>
      </c>
      <c r="K6526">
        <v>1.110093</v>
      </c>
      <c r="L6526">
        <v>93.6785</v>
      </c>
      <c r="M6526">
        <v>-1.6460260000000001E-2</v>
      </c>
      <c r="N6526">
        <v>0</v>
      </c>
      <c r="O6526">
        <v>0.99978520000000004</v>
      </c>
      <c r="P6526">
        <v>0.14513679999999901</v>
      </c>
      <c r="Q6526">
        <v>0.16872029999999999</v>
      </c>
      <c r="R6526">
        <v>0.97491989999999995</v>
      </c>
      <c r="S6526">
        <v>0.89590449999999999</v>
      </c>
      <c r="T6526">
        <v>-0.169131</v>
      </c>
      <c r="U6526">
        <v>2.9737849999999999</v>
      </c>
      <c r="V6526">
        <v>0.16117279999999901</v>
      </c>
      <c r="W6526">
        <v>0.18094540000000001</v>
      </c>
      <c r="X6526">
        <v>0.97019699999999998</v>
      </c>
      <c r="Y6526">
        <v>0.30375869999999999</v>
      </c>
      <c r="Z6526">
        <v>-5.4229100000000002E-2</v>
      </c>
      <c r="AA6526">
        <v>0.95120439999999995</v>
      </c>
      <c r="AB6526">
        <v>23</v>
      </c>
      <c r="AC6526">
        <v>5.8837999999999804</v>
      </c>
      <c r="AD6526">
        <v>-1.1100962173939899</v>
      </c>
      <c r="AE6526">
        <v>19.2971</v>
      </c>
      <c r="AF6526">
        <v>6.1819454081703302</v>
      </c>
      <c r="AG6526">
        <v>-1.1100962173939899</v>
      </c>
      <c r="AH6526">
        <v>19.139677197996601</v>
      </c>
      <c r="AI6526">
        <v>93.159076473863095</v>
      </c>
      <c r="AJ6526">
        <v>72.100005110069702</v>
      </c>
      <c r="AK6526">
        <v>20.1438825921167</v>
      </c>
      <c r="AL6526">
        <v>79.575169159378305</v>
      </c>
      <c r="AM6526">
        <v>80.567944486550005</v>
      </c>
      <c r="AN6526">
        <v>1.00000006402499</v>
      </c>
    </row>
    <row r="6527" spans="1:40" x14ac:dyDescent="0.25">
      <c r="A6527" t="str">
        <f>"20190312172836958"</f>
        <v>20190312172836958</v>
      </c>
      <c r="B6527" t="str">
        <f>"1552382916955867"</f>
        <v>1552382916955867</v>
      </c>
      <c r="C6527" t="s">
        <v>40</v>
      </c>
      <c r="D6527">
        <v>3.283636</v>
      </c>
      <c r="E6527">
        <v>0.55857950000000001</v>
      </c>
      <c r="F6527" t="s">
        <v>41</v>
      </c>
      <c r="G6527">
        <v>-182.19810000000001</v>
      </c>
      <c r="H6527" s="1">
        <v>-3.2088469999999999E-6</v>
      </c>
      <c r="I6527">
        <v>112.9773</v>
      </c>
      <c r="J6527">
        <v>-188.0515</v>
      </c>
      <c r="K6527">
        <v>1.1101129999999999</v>
      </c>
      <c r="L6527">
        <v>93.913240000000002</v>
      </c>
      <c r="M6527">
        <v>-1.6460260000000001E-2</v>
      </c>
      <c r="N6527">
        <v>0</v>
      </c>
      <c r="O6527">
        <v>0.99978350000000005</v>
      </c>
      <c r="P6527">
        <v>0.14664369999999999</v>
      </c>
      <c r="Q6527">
        <v>0.1688047</v>
      </c>
      <c r="R6527">
        <v>0.97467969999999904</v>
      </c>
      <c r="S6527">
        <v>0.90100100000000005</v>
      </c>
      <c r="T6527">
        <v>-0.17098949999999999</v>
      </c>
      <c r="U6527">
        <v>2.972626</v>
      </c>
      <c r="V6527">
        <v>0.1626755</v>
      </c>
      <c r="W6527">
        <v>0.18116009999999999</v>
      </c>
      <c r="X6527">
        <v>0.96990600000000005</v>
      </c>
      <c r="Y6527">
        <v>0.3053457</v>
      </c>
      <c r="Z6527">
        <v>-5.481602E-2</v>
      </c>
      <c r="AA6527">
        <v>0.95066249999999997</v>
      </c>
      <c r="AB6527">
        <v>22</v>
      </c>
      <c r="AC6527">
        <v>5.8533999999999899</v>
      </c>
      <c r="AD6527">
        <v>-1.11011620884699</v>
      </c>
      <c r="AE6527">
        <v>19.064060000000001</v>
      </c>
      <c r="AF6527">
        <v>6.14738272443621</v>
      </c>
      <c r="AG6527">
        <v>-1.11011620884699</v>
      </c>
      <c r="AH6527">
        <v>18.9065346874883</v>
      </c>
      <c r="AI6527">
        <v>93.195993028527795</v>
      </c>
      <c r="AJ6527">
        <v>71.988276541569704</v>
      </c>
      <c r="AK6527">
        <v>19.911798669307601</v>
      </c>
      <c r="AL6527">
        <v>79.562660094393607</v>
      </c>
      <c r="AM6527">
        <v>80.478802755508198</v>
      </c>
      <c r="AN6527">
        <v>0.99999997448412903</v>
      </c>
    </row>
    <row r="6528" spans="1:40" x14ac:dyDescent="0.25">
      <c r="A6528" t="str">
        <f>"20190312172836981"</f>
        <v>20190312172836981</v>
      </c>
      <c r="B6528" t="str">
        <f>"1552382916976364"</f>
        <v>1552382916976364</v>
      </c>
      <c r="C6528" t="s">
        <v>40</v>
      </c>
      <c r="D6528">
        <v>3.2699980000000002</v>
      </c>
      <c r="E6528">
        <v>0.55838350000000003</v>
      </c>
      <c r="F6528" t="s">
        <v>41</v>
      </c>
      <c r="G6528">
        <v>-182.24719999999999</v>
      </c>
      <c r="H6528" s="1">
        <v>-3.205346E-6</v>
      </c>
      <c r="I6528">
        <v>113.00539999999999</v>
      </c>
      <c r="J6528">
        <v>-188.05500000000001</v>
      </c>
      <c r="K6528">
        <v>1.110128</v>
      </c>
      <c r="L6528">
        <v>94.129670000000004</v>
      </c>
      <c r="M6528">
        <v>-1.6460269999999999E-2</v>
      </c>
      <c r="N6528">
        <v>0</v>
      </c>
      <c r="O6528">
        <v>0.99978199999999995</v>
      </c>
      <c r="P6528">
        <v>0.14821979999999901</v>
      </c>
      <c r="Q6528">
        <v>0.1684196</v>
      </c>
      <c r="R6528">
        <v>0.97450789999999998</v>
      </c>
      <c r="S6528">
        <v>0.90350339999999996</v>
      </c>
      <c r="T6528">
        <v>-0.17280279999999901</v>
      </c>
      <c r="U6528">
        <v>2.971924</v>
      </c>
      <c r="V6528">
        <v>0.16424849999999999</v>
      </c>
      <c r="W6528">
        <v>0.18088480000000001</v>
      </c>
      <c r="X6528">
        <v>0.96969229999999995</v>
      </c>
      <c r="Y6528">
        <v>0.3061316</v>
      </c>
      <c r="Z6528">
        <v>-5.539417E-2</v>
      </c>
      <c r="AA6528">
        <v>0.9503762</v>
      </c>
      <c r="AB6528">
        <v>22</v>
      </c>
      <c r="AC6528">
        <v>5.8078000000000101</v>
      </c>
      <c r="AD6528">
        <v>-1.110131205346</v>
      </c>
      <c r="AE6528">
        <v>18.875730000000001</v>
      </c>
      <c r="AF6528">
        <v>6.09846843085095</v>
      </c>
      <c r="AG6528">
        <v>-1.110131205346</v>
      </c>
      <c r="AH6528">
        <v>18.718420268190599</v>
      </c>
      <c r="AI6528">
        <v>93.227467343585204</v>
      </c>
      <c r="AJ6528">
        <v>71.954370821988206</v>
      </c>
      <c r="AK6528">
        <v>19.7180872761984</v>
      </c>
      <c r="AL6528">
        <v>79.578699061045995</v>
      </c>
      <c r="AM6528">
        <v>80.386367886341603</v>
      </c>
      <c r="AN6528">
        <v>1.0000000186512801</v>
      </c>
    </row>
    <row r="6529" spans="1:40" x14ac:dyDescent="0.25">
      <c r="A6529" t="str">
        <f>"20190312172837002"</f>
        <v>20190312172837002</v>
      </c>
      <c r="B6529" t="str">
        <f>"1552382916995884"</f>
        <v>1552382916995884</v>
      </c>
      <c r="C6529" t="s">
        <v>40</v>
      </c>
      <c r="D6529">
        <v>3.2998460000000001</v>
      </c>
      <c r="E6529">
        <v>0.55834280000000003</v>
      </c>
      <c r="F6529" t="s">
        <v>41</v>
      </c>
      <c r="G6529">
        <v>-182.29570000000001</v>
      </c>
      <c r="H6529" s="1">
        <v>-3.1848329999999998E-6</v>
      </c>
      <c r="I6529">
        <v>112.983</v>
      </c>
      <c r="J6529">
        <v>-188.05869999999999</v>
      </c>
      <c r="K6529">
        <v>1.110139</v>
      </c>
      <c r="L6529">
        <v>94.354060000000004</v>
      </c>
      <c r="M6529">
        <v>-1.6460140000000002E-2</v>
      </c>
      <c r="N6529">
        <v>0</v>
      </c>
      <c r="O6529">
        <v>0.99978069999999997</v>
      </c>
      <c r="P6529">
        <v>0.14933270000000001</v>
      </c>
      <c r="Q6529">
        <v>0.16856840000000001</v>
      </c>
      <c r="R6529">
        <v>0.97431230000000002</v>
      </c>
      <c r="S6529">
        <v>0.90748600000000001</v>
      </c>
      <c r="T6529">
        <v>-0.1749204</v>
      </c>
      <c r="U6529">
        <v>2.9706730000000001</v>
      </c>
      <c r="V6529">
        <v>0.165358</v>
      </c>
      <c r="W6529">
        <v>0.1811333</v>
      </c>
      <c r="X6529">
        <v>0.96945729999999997</v>
      </c>
      <c r="Y6529">
        <v>0.30739729999999998</v>
      </c>
      <c r="Z6529">
        <v>-5.6070879999999997E-2</v>
      </c>
      <c r="AA6529">
        <v>0.94992790000000005</v>
      </c>
      <c r="AB6529">
        <v>22</v>
      </c>
      <c r="AC6529">
        <v>5.7629999999999697</v>
      </c>
      <c r="AD6529">
        <v>-1.110142184833</v>
      </c>
      <c r="AE6529">
        <v>18.628939999999901</v>
      </c>
      <c r="AF6529">
        <v>6.0492736533726301</v>
      </c>
      <c r="AG6529">
        <v>-1.110142184833</v>
      </c>
      <c r="AH6529">
        <v>18.471680024091299</v>
      </c>
      <c r="AI6529">
        <v>93.268892206884999</v>
      </c>
      <c r="AJ6529">
        <v>71.866943196687799</v>
      </c>
      <c r="AK6529">
        <v>19.4686694541858</v>
      </c>
      <c r="AL6529">
        <v>79.564221706025407</v>
      </c>
      <c r="AM6529">
        <v>80.320350311984498</v>
      </c>
      <c r="AN6529">
        <v>0.99999999852808996</v>
      </c>
    </row>
    <row r="6530" spans="1:40" x14ac:dyDescent="0.25">
      <c r="A6530" t="str">
        <f>"20190312172837026"</f>
        <v>20190312172837026</v>
      </c>
      <c r="B6530" t="str">
        <f>"1552382917016379"</f>
        <v>1552382917016379</v>
      </c>
      <c r="C6530" t="s">
        <v>40</v>
      </c>
      <c r="D6530">
        <v>3.3011940000000002</v>
      </c>
      <c r="E6530">
        <v>0.55828949999999999</v>
      </c>
      <c r="F6530" t="s">
        <v>41</v>
      </c>
      <c r="G6530">
        <v>-182.25919999999999</v>
      </c>
      <c r="H6530" s="1">
        <v>-3.2848369999999998E-6</v>
      </c>
      <c r="I6530">
        <v>113.2484</v>
      </c>
      <c r="J6530">
        <v>-188.0625</v>
      </c>
      <c r="K6530">
        <v>1.1101449999999999</v>
      </c>
      <c r="L6530">
        <v>94.583590000000001</v>
      </c>
      <c r="M6530">
        <v>-1.6457099999999999E-2</v>
      </c>
      <c r="N6530">
        <v>0</v>
      </c>
      <c r="O6530">
        <v>0.99977950000000004</v>
      </c>
      <c r="P6530">
        <v>0.15115519999999999</v>
      </c>
      <c r="Q6530">
        <v>0.16837750000000001</v>
      </c>
      <c r="R6530">
        <v>0.97406420000000005</v>
      </c>
      <c r="S6530">
        <v>0.91149899999999995</v>
      </c>
      <c r="T6530">
        <v>-0.17447869999999999</v>
      </c>
      <c r="U6530">
        <v>2.9695740000000002</v>
      </c>
      <c r="V6530">
        <v>0.16717379999999901</v>
      </c>
      <c r="W6530">
        <v>0.1810311</v>
      </c>
      <c r="X6530">
        <v>0.9691649</v>
      </c>
      <c r="Y6530">
        <v>0.30866840000000001</v>
      </c>
      <c r="Z6530">
        <v>-5.5926869999999997E-2</v>
      </c>
      <c r="AA6530">
        <v>0.94952409999999998</v>
      </c>
      <c r="AB6530">
        <v>22</v>
      </c>
      <c r="AC6530">
        <v>5.8033000000000001</v>
      </c>
      <c r="AD6530">
        <v>-1.1101482848369999</v>
      </c>
      <c r="AE6530">
        <v>18.664809999999999</v>
      </c>
      <c r="AF6530">
        <v>6.0900633695364998</v>
      </c>
      <c r="AG6530">
        <v>-1.1101482848369999</v>
      </c>
      <c r="AH6530">
        <v>18.5070680709755</v>
      </c>
      <c r="AI6530">
        <v>93.261151165322005</v>
      </c>
      <c r="AJ6530">
        <v>71.785336218478903</v>
      </c>
      <c r="AK6530">
        <v>19.514939652559001</v>
      </c>
      <c r="AL6530">
        <v>79.570175476951405</v>
      </c>
      <c r="AM6530">
        <v>80.213206547460103</v>
      </c>
      <c r="AN6530">
        <v>0.999999970982829</v>
      </c>
    </row>
    <row r="6531" spans="1:40" x14ac:dyDescent="0.25">
      <c r="A6531" t="str">
        <f>"20190312172837049"</f>
        <v>20190312172837049</v>
      </c>
      <c r="B6531" t="str">
        <f>"1552382917046635"</f>
        <v>1552382917046635</v>
      </c>
      <c r="C6531" t="s">
        <v>40</v>
      </c>
      <c r="D6531">
        <v>3.2698809999999998</v>
      </c>
      <c r="E6531">
        <v>0.55820170000000002</v>
      </c>
      <c r="F6531" t="s">
        <v>41</v>
      </c>
      <c r="G6531">
        <v>-182.2253</v>
      </c>
      <c r="H6531" s="1">
        <v>-3.3681130000000001E-6</v>
      </c>
      <c r="I6531">
        <v>113.4666</v>
      </c>
      <c r="J6531">
        <v>-188.06620000000001</v>
      </c>
      <c r="K6531">
        <v>1.1101510000000001</v>
      </c>
      <c r="L6531">
        <v>94.812899999999999</v>
      </c>
      <c r="M6531">
        <v>-1.6445060000000001E-2</v>
      </c>
      <c r="N6531">
        <v>0</v>
      </c>
      <c r="O6531">
        <v>0.99977859999999996</v>
      </c>
      <c r="P6531">
        <v>0.15333769999999999</v>
      </c>
      <c r="Q6531">
        <v>0.16739670000000001</v>
      </c>
      <c r="R6531">
        <v>0.97389219999999999</v>
      </c>
      <c r="S6531">
        <v>0.91737369999999996</v>
      </c>
      <c r="T6531">
        <v>-0.1744725</v>
      </c>
      <c r="U6531">
        <v>2.9676819999999999</v>
      </c>
      <c r="V6531">
        <v>0.16934370000000001</v>
      </c>
      <c r="W6531">
        <v>0.18012600000000001</v>
      </c>
      <c r="X6531">
        <v>0.96895679999999995</v>
      </c>
      <c r="Y6531">
        <v>0.31054280000000001</v>
      </c>
      <c r="Z6531">
        <v>-5.5925490000000001E-2</v>
      </c>
      <c r="AA6531">
        <v>0.9489128</v>
      </c>
      <c r="AB6531">
        <v>22</v>
      </c>
      <c r="AC6531">
        <v>5.8409000000000004</v>
      </c>
      <c r="AD6531">
        <v>-1.1101543681129999</v>
      </c>
      <c r="AE6531">
        <v>18.653700000000001</v>
      </c>
      <c r="AF6531">
        <v>6.1271337080275696</v>
      </c>
      <c r="AG6531">
        <v>-1.1101543681129999</v>
      </c>
      <c r="AH6531">
        <v>18.4954550837341</v>
      </c>
      <c r="AI6531">
        <v>93.261069621106799</v>
      </c>
      <c r="AJ6531">
        <v>71.671112400203199</v>
      </c>
      <c r="AK6531">
        <v>19.5155340421807</v>
      </c>
      <c r="AL6531">
        <v>79.622900678009998</v>
      </c>
      <c r="AM6531">
        <v>80.086591926622006</v>
      </c>
      <c r="AN6531">
        <v>0.99999997243596395</v>
      </c>
    </row>
    <row r="6532" spans="1:40" x14ac:dyDescent="0.25">
      <c r="A6532" t="str">
        <f>"20190312172837072"</f>
        <v>20190312172837072</v>
      </c>
      <c r="B6532" t="str">
        <f>"1552382917066156"</f>
        <v>1552382917066156</v>
      </c>
      <c r="C6532" t="s">
        <v>40</v>
      </c>
      <c r="D6532">
        <v>3.295671</v>
      </c>
      <c r="E6532">
        <v>0.55809439999999999</v>
      </c>
      <c r="F6532" t="s">
        <v>41</v>
      </c>
      <c r="G6532">
        <v>-182.32509999999999</v>
      </c>
      <c r="H6532" s="1">
        <v>-3.2664440000000001E-6</v>
      </c>
      <c r="I6532">
        <v>113.24590000000001</v>
      </c>
      <c r="J6532">
        <v>-188.06989999999999</v>
      </c>
      <c r="K6532">
        <v>1.1101479999999999</v>
      </c>
      <c r="L6532">
        <v>95.037019999999998</v>
      </c>
      <c r="M6532">
        <v>-1.6417350000000001E-2</v>
      </c>
      <c r="N6532">
        <v>0</v>
      </c>
      <c r="O6532">
        <v>0.9997781</v>
      </c>
      <c r="P6532">
        <v>0.15576860000000001</v>
      </c>
      <c r="Q6532">
        <v>0.1681319</v>
      </c>
      <c r="R6532">
        <v>0.97337960000000001</v>
      </c>
      <c r="S6532">
        <v>0.92369080000000003</v>
      </c>
      <c r="T6532">
        <v>-0.17861369999999999</v>
      </c>
      <c r="U6532">
        <v>2.9656980000000002</v>
      </c>
      <c r="V6532">
        <v>0.17174329999999999</v>
      </c>
      <c r="W6532">
        <v>0.18091769999999999</v>
      </c>
      <c r="X6532">
        <v>0.96838679999999999</v>
      </c>
      <c r="Y6532">
        <v>0.31251620000000002</v>
      </c>
      <c r="Z6532">
        <v>-5.7248279999999999E-2</v>
      </c>
      <c r="AA6532">
        <v>0.94818579999999997</v>
      </c>
      <c r="AB6532">
        <v>22</v>
      </c>
      <c r="AC6532">
        <v>5.7447999999999899</v>
      </c>
      <c r="AD6532">
        <v>-1.1101512664440001</v>
      </c>
      <c r="AE6532">
        <v>18.208880000000001</v>
      </c>
      <c r="AF6532">
        <v>6.0226333690096903</v>
      </c>
      <c r="AG6532">
        <v>-1.1101512664440001</v>
      </c>
      <c r="AH6532">
        <v>18.051080199856901</v>
      </c>
      <c r="AI6532">
        <v>93.338799907691694</v>
      </c>
      <c r="AJ6532">
        <v>71.549036292638206</v>
      </c>
      <c r="AK6532">
        <v>19.0616380438188</v>
      </c>
      <c r="AL6532">
        <v>79.576782051228506</v>
      </c>
      <c r="AM6532">
        <v>79.943168401162595</v>
      </c>
      <c r="AN6532">
        <v>0.999999984841209</v>
      </c>
    </row>
    <row r="6533" spans="1:40" x14ac:dyDescent="0.25">
      <c r="A6533" t="str">
        <f>"20190312172837092"</f>
        <v>20190312172837092</v>
      </c>
      <c r="B6533" t="str">
        <f>"1552382917086653"</f>
        <v>1552382917086653</v>
      </c>
      <c r="C6533" t="s">
        <v>40</v>
      </c>
      <c r="D6533">
        <v>3.2961269999999998</v>
      </c>
      <c r="E6533">
        <v>0.55805090000000002</v>
      </c>
      <c r="F6533" t="s">
        <v>41</v>
      </c>
      <c r="G6533">
        <v>-182.21109999999999</v>
      </c>
      <c r="H6533" s="1">
        <v>-3.4444469999999998E-6</v>
      </c>
      <c r="I6533">
        <v>113.6798</v>
      </c>
      <c r="J6533">
        <v>-188.07320000000001</v>
      </c>
      <c r="K6533">
        <v>1.1101430000000001</v>
      </c>
      <c r="L6533">
        <v>95.244929999999997</v>
      </c>
      <c r="M6533">
        <v>-1.6377969999999999E-2</v>
      </c>
      <c r="N6533">
        <v>0</v>
      </c>
      <c r="O6533">
        <v>0.99977800000000006</v>
      </c>
      <c r="P6533">
        <v>0.15788379999999999</v>
      </c>
      <c r="Q6533">
        <v>0.16879739999999999</v>
      </c>
      <c r="R6533">
        <v>0.97292350000000005</v>
      </c>
      <c r="S6533">
        <v>0.93132020000000004</v>
      </c>
      <c r="T6533">
        <v>-0.1764722</v>
      </c>
      <c r="U6533">
        <v>2.9635009999999999</v>
      </c>
      <c r="V6533">
        <v>0.17381759999999999</v>
      </c>
      <c r="W6533">
        <v>0.18162719999999999</v>
      </c>
      <c r="X6533">
        <v>0.96788379999999996</v>
      </c>
      <c r="Y6533">
        <v>0.31491249999999998</v>
      </c>
      <c r="Z6533">
        <v>-5.6560039999999999E-2</v>
      </c>
      <c r="AA6533">
        <v>0.94743390000000005</v>
      </c>
      <c r="AB6533">
        <v>22</v>
      </c>
      <c r="AC6533">
        <v>5.8621000000000203</v>
      </c>
      <c r="AD6533">
        <v>-1.1101464444469999</v>
      </c>
      <c r="AE6533">
        <v>18.434869999999901</v>
      </c>
      <c r="AF6533">
        <v>6.1430342941545497</v>
      </c>
      <c r="AG6533">
        <v>-1.1101464444469999</v>
      </c>
      <c r="AH6533">
        <v>18.2761880913373</v>
      </c>
      <c r="AI6533">
        <v>93.295298258133798</v>
      </c>
      <c r="AJ6533">
        <v>71.421355522165001</v>
      </c>
      <c r="AK6533">
        <v>19.312906218827301</v>
      </c>
      <c r="AL6533">
        <v>79.535446289309107</v>
      </c>
      <c r="AM6533">
        <v>79.819048702098399</v>
      </c>
      <c r="AN6533">
        <v>1.0000000240760101</v>
      </c>
    </row>
    <row r="6534" spans="1:40" x14ac:dyDescent="0.25">
      <c r="A6534" t="str">
        <f>"20190312172837114"</f>
        <v>20190312172837114</v>
      </c>
      <c r="B6534" t="str">
        <f>"1552382917106172"</f>
        <v>1552382917106172</v>
      </c>
      <c r="C6534" t="s">
        <v>40</v>
      </c>
      <c r="D6534">
        <v>3.3006099999999998</v>
      </c>
      <c r="E6534">
        <v>0.558065699999999</v>
      </c>
      <c r="F6534" t="s">
        <v>41</v>
      </c>
      <c r="G6534">
        <v>-182.10570000000001</v>
      </c>
      <c r="H6534" s="1">
        <v>-3.6072200000000001E-6</v>
      </c>
      <c r="I6534">
        <v>114.0757</v>
      </c>
      <c r="J6534">
        <v>-188.07679999999999</v>
      </c>
      <c r="K6534">
        <v>1.110134</v>
      </c>
      <c r="L6534">
        <v>95.46951</v>
      </c>
      <c r="M6534">
        <v>-1.6313970000000001E-2</v>
      </c>
      <c r="N6534">
        <v>0</v>
      </c>
      <c r="O6534">
        <v>0.99977830000000001</v>
      </c>
      <c r="P6534">
        <v>0.1601976</v>
      </c>
      <c r="Q6534">
        <v>0.16905390000000001</v>
      </c>
      <c r="R6534">
        <v>0.9725007</v>
      </c>
      <c r="S6534">
        <v>0.93850710000000004</v>
      </c>
      <c r="T6534">
        <v>-0.1745912</v>
      </c>
      <c r="U6534">
        <v>2.961487</v>
      </c>
      <c r="V6534">
        <v>0.176068899999999</v>
      </c>
      <c r="W6534">
        <v>0.181923</v>
      </c>
      <c r="X6534">
        <v>0.96742119999999998</v>
      </c>
      <c r="Y6534">
        <v>0.31713629999999998</v>
      </c>
      <c r="Z6534">
        <v>-5.595427E-2</v>
      </c>
      <c r="AA6534">
        <v>0.94672789999999996</v>
      </c>
      <c r="AB6534">
        <v>22</v>
      </c>
      <c r="AC6534">
        <v>5.9710999999999697</v>
      </c>
      <c r="AD6534">
        <v>-1.11013760722</v>
      </c>
      <c r="AE6534">
        <v>18.606190000000002</v>
      </c>
      <c r="AF6534">
        <v>6.2536891097775804</v>
      </c>
      <c r="AG6534">
        <v>-1.11013760722</v>
      </c>
      <c r="AH6534">
        <v>18.446755397094201</v>
      </c>
      <c r="AI6534">
        <v>93.262016171479502</v>
      </c>
      <c r="AJ6534">
        <v>71.272675232641305</v>
      </c>
      <c r="AK6534">
        <v>19.509582713859899</v>
      </c>
      <c r="AL6534">
        <v>79.518210878763099</v>
      </c>
      <c r="AM6534">
        <v>79.685170599576793</v>
      </c>
      <c r="AN6534">
        <v>1.0000000068428201</v>
      </c>
    </row>
    <row r="6535" spans="1:40" x14ac:dyDescent="0.25">
      <c r="A6535" t="str">
        <f>"20190312172837138"</f>
        <v>20190312172837138</v>
      </c>
      <c r="B6535" t="str">
        <f>"1552382917126668"</f>
        <v>1552382917126668</v>
      </c>
      <c r="C6535" t="s">
        <v>40</v>
      </c>
      <c r="D6535">
        <v>3.3205819999999999</v>
      </c>
      <c r="E6535">
        <v>0.55811160000000004</v>
      </c>
      <c r="F6535" t="s">
        <v>41</v>
      </c>
      <c r="G6535">
        <v>-182.05619999999999</v>
      </c>
      <c r="H6535" s="1">
        <v>-3.6990169999999999E-6</v>
      </c>
      <c r="I6535">
        <v>114.30670000000001</v>
      </c>
      <c r="J6535">
        <v>-188.0804</v>
      </c>
      <c r="K6535">
        <v>1.11012</v>
      </c>
      <c r="L6535">
        <v>95.698430000000002</v>
      </c>
      <c r="M6535">
        <v>-1.621796E-2</v>
      </c>
      <c r="N6535">
        <v>0</v>
      </c>
      <c r="O6535">
        <v>0.99977919999999998</v>
      </c>
      <c r="P6535">
        <v>0.16277739999999999</v>
      </c>
      <c r="Q6535">
        <v>0.1683511</v>
      </c>
      <c r="R6535">
        <v>0.97219409999999895</v>
      </c>
      <c r="S6535">
        <v>0.94584659999999998</v>
      </c>
      <c r="T6535">
        <v>-0.174403799999999</v>
      </c>
      <c r="U6535">
        <v>2.9593509999999998</v>
      </c>
      <c r="V6535">
        <v>0.17855839999999901</v>
      </c>
      <c r="W6535">
        <v>0.181253</v>
      </c>
      <c r="X6535">
        <v>0.96709060000000002</v>
      </c>
      <c r="Y6535">
        <v>0.31937399999999999</v>
      </c>
      <c r="Z6535">
        <v>-5.5890839999999997E-2</v>
      </c>
      <c r="AA6535">
        <v>0.94597909999999996</v>
      </c>
      <c r="AB6535">
        <v>22</v>
      </c>
      <c r="AC6535">
        <v>6.0242000000000004</v>
      </c>
      <c r="AD6535">
        <v>-1.110123699017</v>
      </c>
      <c r="AE6535">
        <v>18.608270000000001</v>
      </c>
      <c r="AF6535">
        <v>6.3049120340363798</v>
      </c>
      <c r="AG6535">
        <v>-1.110123699017</v>
      </c>
      <c r="AH6535">
        <v>18.448682662637001</v>
      </c>
      <c r="AI6535">
        <v>93.258915179317498</v>
      </c>
      <c r="AJ6535">
        <v>71.131929187480793</v>
      </c>
      <c r="AK6535">
        <v>19.52788217833</v>
      </c>
      <c r="AL6535">
        <v>79.557247882932003</v>
      </c>
      <c r="AM6535">
        <v>79.539025440710006</v>
      </c>
      <c r="AN6535">
        <v>0.99999999041396004</v>
      </c>
    </row>
    <row r="6536" spans="1:40" x14ac:dyDescent="0.25">
      <c r="A6536" t="str">
        <f>"20190312172837158"</f>
        <v>20190312172837158</v>
      </c>
      <c r="B6536" t="str">
        <f>"1552382917155948"</f>
        <v>1552382917155948</v>
      </c>
      <c r="C6536" t="s">
        <v>40</v>
      </c>
      <c r="D6536">
        <v>3.312964</v>
      </c>
      <c r="E6536">
        <v>0.55810300000000002</v>
      </c>
      <c r="F6536" t="s">
        <v>41</v>
      </c>
      <c r="G6536">
        <v>-182.10239999999999</v>
      </c>
      <c r="H6536" s="1">
        <v>-3.6576299999999999E-6</v>
      </c>
      <c r="I6536">
        <v>114.2212</v>
      </c>
      <c r="J6536">
        <v>-188.08369999999999</v>
      </c>
      <c r="K6536">
        <v>1.110098</v>
      </c>
      <c r="L6536">
        <v>95.906009999999995</v>
      </c>
      <c r="M6536">
        <v>-1.6100299999999901E-2</v>
      </c>
      <c r="N6536">
        <v>0</v>
      </c>
      <c r="O6536">
        <v>0.99978069999999997</v>
      </c>
      <c r="P6536">
        <v>0.1653956</v>
      </c>
      <c r="Q6536">
        <v>0.16662729999999901</v>
      </c>
      <c r="R6536">
        <v>0.97204919999999995</v>
      </c>
      <c r="S6536">
        <v>0.95425420000000005</v>
      </c>
      <c r="T6536">
        <v>-0.17720469999999999</v>
      </c>
      <c r="U6536">
        <v>2.9567260000000002</v>
      </c>
      <c r="V6536">
        <v>0.18106810000000001</v>
      </c>
      <c r="W6536">
        <v>0.17955370000000001</v>
      </c>
      <c r="X6536">
        <v>0.96694089999999999</v>
      </c>
      <c r="Y6536">
        <v>0.32192749999999998</v>
      </c>
      <c r="Z6536">
        <v>-5.6784179999999997E-2</v>
      </c>
      <c r="AA6536">
        <v>0.94505989999999995</v>
      </c>
      <c r="AB6536">
        <v>22</v>
      </c>
      <c r="AC6536">
        <v>5.9813000000000001</v>
      </c>
      <c r="AD6536">
        <v>-1.11010165763</v>
      </c>
      <c r="AE6536">
        <v>18.315190000000001</v>
      </c>
      <c r="AF6536">
        <v>6.2546677968021198</v>
      </c>
      <c r="AG6536">
        <v>-1.11010165763</v>
      </c>
      <c r="AH6536">
        <v>18.1562339804243</v>
      </c>
      <c r="AI6536">
        <v>93.308450970121996</v>
      </c>
      <c r="AJ6536">
        <v>70.991607056203804</v>
      </c>
      <c r="AK6536">
        <v>19.235436758507401</v>
      </c>
      <c r="AL6536">
        <v>79.656234256624899</v>
      </c>
      <c r="AM6536">
        <v>79.393701000562501</v>
      </c>
      <c r="AN6536">
        <v>0.999999946057053</v>
      </c>
    </row>
    <row r="6537" spans="1:40" x14ac:dyDescent="0.25">
      <c r="A6537" t="str">
        <f>"20190312172837181"</f>
        <v>20190312172837181</v>
      </c>
      <c r="B6537" t="str">
        <f>"1552382917176083"</f>
        <v>1552382917176083</v>
      </c>
      <c r="C6537" t="s">
        <v>40</v>
      </c>
      <c r="D6537">
        <v>3.3132679999999999</v>
      </c>
      <c r="E6537">
        <v>0.55806210000000001</v>
      </c>
      <c r="F6537" t="s">
        <v>41</v>
      </c>
      <c r="G6537">
        <v>-182.23990000000001</v>
      </c>
      <c r="H6537" s="1">
        <v>-3.491578E-6</v>
      </c>
      <c r="I6537">
        <v>113.8408</v>
      </c>
      <c r="J6537">
        <v>-188.08709999999999</v>
      </c>
      <c r="K6537">
        <v>1.1100719999999999</v>
      </c>
      <c r="L6537">
        <v>96.131839999999997</v>
      </c>
      <c r="M6537">
        <v>-1.5938549999999999E-2</v>
      </c>
      <c r="N6537">
        <v>0</v>
      </c>
      <c r="O6537">
        <v>0.99978279999999997</v>
      </c>
      <c r="P6537">
        <v>0.1681366</v>
      </c>
      <c r="Q6537">
        <v>0.16524259999999999</v>
      </c>
      <c r="R6537">
        <v>0.97181530000000005</v>
      </c>
      <c r="S6537">
        <v>0.96247859999999996</v>
      </c>
      <c r="T6537">
        <v>-0.18283379999999999</v>
      </c>
      <c r="U6537">
        <v>2.9538570000000002</v>
      </c>
      <c r="V6537">
        <v>0.18365799999999999</v>
      </c>
      <c r="W6537">
        <v>0.1781885</v>
      </c>
      <c r="X6537">
        <v>0.96670500000000004</v>
      </c>
      <c r="Y6537">
        <v>0.32439000000000001</v>
      </c>
      <c r="Z6537">
        <v>-5.8585930000000001E-2</v>
      </c>
      <c r="AA6537">
        <v>0.94410740000000004</v>
      </c>
      <c r="AB6537">
        <v>22</v>
      </c>
      <c r="AC6537">
        <v>5.8471999999999804</v>
      </c>
      <c r="AD6537">
        <v>-1.110075491578</v>
      </c>
      <c r="AE6537">
        <v>17.708960000000001</v>
      </c>
      <c r="AF6537">
        <v>6.1070998556768599</v>
      </c>
      <c r="AG6537">
        <v>-1.110075491578</v>
      </c>
      <c r="AH6537">
        <v>17.5513203119183</v>
      </c>
      <c r="AI6537">
        <v>93.418475584291599</v>
      </c>
      <c r="AJ6537">
        <v>70.814315293327496</v>
      </c>
      <c r="AK6537">
        <v>18.616599607225901</v>
      </c>
      <c r="AL6537">
        <v>79.7357369890954</v>
      </c>
      <c r="AM6537">
        <v>79.242945319422404</v>
      </c>
      <c r="AN6537">
        <v>0.99999997976062405</v>
      </c>
    </row>
    <row r="6538" spans="1:40" x14ac:dyDescent="0.25">
      <c r="A6538" t="str">
        <f>"20190312172837203"</f>
        <v>20190312172837203</v>
      </c>
      <c r="B6538" t="str">
        <f>"1552382917196578"</f>
        <v>1552382917196578</v>
      </c>
      <c r="C6538" t="s">
        <v>40</v>
      </c>
      <c r="D6538">
        <v>3.3154170000000001</v>
      </c>
      <c r="E6538">
        <v>0.55802949999999996</v>
      </c>
      <c r="F6538" t="s">
        <v>41</v>
      </c>
      <c r="G6538">
        <v>-182.3707</v>
      </c>
      <c r="H6538" s="1">
        <v>-3.346438E-6</v>
      </c>
      <c r="I6538">
        <v>113.5166</v>
      </c>
      <c r="J6538">
        <v>-188.09039999999999</v>
      </c>
      <c r="K6538">
        <v>1.110039</v>
      </c>
      <c r="L6538">
        <v>96.349000000000004</v>
      </c>
      <c r="M6538">
        <v>-1.5751379999999999E-2</v>
      </c>
      <c r="N6538">
        <v>0</v>
      </c>
      <c r="O6538">
        <v>0.99978540000000005</v>
      </c>
      <c r="P6538">
        <v>0.17170629999999901</v>
      </c>
      <c r="Q6538">
        <v>0.16366140000000001</v>
      </c>
      <c r="R6538">
        <v>0.97145859999999995</v>
      </c>
      <c r="S6538">
        <v>0.97038270000000004</v>
      </c>
      <c r="T6538">
        <v>-0.1884401</v>
      </c>
      <c r="U6538">
        <v>2.9511409999999998</v>
      </c>
      <c r="V6538">
        <v>0.1870491</v>
      </c>
      <c r="W6538">
        <v>0.17661879999999999</v>
      </c>
      <c r="X6538">
        <v>0.96634279999999995</v>
      </c>
      <c r="Y6538">
        <v>0.32671810000000001</v>
      </c>
      <c r="Z6538">
        <v>-6.0379099999999901E-2</v>
      </c>
      <c r="AA6538">
        <v>0.94319120000000001</v>
      </c>
      <c r="AB6538">
        <v>22</v>
      </c>
      <c r="AC6538">
        <v>5.71969999999998</v>
      </c>
      <c r="AD6538">
        <v>-1.110042346438</v>
      </c>
      <c r="AE6538">
        <v>17.1676</v>
      </c>
      <c r="AF6538">
        <v>5.9669738529380796</v>
      </c>
      <c r="AG6538">
        <v>-1.110042346438</v>
      </c>
      <c r="AH6538">
        <v>17.011353091237499</v>
      </c>
      <c r="AI6538">
        <v>93.523535078419997</v>
      </c>
      <c r="AJ6538">
        <v>70.670955425727897</v>
      </c>
      <c r="AK6538">
        <v>18.0616473492117</v>
      </c>
      <c r="AL6538">
        <v>79.827123818954703</v>
      </c>
      <c r="AM6538">
        <v>79.045079549283898</v>
      </c>
      <c r="AN6538">
        <v>0.99999998671804402</v>
      </c>
    </row>
    <row r="6539" spans="1:40" x14ac:dyDescent="0.25">
      <c r="A6539" t="str">
        <f>"20190312172837228"</f>
        <v>20190312172837228</v>
      </c>
      <c r="B6539" t="str">
        <f>"1552382917216098"</f>
        <v>1552382917216098</v>
      </c>
      <c r="C6539" t="s">
        <v>40</v>
      </c>
      <c r="D6539">
        <v>3.32423</v>
      </c>
      <c r="E6539">
        <v>0.55807450000000003</v>
      </c>
      <c r="F6539" t="s">
        <v>41</v>
      </c>
      <c r="G6539">
        <v>-182.48769999999999</v>
      </c>
      <c r="H6539" s="1">
        <v>-3.2052560000000001E-6</v>
      </c>
      <c r="I6539">
        <v>113.1932</v>
      </c>
      <c r="J6539">
        <v>-188.09389999999999</v>
      </c>
      <c r="K6539">
        <v>1.110017</v>
      </c>
      <c r="L6539">
        <v>96.587280000000007</v>
      </c>
      <c r="M6539">
        <v>-1.551784E-2</v>
      </c>
      <c r="N6539">
        <v>0</v>
      </c>
      <c r="O6539">
        <v>0.99978860000000003</v>
      </c>
      <c r="P6539">
        <v>0.17572839999999901</v>
      </c>
      <c r="Q6539">
        <v>0.1628956</v>
      </c>
      <c r="R6539">
        <v>0.97086790000000001</v>
      </c>
      <c r="S6539">
        <v>0.98040769999999999</v>
      </c>
      <c r="T6539">
        <v>-0.19424630000000001</v>
      </c>
      <c r="U6539">
        <v>2.9475709999999999</v>
      </c>
      <c r="V6539">
        <v>0.1908435</v>
      </c>
      <c r="W6539">
        <v>0.1758603</v>
      </c>
      <c r="X6539">
        <v>0.96573909999999996</v>
      </c>
      <c r="Y6539">
        <v>0.32968989999999998</v>
      </c>
      <c r="Z6539">
        <v>-6.2238309999999998E-2</v>
      </c>
      <c r="AA6539">
        <v>0.94203559999999997</v>
      </c>
      <c r="AB6539">
        <v>22</v>
      </c>
      <c r="AC6539">
        <v>5.6062000000000003</v>
      </c>
      <c r="AD6539">
        <v>-1.110020205256</v>
      </c>
      <c r="AE6539">
        <v>16.605919999999902</v>
      </c>
      <c r="AF6539">
        <v>5.8398123990695101</v>
      </c>
      <c r="AG6539">
        <v>-1.110020205256</v>
      </c>
      <c r="AH6539">
        <v>16.450930267858599</v>
      </c>
      <c r="AI6539">
        <v>93.638370833109704</v>
      </c>
      <c r="AJ6539">
        <v>70.455966133410897</v>
      </c>
      <c r="AK6539">
        <v>17.4919598784799</v>
      </c>
      <c r="AL6539">
        <v>79.871274361186906</v>
      </c>
      <c r="AM6539">
        <v>78.821581175718904</v>
      </c>
      <c r="AN6539">
        <v>1.00000004793857</v>
      </c>
    </row>
    <row r="6540" spans="1:40" x14ac:dyDescent="0.25">
      <c r="A6540" t="str">
        <f>"20190312172837251"</f>
        <v>20190312172837251</v>
      </c>
      <c r="B6540" t="str">
        <f>"1552382917246355"</f>
        <v>1552382917246355</v>
      </c>
      <c r="C6540" t="s">
        <v>40</v>
      </c>
      <c r="D6540">
        <v>3.3393649999999999</v>
      </c>
      <c r="E6540">
        <v>0.55804799999999999</v>
      </c>
      <c r="F6540" t="s">
        <v>41</v>
      </c>
      <c r="G6540">
        <v>-182.52420000000001</v>
      </c>
      <c r="H6540" s="1">
        <v>-3.168147E-6</v>
      </c>
      <c r="I6540">
        <v>113.1127</v>
      </c>
      <c r="J6540">
        <v>-188.09700000000001</v>
      </c>
      <c r="K6540">
        <v>1.1100099999999999</v>
      </c>
      <c r="L6540">
        <v>96.804929999999999</v>
      </c>
      <c r="M6540">
        <v>-1.5282850000000001E-2</v>
      </c>
      <c r="N6540">
        <v>0</v>
      </c>
      <c r="O6540">
        <v>0.99979200000000001</v>
      </c>
      <c r="P6540">
        <v>0.17967939999999999</v>
      </c>
      <c r="Q6540">
        <v>0.16291849999999999</v>
      </c>
      <c r="R6540">
        <v>0.97014060000000002</v>
      </c>
      <c r="S6540">
        <v>0.99211119999999997</v>
      </c>
      <c r="T6540">
        <v>-0.1977236</v>
      </c>
      <c r="U6540">
        <v>2.9436040000000001</v>
      </c>
      <c r="V6540">
        <v>0.19456010000000001</v>
      </c>
      <c r="W6540">
        <v>0.1758866</v>
      </c>
      <c r="X6540">
        <v>0.96499239999999997</v>
      </c>
      <c r="Y6540">
        <v>0.33319100000000001</v>
      </c>
      <c r="Z6540">
        <v>-6.3349859999999994E-2</v>
      </c>
      <c r="AA6540">
        <v>0.94072869999999997</v>
      </c>
      <c r="AB6540">
        <v>22</v>
      </c>
      <c r="AC6540">
        <v>5.5728</v>
      </c>
      <c r="AD6540">
        <v>-1.110013168147</v>
      </c>
      <c r="AE6540">
        <v>16.307770000000001</v>
      </c>
      <c r="AF6540">
        <v>5.7973501374168004</v>
      </c>
      <c r="AG6540">
        <v>-1.110013168147</v>
      </c>
      <c r="AH6540">
        <v>16.1536740571329</v>
      </c>
      <c r="AI6540">
        <v>93.700551447302004</v>
      </c>
      <c r="AJ6540">
        <v>70.257576975415304</v>
      </c>
      <c r="AK6540">
        <v>17.198330831605599</v>
      </c>
      <c r="AL6540">
        <v>79.869743441884196</v>
      </c>
      <c r="AM6540">
        <v>78.6009413489721</v>
      </c>
      <c r="AN6540">
        <v>1.0000000303146599</v>
      </c>
    </row>
    <row r="6541" spans="1:40" x14ac:dyDescent="0.25">
      <c r="A6541" t="str">
        <f>"20190312172837274"</f>
        <v>20190312172837274</v>
      </c>
      <c r="B6541" t="str">
        <f>"1552382917265876"</f>
        <v>1552382917265876</v>
      </c>
      <c r="C6541" t="s">
        <v>40</v>
      </c>
      <c r="D6541">
        <v>3.3387869999999999</v>
      </c>
      <c r="E6541">
        <v>0.55801339999999999</v>
      </c>
      <c r="F6541" t="s">
        <v>41</v>
      </c>
      <c r="G6541">
        <v>-182.488</v>
      </c>
      <c r="H6541" s="1">
        <v>-3.220396E-6</v>
      </c>
      <c r="I6541">
        <v>113.2379</v>
      </c>
      <c r="J6541">
        <v>-188.1002</v>
      </c>
      <c r="K6541">
        <v>1.1100110000000001</v>
      </c>
      <c r="L6541">
        <v>97.036900000000003</v>
      </c>
      <c r="M6541">
        <v>-1.502001E-2</v>
      </c>
      <c r="N6541">
        <v>0</v>
      </c>
      <c r="O6541">
        <v>0.99979569999999995</v>
      </c>
      <c r="P6541">
        <v>0.18344250000000001</v>
      </c>
      <c r="Q6541">
        <v>0.1634977</v>
      </c>
      <c r="R6541">
        <v>0.9693387</v>
      </c>
      <c r="S6541">
        <v>1.0034479999999999</v>
      </c>
      <c r="T6541">
        <v>-0.19858100000000001</v>
      </c>
      <c r="U6541">
        <v>2.9398499999999999</v>
      </c>
      <c r="V6541">
        <v>0.19805900000000001</v>
      </c>
      <c r="W6541">
        <v>0.1764686</v>
      </c>
      <c r="X6541">
        <v>0.96417399999999998</v>
      </c>
      <c r="Y6541">
        <v>0.33655200000000002</v>
      </c>
      <c r="Z6541">
        <v>-6.3623029999999997E-2</v>
      </c>
      <c r="AA6541">
        <v>0.93951309999999999</v>
      </c>
      <c r="AB6541">
        <v>22</v>
      </c>
      <c r="AC6541">
        <v>5.6121999999999996</v>
      </c>
      <c r="AD6541">
        <v>-1.110014220396</v>
      </c>
      <c r="AE6541">
        <v>16.200999999999901</v>
      </c>
      <c r="AF6541">
        <v>5.8304905337669197</v>
      </c>
      <c r="AG6541">
        <v>-1.110014220396</v>
      </c>
      <c r="AH6541">
        <v>16.0476077232045</v>
      </c>
      <c r="AI6541">
        <v>93.719683666858899</v>
      </c>
      <c r="AJ6541">
        <v>70.032672027279304</v>
      </c>
      <c r="AK6541">
        <v>17.1100106683684</v>
      </c>
      <c r="AL6541">
        <v>79.835867299770001</v>
      </c>
      <c r="AM6541">
        <v>78.391874516280396</v>
      </c>
      <c r="AN6541">
        <v>1.0000000182714699</v>
      </c>
    </row>
    <row r="6542" spans="1:40" x14ac:dyDescent="0.25">
      <c r="A6542" t="str">
        <f>"20190312172837294"</f>
        <v>20190312172837294</v>
      </c>
      <c r="B6542" t="str">
        <f>"1552382917286061"</f>
        <v>1552382917286061</v>
      </c>
      <c r="C6542" t="s">
        <v>40</v>
      </c>
      <c r="D6542">
        <v>3.374765</v>
      </c>
      <c r="E6542">
        <v>0.55798199999999998</v>
      </c>
      <c r="F6542" t="s">
        <v>41</v>
      </c>
      <c r="G6542">
        <v>-182.38030000000001</v>
      </c>
      <c r="H6542" s="1">
        <v>-3.3660009999999999E-6</v>
      </c>
      <c r="I6542">
        <v>113.58159999999999</v>
      </c>
      <c r="J6542">
        <v>-188.10300000000001</v>
      </c>
      <c r="K6542">
        <v>1.110017</v>
      </c>
      <c r="L6542">
        <v>97.242130000000003</v>
      </c>
      <c r="M6542">
        <v>-1.478382E-2</v>
      </c>
      <c r="N6542">
        <v>0</v>
      </c>
      <c r="O6542">
        <v>0.99979910000000005</v>
      </c>
      <c r="P6542">
        <v>0.18607879999999999</v>
      </c>
      <c r="Q6542">
        <v>0.16462579999999999</v>
      </c>
      <c r="R6542">
        <v>0.96864490000000003</v>
      </c>
      <c r="S6542">
        <v>1.015045</v>
      </c>
      <c r="T6542">
        <v>-0.19698209999999999</v>
      </c>
      <c r="U6542">
        <v>2.9360050000000002</v>
      </c>
      <c r="V6542">
        <v>0.2004572</v>
      </c>
      <c r="W6542">
        <v>0.17759910000000001</v>
      </c>
      <c r="X6542">
        <v>0.96347050000000001</v>
      </c>
      <c r="Y6542">
        <v>0.34003280000000002</v>
      </c>
      <c r="Z6542">
        <v>-6.3111219999999996E-2</v>
      </c>
      <c r="AA6542">
        <v>0.9382935</v>
      </c>
      <c r="AB6542">
        <v>22</v>
      </c>
      <c r="AC6542">
        <v>5.7226999999999704</v>
      </c>
      <c r="AD6542">
        <v>-1.110020366001</v>
      </c>
      <c r="AE6542">
        <v>16.339469999999899</v>
      </c>
      <c r="AF6542">
        <v>5.9392408552233098</v>
      </c>
      <c r="AG6542">
        <v>-1.110020366001</v>
      </c>
      <c r="AH6542">
        <v>16.186531918907502</v>
      </c>
      <c r="AI6542">
        <v>93.683604242372894</v>
      </c>
      <c r="AJ6542">
        <v>69.850657776300594</v>
      </c>
      <c r="AK6542">
        <v>17.277457646051499</v>
      </c>
      <c r="AL6542">
        <v>79.770054364260403</v>
      </c>
      <c r="AM6542">
        <v>78.246862202432496</v>
      </c>
      <c r="AN6542">
        <v>0.99999996686144899</v>
      </c>
    </row>
    <row r="6543" spans="1:40" x14ac:dyDescent="0.25">
      <c r="A6543" t="str">
        <f>"20190312172837315"</f>
        <v>20190312172837315</v>
      </c>
      <c r="B6543" t="str">
        <f>"1552382917306557"</f>
        <v>1552382917306557</v>
      </c>
      <c r="C6543" t="s">
        <v>40</v>
      </c>
      <c r="D6543">
        <v>3.3649740000000001</v>
      </c>
      <c r="E6543">
        <v>0.55795709999999998</v>
      </c>
      <c r="F6543" t="s">
        <v>41</v>
      </c>
      <c r="G6543">
        <v>-182.23500000000001</v>
      </c>
      <c r="H6543" s="1">
        <v>-3.5689179999999999E-6</v>
      </c>
      <c r="I6543">
        <v>114.0643</v>
      </c>
      <c r="J6543">
        <v>-188.10570000000001</v>
      </c>
      <c r="K6543">
        <v>1.110028</v>
      </c>
      <c r="L6543">
        <v>97.44614</v>
      </c>
      <c r="M6543">
        <v>-1.4550199999999999E-2</v>
      </c>
      <c r="N6543">
        <v>0</v>
      </c>
      <c r="O6543">
        <v>0.99980230000000003</v>
      </c>
      <c r="P6543">
        <v>0.18820999999999999</v>
      </c>
      <c r="Q6543">
        <v>0.16572129999999999</v>
      </c>
      <c r="R6543">
        <v>0.96804619999999997</v>
      </c>
      <c r="S6543">
        <v>1.0232540000000001</v>
      </c>
      <c r="T6543">
        <v>-0.19356509999999999</v>
      </c>
      <c r="U6543">
        <v>2.9334410000000002</v>
      </c>
      <c r="V6543">
        <v>0.20235330000000001</v>
      </c>
      <c r="W6543">
        <v>0.17869849999999901</v>
      </c>
      <c r="X6543">
        <v>0.96287069999999997</v>
      </c>
      <c r="Y6543">
        <v>0.34243079999999998</v>
      </c>
      <c r="Z6543">
        <v>-6.2016880000000003E-2</v>
      </c>
      <c r="AA6543">
        <v>0.93749400000000005</v>
      </c>
      <c r="AB6543">
        <v>22</v>
      </c>
      <c r="AC6543">
        <v>5.8706999999999896</v>
      </c>
      <c r="AD6543">
        <v>-1.110031568918</v>
      </c>
      <c r="AE6543">
        <v>16.61816</v>
      </c>
      <c r="AF6543">
        <v>6.0877498844069304</v>
      </c>
      <c r="AG6543">
        <v>-1.110031568918</v>
      </c>
      <c r="AH6543">
        <v>16.4656584210218</v>
      </c>
      <c r="AI6543">
        <v>93.618086255003803</v>
      </c>
      <c r="AJ6543">
        <v>69.709434553472903</v>
      </c>
      <c r="AK6543">
        <v>17.590076065124201</v>
      </c>
      <c r="AL6543">
        <v>79.706039694815502</v>
      </c>
      <c r="AM6543">
        <v>78.131646557518806</v>
      </c>
      <c r="AN6543">
        <v>0.999999998420815</v>
      </c>
    </row>
    <row r="6544" spans="1:40" x14ac:dyDescent="0.25">
      <c r="A6544" t="str">
        <f>"20190312172837338"</f>
        <v>20190312172837338</v>
      </c>
      <c r="B6544" t="str">
        <f>"1552382917326081"</f>
        <v>1552382917326081</v>
      </c>
      <c r="C6544" t="s">
        <v>40</v>
      </c>
      <c r="D6544">
        <v>3.3666580000000002</v>
      </c>
      <c r="E6544">
        <v>0.55792120000000001</v>
      </c>
      <c r="F6544" t="s">
        <v>41</v>
      </c>
      <c r="G6544">
        <v>-182.08969999999999</v>
      </c>
      <c r="H6544" s="1">
        <v>-3.7770570000000001E-6</v>
      </c>
      <c r="I6544">
        <v>114.5622</v>
      </c>
      <c r="J6544">
        <v>-188.1087</v>
      </c>
      <c r="K6544">
        <v>1.110036</v>
      </c>
      <c r="L6544">
        <v>97.66919</v>
      </c>
      <c r="M6544">
        <v>-1.4299950000000001E-2</v>
      </c>
      <c r="N6544">
        <v>0</v>
      </c>
      <c r="O6544">
        <v>0.99980579999999997</v>
      </c>
      <c r="P6544">
        <v>0.18985270000000001</v>
      </c>
      <c r="Q6544">
        <v>0.1663142</v>
      </c>
      <c r="R6544">
        <v>0.96762369999999998</v>
      </c>
      <c r="S6544">
        <v>1.030289</v>
      </c>
      <c r="T6544">
        <v>-0.19010009999999999</v>
      </c>
      <c r="U6544">
        <v>2.931244</v>
      </c>
      <c r="V6544">
        <v>0.2037466</v>
      </c>
      <c r="W6544">
        <v>0.1792976</v>
      </c>
      <c r="X6544">
        <v>0.96246540000000003</v>
      </c>
      <c r="Y6544">
        <v>0.34444010000000003</v>
      </c>
      <c r="Z6544">
        <v>-6.0907950000000002E-2</v>
      </c>
      <c r="AA6544">
        <v>0.93683050000000001</v>
      </c>
      <c r="AB6544">
        <v>22</v>
      </c>
      <c r="AC6544">
        <v>6.0190000000000001</v>
      </c>
      <c r="AD6544">
        <v>-1.1100397770569901</v>
      </c>
      <c r="AE6544">
        <v>16.89301</v>
      </c>
      <c r="AF6544">
        <v>6.2360828938935304</v>
      </c>
      <c r="AG6544">
        <v>-1.1100397770569901</v>
      </c>
      <c r="AH6544">
        <v>16.741061269217699</v>
      </c>
      <c r="AI6544">
        <v>93.555531284027197</v>
      </c>
      <c r="AJ6544">
        <v>69.569524752869896</v>
      </c>
      <c r="AK6544">
        <v>17.899275141353101</v>
      </c>
      <c r="AL6544">
        <v>79.671150078031403</v>
      </c>
      <c r="AM6544">
        <v>78.047381423626007</v>
      </c>
      <c r="AN6544">
        <v>0.99999997628723902</v>
      </c>
    </row>
    <row r="6545" spans="1:40" x14ac:dyDescent="0.25">
      <c r="A6545" t="str">
        <f>"20190312172837360"</f>
        <v>20190312172837360</v>
      </c>
      <c r="B6545" t="str">
        <f>"1552382917356334"</f>
        <v>1552382917356334</v>
      </c>
      <c r="C6545" t="s">
        <v>40</v>
      </c>
      <c r="D6545">
        <v>3.364004</v>
      </c>
      <c r="E6545">
        <v>0.55789979999999995</v>
      </c>
      <c r="F6545" t="s">
        <v>41</v>
      </c>
      <c r="G6545">
        <v>-182.0104</v>
      </c>
      <c r="H6545" s="1">
        <v>-3.9204819999999999E-6</v>
      </c>
      <c r="I6545">
        <v>114.9217</v>
      </c>
      <c r="J6545">
        <v>-188.11150000000001</v>
      </c>
      <c r="K6545">
        <v>1.1100460000000001</v>
      </c>
      <c r="L6545">
        <v>97.886570000000006</v>
      </c>
      <c r="M6545">
        <v>-1.4062359999999999E-2</v>
      </c>
      <c r="N6545">
        <v>0</v>
      </c>
      <c r="O6545">
        <v>0.99980899999999995</v>
      </c>
      <c r="P6545">
        <v>0.19071099999999999</v>
      </c>
      <c r="Q6545">
        <v>0.16668569999999999</v>
      </c>
      <c r="R6545">
        <v>0.967391</v>
      </c>
      <c r="S6545">
        <v>1.0355379999999901</v>
      </c>
      <c r="T6545">
        <v>-0.1884923</v>
      </c>
      <c r="U6545">
        <v>2.9295960000000001</v>
      </c>
      <c r="V6545">
        <v>0.20437050000000001</v>
      </c>
      <c r="W6545">
        <v>0.17967710000000001</v>
      </c>
      <c r="X6545">
        <v>0.96226239999999996</v>
      </c>
      <c r="Y6545">
        <v>0.34588479999999999</v>
      </c>
      <c r="Z6545">
        <v>-6.039311E-2</v>
      </c>
      <c r="AA6545">
        <v>0.93633129999999998</v>
      </c>
      <c r="AB6545">
        <v>22</v>
      </c>
      <c r="AC6545">
        <v>6.1010999999999997</v>
      </c>
      <c r="AD6545">
        <v>-1.11004992048199</v>
      </c>
      <c r="AE6545">
        <v>17.035129999999999</v>
      </c>
      <c r="AF6545">
        <v>6.3163020039751796</v>
      </c>
      <c r="AG6545">
        <v>-1.11004992048199</v>
      </c>
      <c r="AH6545">
        <v>16.884099772153601</v>
      </c>
      <c r="AI6545">
        <v>93.523680270844494</v>
      </c>
      <c r="AJ6545">
        <v>69.489295119839596</v>
      </c>
      <c r="AK6545">
        <v>18.0610272949082</v>
      </c>
      <c r="AL6545">
        <v>79.649048096107606</v>
      </c>
      <c r="AM6545">
        <v>78.009382374819197</v>
      </c>
      <c r="AN6545">
        <v>1.0000000439942001</v>
      </c>
    </row>
    <row r="6546" spans="1:40" x14ac:dyDescent="0.25">
      <c r="A6546" t="str">
        <f>"20190312172837382"</f>
        <v>20190312172837382</v>
      </c>
      <c r="B6546" t="str">
        <f>"1552382917375821"</f>
        <v>1552382917375821</v>
      </c>
      <c r="C6546" t="s">
        <v>40</v>
      </c>
      <c r="D6546">
        <v>3.4065970000000001</v>
      </c>
      <c r="E6546">
        <v>0.55790819999999997</v>
      </c>
      <c r="F6546" t="s">
        <v>41</v>
      </c>
      <c r="G6546">
        <v>-181.97380000000001</v>
      </c>
      <c r="H6546" s="1">
        <v>-4.0226360000000004E-6</v>
      </c>
      <c r="I6546">
        <v>115.19329999999999</v>
      </c>
      <c r="J6546">
        <v>-188.11420000000001</v>
      </c>
      <c r="K6546">
        <v>1.1100540000000001</v>
      </c>
      <c r="L6546">
        <v>98.099670000000003</v>
      </c>
      <c r="M6546">
        <v>-1.3834630000000001E-2</v>
      </c>
      <c r="N6546">
        <v>0</v>
      </c>
      <c r="O6546">
        <v>0.99981209999999998</v>
      </c>
      <c r="P6546">
        <v>0.19115209999999999</v>
      </c>
      <c r="Q6546">
        <v>0.16625770000000001</v>
      </c>
      <c r="R6546">
        <v>0.9673775</v>
      </c>
      <c r="S6546">
        <v>1.0386660000000001</v>
      </c>
      <c r="T6546">
        <v>-0.18784899999999999</v>
      </c>
      <c r="U6546">
        <v>2.928741</v>
      </c>
      <c r="V6546">
        <v>0.20458950000000001</v>
      </c>
      <c r="W6546">
        <v>0.17925859999999999</v>
      </c>
      <c r="X6546">
        <v>0.96229390000000004</v>
      </c>
      <c r="Y6546">
        <v>0.34664970000000001</v>
      </c>
      <c r="Z6546">
        <v>-6.0185450000000001E-2</v>
      </c>
      <c r="AA6546">
        <v>0.93606180000000005</v>
      </c>
      <c r="AB6546">
        <v>22</v>
      </c>
      <c r="AC6546">
        <v>6.1403999999999996</v>
      </c>
      <c r="AD6546">
        <v>-1.110058022636</v>
      </c>
      <c r="AE6546">
        <v>17.093630000000001</v>
      </c>
      <c r="AF6546">
        <v>6.3525899177681797</v>
      </c>
      <c r="AG6546">
        <v>-1.110058022636</v>
      </c>
      <c r="AH6546">
        <v>16.943747573884199</v>
      </c>
      <c r="AI6546">
        <v>93.510383744482098</v>
      </c>
      <c r="AJ6546">
        <v>69.4478546187474</v>
      </c>
      <c r="AK6546">
        <v>18.129484530026101</v>
      </c>
      <c r="AL6546">
        <v>79.673421969037193</v>
      </c>
      <c r="AM6546">
        <v>77.997287410458995</v>
      </c>
      <c r="AN6546">
        <v>1.0000000295806999</v>
      </c>
    </row>
    <row r="6547" spans="1:40" x14ac:dyDescent="0.25">
      <c r="A6547" t="str">
        <f>"20190312172837405"</f>
        <v>20190312172837405</v>
      </c>
      <c r="B6547" t="str">
        <f>"1552382917396316"</f>
        <v>1552382917396316</v>
      </c>
      <c r="C6547" t="s">
        <v>40</v>
      </c>
      <c r="D6547">
        <v>3.377373</v>
      </c>
      <c r="E6547">
        <v>0.55793029999999999</v>
      </c>
      <c r="F6547" t="s">
        <v>41</v>
      </c>
      <c r="G6547">
        <v>-182.01560000000001</v>
      </c>
      <c r="H6547" s="1">
        <v>-4.034744E-6</v>
      </c>
      <c r="I6547">
        <v>115.2616</v>
      </c>
      <c r="J6547">
        <v>-188.11709999999999</v>
      </c>
      <c r="K6547">
        <v>1.1100570000000001</v>
      </c>
      <c r="L6547">
        <v>98.32208</v>
      </c>
      <c r="M6547">
        <v>-1.360105E-2</v>
      </c>
      <c r="N6547">
        <v>0</v>
      </c>
      <c r="O6547">
        <v>0.99981520000000002</v>
      </c>
      <c r="P6547">
        <v>0.1907759</v>
      </c>
      <c r="Q6547">
        <v>0.166383</v>
      </c>
      <c r="R6547">
        <v>0.96743020000000002</v>
      </c>
      <c r="S6547">
        <v>1.040527</v>
      </c>
      <c r="T6547">
        <v>-0.18939410000000001</v>
      </c>
      <c r="U6547">
        <v>2.9281009999999998</v>
      </c>
      <c r="V6547">
        <v>0.2039869</v>
      </c>
      <c r="W6547">
        <v>0.17939330000000001</v>
      </c>
      <c r="X6547">
        <v>0.96239669999999999</v>
      </c>
      <c r="Y6547">
        <v>0.34701359999999998</v>
      </c>
      <c r="Z6547">
        <v>-6.0680860000000003E-2</v>
      </c>
      <c r="AA6547">
        <v>0.93589500000000003</v>
      </c>
      <c r="AB6547">
        <v>22</v>
      </c>
      <c r="AC6547">
        <v>6.1014999999999802</v>
      </c>
      <c r="AD6547">
        <v>-1.1100610347440001</v>
      </c>
      <c r="AE6547">
        <v>16.939520000000002</v>
      </c>
      <c r="AF6547">
        <v>6.3073768467509996</v>
      </c>
      <c r="AG6547">
        <v>-1.1100610347440001</v>
      </c>
      <c r="AH6547">
        <v>16.791132993162801</v>
      </c>
      <c r="AI6547">
        <v>93.541387425972999</v>
      </c>
      <c r="AJ6547">
        <v>69.411945743281393</v>
      </c>
      <c r="AK6547">
        <v>17.971015146114301</v>
      </c>
      <c r="AL6547">
        <v>79.665576853023495</v>
      </c>
      <c r="AM6547">
        <v>78.032860992310404</v>
      </c>
      <c r="AN6547">
        <v>1.0000000098136901</v>
      </c>
    </row>
    <row r="6548" spans="1:40" x14ac:dyDescent="0.25">
      <c r="A6548" t="str">
        <f>"20190312172837426"</f>
        <v>20190312172837426</v>
      </c>
      <c r="B6548" t="str">
        <f>"1552382917415839"</f>
        <v>1552382917415839</v>
      </c>
      <c r="C6548" t="s">
        <v>40</v>
      </c>
      <c r="D6548">
        <v>3.3976959999999998</v>
      </c>
      <c r="E6548">
        <v>0.55793729999999997</v>
      </c>
      <c r="F6548" t="s">
        <v>41</v>
      </c>
      <c r="G6548">
        <v>-182.04599999999999</v>
      </c>
      <c r="H6548" s="1">
        <v>-4.0871149999999996E-6</v>
      </c>
      <c r="I6548">
        <v>115.4392</v>
      </c>
      <c r="J6548">
        <v>-188.11969999999999</v>
      </c>
      <c r="K6548">
        <v>1.1100620000000001</v>
      </c>
      <c r="L6548">
        <v>98.538020000000003</v>
      </c>
      <c r="M6548">
        <v>-1.3376620000000001E-2</v>
      </c>
      <c r="N6548">
        <v>0</v>
      </c>
      <c r="O6548">
        <v>0.99981819999999999</v>
      </c>
      <c r="P6548">
        <v>0.19044749999999999</v>
      </c>
      <c r="Q6548">
        <v>0.16557549999999999</v>
      </c>
      <c r="R6548">
        <v>0.96763339999999998</v>
      </c>
      <c r="S6548">
        <v>1.0387879999999901</v>
      </c>
      <c r="T6548">
        <v>-0.1899371</v>
      </c>
      <c r="U6548">
        <v>2.928833</v>
      </c>
      <c r="V6548">
        <v>0.20344290000000001</v>
      </c>
      <c r="W6548">
        <v>0.17859620000000001</v>
      </c>
      <c r="X6548">
        <v>0.96266010000000002</v>
      </c>
      <c r="Y6548">
        <v>0.34623209999999999</v>
      </c>
      <c r="Z6548">
        <v>-6.0855069999999997E-2</v>
      </c>
      <c r="AA6548">
        <v>0.93617309999999998</v>
      </c>
      <c r="AB6548">
        <v>22</v>
      </c>
      <c r="AC6548">
        <v>6.0736999999999997</v>
      </c>
      <c r="AD6548">
        <v>-1.1100660871150001</v>
      </c>
      <c r="AE6548">
        <v>16.90118</v>
      </c>
      <c r="AF6548">
        <v>6.2752836115402602</v>
      </c>
      <c r="AG6548">
        <v>-1.1100660871150001</v>
      </c>
      <c r="AH6548">
        <v>16.754405117765099</v>
      </c>
      <c r="AI6548">
        <v>93.550418375618506</v>
      </c>
      <c r="AJ6548">
        <v>69.466798885246604</v>
      </c>
      <c r="AK6548">
        <v>17.925443424730702</v>
      </c>
      <c r="AL6548">
        <v>79.711997340417398</v>
      </c>
      <c r="AM6548">
        <v>78.067031140995894</v>
      </c>
      <c r="AN6548">
        <v>1.0000000421734201</v>
      </c>
    </row>
    <row r="6549" spans="1:40" x14ac:dyDescent="0.25">
      <c r="A6549" t="str">
        <f>"20190312172837450"</f>
        <v>20190312172837450</v>
      </c>
      <c r="B6549" t="str">
        <f>"1552382917446093"</f>
        <v>1552382917446093</v>
      </c>
      <c r="C6549" t="s">
        <v>40</v>
      </c>
      <c r="D6549">
        <v>3.3916870000000001</v>
      </c>
      <c r="E6549">
        <v>0.56042119999999995</v>
      </c>
      <c r="F6549" t="s">
        <v>41</v>
      </c>
      <c r="G6549">
        <v>-182.173</v>
      </c>
      <c r="H6549" s="1">
        <v>-4.0207009999999997E-6</v>
      </c>
      <c r="I6549">
        <v>115.3433</v>
      </c>
      <c r="J6549">
        <v>-188.1225</v>
      </c>
      <c r="K6549">
        <v>1.110061</v>
      </c>
      <c r="L6549">
        <v>98.767790000000005</v>
      </c>
      <c r="M6549">
        <v>-1.313868E-2</v>
      </c>
      <c r="N6549">
        <v>0</v>
      </c>
      <c r="O6549">
        <v>0.99982130000000002</v>
      </c>
      <c r="P6549">
        <v>0.19043389999999999</v>
      </c>
      <c r="Q6549">
        <v>0.16450899999999999</v>
      </c>
      <c r="R6549">
        <v>0.96781799999999996</v>
      </c>
      <c r="S6549">
        <v>1.036621</v>
      </c>
      <c r="T6549">
        <v>-0.19350290000000001</v>
      </c>
      <c r="U6549">
        <v>2.929443</v>
      </c>
      <c r="V6549">
        <v>0.20320050000000001</v>
      </c>
      <c r="W6549">
        <v>0.1775381</v>
      </c>
      <c r="X6549">
        <v>0.96290699999999996</v>
      </c>
      <c r="Y6549">
        <v>0.34530850000000002</v>
      </c>
      <c r="Z6549">
        <v>-6.1999350000000002E-2</v>
      </c>
      <c r="AA6549">
        <v>0.93643909999999997</v>
      </c>
      <c r="AB6549">
        <v>22</v>
      </c>
      <c r="AC6549">
        <v>5.9494999999999996</v>
      </c>
      <c r="AD6549">
        <v>-1.1100650207010001</v>
      </c>
      <c r="AE6549">
        <v>16.575509999999898</v>
      </c>
      <c r="AF6549">
        <v>6.1423822932887102</v>
      </c>
      <c r="AG6549">
        <v>-1.1100650207010001</v>
      </c>
      <c r="AH6549">
        <v>16.430622120587199</v>
      </c>
      <c r="AI6549">
        <v>93.621034366589598</v>
      </c>
      <c r="AJ6549">
        <v>69.502372924516393</v>
      </c>
      <c r="AK6549">
        <v>17.576303589111699</v>
      </c>
      <c r="AL6549">
        <v>79.773606760735404</v>
      </c>
      <c r="AM6549">
        <v>78.083811073019504</v>
      </c>
      <c r="AN6549">
        <v>1.00000005540042</v>
      </c>
    </row>
    <row r="6550" spans="1:40" x14ac:dyDescent="0.25">
      <c r="A6550" t="str">
        <f>"20190312172837472"</f>
        <v>20190312172837472</v>
      </c>
      <c r="B6550" t="str">
        <f>"1552382917466589"</f>
        <v>1552382917466589</v>
      </c>
      <c r="C6550" t="s">
        <v>40</v>
      </c>
      <c r="D6550">
        <v>3.391931</v>
      </c>
      <c r="E6550">
        <v>0.56050239999999996</v>
      </c>
      <c r="F6550" t="s">
        <v>41</v>
      </c>
      <c r="G6550">
        <v>-182.84209999999999</v>
      </c>
      <c r="H6550" s="1">
        <v>-3.1890030000000002E-6</v>
      </c>
      <c r="I6550">
        <v>113.4225</v>
      </c>
      <c r="J6550">
        <v>-188.1251</v>
      </c>
      <c r="K6550">
        <v>1.1100730000000001</v>
      </c>
      <c r="L6550">
        <v>98.984380000000002</v>
      </c>
      <c r="M6550">
        <v>-1.2914699999999999E-2</v>
      </c>
      <c r="N6550">
        <v>0</v>
      </c>
      <c r="O6550">
        <v>0.99982420000000005</v>
      </c>
      <c r="P6550">
        <v>0.19095309999999999</v>
      </c>
      <c r="Q6550">
        <v>0.1643946</v>
      </c>
      <c r="R6550">
        <v>0.96773520000000002</v>
      </c>
      <c r="S6550">
        <v>1.0556639999999999</v>
      </c>
      <c r="T6550">
        <v>-0.22192439999999999</v>
      </c>
      <c r="U6550">
        <v>2.9297789999999999</v>
      </c>
      <c r="V6550">
        <v>0.2035016</v>
      </c>
      <c r="W6550">
        <v>0.17742639999999901</v>
      </c>
      <c r="X6550">
        <v>0.96286389999999999</v>
      </c>
      <c r="Y6550">
        <v>0.35025620000000002</v>
      </c>
      <c r="Z6550">
        <v>-7.0910420000000002E-2</v>
      </c>
      <c r="AA6550">
        <v>0.93396590000000002</v>
      </c>
      <c r="AB6550">
        <v>22</v>
      </c>
      <c r="AC6550">
        <v>5.2830000000000101</v>
      </c>
      <c r="AD6550">
        <v>-1.11007618900299</v>
      </c>
      <c r="AE6550">
        <v>14.4381199999999</v>
      </c>
      <c r="AF6550">
        <v>5.4406765598015596</v>
      </c>
      <c r="AG6550">
        <v>-1.11007618900299</v>
      </c>
      <c r="AH6550">
        <v>14.2941609741354</v>
      </c>
      <c r="AI6550">
        <v>94.151233570154503</v>
      </c>
      <c r="AJ6550">
        <v>69.162058753208598</v>
      </c>
      <c r="AK6550">
        <v>15.334805787105999</v>
      </c>
      <c r="AL6550">
        <v>79.780108950479999</v>
      </c>
      <c r="AM6550">
        <v>78.066140828346605</v>
      </c>
      <c r="AN6550">
        <v>0.99999995927136398</v>
      </c>
    </row>
    <row r="6551" spans="1:40" x14ac:dyDescent="0.25">
      <c r="A6551" t="str">
        <f>"20190312172837494"</f>
        <v>20190312172837494</v>
      </c>
      <c r="B6551" t="str">
        <f>"1552382917486615"</f>
        <v>1552382917486615</v>
      </c>
      <c r="C6551" t="s">
        <v>40</v>
      </c>
      <c r="D6551">
        <v>3.379235</v>
      </c>
      <c r="E6551">
        <v>0.56094840000000001</v>
      </c>
      <c r="F6551" t="s">
        <v>41</v>
      </c>
      <c r="G6551">
        <v>-182.84100000000001</v>
      </c>
      <c r="H6551" s="1">
        <v>-3.2563320000000001E-6</v>
      </c>
      <c r="I6551">
        <v>113.61960000000001</v>
      </c>
      <c r="J6551">
        <v>-188.12739999999999</v>
      </c>
      <c r="K6551">
        <v>1.1100779999999999</v>
      </c>
      <c r="L6551">
        <v>99.187380000000005</v>
      </c>
      <c r="M6551">
        <v>-1.270398E-2</v>
      </c>
      <c r="N6551">
        <v>0</v>
      </c>
      <c r="O6551">
        <v>0.99982680000000002</v>
      </c>
      <c r="P6551">
        <v>0.19211030000000001</v>
      </c>
      <c r="Q6551">
        <v>0.16408249999999999</v>
      </c>
      <c r="R6551">
        <v>0.96755910000000001</v>
      </c>
      <c r="S6551">
        <v>1.0575410000000001</v>
      </c>
      <c r="T6551">
        <v>-0.22217010000000001</v>
      </c>
      <c r="U6551">
        <v>2.9290769999999999</v>
      </c>
      <c r="V6551">
        <v>0.20445250000000001</v>
      </c>
      <c r="W6551">
        <v>0.17711440000000001</v>
      </c>
      <c r="X6551">
        <v>0.96271989999999996</v>
      </c>
      <c r="Y6551">
        <v>0.35065780000000002</v>
      </c>
      <c r="Z6551">
        <v>-7.0991769999999996E-2</v>
      </c>
      <c r="AA6551">
        <v>0.933809</v>
      </c>
      <c r="AB6551">
        <v>22</v>
      </c>
      <c r="AC6551">
        <v>5.2864000000000102</v>
      </c>
      <c r="AD6551">
        <v>-1.1100812563319999</v>
      </c>
      <c r="AE6551">
        <v>14.432219999999999</v>
      </c>
      <c r="AF6551">
        <v>5.4409550761766701</v>
      </c>
      <c r="AG6551">
        <v>-1.1100812563319999</v>
      </c>
      <c r="AH6551">
        <v>14.289352569568701</v>
      </c>
      <c r="AI6551">
        <v>94.152441428894406</v>
      </c>
      <c r="AJ6551">
        <v>69.154673819080898</v>
      </c>
      <c r="AK6551">
        <v>15.330423001146199</v>
      </c>
      <c r="AL6551">
        <v>79.798273029316505</v>
      </c>
      <c r="AM6551">
        <v>78.010246036238698</v>
      </c>
      <c r="AN6551">
        <v>0.99999997064980894</v>
      </c>
    </row>
    <row r="6552" spans="1:40" x14ac:dyDescent="0.25">
      <c r="A6552" t="str">
        <f>"20190312172837516"</f>
        <v>20190312172837516</v>
      </c>
      <c r="B6552" t="str">
        <f>"1552382917506134"</f>
        <v>1552382917506134</v>
      </c>
      <c r="C6552" t="s">
        <v>40</v>
      </c>
      <c r="D6552">
        <v>3.3674200000000001</v>
      </c>
      <c r="E6552">
        <v>0.56110360000000004</v>
      </c>
      <c r="F6552" t="s">
        <v>41</v>
      </c>
      <c r="G6552">
        <v>-182.79159999999999</v>
      </c>
      <c r="H6552" s="1">
        <v>-3.351578E-6</v>
      </c>
      <c r="I6552">
        <v>113.8608</v>
      </c>
      <c r="J6552">
        <v>-188.13</v>
      </c>
      <c r="K6552">
        <v>1.1100730000000001</v>
      </c>
      <c r="L6552">
        <v>99.407749999999993</v>
      </c>
      <c r="M6552">
        <v>-1.247441E-2</v>
      </c>
      <c r="N6552">
        <v>0</v>
      </c>
      <c r="O6552">
        <v>0.99982969999999904</v>
      </c>
      <c r="P6552">
        <v>0.1941814</v>
      </c>
      <c r="Q6552">
        <v>0.16426550000000001</v>
      </c>
      <c r="R6552">
        <v>0.96711449999999999</v>
      </c>
      <c r="S6552">
        <v>1.064316</v>
      </c>
      <c r="T6552">
        <v>-0.2214217</v>
      </c>
      <c r="U6552">
        <v>2.9268190000000001</v>
      </c>
      <c r="V6552">
        <v>0.20629600000000001</v>
      </c>
      <c r="W6552">
        <v>0.1772927</v>
      </c>
      <c r="X6552">
        <v>0.96229370000000003</v>
      </c>
      <c r="Y6552">
        <v>0.35258850000000003</v>
      </c>
      <c r="Z6552">
        <v>-7.075186E-2</v>
      </c>
      <c r="AA6552">
        <v>0.93309989999999998</v>
      </c>
      <c r="AB6552">
        <v>22</v>
      </c>
      <c r="AC6552">
        <v>5.3384</v>
      </c>
      <c r="AD6552">
        <v>-1.1100763515780001</v>
      </c>
      <c r="AE6552">
        <v>14.453049999999999</v>
      </c>
      <c r="AF6552">
        <v>5.4897973681382304</v>
      </c>
      <c r="AG6552">
        <v>-1.1100763515780001</v>
      </c>
      <c r="AH6552">
        <v>14.3110381385646</v>
      </c>
      <c r="AI6552">
        <v>94.142247337581296</v>
      </c>
      <c r="AJ6552">
        <v>69.012896237402501</v>
      </c>
      <c r="AK6552">
        <v>15.3680173494502</v>
      </c>
      <c r="AL6552">
        <v>79.787892736777707</v>
      </c>
      <c r="AM6552">
        <v>77.900107812578398</v>
      </c>
      <c r="AN6552">
        <v>0.99999995307448897</v>
      </c>
    </row>
    <row r="6553" spans="1:40" x14ac:dyDescent="0.25">
      <c r="A6553" t="str">
        <f>"20190312172837538"</f>
        <v>20190312172837538</v>
      </c>
      <c r="B6553" t="str">
        <f>"1552382917526631"</f>
        <v>1552382917526631</v>
      </c>
      <c r="C6553" t="s">
        <v>40</v>
      </c>
      <c r="D6553">
        <v>3.4020359999999998</v>
      </c>
      <c r="E6553">
        <v>0.56519909999999995</v>
      </c>
      <c r="F6553" t="s">
        <v>41</v>
      </c>
      <c r="G6553">
        <v>-182.78319999999999</v>
      </c>
      <c r="H6553" s="1">
        <v>-3.404814E-6</v>
      </c>
      <c r="I6553">
        <v>114.0106</v>
      </c>
      <c r="J6553">
        <v>-188.13229999999999</v>
      </c>
      <c r="K6553">
        <v>1.110074</v>
      </c>
      <c r="L6553">
        <v>99.615480000000005</v>
      </c>
      <c r="M6553">
        <v>-1.225743E-2</v>
      </c>
      <c r="N6553">
        <v>0</v>
      </c>
      <c r="O6553">
        <v>0.99983239999999995</v>
      </c>
      <c r="P6553">
        <v>0.19609509999999999</v>
      </c>
      <c r="Q6553">
        <v>0.164090299999999</v>
      </c>
      <c r="R6553">
        <v>0.96675800000000001</v>
      </c>
      <c r="S6553">
        <v>1.070892</v>
      </c>
      <c r="T6553">
        <v>-0.22233439999999999</v>
      </c>
      <c r="U6553">
        <v>2.9247740000000002</v>
      </c>
      <c r="V6553">
        <v>0.20799580000000001</v>
      </c>
      <c r="W6553">
        <v>0.17711350000000001</v>
      </c>
      <c r="X6553">
        <v>0.96196079999999995</v>
      </c>
      <c r="Y6553">
        <v>0.3544388</v>
      </c>
      <c r="Z6553">
        <v>-7.1036550000000004E-2</v>
      </c>
      <c r="AA6553">
        <v>0.93237700000000001</v>
      </c>
      <c r="AB6553">
        <v>22</v>
      </c>
      <c r="AC6553">
        <v>5.3490999999999902</v>
      </c>
      <c r="AD6553">
        <v>-1.1100774048140001</v>
      </c>
      <c r="AE6553">
        <v>14.395119999999901</v>
      </c>
      <c r="AF6553">
        <v>5.4964415454393603</v>
      </c>
      <c r="AG6553">
        <v>-1.1100774048140001</v>
      </c>
      <c r="AH6553">
        <v>14.2539861154406</v>
      </c>
      <c r="AI6553">
        <v>94.155994517214694</v>
      </c>
      <c r="AJ6553">
        <v>68.912995096320302</v>
      </c>
      <c r="AK6553">
        <v>15.3172863682274</v>
      </c>
      <c r="AL6553">
        <v>79.798325857621094</v>
      </c>
      <c r="AM6553">
        <v>77.799287981155203</v>
      </c>
      <c r="AN6553">
        <v>1.00000001271826</v>
      </c>
    </row>
    <row r="6554" spans="1:40" x14ac:dyDescent="0.25">
      <c r="A6554" t="str">
        <f>"20190312172837560"</f>
        <v>20190312172837560</v>
      </c>
      <c r="B6554" t="str">
        <f>"1552382917555911"</f>
        <v>1552382917555911</v>
      </c>
      <c r="C6554" t="s">
        <v>40</v>
      </c>
      <c r="D6554">
        <v>3.3796210000000002</v>
      </c>
      <c r="E6554">
        <v>0.56545789999999996</v>
      </c>
      <c r="F6554" t="s">
        <v>41</v>
      </c>
      <c r="G6554">
        <v>-182.60169999999999</v>
      </c>
      <c r="H6554" s="1">
        <v>-3.5034670000000001E-6</v>
      </c>
      <c r="I6554">
        <v>114.1587</v>
      </c>
      <c r="J6554">
        <v>-188.13460000000001</v>
      </c>
      <c r="K6554">
        <v>1.1100620000000001</v>
      </c>
      <c r="L6554">
        <v>99.828339999999997</v>
      </c>
      <c r="M6554">
        <v>-1.203429E-2</v>
      </c>
      <c r="N6554">
        <v>0</v>
      </c>
      <c r="O6554">
        <v>0.99983509999999998</v>
      </c>
      <c r="P6554">
        <v>0.19795090000000001</v>
      </c>
      <c r="Q6554">
        <v>0.1641562</v>
      </c>
      <c r="R6554">
        <v>0.96636860000000002</v>
      </c>
      <c r="S6554">
        <v>1.1089169999999999</v>
      </c>
      <c r="T6554">
        <v>-0.2225789</v>
      </c>
      <c r="U6554">
        <v>2.9160159999999999</v>
      </c>
      <c r="V6554">
        <v>0.2096315</v>
      </c>
      <c r="W6554">
        <v>0.177174</v>
      </c>
      <c r="X6554">
        <v>0.96159450000000002</v>
      </c>
      <c r="Y6554">
        <v>0.3657762</v>
      </c>
      <c r="Z6554">
        <v>-7.0996580000000004E-2</v>
      </c>
      <c r="AA6554">
        <v>0.92799100000000001</v>
      </c>
      <c r="AB6554">
        <v>22</v>
      </c>
      <c r="AC6554">
        <v>5.5329000000000104</v>
      </c>
      <c r="AD6554">
        <v>-1.1100655034669999</v>
      </c>
      <c r="AE6554">
        <v>14.330360000000001</v>
      </c>
      <c r="AF6554">
        <v>5.67533435845115</v>
      </c>
      <c r="AG6554">
        <v>-1.1100655034669999</v>
      </c>
      <c r="AH6554">
        <v>14.188638412918401</v>
      </c>
      <c r="AI6554">
        <v>94.154709514766196</v>
      </c>
      <c r="AJ6554">
        <v>68.1990117585664</v>
      </c>
      <c r="AK6554">
        <v>15.3218512430693</v>
      </c>
      <c r="AL6554">
        <v>79.794803498307303</v>
      </c>
      <c r="AM6554">
        <v>77.701706825521597</v>
      </c>
      <c r="AN6554">
        <v>0.99999998724924899</v>
      </c>
    </row>
    <row r="6555" spans="1:40" x14ac:dyDescent="0.25">
      <c r="A6555" t="str">
        <f>"20190312172837582"</f>
        <v>20190312172837582</v>
      </c>
      <c r="B6555" t="str">
        <f>"1552382917576408"</f>
        <v>1552382917576408</v>
      </c>
      <c r="C6555" t="s">
        <v>40</v>
      </c>
      <c r="D6555">
        <v>3.3542079999999999</v>
      </c>
      <c r="E6555">
        <v>0.56611679999999998</v>
      </c>
      <c r="F6555" t="s">
        <v>41</v>
      </c>
      <c r="G6555">
        <v>-182.5068</v>
      </c>
      <c r="H6555" s="1">
        <v>-3.6416360000000001E-6</v>
      </c>
      <c r="I6555">
        <v>114.4905</v>
      </c>
      <c r="J6555">
        <v>-188.1369</v>
      </c>
      <c r="K6555">
        <v>1.1100490000000001</v>
      </c>
      <c r="L6555">
        <v>100.0421</v>
      </c>
      <c r="M6555">
        <v>-1.180965E-2</v>
      </c>
      <c r="N6555">
        <v>0</v>
      </c>
      <c r="O6555">
        <v>0.9998378</v>
      </c>
      <c r="P6555">
        <v>0.19997670000000001</v>
      </c>
      <c r="Q6555">
        <v>0.1637615</v>
      </c>
      <c r="R6555">
        <v>0.96601840000000005</v>
      </c>
      <c r="S6555">
        <v>1.118042</v>
      </c>
      <c r="T6555">
        <v>-0.22053039999999999</v>
      </c>
      <c r="U6555">
        <v>2.9128419999999999</v>
      </c>
      <c r="V6555">
        <v>0.21143629999999999</v>
      </c>
      <c r="W6555">
        <v>0.17677409999999999</v>
      </c>
      <c r="X6555">
        <v>0.96127289999999999</v>
      </c>
      <c r="Y6555">
        <v>0.36845460000000002</v>
      </c>
      <c r="Z6555">
        <v>-7.0341819999999999E-2</v>
      </c>
      <c r="AA6555">
        <v>0.92698069999999999</v>
      </c>
      <c r="AB6555">
        <v>22</v>
      </c>
      <c r="AC6555">
        <v>5.6300999999999899</v>
      </c>
      <c r="AD6555">
        <v>-1.1100526416359999</v>
      </c>
      <c r="AE6555">
        <v>14.4483999999999</v>
      </c>
      <c r="AF6555">
        <v>5.7707810490623999</v>
      </c>
      <c r="AG6555">
        <v>-1.1100526416359999</v>
      </c>
      <c r="AH6555">
        <v>14.307576871341499</v>
      </c>
      <c r="AI6555">
        <v>94.115494438013201</v>
      </c>
      <c r="AJ6555">
        <v>68.033935880289803</v>
      </c>
      <c r="AK6555">
        <v>15.467413704713801</v>
      </c>
      <c r="AL6555">
        <v>79.818083571053805</v>
      </c>
      <c r="AM6555">
        <v>77.595068107287901</v>
      </c>
      <c r="AN6555">
        <v>0.99999998983145499</v>
      </c>
    </row>
    <row r="6556" spans="1:40" x14ac:dyDescent="0.25">
      <c r="A6556" t="str">
        <f>"20190312172837605"</f>
        <v>20190312172837605</v>
      </c>
      <c r="B6556" t="str">
        <f>"1552382917595930"</f>
        <v>1552382917595930</v>
      </c>
      <c r="C6556" t="s">
        <v>40</v>
      </c>
      <c r="D6556">
        <v>3.3808370000000001</v>
      </c>
      <c r="E6556">
        <v>0.5663648</v>
      </c>
      <c r="F6556" t="s">
        <v>41</v>
      </c>
      <c r="G6556">
        <v>-182.4374</v>
      </c>
      <c r="H6556" s="1">
        <v>-3.7349130000000002E-6</v>
      </c>
      <c r="I6556">
        <v>114.7103</v>
      </c>
      <c r="J6556">
        <v>-188.13919999999999</v>
      </c>
      <c r="K6556">
        <v>1.1100350000000001</v>
      </c>
      <c r="L6556">
        <v>100.2636</v>
      </c>
      <c r="M6556">
        <v>-1.157652E-2</v>
      </c>
      <c r="N6556">
        <v>0</v>
      </c>
      <c r="O6556">
        <v>0.99984050000000002</v>
      </c>
      <c r="P6556">
        <v>0.20259189999999999</v>
      </c>
      <c r="Q6556">
        <v>0.16392679999999901</v>
      </c>
      <c r="R6556">
        <v>0.96544529999999995</v>
      </c>
      <c r="S6556">
        <v>1.13028</v>
      </c>
      <c r="T6556">
        <v>-0.22013640000000001</v>
      </c>
      <c r="U6556">
        <v>2.9088750000000001</v>
      </c>
      <c r="V6556">
        <v>0.21382010000000001</v>
      </c>
      <c r="W6556">
        <v>0.1769309</v>
      </c>
      <c r="X6556">
        <v>0.96071660000000003</v>
      </c>
      <c r="Y6556">
        <v>0.37205460000000001</v>
      </c>
      <c r="Z6556">
        <v>-7.0202630000000002E-2</v>
      </c>
      <c r="AA6556">
        <v>0.92555220000000005</v>
      </c>
      <c r="AB6556">
        <v>22</v>
      </c>
      <c r="AC6556">
        <v>5.7017999999999898</v>
      </c>
      <c r="AD6556">
        <v>-1.1100387349130001</v>
      </c>
      <c r="AE6556">
        <v>14.4467</v>
      </c>
      <c r="AF6556">
        <v>5.8388498683624102</v>
      </c>
      <c r="AG6556">
        <v>-1.1100387349130001</v>
      </c>
      <c r="AH6556">
        <v>14.306637595596801</v>
      </c>
      <c r="AI6556">
        <v>94.108881624118993</v>
      </c>
      <c r="AJ6556">
        <v>67.798560819536405</v>
      </c>
      <c r="AK6556">
        <v>15.492070005974901</v>
      </c>
      <c r="AL6556">
        <v>79.808955633265697</v>
      </c>
      <c r="AM6556">
        <v>77.452579871225694</v>
      </c>
      <c r="AN6556">
        <v>0.99999998202718898</v>
      </c>
    </row>
    <row r="6557" spans="1:40" x14ac:dyDescent="0.25">
      <c r="A6557" t="str">
        <f>"20190312172837628"</f>
        <v>20190312172837628</v>
      </c>
      <c r="B6557" t="str">
        <f>"1552382917616423"</f>
        <v>1552382917616423</v>
      </c>
      <c r="C6557" t="s">
        <v>40</v>
      </c>
      <c r="D6557">
        <v>3.4102269999999999</v>
      </c>
      <c r="E6557">
        <v>0.56650780000000001</v>
      </c>
      <c r="F6557" t="s">
        <v>41</v>
      </c>
      <c r="G6557">
        <v>-182.34899999999999</v>
      </c>
      <c r="H6557" s="1">
        <v>-3.8603869999999998E-6</v>
      </c>
      <c r="I6557">
        <v>115.0098</v>
      </c>
      <c r="J6557">
        <v>-188.14150000000001</v>
      </c>
      <c r="K6557">
        <v>1.110033</v>
      </c>
      <c r="L6557">
        <v>100.48139999999999</v>
      </c>
      <c r="M6557">
        <v>-1.1347080000000001E-2</v>
      </c>
      <c r="N6557">
        <v>0</v>
      </c>
      <c r="O6557">
        <v>0.99984309999999998</v>
      </c>
      <c r="P6557">
        <v>0.2054714</v>
      </c>
      <c r="Q6557">
        <v>0.1645586</v>
      </c>
      <c r="R6557">
        <v>0.96472899999999995</v>
      </c>
      <c r="S6557">
        <v>1.1407320000000001</v>
      </c>
      <c r="T6557">
        <v>-0.21868660000000001</v>
      </c>
      <c r="U6557">
        <v>2.9051209999999998</v>
      </c>
      <c r="V6557">
        <v>0.21647060000000001</v>
      </c>
      <c r="W6557">
        <v>0.17755170000000001</v>
      </c>
      <c r="X6557">
        <v>0.96000830000000004</v>
      </c>
      <c r="Y6557">
        <v>0.37514399999999998</v>
      </c>
      <c r="Z6557">
        <v>-6.9737640000000004E-2</v>
      </c>
      <c r="AA6557">
        <v>0.92433960000000004</v>
      </c>
      <c r="AB6557">
        <v>22</v>
      </c>
      <c r="AC6557">
        <v>5.7924999999999898</v>
      </c>
      <c r="AD6557">
        <v>-1.1100368603869999</v>
      </c>
      <c r="AE6557">
        <v>14.5284</v>
      </c>
      <c r="AF6557">
        <v>5.9271423250298199</v>
      </c>
      <c r="AG6557">
        <v>-1.1100368603869999</v>
      </c>
      <c r="AH6557">
        <v>14.389252174447</v>
      </c>
      <c r="AI6557">
        <v>94.079947212236505</v>
      </c>
      <c r="AJ6557">
        <v>67.612524565416905</v>
      </c>
      <c r="AK6557">
        <v>15.6017234981397</v>
      </c>
      <c r="AL6557">
        <v>79.772814711032296</v>
      </c>
      <c r="AM6557">
        <v>77.292992125935001</v>
      </c>
      <c r="AN6557">
        <v>1.0000000314530599</v>
      </c>
    </row>
    <row r="6558" spans="1:40" x14ac:dyDescent="0.25">
      <c r="A6558" t="str">
        <f>"20190312172837652"</f>
        <v>20190312172837652</v>
      </c>
      <c r="B6558" t="str">
        <f>"1552382917646679"</f>
        <v>1552382917646679</v>
      </c>
      <c r="C6558" t="s">
        <v>40</v>
      </c>
      <c r="D6558">
        <v>3.365583</v>
      </c>
      <c r="E6558">
        <v>0.56661470000000003</v>
      </c>
      <c r="F6558" t="s">
        <v>41</v>
      </c>
      <c r="G6558">
        <v>-182.2577</v>
      </c>
      <c r="H6558" s="1">
        <v>-3.9898079999999997E-6</v>
      </c>
      <c r="I6558">
        <v>115.3188</v>
      </c>
      <c r="J6558">
        <v>-188.1438</v>
      </c>
      <c r="K6558">
        <v>1.1100449999999999</v>
      </c>
      <c r="L6558">
        <v>100.71</v>
      </c>
      <c r="M6558">
        <v>-1.110594E-2</v>
      </c>
      <c r="N6558">
        <v>0</v>
      </c>
      <c r="O6558">
        <v>0.99984589999999995</v>
      </c>
      <c r="P6558">
        <v>0.20783399999999999</v>
      </c>
      <c r="Q6558">
        <v>0.165483399999999</v>
      </c>
      <c r="R6558">
        <v>0.96406449999999999</v>
      </c>
      <c r="S6558">
        <v>1.150665</v>
      </c>
      <c r="T6558">
        <v>-0.2170829</v>
      </c>
      <c r="U6558">
        <v>2.9016419999999998</v>
      </c>
      <c r="V6558">
        <v>0.21859390000000001</v>
      </c>
      <c r="W6558">
        <v>0.17846619999999999</v>
      </c>
      <c r="X6558">
        <v>0.95935729999999997</v>
      </c>
      <c r="Y6558">
        <v>0.37804650000000001</v>
      </c>
      <c r="Z6558">
        <v>-6.9221829999999998E-2</v>
      </c>
      <c r="AA6558">
        <v>0.92319510000000005</v>
      </c>
      <c r="AB6558">
        <v>21</v>
      </c>
      <c r="AC6558">
        <v>5.8860999999999901</v>
      </c>
      <c r="AD6558">
        <v>-1.1100489898079999</v>
      </c>
      <c r="AE6558">
        <v>14.6088</v>
      </c>
      <c r="AF6558">
        <v>6.0181025459515798</v>
      </c>
      <c r="AG6558">
        <v>-1.1100489898079999</v>
      </c>
      <c r="AH6558">
        <v>14.470641876887299</v>
      </c>
      <c r="AI6558">
        <v>94.051453474233696</v>
      </c>
      <c r="AJ6558">
        <v>67.4183753598397</v>
      </c>
      <c r="AK6558">
        <v>15.711436705231201</v>
      </c>
      <c r="AL6558">
        <v>79.719566487325295</v>
      </c>
      <c r="AM6558">
        <v>77.164040733294499</v>
      </c>
      <c r="AN6558">
        <v>0.99999995336146896</v>
      </c>
    </row>
    <row r="6559" spans="1:40" x14ac:dyDescent="0.25">
      <c r="A6559" t="str">
        <f>"20190312172837673"</f>
        <v>20190312172837673</v>
      </c>
      <c r="B6559" t="str">
        <f>"1552382917666198"</f>
        <v>1552382917666198</v>
      </c>
      <c r="C6559" t="s">
        <v>40</v>
      </c>
      <c r="D6559">
        <v>3.3614440000000001</v>
      </c>
      <c r="E6559">
        <v>0.566743</v>
      </c>
      <c r="F6559" t="s">
        <v>41</v>
      </c>
      <c r="G6559">
        <v>-182.15899999999999</v>
      </c>
      <c r="H6559" s="1">
        <v>-4.1388369999999996E-6</v>
      </c>
      <c r="I6559">
        <v>115.67959999999999</v>
      </c>
      <c r="J6559">
        <v>-188.14580000000001</v>
      </c>
      <c r="K6559">
        <v>1.1100589999999999</v>
      </c>
      <c r="L6559">
        <v>100.916</v>
      </c>
      <c r="M6559">
        <v>-1.088808E-2</v>
      </c>
      <c r="N6559">
        <v>0</v>
      </c>
      <c r="O6559">
        <v>0.99984819999999996</v>
      </c>
      <c r="P6559">
        <v>0.21000489999999999</v>
      </c>
      <c r="Q6559">
        <v>0.16541689999999901</v>
      </c>
      <c r="R6559">
        <v>0.9636053</v>
      </c>
      <c r="S6559">
        <v>1.1589510000000001</v>
      </c>
      <c r="T6559">
        <v>-0.21496119999999999</v>
      </c>
      <c r="U6559">
        <v>2.8988649999999998</v>
      </c>
      <c r="V6559">
        <v>0.22055</v>
      </c>
      <c r="W6559">
        <v>0.1783921</v>
      </c>
      <c r="X6559">
        <v>0.95892330000000003</v>
      </c>
      <c r="Y6559">
        <v>0.38044139999999999</v>
      </c>
      <c r="Z6559">
        <v>-6.8540009999999998E-2</v>
      </c>
      <c r="AA6559">
        <v>0.92226169999999996</v>
      </c>
      <c r="AB6559">
        <v>21</v>
      </c>
      <c r="AC6559">
        <v>5.9867999999999801</v>
      </c>
      <c r="AD6559">
        <v>-1.1100631388369999</v>
      </c>
      <c r="AE6559">
        <v>14.763599999999901</v>
      </c>
      <c r="AF6559">
        <v>6.1175063630684203</v>
      </c>
      <c r="AG6559">
        <v>-1.1100631388369999</v>
      </c>
      <c r="AH6559">
        <v>14.6265213584359</v>
      </c>
      <c r="AI6559">
        <v>94.0051142120695</v>
      </c>
      <c r="AJ6559">
        <v>67.303000753411993</v>
      </c>
      <c r="AK6559">
        <v>15.8931196221248</v>
      </c>
      <c r="AL6559">
        <v>79.723881514655005</v>
      </c>
      <c r="AM6559">
        <v>77.047369355559894</v>
      </c>
      <c r="AN6559">
        <v>0.99999996956264903</v>
      </c>
    </row>
    <row r="6560" spans="1:40" x14ac:dyDescent="0.25">
      <c r="A6560" t="str">
        <f>"20190312172837696"</f>
        <v>20190312172837696</v>
      </c>
      <c r="B6560" t="str">
        <f>"1552382917686225"</f>
        <v>1552382917686225</v>
      </c>
      <c r="C6560" t="s">
        <v>40</v>
      </c>
      <c r="D6560">
        <v>3.4199060000000001</v>
      </c>
      <c r="E6560">
        <v>0.56675200000000003</v>
      </c>
      <c r="F6560" t="s">
        <v>41</v>
      </c>
      <c r="G6560">
        <v>-182.11779999999999</v>
      </c>
      <c r="H6560" s="1">
        <v>-4.2179969999999901E-6</v>
      </c>
      <c r="I6560">
        <v>115.87990000000001</v>
      </c>
      <c r="J6560">
        <v>-188.14789999999999</v>
      </c>
      <c r="K6560">
        <v>1.1100719999999999</v>
      </c>
      <c r="L6560">
        <v>101.1356</v>
      </c>
      <c r="M6560">
        <v>-1.0654810000000001E-2</v>
      </c>
      <c r="N6560">
        <v>0</v>
      </c>
      <c r="O6560">
        <v>0.99985080000000004</v>
      </c>
      <c r="P6560">
        <v>0.212232</v>
      </c>
      <c r="Q6560">
        <v>0.1659282</v>
      </c>
      <c r="R6560">
        <v>0.96302929999999998</v>
      </c>
      <c r="S6560">
        <v>1.166595</v>
      </c>
      <c r="T6560">
        <v>-0.21482870000000001</v>
      </c>
      <c r="U6560">
        <v>2.8959350000000001</v>
      </c>
      <c r="V6560">
        <v>0.22254689999999999</v>
      </c>
      <c r="W6560">
        <v>0.1788941</v>
      </c>
      <c r="X6560">
        <v>0.95836829999999995</v>
      </c>
      <c r="Y6560">
        <v>0.38264379999999998</v>
      </c>
      <c r="Z6560">
        <v>-6.8497600000000006E-2</v>
      </c>
      <c r="AA6560">
        <v>0.92135319999999998</v>
      </c>
      <c r="AB6560">
        <v>21</v>
      </c>
      <c r="AC6560">
        <v>6.0301</v>
      </c>
      <c r="AD6560">
        <v>-1.1100762179969901</v>
      </c>
      <c r="AE6560">
        <v>14.744300000000001</v>
      </c>
      <c r="AF6560">
        <v>6.1569709574860303</v>
      </c>
      <c r="AG6560">
        <v>-1.1100762179969901</v>
      </c>
      <c r="AH6560">
        <v>14.608268045033901</v>
      </c>
      <c r="AI6560">
        <v>94.005552201390799</v>
      </c>
      <c r="AJ6560">
        <v>67.1459558092143</v>
      </c>
      <c r="AK6560">
        <v>15.8915718497777</v>
      </c>
      <c r="AL6560">
        <v>79.694649214900394</v>
      </c>
      <c r="AM6560">
        <v>76.926793788565007</v>
      </c>
      <c r="AN6560">
        <v>1.00000001007965</v>
      </c>
    </row>
    <row r="6561" spans="1:40" x14ac:dyDescent="0.25">
      <c r="A6561" t="str">
        <f>"20190312172837740"</f>
        <v>20190312172837740</v>
      </c>
      <c r="B6561" t="str">
        <f>"1552382917736001"</f>
        <v>1552382917736001</v>
      </c>
      <c r="C6561" t="s">
        <v>40</v>
      </c>
      <c r="D6561">
        <v>3.3961679999999999</v>
      </c>
      <c r="E6561">
        <v>0.56219090000000005</v>
      </c>
      <c r="F6561" t="s">
        <v>41</v>
      </c>
      <c r="G6561">
        <v>-182.02539999999999</v>
      </c>
      <c r="H6561" s="1">
        <v>-4.3584230000000001E-6</v>
      </c>
      <c r="I6561">
        <v>116.2204</v>
      </c>
      <c r="J6561">
        <v>-188.15170000000001</v>
      </c>
      <c r="K6561">
        <v>1.1100650000000001</v>
      </c>
      <c r="L6561">
        <v>101.5518</v>
      </c>
      <c r="M6561">
        <v>-1.019598E-2</v>
      </c>
      <c r="N6561">
        <v>0</v>
      </c>
      <c r="O6561">
        <v>0.99985559999999996</v>
      </c>
      <c r="P6561">
        <v>0.21731239999999999</v>
      </c>
      <c r="Q6561">
        <v>0.1659842</v>
      </c>
      <c r="R6561">
        <v>0.96188589999999996</v>
      </c>
      <c r="S6561">
        <v>1.17421</v>
      </c>
      <c r="T6561">
        <v>-0.21289810000000001</v>
      </c>
      <c r="U6561">
        <v>2.8930660000000001</v>
      </c>
      <c r="V6561">
        <v>0.22717760000000001</v>
      </c>
      <c r="W6561">
        <v>0.17892739999999999</v>
      </c>
      <c r="X6561">
        <v>0.95727490000000004</v>
      </c>
      <c r="Y6561">
        <v>0.38463530000000001</v>
      </c>
      <c r="Z6561">
        <v>-6.7886450000000001E-2</v>
      </c>
      <c r="AA6561">
        <v>0.92056890000000002</v>
      </c>
      <c r="AB6561">
        <v>21</v>
      </c>
      <c r="AC6561">
        <v>6.1263000000000103</v>
      </c>
      <c r="AD6561">
        <v>-1.1100693584229999</v>
      </c>
      <c r="AE6561">
        <v>14.6685999999999</v>
      </c>
      <c r="AF6561">
        <v>6.2451026792787401</v>
      </c>
      <c r="AG6561">
        <v>-1.1100693584229999</v>
      </c>
      <c r="AH6561">
        <v>14.5344925082454</v>
      </c>
      <c r="AI6561">
        <v>94.013950209347499</v>
      </c>
      <c r="AJ6561">
        <v>66.748030335441896</v>
      </c>
      <c r="AK6561">
        <v>15.858279664815001</v>
      </c>
      <c r="AL6561">
        <v>79.692709405554695</v>
      </c>
      <c r="AM6561">
        <v>76.649707665083596</v>
      </c>
      <c r="AN6561">
        <v>0.99999995529126395</v>
      </c>
    </row>
    <row r="6562" spans="1:40" x14ac:dyDescent="0.25">
      <c r="A6562" t="str">
        <f>"20190312172837762"</f>
        <v>20190312172837762</v>
      </c>
      <c r="B6562" t="str">
        <f>"1552382917756498"</f>
        <v>1552382917756498</v>
      </c>
      <c r="C6562" t="s">
        <v>40</v>
      </c>
      <c r="D6562">
        <v>3.380306</v>
      </c>
      <c r="E6562">
        <v>0.56091590000000002</v>
      </c>
      <c r="F6562" t="s">
        <v>41</v>
      </c>
      <c r="G6562">
        <v>-182.12360000000001</v>
      </c>
      <c r="H6562" s="1">
        <v>-4.4857930000000003E-6</v>
      </c>
      <c r="I6562">
        <v>116.67140000000001</v>
      </c>
      <c r="J6562">
        <v>-188.15360000000001</v>
      </c>
      <c r="K6562">
        <v>1.11005</v>
      </c>
      <c r="L6562">
        <v>101.7585</v>
      </c>
      <c r="M6562">
        <v>-9.9508589999999994E-3</v>
      </c>
      <c r="N6562">
        <v>0</v>
      </c>
      <c r="O6562">
        <v>0.99985809999999997</v>
      </c>
      <c r="P6562">
        <v>0.21964810000000001</v>
      </c>
      <c r="Q6562">
        <v>0.16551640000000001</v>
      </c>
      <c r="R6562">
        <v>0.96143590000000001</v>
      </c>
      <c r="S6562">
        <v>1.1541600000000001</v>
      </c>
      <c r="T6562">
        <v>-0.21253440000000001</v>
      </c>
      <c r="U6562">
        <v>2.894806</v>
      </c>
      <c r="V6562">
        <v>0.22927690000000001</v>
      </c>
      <c r="W6562">
        <v>0.17844749999999901</v>
      </c>
      <c r="X6562">
        <v>0.95686389999999999</v>
      </c>
      <c r="Y6562">
        <v>0.37871969999999999</v>
      </c>
      <c r="Z6562">
        <v>-6.7903820000000004E-2</v>
      </c>
      <c r="AA6562">
        <v>0.92301699999999998</v>
      </c>
      <c r="AB6562">
        <v>21</v>
      </c>
      <c r="AC6562">
        <v>6.03</v>
      </c>
      <c r="AD6562">
        <v>-1.1100544857929999</v>
      </c>
      <c r="AE6562">
        <v>14.9129</v>
      </c>
      <c r="AF6562">
        <v>6.1488298917853399</v>
      </c>
      <c r="AG6562">
        <v>-1.1100544857929999</v>
      </c>
      <c r="AH6562">
        <v>14.781759984327801</v>
      </c>
      <c r="AI6562">
        <v>93.966348507071501</v>
      </c>
      <c r="AJ6562">
        <v>67.413952582506994</v>
      </c>
      <c r="AK6562">
        <v>16.048076465228402</v>
      </c>
      <c r="AL6562">
        <v>79.720655520182902</v>
      </c>
      <c r="AM6562">
        <v>76.525241737204595</v>
      </c>
      <c r="AN6562">
        <v>0.999999965126534</v>
      </c>
    </row>
    <row r="6563" spans="1:40" x14ac:dyDescent="0.25">
      <c r="A6563" t="str">
        <f>"20190312172837784"</f>
        <v>20190312172837784</v>
      </c>
      <c r="B6563" t="str">
        <f>"1552382917776403"</f>
        <v>1552382917776403</v>
      </c>
      <c r="C6563" t="s">
        <v>40</v>
      </c>
      <c r="D6563">
        <v>3.4455019999999998</v>
      </c>
      <c r="E6563">
        <v>0.55984799999999901</v>
      </c>
      <c r="F6563" t="s">
        <v>41</v>
      </c>
      <c r="G6563">
        <v>-182.17490000000001</v>
      </c>
      <c r="H6563" s="1">
        <v>-4.5089820000000003E-6</v>
      </c>
      <c r="I6563">
        <v>116.77970000000001</v>
      </c>
      <c r="J6563">
        <v>-188.15530000000001</v>
      </c>
      <c r="K6563">
        <v>1.110023</v>
      </c>
      <c r="L6563">
        <v>101.96939999999999</v>
      </c>
      <c r="M6563">
        <v>-9.6783300000000006E-3</v>
      </c>
      <c r="N6563">
        <v>0</v>
      </c>
      <c r="O6563">
        <v>0.99986079999999999</v>
      </c>
      <c r="P6563">
        <v>0.2217519</v>
      </c>
      <c r="Q6563">
        <v>0.164634</v>
      </c>
      <c r="R6563">
        <v>0.96110450000000003</v>
      </c>
      <c r="S6563">
        <v>1.1518550000000001</v>
      </c>
      <c r="T6563">
        <v>-0.213863</v>
      </c>
      <c r="U6563">
        <v>2.8939819999999998</v>
      </c>
      <c r="V6563">
        <v>0.23112170000000001</v>
      </c>
      <c r="W6563">
        <v>0.17755079999999901</v>
      </c>
      <c r="X6563">
        <v>0.95658690000000002</v>
      </c>
      <c r="Y6563">
        <v>0.37791190000000002</v>
      </c>
      <c r="Z6563">
        <v>-6.8365780000000001E-2</v>
      </c>
      <c r="AA6563">
        <v>0.92331399999999997</v>
      </c>
      <c r="AB6563">
        <v>21</v>
      </c>
      <c r="AC6563">
        <v>5.9804000000000004</v>
      </c>
      <c r="AD6563">
        <v>-1.110027508982</v>
      </c>
      <c r="AE6563">
        <v>14.8103</v>
      </c>
      <c r="AF6563">
        <v>6.0940383577979302</v>
      </c>
      <c r="AG6563">
        <v>-1.110027508982</v>
      </c>
      <c r="AH6563">
        <v>14.6808134660654</v>
      </c>
      <c r="AI6563">
        <v>93.994666796405994</v>
      </c>
      <c r="AJ6563">
        <v>67.456553529548103</v>
      </c>
      <c r="AK6563">
        <v>15.934106457608999</v>
      </c>
      <c r="AL6563">
        <v>79.772866908900198</v>
      </c>
      <c r="AM6563">
        <v>76.417034609070001</v>
      </c>
      <c r="AN6563">
        <v>1.00000001202157</v>
      </c>
    </row>
    <row r="6564" spans="1:40" x14ac:dyDescent="0.25">
      <c r="A6564" t="str">
        <f>"20190312172837806"</f>
        <v>20190312172837806</v>
      </c>
      <c r="B6564" t="str">
        <f>"1552382917795925"</f>
        <v>1552382917795925</v>
      </c>
      <c r="C6564" t="s">
        <v>40</v>
      </c>
      <c r="D6564">
        <v>3.4439519999999901</v>
      </c>
      <c r="E6564">
        <v>0.55887039999999999</v>
      </c>
      <c r="F6564" t="s">
        <v>41</v>
      </c>
      <c r="G6564">
        <v>-182.261</v>
      </c>
      <c r="H6564" s="1">
        <v>-4.4909989999999996E-6</v>
      </c>
      <c r="I6564">
        <v>116.7942</v>
      </c>
      <c r="J6564">
        <v>-188.15710000000001</v>
      </c>
      <c r="K6564">
        <v>1.109999</v>
      </c>
      <c r="L6564">
        <v>102.18810000000001</v>
      </c>
      <c r="M6564">
        <v>-9.3561449999999997E-3</v>
      </c>
      <c r="N6564">
        <v>0</v>
      </c>
      <c r="O6564">
        <v>0.99986390000000003</v>
      </c>
      <c r="P6564">
        <v>0.2241474</v>
      </c>
      <c r="Q6564">
        <v>0.1638144</v>
      </c>
      <c r="R6564">
        <v>0.96068869999999895</v>
      </c>
      <c r="S6564">
        <v>1.1503139999999901</v>
      </c>
      <c r="T6564">
        <v>-0.21662799999999999</v>
      </c>
      <c r="U6564">
        <v>2.8931269999999998</v>
      </c>
      <c r="V6564">
        <v>0.23321439999999999</v>
      </c>
      <c r="W6564">
        <v>0.17671029999999999</v>
      </c>
      <c r="X6564">
        <v>0.95623460000000005</v>
      </c>
      <c r="Y6564">
        <v>0.37725930000000002</v>
      </c>
      <c r="Z6564">
        <v>-6.9280449999999993E-2</v>
      </c>
      <c r="AA6564">
        <v>0.92351260000000002</v>
      </c>
      <c r="AB6564">
        <v>21</v>
      </c>
      <c r="AC6564">
        <v>5.8961000000000103</v>
      </c>
      <c r="AD6564">
        <v>-1.110003490999</v>
      </c>
      <c r="AE6564">
        <v>14.6060999999999</v>
      </c>
      <c r="AF6564">
        <v>6.0027010905804499</v>
      </c>
      <c r="AG6564">
        <v>-1.110003490999</v>
      </c>
      <c r="AH6564">
        <v>14.478389142608499</v>
      </c>
      <c r="AI6564">
        <v>94.050966301648003</v>
      </c>
      <c r="AJ6564">
        <v>67.481235707566498</v>
      </c>
      <c r="AK6564">
        <v>15.7126789662899</v>
      </c>
      <c r="AL6564">
        <v>79.821798111812896</v>
      </c>
      <c r="AM6564">
        <v>76.293805371697303</v>
      </c>
      <c r="AN6564">
        <v>1.0000000483653</v>
      </c>
    </row>
    <row r="6565" spans="1:40" x14ac:dyDescent="0.25">
      <c r="A6565" t="str">
        <f>"20190312172837829"</f>
        <v>20190312172837829</v>
      </c>
      <c r="B6565" t="str">
        <f>"1552382917816418"</f>
        <v>1552382917816418</v>
      </c>
      <c r="C6565" t="s">
        <v>40</v>
      </c>
      <c r="D6565">
        <v>3.4605359999999998</v>
      </c>
      <c r="E6565">
        <v>0.55808190000000002</v>
      </c>
      <c r="F6565" t="s">
        <v>41</v>
      </c>
      <c r="G6565">
        <v>-182.3349</v>
      </c>
      <c r="H6565" s="1">
        <v>-4.4840289999999999E-6</v>
      </c>
      <c r="I6565">
        <v>116.83150000000001</v>
      </c>
      <c r="J6565">
        <v>-188.15860000000001</v>
      </c>
      <c r="K6565">
        <v>1.1099680000000001</v>
      </c>
      <c r="L6565">
        <v>102.392</v>
      </c>
      <c r="M6565">
        <v>-9.0050430000000008E-3</v>
      </c>
      <c r="N6565">
        <v>0</v>
      </c>
      <c r="O6565">
        <v>0.99986710000000001</v>
      </c>
      <c r="P6565">
        <v>0.2263155</v>
      </c>
      <c r="Q6565">
        <v>0.16336419999999999</v>
      </c>
      <c r="R6565">
        <v>0.96025689999999997</v>
      </c>
      <c r="S6565">
        <v>1.1498109999999999</v>
      </c>
      <c r="T6565">
        <v>-0.21921170000000001</v>
      </c>
      <c r="U6565">
        <v>2.8918759999999999</v>
      </c>
      <c r="V6565">
        <v>0.2350555</v>
      </c>
      <c r="W6565">
        <v>0.1762349</v>
      </c>
      <c r="X6565">
        <v>0.95587140000000004</v>
      </c>
      <c r="Y6565">
        <v>0.37691049999999998</v>
      </c>
      <c r="Z6565">
        <v>-7.0138140000000002E-2</v>
      </c>
      <c r="AA6565">
        <v>0.92359040000000003</v>
      </c>
      <c r="AB6565">
        <v>21</v>
      </c>
      <c r="AC6565">
        <v>5.8236999999999997</v>
      </c>
      <c r="AD6565">
        <v>-1.109972484029</v>
      </c>
      <c r="AE6565">
        <v>14.439499999999899</v>
      </c>
      <c r="AF6565">
        <v>5.9233992966801301</v>
      </c>
      <c r="AG6565">
        <v>-1.109972484029</v>
      </c>
      <c r="AH6565">
        <v>14.313719411515599</v>
      </c>
      <c r="AI6565">
        <v>94.098410697488106</v>
      </c>
      <c r="AJ6565">
        <v>67.518921999118803</v>
      </c>
      <c r="AK6565">
        <v>15.530655541052001</v>
      </c>
      <c r="AL6565">
        <v>79.849470138238104</v>
      </c>
      <c r="AM6565">
        <v>76.184683240971694</v>
      </c>
      <c r="AN6565">
        <v>0.99999998069810903</v>
      </c>
    </row>
    <row r="6566" spans="1:40" x14ac:dyDescent="0.25">
      <c r="A6566" t="str">
        <f>"20190312172837850"</f>
        <v>20190312172837850</v>
      </c>
      <c r="B6566" t="str">
        <f>"1552382917846675"</f>
        <v>1552382917846675</v>
      </c>
      <c r="C6566" t="s">
        <v>40</v>
      </c>
      <c r="D6566">
        <v>3.458437</v>
      </c>
      <c r="E6566">
        <v>0.55711009999999905</v>
      </c>
      <c r="F6566" t="s">
        <v>41</v>
      </c>
      <c r="G6566">
        <v>-182.39</v>
      </c>
      <c r="H6566" s="1">
        <v>-4.4901849999999996E-6</v>
      </c>
      <c r="I6566">
        <v>116.8926</v>
      </c>
      <c r="J6566">
        <v>-188.16</v>
      </c>
      <c r="K6566">
        <v>1.1099270000000001</v>
      </c>
      <c r="L6566">
        <v>102.5996</v>
      </c>
      <c r="M6566">
        <v>-8.588221E-3</v>
      </c>
      <c r="N6566">
        <v>0</v>
      </c>
      <c r="O6566">
        <v>0.99987079999999995</v>
      </c>
      <c r="P6566">
        <v>0.22859550000000001</v>
      </c>
      <c r="Q6566">
        <v>0.1641232</v>
      </c>
      <c r="R6566">
        <v>0.95958730000000003</v>
      </c>
      <c r="S6566">
        <v>1.149994</v>
      </c>
      <c r="T6566">
        <v>-0.22127820000000001</v>
      </c>
      <c r="U6566">
        <v>2.8907780000000001</v>
      </c>
      <c r="V6566">
        <v>0.23694789999999999</v>
      </c>
      <c r="W6566">
        <v>0.17696039999999999</v>
      </c>
      <c r="X6566">
        <v>0.95526999999999995</v>
      </c>
      <c r="Y6566">
        <v>0.3766776</v>
      </c>
      <c r="Z6566">
        <v>-7.0823730000000001E-2</v>
      </c>
      <c r="AA6566">
        <v>0.92363300000000004</v>
      </c>
      <c r="AB6566">
        <v>21</v>
      </c>
      <c r="AC6566">
        <v>5.77</v>
      </c>
      <c r="AD6566">
        <v>-1.1099314901849999</v>
      </c>
      <c r="AE6566">
        <v>14.292999999999999</v>
      </c>
      <c r="AF6566">
        <v>5.8621526730576097</v>
      </c>
      <c r="AG6566">
        <v>-1.1099314901849999</v>
      </c>
      <c r="AH6566">
        <v>14.1694407717278</v>
      </c>
      <c r="AI6566">
        <v>94.140003967164205</v>
      </c>
      <c r="AJ6566">
        <v>67.524239810150306</v>
      </c>
      <c r="AK6566">
        <v>15.3743238439497</v>
      </c>
      <c r="AL6566">
        <v>79.807238821063393</v>
      </c>
      <c r="AM6566">
        <v>76.069344833339102</v>
      </c>
      <c r="AN6566">
        <v>1.00000003169128</v>
      </c>
    </row>
    <row r="6567" spans="1:40" x14ac:dyDescent="0.25">
      <c r="A6567" t="str">
        <f>"20190312172837874"</f>
        <v>20190312172837874</v>
      </c>
      <c r="B6567" t="str">
        <f>"1552382917866196"</f>
        <v>1552382917866196</v>
      </c>
      <c r="C6567" t="s">
        <v>40</v>
      </c>
      <c r="D6567">
        <v>3.470415</v>
      </c>
      <c r="E6567">
        <v>0.55656359999999905</v>
      </c>
      <c r="F6567" t="s">
        <v>41</v>
      </c>
      <c r="G6567">
        <v>-182.34479999999999</v>
      </c>
      <c r="H6567" s="1">
        <v>-4.6130940000000002E-6</v>
      </c>
      <c r="I6567">
        <v>117.21850000000001</v>
      </c>
      <c r="J6567">
        <v>-188.16130000000001</v>
      </c>
      <c r="K6567">
        <v>1.109899</v>
      </c>
      <c r="L6567">
        <v>102.8232</v>
      </c>
      <c r="M6567">
        <v>-8.0801109999999992E-3</v>
      </c>
      <c r="N6567">
        <v>0</v>
      </c>
      <c r="O6567">
        <v>0.99987510000000002</v>
      </c>
      <c r="P6567">
        <v>0.2308308</v>
      </c>
      <c r="Q6567">
        <v>0.16506219999999999</v>
      </c>
      <c r="R6567">
        <v>0.95889080000000004</v>
      </c>
      <c r="S6567">
        <v>1.1496120000000001</v>
      </c>
      <c r="T6567">
        <v>-0.21942329999999999</v>
      </c>
      <c r="U6567">
        <v>2.890015</v>
      </c>
      <c r="V6567">
        <v>0.23870959999999999</v>
      </c>
      <c r="W6567">
        <v>0.17786379999999999</v>
      </c>
      <c r="X6567">
        <v>0.95466340000000005</v>
      </c>
      <c r="Y6567">
        <v>0.37620029999999999</v>
      </c>
      <c r="Z6567">
        <v>-7.0259550000000004E-2</v>
      </c>
      <c r="AA6567">
        <v>0.92387059999999999</v>
      </c>
      <c r="AB6567">
        <v>21</v>
      </c>
      <c r="AC6567">
        <v>5.8165000000000102</v>
      </c>
      <c r="AD6567">
        <v>-1.1099036130940001</v>
      </c>
      <c r="AE6567">
        <v>14.395300000000001</v>
      </c>
      <c r="AF6567">
        <v>5.90247264678632</v>
      </c>
      <c r="AG6567">
        <v>-1.1099036130940001</v>
      </c>
      <c r="AH6567">
        <v>14.2748778358267</v>
      </c>
      <c r="AI6567">
        <v>94.109761887545503</v>
      </c>
      <c r="AJ6567">
        <v>67.535554568219595</v>
      </c>
      <c r="AK6567">
        <v>15.486872072958899</v>
      </c>
      <c r="AL6567">
        <v>79.754643208008403</v>
      </c>
      <c r="AM6567">
        <v>75.961285281432495</v>
      </c>
      <c r="AN6567">
        <v>1.0000000058910801</v>
      </c>
    </row>
    <row r="6568" spans="1:40" x14ac:dyDescent="0.25">
      <c r="A6568" t="str">
        <f>"20190312172837897"</f>
        <v>20190312172837897</v>
      </c>
      <c r="B6568" t="str">
        <f>"1552382917886691"</f>
        <v>1552382917886691</v>
      </c>
      <c r="C6568" t="s">
        <v>40</v>
      </c>
      <c r="D6568">
        <v>3.4679950000000002</v>
      </c>
      <c r="E6568">
        <v>0.55606659999999997</v>
      </c>
      <c r="F6568" t="s">
        <v>41</v>
      </c>
      <c r="G6568">
        <v>-182.25899999999999</v>
      </c>
      <c r="H6568" s="1">
        <v>-4.7979880000000001E-6</v>
      </c>
      <c r="I6568">
        <v>117.61620000000001</v>
      </c>
      <c r="J6568">
        <v>-188.16249999999999</v>
      </c>
      <c r="K6568">
        <v>1.1098680000000001</v>
      </c>
      <c r="L6568">
        <v>103.0449</v>
      </c>
      <c r="M6568">
        <v>-7.5117600000000001E-3</v>
      </c>
      <c r="N6568">
        <v>0</v>
      </c>
      <c r="O6568">
        <v>0.99987950000000003</v>
      </c>
      <c r="P6568">
        <v>0.23316590000000001</v>
      </c>
      <c r="Q6568">
        <v>0.165911999999999</v>
      </c>
      <c r="R6568">
        <v>0.95817889999999994</v>
      </c>
      <c r="S6568">
        <v>1.1524810000000001</v>
      </c>
      <c r="T6568">
        <v>-0.21672</v>
      </c>
      <c r="U6568">
        <v>2.8884889999999999</v>
      </c>
      <c r="V6568">
        <v>0.24051220000000001</v>
      </c>
      <c r="W6568">
        <v>0.17868110000000001</v>
      </c>
      <c r="X6568">
        <v>0.95405810000000002</v>
      </c>
      <c r="Y6568">
        <v>0.37665520000000002</v>
      </c>
      <c r="Z6568">
        <v>-6.9413950000000002E-2</v>
      </c>
      <c r="AA6568">
        <v>0.92374920000000005</v>
      </c>
      <c r="AB6568">
        <v>21</v>
      </c>
      <c r="AC6568">
        <v>5.9034999999999798</v>
      </c>
      <c r="AD6568">
        <v>-1.1098727979880001</v>
      </c>
      <c r="AE6568">
        <v>14.571300000000001</v>
      </c>
      <c r="AF6568">
        <v>5.9829828077456204</v>
      </c>
      <c r="AG6568">
        <v>-1.1098727979880001</v>
      </c>
      <c r="AH6568">
        <v>14.454503535591099</v>
      </c>
      <c r="AI6568">
        <v>94.058132883326493</v>
      </c>
      <c r="AJ6568">
        <v>67.514443762483396</v>
      </c>
      <c r="AK6568">
        <v>15.6831302158055</v>
      </c>
      <c r="AL6568">
        <v>79.707052507962899</v>
      </c>
      <c r="AM6568">
        <v>75.850899342777097</v>
      </c>
      <c r="AN6568">
        <v>0.99999995601082903</v>
      </c>
    </row>
    <row r="6569" spans="1:40" x14ac:dyDescent="0.25">
      <c r="A6569" t="str">
        <f>"20190312172837916"</f>
        <v>20190312172837916</v>
      </c>
      <c r="B6569" t="str">
        <f>"1552382917906210"</f>
        <v>1552382917906210</v>
      </c>
      <c r="C6569" t="s">
        <v>40</v>
      </c>
      <c r="D6569">
        <v>3.4836200000000002</v>
      </c>
      <c r="E6569">
        <v>0.55560980000000004</v>
      </c>
      <c r="F6569" t="s">
        <v>41</v>
      </c>
      <c r="G6569">
        <v>-182.1746</v>
      </c>
      <c r="H6569" s="1">
        <v>-4.9753060000000002E-6</v>
      </c>
      <c r="I6569">
        <v>117.99460000000001</v>
      </c>
      <c r="J6569">
        <v>-188.16319999999999</v>
      </c>
      <c r="K6569">
        <v>1.1098440000000001</v>
      </c>
      <c r="L6569">
        <v>103.2299</v>
      </c>
      <c r="M6569">
        <v>-6.9825800000000004E-3</v>
      </c>
      <c r="N6569">
        <v>0</v>
      </c>
      <c r="O6569">
        <v>0.99988339999999998</v>
      </c>
      <c r="P6569">
        <v>0.23569029999999999</v>
      </c>
      <c r="Q6569">
        <v>0.16595679999999999</v>
      </c>
      <c r="R6569">
        <v>0.9575534</v>
      </c>
      <c r="S6569">
        <v>1.1562190000000001</v>
      </c>
      <c r="T6569">
        <v>-0.21430850000000001</v>
      </c>
      <c r="U6569">
        <v>2.8866879999999999</v>
      </c>
      <c r="V6569">
        <v>0.24253939999999999</v>
      </c>
      <c r="W6569">
        <v>0.17869760000000001</v>
      </c>
      <c r="X6569">
        <v>0.95354179999999999</v>
      </c>
      <c r="Y6569">
        <v>0.37741419999999998</v>
      </c>
      <c r="Z6569">
        <v>-6.8658670000000005E-2</v>
      </c>
      <c r="AA6569">
        <v>0.92349579999999998</v>
      </c>
      <c r="AB6569">
        <v>21</v>
      </c>
      <c r="AC6569">
        <v>5.9885999999999902</v>
      </c>
      <c r="AD6569">
        <v>-1.1098489753059999</v>
      </c>
      <c r="AE6569">
        <v>14.764699999999999</v>
      </c>
      <c r="AF6569">
        <v>6.0621447651782701</v>
      </c>
      <c r="AG6569">
        <v>-1.1098489753059999</v>
      </c>
      <c r="AH6569">
        <v>14.651429357359399</v>
      </c>
      <c r="AI6569">
        <v>94.003907659418601</v>
      </c>
      <c r="AJ6569">
        <v>67.522287352656605</v>
      </c>
      <c r="AK6569">
        <v>15.894833944261901</v>
      </c>
      <c r="AL6569">
        <v>79.706092938676505</v>
      </c>
      <c r="AM6569">
        <v>75.729080972955302</v>
      </c>
      <c r="AN6569">
        <v>1.0000000785726699</v>
      </c>
    </row>
    <row r="6570" spans="1:40" x14ac:dyDescent="0.25">
      <c r="A6570" t="str">
        <f>"20190312172837940"</f>
        <v>20190312172837940</v>
      </c>
      <c r="B6570" t="str">
        <f>"1552382917936467"</f>
        <v>1552382917936467</v>
      </c>
      <c r="C6570" t="s">
        <v>40</v>
      </c>
      <c r="D6570">
        <v>3.4296880000000001</v>
      </c>
      <c r="E6570">
        <v>0.55496009999999996</v>
      </c>
      <c r="F6570" t="s">
        <v>41</v>
      </c>
      <c r="G6570">
        <v>-182.1611</v>
      </c>
      <c r="H6570" s="1">
        <v>-5.0448299999999999E-6</v>
      </c>
      <c r="I6570">
        <v>118.1511</v>
      </c>
      <c r="J6570">
        <v>-188.16399999999999</v>
      </c>
      <c r="K6570">
        <v>1.10981</v>
      </c>
      <c r="L6570">
        <v>103.44710000000001</v>
      </c>
      <c r="M6570">
        <v>-6.2940100000000001E-3</v>
      </c>
      <c r="N6570">
        <v>0</v>
      </c>
      <c r="O6570">
        <v>0.99988790000000005</v>
      </c>
      <c r="P6570">
        <v>0.23832249999999999</v>
      </c>
      <c r="Q6570">
        <v>0.165768</v>
      </c>
      <c r="R6570">
        <v>0.95693430000000002</v>
      </c>
      <c r="S6570">
        <v>1.1603239999999999</v>
      </c>
      <c r="T6570">
        <v>-0.214556</v>
      </c>
      <c r="U6570">
        <v>2.8845830000000001</v>
      </c>
      <c r="V6570">
        <v>0.24452570000000001</v>
      </c>
      <c r="W6570">
        <v>0.17847660000000001</v>
      </c>
      <c r="X6570">
        <v>0.95307569999999997</v>
      </c>
      <c r="Y6570">
        <v>0.37813849999999999</v>
      </c>
      <c r="Z6570">
        <v>-6.8756369999999997E-2</v>
      </c>
      <c r="AA6570">
        <v>0.92319220000000002</v>
      </c>
      <c r="AB6570">
        <v>21</v>
      </c>
      <c r="AC6570">
        <v>6.0029000000000101</v>
      </c>
      <c r="AD6570">
        <v>-1.1098150448299999</v>
      </c>
      <c r="AE6570">
        <v>14.703999999999899</v>
      </c>
      <c r="AF6570">
        <v>6.0657180876687997</v>
      </c>
      <c r="AG6570">
        <v>-1.1098150448299999</v>
      </c>
      <c r="AH6570">
        <v>14.594657780621301</v>
      </c>
      <c r="AI6570">
        <v>94.0166813095625</v>
      </c>
      <c r="AJ6570">
        <v>67.431632588743398</v>
      </c>
      <c r="AK6570">
        <v>15.843884027796101</v>
      </c>
      <c r="AL6570">
        <v>79.7189613971683</v>
      </c>
      <c r="AM6570">
        <v>75.610295937735401</v>
      </c>
      <c r="AN6570">
        <v>1.0000000023192599</v>
      </c>
    </row>
    <row r="6571" spans="1:40" x14ac:dyDescent="0.25">
      <c r="A6571" t="str">
        <f>"20190312172837961"</f>
        <v>20190312172837961</v>
      </c>
      <c r="B6571" t="str">
        <f>"1552382917956963"</f>
        <v>1552382917956963</v>
      </c>
      <c r="C6571" t="s">
        <v>40</v>
      </c>
      <c r="D6571">
        <v>3.4931709999999998</v>
      </c>
      <c r="E6571">
        <v>0.5545715</v>
      </c>
      <c r="F6571" t="s">
        <v>41</v>
      </c>
      <c r="G6571">
        <v>-182.19040000000001</v>
      </c>
      <c r="H6571" s="1">
        <v>-5.0839440000000001E-6</v>
      </c>
      <c r="I6571">
        <v>118.2544</v>
      </c>
      <c r="J6571">
        <v>-188.1645</v>
      </c>
      <c r="K6571">
        <v>1.109772</v>
      </c>
      <c r="L6571">
        <v>103.65430000000001</v>
      </c>
      <c r="M6571">
        <v>-5.5741209999999996E-3</v>
      </c>
      <c r="N6571">
        <v>0</v>
      </c>
      <c r="O6571">
        <v>0.99989220000000001</v>
      </c>
      <c r="P6571">
        <v>0.24133279999999999</v>
      </c>
      <c r="Q6571">
        <v>0.16518099999999999</v>
      </c>
      <c r="R6571">
        <v>0.95628120000000005</v>
      </c>
      <c r="S6571">
        <v>1.162979</v>
      </c>
      <c r="T6571">
        <v>-0.21606729999999999</v>
      </c>
      <c r="U6571">
        <v>2.8828130000000001</v>
      </c>
      <c r="V6571">
        <v>0.24686069999999999</v>
      </c>
      <c r="W6571">
        <v>0.17785529999999999</v>
      </c>
      <c r="X6571">
        <v>0.95258980000000004</v>
      </c>
      <c r="Y6571">
        <v>0.37838690000000003</v>
      </c>
      <c r="Z6571">
        <v>-6.9262840000000006E-2</v>
      </c>
      <c r="AA6571">
        <v>0.9230526</v>
      </c>
      <c r="AB6571">
        <v>21</v>
      </c>
      <c r="AC6571">
        <v>5.9740999999999902</v>
      </c>
      <c r="AD6571">
        <v>-1.109777083944</v>
      </c>
      <c r="AE6571">
        <v>14.6000999999999</v>
      </c>
      <c r="AF6571">
        <v>6.02557603743118</v>
      </c>
      <c r="AG6571">
        <v>-1.109777083944</v>
      </c>
      <c r="AH6571">
        <v>14.494832875464001</v>
      </c>
      <c r="AI6571">
        <v>94.043981866205101</v>
      </c>
      <c r="AJ6571">
        <v>67.427094532406201</v>
      </c>
      <c r="AK6571">
        <v>15.7365609917334</v>
      </c>
      <c r="AL6571">
        <v>79.755138259092405</v>
      </c>
      <c r="AM6571">
        <v>75.471576977098493</v>
      </c>
      <c r="AN6571">
        <v>1.0000000200033099</v>
      </c>
    </row>
    <row r="6572" spans="1:40" x14ac:dyDescent="0.25">
      <c r="A6572" t="str">
        <f>"20190312172837985"</f>
        <v>20190312172837985</v>
      </c>
      <c r="B6572" t="str">
        <f>"1552382917976486"</f>
        <v>1552382917976486</v>
      </c>
      <c r="C6572" t="s">
        <v>40</v>
      </c>
      <c r="D6572">
        <v>3.50203</v>
      </c>
      <c r="E6572">
        <v>0.55419049999999903</v>
      </c>
      <c r="F6572" t="s">
        <v>41</v>
      </c>
      <c r="G6572">
        <v>-182.24369999999999</v>
      </c>
      <c r="H6572" s="1">
        <v>-5.0717269999999998E-6</v>
      </c>
      <c r="I6572">
        <v>118.248</v>
      </c>
      <c r="J6572">
        <v>-188.16480000000001</v>
      </c>
      <c r="K6572">
        <v>1.109729</v>
      </c>
      <c r="L6572">
        <v>103.86879999999999</v>
      </c>
      <c r="M6572">
        <v>-4.7694410000000001E-3</v>
      </c>
      <c r="N6572">
        <v>0</v>
      </c>
      <c r="O6572">
        <v>0.99989640000000002</v>
      </c>
      <c r="P6572">
        <v>0.243202</v>
      </c>
      <c r="Q6572">
        <v>0.16406599999999999</v>
      </c>
      <c r="R6572">
        <v>0.95599959999999995</v>
      </c>
      <c r="S6572">
        <v>1.168488</v>
      </c>
      <c r="T6572">
        <v>-0.2190175</v>
      </c>
      <c r="U6572">
        <v>2.880096</v>
      </c>
      <c r="V6572">
        <v>0.24797659999999999</v>
      </c>
      <c r="W6572">
        <v>0.1767117</v>
      </c>
      <c r="X6572">
        <v>0.95251280000000005</v>
      </c>
      <c r="Y6572">
        <v>0.37943569999999999</v>
      </c>
      <c r="Z6572">
        <v>-7.0225300000000004E-2</v>
      </c>
      <c r="AA6572">
        <v>0.92254919999999996</v>
      </c>
      <c r="AB6572">
        <v>21</v>
      </c>
      <c r="AC6572">
        <v>5.9211000000000196</v>
      </c>
      <c r="AD6572">
        <v>-1.1097340717269999</v>
      </c>
      <c r="AE6572">
        <v>14.3791999999999</v>
      </c>
      <c r="AF6572">
        <v>5.9592712081219696</v>
      </c>
      <c r="AG6572">
        <v>-1.1097340717269999</v>
      </c>
      <c r="AH6572">
        <v>14.278080161804599</v>
      </c>
      <c r="AI6572">
        <v>94.102586044928699</v>
      </c>
      <c r="AJ6572">
        <v>67.345708108067996</v>
      </c>
      <c r="AK6572">
        <v>15.5115439640554</v>
      </c>
      <c r="AL6572">
        <v>79.821716391447396</v>
      </c>
      <c r="AM6572">
        <v>75.407571056091996</v>
      </c>
      <c r="AN6572">
        <v>1.00000002661414</v>
      </c>
    </row>
    <row r="6573" spans="1:40" x14ac:dyDescent="0.25">
      <c r="A6573" t="str">
        <f>"20190312172838007"</f>
        <v>20190312172838007</v>
      </c>
      <c r="B6573" t="str">
        <f>"1552382917996982"</f>
        <v>1552382917996982</v>
      </c>
      <c r="C6573" t="s">
        <v>40</v>
      </c>
      <c r="D6573">
        <v>3.4960710000000002</v>
      </c>
      <c r="E6573">
        <v>0.55387900000000001</v>
      </c>
      <c r="F6573" t="s">
        <v>41</v>
      </c>
      <c r="G6573">
        <v>-182.3432</v>
      </c>
      <c r="H6573" s="1">
        <v>-5.023113E-6</v>
      </c>
      <c r="I6573">
        <v>118.1758</v>
      </c>
      <c r="J6573">
        <v>-188.16480000000001</v>
      </c>
      <c r="K6573">
        <v>1.1096820000000001</v>
      </c>
      <c r="L6573">
        <v>104.08320000000001</v>
      </c>
      <c r="M6573">
        <v>-3.9075200000000003E-3</v>
      </c>
      <c r="N6573">
        <v>0</v>
      </c>
      <c r="O6573">
        <v>0.99990020000000002</v>
      </c>
      <c r="P6573">
        <v>0.24648200000000001</v>
      </c>
      <c r="Q6573">
        <v>0.16291020000000001</v>
      </c>
      <c r="R6573">
        <v>0.95535700000000001</v>
      </c>
      <c r="S6573">
        <v>1.171249</v>
      </c>
      <c r="T6573">
        <v>-0.22326760000000001</v>
      </c>
      <c r="U6573">
        <v>2.8784179999999999</v>
      </c>
      <c r="V6573">
        <v>0.25044559999999999</v>
      </c>
      <c r="W6573">
        <v>0.1755227</v>
      </c>
      <c r="X6573">
        <v>0.95208649999999995</v>
      </c>
      <c r="Y6573">
        <v>0.37954850000000001</v>
      </c>
      <c r="Z6573">
        <v>-7.1605340000000003E-2</v>
      </c>
      <c r="AA6573">
        <v>0.92239669999999896</v>
      </c>
      <c r="AB6573">
        <v>21</v>
      </c>
      <c r="AC6573">
        <v>5.8216000000000099</v>
      </c>
      <c r="AD6573">
        <v>-1.109687023113</v>
      </c>
      <c r="AE6573">
        <v>14.0925999999999</v>
      </c>
      <c r="AF6573">
        <v>5.8456659364375501</v>
      </c>
      <c r="AG6573">
        <v>-1.109687023113</v>
      </c>
      <c r="AH6573">
        <v>13.9956139483731</v>
      </c>
      <c r="AI6573">
        <v>94.184464049654494</v>
      </c>
      <c r="AJ6573">
        <v>67.330758874930495</v>
      </c>
      <c r="AK6573">
        <v>15.2079066712545</v>
      </c>
      <c r="AL6573">
        <v>79.890922148396896</v>
      </c>
      <c r="AM6573">
        <v>75.262261275829502</v>
      </c>
      <c r="AN6573">
        <v>0.99999996012844905</v>
      </c>
    </row>
    <row r="6574" spans="1:40" x14ac:dyDescent="0.25">
      <c r="A6574" t="str">
        <f>"20190312172838031"</f>
        <v>20190312172838031</v>
      </c>
      <c r="B6574" t="str">
        <f>"1552382918026259"</f>
        <v>1552382918026259</v>
      </c>
      <c r="C6574" t="s">
        <v>40</v>
      </c>
      <c r="D6574">
        <v>3.4934189999999998</v>
      </c>
      <c r="E6574">
        <v>0.55350749999999904</v>
      </c>
      <c r="F6574" t="s">
        <v>41</v>
      </c>
      <c r="G6574">
        <v>-182.42840000000001</v>
      </c>
      <c r="H6574" s="1">
        <v>-4.9693820000000002E-6</v>
      </c>
      <c r="I6574">
        <v>118.08580000000001</v>
      </c>
      <c r="J6574">
        <v>-188.16460000000001</v>
      </c>
      <c r="K6574">
        <v>1.109648</v>
      </c>
      <c r="L6574">
        <v>104.29130000000001</v>
      </c>
      <c r="M6574">
        <v>-3.01571E-3</v>
      </c>
      <c r="N6574">
        <v>0</v>
      </c>
      <c r="O6574">
        <v>0.99990330000000005</v>
      </c>
      <c r="P6574">
        <v>0.25001869999999998</v>
      </c>
      <c r="Q6574">
        <v>0.16222619999999999</v>
      </c>
      <c r="R6574">
        <v>0.95455400000000001</v>
      </c>
      <c r="S6574">
        <v>1.177856</v>
      </c>
      <c r="T6574">
        <v>-0.22785159999999999</v>
      </c>
      <c r="U6574">
        <v>2.8751530000000001</v>
      </c>
      <c r="V6574">
        <v>0.25314019999999998</v>
      </c>
      <c r="W6574">
        <v>0.17480770000000001</v>
      </c>
      <c r="X6574">
        <v>0.9515053</v>
      </c>
      <c r="Y6574">
        <v>0.3808647</v>
      </c>
      <c r="Z6574">
        <v>-7.3092989999999997E-2</v>
      </c>
      <c r="AA6574">
        <v>0.92173720000000003</v>
      </c>
      <c r="AB6574">
        <v>21</v>
      </c>
      <c r="AC6574">
        <v>5.7361999999999904</v>
      </c>
      <c r="AD6574">
        <v>-1.1096529693820001</v>
      </c>
      <c r="AE6574">
        <v>13.794499999999999</v>
      </c>
      <c r="AF6574">
        <v>5.7460774080661103</v>
      </c>
      <c r="AG6574">
        <v>-1.1096529693820001</v>
      </c>
      <c r="AH6574">
        <v>13.701546853633101</v>
      </c>
      <c r="AI6574">
        <v>94.271241386390003</v>
      </c>
      <c r="AJ6574">
        <v>67.248072577867603</v>
      </c>
      <c r="AK6574">
        <v>14.8990308904388</v>
      </c>
      <c r="AL6574">
        <v>79.932532512278797</v>
      </c>
      <c r="AM6574">
        <v>75.102012358840298</v>
      </c>
      <c r="AN6574">
        <v>1.0000000143817001</v>
      </c>
    </row>
    <row r="6575" spans="1:40" x14ac:dyDescent="0.25">
      <c r="A6575" t="str">
        <f>"20190312172838051"</f>
        <v>20190312172838051</v>
      </c>
      <c r="B6575" t="str">
        <f>"1552382918046755"</f>
        <v>1552382918046755</v>
      </c>
      <c r="C6575" t="s">
        <v>40</v>
      </c>
      <c r="D6575">
        <v>3.508076</v>
      </c>
      <c r="E6575">
        <v>0.55329689999999998</v>
      </c>
      <c r="F6575" t="s">
        <v>41</v>
      </c>
      <c r="G6575">
        <v>-182.46559999999999</v>
      </c>
      <c r="H6575" s="1">
        <v>-4.9678269999999998E-6</v>
      </c>
      <c r="I6575">
        <v>118.0975</v>
      </c>
      <c r="J6575">
        <v>-188.16409999999999</v>
      </c>
      <c r="K6575">
        <v>1.1096239999999999</v>
      </c>
      <c r="L6575">
        <v>104.48739999999999</v>
      </c>
      <c r="M6575">
        <v>-2.136485E-3</v>
      </c>
      <c r="N6575">
        <v>0</v>
      </c>
      <c r="O6575">
        <v>0.99990559999999995</v>
      </c>
      <c r="P6575">
        <v>0.25360690000000002</v>
      </c>
      <c r="Q6575">
        <v>0.1615935</v>
      </c>
      <c r="R6575">
        <v>0.95371439999999996</v>
      </c>
      <c r="S6575">
        <v>1.185333</v>
      </c>
      <c r="T6575">
        <v>-0.23079839999999999</v>
      </c>
      <c r="U6575">
        <v>2.8715820000000001</v>
      </c>
      <c r="V6575">
        <v>0.25589509999999999</v>
      </c>
      <c r="W6575">
        <v>0.174149</v>
      </c>
      <c r="X6575">
        <v>0.95088890000000004</v>
      </c>
      <c r="Y6575">
        <v>0.3824787</v>
      </c>
      <c r="Z6575">
        <v>-7.4056910000000004E-2</v>
      </c>
      <c r="AA6575">
        <v>0.92099169999999997</v>
      </c>
      <c r="AB6575">
        <v>21</v>
      </c>
      <c r="AC6575">
        <v>5.6984999999999904</v>
      </c>
      <c r="AD6575">
        <v>-1.1096289678269999</v>
      </c>
      <c r="AE6575">
        <v>13.610099999999999</v>
      </c>
      <c r="AF6575">
        <v>5.69535656069427</v>
      </c>
      <c r="AG6575">
        <v>-1.1096289678269999</v>
      </c>
      <c r="AH6575">
        <v>13.5214207667824</v>
      </c>
      <c r="AI6575">
        <v>94.3250069828146</v>
      </c>
      <c r="AJ6575">
        <v>67.158691381152394</v>
      </c>
      <c r="AK6575">
        <v>14.7138432216759</v>
      </c>
      <c r="AL6575">
        <v>79.970860394078002</v>
      </c>
      <c r="AM6575">
        <v>74.937885943112406</v>
      </c>
      <c r="AN6575">
        <v>0.99999993827410805</v>
      </c>
    </row>
    <row r="6576" spans="1:40" x14ac:dyDescent="0.25">
      <c r="A6576" t="str">
        <f>"20190312172838075"</f>
        <v>20190312172838075</v>
      </c>
      <c r="B6576" t="str">
        <f>"1552382918066276"</f>
        <v>1552382918066276</v>
      </c>
      <c r="C6576" t="s">
        <v>40</v>
      </c>
      <c r="D6576">
        <v>3.5034860000000001</v>
      </c>
      <c r="E6576">
        <v>0.55310340000000002</v>
      </c>
      <c r="F6576" t="s">
        <v>41</v>
      </c>
      <c r="G6576">
        <v>-182.48589999999999</v>
      </c>
      <c r="H6576" s="1">
        <v>-4.9772119999999999E-6</v>
      </c>
      <c r="I6576">
        <v>118.12779999999999</v>
      </c>
      <c r="J6576">
        <v>-188.1634</v>
      </c>
      <c r="K6576">
        <v>1.109605</v>
      </c>
      <c r="L6576">
        <v>104.7054</v>
      </c>
      <c r="M6576">
        <v>-1.1289430000000001E-3</v>
      </c>
      <c r="N6576">
        <v>0</v>
      </c>
      <c r="O6576">
        <v>0.99990730000000005</v>
      </c>
      <c r="P6576">
        <v>0.25766640000000002</v>
      </c>
      <c r="Q6576">
        <v>0.16102089999999999</v>
      </c>
      <c r="R6576">
        <v>0.95272250000000003</v>
      </c>
      <c r="S6576">
        <v>1.1937409999999999</v>
      </c>
      <c r="T6576">
        <v>-0.23328070000000001</v>
      </c>
      <c r="U6576">
        <v>2.8676759999999999</v>
      </c>
      <c r="V6576">
        <v>0.25899699999999998</v>
      </c>
      <c r="W6576">
        <v>0.1735536</v>
      </c>
      <c r="X6576">
        <v>0.95015780000000005</v>
      </c>
      <c r="Y6576">
        <v>0.38427030000000001</v>
      </c>
      <c r="Z6576">
        <v>-7.487336E-2</v>
      </c>
      <c r="AA6576">
        <v>0.92017950000000004</v>
      </c>
      <c r="AB6576">
        <v>21</v>
      </c>
      <c r="AC6576">
        <v>5.6775000000000002</v>
      </c>
      <c r="AD6576">
        <v>-1.1096099772120001</v>
      </c>
      <c r="AE6576">
        <v>13.4223999999999</v>
      </c>
      <c r="AF6576">
        <v>5.65984129443728</v>
      </c>
      <c r="AG6576">
        <v>-1.1096099772120001</v>
      </c>
      <c r="AH6576">
        <v>13.338658241923</v>
      </c>
      <c r="AI6576">
        <v>94.379096525439294</v>
      </c>
      <c r="AJ6576">
        <v>67.007582638746996</v>
      </c>
      <c r="AK6576">
        <v>14.532200159458499</v>
      </c>
      <c r="AL6576">
        <v>80.005503171713201</v>
      </c>
      <c r="AM6576">
        <v>74.752567864019497</v>
      </c>
      <c r="AN6576">
        <v>1.0000000714913899</v>
      </c>
    </row>
    <row r="6577" spans="1:40" x14ac:dyDescent="0.25">
      <c r="A6577" t="str">
        <f>"20190312172838097"</f>
        <v>20190312172838097</v>
      </c>
      <c r="B6577" t="str">
        <f>"1552382918086771"</f>
        <v>1552382918086771</v>
      </c>
      <c r="C6577" t="s">
        <v>40</v>
      </c>
      <c r="D6577">
        <v>3.5115029999999998</v>
      </c>
      <c r="E6577">
        <v>0.55292229999999998</v>
      </c>
      <c r="F6577" t="s">
        <v>41</v>
      </c>
      <c r="G6577">
        <v>-182.4907</v>
      </c>
      <c r="H6577" s="1">
        <v>-5.0069089999999999E-6</v>
      </c>
      <c r="I6577">
        <v>118.199</v>
      </c>
      <c r="J6577">
        <v>-188.16239999999999</v>
      </c>
      <c r="K6577">
        <v>1.109602</v>
      </c>
      <c r="L6577">
        <v>104.9221</v>
      </c>
      <c r="M6577">
        <v>-1.096777E-4</v>
      </c>
      <c r="N6577">
        <v>0</v>
      </c>
      <c r="O6577">
        <v>0.99990789999999996</v>
      </c>
      <c r="P6577">
        <v>0.26193699999999998</v>
      </c>
      <c r="Q6577">
        <v>0.16018979999999999</v>
      </c>
      <c r="R6577">
        <v>0.95169760000000003</v>
      </c>
      <c r="S6577">
        <v>1.203659</v>
      </c>
      <c r="T6577">
        <v>-0.2354407</v>
      </c>
      <c r="U6577">
        <v>2.8631289999999998</v>
      </c>
      <c r="V6577">
        <v>0.26229639999999999</v>
      </c>
      <c r="W6577">
        <v>0.172704</v>
      </c>
      <c r="X6577">
        <v>0.94940720000000001</v>
      </c>
      <c r="Y6577">
        <v>0.3865382</v>
      </c>
      <c r="Z6577">
        <v>-7.5587050000000003E-2</v>
      </c>
      <c r="AA6577">
        <v>0.91917070000000001</v>
      </c>
      <c r="AB6577">
        <v>21</v>
      </c>
      <c r="AC6577">
        <v>5.67169999999998</v>
      </c>
      <c r="AD6577">
        <v>-1.109607006909</v>
      </c>
      <c r="AE6577">
        <v>13.2768999999999</v>
      </c>
      <c r="AF6577">
        <v>5.6398431469108896</v>
      </c>
      <c r="AG6577">
        <v>-1.109607006909</v>
      </c>
      <c r="AH6577">
        <v>13.1983186598068</v>
      </c>
      <c r="AI6577">
        <v>94.420705582698304</v>
      </c>
      <c r="AJ6577">
        <v>66.862241389672704</v>
      </c>
      <c r="AK6577">
        <v>14.395647740805</v>
      </c>
      <c r="AL6577">
        <v>80.054927825777099</v>
      </c>
      <c r="AM6577">
        <v>74.55591516973</v>
      </c>
      <c r="AN6577">
        <v>1.00000005224039</v>
      </c>
    </row>
    <row r="6578" spans="1:40" x14ac:dyDescent="0.25">
      <c r="A6578" t="str">
        <f>"20190312172838118"</f>
        <v>20190312172838118</v>
      </c>
      <c r="B6578" t="str">
        <f>"1552382918106291"</f>
        <v>1552382918106291</v>
      </c>
      <c r="C6578" t="s">
        <v>40</v>
      </c>
      <c r="D6578">
        <v>3.4823740000000001</v>
      </c>
      <c r="E6578">
        <v>0.55273070000000002</v>
      </c>
      <c r="F6578" t="s">
        <v>41</v>
      </c>
      <c r="G6578">
        <v>-182.49809999999999</v>
      </c>
      <c r="H6578" s="1">
        <v>-5.0264870000000003E-6</v>
      </c>
      <c r="I6578">
        <v>118.24769999999999</v>
      </c>
      <c r="J6578">
        <v>-188.16130000000001</v>
      </c>
      <c r="K6578">
        <v>1.1096060000000001</v>
      </c>
      <c r="L6578">
        <v>105.11969999999999</v>
      </c>
      <c r="M6578">
        <v>8.2476679999999897E-4</v>
      </c>
      <c r="N6578">
        <v>0</v>
      </c>
      <c r="O6578">
        <v>0.99990760000000001</v>
      </c>
      <c r="P6578">
        <v>0.2657332</v>
      </c>
      <c r="Q6578">
        <v>0.160302799999999</v>
      </c>
      <c r="R6578">
        <v>0.95062550000000001</v>
      </c>
      <c r="S6578">
        <v>1.214844</v>
      </c>
      <c r="T6578">
        <v>-0.2379782</v>
      </c>
      <c r="U6578">
        <v>2.8579409999999998</v>
      </c>
      <c r="V6578">
        <v>0.26520310000000002</v>
      </c>
      <c r="W6578">
        <v>0.1728017</v>
      </c>
      <c r="X6578">
        <v>0.94858149999999997</v>
      </c>
      <c r="Y6578">
        <v>0.38929720000000001</v>
      </c>
      <c r="Z6578">
        <v>-7.642177E-2</v>
      </c>
      <c r="AA6578">
        <v>0.91793650000000004</v>
      </c>
      <c r="AB6578">
        <v>21</v>
      </c>
      <c r="AC6578">
        <v>5.6632000000000096</v>
      </c>
      <c r="AD6578">
        <v>-1.1096110264869901</v>
      </c>
      <c r="AE6578">
        <v>13.128</v>
      </c>
      <c r="AF6578">
        <v>5.61852810575063</v>
      </c>
      <c r="AG6578">
        <v>-1.1096110264869901</v>
      </c>
      <c r="AH6578">
        <v>13.054039890626701</v>
      </c>
      <c r="AI6578">
        <v>94.464404659794795</v>
      </c>
      <c r="AJ6578">
        <v>66.712699254879098</v>
      </c>
      <c r="AK6578">
        <v>14.2550711036909</v>
      </c>
      <c r="AL6578">
        <v>80.049243925779606</v>
      </c>
      <c r="AM6578">
        <v>74.380144439082997</v>
      </c>
      <c r="AN6578">
        <v>0.99999998695737402</v>
      </c>
    </row>
    <row r="6579" spans="1:40" x14ac:dyDescent="0.25">
      <c r="A6579" t="str">
        <f>"20190312172838140"</f>
        <v>20190312172838140</v>
      </c>
      <c r="B6579" t="str">
        <f>"1552382918136548"</f>
        <v>1552382918136548</v>
      </c>
      <c r="C6579" t="s">
        <v>40</v>
      </c>
      <c r="D6579">
        <v>3.518294</v>
      </c>
      <c r="E6579">
        <v>0.55244869999999902</v>
      </c>
      <c r="F6579" t="s">
        <v>41</v>
      </c>
      <c r="G6579">
        <v>-182.43530000000001</v>
      </c>
      <c r="H6579" s="1">
        <v>-5.1278539999999996E-6</v>
      </c>
      <c r="I6579">
        <v>118.458</v>
      </c>
      <c r="J6579">
        <v>-188.16</v>
      </c>
      <c r="K6579">
        <v>1.109613</v>
      </c>
      <c r="L6579">
        <v>105.32470000000001</v>
      </c>
      <c r="M6579">
        <v>1.794517E-3</v>
      </c>
      <c r="N6579">
        <v>0</v>
      </c>
      <c r="O6579">
        <v>0.99990639999999997</v>
      </c>
      <c r="P6579">
        <v>0.26987840000000002</v>
      </c>
      <c r="Q6579">
        <v>0.16073319999999999</v>
      </c>
      <c r="R6579">
        <v>0.94938429999999996</v>
      </c>
      <c r="S6579">
        <v>1.224945</v>
      </c>
      <c r="T6579">
        <v>-0.23737449999999999</v>
      </c>
      <c r="U6579">
        <v>2.853424</v>
      </c>
      <c r="V6579">
        <v>0.26842640000000001</v>
      </c>
      <c r="W6579">
        <v>0.17321589999999901</v>
      </c>
      <c r="X6579">
        <v>0.94759879999999996</v>
      </c>
      <c r="Y6579">
        <v>0.39167869999999999</v>
      </c>
      <c r="Z6579">
        <v>-7.6248650000000001E-2</v>
      </c>
      <c r="AA6579">
        <v>0.91693720000000001</v>
      </c>
      <c r="AB6579">
        <v>21</v>
      </c>
      <c r="AC6579">
        <v>5.7246999999999799</v>
      </c>
      <c r="AD6579">
        <v>-1.109618127854</v>
      </c>
      <c r="AE6579">
        <v>13.133299999999901</v>
      </c>
      <c r="AF6579">
        <v>5.6671257186350701</v>
      </c>
      <c r="AG6579">
        <v>-1.109618127854</v>
      </c>
      <c r="AH6579">
        <v>13.065179748297099</v>
      </c>
      <c r="AI6579">
        <v>94.455222017466397</v>
      </c>
      <c r="AJ6579">
        <v>66.550827296496607</v>
      </c>
      <c r="AK6579">
        <v>14.2844841753487</v>
      </c>
      <c r="AL6579">
        <v>80.025148623630599</v>
      </c>
      <c r="AM6579">
        <v>74.184160260669202</v>
      </c>
      <c r="AN6579">
        <v>0.999999982995604</v>
      </c>
    </row>
    <row r="6580" spans="1:40" x14ac:dyDescent="0.25">
      <c r="A6580" t="str">
        <f>"20190312172838162"</f>
        <v>20190312172838162</v>
      </c>
      <c r="B6580" t="str">
        <f>"1552382918156066"</f>
        <v>1552382918156066</v>
      </c>
      <c r="C6580" t="s">
        <v>40</v>
      </c>
      <c r="D6580">
        <v>3.4986549999999998</v>
      </c>
      <c r="E6580">
        <v>0.55227530000000002</v>
      </c>
      <c r="F6580" t="s">
        <v>41</v>
      </c>
      <c r="G6580">
        <v>-182.35159999999999</v>
      </c>
      <c r="H6580" s="1">
        <v>-5.255479E-6</v>
      </c>
      <c r="I6580">
        <v>118.7209</v>
      </c>
      <c r="J6580">
        <v>-188.1584</v>
      </c>
      <c r="K6580">
        <v>1.1096220000000001</v>
      </c>
      <c r="L6580">
        <v>105.53530000000001</v>
      </c>
      <c r="M6580">
        <v>2.7882710000000002E-3</v>
      </c>
      <c r="N6580">
        <v>0</v>
      </c>
      <c r="O6580">
        <v>0.99990409999999996</v>
      </c>
      <c r="P6580">
        <v>0.27370749999999999</v>
      </c>
      <c r="Q6580">
        <v>0.1612806</v>
      </c>
      <c r="R6580">
        <v>0.94819450000000005</v>
      </c>
      <c r="S6580">
        <v>1.2351989999999999</v>
      </c>
      <c r="T6580">
        <v>-0.23596629999999999</v>
      </c>
      <c r="U6580">
        <v>2.84877</v>
      </c>
      <c r="V6580">
        <v>0.27131270000000002</v>
      </c>
      <c r="W6580">
        <v>0.17374899999999999</v>
      </c>
      <c r="X6580">
        <v>0.94667880000000004</v>
      </c>
      <c r="Y6580">
        <v>0.39410119999999998</v>
      </c>
      <c r="Z6580">
        <v>-7.5819540000000005E-2</v>
      </c>
      <c r="AA6580">
        <v>0.91593429999999998</v>
      </c>
      <c r="AB6580">
        <v>21</v>
      </c>
      <c r="AC6580">
        <v>5.8068000000000097</v>
      </c>
      <c r="AD6580">
        <v>-1.1096272554790001</v>
      </c>
      <c r="AE6580">
        <v>13.1855999999999</v>
      </c>
      <c r="AF6580">
        <v>5.7359855196903196</v>
      </c>
      <c r="AG6580">
        <v>-1.1096272554790001</v>
      </c>
      <c r="AH6580">
        <v>13.1238956342691</v>
      </c>
      <c r="AI6580">
        <v>94.430062597708996</v>
      </c>
      <c r="AJ6580">
        <v>66.391581528160103</v>
      </c>
      <c r="AK6580">
        <v>14.365564351858399</v>
      </c>
      <c r="AL6580">
        <v>79.994134373351699</v>
      </c>
      <c r="AM6580">
        <v>74.008001890071</v>
      </c>
      <c r="AN6580">
        <v>1.0000000232758599</v>
      </c>
    </row>
    <row r="6581" spans="1:40" x14ac:dyDescent="0.25">
      <c r="A6581" t="str">
        <f>"20190312172838186"</f>
        <v>20190312172838186</v>
      </c>
      <c r="B6581" t="str">
        <f>"1552382918176563"</f>
        <v>1552382918176563</v>
      </c>
      <c r="C6581" t="s">
        <v>40</v>
      </c>
      <c r="D6581">
        <v>3.4980699999999998</v>
      </c>
      <c r="E6581">
        <v>0.55207069999999903</v>
      </c>
      <c r="F6581" t="s">
        <v>41</v>
      </c>
      <c r="G6581">
        <v>-182.2586</v>
      </c>
      <c r="H6581" s="1">
        <v>-5.3957599999999998E-6</v>
      </c>
      <c r="I6581">
        <v>119.0095</v>
      </c>
      <c r="J6581">
        <v>-188.1567</v>
      </c>
      <c r="K6581">
        <v>1.109629</v>
      </c>
      <c r="L6581">
        <v>105.7466</v>
      </c>
      <c r="M6581">
        <v>3.7867529999999999E-3</v>
      </c>
      <c r="N6581">
        <v>0</v>
      </c>
      <c r="O6581">
        <v>0.99990080000000003</v>
      </c>
      <c r="P6581">
        <v>0.2762965</v>
      </c>
      <c r="Q6581">
        <v>0.1615625</v>
      </c>
      <c r="R6581">
        <v>0.94739530000000005</v>
      </c>
      <c r="S6581">
        <v>1.2454069999999999</v>
      </c>
      <c r="T6581">
        <v>-0.23423150000000001</v>
      </c>
      <c r="U6581">
        <v>2.8442539999999998</v>
      </c>
      <c r="V6581">
        <v>0.27295570000000002</v>
      </c>
      <c r="W6581">
        <v>0.17402219999999999</v>
      </c>
      <c r="X6581">
        <v>0.94615610000000006</v>
      </c>
      <c r="Y6581">
        <v>0.39649190000000001</v>
      </c>
      <c r="Z6581">
        <v>-7.5282399999999999E-2</v>
      </c>
      <c r="AA6581">
        <v>0.91494629999999999</v>
      </c>
      <c r="AB6581">
        <v>21</v>
      </c>
      <c r="AC6581">
        <v>5.8981000000000003</v>
      </c>
      <c r="AD6581">
        <v>-1.1096343957599999</v>
      </c>
      <c r="AE6581">
        <v>13.2629</v>
      </c>
      <c r="AF6581">
        <v>5.8138534890505102</v>
      </c>
      <c r="AG6581">
        <v>-1.1096343957599999</v>
      </c>
      <c r="AH6581">
        <v>13.207954068457701</v>
      </c>
      <c r="AI6581">
        <v>94.396988340009599</v>
      </c>
      <c r="AJ6581">
        <v>66.241951873390406</v>
      </c>
      <c r="AK6581">
        <v>14.4735010125017</v>
      </c>
      <c r="AL6581">
        <v>79.978238302123501</v>
      </c>
      <c r="AM6581">
        <v>73.907727025782293</v>
      </c>
      <c r="AN6581">
        <v>0.99999995291126897</v>
      </c>
    </row>
    <row r="6582" spans="1:40" x14ac:dyDescent="0.25">
      <c r="A6582" t="str">
        <f>"20190312172838207"</f>
        <v>20190312172838207</v>
      </c>
      <c r="B6582" t="str">
        <f>"1552382918196084"</f>
        <v>1552382918196084</v>
      </c>
      <c r="C6582" t="s">
        <v>40</v>
      </c>
      <c r="D6582">
        <v>3.4816400000000001</v>
      </c>
      <c r="E6582">
        <v>0.55189180000000004</v>
      </c>
      <c r="F6582" t="s">
        <v>41</v>
      </c>
      <c r="G6582">
        <v>-182.19470000000001</v>
      </c>
      <c r="H6582" s="1">
        <v>-5.5197669999999998E-6</v>
      </c>
      <c r="I6582">
        <v>119.27209999999999</v>
      </c>
      <c r="J6582">
        <v>-188.15479999999999</v>
      </c>
      <c r="K6582">
        <v>1.1096330000000001</v>
      </c>
      <c r="L6582">
        <v>105.94289999999999</v>
      </c>
      <c r="M6582">
        <v>4.7263920000000003E-3</v>
      </c>
      <c r="N6582">
        <v>0</v>
      </c>
      <c r="O6582">
        <v>0.99989689999999998</v>
      </c>
      <c r="P6582">
        <v>0.27890690000000001</v>
      </c>
      <c r="Q6582">
        <v>0.1624881</v>
      </c>
      <c r="R6582">
        <v>0.94647159999999997</v>
      </c>
      <c r="S6582">
        <v>1.252335</v>
      </c>
      <c r="T6582">
        <v>-0.23308400000000001</v>
      </c>
      <c r="U6582">
        <v>2.8410950000000001</v>
      </c>
      <c r="V6582">
        <v>0.27468150000000002</v>
      </c>
      <c r="W6582">
        <v>0.1749327</v>
      </c>
      <c r="X6582">
        <v>0.94548860000000001</v>
      </c>
      <c r="Y6582">
        <v>0.39788319999999999</v>
      </c>
      <c r="Z6582">
        <v>-7.4932730000000003E-2</v>
      </c>
      <c r="AA6582">
        <v>0.91437080000000004</v>
      </c>
      <c r="AB6582">
        <v>21</v>
      </c>
      <c r="AC6582">
        <v>5.9600999999999802</v>
      </c>
      <c r="AD6582">
        <v>-1.109638519767</v>
      </c>
      <c r="AE6582">
        <v>13.3292</v>
      </c>
      <c r="AF6582">
        <v>5.8631654294095998</v>
      </c>
      <c r="AG6582">
        <v>-1.109638519767</v>
      </c>
      <c r="AH6582">
        <v>13.280520763998799</v>
      </c>
      <c r="AI6582">
        <v>94.370969780301706</v>
      </c>
      <c r="AJ6582">
        <v>66.179207690793604</v>
      </c>
      <c r="AK6582">
        <v>14.559541141814099</v>
      </c>
      <c r="AL6582">
        <v>79.925258660919795</v>
      </c>
      <c r="AM6582">
        <v>73.800465558657095</v>
      </c>
      <c r="AN6582">
        <v>1.00000003435074</v>
      </c>
    </row>
    <row r="6583" spans="1:40" x14ac:dyDescent="0.25">
      <c r="A6583" t="str">
        <f>"20190312172838231"</f>
        <v>20190312172838231</v>
      </c>
      <c r="B6583" t="str">
        <f>"1552382918226339"</f>
        <v>1552382918226339</v>
      </c>
      <c r="C6583" t="s">
        <v>40</v>
      </c>
      <c r="D6583">
        <v>3.504464</v>
      </c>
      <c r="E6583">
        <v>0.55162040000000001</v>
      </c>
      <c r="F6583" t="s">
        <v>50</v>
      </c>
      <c r="G6583">
        <v>-182.06649999999999</v>
      </c>
      <c r="H6583" s="1">
        <v>-2.1107399999999998E-6</v>
      </c>
      <c r="I6583">
        <v>119.65389999999999</v>
      </c>
      <c r="J6583">
        <v>-188.1525</v>
      </c>
      <c r="K6583">
        <v>1.1096200000000001</v>
      </c>
      <c r="L6583">
        <v>106.1593</v>
      </c>
      <c r="M6583">
        <v>5.7983890000000001E-3</v>
      </c>
      <c r="N6583">
        <v>0</v>
      </c>
      <c r="O6583">
        <v>0.99989119999999998</v>
      </c>
      <c r="P6583">
        <v>0.28127829999999998</v>
      </c>
      <c r="Q6583">
        <v>0.16336719999999999</v>
      </c>
      <c r="R6583">
        <v>0.94561819999999996</v>
      </c>
      <c r="S6583">
        <v>1.2601009999999999</v>
      </c>
      <c r="T6583">
        <v>-0.22966220000000001</v>
      </c>
      <c r="U6583">
        <v>2.8377690000000002</v>
      </c>
      <c r="V6583">
        <v>0.27604980000000001</v>
      </c>
      <c r="W6583">
        <v>0.17578940000000001</v>
      </c>
      <c r="X6583">
        <v>0.94493099999999997</v>
      </c>
      <c r="Y6583">
        <v>0.39942040000000001</v>
      </c>
      <c r="Z6583">
        <v>-7.385274E-2</v>
      </c>
      <c r="AA6583">
        <v>0.9137883</v>
      </c>
      <c r="AB6583">
        <v>21</v>
      </c>
      <c r="AC6583">
        <v>6.0860000000000101</v>
      </c>
      <c r="AD6583">
        <v>-1.1096221107399999</v>
      </c>
      <c r="AE6583">
        <v>13.494599999999901</v>
      </c>
      <c r="AF6583">
        <v>5.9740780987098701</v>
      </c>
      <c r="AG6583">
        <v>-1.1096221107399999</v>
      </c>
      <c r="AH6583">
        <v>13.4540734633008</v>
      </c>
      <c r="AI6583">
        <v>94.310682764907796</v>
      </c>
      <c r="AJ6583">
        <v>66.057108863741604</v>
      </c>
      <c r="AK6583">
        <v>14.7625527302707</v>
      </c>
      <c r="AL6583">
        <v>79.875400426944296</v>
      </c>
      <c r="AM6583">
        <v>73.714935538069994</v>
      </c>
      <c r="AN6583">
        <v>0.99999999999669997</v>
      </c>
    </row>
    <row r="6584" spans="1:40" x14ac:dyDescent="0.25">
      <c r="A6584" t="str">
        <f>"20190312172838252"</f>
        <v>20190312172838252</v>
      </c>
      <c r="B6584" t="str">
        <f>"1552382918246835"</f>
        <v>1552382918246835</v>
      </c>
      <c r="C6584" t="s">
        <v>40</v>
      </c>
      <c r="D6584">
        <v>3.5020899999999999</v>
      </c>
      <c r="E6584">
        <v>0.55146609999999996</v>
      </c>
      <c r="F6584" t="s">
        <v>50</v>
      </c>
      <c r="G6584">
        <v>-181.96100000000001</v>
      </c>
      <c r="H6584" s="1">
        <v>-2.2493659999999999E-6</v>
      </c>
      <c r="I6584">
        <v>120.0292</v>
      </c>
      <c r="J6584">
        <v>-188.15</v>
      </c>
      <c r="K6584">
        <v>1.109599</v>
      </c>
      <c r="L6584">
        <v>106.36409999999999</v>
      </c>
      <c r="M6584">
        <v>6.8688789999999996E-3</v>
      </c>
      <c r="N6584">
        <v>0</v>
      </c>
      <c r="O6584">
        <v>0.99988449999999995</v>
      </c>
      <c r="P6584">
        <v>0.28354980000000002</v>
      </c>
      <c r="Q6584">
        <v>0.16422049999999999</v>
      </c>
      <c r="R6584">
        <v>0.94479159999999995</v>
      </c>
      <c r="S6584">
        <v>1.2656400000000001</v>
      </c>
      <c r="T6584">
        <v>-0.22682379999999999</v>
      </c>
      <c r="U6584">
        <v>2.8352360000000001</v>
      </c>
      <c r="V6584">
        <v>0.2773272</v>
      </c>
      <c r="W6584">
        <v>0.17661170000000001</v>
      </c>
      <c r="X6584">
        <v>0.94440349999999995</v>
      </c>
      <c r="Y6584">
        <v>0.40025850000000002</v>
      </c>
      <c r="Z6584">
        <v>-7.2962310000000002E-2</v>
      </c>
      <c r="AA6584">
        <v>0.91349309999999995</v>
      </c>
      <c r="AB6584">
        <v>21</v>
      </c>
      <c r="AC6584">
        <v>6.1890000000000196</v>
      </c>
      <c r="AD6584">
        <v>-1.1096012493659999</v>
      </c>
      <c r="AE6584">
        <v>13.665100000000001</v>
      </c>
      <c r="AF6584">
        <v>6.0618164616358996</v>
      </c>
      <c r="AG6584">
        <v>-1.1096012493659999</v>
      </c>
      <c r="AH6584">
        <v>13.6327067125518</v>
      </c>
      <c r="AI6584">
        <v>94.253356487621303</v>
      </c>
      <c r="AJ6584">
        <v>66.027559706255502</v>
      </c>
      <c r="AK6584">
        <v>14.960866487526999</v>
      </c>
      <c r="AL6584">
        <v>79.827537454340302</v>
      </c>
      <c r="AM6584">
        <v>73.634949867498307</v>
      </c>
      <c r="AN6584">
        <v>1.00000001962448</v>
      </c>
    </row>
    <row r="6585" spans="1:40" x14ac:dyDescent="0.25">
      <c r="A6585" t="str">
        <f>"20190312172838277"</f>
        <v>20190312172838277</v>
      </c>
      <c r="B6585" t="str">
        <f>"1552382918266354"</f>
        <v>1552382918266354</v>
      </c>
      <c r="C6585" t="s">
        <v>40</v>
      </c>
      <c r="D6585">
        <v>3.533147</v>
      </c>
      <c r="E6585">
        <v>0.55136529999999995</v>
      </c>
      <c r="F6585" t="s">
        <v>50</v>
      </c>
      <c r="G6585">
        <v>-181.86410000000001</v>
      </c>
      <c r="H6585" s="1">
        <v>-2.3758179999999998E-6</v>
      </c>
      <c r="I6585">
        <v>120.371</v>
      </c>
      <c r="J6585">
        <v>-188.14699999999999</v>
      </c>
      <c r="K6585">
        <v>1.1095649999999999</v>
      </c>
      <c r="L6585">
        <v>106.5834</v>
      </c>
      <c r="M6585">
        <v>8.0804169999999995E-3</v>
      </c>
      <c r="N6585">
        <v>0</v>
      </c>
      <c r="O6585">
        <v>0.99987539999999997</v>
      </c>
      <c r="P6585">
        <v>0.28607369999999999</v>
      </c>
      <c r="Q6585">
        <v>0.165690899999999</v>
      </c>
      <c r="R6585">
        <v>0.94377339999999998</v>
      </c>
      <c r="S6585">
        <v>1.27127099999999</v>
      </c>
      <c r="T6585">
        <v>-0.22440640000000001</v>
      </c>
      <c r="U6585">
        <v>2.8327640000000001</v>
      </c>
      <c r="V6585">
        <v>0.2787328</v>
      </c>
      <c r="W6585">
        <v>0.1780407</v>
      </c>
      <c r="X6585">
        <v>0.94372109999999998</v>
      </c>
      <c r="Y6585">
        <v>0.40098030000000001</v>
      </c>
      <c r="Z6585">
        <v>-7.2205599999999995E-2</v>
      </c>
      <c r="AA6585">
        <v>0.91323659999999995</v>
      </c>
      <c r="AB6585">
        <v>21</v>
      </c>
      <c r="AC6585">
        <v>6.2829000000000104</v>
      </c>
      <c r="AD6585">
        <v>-1.109567375818</v>
      </c>
      <c r="AE6585">
        <v>13.787599999999999</v>
      </c>
      <c r="AF6585">
        <v>6.1383566090736901</v>
      </c>
      <c r="AG6585">
        <v>-1.109567375818</v>
      </c>
      <c r="AH6585">
        <v>13.764109523144301</v>
      </c>
      <c r="AI6585">
        <v>94.210717306114404</v>
      </c>
      <c r="AJ6585">
        <v>65.964643222254594</v>
      </c>
      <c r="AK6585">
        <v>15.111627066161599</v>
      </c>
      <c r="AL6585">
        <v>79.744343018612895</v>
      </c>
      <c r="AM6585">
        <v>73.545227911911496</v>
      </c>
      <c r="AN6585">
        <v>0.99999998961877001</v>
      </c>
    </row>
    <row r="6586" spans="1:40" x14ac:dyDescent="0.25">
      <c r="A6586" t="str">
        <f>"20190312172838299"</f>
        <v>20190312172838299</v>
      </c>
      <c r="B6586" t="str">
        <f>"1552382918296612"</f>
        <v>1552382918296612</v>
      </c>
      <c r="C6586" t="s">
        <v>40</v>
      </c>
      <c r="D6586">
        <v>3.4779749999999998</v>
      </c>
      <c r="E6586">
        <v>0.53368309999999997</v>
      </c>
      <c r="F6586" t="s">
        <v>50</v>
      </c>
      <c r="G6586">
        <v>-181.69970000000001</v>
      </c>
      <c r="H6586" s="1">
        <v>-2.561608E-6</v>
      </c>
      <c r="I6586">
        <v>120.85339999999999</v>
      </c>
      <c r="J6586">
        <v>-188.1439</v>
      </c>
      <c r="K6586">
        <v>1.109523</v>
      </c>
      <c r="L6586">
        <v>106.7901</v>
      </c>
      <c r="M6586">
        <v>9.305687E-3</v>
      </c>
      <c r="N6586">
        <v>0</v>
      </c>
      <c r="O6586">
        <v>0.9998648</v>
      </c>
      <c r="P6586">
        <v>0.28859089999999998</v>
      </c>
      <c r="Q6586">
        <v>0.1667855</v>
      </c>
      <c r="R6586">
        <v>0.94281380000000004</v>
      </c>
      <c r="S6586">
        <v>1.2785489999999999</v>
      </c>
      <c r="T6586">
        <v>-0.22003410000000001</v>
      </c>
      <c r="U6586">
        <v>2.8298190000000001</v>
      </c>
      <c r="V6586">
        <v>0.280122599999999</v>
      </c>
      <c r="W6586">
        <v>0.1790902</v>
      </c>
      <c r="X6586">
        <v>0.94311080000000003</v>
      </c>
      <c r="Y6586">
        <v>0.40220650000000002</v>
      </c>
      <c r="Z6586">
        <v>-7.0816840000000006E-2</v>
      </c>
      <c r="AA6586">
        <v>0.91280609999999995</v>
      </c>
      <c r="AB6586">
        <v>21</v>
      </c>
      <c r="AC6586">
        <v>6.4441999999999897</v>
      </c>
      <c r="AD6586">
        <v>-1.109525561608</v>
      </c>
      <c r="AE6586">
        <v>14.0632999999999</v>
      </c>
      <c r="AF6586">
        <v>6.2807304022265003</v>
      </c>
      <c r="AG6586">
        <v>-1.109525561608</v>
      </c>
      <c r="AH6586">
        <v>14.050385093164699</v>
      </c>
      <c r="AI6586">
        <v>94.123467328109498</v>
      </c>
      <c r="AJ6586">
        <v>65.914648849818207</v>
      </c>
      <c r="AK6586">
        <v>15.430228210351901</v>
      </c>
      <c r="AL6586">
        <v>79.683228726982605</v>
      </c>
      <c r="AM6586">
        <v>73.457536944229602</v>
      </c>
      <c r="AN6586">
        <v>0.99999997592171896</v>
      </c>
    </row>
    <row r="6587" spans="1:40" x14ac:dyDescent="0.25">
      <c r="A6587" t="str">
        <f>"20190312172838320"</f>
        <v>20190312172838320</v>
      </c>
      <c r="B6587" t="str">
        <f>"1552382918316131"</f>
        <v>1552382918316131</v>
      </c>
      <c r="C6587" t="s">
        <v>40</v>
      </c>
      <c r="D6587">
        <v>3.5076450000000001</v>
      </c>
      <c r="E6587">
        <v>0.5335529</v>
      </c>
      <c r="F6587" t="s">
        <v>50</v>
      </c>
      <c r="G6587">
        <v>-182.82300000000001</v>
      </c>
      <c r="H6587" s="1">
        <v>-2.0237120000000001E-6</v>
      </c>
      <c r="I6587">
        <v>120.04179999999999</v>
      </c>
      <c r="J6587">
        <v>-188.14070000000001</v>
      </c>
      <c r="K6587">
        <v>1.1094710000000001</v>
      </c>
      <c r="L6587">
        <v>106.9812</v>
      </c>
      <c r="M6587">
        <v>1.0536169999999999E-2</v>
      </c>
      <c r="N6587">
        <v>0</v>
      </c>
      <c r="O6587">
        <v>0.99985259999999998</v>
      </c>
      <c r="P6587">
        <v>0.29109220000000002</v>
      </c>
      <c r="Q6587">
        <v>0.1671956</v>
      </c>
      <c r="R6587">
        <v>0.94197180000000003</v>
      </c>
      <c r="S6587">
        <v>1.153</v>
      </c>
      <c r="T6587">
        <v>-0.2404251</v>
      </c>
      <c r="U6587">
        <v>2.8715519999999999</v>
      </c>
      <c r="V6587">
        <v>0.28149429999999998</v>
      </c>
      <c r="W6587">
        <v>0.17945239999999901</v>
      </c>
      <c r="X6587">
        <v>0.94263350000000001</v>
      </c>
      <c r="Y6587">
        <v>0.36168840000000002</v>
      </c>
      <c r="Z6587">
        <v>-7.7612529999999999E-2</v>
      </c>
      <c r="AA6587">
        <v>0.92906279999999997</v>
      </c>
      <c r="AB6587">
        <v>21</v>
      </c>
      <c r="AC6587">
        <v>5.3177000000000296</v>
      </c>
      <c r="AD6587">
        <v>-1.1094730237120001</v>
      </c>
      <c r="AE6587">
        <v>13.0605999999999</v>
      </c>
      <c r="AF6587">
        <v>5.1479177070431303</v>
      </c>
      <c r="AG6587">
        <v>-1.1094730237120001</v>
      </c>
      <c r="AH6587">
        <v>13.035219959695899</v>
      </c>
      <c r="AI6587">
        <v>94.526306387343993</v>
      </c>
      <c r="AJ6587">
        <v>68.449760256102095</v>
      </c>
      <c r="AK6587">
        <v>14.0587676026915</v>
      </c>
      <c r="AL6587">
        <v>79.662135340415006</v>
      </c>
      <c r="AM6587">
        <v>73.373039168983397</v>
      </c>
      <c r="AN6587">
        <v>1.0000000600602399</v>
      </c>
    </row>
    <row r="6588" spans="1:40" x14ac:dyDescent="0.25">
      <c r="A6588" t="str">
        <f>"20190312172838341"</f>
        <v>20190312172838341</v>
      </c>
      <c r="B6588" t="str">
        <f>"1552382918336627"</f>
        <v>1552382918336627</v>
      </c>
      <c r="C6588" t="s">
        <v>40</v>
      </c>
      <c r="D6588">
        <v>3.505932</v>
      </c>
      <c r="E6588">
        <v>0.53336450000000002</v>
      </c>
      <c r="F6588" t="s">
        <v>50</v>
      </c>
      <c r="G6588">
        <v>-182.607</v>
      </c>
      <c r="H6588" s="1">
        <v>-2.2654809999999998E-6</v>
      </c>
      <c r="I6588">
        <v>120.6675</v>
      </c>
      <c r="J6588">
        <v>-188.137</v>
      </c>
      <c r="K6588">
        <v>1.1094079999999999</v>
      </c>
      <c r="L6588">
        <v>107.1794</v>
      </c>
      <c r="M6588">
        <v>1.192761E-2</v>
      </c>
      <c r="N6588">
        <v>0</v>
      </c>
      <c r="O6588">
        <v>0.99983699999999998</v>
      </c>
      <c r="P6588">
        <v>0.29403449999999998</v>
      </c>
      <c r="Q6588">
        <v>0.16753959999999901</v>
      </c>
      <c r="R6588">
        <v>0.94099630000000001</v>
      </c>
      <c r="S6588">
        <v>1.1595</v>
      </c>
      <c r="T6588">
        <v>-0.23247129999999999</v>
      </c>
      <c r="U6588">
        <v>2.8677519999999999</v>
      </c>
      <c r="V6588">
        <v>0.28316429999999998</v>
      </c>
      <c r="W6588">
        <v>0.17973710000000001</v>
      </c>
      <c r="X6588">
        <v>0.94207890000000005</v>
      </c>
      <c r="Y6588">
        <v>0.36270039999999998</v>
      </c>
      <c r="Z6588">
        <v>-7.5104879999999999E-2</v>
      </c>
      <c r="AA6588">
        <v>0.92887439999999999</v>
      </c>
      <c r="AB6588">
        <v>21</v>
      </c>
      <c r="AC6588">
        <v>5.53</v>
      </c>
      <c r="AD6588">
        <v>-1.1094102654810001</v>
      </c>
      <c r="AE6588">
        <v>13.488099999999999</v>
      </c>
      <c r="AF6588">
        <v>5.3377960920985199</v>
      </c>
      <c r="AG6588">
        <v>-1.1094102654810001</v>
      </c>
      <c r="AH6588">
        <v>13.4750626474773</v>
      </c>
      <c r="AI6588">
        <v>94.377109461972594</v>
      </c>
      <c r="AJ6588">
        <v>68.390291570068001</v>
      </c>
      <c r="AK6588">
        <v>14.5361677071852</v>
      </c>
      <c r="AL6588">
        <v>79.645553518832699</v>
      </c>
      <c r="AM6588">
        <v>73.270595138753194</v>
      </c>
      <c r="AN6588">
        <v>1.0000000498680499</v>
      </c>
    </row>
    <row r="6589" spans="1:40" x14ac:dyDescent="0.25">
      <c r="A6589" t="str">
        <f>"20190312172838364"</f>
        <v>20190312172838364</v>
      </c>
      <c r="B6589" t="str">
        <f>"1552382918356147"</f>
        <v>1552382918356147</v>
      </c>
      <c r="C6589" t="s">
        <v>40</v>
      </c>
      <c r="D6589">
        <v>3.494685</v>
      </c>
      <c r="E6589">
        <v>0.53348359999999995</v>
      </c>
      <c r="F6589" t="s">
        <v>50</v>
      </c>
      <c r="G6589">
        <v>-182.49709999999999</v>
      </c>
      <c r="H6589" s="1">
        <v>-2.4029080000000001E-6</v>
      </c>
      <c r="I6589">
        <v>121.03489999999999</v>
      </c>
      <c r="J6589">
        <v>-188.1326</v>
      </c>
      <c r="K6589">
        <v>1.1093249999999999</v>
      </c>
      <c r="L6589">
        <v>107.39149999999999</v>
      </c>
      <c r="M6589">
        <v>1.3549719999999999E-2</v>
      </c>
      <c r="N6589">
        <v>0</v>
      </c>
      <c r="O6589">
        <v>0.99981629999999999</v>
      </c>
      <c r="P6589">
        <v>0.29784490000000002</v>
      </c>
      <c r="Q6589">
        <v>0.16723669999999999</v>
      </c>
      <c r="R6589">
        <v>0.9398512</v>
      </c>
      <c r="S6589">
        <v>1.166031</v>
      </c>
      <c r="T6589">
        <v>-0.2293676</v>
      </c>
      <c r="U6589">
        <v>2.8645939999999999</v>
      </c>
      <c r="V6589">
        <v>0.28549360000000001</v>
      </c>
      <c r="W6589">
        <v>0.17936189999999999</v>
      </c>
      <c r="X6589">
        <v>0.94144709999999998</v>
      </c>
      <c r="Y6589">
        <v>0.3633903</v>
      </c>
      <c r="Z6589">
        <v>-7.4140330000000004E-2</v>
      </c>
      <c r="AA6589">
        <v>0.92868220000000001</v>
      </c>
      <c r="AB6589">
        <v>21</v>
      </c>
      <c r="AC6589">
        <v>5.6355000000000004</v>
      </c>
      <c r="AD6589">
        <v>-1.10932740290799</v>
      </c>
      <c r="AE6589">
        <v>13.6434</v>
      </c>
      <c r="AF6589">
        <v>5.41949447117136</v>
      </c>
      <c r="AG6589">
        <v>-1.10932740290799</v>
      </c>
      <c r="AH6589">
        <v>13.641472895176401</v>
      </c>
      <c r="AI6589">
        <v>94.321888415341803</v>
      </c>
      <c r="AJ6589">
        <v>68.333028410486904</v>
      </c>
      <c r="AK6589">
        <v>14.720438524708801</v>
      </c>
      <c r="AL6589">
        <v>79.667405128432193</v>
      </c>
      <c r="AM6589">
        <v>73.130085896748795</v>
      </c>
      <c r="AN6589">
        <v>0.999999964455489</v>
      </c>
    </row>
    <row r="6590" spans="1:40" x14ac:dyDescent="0.25">
      <c r="A6590" t="str">
        <f>"20190312172838386"</f>
        <v>20190312172838386</v>
      </c>
      <c r="B6590" t="str">
        <f>"1552382918376643"</f>
        <v>1552382918376643</v>
      </c>
      <c r="C6590" t="s">
        <v>40</v>
      </c>
      <c r="D6590">
        <v>3.491724</v>
      </c>
      <c r="E6590">
        <v>0.53345290000000001</v>
      </c>
      <c r="F6590" t="s">
        <v>50</v>
      </c>
      <c r="G6590">
        <v>-182.48320000000001</v>
      </c>
      <c r="H6590" s="1">
        <v>-2.4315739999999999E-6</v>
      </c>
      <c r="I6590">
        <v>121.11960000000001</v>
      </c>
      <c r="J6590">
        <v>-188.12799999999999</v>
      </c>
      <c r="K6590">
        <v>1.109237</v>
      </c>
      <c r="L6590">
        <v>107.5907</v>
      </c>
      <c r="M6590">
        <v>1.520007E-2</v>
      </c>
      <c r="N6590">
        <v>0</v>
      </c>
      <c r="O6590">
        <v>0.99979260000000003</v>
      </c>
      <c r="P6590">
        <v>0.3014386</v>
      </c>
      <c r="Q6590">
        <v>0.1668972</v>
      </c>
      <c r="R6590">
        <v>0.93876519999999997</v>
      </c>
      <c r="S6590">
        <v>1.1770020000000001</v>
      </c>
      <c r="T6590">
        <v>-0.23111619999999999</v>
      </c>
      <c r="U6590">
        <v>2.8601070000000002</v>
      </c>
      <c r="V6590">
        <v>0.28757969999999999</v>
      </c>
      <c r="W6590">
        <v>0.17895420000000001</v>
      </c>
      <c r="X6590">
        <v>0.94088970000000005</v>
      </c>
      <c r="Y6590">
        <v>0.36539490000000002</v>
      </c>
      <c r="Z6590">
        <v>-7.4724979999999996E-2</v>
      </c>
      <c r="AA6590">
        <v>0.92784849999999996</v>
      </c>
      <c r="AB6590">
        <v>20</v>
      </c>
      <c r="AC6590">
        <v>5.6447999999999698</v>
      </c>
      <c r="AD6590">
        <v>-1.109239431574</v>
      </c>
      <c r="AE6590">
        <v>13.5289</v>
      </c>
      <c r="AF6590">
        <v>5.4075270449166402</v>
      </c>
      <c r="AG6590">
        <v>-1.109239431574</v>
      </c>
      <c r="AH6590">
        <v>13.5356456731121</v>
      </c>
      <c r="AI6590">
        <v>94.351891967158906</v>
      </c>
      <c r="AJ6590">
        <v>68.223157630047297</v>
      </c>
      <c r="AK6590">
        <v>14.6179842880645</v>
      </c>
      <c r="AL6590">
        <v>79.691149764570596</v>
      </c>
      <c r="AM6590">
        <v>73.004407913514299</v>
      </c>
      <c r="AN6590">
        <v>1.0000000585579001</v>
      </c>
    </row>
    <row r="6591" spans="1:40" x14ac:dyDescent="0.25">
      <c r="A6591" t="str">
        <f>"20190312172838408"</f>
        <v>20190312172838408</v>
      </c>
      <c r="B6591" t="str">
        <f>"1552382918405923"</f>
        <v>1552382918405923</v>
      </c>
      <c r="C6591" t="s">
        <v>40</v>
      </c>
      <c r="D6591">
        <v>3.5186359999999999</v>
      </c>
      <c r="E6591">
        <v>0.53368780000000005</v>
      </c>
      <c r="F6591" t="s">
        <v>50</v>
      </c>
      <c r="G6591">
        <v>-182.47819999999999</v>
      </c>
      <c r="H6591" s="1">
        <v>-2.4537240000000001E-6</v>
      </c>
      <c r="I6591">
        <v>121.1904</v>
      </c>
      <c r="J6591">
        <v>-188.12280000000001</v>
      </c>
      <c r="K6591">
        <v>1.1091610000000001</v>
      </c>
      <c r="L6591">
        <v>107.7962</v>
      </c>
      <c r="M6591">
        <v>1.7018950000000001E-2</v>
      </c>
      <c r="N6591">
        <v>0</v>
      </c>
      <c r="O6591">
        <v>0.99976330000000002</v>
      </c>
      <c r="P6591">
        <v>0.30555919999999998</v>
      </c>
      <c r="Q6591">
        <v>0.16577410000000001</v>
      </c>
      <c r="R6591">
        <v>0.9376314</v>
      </c>
      <c r="S6591">
        <v>1.186539</v>
      </c>
      <c r="T6591">
        <v>-0.23295560000000001</v>
      </c>
      <c r="U6591">
        <v>2.8561100000000001</v>
      </c>
      <c r="V6591">
        <v>0.29003200000000001</v>
      </c>
      <c r="W6591">
        <v>0.17776529999999999</v>
      </c>
      <c r="X6591">
        <v>0.94036220000000004</v>
      </c>
      <c r="Y6591">
        <v>0.36678640000000001</v>
      </c>
      <c r="Z6591">
        <v>-7.5342300000000001E-2</v>
      </c>
      <c r="AA6591">
        <v>0.92724930000000005</v>
      </c>
      <c r="AB6591">
        <v>20</v>
      </c>
      <c r="AC6591">
        <v>5.64460000000002</v>
      </c>
      <c r="AD6591">
        <v>-1.109163453724</v>
      </c>
      <c r="AE6591">
        <v>13.3941999999999</v>
      </c>
      <c r="AF6591">
        <v>5.3844514587947803</v>
      </c>
      <c r="AG6591">
        <v>-1.109163453724</v>
      </c>
      <c r="AH6591">
        <v>13.410243261541099</v>
      </c>
      <c r="AI6591">
        <v>94.3890875991938</v>
      </c>
      <c r="AJ6591">
        <v>68.123660888973504</v>
      </c>
      <c r="AK6591">
        <v>14.493349696081401</v>
      </c>
      <c r="AL6591">
        <v>79.760378847853104</v>
      </c>
      <c r="AM6591">
        <v>72.858885606266199</v>
      </c>
      <c r="AN6591">
        <v>1.00000006504846</v>
      </c>
    </row>
    <row r="6592" spans="1:40" x14ac:dyDescent="0.25">
      <c r="A6592" t="str">
        <f>"20190312172838430"</f>
        <v>20190312172838430</v>
      </c>
      <c r="B6592" t="str">
        <f>"1552382918426420"</f>
        <v>1552382918426420</v>
      </c>
      <c r="C6592" t="s">
        <v>40</v>
      </c>
      <c r="D6592">
        <v>3.4819520000000002</v>
      </c>
      <c r="E6592">
        <v>0.53384639999999906</v>
      </c>
      <c r="F6592" t="s">
        <v>50</v>
      </c>
      <c r="G6592">
        <v>-182.51519999999999</v>
      </c>
      <c r="H6592" s="1">
        <v>-2.4206830000000001E-6</v>
      </c>
      <c r="I6592">
        <v>121.1116</v>
      </c>
      <c r="J6592">
        <v>-188.1173</v>
      </c>
      <c r="K6592">
        <v>1.109092</v>
      </c>
      <c r="L6592">
        <v>107.9928</v>
      </c>
      <c r="M6592">
        <v>1.885531E-2</v>
      </c>
      <c r="N6592">
        <v>0</v>
      </c>
      <c r="O6592">
        <v>0.99973029999999996</v>
      </c>
      <c r="P6592">
        <v>0.3095232</v>
      </c>
      <c r="Q6592">
        <v>0.16417950000000001</v>
      </c>
      <c r="R6592">
        <v>0.93661119999999998</v>
      </c>
      <c r="S6592">
        <v>1.2003779999999999</v>
      </c>
      <c r="T6592">
        <v>-0.23743239999999999</v>
      </c>
      <c r="U6592">
        <v>2.8503569999999998</v>
      </c>
      <c r="V6592">
        <v>0.29230060000000002</v>
      </c>
      <c r="W6592">
        <v>0.1761231</v>
      </c>
      <c r="X6592">
        <v>0.93996860000000004</v>
      </c>
      <c r="Y6592">
        <v>0.36952699999999999</v>
      </c>
      <c r="Z6592">
        <v>-7.6807390000000003E-2</v>
      </c>
      <c r="AA6592">
        <v>0.92604019999999998</v>
      </c>
      <c r="AB6592">
        <v>20</v>
      </c>
      <c r="AC6592">
        <v>5.6021000000000001</v>
      </c>
      <c r="AD6592">
        <v>-1.109094420683</v>
      </c>
      <c r="AE6592">
        <v>13.118799999999901</v>
      </c>
      <c r="AF6592">
        <v>5.3215529370293604</v>
      </c>
      <c r="AG6592">
        <v>-1.109094420683</v>
      </c>
      <c r="AH6592">
        <v>13.1426580578471</v>
      </c>
      <c r="AI6592">
        <v>94.472573335464205</v>
      </c>
      <c r="AJ6592">
        <v>67.956635245373306</v>
      </c>
      <c r="AK6592">
        <v>14.2224638133162</v>
      </c>
      <c r="AL6592">
        <v>79.855977568062599</v>
      </c>
      <c r="AM6592">
        <v>72.725953286452693</v>
      </c>
      <c r="AN6592">
        <v>0.99999997804996399</v>
      </c>
    </row>
    <row r="6593" spans="1:40" x14ac:dyDescent="0.25">
      <c r="A6593" t="str">
        <f>"20190312172838453"</f>
        <v>20190312172838453</v>
      </c>
      <c r="B6593" t="str">
        <f>"1552382918445940"</f>
        <v>1552382918445940</v>
      </c>
      <c r="C6593" t="s">
        <v>40</v>
      </c>
      <c r="D6593">
        <v>3.5015369999999999</v>
      </c>
      <c r="E6593">
        <v>0.53397419999999995</v>
      </c>
      <c r="F6593" t="s">
        <v>50</v>
      </c>
      <c r="G6593">
        <v>-182.64259999999999</v>
      </c>
      <c r="H6593" s="1">
        <v>-2.3057799999999999E-6</v>
      </c>
      <c r="I6593">
        <v>120.8366</v>
      </c>
      <c r="J6593">
        <v>-188.11089999999999</v>
      </c>
      <c r="K6593">
        <v>1.109056</v>
      </c>
      <c r="L6593">
        <v>108.20659999999999</v>
      </c>
      <c r="M6593">
        <v>2.0922219999999998E-2</v>
      </c>
      <c r="N6593">
        <v>0</v>
      </c>
      <c r="O6593">
        <v>0.99968919999999994</v>
      </c>
      <c r="P6593">
        <v>0.3132086</v>
      </c>
      <c r="Q6593">
        <v>0.16240160000000001</v>
      </c>
      <c r="R6593">
        <v>0.93569550000000001</v>
      </c>
      <c r="S6593">
        <v>1.2128139999999901</v>
      </c>
      <c r="T6593">
        <v>-0.24569930000000001</v>
      </c>
      <c r="U6593">
        <v>2.8453059999999999</v>
      </c>
      <c r="V6593">
        <v>0.29406349999999998</v>
      </c>
      <c r="W6593">
        <v>0.17431479999999999</v>
      </c>
      <c r="X6593">
        <v>0.93975589999999998</v>
      </c>
      <c r="Y6593">
        <v>0.37154199999999998</v>
      </c>
      <c r="Z6593">
        <v>-7.9490119999999997E-2</v>
      </c>
      <c r="AA6593">
        <v>0.92500689999999997</v>
      </c>
      <c r="AB6593">
        <v>20</v>
      </c>
      <c r="AC6593">
        <v>5.4682999999999904</v>
      </c>
      <c r="AD6593">
        <v>-1.1090583057799901</v>
      </c>
      <c r="AE6593">
        <v>12.63</v>
      </c>
      <c r="AF6593">
        <v>5.16926381171176</v>
      </c>
      <c r="AG6593">
        <v>-1.1090583057799901</v>
      </c>
      <c r="AH6593">
        <v>12.6594491047051</v>
      </c>
      <c r="AI6593">
        <v>94.636886135031801</v>
      </c>
      <c r="AJ6593">
        <v>67.788212912654103</v>
      </c>
      <c r="AK6593">
        <v>13.7190725020066</v>
      </c>
      <c r="AL6593">
        <v>79.961214547803095</v>
      </c>
      <c r="AM6593">
        <v>72.624327708627703</v>
      </c>
      <c r="AN6593">
        <v>1.0000000715580399</v>
      </c>
    </row>
    <row r="6594" spans="1:40" x14ac:dyDescent="0.25">
      <c r="A6594" t="str">
        <f>"20190312172838477"</f>
        <v>20190312172838477</v>
      </c>
      <c r="B6594" t="str">
        <f>"1552382918466439"</f>
        <v>1552382918466439</v>
      </c>
      <c r="C6594" t="s">
        <v>40</v>
      </c>
      <c r="D6594">
        <v>3.4874070000000001</v>
      </c>
      <c r="E6594">
        <v>0.53409410000000002</v>
      </c>
      <c r="F6594" t="s">
        <v>50</v>
      </c>
      <c r="G6594">
        <v>-182.7587</v>
      </c>
      <c r="H6594" s="1">
        <v>-2.2126939999999998E-6</v>
      </c>
      <c r="I6594">
        <v>120.6254</v>
      </c>
      <c r="J6594">
        <v>-188.10400000000001</v>
      </c>
      <c r="K6594">
        <v>1.10904</v>
      </c>
      <c r="L6594">
        <v>108.41849999999999</v>
      </c>
      <c r="M6594">
        <v>2.300839E-2</v>
      </c>
      <c r="N6594">
        <v>0</v>
      </c>
      <c r="O6594">
        <v>0.99964330000000001</v>
      </c>
      <c r="P6594">
        <v>0.31640819999999997</v>
      </c>
      <c r="Q6594">
        <v>0.16151650000000001</v>
      </c>
      <c r="R6594">
        <v>0.93477180000000004</v>
      </c>
      <c r="S6594">
        <v>1.2241359999999999</v>
      </c>
      <c r="T6594">
        <v>-0.25366369999999999</v>
      </c>
      <c r="U6594">
        <v>2.8404389999999999</v>
      </c>
      <c r="V6594">
        <v>0.2953171</v>
      </c>
      <c r="W6594">
        <v>0.17341790000000001</v>
      </c>
      <c r="X6594">
        <v>0.93952860000000005</v>
      </c>
      <c r="Y6594">
        <v>0.37320779999999998</v>
      </c>
      <c r="Z6594">
        <v>-8.2081210000000002E-2</v>
      </c>
      <c r="AA6594">
        <v>0.92410959999999998</v>
      </c>
      <c r="AB6594">
        <v>20</v>
      </c>
      <c r="AC6594">
        <v>5.3452999999999999</v>
      </c>
      <c r="AD6594">
        <v>-1.1090422126940001</v>
      </c>
      <c r="AE6594">
        <v>12.206899999999999</v>
      </c>
      <c r="AF6594">
        <v>5.02817118505914</v>
      </c>
      <c r="AG6594">
        <v>-1.1090422126940001</v>
      </c>
      <c r="AH6594">
        <v>12.2418752016086</v>
      </c>
      <c r="AI6594">
        <v>94.790237430156097</v>
      </c>
      <c r="AJ6594">
        <v>67.670309776881794</v>
      </c>
      <c r="AK6594">
        <v>13.2806622029007</v>
      </c>
      <c r="AL6594">
        <v>80.013396936871402</v>
      </c>
      <c r="AM6594">
        <v>72.550775650849303</v>
      </c>
      <c r="AN6594">
        <v>0.99999997390538897</v>
      </c>
    </row>
    <row r="6595" spans="1:40" x14ac:dyDescent="0.25">
      <c r="A6595" t="str">
        <f>"20190312172838499"</f>
        <v>20190312172838499</v>
      </c>
      <c r="B6595" t="str">
        <f>"1552382918496692"</f>
        <v>1552382918496692</v>
      </c>
      <c r="C6595" t="s">
        <v>40</v>
      </c>
      <c r="D6595">
        <v>3.5049670000000002</v>
      </c>
      <c r="E6595">
        <v>0.53427209999999903</v>
      </c>
      <c r="F6595" t="s">
        <v>50</v>
      </c>
      <c r="G6595">
        <v>-182.79669999999999</v>
      </c>
      <c r="H6595" s="1">
        <v>-2.2010600000000001E-6</v>
      </c>
      <c r="I6595">
        <v>120.6202</v>
      </c>
      <c r="J6595">
        <v>-188.09690000000001</v>
      </c>
      <c r="K6595">
        <v>1.1090469999999999</v>
      </c>
      <c r="L6595">
        <v>108.6223</v>
      </c>
      <c r="M6595">
        <v>2.5022309999999999E-2</v>
      </c>
      <c r="N6595">
        <v>0</v>
      </c>
      <c r="O6595">
        <v>0.99959500000000001</v>
      </c>
      <c r="P6595">
        <v>0.31983260000000002</v>
      </c>
      <c r="Q6595">
        <v>0.16050130000000001</v>
      </c>
      <c r="R6595">
        <v>0.93378070000000002</v>
      </c>
      <c r="S6595">
        <v>1.2336879999999999</v>
      </c>
      <c r="T6595">
        <v>-0.25779760000000002</v>
      </c>
      <c r="U6595">
        <v>2.8362880000000001</v>
      </c>
      <c r="V6595">
        <v>0.29685990000000001</v>
      </c>
      <c r="W6595">
        <v>0.17240059999999999</v>
      </c>
      <c r="X6595">
        <v>0.9392296</v>
      </c>
      <c r="Y6595">
        <v>0.37440630000000003</v>
      </c>
      <c r="Z6595">
        <v>-8.3439949999999999E-2</v>
      </c>
      <c r="AA6595">
        <v>0.92350290000000002</v>
      </c>
      <c r="AB6595">
        <v>20</v>
      </c>
      <c r="AC6595">
        <v>5.30020000000001</v>
      </c>
      <c r="AD6595">
        <v>-1.1090492010599999</v>
      </c>
      <c r="AE6595">
        <v>11.9979</v>
      </c>
      <c r="AF6595">
        <v>4.9628163944490202</v>
      </c>
      <c r="AG6595">
        <v>-1.1090492010599999</v>
      </c>
      <c r="AH6595">
        <v>12.040694720143099</v>
      </c>
      <c r="AI6595">
        <v>94.867476835144799</v>
      </c>
      <c r="AJ6595">
        <v>67.599999364232303</v>
      </c>
      <c r="AK6595">
        <v>13.070496013505601</v>
      </c>
      <c r="AL6595">
        <v>80.072575601336297</v>
      </c>
      <c r="AM6595">
        <v>72.459950420125594</v>
      </c>
      <c r="AN6595">
        <v>1.0000000043122601</v>
      </c>
    </row>
    <row r="6596" spans="1:40" x14ac:dyDescent="0.25">
      <c r="A6596" t="str">
        <f>"20190312172838530"</f>
        <v>20190312172838530</v>
      </c>
      <c r="B6596" t="str">
        <f>"1552382918525972"</f>
        <v>1552382918525972</v>
      </c>
      <c r="C6596" t="s">
        <v>40</v>
      </c>
      <c r="D6596">
        <v>3.5123410000000002</v>
      </c>
      <c r="E6596">
        <v>0.53439219999999998</v>
      </c>
      <c r="F6596" t="s">
        <v>50</v>
      </c>
      <c r="G6596">
        <v>-182.8416</v>
      </c>
      <c r="H6596" s="1">
        <v>-2.1777579999999998E-6</v>
      </c>
      <c r="I6596">
        <v>120.5817</v>
      </c>
      <c r="J6596">
        <v>-188.08619999999999</v>
      </c>
      <c r="K6596">
        <v>1.1090850000000001</v>
      </c>
      <c r="L6596">
        <v>108.9114</v>
      </c>
      <c r="M6596">
        <v>2.785491E-2</v>
      </c>
      <c r="N6596">
        <v>0</v>
      </c>
      <c r="O6596">
        <v>0.99952010000000002</v>
      </c>
      <c r="P6596">
        <v>0.32325540000000003</v>
      </c>
      <c r="Q6596">
        <v>0.16140160000000001</v>
      </c>
      <c r="R6596">
        <v>0.93244590000000005</v>
      </c>
      <c r="S6596">
        <v>1.2443390000000001</v>
      </c>
      <c r="T6596">
        <v>-0.2625961</v>
      </c>
      <c r="U6596">
        <v>2.83168</v>
      </c>
      <c r="V6596">
        <v>0.29763970000000001</v>
      </c>
      <c r="W6596">
        <v>0.1733122</v>
      </c>
      <c r="X6596">
        <v>0.93881490000000001</v>
      </c>
      <c r="Y6596">
        <v>0.37519150000000001</v>
      </c>
      <c r="Z6596">
        <v>-8.5022249999999994E-2</v>
      </c>
      <c r="AA6596">
        <v>0.92303990000000002</v>
      </c>
      <c r="AB6596">
        <v>20</v>
      </c>
      <c r="AC6596">
        <v>5.2445999999999904</v>
      </c>
      <c r="AD6596">
        <v>-1.109087177758</v>
      </c>
      <c r="AE6596">
        <v>11.6702999999999</v>
      </c>
      <c r="AF6596">
        <v>4.8807847849515298</v>
      </c>
      <c r="AG6596">
        <v>-1.109087177758</v>
      </c>
      <c r="AH6596">
        <v>11.7237782284899</v>
      </c>
      <c r="AI6596">
        <v>94.9912838135903</v>
      </c>
      <c r="AJ6596">
        <v>67.397305371796506</v>
      </c>
      <c r="AK6596">
        <v>12.747513892351501</v>
      </c>
      <c r="AL6596">
        <v>80.0195461063457</v>
      </c>
      <c r="AM6596">
        <v>72.409423046212495</v>
      </c>
      <c r="AN6596">
        <v>0.99999996307346894</v>
      </c>
    </row>
    <row r="6597" spans="1:40" x14ac:dyDescent="0.25">
      <c r="A6597" t="str">
        <f>"20190312172838554"</f>
        <v>20190312172838554</v>
      </c>
      <c r="B6597" t="str">
        <f>"1552382918546467"</f>
        <v>1552382918546467</v>
      </c>
      <c r="C6597" t="s">
        <v>40</v>
      </c>
      <c r="D6597">
        <v>3.5472679999999999</v>
      </c>
      <c r="E6597">
        <v>0.53448689999999999</v>
      </c>
      <c r="F6597" t="s">
        <v>50</v>
      </c>
      <c r="G6597">
        <v>-182.72919999999999</v>
      </c>
      <c r="H6597" s="1">
        <v>-2.318909E-6</v>
      </c>
      <c r="I6597">
        <v>120.9594</v>
      </c>
      <c r="J6597">
        <v>-188.078</v>
      </c>
      <c r="K6597">
        <v>1.1091200000000001</v>
      </c>
      <c r="L6597">
        <v>109.12139999999999</v>
      </c>
      <c r="M6597">
        <v>2.98766E-2</v>
      </c>
      <c r="N6597">
        <v>0</v>
      </c>
      <c r="O6597">
        <v>0.99946170000000001</v>
      </c>
      <c r="P6597">
        <v>0.32460080000000002</v>
      </c>
      <c r="Q6597">
        <v>0.16189899999999999</v>
      </c>
      <c r="R6597">
        <v>0.93189219999999895</v>
      </c>
      <c r="S6597">
        <v>1.2568509999999999</v>
      </c>
      <c r="T6597">
        <v>-0.2602122</v>
      </c>
      <c r="U6597">
        <v>2.8266749999999998</v>
      </c>
      <c r="V6597">
        <v>0.29708839999999997</v>
      </c>
      <c r="W6597">
        <v>0.17382690000000001</v>
      </c>
      <c r="X6597">
        <v>0.93889440000000002</v>
      </c>
      <c r="Y6597">
        <v>0.37736140000000001</v>
      </c>
      <c r="Z6597">
        <v>-8.4274050000000003E-2</v>
      </c>
      <c r="AA6597">
        <v>0.92222349999999997</v>
      </c>
      <c r="AB6597">
        <v>20</v>
      </c>
      <c r="AC6597">
        <v>5.3488000000000104</v>
      </c>
      <c r="AD6597">
        <v>-1.109122318909</v>
      </c>
      <c r="AE6597">
        <v>11.837999999999999</v>
      </c>
      <c r="AF6597">
        <v>4.9565673570928599</v>
      </c>
      <c r="AG6597">
        <v>-1.109122318909</v>
      </c>
      <c r="AH6597">
        <v>11.905741669588799</v>
      </c>
      <c r="AI6597">
        <v>94.915526127476696</v>
      </c>
      <c r="AJ6597">
        <v>67.397188635581003</v>
      </c>
      <c r="AK6597">
        <v>12.943894197137199</v>
      </c>
      <c r="AL6597">
        <v>79.989601843943603</v>
      </c>
      <c r="AM6597">
        <v>72.441396550053696</v>
      </c>
      <c r="AN6597">
        <v>1.0000000014647601</v>
      </c>
    </row>
    <row r="6598" spans="1:40" x14ac:dyDescent="0.25">
      <c r="A6598" t="str">
        <f>"20190312172838575"</f>
        <v>20190312172838575</v>
      </c>
      <c r="B6598" t="str">
        <f>"1552382918565990"</f>
        <v>1552382918565990</v>
      </c>
      <c r="C6598" t="s">
        <v>40</v>
      </c>
      <c r="D6598">
        <v>3.5316619999999999</v>
      </c>
      <c r="E6598">
        <v>0.53455069999999905</v>
      </c>
      <c r="F6598" t="s">
        <v>50</v>
      </c>
      <c r="G6598">
        <v>-182.64689999999999</v>
      </c>
      <c r="H6598" s="1">
        <v>-2.4309700000000001E-6</v>
      </c>
      <c r="I6598">
        <v>121.2655</v>
      </c>
      <c r="J6598">
        <v>-188.07</v>
      </c>
      <c r="K6598">
        <v>1.109138</v>
      </c>
      <c r="L6598">
        <v>109.3139</v>
      </c>
      <c r="M6598">
        <v>3.1705610000000002E-2</v>
      </c>
      <c r="N6598">
        <v>0</v>
      </c>
      <c r="O6598">
        <v>0.9994054</v>
      </c>
      <c r="P6598">
        <v>0.3255035</v>
      </c>
      <c r="Q6598">
        <v>0.162769</v>
      </c>
      <c r="R6598">
        <v>0.93142559999999996</v>
      </c>
      <c r="S6598">
        <v>1.2630159999999999</v>
      </c>
      <c r="T6598">
        <v>-0.25792929999999997</v>
      </c>
      <c r="U6598">
        <v>2.8241420000000002</v>
      </c>
      <c r="V6598">
        <v>0.29627629999999999</v>
      </c>
      <c r="W6598">
        <v>0.1747129</v>
      </c>
      <c r="X6598">
        <v>0.93898649999999995</v>
      </c>
      <c r="Y6598">
        <v>0.37767840000000003</v>
      </c>
      <c r="Z6598">
        <v>-8.3560159999999994E-2</v>
      </c>
      <c r="AA6598">
        <v>0.92215879999999995</v>
      </c>
      <c r="AB6598">
        <v>20</v>
      </c>
      <c r="AC6598">
        <v>5.4230999999999998</v>
      </c>
      <c r="AD6598">
        <v>-1.1091404309699999</v>
      </c>
      <c r="AE6598">
        <v>11.951599999999999</v>
      </c>
      <c r="AF6598">
        <v>5.0056557382225604</v>
      </c>
      <c r="AG6598">
        <v>-1.1091404309699999</v>
      </c>
      <c r="AH6598">
        <v>12.0316204504994</v>
      </c>
      <c r="AI6598">
        <v>94.864898875920204</v>
      </c>
      <c r="AJ6598">
        <v>67.410653094605095</v>
      </c>
      <c r="AK6598">
        <v>13.078481277659399</v>
      </c>
      <c r="AL6598">
        <v>79.938048343405995</v>
      </c>
      <c r="AM6598">
        <v>72.488068373437997</v>
      </c>
      <c r="AN6598">
        <v>0.999999945275173</v>
      </c>
    </row>
    <row r="6599" spans="1:40" x14ac:dyDescent="0.25">
      <c r="A6599" t="str">
        <f>"20190312172838598"</f>
        <v>20190312172838598</v>
      </c>
      <c r="B6599" t="str">
        <f>"1552382918586483"</f>
        <v>1552382918586483</v>
      </c>
      <c r="C6599" t="s">
        <v>40</v>
      </c>
      <c r="D6599">
        <v>3.528073</v>
      </c>
      <c r="E6599">
        <v>0.53708650000000002</v>
      </c>
      <c r="F6599" t="s">
        <v>50</v>
      </c>
      <c r="G6599">
        <v>-182.56039999999999</v>
      </c>
      <c r="H6599" s="1">
        <v>-2.5495100000000002E-6</v>
      </c>
      <c r="I6599">
        <v>121.5898</v>
      </c>
      <c r="J6599">
        <v>-188.06110000000001</v>
      </c>
      <c r="K6599">
        <v>1.109154</v>
      </c>
      <c r="L6599">
        <v>109.52079999999999</v>
      </c>
      <c r="M6599">
        <v>3.3650430000000002E-2</v>
      </c>
      <c r="N6599">
        <v>0</v>
      </c>
      <c r="O6599">
        <v>0.99934179999999995</v>
      </c>
      <c r="P6599">
        <v>0.32624609999999998</v>
      </c>
      <c r="Q6599">
        <v>0.16338129999999901</v>
      </c>
      <c r="R6599">
        <v>0.93105859999999996</v>
      </c>
      <c r="S6599">
        <v>1.2668759999999999</v>
      </c>
      <c r="T6599">
        <v>-0.25503169999999997</v>
      </c>
      <c r="U6599">
        <v>2.8226779999999998</v>
      </c>
      <c r="V6599">
        <v>0.29519220000000002</v>
      </c>
      <c r="W6599">
        <v>0.175343</v>
      </c>
      <c r="X6599">
        <v>0.93921049999999995</v>
      </c>
      <c r="Y6599">
        <v>0.37713740000000001</v>
      </c>
      <c r="Z6599">
        <v>-8.2646739999999996E-2</v>
      </c>
      <c r="AA6599">
        <v>0.92246240000000002</v>
      </c>
      <c r="AB6599">
        <v>20</v>
      </c>
      <c r="AC6599">
        <v>5.5007000000000197</v>
      </c>
      <c r="AD6599">
        <v>-1.10915654951</v>
      </c>
      <c r="AE6599">
        <v>12.069000000000001</v>
      </c>
      <c r="AF6599">
        <v>5.0560619361416199</v>
      </c>
      <c r="AG6599">
        <v>-1.10915654951</v>
      </c>
      <c r="AH6599">
        <v>12.1622289780325</v>
      </c>
      <c r="AI6599">
        <v>94.813520926545095</v>
      </c>
      <c r="AJ6599">
        <v>67.426446827595996</v>
      </c>
      <c r="AK6599">
        <v>13.217934947166</v>
      </c>
      <c r="AL6599">
        <v>79.901380626040606</v>
      </c>
      <c r="AM6599">
        <v>72.552158820582903</v>
      </c>
      <c r="AN6599">
        <v>0.999999982950044</v>
      </c>
    </row>
    <row r="6600" spans="1:40" x14ac:dyDescent="0.25">
      <c r="A6600" t="str">
        <f>"20190312172838619"</f>
        <v>20190312172838619</v>
      </c>
      <c r="B6600" t="str">
        <f>"1552382918616740"</f>
        <v>1552382918616740</v>
      </c>
      <c r="C6600" t="s">
        <v>40</v>
      </c>
      <c r="D6600">
        <v>3.5533350000000001</v>
      </c>
      <c r="E6600">
        <v>0.53742959999999995</v>
      </c>
      <c r="F6600" t="s">
        <v>50</v>
      </c>
      <c r="G6600">
        <v>-182.40700000000001</v>
      </c>
      <c r="H6600" s="1">
        <v>-2.6717690000000002E-6</v>
      </c>
      <c r="I6600">
        <v>121.8664</v>
      </c>
      <c r="J6600">
        <v>-188.05240000000001</v>
      </c>
      <c r="K6600">
        <v>1.1091719999999901</v>
      </c>
      <c r="L6600">
        <v>109.715</v>
      </c>
      <c r="M6600">
        <v>3.5464269999999999E-2</v>
      </c>
      <c r="N6600">
        <v>0</v>
      </c>
      <c r="O6600">
        <v>0.99927909999999998</v>
      </c>
      <c r="P6600">
        <v>0.32673200000000002</v>
      </c>
      <c r="Q6600">
        <v>0.16392089999999901</v>
      </c>
      <c r="R6600">
        <v>0.93079330000000005</v>
      </c>
      <c r="S6600">
        <v>1.2891239999999999</v>
      </c>
      <c r="T6600">
        <v>-0.25288500000000003</v>
      </c>
      <c r="U6600">
        <v>2.8147739999999999</v>
      </c>
      <c r="V6600">
        <v>0.29397289999999998</v>
      </c>
      <c r="W6600">
        <v>0.17589830000000001</v>
      </c>
      <c r="X6600">
        <v>0.93948909999999997</v>
      </c>
      <c r="Y6600">
        <v>0.38248769999999999</v>
      </c>
      <c r="Z6600">
        <v>-8.1935960000000002E-2</v>
      </c>
      <c r="AA6600">
        <v>0.92032049999999999</v>
      </c>
      <c r="AB6600">
        <v>20</v>
      </c>
      <c r="AC6600">
        <v>5.6453999999999898</v>
      </c>
      <c r="AD6600">
        <v>-1.1091746717690001</v>
      </c>
      <c r="AE6600">
        <v>12.151399999999899</v>
      </c>
      <c r="AF6600">
        <v>5.1754018420840904</v>
      </c>
      <c r="AG6600">
        <v>-1.1091746717690001</v>
      </c>
      <c r="AH6600">
        <v>12.2599675902245</v>
      </c>
      <c r="AI6600">
        <v>94.764539489795993</v>
      </c>
      <c r="AJ6600">
        <v>67.113529486842395</v>
      </c>
      <c r="AK6600">
        <v>13.353720754639699</v>
      </c>
      <c r="AL6600">
        <v>79.869062394131205</v>
      </c>
      <c r="AM6600">
        <v>72.624722890894205</v>
      </c>
      <c r="AN6600">
        <v>1.0000000234480499</v>
      </c>
    </row>
    <row r="6601" spans="1:40" x14ac:dyDescent="0.25">
      <c r="A6601" t="str">
        <f>"20190312172838643"</f>
        <v>20190312172838643</v>
      </c>
      <c r="B6601" t="str">
        <f>"1552382918636260"</f>
        <v>1552382918636260</v>
      </c>
      <c r="C6601" t="s">
        <v>40</v>
      </c>
      <c r="D6601">
        <v>3.540581</v>
      </c>
      <c r="E6601">
        <v>0.53793970000000002</v>
      </c>
      <c r="F6601" t="s">
        <v>50</v>
      </c>
      <c r="G6601">
        <v>-182.3569</v>
      </c>
      <c r="H6601" s="1">
        <v>-2.7508410000000001E-6</v>
      </c>
      <c r="I6601">
        <v>122.0895</v>
      </c>
      <c r="J6601">
        <v>-188.04259999999999</v>
      </c>
      <c r="K6601">
        <v>1.1091899999999999</v>
      </c>
      <c r="L6601">
        <v>109.9241</v>
      </c>
      <c r="M6601">
        <v>3.7411769999999997E-2</v>
      </c>
      <c r="N6601">
        <v>0</v>
      </c>
      <c r="O6601">
        <v>0.99920819999999999</v>
      </c>
      <c r="P6601">
        <v>0.32726870000000002</v>
      </c>
      <c r="Q6601">
        <v>0.16389319999999999</v>
      </c>
      <c r="R6601">
        <v>0.93060960000000004</v>
      </c>
      <c r="S6601">
        <v>1.294708</v>
      </c>
      <c r="T6601">
        <v>-0.25213750000000001</v>
      </c>
      <c r="U6601">
        <v>2.8129879999999998</v>
      </c>
      <c r="V6601">
        <v>0.2926744</v>
      </c>
      <c r="W6601">
        <v>0.17588609999999999</v>
      </c>
      <c r="X6601">
        <v>0.93989670000000003</v>
      </c>
      <c r="Y6601">
        <v>0.38242619999999999</v>
      </c>
      <c r="Z6601">
        <v>-8.1702460000000005E-2</v>
      </c>
      <c r="AA6601">
        <v>0.92036669999999998</v>
      </c>
      <c r="AB6601">
        <v>20</v>
      </c>
      <c r="AC6601">
        <v>5.68569999999999</v>
      </c>
      <c r="AD6601">
        <v>-1.109192750841</v>
      </c>
      <c r="AE6601">
        <v>12.1654</v>
      </c>
      <c r="AF6601">
        <v>5.1911301943334598</v>
      </c>
      <c r="AG6601">
        <v>-1.109192750841</v>
      </c>
      <c r="AH6601">
        <v>12.2857904506394</v>
      </c>
      <c r="AI6601">
        <v>94.753981767655503</v>
      </c>
      <c r="AJ6601">
        <v>67.094423722476293</v>
      </c>
      <c r="AK6601">
        <v>13.3835267493311</v>
      </c>
      <c r="AL6601">
        <v>79.869772393120996</v>
      </c>
      <c r="AM6601">
        <v>72.703935618615404</v>
      </c>
      <c r="AN6601">
        <v>1.00000001562973</v>
      </c>
    </row>
    <row r="6602" spans="1:40" x14ac:dyDescent="0.25">
      <c r="A6602" t="str">
        <f>"20190312172838665"</f>
        <v>20190312172838665</v>
      </c>
      <c r="B6602" t="str">
        <f>"1552382918656763"</f>
        <v>1552382918656763</v>
      </c>
      <c r="C6602" t="s">
        <v>40</v>
      </c>
      <c r="D6602">
        <v>3.5368249999999999</v>
      </c>
      <c r="E6602">
        <v>0.53833809999999904</v>
      </c>
      <c r="F6602" t="s">
        <v>50</v>
      </c>
      <c r="G6602">
        <v>-182.31479999999999</v>
      </c>
      <c r="H6602" s="1">
        <v>-2.8228490000000002E-6</v>
      </c>
      <c r="I6602">
        <v>122.29600000000001</v>
      </c>
      <c r="J6602">
        <v>-188.03290000000001</v>
      </c>
      <c r="K6602">
        <v>1.1092040000000001</v>
      </c>
      <c r="L6602">
        <v>110.124</v>
      </c>
      <c r="M6602">
        <v>3.9273379999999997E-2</v>
      </c>
      <c r="N6602">
        <v>0</v>
      </c>
      <c r="O6602">
        <v>0.99913669999999999</v>
      </c>
      <c r="P6602">
        <v>0.32823649999999999</v>
      </c>
      <c r="Q6602">
        <v>0.16345319999999999</v>
      </c>
      <c r="R6602">
        <v>0.93034609999999995</v>
      </c>
      <c r="S6602">
        <v>1.3011629999999901</v>
      </c>
      <c r="T6602">
        <v>-0.2519709</v>
      </c>
      <c r="U6602">
        <v>2.810486</v>
      </c>
      <c r="V6602">
        <v>0.2918905</v>
      </c>
      <c r="W6602">
        <v>0.175457</v>
      </c>
      <c r="X6602">
        <v>0.94022059999999996</v>
      </c>
      <c r="Y6602">
        <v>0.3827605</v>
      </c>
      <c r="Z6602">
        <v>-8.1662360000000003E-2</v>
      </c>
      <c r="AA6602">
        <v>0.92023129999999997</v>
      </c>
      <c r="AB6602">
        <v>20</v>
      </c>
      <c r="AC6602">
        <v>5.7181000000000202</v>
      </c>
      <c r="AD6602">
        <v>-1.109206822849</v>
      </c>
      <c r="AE6602">
        <v>12.172000000000001</v>
      </c>
      <c r="AF6602">
        <v>5.2002314197018498</v>
      </c>
      <c r="AG6602">
        <v>-1.109206822849</v>
      </c>
      <c r="AH6602">
        <v>12.303497436361001</v>
      </c>
      <c r="AI6602">
        <v>94.747008136194395</v>
      </c>
      <c r="AJ6602">
        <v>67.088024826180899</v>
      </c>
      <c r="AK6602">
        <v>13.403312865140901</v>
      </c>
      <c r="AL6602">
        <v>79.894746224513796</v>
      </c>
      <c r="AM6602">
        <v>72.753098985774599</v>
      </c>
      <c r="AN6602">
        <v>0.99999999975180498</v>
      </c>
    </row>
    <row r="6603" spans="1:40" x14ac:dyDescent="0.25">
      <c r="A6603" t="str">
        <f>"20190312172838688"</f>
        <v>20190312172838688</v>
      </c>
      <c r="B6603" t="str">
        <f>"1552382918676275"</f>
        <v>1552382918676275</v>
      </c>
      <c r="C6603" t="s">
        <v>40</v>
      </c>
      <c r="D6603">
        <v>3.5366369999999998</v>
      </c>
      <c r="E6603">
        <v>0.53868760000000004</v>
      </c>
      <c r="F6603" t="s">
        <v>50</v>
      </c>
      <c r="G6603">
        <v>-182.30019999999999</v>
      </c>
      <c r="H6603" s="1">
        <v>-2.8662030000000001E-6</v>
      </c>
      <c r="I6603">
        <v>122.43</v>
      </c>
      <c r="J6603">
        <v>-188.0223</v>
      </c>
      <c r="K6603">
        <v>1.1092120000000001</v>
      </c>
      <c r="L6603">
        <v>110.33320000000001</v>
      </c>
      <c r="M6603">
        <v>4.1225829999999998E-2</v>
      </c>
      <c r="N6603">
        <v>0</v>
      </c>
      <c r="O6603">
        <v>0.99905809999999995</v>
      </c>
      <c r="P6603">
        <v>0.32944859999999998</v>
      </c>
      <c r="Q6603">
        <v>0.16315489999999999</v>
      </c>
      <c r="R6603">
        <v>0.92996999999999996</v>
      </c>
      <c r="S6603">
        <v>1.307922</v>
      </c>
      <c r="T6603">
        <v>-0.25306509999999999</v>
      </c>
      <c r="U6603">
        <v>2.807617</v>
      </c>
      <c r="V6603">
        <v>0.29127059999999999</v>
      </c>
      <c r="W6603">
        <v>0.17516689999999999</v>
      </c>
      <c r="X6603">
        <v>0.94046689999999999</v>
      </c>
      <c r="Y6603">
        <v>0.38312410000000002</v>
      </c>
      <c r="Z6603">
        <v>-8.2034220000000005E-2</v>
      </c>
      <c r="AA6603">
        <v>0.9200469</v>
      </c>
      <c r="AB6603">
        <v>20</v>
      </c>
      <c r="AC6603">
        <v>5.72210000000001</v>
      </c>
      <c r="AD6603">
        <v>-1.1092148662029999</v>
      </c>
      <c r="AE6603">
        <v>12.0968</v>
      </c>
      <c r="AF6603">
        <v>5.1828785163007502</v>
      </c>
      <c r="AG6603">
        <v>-1.1092148662029999</v>
      </c>
      <c r="AH6603">
        <v>12.2383488814271</v>
      </c>
      <c r="AI6603">
        <v>94.770777896839803</v>
      </c>
      <c r="AJ6603">
        <v>67.047589395670997</v>
      </c>
      <c r="AK6603">
        <v>13.336782620919699</v>
      </c>
      <c r="AL6603">
        <v>79.911629176368393</v>
      </c>
      <c r="AM6603">
        <v>72.791802075150002</v>
      </c>
      <c r="AN6603">
        <v>0.99999999763778902</v>
      </c>
    </row>
    <row r="6604" spans="1:40" x14ac:dyDescent="0.25">
      <c r="A6604" t="str">
        <f>"20190312172838710"</f>
        <v>20190312172838710</v>
      </c>
      <c r="B6604" t="str">
        <f>"1552382918706531"</f>
        <v>1552382918706531</v>
      </c>
      <c r="C6604" t="s">
        <v>40</v>
      </c>
      <c r="D6604">
        <v>3.560737</v>
      </c>
      <c r="E6604">
        <v>0.5391648</v>
      </c>
      <c r="F6604" t="s">
        <v>50</v>
      </c>
      <c r="G6604">
        <v>-182.3176</v>
      </c>
      <c r="H6604" s="1">
        <v>-2.8852599999999999E-6</v>
      </c>
      <c r="I6604">
        <v>122.5104</v>
      </c>
      <c r="J6604">
        <v>-188.01240000000001</v>
      </c>
      <c r="K6604">
        <v>1.109224</v>
      </c>
      <c r="L6604">
        <v>110.5234</v>
      </c>
      <c r="M6604">
        <v>4.3005309999999998E-2</v>
      </c>
      <c r="N6604">
        <v>0</v>
      </c>
      <c r="O6604">
        <v>0.99898310000000001</v>
      </c>
      <c r="P6604">
        <v>0.33087240000000001</v>
      </c>
      <c r="Q6604">
        <v>0.16340769999999999</v>
      </c>
      <c r="R6604">
        <v>0.92941989999999997</v>
      </c>
      <c r="S6604">
        <v>1.3141780000000001</v>
      </c>
      <c r="T6604">
        <v>-0.25552370000000002</v>
      </c>
      <c r="U6604">
        <v>2.8051910000000002</v>
      </c>
      <c r="V6604">
        <v>0.29103570000000001</v>
      </c>
      <c r="W6604">
        <v>0.17542179999999999</v>
      </c>
      <c r="X6604">
        <v>0.94049210000000005</v>
      </c>
      <c r="Y6604">
        <v>0.38344040000000001</v>
      </c>
      <c r="Z6604">
        <v>-8.2837590000000003E-2</v>
      </c>
      <c r="AA6604">
        <v>0.91984310000000002</v>
      </c>
      <c r="AB6604">
        <v>20</v>
      </c>
      <c r="AC6604">
        <v>5.6948000000000096</v>
      </c>
      <c r="AD6604">
        <v>-1.10922688526</v>
      </c>
      <c r="AE6604">
        <v>11.987</v>
      </c>
      <c r="AF6604">
        <v>5.13808338553428</v>
      </c>
      <c r="AG6604">
        <v>-1.10922688526</v>
      </c>
      <c r="AH6604">
        <v>12.136053528238</v>
      </c>
      <c r="AI6604">
        <v>94.811063692437699</v>
      </c>
      <c r="AJ6604">
        <v>67.053488588242303</v>
      </c>
      <c r="AK6604">
        <v>13.2255087009893</v>
      </c>
      <c r="AL6604">
        <v>79.896794692886203</v>
      </c>
      <c r="AM6604">
        <v>72.805294768560401</v>
      </c>
      <c r="AN6604">
        <v>0.99999998837606996</v>
      </c>
    </row>
    <row r="6605" spans="1:40" x14ac:dyDescent="0.25">
      <c r="A6605" t="str">
        <f>"20190312172838731"</f>
        <v>20190312172838731</v>
      </c>
      <c r="B6605" t="str">
        <f>"1552382918726052"</f>
        <v>1552382918726052</v>
      </c>
      <c r="C6605" t="s">
        <v>40</v>
      </c>
      <c r="D6605">
        <v>3.5608960000000001</v>
      </c>
      <c r="E6605">
        <v>0.53955319999999996</v>
      </c>
      <c r="F6605" t="s">
        <v>50</v>
      </c>
      <c r="G6605">
        <v>-182.28659999999999</v>
      </c>
      <c r="H6605" s="1">
        <v>-2.9387450000000001E-6</v>
      </c>
      <c r="I6605">
        <v>122.664</v>
      </c>
      <c r="J6605">
        <v>-188.00149999999999</v>
      </c>
      <c r="K6605">
        <v>1.109229</v>
      </c>
      <c r="L6605">
        <v>110.72369999999999</v>
      </c>
      <c r="M6605">
        <v>4.4884979999999998E-2</v>
      </c>
      <c r="N6605">
        <v>0</v>
      </c>
      <c r="O6605">
        <v>0.99890049999999997</v>
      </c>
      <c r="P6605">
        <v>0.332399</v>
      </c>
      <c r="Q6605">
        <v>0.163749799999999</v>
      </c>
      <c r="R6605">
        <v>0.92881480000000005</v>
      </c>
      <c r="S6605">
        <v>1.321625</v>
      </c>
      <c r="T6605">
        <v>-0.2560327</v>
      </c>
      <c r="U6605">
        <v>2.8023220000000002</v>
      </c>
      <c r="V6605">
        <v>0.29081279999999998</v>
      </c>
      <c r="W6605">
        <v>0.17576539999999999</v>
      </c>
      <c r="X6605">
        <v>0.94049689999999997</v>
      </c>
      <c r="Y6605">
        <v>0.38406069999999998</v>
      </c>
      <c r="Z6605">
        <v>-8.3011719999999997E-2</v>
      </c>
      <c r="AA6605">
        <v>0.91956859999999996</v>
      </c>
      <c r="AB6605">
        <v>20</v>
      </c>
      <c r="AC6605">
        <v>5.7149000000000001</v>
      </c>
      <c r="AD6605">
        <v>-1.109231938745</v>
      </c>
      <c r="AE6605">
        <v>11.940300000000001</v>
      </c>
      <c r="AF6605">
        <v>5.13707968113322</v>
      </c>
      <c r="AG6605">
        <v>-1.109231938745</v>
      </c>
      <c r="AH6605">
        <v>12.0998406951782</v>
      </c>
      <c r="AI6605">
        <v>94.823373111259301</v>
      </c>
      <c r="AJ6605">
        <v>66.995979675129703</v>
      </c>
      <c r="AK6605">
        <v>13.1918963001129</v>
      </c>
      <c r="AL6605">
        <v>79.876797169274198</v>
      </c>
      <c r="AM6605">
        <v>72.817770722597004</v>
      </c>
      <c r="AN6605">
        <v>0.99999998969530401</v>
      </c>
    </row>
    <row r="6606" spans="1:40" x14ac:dyDescent="0.25">
      <c r="A6606" t="str">
        <f>"20190312172838755"</f>
        <v>20190312172838755</v>
      </c>
      <c r="B6606" t="str">
        <f>"1552382918746547"</f>
        <v>1552382918746547</v>
      </c>
      <c r="C6606" t="s">
        <v>40</v>
      </c>
      <c r="D6606">
        <v>3.546071</v>
      </c>
      <c r="E6606">
        <v>0.53995740000000003</v>
      </c>
      <c r="F6606" t="s">
        <v>50</v>
      </c>
      <c r="G6606">
        <v>-182.244</v>
      </c>
      <c r="H6606" s="1">
        <v>-3.0065809999999998E-6</v>
      </c>
      <c r="I6606">
        <v>122.85590000000001</v>
      </c>
      <c r="J6606">
        <v>-187.99019999999999</v>
      </c>
      <c r="K6606">
        <v>1.109237</v>
      </c>
      <c r="L6606">
        <v>110.9254</v>
      </c>
      <c r="M6606">
        <v>4.6780490000000001E-2</v>
      </c>
      <c r="N6606">
        <v>0</v>
      </c>
      <c r="O6606">
        <v>0.99881350000000002</v>
      </c>
      <c r="P6606">
        <v>0.33426529999999999</v>
      </c>
      <c r="Q6606">
        <v>0.16367880000000001</v>
      </c>
      <c r="R6606">
        <v>0.92815729999999996</v>
      </c>
      <c r="S6606">
        <v>1.328568</v>
      </c>
      <c r="T6606">
        <v>-0.2559631</v>
      </c>
      <c r="U6606">
        <v>2.7995909999999999</v>
      </c>
      <c r="V6606">
        <v>0.29091709999999998</v>
      </c>
      <c r="W6606">
        <v>0.17569309999999999</v>
      </c>
      <c r="X6606">
        <v>0.94047809999999998</v>
      </c>
      <c r="Y6606">
        <v>0.38451930000000001</v>
      </c>
      <c r="Z6606">
        <v>-8.3001080000000005E-2</v>
      </c>
      <c r="AA6606">
        <v>0.91937789999999997</v>
      </c>
      <c r="AB6606">
        <v>20</v>
      </c>
      <c r="AC6606">
        <v>5.7461999999999502</v>
      </c>
      <c r="AD6606">
        <v>-1.109240006581</v>
      </c>
      <c r="AE6606">
        <v>11.9305</v>
      </c>
      <c r="AF6606">
        <v>5.1456368536933397</v>
      </c>
      <c r="AG6606">
        <v>-1.109240006581</v>
      </c>
      <c r="AH6606">
        <v>12.1013593988739</v>
      </c>
      <c r="AI6606">
        <v>94.821676107777506</v>
      </c>
      <c r="AJ6606">
        <v>66.964245985883196</v>
      </c>
      <c r="AK6606">
        <v>13.196624239668299</v>
      </c>
      <c r="AL6606">
        <v>79.881004633461004</v>
      </c>
      <c r="AM6606">
        <v>72.811648034459495</v>
      </c>
      <c r="AN6606">
        <v>0.999999940519813</v>
      </c>
    </row>
    <row r="6607" spans="1:40" x14ac:dyDescent="0.25">
      <c r="A6607" t="str">
        <f>"20190312172838776"</f>
        <v>20190312172838776</v>
      </c>
      <c r="B6607" t="str">
        <f>"1552382918766071"</f>
        <v>1552382918766071</v>
      </c>
      <c r="C6607" t="s">
        <v>40</v>
      </c>
      <c r="D6607">
        <v>3.5545529999999999</v>
      </c>
      <c r="E6607">
        <v>0.54048050000000003</v>
      </c>
      <c r="F6607" t="s">
        <v>50</v>
      </c>
      <c r="G6607">
        <v>-182.21680000000001</v>
      </c>
      <c r="H6607" s="1">
        <v>-3.056603E-6</v>
      </c>
      <c r="I6607">
        <v>123.00109999999999</v>
      </c>
      <c r="J6607">
        <v>-187.97890000000001</v>
      </c>
      <c r="K6607">
        <v>1.1092420000000001</v>
      </c>
      <c r="L6607">
        <v>111.11879999999999</v>
      </c>
      <c r="M6607">
        <v>4.8602119999999999E-2</v>
      </c>
      <c r="N6607">
        <v>0</v>
      </c>
      <c r="O6607">
        <v>0.99872649999999996</v>
      </c>
      <c r="P6607">
        <v>0.33557890000000001</v>
      </c>
      <c r="Q6607">
        <v>0.16425670000000001</v>
      </c>
      <c r="R6607">
        <v>0.92758099999999999</v>
      </c>
      <c r="S6607">
        <v>1.336792</v>
      </c>
      <c r="T6607">
        <v>-0.25683859999999997</v>
      </c>
      <c r="U6607">
        <v>2.7960820000000002</v>
      </c>
      <c r="V6607">
        <v>0.29053800000000002</v>
      </c>
      <c r="W6607">
        <v>0.1762715</v>
      </c>
      <c r="X6607">
        <v>0.94048710000000002</v>
      </c>
      <c r="Y6607">
        <v>0.3854766</v>
      </c>
      <c r="Z6607">
        <v>-8.3298369999999997E-2</v>
      </c>
      <c r="AA6607">
        <v>0.91895000000000004</v>
      </c>
      <c r="AB6607">
        <v>20</v>
      </c>
      <c r="AC6607">
        <v>5.7621000000000002</v>
      </c>
      <c r="AD6607">
        <v>-1.1092450566030001</v>
      </c>
      <c r="AE6607">
        <v>11.882300000000001</v>
      </c>
      <c r="AF6607">
        <v>5.1414554957285796</v>
      </c>
      <c r="AG6607">
        <v>-1.1092450566030001</v>
      </c>
      <c r="AH6607">
        <v>12.0632183526348</v>
      </c>
      <c r="AI6607">
        <v>94.835140020191204</v>
      </c>
      <c r="AJ6607">
        <v>66.915847593622402</v>
      </c>
      <c r="AK6607">
        <v>13.1600237930446</v>
      </c>
      <c r="AL6607">
        <v>79.847339735808703</v>
      </c>
      <c r="AM6607">
        <v>72.832883681487999</v>
      </c>
      <c r="AN6607">
        <v>0.99999997821132902</v>
      </c>
    </row>
    <row r="6608" spans="1:40" x14ac:dyDescent="0.25">
      <c r="A6608" t="str">
        <f>"20190312172838799"</f>
        <v>20190312172838799</v>
      </c>
      <c r="B6608" t="str">
        <f>"1552382918786563"</f>
        <v>1552382918786563</v>
      </c>
      <c r="C6608" t="s">
        <v>40</v>
      </c>
      <c r="D6608">
        <v>3.5489389999999998</v>
      </c>
      <c r="E6608">
        <v>0.54095879999999996</v>
      </c>
      <c r="F6608" t="s">
        <v>50</v>
      </c>
      <c r="G6608">
        <v>-182.12629999999999</v>
      </c>
      <c r="H6608" s="1">
        <v>-3.158596E-6</v>
      </c>
      <c r="I6608">
        <v>123.2657</v>
      </c>
      <c r="J6608">
        <v>-187.96690000000001</v>
      </c>
      <c r="K6608">
        <v>1.1092439999999999</v>
      </c>
      <c r="L6608">
        <v>111.3188</v>
      </c>
      <c r="M6608">
        <v>5.0486509999999998E-2</v>
      </c>
      <c r="N6608">
        <v>0</v>
      </c>
      <c r="O6608">
        <v>0.99863310000000005</v>
      </c>
      <c r="P6608">
        <v>0.33662809999999999</v>
      </c>
      <c r="Q6608">
        <v>0.16434969999999999</v>
      </c>
      <c r="R6608">
        <v>0.92718429999999996</v>
      </c>
      <c r="S6608">
        <v>1.34552</v>
      </c>
      <c r="T6608">
        <v>-0.2550173</v>
      </c>
      <c r="U6608">
        <v>2.7925870000000002</v>
      </c>
      <c r="V6608">
        <v>0.28982619999999998</v>
      </c>
      <c r="W6608">
        <v>0.1763672</v>
      </c>
      <c r="X6608">
        <v>0.94068879999999999</v>
      </c>
      <c r="Y6608">
        <v>0.38653870000000001</v>
      </c>
      <c r="Z6608">
        <v>-8.2720950000000001E-2</v>
      </c>
      <c r="AA6608">
        <v>0.91855600000000004</v>
      </c>
      <c r="AB6608">
        <v>20</v>
      </c>
      <c r="AC6608">
        <v>5.8406000000000198</v>
      </c>
      <c r="AD6608">
        <v>-1.109247158596</v>
      </c>
      <c r="AE6608">
        <v>11.946899999999999</v>
      </c>
      <c r="AF6608">
        <v>5.1938003101043204</v>
      </c>
      <c r="AG6608">
        <v>-1.109247158596</v>
      </c>
      <c r="AH6608">
        <v>12.1420778666795</v>
      </c>
      <c r="AI6608">
        <v>94.801230086131099</v>
      </c>
      <c r="AJ6608">
        <v>66.841076887377497</v>
      </c>
      <c r="AK6608">
        <v>13.252775024145</v>
      </c>
      <c r="AL6608">
        <v>79.841769654611198</v>
      </c>
      <c r="AM6608">
        <v>72.875935742937799</v>
      </c>
      <c r="AN6608">
        <v>1.0000000169438501</v>
      </c>
    </row>
    <row r="6609" spans="1:40" x14ac:dyDescent="0.25">
      <c r="A6609" t="str">
        <f>"20190312172838821"</f>
        <v>20190312172838821</v>
      </c>
      <c r="B6609" t="str">
        <f>"1552382918816819"</f>
        <v>1552382918816819</v>
      </c>
      <c r="C6609" t="s">
        <v>40</v>
      </c>
      <c r="D6609">
        <v>3.5577749999999999</v>
      </c>
      <c r="E6609">
        <v>0.54165869999999905</v>
      </c>
      <c r="F6609" t="s">
        <v>50</v>
      </c>
      <c r="G6609">
        <v>-182.0744</v>
      </c>
      <c r="H6609" s="1">
        <v>-3.2317700000000001E-6</v>
      </c>
      <c r="I6609">
        <v>123.46729999999999</v>
      </c>
      <c r="J6609">
        <v>-187.95439999999999</v>
      </c>
      <c r="K6609">
        <v>1.109246</v>
      </c>
      <c r="L6609">
        <v>111.5222</v>
      </c>
      <c r="M6609">
        <v>5.2404020000000003E-2</v>
      </c>
      <c r="N6609">
        <v>0</v>
      </c>
      <c r="O6609">
        <v>0.99853440000000004</v>
      </c>
      <c r="P6609">
        <v>0.33772410000000003</v>
      </c>
      <c r="Q6609">
        <v>0.1645761</v>
      </c>
      <c r="R6609">
        <v>0.9267455</v>
      </c>
      <c r="S6609">
        <v>1.353027</v>
      </c>
      <c r="T6609">
        <v>-0.2547045</v>
      </c>
      <c r="U6609">
        <v>2.78952</v>
      </c>
      <c r="V6609">
        <v>0.28913220000000001</v>
      </c>
      <c r="W6609">
        <v>0.1765967</v>
      </c>
      <c r="X6609">
        <v>0.94085929999999995</v>
      </c>
      <c r="Y6609">
        <v>0.38717040000000003</v>
      </c>
      <c r="Z6609">
        <v>-8.2631860000000001E-2</v>
      </c>
      <c r="AA6609">
        <v>0.9182979</v>
      </c>
      <c r="AB6609">
        <v>20</v>
      </c>
      <c r="AC6609">
        <v>5.8799999999999901</v>
      </c>
      <c r="AD6609">
        <v>-1.10924923177</v>
      </c>
      <c r="AE6609">
        <v>11.945099999999901</v>
      </c>
      <c r="AF6609">
        <v>5.2097278138649097</v>
      </c>
      <c r="AG6609">
        <v>-1.10924923177</v>
      </c>
      <c r="AH6609">
        <v>12.152492343102701</v>
      </c>
      <c r="AI6609">
        <v>94.795512752480093</v>
      </c>
      <c r="AJ6609">
        <v>66.795368096994295</v>
      </c>
      <c r="AK6609">
        <v>13.268563143833999</v>
      </c>
      <c r="AL6609">
        <v>79.828410649715195</v>
      </c>
      <c r="AM6609">
        <v>72.917465378003001</v>
      </c>
      <c r="AN6609">
        <v>1.0000000229621</v>
      </c>
    </row>
    <row r="6610" spans="1:40" x14ac:dyDescent="0.25">
      <c r="A6610" t="str">
        <f>"20190312172838844"</f>
        <v>20190312172838844</v>
      </c>
      <c r="B6610" t="str">
        <f>"1552382918836339"</f>
        <v>1552382918836339</v>
      </c>
      <c r="C6610" t="s">
        <v>40</v>
      </c>
      <c r="D6610">
        <v>3.5486780000000002</v>
      </c>
      <c r="E6610">
        <v>0.5420722</v>
      </c>
      <c r="F6610" t="s">
        <v>50</v>
      </c>
      <c r="G6610">
        <v>-182.00370000000001</v>
      </c>
      <c r="H6610" s="1">
        <v>-3.343727E-6</v>
      </c>
      <c r="I6610">
        <v>123.6955</v>
      </c>
      <c r="J6610">
        <v>-187.9419</v>
      </c>
      <c r="K6610">
        <v>1.1092500000000001</v>
      </c>
      <c r="L6610">
        <v>111.718</v>
      </c>
      <c r="M6610">
        <v>5.4250189999999997E-2</v>
      </c>
      <c r="N6610">
        <v>0</v>
      </c>
      <c r="O6610">
        <v>0.99843579999999998</v>
      </c>
      <c r="P6610">
        <v>0.33921590000000001</v>
      </c>
      <c r="Q6610">
        <v>0.16443840000000001</v>
      </c>
      <c r="R6610">
        <v>0.92622490000000002</v>
      </c>
      <c r="S6610">
        <v>1.361847</v>
      </c>
      <c r="T6610">
        <v>-0.2538589</v>
      </c>
      <c r="U6610">
        <v>2.7859340000000001</v>
      </c>
      <c r="V6610">
        <v>0.28890450000000001</v>
      </c>
      <c r="W6610">
        <v>0.1764606</v>
      </c>
      <c r="X6610">
        <v>0.94095469999999903</v>
      </c>
      <c r="Y6610">
        <v>0.38828950000000001</v>
      </c>
      <c r="Z6610">
        <v>-8.2367739999999995E-2</v>
      </c>
      <c r="AA6610">
        <v>0.91784900000000003</v>
      </c>
      <c r="AB6610">
        <v>20</v>
      </c>
      <c r="AC6610">
        <v>5.9381999999999904</v>
      </c>
      <c r="AD6610">
        <v>-1.109253343727</v>
      </c>
      <c r="AE6610">
        <v>11.977499999999999</v>
      </c>
      <c r="AF6610">
        <v>5.2435128426808397</v>
      </c>
      <c r="AG6610">
        <v>-1.109253343727</v>
      </c>
      <c r="AH6610">
        <v>12.1980570093582</v>
      </c>
      <c r="AI6610">
        <v>94.775686682539003</v>
      </c>
      <c r="AJ6610">
        <v>66.738842987552601</v>
      </c>
      <c r="AK6610">
        <v>13.3235680174449</v>
      </c>
      <c r="AL6610">
        <v>79.836332277315805</v>
      </c>
      <c r="AM6610">
        <v>72.931766109525697</v>
      </c>
      <c r="AN6610">
        <v>0.99999995046234802</v>
      </c>
    </row>
    <row r="6611" spans="1:40" x14ac:dyDescent="0.25">
      <c r="A6611" t="str">
        <f>"20190312172838866"</f>
        <v>20190312172838866</v>
      </c>
      <c r="B6611" t="str">
        <f>"1552382918856836"</f>
        <v>1552382918856836</v>
      </c>
      <c r="C6611" t="s">
        <v>40</v>
      </c>
      <c r="D6611">
        <v>3.5614439999999998</v>
      </c>
      <c r="E6611">
        <v>0.54257759999999999</v>
      </c>
      <c r="F6611" t="s">
        <v>50</v>
      </c>
      <c r="G6611">
        <v>-181.9691</v>
      </c>
      <c r="H6611" s="1">
        <v>-3.433637E-6</v>
      </c>
      <c r="I6611">
        <v>123.8507</v>
      </c>
      <c r="J6611">
        <v>-187.92869999999999</v>
      </c>
      <c r="K6611">
        <v>1.109251</v>
      </c>
      <c r="L6611">
        <v>111.9198</v>
      </c>
      <c r="M6611">
        <v>5.6152550000000002E-2</v>
      </c>
      <c r="N6611">
        <v>0</v>
      </c>
      <c r="O6611">
        <v>0.99833070000000002</v>
      </c>
      <c r="P6611">
        <v>0.34025339999999998</v>
      </c>
      <c r="Q6611">
        <v>0.16458680000000001</v>
      </c>
      <c r="R6611">
        <v>0.92581789999999997</v>
      </c>
      <c r="S6611">
        <v>1.369766</v>
      </c>
      <c r="T6611">
        <v>-0.2543916</v>
      </c>
      <c r="U6611">
        <v>2.7824710000000001</v>
      </c>
      <c r="V6611">
        <v>0.2881647</v>
      </c>
      <c r="W6611">
        <v>0.1766131</v>
      </c>
      <c r="X6611">
        <v>0.94115300000000002</v>
      </c>
      <c r="Y6611">
        <v>0.38908369999999998</v>
      </c>
      <c r="Z6611">
        <v>-8.2554409999999995E-2</v>
      </c>
      <c r="AA6611">
        <v>0.91749579999999997</v>
      </c>
      <c r="AB6611">
        <v>20</v>
      </c>
      <c r="AC6611">
        <v>5.9595999999999902</v>
      </c>
      <c r="AD6611">
        <v>-1.109254433637</v>
      </c>
      <c r="AE6611">
        <v>11.930899999999999</v>
      </c>
      <c r="AF6611">
        <v>5.2439065757646297</v>
      </c>
      <c r="AG6611">
        <v>-1.109254433637</v>
      </c>
      <c r="AH6611">
        <v>12.1626092135433</v>
      </c>
      <c r="AI6611">
        <v>94.787320646812006</v>
      </c>
      <c r="AJ6611">
        <v>66.676719693865707</v>
      </c>
      <c r="AK6611">
        <v>13.2912777585626</v>
      </c>
      <c r="AL6611">
        <v>79.827456018699806</v>
      </c>
      <c r="AM6611">
        <v>72.976321806565693</v>
      </c>
      <c r="AN6611">
        <v>1.0000000254133401</v>
      </c>
    </row>
    <row r="6612" spans="1:40" x14ac:dyDescent="0.25">
      <c r="A6612" t="str">
        <f>"20190312172838890"</f>
        <v>20190312172838890</v>
      </c>
      <c r="B6612" t="str">
        <f>"1552382918886115"</f>
        <v>1552382918886115</v>
      </c>
      <c r="C6612" t="s">
        <v>40</v>
      </c>
      <c r="D6612">
        <v>3.5401750000000001</v>
      </c>
      <c r="E6612">
        <v>0.5432515</v>
      </c>
      <c r="F6612" t="s">
        <v>50</v>
      </c>
      <c r="G6612">
        <v>-181.90639999999999</v>
      </c>
      <c r="H6612" s="1">
        <v>-3.564863E-6</v>
      </c>
      <c r="I6612">
        <v>124.0742</v>
      </c>
      <c r="J6612">
        <v>-187.91489999999999</v>
      </c>
      <c r="K6612">
        <v>1.1092569999999999</v>
      </c>
      <c r="L6612">
        <v>112.1232</v>
      </c>
      <c r="M6612">
        <v>5.8070089999999998E-2</v>
      </c>
      <c r="N6612">
        <v>0</v>
      </c>
      <c r="O6612">
        <v>0.99822100000000002</v>
      </c>
      <c r="P6612">
        <v>0.3417367</v>
      </c>
      <c r="Q6612">
        <v>0.1649399</v>
      </c>
      <c r="R6612">
        <v>0.92520860000000005</v>
      </c>
      <c r="S6612">
        <v>1.37712099999999</v>
      </c>
      <c r="T6612">
        <v>-0.2536544</v>
      </c>
      <c r="U6612">
        <v>2.7793580000000002</v>
      </c>
      <c r="V6612">
        <v>0.2878676</v>
      </c>
      <c r="W6612">
        <v>0.1769675</v>
      </c>
      <c r="X6612">
        <v>0.94117729999999999</v>
      </c>
      <c r="Y6612">
        <v>0.38968219999999998</v>
      </c>
      <c r="Z6612">
        <v>-8.2328879999999993E-2</v>
      </c>
      <c r="AA6612">
        <v>0.91726209999999997</v>
      </c>
      <c r="AB6612">
        <v>20</v>
      </c>
      <c r="AC6612">
        <v>6.00849999999999</v>
      </c>
      <c r="AD6612">
        <v>-1.1092605648629901</v>
      </c>
      <c r="AE6612">
        <v>11.951000000000001</v>
      </c>
      <c r="AF6612">
        <v>5.26807221508097</v>
      </c>
      <c r="AG6612">
        <v>-1.1092605648629901</v>
      </c>
      <c r="AH6612">
        <v>12.1959060569481</v>
      </c>
      <c r="AI6612">
        <v>94.772946828496799</v>
      </c>
      <c r="AJ6612">
        <v>66.637869490348507</v>
      </c>
      <c r="AK6612">
        <v>13.3312853249029</v>
      </c>
      <c r="AL6612">
        <v>79.806824971460102</v>
      </c>
      <c r="AM6612">
        <v>72.9932736918784</v>
      </c>
      <c r="AN6612">
        <v>0.99999998061064899</v>
      </c>
    </row>
    <row r="6613" spans="1:40" x14ac:dyDescent="0.25">
      <c r="A6613" t="str">
        <f>"20190312172838912"</f>
        <v>20190312172838912</v>
      </c>
      <c r="B6613" t="str">
        <f>"1552382918906612"</f>
        <v>1552382918906612</v>
      </c>
      <c r="C6613" t="s">
        <v>40</v>
      </c>
      <c r="D6613">
        <v>3.5257000000000001</v>
      </c>
      <c r="E6613">
        <v>0.54324899999999998</v>
      </c>
      <c r="F6613" t="s">
        <v>50</v>
      </c>
      <c r="G6613">
        <v>-181.79859999999999</v>
      </c>
      <c r="H6613" s="1">
        <v>-3.7360759999999999E-6</v>
      </c>
      <c r="I6613">
        <v>124.3591</v>
      </c>
      <c r="J6613">
        <v>-187.90129999999999</v>
      </c>
      <c r="K6613">
        <v>1.1092599999999999</v>
      </c>
      <c r="L6613">
        <v>112.319</v>
      </c>
      <c r="M6613">
        <v>5.9914910000000002E-2</v>
      </c>
      <c r="N6613">
        <v>0</v>
      </c>
      <c r="O6613">
        <v>0.998112</v>
      </c>
      <c r="P6613">
        <v>0.34371420000000003</v>
      </c>
      <c r="Q6613">
        <v>0.1650519</v>
      </c>
      <c r="R6613">
        <v>0.92445569999999999</v>
      </c>
      <c r="S6613">
        <v>1.3871309999999999</v>
      </c>
      <c r="T6613">
        <v>-0.25157030000000002</v>
      </c>
      <c r="U6613">
        <v>2.774994</v>
      </c>
      <c r="V6613">
        <v>0.28814129999999999</v>
      </c>
      <c r="W6613">
        <v>0.17707779999999901</v>
      </c>
      <c r="X6613">
        <v>0.94107280000000004</v>
      </c>
      <c r="Y6613">
        <v>0.39122980000000002</v>
      </c>
      <c r="Z6613">
        <v>-8.1668190000000002E-2</v>
      </c>
      <c r="AA6613">
        <v>0.91666219999999998</v>
      </c>
      <c r="AB6613">
        <v>20</v>
      </c>
      <c r="AC6613">
        <v>6.1026999999999898</v>
      </c>
      <c r="AD6613">
        <v>-1.109263736076</v>
      </c>
      <c r="AE6613">
        <v>12.040099999999899</v>
      </c>
      <c r="AF6613">
        <v>5.3342640857589201</v>
      </c>
      <c r="AG6613">
        <v>-1.109263736076</v>
      </c>
      <c r="AH6613">
        <v>12.3010713263984</v>
      </c>
      <c r="AI6613">
        <v>94.729443278554101</v>
      </c>
      <c r="AJ6613">
        <v>66.556408046029006</v>
      </c>
      <c r="AK6613">
        <v>13.453668464397801</v>
      </c>
      <c r="AL6613">
        <v>79.800403886419403</v>
      </c>
      <c r="AM6613">
        <v>72.976257466371706</v>
      </c>
      <c r="AN6613">
        <v>0.999999985459184</v>
      </c>
    </row>
    <row r="6614" spans="1:40" x14ac:dyDescent="0.25">
      <c r="A6614" t="str">
        <f>"20190312172838932"</f>
        <v>20190312172838932</v>
      </c>
      <c r="B6614" t="str">
        <f>"1552382918926131"</f>
        <v>1552382918926131</v>
      </c>
      <c r="C6614" t="s">
        <v>40</v>
      </c>
      <c r="D6614">
        <v>3.5049990000000002</v>
      </c>
      <c r="E6614">
        <v>0.52900000000000003</v>
      </c>
      <c r="F6614" t="s">
        <v>50</v>
      </c>
      <c r="G6614">
        <v>-181.76779999999999</v>
      </c>
      <c r="H6614" s="1">
        <v>-3.8328349999999999E-6</v>
      </c>
      <c r="I6614">
        <v>124.5278</v>
      </c>
      <c r="J6614">
        <v>-187.8878</v>
      </c>
      <c r="K6614">
        <v>1.1092630000000001</v>
      </c>
      <c r="L6614">
        <v>112.50830000000001</v>
      </c>
      <c r="M6614">
        <v>6.1698360000000001E-2</v>
      </c>
      <c r="N6614">
        <v>0</v>
      </c>
      <c r="O6614">
        <v>0.99800330000000004</v>
      </c>
      <c r="P6614">
        <v>0.34628819999999999</v>
      </c>
      <c r="Q6614">
        <v>0.16487289999999999</v>
      </c>
      <c r="R6614">
        <v>0.92352659999999998</v>
      </c>
      <c r="S6614">
        <v>1.3927609999999999</v>
      </c>
      <c r="T6614">
        <v>-0.25188529999999998</v>
      </c>
      <c r="U6614">
        <v>2.7723080000000002</v>
      </c>
      <c r="V6614">
        <v>0.2890798</v>
      </c>
      <c r="W6614">
        <v>0.17689340000000001</v>
      </c>
      <c r="X6614">
        <v>0.94081970000000004</v>
      </c>
      <c r="Y6614">
        <v>0.39142500000000002</v>
      </c>
      <c r="Z6614">
        <v>-8.1787840000000001E-2</v>
      </c>
      <c r="AA6614">
        <v>0.91656819999999894</v>
      </c>
      <c r="AB6614">
        <v>20</v>
      </c>
      <c r="AC6614">
        <v>6.12</v>
      </c>
      <c r="AD6614">
        <v>-1.1092668328349999</v>
      </c>
      <c r="AE6614">
        <v>12.019499999999899</v>
      </c>
      <c r="AF6614">
        <v>5.3306322458439999</v>
      </c>
      <c r="AG6614">
        <v>-1.1092668328349999</v>
      </c>
      <c r="AH6614">
        <v>12.2910918434763</v>
      </c>
      <c r="AI6614">
        <v>94.733181614001495</v>
      </c>
      <c r="AJ6614">
        <v>66.5536784211521</v>
      </c>
      <c r="AK6614">
        <v>13.4431042453605</v>
      </c>
      <c r="AL6614">
        <v>79.811139428857103</v>
      </c>
      <c r="AM6614">
        <v>72.919704035914293</v>
      </c>
      <c r="AN6614">
        <v>1.0000000568198399</v>
      </c>
    </row>
    <row r="6615" spans="1:40" x14ac:dyDescent="0.25">
      <c r="A6615" t="str">
        <f>"20190312172838956"</f>
        <v>20190312172838956</v>
      </c>
      <c r="B6615" t="str">
        <f>"1552382918946628"</f>
        <v>1552382918946628</v>
      </c>
      <c r="C6615" t="s">
        <v>40</v>
      </c>
      <c r="D6615">
        <v>3.5412620000000001</v>
      </c>
      <c r="E6615">
        <v>0.52797839999999996</v>
      </c>
      <c r="F6615" t="s">
        <v>50</v>
      </c>
      <c r="G6615">
        <v>-181.6122</v>
      </c>
      <c r="H6615" s="1">
        <v>-4.2972680000000003E-6</v>
      </c>
      <c r="I6615">
        <v>126.1343</v>
      </c>
      <c r="J6615">
        <v>-187.87309999999999</v>
      </c>
      <c r="K6615">
        <v>1.1092630000000001</v>
      </c>
      <c r="L6615">
        <v>112.7089</v>
      </c>
      <c r="M6615">
        <v>6.3588290000000006E-2</v>
      </c>
      <c r="N6615">
        <v>0</v>
      </c>
      <c r="O6615">
        <v>0.99788469999999996</v>
      </c>
      <c r="P6615">
        <v>0.34884470000000001</v>
      </c>
      <c r="Q6615">
        <v>0.164958299999999</v>
      </c>
      <c r="R6615">
        <v>0.9225487</v>
      </c>
      <c r="S6615">
        <v>1.291779</v>
      </c>
      <c r="T6615">
        <v>-0.22833429999999999</v>
      </c>
      <c r="U6615">
        <v>2.8048099999999998</v>
      </c>
      <c r="V6615">
        <v>0.28990529999999998</v>
      </c>
      <c r="W6615">
        <v>0.17697360000000001</v>
      </c>
      <c r="X6615">
        <v>0.94055049999999996</v>
      </c>
      <c r="Y6615">
        <v>0.35855700000000001</v>
      </c>
      <c r="Z6615">
        <v>-7.4463669999999996E-2</v>
      </c>
      <c r="AA6615">
        <v>0.93053319999999995</v>
      </c>
      <c r="AB6615">
        <v>20</v>
      </c>
      <c r="AC6615">
        <v>6.2608999999999897</v>
      </c>
      <c r="AD6615">
        <v>-1.109267297268</v>
      </c>
      <c r="AE6615">
        <v>13.4253999999999</v>
      </c>
      <c r="AF6615">
        <v>5.3643709720921597</v>
      </c>
      <c r="AG6615">
        <v>-1.109267297268</v>
      </c>
      <c r="AH6615">
        <v>13.719451720643701</v>
      </c>
      <c r="AI6615">
        <v>94.306359481686201</v>
      </c>
      <c r="AJ6615">
        <v>68.644264897256605</v>
      </c>
      <c r="AK6615">
        <v>14.7726201256949</v>
      </c>
      <c r="AL6615">
        <v>79.806469964684496</v>
      </c>
      <c r="AM6615">
        <v>72.869164519228704</v>
      </c>
      <c r="AN6615">
        <v>0.99999999055764899</v>
      </c>
    </row>
    <row r="6616" spans="1:40" x14ac:dyDescent="0.25">
      <c r="A6616" t="str">
        <f>"20190312172838977"</f>
        <v>20190312172838977</v>
      </c>
      <c r="B6616" t="str">
        <f>"1552382918966152"</f>
        <v>1552382918966152</v>
      </c>
      <c r="C6616" t="s">
        <v>40</v>
      </c>
      <c r="D6616">
        <v>3.5406149999999998</v>
      </c>
      <c r="E6616">
        <v>0.52777799999999997</v>
      </c>
      <c r="F6616" t="s">
        <v>50</v>
      </c>
      <c r="G6616">
        <v>-181.4239</v>
      </c>
      <c r="H6616" s="1">
        <v>-4.4712609999999998E-6</v>
      </c>
      <c r="I6616">
        <v>126.7032</v>
      </c>
      <c r="J6616">
        <v>-187.8587</v>
      </c>
      <c r="K6616">
        <v>1.1092740000000001</v>
      </c>
      <c r="L6616">
        <v>112.90089999999999</v>
      </c>
      <c r="M6616">
        <v>6.5396750000000003E-2</v>
      </c>
      <c r="N6616">
        <v>0</v>
      </c>
      <c r="O6616">
        <v>0.99776790000000004</v>
      </c>
      <c r="P6616">
        <v>0.351776599999999</v>
      </c>
      <c r="Q6616">
        <v>0.16481789999999999</v>
      </c>
      <c r="R6616">
        <v>0.9214599</v>
      </c>
      <c r="S6616">
        <v>1.291809</v>
      </c>
      <c r="T6616">
        <v>-0.22219230000000001</v>
      </c>
      <c r="U6616">
        <v>2.8031459999999999</v>
      </c>
      <c r="V6616">
        <v>0.29119080000000003</v>
      </c>
      <c r="W6616">
        <v>0.1768257</v>
      </c>
      <c r="X6616">
        <v>0.94018109999999999</v>
      </c>
      <c r="Y6616">
        <v>0.3571433</v>
      </c>
      <c r="Z6616">
        <v>-7.2518070000000004E-2</v>
      </c>
      <c r="AA6616">
        <v>0.93123020000000001</v>
      </c>
      <c r="AB6616">
        <v>20</v>
      </c>
      <c r="AC6616">
        <v>6.4347999999999903</v>
      </c>
      <c r="AD6616">
        <v>-1.10927847126099</v>
      </c>
      <c r="AE6616">
        <v>13.802300000000001</v>
      </c>
      <c r="AF6616">
        <v>5.4891895917357703</v>
      </c>
      <c r="AG6616">
        <v>-1.10927847126099</v>
      </c>
      <c r="AH6616">
        <v>14.118689233212599</v>
      </c>
      <c r="AI6616">
        <v>94.188197067697701</v>
      </c>
      <c r="AJ6616">
        <v>68.754471234803702</v>
      </c>
      <c r="AK6616">
        <v>15.188781608965799</v>
      </c>
      <c r="AL6616">
        <v>79.815079436195504</v>
      </c>
      <c r="AM6616">
        <v>72.791317475166593</v>
      </c>
      <c r="AN6616">
        <v>0.99999995549116905</v>
      </c>
    </row>
    <row r="6617" spans="1:40" x14ac:dyDescent="0.25">
      <c r="A6617" t="str">
        <f>"20190312172838999"</f>
        <v>20190312172838999</v>
      </c>
      <c r="B6617" t="str">
        <f>"1552382918996404"</f>
        <v>1552382918996404</v>
      </c>
      <c r="C6617" t="s">
        <v>40</v>
      </c>
      <c r="D6617">
        <v>3.530135</v>
      </c>
      <c r="E6617">
        <v>0.52806589999999998</v>
      </c>
      <c r="F6617" t="s">
        <v>50</v>
      </c>
      <c r="G6617">
        <v>-181.29900000000001</v>
      </c>
      <c r="H6617" s="1">
        <v>-4.5761229999999997E-6</v>
      </c>
      <c r="I6617">
        <v>127.04</v>
      </c>
      <c r="J6617">
        <v>-187.84399999999999</v>
      </c>
      <c r="K6617">
        <v>1.1092759999999999</v>
      </c>
      <c r="L6617">
        <v>113.092</v>
      </c>
      <c r="M6617">
        <v>6.7194719999999999E-2</v>
      </c>
      <c r="N6617">
        <v>0</v>
      </c>
      <c r="O6617">
        <v>0.99764839999999999</v>
      </c>
      <c r="P6617">
        <v>0.35506270000000001</v>
      </c>
      <c r="Q6617">
        <v>0.16454269999999999</v>
      </c>
      <c r="R6617">
        <v>0.92024790000000001</v>
      </c>
      <c r="S6617">
        <v>1.2986599999999999</v>
      </c>
      <c r="T6617">
        <v>-0.2196118</v>
      </c>
      <c r="U6617">
        <v>2.7992249999999999</v>
      </c>
      <c r="V6617">
        <v>0.29284969999999999</v>
      </c>
      <c r="W6617">
        <v>0.1765409</v>
      </c>
      <c r="X6617">
        <v>0.93971930000000004</v>
      </c>
      <c r="Y6617">
        <v>0.35785830000000002</v>
      </c>
      <c r="Z6617">
        <v>-7.1712929999999994E-2</v>
      </c>
      <c r="AA6617">
        <v>0.93101809999999996</v>
      </c>
      <c r="AB6617">
        <v>20</v>
      </c>
      <c r="AC6617">
        <v>6.5450000000000097</v>
      </c>
      <c r="AD6617">
        <v>-1.109280576123</v>
      </c>
      <c r="AE6617">
        <v>13.947999999999899</v>
      </c>
      <c r="AF6617">
        <v>5.5640454963987596</v>
      </c>
      <c r="AG6617">
        <v>-1.109280576123</v>
      </c>
      <c r="AH6617">
        <v>14.2822660613963</v>
      </c>
      <c r="AI6617">
        <v>94.139305448408393</v>
      </c>
      <c r="AJ6617">
        <v>68.715244956419994</v>
      </c>
      <c r="AK6617">
        <v>15.367896067161301</v>
      </c>
      <c r="AL6617">
        <v>79.831658546570694</v>
      </c>
      <c r="AM6617">
        <v>72.691122661996801</v>
      </c>
      <c r="AN6617">
        <v>0.99999999947769502</v>
      </c>
    </row>
    <row r="6618" spans="1:40" x14ac:dyDescent="0.25">
      <c r="A6618" t="str">
        <f>"20190312172839022"</f>
        <v>20190312172839022</v>
      </c>
      <c r="B6618" t="str">
        <f>"1552382919015924"</f>
        <v>1552382919015924</v>
      </c>
      <c r="C6618" t="s">
        <v>40</v>
      </c>
      <c r="D6618">
        <v>3.5225230000000001</v>
      </c>
      <c r="E6618">
        <v>0.52831159999999999</v>
      </c>
      <c r="F6618" t="s">
        <v>50</v>
      </c>
      <c r="G6618">
        <v>-181.25389999999999</v>
      </c>
      <c r="H6618" s="1">
        <v>-4.6113390000000002E-6</v>
      </c>
      <c r="I6618">
        <v>127.1514</v>
      </c>
      <c r="J6618">
        <v>-187.828</v>
      </c>
      <c r="K6618">
        <v>1.109281</v>
      </c>
      <c r="L6618">
        <v>113.2954</v>
      </c>
      <c r="M6618">
        <v>6.910695E-2</v>
      </c>
      <c r="N6618">
        <v>0</v>
      </c>
      <c r="O6618">
        <v>0.99751780000000001</v>
      </c>
      <c r="P6618">
        <v>0.35817979999999999</v>
      </c>
      <c r="Q6618">
        <v>0.16420090000000001</v>
      </c>
      <c r="R6618">
        <v>0.91910029999999998</v>
      </c>
      <c r="S6618">
        <v>1.309677</v>
      </c>
      <c r="T6618">
        <v>-0.2204517</v>
      </c>
      <c r="U6618">
        <v>2.7940830000000001</v>
      </c>
      <c r="V6618">
        <v>0.29422939999999997</v>
      </c>
      <c r="W6618">
        <v>0.17619209999999999</v>
      </c>
      <c r="X6618">
        <v>0.93935369999999996</v>
      </c>
      <c r="Y6618">
        <v>0.35972769999999998</v>
      </c>
      <c r="Z6618">
        <v>-7.2007020000000005E-2</v>
      </c>
      <c r="AA6618">
        <v>0.93027470000000001</v>
      </c>
      <c r="AB6618">
        <v>20</v>
      </c>
      <c r="AC6618">
        <v>6.5741000000000103</v>
      </c>
      <c r="AD6618">
        <v>-1.1092856113389999</v>
      </c>
      <c r="AE6618">
        <v>13.8559999999999</v>
      </c>
      <c r="AF6618">
        <v>5.5715984297015799</v>
      </c>
      <c r="AG6618">
        <v>-1.1092856113389999</v>
      </c>
      <c r="AH6618">
        <v>14.2029210903276</v>
      </c>
      <c r="AI6618">
        <v>94.158560184229998</v>
      </c>
      <c r="AJ6618">
        <v>68.580648316133093</v>
      </c>
      <c r="AK6618">
        <v>15.296934043377799</v>
      </c>
      <c r="AL6618">
        <v>79.851961422908005</v>
      </c>
      <c r="AM6618">
        <v>72.608120681960301</v>
      </c>
      <c r="AN6618">
        <v>0.999999984815229</v>
      </c>
    </row>
    <row r="6619" spans="1:40" x14ac:dyDescent="0.25">
      <c r="A6619" t="str">
        <f>"20190312172839044"</f>
        <v>20190312172839044</v>
      </c>
      <c r="B6619" t="str">
        <f>"1552382919036420"</f>
        <v>1552382919036420</v>
      </c>
      <c r="C6619" t="s">
        <v>40</v>
      </c>
      <c r="D6619">
        <v>3.5241739999999999</v>
      </c>
      <c r="E6619">
        <v>0.528501</v>
      </c>
      <c r="F6619" t="s">
        <v>50</v>
      </c>
      <c r="G6619">
        <v>-181.25399999999999</v>
      </c>
      <c r="H6619" s="1">
        <v>-4.6190589999999999E-6</v>
      </c>
      <c r="I6619">
        <v>127.1812</v>
      </c>
      <c r="J6619">
        <v>-187.81270000000001</v>
      </c>
      <c r="K6619">
        <v>1.1092820000000001</v>
      </c>
      <c r="L6619">
        <v>113.4854</v>
      </c>
      <c r="M6619">
        <v>7.0891949999999995E-2</v>
      </c>
      <c r="N6619">
        <v>0</v>
      </c>
      <c r="O6619">
        <v>0.99739259999999996</v>
      </c>
      <c r="P6619">
        <v>0.3616277</v>
      </c>
      <c r="Q6619">
        <v>0.16343840000000001</v>
      </c>
      <c r="R6619">
        <v>0.91788519999999896</v>
      </c>
      <c r="S6619">
        <v>1.320541</v>
      </c>
      <c r="T6619">
        <v>-0.22282350000000001</v>
      </c>
      <c r="U6619">
        <v>2.7892459999999999</v>
      </c>
      <c r="V6619">
        <v>0.29606539999999998</v>
      </c>
      <c r="W6619">
        <v>0.1754204</v>
      </c>
      <c r="X6619">
        <v>0.93892120000000001</v>
      </c>
      <c r="Y6619">
        <v>0.36161789999999999</v>
      </c>
      <c r="Z6619">
        <v>-7.2792120000000002E-2</v>
      </c>
      <c r="AA6619">
        <v>0.92948039999999998</v>
      </c>
      <c r="AB6619">
        <v>20</v>
      </c>
      <c r="AC6619">
        <v>6.5586999999999804</v>
      </c>
      <c r="AD6619">
        <v>-1.1092866190589901</v>
      </c>
      <c r="AE6619">
        <v>13.6958</v>
      </c>
      <c r="AF6619">
        <v>5.5416128209156499</v>
      </c>
      <c r="AG6619">
        <v>-1.1092866190589901</v>
      </c>
      <c r="AH6619">
        <v>14.051353573084199</v>
      </c>
      <c r="AI6619">
        <v>94.200269888920801</v>
      </c>
      <c r="AJ6619">
        <v>68.476574347962398</v>
      </c>
      <c r="AK6619">
        <v>15.145313687606</v>
      </c>
      <c r="AL6619">
        <v>79.896876583220603</v>
      </c>
      <c r="AM6619">
        <v>72.498629991016102</v>
      </c>
      <c r="AN6619">
        <v>1.00000002881137</v>
      </c>
    </row>
    <row r="6620" spans="1:40" x14ac:dyDescent="0.25">
      <c r="A6620" t="str">
        <f>"20190312172839066"</f>
        <v>20190312172839066</v>
      </c>
      <c r="B6620" t="str">
        <f>"1552382919055943"</f>
        <v>1552382919055943</v>
      </c>
      <c r="C6620" t="s">
        <v>40</v>
      </c>
      <c r="D6620">
        <v>3.5092099999999999</v>
      </c>
      <c r="E6620">
        <v>0.52866979999999997</v>
      </c>
      <c r="F6620" t="s">
        <v>50</v>
      </c>
      <c r="G6620">
        <v>-181.27889999999999</v>
      </c>
      <c r="H6620" s="1">
        <v>-4.6052530000000004E-6</v>
      </c>
      <c r="I6620">
        <v>127.1414</v>
      </c>
      <c r="J6620">
        <v>-187.79650000000001</v>
      </c>
      <c r="K6620">
        <v>1.109278</v>
      </c>
      <c r="L6620">
        <v>113.68219999999999</v>
      </c>
      <c r="M6620">
        <v>7.2739520000000002E-2</v>
      </c>
      <c r="N6620">
        <v>0</v>
      </c>
      <c r="O6620">
        <v>0.99725960000000002</v>
      </c>
      <c r="P6620">
        <v>0.36493690000000001</v>
      </c>
      <c r="Q6620">
        <v>0.1627625</v>
      </c>
      <c r="R6620">
        <v>0.91669480000000003</v>
      </c>
      <c r="S6620">
        <v>1.3319700000000001</v>
      </c>
      <c r="T6620">
        <v>-0.226137</v>
      </c>
      <c r="U6620">
        <v>2.7838750000000001</v>
      </c>
      <c r="V6620">
        <v>0.2977052</v>
      </c>
      <c r="W6620">
        <v>0.1747359</v>
      </c>
      <c r="X6620">
        <v>0.93853019999999998</v>
      </c>
      <c r="Y6620">
        <v>0.36365940000000002</v>
      </c>
      <c r="Z6620">
        <v>-7.3889109999999994E-2</v>
      </c>
      <c r="AA6620">
        <v>0.92859689999999995</v>
      </c>
      <c r="AB6620">
        <v>20</v>
      </c>
      <c r="AC6620">
        <v>6.5176000000000096</v>
      </c>
      <c r="AD6620">
        <v>-1.109282605253</v>
      </c>
      <c r="AE6620">
        <v>13.459199999999999</v>
      </c>
      <c r="AF6620">
        <v>5.4910125618404502</v>
      </c>
      <c r="AG6620">
        <v>-1.109282605253</v>
      </c>
      <c r="AH6620">
        <v>13.821617273691601</v>
      </c>
      <c r="AI6620">
        <v>94.265601898511605</v>
      </c>
      <c r="AJ6620">
        <v>68.333206715101895</v>
      </c>
      <c r="AK6620">
        <v>14.913712848014001</v>
      </c>
      <c r="AL6620">
        <v>79.936710291128193</v>
      </c>
      <c r="AM6620">
        <v>72.400782997933504</v>
      </c>
      <c r="AN6620">
        <v>0.99999997858394396</v>
      </c>
    </row>
    <row r="6621" spans="1:40" x14ac:dyDescent="0.25">
      <c r="A6621" t="str">
        <f>"20190312172839091"</f>
        <v>20190312172839091</v>
      </c>
      <c r="B6621" t="str">
        <f>"1552382919086196"</f>
        <v>1552382919086196</v>
      </c>
      <c r="C6621" t="s">
        <v>40</v>
      </c>
      <c r="D6621">
        <v>3.5199739999999999</v>
      </c>
      <c r="E6621">
        <v>0.52894180000000002</v>
      </c>
      <c r="F6621" t="s">
        <v>50</v>
      </c>
      <c r="G6621">
        <v>-181.28790000000001</v>
      </c>
      <c r="H6621" s="1">
        <v>-4.60426499999999E-6</v>
      </c>
      <c r="I6621">
        <v>127.14239999999999</v>
      </c>
      <c r="J6621">
        <v>-187.77940000000001</v>
      </c>
      <c r="K6621">
        <v>1.109283</v>
      </c>
      <c r="L6621">
        <v>113.8852</v>
      </c>
      <c r="M6621">
        <v>7.4644680000000005E-2</v>
      </c>
      <c r="N6621">
        <v>0</v>
      </c>
      <c r="O6621">
        <v>0.99711879999999997</v>
      </c>
      <c r="P6621">
        <v>0.36845860000000002</v>
      </c>
      <c r="Q6621">
        <v>0.16197329999999999</v>
      </c>
      <c r="R6621">
        <v>0.91542500000000004</v>
      </c>
      <c r="S6621">
        <v>1.3435060000000001</v>
      </c>
      <c r="T6621">
        <v>-0.22897890000000001</v>
      </c>
      <c r="U6621">
        <v>2.7784580000000001</v>
      </c>
      <c r="V6621">
        <v>0.29951060000000002</v>
      </c>
      <c r="W6621">
        <v>0.1739368</v>
      </c>
      <c r="X6621">
        <v>0.93810420000000005</v>
      </c>
      <c r="Y6621">
        <v>0.3656836</v>
      </c>
      <c r="Z6621">
        <v>-7.4832220000000005E-2</v>
      </c>
      <c r="AA6621">
        <v>0.9277261</v>
      </c>
      <c r="AB6621">
        <v>20</v>
      </c>
      <c r="AC6621">
        <v>6.4915000000000003</v>
      </c>
      <c r="AD6621">
        <v>-1.1092876042649999</v>
      </c>
      <c r="AE6621">
        <v>13.2571999999999</v>
      </c>
      <c r="AF6621">
        <v>5.45292242492543</v>
      </c>
      <c r="AG6621">
        <v>-1.1092876042649999</v>
      </c>
      <c r="AH6621">
        <v>13.627847034663599</v>
      </c>
      <c r="AI6621">
        <v>94.321815131747599</v>
      </c>
      <c r="AJ6621">
        <v>68.192126266564998</v>
      </c>
      <c r="AK6621">
        <v>14.7201595358685</v>
      </c>
      <c r="AL6621">
        <v>79.983208122688097</v>
      </c>
      <c r="AM6621">
        <v>72.293162346708101</v>
      </c>
      <c r="AN6621">
        <v>1.00000004998211</v>
      </c>
    </row>
    <row r="6622" spans="1:40" x14ac:dyDescent="0.25">
      <c r="A6622" t="str">
        <f>"20190312172839112"</f>
        <v>20190312172839112</v>
      </c>
      <c r="B6622" t="str">
        <f>"1552382919106692"</f>
        <v>1552382919106692</v>
      </c>
      <c r="C6622" t="s">
        <v>40</v>
      </c>
      <c r="D6622">
        <v>3.4856929999999999</v>
      </c>
      <c r="E6622">
        <v>0.52905179999999996</v>
      </c>
      <c r="F6622" t="s">
        <v>50</v>
      </c>
      <c r="G6622">
        <v>-181.30279999999999</v>
      </c>
      <c r="H6622" s="1">
        <v>-4.5972830000000002E-6</v>
      </c>
      <c r="I6622">
        <v>127.12350000000001</v>
      </c>
      <c r="J6622">
        <v>-187.76240000000001</v>
      </c>
      <c r="K6622">
        <v>1.1092850000000001</v>
      </c>
      <c r="L6622">
        <v>114.0818</v>
      </c>
      <c r="M6622">
        <v>7.6488459999999994E-2</v>
      </c>
      <c r="N6622">
        <v>0</v>
      </c>
      <c r="O6622">
        <v>0.99697910000000001</v>
      </c>
      <c r="P6622">
        <v>0.37185770000000001</v>
      </c>
      <c r="Q6622">
        <v>0.16181980000000001</v>
      </c>
      <c r="R6622">
        <v>0.91407669999999996</v>
      </c>
      <c r="S6622">
        <v>1.3563229999999999</v>
      </c>
      <c r="T6622">
        <v>-0.2323065</v>
      </c>
      <c r="U6622">
        <v>2.772354</v>
      </c>
      <c r="V6622">
        <v>0.30126180000000002</v>
      </c>
      <c r="W6622">
        <v>0.17377200000000001</v>
      </c>
      <c r="X6622">
        <v>0.93757380000000001</v>
      </c>
      <c r="Y6622">
        <v>0.36819279999999999</v>
      </c>
      <c r="Z6622">
        <v>-7.5934660000000001E-2</v>
      </c>
      <c r="AA6622">
        <v>0.92664340000000001</v>
      </c>
      <c r="AB6622">
        <v>20</v>
      </c>
      <c r="AC6622">
        <v>6.4596000000000204</v>
      </c>
      <c r="AD6622">
        <v>-1.1092895972829999</v>
      </c>
      <c r="AE6622">
        <v>13.041700000000001</v>
      </c>
      <c r="AF6622">
        <v>5.41160380315499</v>
      </c>
      <c r="AG6622">
        <v>-1.1092895972829999</v>
      </c>
      <c r="AH6622">
        <v>13.419655351386</v>
      </c>
      <c r="AI6622">
        <v>94.383883374725002</v>
      </c>
      <c r="AJ6622">
        <v>68.037774398869701</v>
      </c>
      <c r="AK6622">
        <v>14.5121717493607</v>
      </c>
      <c r="AL6622">
        <v>79.992796032406801</v>
      </c>
      <c r="AM6622">
        <v>72.186716941584294</v>
      </c>
      <c r="AN6622">
        <v>1.0000000052848399</v>
      </c>
    </row>
    <row r="6623" spans="1:40" x14ac:dyDescent="0.25">
      <c r="A6623" t="str">
        <f>"20190312172839134"</f>
        <v>20190312172839134</v>
      </c>
      <c r="B6623" t="str">
        <f>"1552382919126212"</f>
        <v>1552382919126212</v>
      </c>
      <c r="C6623" t="s">
        <v>40</v>
      </c>
      <c r="D6623">
        <v>3.537563</v>
      </c>
      <c r="E6623">
        <v>0.52908639999999996</v>
      </c>
      <c r="F6623" t="s">
        <v>50</v>
      </c>
      <c r="G6623">
        <v>-181.25790000000001</v>
      </c>
      <c r="H6623" s="1">
        <v>-4.6345119999999998E-6</v>
      </c>
      <c r="I6623">
        <v>127.2428</v>
      </c>
      <c r="J6623">
        <v>-187.74600000000001</v>
      </c>
      <c r="K6623">
        <v>1.1092820000000001</v>
      </c>
      <c r="L6623">
        <v>114.2677</v>
      </c>
      <c r="M6623">
        <v>7.8233609999999995E-2</v>
      </c>
      <c r="N6623">
        <v>0</v>
      </c>
      <c r="O6623">
        <v>0.9968437</v>
      </c>
      <c r="P6623">
        <v>0.3749324</v>
      </c>
      <c r="Q6623">
        <v>0.1615346</v>
      </c>
      <c r="R6623">
        <v>0.91287030000000002</v>
      </c>
      <c r="S6623">
        <v>1.3675079999999999</v>
      </c>
      <c r="T6623">
        <v>-0.2332177</v>
      </c>
      <c r="U6623">
        <v>2.7669830000000002</v>
      </c>
      <c r="V6623">
        <v>0.30277399999999999</v>
      </c>
      <c r="W6623">
        <v>0.17347699999999999</v>
      </c>
      <c r="X6623">
        <v>0.93714120000000001</v>
      </c>
      <c r="Y6623">
        <v>0.37027959999999999</v>
      </c>
      <c r="Z6623">
        <v>-7.6249849999999994E-2</v>
      </c>
      <c r="AA6623">
        <v>0.92578559999999999</v>
      </c>
      <c r="AB6623">
        <v>19</v>
      </c>
      <c r="AC6623">
        <v>6.48809999999997</v>
      </c>
      <c r="AD6623">
        <v>-1.1092866345119901</v>
      </c>
      <c r="AE6623">
        <v>12.9750999999999</v>
      </c>
      <c r="AF6623">
        <v>5.4213302035402098</v>
      </c>
      <c r="AG6623">
        <v>-1.1092866345119901</v>
      </c>
      <c r="AH6623">
        <v>13.364812928719401</v>
      </c>
      <c r="AI6623">
        <v>94.398160821183197</v>
      </c>
      <c r="AJ6623">
        <v>67.920456206362999</v>
      </c>
      <c r="AK6623">
        <v>14.465115368810199</v>
      </c>
      <c r="AL6623">
        <v>80.009958872178103</v>
      </c>
      <c r="AM6623">
        <v>72.095258828364805</v>
      </c>
      <c r="AN6623">
        <v>0.99999999667121997</v>
      </c>
    </row>
    <row r="6624" spans="1:40" x14ac:dyDescent="0.25">
      <c r="A6624" t="str">
        <f>"20190312172839156"</f>
        <v>20190312172839156</v>
      </c>
      <c r="B6624" t="str">
        <f>"1552382919146708"</f>
        <v>1552382919146708</v>
      </c>
      <c r="C6624" t="s">
        <v>40</v>
      </c>
      <c r="D6624">
        <v>3.5524520000000002</v>
      </c>
      <c r="E6624">
        <v>0.52918559999999903</v>
      </c>
      <c r="F6624" t="s">
        <v>50</v>
      </c>
      <c r="G6624">
        <v>-181.24029999999999</v>
      </c>
      <c r="H6624" s="1">
        <v>-4.6556739999999999E-6</v>
      </c>
      <c r="I6624">
        <v>127.31480000000001</v>
      </c>
      <c r="J6624">
        <v>-187.7286</v>
      </c>
      <c r="K6624">
        <v>1.1092789999999999</v>
      </c>
      <c r="L6624">
        <v>114.4615</v>
      </c>
      <c r="M6624">
        <v>8.0051839999999999E-2</v>
      </c>
      <c r="N6624">
        <v>0</v>
      </c>
      <c r="O6624">
        <v>0.99669929999999995</v>
      </c>
      <c r="P6624">
        <v>0.37777579999999999</v>
      </c>
      <c r="Q6624">
        <v>0.1608002</v>
      </c>
      <c r="R6624">
        <v>0.9118271</v>
      </c>
      <c r="S6624">
        <v>1.377335</v>
      </c>
      <c r="T6624">
        <v>-0.23484669999999999</v>
      </c>
      <c r="U6624">
        <v>2.7621920000000002</v>
      </c>
      <c r="V6624">
        <v>0.30397479999999999</v>
      </c>
      <c r="W6624">
        <v>0.17273640000000001</v>
      </c>
      <c r="X6624">
        <v>0.93688919999999998</v>
      </c>
      <c r="Y6624">
        <v>0.37184600000000001</v>
      </c>
      <c r="Z6624">
        <v>-7.6798430000000001E-2</v>
      </c>
      <c r="AA6624">
        <v>0.92511220000000005</v>
      </c>
      <c r="AB6624">
        <v>19</v>
      </c>
      <c r="AC6624">
        <v>6.4882999999999997</v>
      </c>
      <c r="AD6624">
        <v>-1.109283655674</v>
      </c>
      <c r="AE6624">
        <v>12.853300000000001</v>
      </c>
      <c r="AF6624">
        <v>5.4063585148768398</v>
      </c>
      <c r="AG6624">
        <v>-1.109283655674</v>
      </c>
      <c r="AH6624">
        <v>13.2528247837371</v>
      </c>
      <c r="AI6624">
        <v>94.431624537088197</v>
      </c>
      <c r="AJ6624">
        <v>67.807483339012705</v>
      </c>
      <c r="AK6624">
        <v>14.356064480510099</v>
      </c>
      <c r="AL6624">
        <v>80.053042170248602</v>
      </c>
      <c r="AM6624">
        <v>72.024284328850996</v>
      </c>
      <c r="AN6624">
        <v>0.99999995799831898</v>
      </c>
    </row>
    <row r="6625" spans="1:40" x14ac:dyDescent="0.25">
      <c r="A6625" t="str">
        <f>"20190312172839178"</f>
        <v>20190312172839178</v>
      </c>
      <c r="B6625" t="str">
        <f>"1552382919166228"</f>
        <v>1552382919166228</v>
      </c>
      <c r="C6625" t="s">
        <v>40</v>
      </c>
      <c r="D6625">
        <v>3.5145010000000001</v>
      </c>
      <c r="E6625">
        <v>0.52926799999999996</v>
      </c>
      <c r="F6625" t="s">
        <v>50</v>
      </c>
      <c r="G6625">
        <v>-181.25630000000001</v>
      </c>
      <c r="H6625" s="1">
        <v>-4.6590209999999997E-6</v>
      </c>
      <c r="I6625">
        <v>127.33629999999999</v>
      </c>
      <c r="J6625">
        <v>-187.71100000000001</v>
      </c>
      <c r="K6625">
        <v>1.109278</v>
      </c>
      <c r="L6625">
        <v>114.6534</v>
      </c>
      <c r="M6625">
        <v>8.1855010000000006E-2</v>
      </c>
      <c r="N6625">
        <v>0</v>
      </c>
      <c r="O6625">
        <v>0.99655289999999996</v>
      </c>
      <c r="P6625">
        <v>0.38008960000000003</v>
      </c>
      <c r="Q6625">
        <v>0.16005220000000001</v>
      </c>
      <c r="R6625">
        <v>0.9109969</v>
      </c>
      <c r="S6625">
        <v>1.386307</v>
      </c>
      <c r="T6625">
        <v>-0.23759620000000001</v>
      </c>
      <c r="U6625">
        <v>2.7576450000000001</v>
      </c>
      <c r="V6625">
        <v>0.30464649999999999</v>
      </c>
      <c r="W6625">
        <v>0.17198540000000001</v>
      </c>
      <c r="X6625">
        <v>0.93680920000000001</v>
      </c>
      <c r="Y6625">
        <v>0.37315009999999998</v>
      </c>
      <c r="Z6625">
        <v>-7.7713690000000002E-2</v>
      </c>
      <c r="AA6625">
        <v>0.92451050000000001</v>
      </c>
      <c r="AB6625">
        <v>19</v>
      </c>
      <c r="AC6625">
        <v>6.4546999999999697</v>
      </c>
      <c r="AD6625">
        <v>-1.1092826590209901</v>
      </c>
      <c r="AE6625">
        <v>12.682899999999901</v>
      </c>
      <c r="AF6625">
        <v>5.3622014593165401</v>
      </c>
      <c r="AG6625">
        <v>-1.1092826590209901</v>
      </c>
      <c r="AH6625">
        <v>13.0891991110622</v>
      </c>
      <c r="AI6625">
        <v>94.484093919077196</v>
      </c>
      <c r="AJ6625">
        <v>67.722749538099393</v>
      </c>
      <c r="AK6625">
        <v>14.188405332416</v>
      </c>
      <c r="AL6625">
        <v>80.096725212655798</v>
      </c>
      <c r="AM6625">
        <v>71.985687638774806</v>
      </c>
      <c r="AN6625">
        <v>0.99999997249002404</v>
      </c>
    </row>
    <row r="6626" spans="1:40" x14ac:dyDescent="0.25">
      <c r="A6626" t="str">
        <f>"20190312172839200"</f>
        <v>20190312172839200</v>
      </c>
      <c r="B6626" t="str">
        <f>"1552382919196484"</f>
        <v>1552382919196484</v>
      </c>
      <c r="C6626" t="s">
        <v>40</v>
      </c>
      <c r="D6626">
        <v>3.5256980000000002</v>
      </c>
      <c r="E6626">
        <v>0.52935949999999998</v>
      </c>
      <c r="F6626" t="s">
        <v>50</v>
      </c>
      <c r="G6626">
        <v>-181.28200000000001</v>
      </c>
      <c r="H6626" s="1">
        <v>-4.6606620000000003E-6</v>
      </c>
      <c r="I6626">
        <v>127.35639999999999</v>
      </c>
      <c r="J6626">
        <v>-187.6934</v>
      </c>
      <c r="K6626">
        <v>1.1092770000000001</v>
      </c>
      <c r="L6626">
        <v>114.8415</v>
      </c>
      <c r="M6626">
        <v>8.362464E-2</v>
      </c>
      <c r="N6626">
        <v>0</v>
      </c>
      <c r="O6626">
        <v>0.99640600000000001</v>
      </c>
      <c r="P6626">
        <v>0.38276130000000003</v>
      </c>
      <c r="Q6626">
        <v>0.158916</v>
      </c>
      <c r="R6626">
        <v>0.91007660000000001</v>
      </c>
      <c r="S6626">
        <v>1.393723</v>
      </c>
      <c r="T6626">
        <v>-0.240478</v>
      </c>
      <c r="U6626">
        <v>2.7538450000000001</v>
      </c>
      <c r="V6626">
        <v>0.30571429999999999</v>
      </c>
      <c r="W6626">
        <v>0.17084379999999999</v>
      </c>
      <c r="X6626">
        <v>0.93667020000000001</v>
      </c>
      <c r="Y6626">
        <v>0.3739653</v>
      </c>
      <c r="Z6626">
        <v>-7.8670290000000004E-2</v>
      </c>
      <c r="AA6626">
        <v>0.92410009999999998</v>
      </c>
      <c r="AB6626">
        <v>19</v>
      </c>
      <c r="AC6626">
        <v>6.41139999999998</v>
      </c>
      <c r="AD6626">
        <v>-1.109281660662</v>
      </c>
      <c r="AE6626">
        <v>12.5148999999999</v>
      </c>
      <c r="AF6626">
        <v>5.3092490772990804</v>
      </c>
      <c r="AG6626">
        <v>-1.109281660662</v>
      </c>
      <c r="AH6626">
        <v>12.9268100668196</v>
      </c>
      <c r="AI6626">
        <v>94.538519336065605</v>
      </c>
      <c r="AJ6626">
        <v>67.671254443066601</v>
      </c>
      <c r="AK6626">
        <v>14.018596579940199</v>
      </c>
      <c r="AL6626">
        <v>80.1631165230948</v>
      </c>
      <c r="AM6626">
        <v>71.924138472163193</v>
      </c>
      <c r="AN6626">
        <v>0.99999995039548295</v>
      </c>
    </row>
    <row r="6627" spans="1:40" x14ac:dyDescent="0.25">
      <c r="A6627" t="str">
        <f>"20190312172839223"</f>
        <v>20190312172839223</v>
      </c>
      <c r="B6627" t="str">
        <f>"1552382919216004"</f>
        <v>1552382919216004</v>
      </c>
      <c r="C6627" t="s">
        <v>40</v>
      </c>
      <c r="D6627">
        <v>3.501017</v>
      </c>
      <c r="E6627">
        <v>0.52940880000000001</v>
      </c>
      <c r="F6627" t="s">
        <v>50</v>
      </c>
      <c r="G6627">
        <v>-181.32929999999999</v>
      </c>
      <c r="H6627" s="1">
        <v>-4.645299E-6</v>
      </c>
      <c r="I6627">
        <v>127.32259999999999</v>
      </c>
      <c r="J6627">
        <v>-187.67410000000001</v>
      </c>
      <c r="K6627">
        <v>1.109275</v>
      </c>
      <c r="L6627">
        <v>115.0437</v>
      </c>
      <c r="M6627">
        <v>8.5528839999999995E-2</v>
      </c>
      <c r="N6627">
        <v>0</v>
      </c>
      <c r="O6627">
        <v>0.99624440000000003</v>
      </c>
      <c r="P6627">
        <v>0.3855151</v>
      </c>
      <c r="Q6627">
        <v>0.1579546</v>
      </c>
      <c r="R6627">
        <v>0.90908109999999998</v>
      </c>
      <c r="S6627">
        <v>1.4019619999999999</v>
      </c>
      <c r="T6627">
        <v>-0.244365</v>
      </c>
      <c r="U6627">
        <v>2.749466</v>
      </c>
      <c r="V6627">
        <v>0.3067454</v>
      </c>
      <c r="W6627">
        <v>0.16987639999999901</v>
      </c>
      <c r="X6627">
        <v>0.93650909999999998</v>
      </c>
      <c r="Y6627">
        <v>0.37494070000000002</v>
      </c>
      <c r="Z6627">
        <v>-7.9958769999999998E-2</v>
      </c>
      <c r="AA6627">
        <v>0.92359409999999997</v>
      </c>
      <c r="AB6627">
        <v>19</v>
      </c>
      <c r="AC6627">
        <v>6.3448000000000198</v>
      </c>
      <c r="AD6627">
        <v>-1.1092796452989999</v>
      </c>
      <c r="AE6627">
        <v>12.278899999999901</v>
      </c>
      <c r="AF6627">
        <v>5.2375135574635499</v>
      </c>
      <c r="AG6627">
        <v>-1.1092796452989999</v>
      </c>
      <c r="AH6627">
        <v>12.694837433358799</v>
      </c>
      <c r="AI6627">
        <v>94.618085208030905</v>
      </c>
      <c r="AJ6627">
        <v>67.580407841085901</v>
      </c>
      <c r="AK6627">
        <v>13.777552288251201</v>
      </c>
      <c r="AL6627">
        <v>80.219367356950897</v>
      </c>
      <c r="AM6627">
        <v>71.864241942975198</v>
      </c>
      <c r="AN6627">
        <v>1.00000001304046</v>
      </c>
    </row>
    <row r="6628" spans="1:40" x14ac:dyDescent="0.25">
      <c r="A6628" t="str">
        <f>"20190312172839246"</f>
        <v>20190312172839246</v>
      </c>
      <c r="B6628" t="str">
        <f>"1552382919236499"</f>
        <v>1552382919236499</v>
      </c>
      <c r="C6628" t="s">
        <v>40</v>
      </c>
      <c r="D6628">
        <v>3.5185019999999998</v>
      </c>
      <c r="E6628">
        <v>0.52943009999999902</v>
      </c>
      <c r="F6628" t="s">
        <v>50</v>
      </c>
      <c r="G6628">
        <v>-181.36170000000001</v>
      </c>
      <c r="H6628" s="1">
        <v>-4.6426350000000001E-6</v>
      </c>
      <c r="I6628">
        <v>127.3297</v>
      </c>
      <c r="J6628">
        <v>-187.65559999999999</v>
      </c>
      <c r="K6628">
        <v>1.10927</v>
      </c>
      <c r="L6628">
        <v>115.2345</v>
      </c>
      <c r="M6628">
        <v>8.7329190000000001E-2</v>
      </c>
      <c r="N6628">
        <v>0</v>
      </c>
      <c r="O6628">
        <v>0.99608819999999998</v>
      </c>
      <c r="P6628">
        <v>0.38868930000000002</v>
      </c>
      <c r="Q6628">
        <v>0.1565926</v>
      </c>
      <c r="R6628">
        <v>0.9079644</v>
      </c>
      <c r="S6628">
        <v>1.410355</v>
      </c>
      <c r="T6628">
        <v>-0.24784059999999999</v>
      </c>
      <c r="U6628">
        <v>2.7449949999999999</v>
      </c>
      <c r="V6628">
        <v>0.30830429999999998</v>
      </c>
      <c r="W6628">
        <v>0.16850599999999999</v>
      </c>
      <c r="X6628">
        <v>0.93624479999999999</v>
      </c>
      <c r="Y6628">
        <v>0.37606889999999998</v>
      </c>
      <c r="Z6628">
        <v>-8.1113039999999997E-2</v>
      </c>
      <c r="AA6628">
        <v>0.92303460000000004</v>
      </c>
      <c r="AB6628">
        <v>19</v>
      </c>
      <c r="AC6628">
        <v>6.2938999999999696</v>
      </c>
      <c r="AD6628">
        <v>-1.109274642635</v>
      </c>
      <c r="AE6628">
        <v>12.0952</v>
      </c>
      <c r="AF6628">
        <v>5.1792093251775002</v>
      </c>
      <c r="AG6628">
        <v>-1.109274642635</v>
      </c>
      <c r="AH6628">
        <v>12.5158327718456</v>
      </c>
      <c r="AI6628">
        <v>94.681777442003707</v>
      </c>
      <c r="AJ6628">
        <v>67.5196117505307</v>
      </c>
      <c r="AK6628">
        <v>13.5904661229703</v>
      </c>
      <c r="AL6628">
        <v>80.299034586602701</v>
      </c>
      <c r="AM6628">
        <v>71.773347334420293</v>
      </c>
      <c r="AN6628">
        <v>1.00000006948076</v>
      </c>
    </row>
    <row r="6629" spans="1:40" x14ac:dyDescent="0.25">
      <c r="A6629" t="str">
        <f>"20190312172839268"</f>
        <v>20190312172839268</v>
      </c>
      <c r="B6629" t="str">
        <f>"1552382919256020"</f>
        <v>1552382919256020</v>
      </c>
      <c r="C6629" t="s">
        <v>40</v>
      </c>
      <c r="D6629">
        <v>3.5311409999999999</v>
      </c>
      <c r="E6629">
        <v>0.52945540000000002</v>
      </c>
      <c r="F6629" t="s">
        <v>50</v>
      </c>
      <c r="G6629">
        <v>-181.42910000000001</v>
      </c>
      <c r="H6629" s="1">
        <v>-4.614569E-6</v>
      </c>
      <c r="I6629">
        <v>127.2578</v>
      </c>
      <c r="J6629">
        <v>-187.6362</v>
      </c>
      <c r="K6629">
        <v>1.109256</v>
      </c>
      <c r="L6629">
        <v>115.4303</v>
      </c>
      <c r="M6629">
        <v>8.918421E-2</v>
      </c>
      <c r="N6629">
        <v>0</v>
      </c>
      <c r="O6629">
        <v>0.99592389999999997</v>
      </c>
      <c r="P6629">
        <v>0.39199489999999998</v>
      </c>
      <c r="Q6629">
        <v>0.15524189999999999</v>
      </c>
      <c r="R6629">
        <v>0.90677450000000004</v>
      </c>
      <c r="S6629">
        <v>1.4190670000000001</v>
      </c>
      <c r="T6629">
        <v>-0.2528145</v>
      </c>
      <c r="U6629">
        <v>2.7402190000000002</v>
      </c>
      <c r="V6629">
        <v>0.30995200000000001</v>
      </c>
      <c r="W6629">
        <v>0.1671436</v>
      </c>
      <c r="X6629">
        <v>0.93594489999999997</v>
      </c>
      <c r="Y6629">
        <v>0.3772529</v>
      </c>
      <c r="Z6629">
        <v>-8.275805E-2</v>
      </c>
      <c r="AA6629">
        <v>0.92240520000000004</v>
      </c>
      <c r="AB6629">
        <v>19</v>
      </c>
      <c r="AC6629">
        <v>6.2070999999999898</v>
      </c>
      <c r="AD6629">
        <v>-1.109260614569</v>
      </c>
      <c r="AE6629">
        <v>11.827500000000001</v>
      </c>
      <c r="AF6629">
        <v>5.0923198082460202</v>
      </c>
      <c r="AG6629">
        <v>-1.109260614569</v>
      </c>
      <c r="AH6629">
        <v>12.249507455873299</v>
      </c>
      <c r="AI6629">
        <v>94.7798335780532</v>
      </c>
      <c r="AJ6629">
        <v>67.426548102614902</v>
      </c>
      <c r="AK6629">
        <v>13.3121227853406</v>
      </c>
      <c r="AL6629">
        <v>80.378217140095202</v>
      </c>
      <c r="AM6629">
        <v>71.676947166738202</v>
      </c>
      <c r="AN6629">
        <v>1.0000000405804801</v>
      </c>
    </row>
    <row r="6630" spans="1:40" x14ac:dyDescent="0.25">
      <c r="A6630" t="str">
        <f>"20190312172839291"</f>
        <v>20190312172839291</v>
      </c>
      <c r="B6630" t="str">
        <f>"1552382919286702"</f>
        <v>1552382919286702</v>
      </c>
      <c r="C6630" t="s">
        <v>40</v>
      </c>
      <c r="D6630">
        <v>3.5258970000000001</v>
      </c>
      <c r="E6630">
        <v>0.52947829999999996</v>
      </c>
      <c r="F6630" t="s">
        <v>50</v>
      </c>
      <c r="G6630">
        <v>-181.48220000000001</v>
      </c>
      <c r="H6630" s="1">
        <v>-4.5949569999999999E-6</v>
      </c>
      <c r="I6630">
        <v>127.2107</v>
      </c>
      <c r="J6630">
        <v>-187.61660000000001</v>
      </c>
      <c r="K6630">
        <v>1.1092409999999999</v>
      </c>
      <c r="L6630">
        <v>115.62390000000001</v>
      </c>
      <c r="M6630">
        <v>9.1037670000000001E-2</v>
      </c>
      <c r="N6630">
        <v>0</v>
      </c>
      <c r="O6630">
        <v>0.99575619999999998</v>
      </c>
      <c r="P6630">
        <v>0.39519219999999999</v>
      </c>
      <c r="Q6630">
        <v>0.1540067</v>
      </c>
      <c r="R6630">
        <v>0.90559659999999997</v>
      </c>
      <c r="S6630">
        <v>1.428696</v>
      </c>
      <c r="T6630">
        <v>-0.25752209999999998</v>
      </c>
      <c r="U6630">
        <v>2.734909</v>
      </c>
      <c r="V6630">
        <v>0.31149640000000001</v>
      </c>
      <c r="W6630">
        <v>0.1658944</v>
      </c>
      <c r="X6630">
        <v>0.93565430000000005</v>
      </c>
      <c r="Y6630">
        <v>0.37875540000000002</v>
      </c>
      <c r="Z6630">
        <v>-8.4318679999999993E-2</v>
      </c>
      <c r="AA6630">
        <v>0.92164780000000002</v>
      </c>
      <c r="AB6630">
        <v>19</v>
      </c>
      <c r="AC6630">
        <v>6.1343999999999896</v>
      </c>
      <c r="AD6630">
        <v>-1.1092455949569999</v>
      </c>
      <c r="AE6630">
        <v>11.586799999999901</v>
      </c>
      <c r="AF6630">
        <v>5.01806930494749</v>
      </c>
      <c r="AG6630">
        <v>-1.1092455949569999</v>
      </c>
      <c r="AH6630">
        <v>12.0112072776268</v>
      </c>
      <c r="AI6630">
        <v>94.870589398530797</v>
      </c>
      <c r="AJ6630">
        <v>67.325693351974394</v>
      </c>
      <c r="AK6630">
        <v>13.0644764765107</v>
      </c>
      <c r="AL6630">
        <v>80.4508037397908</v>
      </c>
      <c r="AM6630">
        <v>71.586457680476798</v>
      </c>
      <c r="AN6630">
        <v>0.99999996413640402</v>
      </c>
    </row>
    <row r="6631" spans="1:40" x14ac:dyDescent="0.25">
      <c r="A6631" t="str">
        <f>"20190312172839314"</f>
        <v>20190312172839314</v>
      </c>
      <c r="B6631" t="str">
        <f>"1552382919306222"</f>
        <v>1552382919306222</v>
      </c>
      <c r="C6631" t="s">
        <v>40</v>
      </c>
      <c r="D6631">
        <v>3.5866880000000001</v>
      </c>
      <c r="E6631">
        <v>0.54697719999999905</v>
      </c>
      <c r="F6631" t="s">
        <v>50</v>
      </c>
      <c r="G6631">
        <v>-181.5284</v>
      </c>
      <c r="H6631" s="1">
        <v>-4.5806330000000001E-6</v>
      </c>
      <c r="I6631">
        <v>127.18040000000001</v>
      </c>
      <c r="J6631">
        <v>-187.59710000000001</v>
      </c>
      <c r="K6631">
        <v>1.1092249999999999</v>
      </c>
      <c r="L6631">
        <v>115.81319999999999</v>
      </c>
      <c r="M6631">
        <v>9.2868729999999997E-2</v>
      </c>
      <c r="N6631">
        <v>0</v>
      </c>
      <c r="O6631">
        <v>0.99558709999999995</v>
      </c>
      <c r="P6631">
        <v>0.39845839999999999</v>
      </c>
      <c r="Q6631">
        <v>0.15301909999999999</v>
      </c>
      <c r="R6631">
        <v>0.90433189999999997</v>
      </c>
      <c r="S6631">
        <v>1.43808</v>
      </c>
      <c r="T6631">
        <v>-0.26201190000000002</v>
      </c>
      <c r="U6631">
        <v>2.7297210000000001</v>
      </c>
      <c r="V6631">
        <v>0.31314259999999999</v>
      </c>
      <c r="W6631">
        <v>0.16488800000000001</v>
      </c>
      <c r="X6631">
        <v>0.93528259999999996</v>
      </c>
      <c r="Y6631">
        <v>0.38019730000000002</v>
      </c>
      <c r="Z6631">
        <v>-8.5807610000000006E-2</v>
      </c>
      <c r="AA6631">
        <v>0.92091639999999997</v>
      </c>
      <c r="AB6631">
        <v>19</v>
      </c>
      <c r="AC6631">
        <v>6.0686999999999998</v>
      </c>
      <c r="AD6631">
        <v>-1.1092295806329999</v>
      </c>
      <c r="AE6631">
        <v>11.3672</v>
      </c>
      <c r="AF6631">
        <v>4.9500348852023901</v>
      </c>
      <c r="AG6631">
        <v>-1.1092295806329999</v>
      </c>
      <c r="AH6631">
        <v>11.7943127744166</v>
      </c>
      <c r="AI6631">
        <v>94.956279451571106</v>
      </c>
      <c r="AJ6631">
        <v>67.232364857834298</v>
      </c>
      <c r="AK6631">
        <v>12.838966058372399</v>
      </c>
      <c r="AL6631">
        <v>80.509271211749194</v>
      </c>
      <c r="AM6631">
        <v>71.4889039964375</v>
      </c>
      <c r="AN6631">
        <v>0.99999994117075797</v>
      </c>
    </row>
    <row r="6632" spans="1:40" x14ac:dyDescent="0.25">
      <c r="A6632" t="str">
        <f>"20190312172839335"</f>
        <v>20190312172839335</v>
      </c>
      <c r="B6632" t="str">
        <f>"1552382919326718"</f>
        <v>1552382919326718</v>
      </c>
      <c r="C6632" t="s">
        <v>40</v>
      </c>
      <c r="D6632">
        <v>3.5659800000000001</v>
      </c>
      <c r="E6632">
        <v>0.5568147</v>
      </c>
      <c r="F6632" t="s">
        <v>50</v>
      </c>
      <c r="G6632">
        <v>-181.07740000000001</v>
      </c>
      <c r="H6632" s="1">
        <v>-4.5585350000000004E-6</v>
      </c>
      <c r="I6632">
        <v>126.8535</v>
      </c>
      <c r="J6632">
        <v>-187.57759999999999</v>
      </c>
      <c r="K6632">
        <v>1.1092070000000001</v>
      </c>
      <c r="L6632">
        <v>115.9992</v>
      </c>
      <c r="M6632">
        <v>9.4693650000000004E-2</v>
      </c>
      <c r="N6632">
        <v>0</v>
      </c>
      <c r="O6632">
        <v>0.99541519999999994</v>
      </c>
      <c r="P6632">
        <v>0.40193069999999997</v>
      </c>
      <c r="Q6632">
        <v>0.15241759999999999</v>
      </c>
      <c r="R6632">
        <v>0.90289569999999997</v>
      </c>
      <c r="S6632">
        <v>1.575806</v>
      </c>
      <c r="T6632">
        <v>-0.26809880000000003</v>
      </c>
      <c r="U6632">
        <v>2.6684109999999999</v>
      </c>
      <c r="V6632">
        <v>0.3150211</v>
      </c>
      <c r="W6632">
        <v>0.1642615</v>
      </c>
      <c r="X6632">
        <v>0.93476190000000003</v>
      </c>
      <c r="Y6632">
        <v>0.42271550000000002</v>
      </c>
      <c r="Z6632">
        <v>-8.7618760000000004E-2</v>
      </c>
      <c r="AA6632">
        <v>0.90201690000000001</v>
      </c>
      <c r="AB6632">
        <v>19</v>
      </c>
      <c r="AC6632">
        <v>6.5001999999999702</v>
      </c>
      <c r="AD6632">
        <v>-1.109211558535</v>
      </c>
      <c r="AE6632">
        <v>10.854299999999901</v>
      </c>
      <c r="AF6632">
        <v>5.4015406882660102</v>
      </c>
      <c r="AG6632">
        <v>-1.109211558535</v>
      </c>
      <c r="AH6632">
        <v>11.333982930468199</v>
      </c>
      <c r="AI6632">
        <v>95.048745599367905</v>
      </c>
      <c r="AJ6632">
        <v>64.518501605840697</v>
      </c>
      <c r="AK6632">
        <v>12.6042120402953</v>
      </c>
      <c r="AL6632">
        <v>80.545663531640002</v>
      </c>
      <c r="AM6632">
        <v>71.375834586595204</v>
      </c>
      <c r="AN6632">
        <v>0.99999997175953403</v>
      </c>
    </row>
    <row r="6633" spans="1:40" x14ac:dyDescent="0.25">
      <c r="A6633" t="str">
        <f>"20190312172839357"</f>
        <v>20190312172839357</v>
      </c>
      <c r="B6633" t="str">
        <f>"1552382919346238"</f>
        <v>1552382919346238</v>
      </c>
      <c r="C6633" t="s">
        <v>40</v>
      </c>
      <c r="D6633">
        <v>3.5737640000000002</v>
      </c>
      <c r="E6633">
        <v>0.56036750000000002</v>
      </c>
      <c r="F6633" t="s">
        <v>50</v>
      </c>
      <c r="G6633">
        <v>-180.5273</v>
      </c>
      <c r="H6633" s="1">
        <v>-4.7184189999999999E-6</v>
      </c>
      <c r="I6633">
        <v>127.1742</v>
      </c>
      <c r="J6633">
        <v>-187.5565</v>
      </c>
      <c r="K6633">
        <v>1.109183</v>
      </c>
      <c r="L6633">
        <v>116.1952</v>
      </c>
      <c r="M6633">
        <v>9.6665929999999997E-2</v>
      </c>
      <c r="N6633">
        <v>0</v>
      </c>
      <c r="O6633">
        <v>0.99522560000000004</v>
      </c>
      <c r="P6633">
        <v>0.40475430000000001</v>
      </c>
      <c r="Q6633">
        <v>0.15220320000000001</v>
      </c>
      <c r="R6633">
        <v>0.90166959999999996</v>
      </c>
      <c r="S6633">
        <v>1.6582950000000001</v>
      </c>
      <c r="T6633">
        <v>-0.26089820000000002</v>
      </c>
      <c r="U6633">
        <v>2.628479</v>
      </c>
      <c r="V6633">
        <v>0.31610290000000002</v>
      </c>
      <c r="W6633">
        <v>0.16401879999999999</v>
      </c>
      <c r="X6633">
        <v>0.93443929999999997</v>
      </c>
      <c r="Y6633">
        <v>0.44738660000000002</v>
      </c>
      <c r="Z6633">
        <v>-8.5177210000000003E-2</v>
      </c>
      <c r="AA6633">
        <v>0.89027529999999999</v>
      </c>
      <c r="AB6633">
        <v>19</v>
      </c>
      <c r="AC6633">
        <v>7.0292000000000003</v>
      </c>
      <c r="AD6633">
        <v>-1.109187718419</v>
      </c>
      <c r="AE6633">
        <v>10.978999999999999</v>
      </c>
      <c r="AF6633">
        <v>5.8922284224663199</v>
      </c>
      <c r="AG6633">
        <v>-1.109187718419</v>
      </c>
      <c r="AH6633">
        <v>11.5236976176715</v>
      </c>
      <c r="AI6633">
        <v>94.898265592256806</v>
      </c>
      <c r="AJ6633">
        <v>62.918701650577802</v>
      </c>
      <c r="AK6633">
        <v>12.9901601206737</v>
      </c>
      <c r="AL6633">
        <v>80.559760756367197</v>
      </c>
      <c r="AM6633">
        <v>71.310307460514494</v>
      </c>
      <c r="AN6633">
        <v>1.0000000077631599</v>
      </c>
    </row>
    <row r="6634" spans="1:40" x14ac:dyDescent="0.25">
      <c r="A6634" t="str">
        <f>"20190312172839379"</f>
        <v>20190312172839379</v>
      </c>
      <c r="B6634" t="str">
        <f>"1552382919376494"</f>
        <v>1552382919376494</v>
      </c>
      <c r="C6634" t="s">
        <v>40</v>
      </c>
      <c r="D6634">
        <v>3.567358</v>
      </c>
      <c r="E6634">
        <v>0.56321529999999997</v>
      </c>
      <c r="F6634" t="s">
        <v>50</v>
      </c>
      <c r="G6634">
        <v>-180.24080000000001</v>
      </c>
      <c r="H6634" s="1">
        <v>-4.836729E-6</v>
      </c>
      <c r="I6634">
        <v>127.4761</v>
      </c>
      <c r="J6634">
        <v>-187.53659999999999</v>
      </c>
      <c r="K6634">
        <v>1.1091439999999999</v>
      </c>
      <c r="L6634">
        <v>116.37730000000001</v>
      </c>
      <c r="M6634">
        <v>9.8566509999999996E-2</v>
      </c>
      <c r="N6634">
        <v>0</v>
      </c>
      <c r="O6634">
        <v>0.99503920000000001</v>
      </c>
      <c r="P6634">
        <v>0.40791129999999998</v>
      </c>
      <c r="Q6634">
        <v>0.15222869999999999</v>
      </c>
      <c r="R6634">
        <v>0.90024159999999998</v>
      </c>
      <c r="S6634">
        <v>1.692947</v>
      </c>
      <c r="T6634">
        <v>-0.25667980000000001</v>
      </c>
      <c r="U6634">
        <v>2.6105499999999999</v>
      </c>
      <c r="V6634">
        <v>0.31761129999999999</v>
      </c>
      <c r="W6634">
        <v>0.16400329999999999</v>
      </c>
      <c r="X6634">
        <v>0.93393040000000005</v>
      </c>
      <c r="Y6634">
        <v>0.45684340000000001</v>
      </c>
      <c r="Z6634">
        <v>-8.3780960000000002E-2</v>
      </c>
      <c r="AA6634">
        <v>0.88559290000000002</v>
      </c>
      <c r="AB6634">
        <v>19</v>
      </c>
      <c r="AC6634">
        <v>7.2957999999999803</v>
      </c>
      <c r="AD6634">
        <v>-1.1091488367290001</v>
      </c>
      <c r="AE6634">
        <v>11.098799999999899</v>
      </c>
      <c r="AF6634">
        <v>6.1234947856992203</v>
      </c>
      <c r="AG6634">
        <v>-1.1091488367290001</v>
      </c>
      <c r="AH6634">
        <v>11.682463260842701</v>
      </c>
      <c r="AI6634">
        <v>94.806687044937107</v>
      </c>
      <c r="AJ6634">
        <v>62.338212441160699</v>
      </c>
      <c r="AK6634">
        <v>13.236591229370299</v>
      </c>
      <c r="AL6634">
        <v>80.560661016860905</v>
      </c>
      <c r="AM6634">
        <v>71.217844457169903</v>
      </c>
      <c r="AN6634">
        <v>1.0000000061713701</v>
      </c>
    </row>
    <row r="6635" spans="1:40" x14ac:dyDescent="0.25">
      <c r="A6635" t="str">
        <f>"20190312172839401"</f>
        <v>20190312172839401</v>
      </c>
      <c r="B6635" t="str">
        <f>"1552382919396014"</f>
        <v>1552382919396014</v>
      </c>
      <c r="C6635" t="s">
        <v>40</v>
      </c>
      <c r="D6635">
        <v>3.5509699999999902</v>
      </c>
      <c r="E6635">
        <v>0.56407030000000002</v>
      </c>
      <c r="F6635" t="s">
        <v>50</v>
      </c>
      <c r="G6635">
        <v>-179.99520000000001</v>
      </c>
      <c r="H6635" s="1">
        <v>-4.936468E-6</v>
      </c>
      <c r="I6635">
        <v>127.7285</v>
      </c>
      <c r="J6635">
        <v>-187.51490000000001</v>
      </c>
      <c r="K6635">
        <v>1.109086</v>
      </c>
      <c r="L6635">
        <v>116.57089999999999</v>
      </c>
      <c r="M6635">
        <v>0.1006896</v>
      </c>
      <c r="N6635">
        <v>0</v>
      </c>
      <c r="O6635">
        <v>0.99482660000000001</v>
      </c>
      <c r="P6635">
        <v>0.41102329999999998</v>
      </c>
      <c r="Q6635">
        <v>0.15238380000000001</v>
      </c>
      <c r="R6635">
        <v>0.89879869999999995</v>
      </c>
      <c r="S6635">
        <v>1.723587</v>
      </c>
      <c r="T6635">
        <v>-0.25349680000000002</v>
      </c>
      <c r="U6635">
        <v>2.5943299999999998</v>
      </c>
      <c r="V6635">
        <v>0.31887949999999998</v>
      </c>
      <c r="W6635">
        <v>0.16410159999999999</v>
      </c>
      <c r="X6635">
        <v>0.93348089999999995</v>
      </c>
      <c r="Y6635">
        <v>0.46479690000000001</v>
      </c>
      <c r="Z6635">
        <v>-8.2726369999999994E-2</v>
      </c>
      <c r="AA6635">
        <v>0.881544199999999</v>
      </c>
      <c r="AB6635">
        <v>19</v>
      </c>
      <c r="AC6635">
        <v>7.5197000000000003</v>
      </c>
      <c r="AD6635">
        <v>-1.1090909364679999</v>
      </c>
      <c r="AE6635">
        <v>11.1576</v>
      </c>
      <c r="AF6635">
        <v>6.3150126874432004</v>
      </c>
      <c r="AG6635">
        <v>-1.1090909364679999</v>
      </c>
      <c r="AH6635">
        <v>11.7780823466169</v>
      </c>
      <c r="AI6635">
        <v>94.744077982885301</v>
      </c>
      <c r="AJ6635">
        <v>61.801283346505002</v>
      </c>
      <c r="AK6635">
        <v>13.4101712036652</v>
      </c>
      <c r="AL6635">
        <v>80.554951720227194</v>
      </c>
      <c r="AM6635">
        <v>71.139699679721204</v>
      </c>
      <c r="AN6635">
        <v>1.0000000306537999</v>
      </c>
    </row>
    <row r="6636" spans="1:40" x14ac:dyDescent="0.25">
      <c r="A6636" t="str">
        <f>"20190312172839425"</f>
        <v>20190312172839425</v>
      </c>
      <c r="B6636" t="str">
        <f>"1552382919416513"</f>
        <v>1552382919416513</v>
      </c>
      <c r="C6636" t="s">
        <v>40</v>
      </c>
      <c r="D6636">
        <v>3.5883199999999902</v>
      </c>
      <c r="E6636">
        <v>0.56474749999999996</v>
      </c>
      <c r="F6636" t="s">
        <v>50</v>
      </c>
      <c r="G6636">
        <v>-179.8364</v>
      </c>
      <c r="H6636" s="1">
        <v>-4.9284680000000003E-6</v>
      </c>
      <c r="I6636">
        <v>127.9825</v>
      </c>
      <c r="J6636">
        <v>-187.4924</v>
      </c>
      <c r="K6636">
        <v>1.109002</v>
      </c>
      <c r="L6636">
        <v>116.7667</v>
      </c>
      <c r="M6636">
        <v>0.10297729999999999</v>
      </c>
      <c r="N6636">
        <v>0</v>
      </c>
      <c r="O6636">
        <v>0.99459240000000004</v>
      </c>
      <c r="P6636">
        <v>0.41445399999999999</v>
      </c>
      <c r="Q6636">
        <v>0.1527115</v>
      </c>
      <c r="R6636">
        <v>0.89716620000000002</v>
      </c>
      <c r="S6636">
        <v>1.739349</v>
      </c>
      <c r="T6636">
        <v>-0.25123250000000003</v>
      </c>
      <c r="U6636">
        <v>2.5849760000000002</v>
      </c>
      <c r="V6636">
        <v>0.3203433</v>
      </c>
      <c r="W6636">
        <v>0.16435089999999999</v>
      </c>
      <c r="X6636">
        <v>0.93293570000000003</v>
      </c>
      <c r="Y6636">
        <v>0.46797230000000001</v>
      </c>
      <c r="Z6636">
        <v>-8.200884E-2</v>
      </c>
      <c r="AA6636">
        <v>0.87992979999999998</v>
      </c>
      <c r="AB6636">
        <v>19</v>
      </c>
      <c r="AC6636">
        <v>7.6559999999999997</v>
      </c>
      <c r="AD6636">
        <v>-1.109006928468</v>
      </c>
      <c r="AE6636">
        <v>11.2158</v>
      </c>
      <c r="AF6636">
        <v>6.4174129620854803</v>
      </c>
      <c r="AG6636">
        <v>-1.109006928468</v>
      </c>
      <c r="AH6636">
        <v>11.8654926075086</v>
      </c>
      <c r="AI6636">
        <v>94.699782136226204</v>
      </c>
      <c r="AJ6636">
        <v>61.593405477624103</v>
      </c>
      <c r="AK6636">
        <v>13.5352502862774</v>
      </c>
      <c r="AL6636">
        <v>80.540471311883607</v>
      </c>
      <c r="AM6636">
        <v>71.049001818923003</v>
      </c>
      <c r="AN6636">
        <v>1.0000000342600901</v>
      </c>
    </row>
    <row r="6637" spans="1:40" x14ac:dyDescent="0.25">
      <c r="A6637" t="str">
        <f>"20190312172839445"</f>
        <v>20190312172839445</v>
      </c>
      <c r="B6637" t="str">
        <f>"1552382919436030"</f>
        <v>1552382919436030</v>
      </c>
      <c r="C6637" t="s">
        <v>40</v>
      </c>
      <c r="D6637">
        <v>3.5691320000000002</v>
      </c>
      <c r="E6637">
        <v>0.5652663</v>
      </c>
      <c r="F6637" t="s">
        <v>50</v>
      </c>
      <c r="G6637">
        <v>-179.70400000000001</v>
      </c>
      <c r="H6637" s="1">
        <v>-4.8992309999999901E-6</v>
      </c>
      <c r="I6637">
        <v>128.20240000000001</v>
      </c>
      <c r="J6637">
        <v>-187.471</v>
      </c>
      <c r="K6637">
        <v>1.1089009999999999</v>
      </c>
      <c r="L6637">
        <v>116.9473</v>
      </c>
      <c r="M6637">
        <v>0.1052438</v>
      </c>
      <c r="N6637">
        <v>0</v>
      </c>
      <c r="O6637">
        <v>0.99435510000000005</v>
      </c>
      <c r="P6637">
        <v>0.41778559999999998</v>
      </c>
      <c r="Q6637">
        <v>0.152862</v>
      </c>
      <c r="R6637">
        <v>0.89559390000000005</v>
      </c>
      <c r="S6637">
        <v>1.7543789999999999</v>
      </c>
      <c r="T6637">
        <v>-0.24981030000000001</v>
      </c>
      <c r="U6637">
        <v>2.575958</v>
      </c>
      <c r="V6637">
        <v>0.32173079999999998</v>
      </c>
      <c r="W6637">
        <v>0.16441439999999999</v>
      </c>
      <c r="X6637">
        <v>0.93244689999999997</v>
      </c>
      <c r="Y6637">
        <v>0.47092050000000002</v>
      </c>
      <c r="Z6637">
        <v>-8.1563759999999999E-2</v>
      </c>
      <c r="AA6637">
        <v>0.87839699999999998</v>
      </c>
      <c r="AB6637">
        <v>19</v>
      </c>
      <c r="AC6637">
        <v>7.7669999999999604</v>
      </c>
      <c r="AD6637">
        <v>-1.1089058992309999</v>
      </c>
      <c r="AE6637">
        <v>11.255100000000001</v>
      </c>
      <c r="AF6637">
        <v>6.4965018084133703</v>
      </c>
      <c r="AG6637">
        <v>-1.1089058992309999</v>
      </c>
      <c r="AH6637">
        <v>11.9316273600642</v>
      </c>
      <c r="AI6637">
        <v>94.6663477134381</v>
      </c>
      <c r="AJ6637">
        <v>61.4327053884058</v>
      </c>
      <c r="AK6637">
        <v>13.6307717866414</v>
      </c>
      <c r="AL6637">
        <v>80.536782641632598</v>
      </c>
      <c r="AM6637">
        <v>70.963554859013598</v>
      </c>
      <c r="AN6637">
        <v>1.0000000119578001</v>
      </c>
    </row>
    <row r="6638" spans="1:40" x14ac:dyDescent="0.25">
      <c r="A6638" t="str">
        <f>"20190312172839469"</f>
        <v>20190312172839469</v>
      </c>
      <c r="B6638" t="str">
        <f>"1552382919456526"</f>
        <v>1552382919456526</v>
      </c>
      <c r="C6638" t="s">
        <v>40</v>
      </c>
      <c r="D6638">
        <v>3.583199</v>
      </c>
      <c r="E6638">
        <v>0.56565829999999995</v>
      </c>
      <c r="F6638" t="s">
        <v>50</v>
      </c>
      <c r="G6638">
        <v>-179.5943</v>
      </c>
      <c r="H6638" s="1">
        <v>-4.8759890000000003E-6</v>
      </c>
      <c r="I6638">
        <v>128.38839999999999</v>
      </c>
      <c r="J6638">
        <v>-187.4479</v>
      </c>
      <c r="K6638">
        <v>1.108789</v>
      </c>
      <c r="L6638">
        <v>117.1378</v>
      </c>
      <c r="M6638">
        <v>0.1078151</v>
      </c>
      <c r="N6638">
        <v>0</v>
      </c>
      <c r="O6638">
        <v>0.9940795</v>
      </c>
      <c r="P6638">
        <v>0.4219022</v>
      </c>
      <c r="Q6638">
        <v>0.15274789999999999</v>
      </c>
      <c r="R6638">
        <v>0.89368150000000002</v>
      </c>
      <c r="S6638">
        <v>1.7677</v>
      </c>
      <c r="T6638">
        <v>-0.248861</v>
      </c>
      <c r="U6638">
        <v>2.567612</v>
      </c>
      <c r="V6638">
        <v>0.32365850000000002</v>
      </c>
      <c r="W6638">
        <v>0.1641966</v>
      </c>
      <c r="X6638">
        <v>0.93181789999999998</v>
      </c>
      <c r="Y6638">
        <v>0.47307969999999999</v>
      </c>
      <c r="Z6638">
        <v>-8.1279809999999994E-2</v>
      </c>
      <c r="AA6638">
        <v>0.8772624</v>
      </c>
      <c r="AB6638">
        <v>19</v>
      </c>
      <c r="AC6638">
        <v>7.8536000000000001</v>
      </c>
      <c r="AD6638">
        <v>-1.1087938759889999</v>
      </c>
      <c r="AE6638">
        <v>11.250599999999899</v>
      </c>
      <c r="AF6638">
        <v>6.5519296309437998</v>
      </c>
      <c r="AG6638">
        <v>-1.1087938759889999</v>
      </c>
      <c r="AH6638">
        <v>11.9537559959458</v>
      </c>
      <c r="AI6638">
        <v>94.650204895196296</v>
      </c>
      <c r="AJ6638">
        <v>61.272572552374299</v>
      </c>
      <c r="AK6638">
        <v>13.676603677773301</v>
      </c>
      <c r="AL6638">
        <v>80.549433227489999</v>
      </c>
      <c r="AM6638">
        <v>70.845792869772495</v>
      </c>
      <c r="AN6638">
        <v>0.999999973417109</v>
      </c>
    </row>
    <row r="6639" spans="1:40" x14ac:dyDescent="0.25">
      <c r="A6639" t="str">
        <f>"20190312172839492"</f>
        <v>20190312172839492</v>
      </c>
      <c r="B6639" t="str">
        <f>"1552382919486315"</f>
        <v>1552382919486315</v>
      </c>
      <c r="C6639" t="s">
        <v>40</v>
      </c>
      <c r="D6639">
        <v>3.5735899999999998</v>
      </c>
      <c r="E6639">
        <v>0.56614019999999898</v>
      </c>
      <c r="F6639" t="s">
        <v>50</v>
      </c>
      <c r="G6639">
        <v>-179.5145</v>
      </c>
      <c r="H6639" s="1">
        <v>-4.8603610000000001E-6</v>
      </c>
      <c r="I6639">
        <v>128.52850000000001</v>
      </c>
      <c r="J6639">
        <v>-187.4229</v>
      </c>
      <c r="K6639">
        <v>1.108665</v>
      </c>
      <c r="L6639">
        <v>117.3365</v>
      </c>
      <c r="M6639">
        <v>0.110722</v>
      </c>
      <c r="N6639">
        <v>0</v>
      </c>
      <c r="O6639">
        <v>0.99375990000000003</v>
      </c>
      <c r="P6639">
        <v>0.4258226</v>
      </c>
      <c r="Q6639">
        <v>0.152464299999999</v>
      </c>
      <c r="R6639">
        <v>0.89186869999999996</v>
      </c>
      <c r="S6639">
        <v>1.7817689999999999</v>
      </c>
      <c r="T6639">
        <v>-0.24902759999999999</v>
      </c>
      <c r="U6639">
        <v>2.5582889999999998</v>
      </c>
      <c r="V6639">
        <v>0.325071</v>
      </c>
      <c r="W6639">
        <v>0.1638095</v>
      </c>
      <c r="X6639">
        <v>0.93139430000000001</v>
      </c>
      <c r="Y6639">
        <v>0.47524899999999998</v>
      </c>
      <c r="Z6639">
        <v>-8.1369559999999994E-2</v>
      </c>
      <c r="AA6639">
        <v>0.87608079999999999</v>
      </c>
      <c r="AB6639">
        <v>19</v>
      </c>
      <c r="AC6639">
        <v>7.9084000000000003</v>
      </c>
      <c r="AD6639">
        <v>-1.1086698603609999</v>
      </c>
      <c r="AE6639">
        <v>11.192</v>
      </c>
      <c r="AF6639">
        <v>6.5774041289098397</v>
      </c>
      <c r="AG6639">
        <v>-1.1086698603609999</v>
      </c>
      <c r="AH6639">
        <v>11.920865601908799</v>
      </c>
      <c r="AI6639">
        <v>94.655312384294405</v>
      </c>
      <c r="AJ6639">
        <v>61.112037103951003</v>
      </c>
      <c r="AK6639">
        <v>13.6601036098942</v>
      </c>
      <c r="AL6639">
        <v>80.5719173445504</v>
      </c>
      <c r="AM6639">
        <v>70.760223636949604</v>
      </c>
      <c r="AN6639">
        <v>1.0000000247018599</v>
      </c>
    </row>
    <row r="6640" spans="1:40" x14ac:dyDescent="0.25">
      <c r="A6640" t="str">
        <f>"20190312172839515"</f>
        <v>20190312172839515</v>
      </c>
      <c r="B6640" t="str">
        <f>"1552382919506813"</f>
        <v>1552382919506813</v>
      </c>
      <c r="C6640" t="s">
        <v>40</v>
      </c>
      <c r="D6640">
        <v>3.601629</v>
      </c>
      <c r="E6640">
        <v>0.56641009999999903</v>
      </c>
      <c r="F6640" t="s">
        <v>50</v>
      </c>
      <c r="G6640">
        <v>-179.4495</v>
      </c>
      <c r="H6640" s="1">
        <v>-4.8491629999999997E-6</v>
      </c>
      <c r="I6640">
        <v>128.6489</v>
      </c>
      <c r="J6640">
        <v>-187.3981</v>
      </c>
      <c r="K6640">
        <v>1.1085579999999999</v>
      </c>
      <c r="L6640">
        <v>117.5278</v>
      </c>
      <c r="M6640">
        <v>0.11368880000000001</v>
      </c>
      <c r="N6640">
        <v>0</v>
      </c>
      <c r="O6640">
        <v>0.99342470000000005</v>
      </c>
      <c r="P6640">
        <v>0.43002869999999999</v>
      </c>
      <c r="Q6640">
        <v>0.15195799999999901</v>
      </c>
      <c r="R6640">
        <v>0.88993489999999997</v>
      </c>
      <c r="S6640">
        <v>1.796432</v>
      </c>
      <c r="T6640">
        <v>-0.24978700000000001</v>
      </c>
      <c r="U6640">
        <v>2.5487060000000001</v>
      </c>
      <c r="V6640">
        <v>0.32671850000000002</v>
      </c>
      <c r="W6640">
        <v>0.16321540000000001</v>
      </c>
      <c r="X6640">
        <v>0.93092200000000003</v>
      </c>
      <c r="Y6640">
        <v>0.4775298</v>
      </c>
      <c r="Z6640">
        <v>-8.1647349999999994E-2</v>
      </c>
      <c r="AA6640">
        <v>0.87481369999999903</v>
      </c>
      <c r="AB6640">
        <v>19</v>
      </c>
      <c r="AC6640">
        <v>7.9485999999999901</v>
      </c>
      <c r="AD6640">
        <v>-1.108562849163</v>
      </c>
      <c r="AE6640">
        <v>11.121099999999901</v>
      </c>
      <c r="AF6640">
        <v>6.5892599669796104</v>
      </c>
      <c r="AG6640">
        <v>-1.108562849163</v>
      </c>
      <c r="AH6640">
        <v>11.874635685012001</v>
      </c>
      <c r="AI6640">
        <v>94.666710057193001</v>
      </c>
      <c r="AJ6640">
        <v>60.974014984999101</v>
      </c>
      <c r="AK6640">
        <v>13.625499299282399</v>
      </c>
      <c r="AL6640">
        <v>80.606420981686597</v>
      </c>
      <c r="AM6640">
        <v>70.660851275151202</v>
      </c>
      <c r="AN6640">
        <v>1.0000000075616999</v>
      </c>
    </row>
    <row r="6641" spans="1:40" x14ac:dyDescent="0.25">
      <c r="A6641" t="str">
        <f>"20190312172839536"</f>
        <v>20190312172839536</v>
      </c>
      <c r="B6641" t="str">
        <f>"1552382919526331"</f>
        <v>1552382919526331</v>
      </c>
      <c r="C6641" t="s">
        <v>40</v>
      </c>
      <c r="D6641">
        <v>3.5983320000000001</v>
      </c>
      <c r="E6641">
        <v>0.56668529999999995</v>
      </c>
      <c r="F6641" t="s">
        <v>50</v>
      </c>
      <c r="G6641">
        <v>-179.39340000000001</v>
      </c>
      <c r="H6641" s="1">
        <v>-4.8391470000000002E-6</v>
      </c>
      <c r="I6641">
        <v>128.75120000000001</v>
      </c>
      <c r="J6641">
        <v>-187.3742</v>
      </c>
      <c r="K6641">
        <v>1.108487</v>
      </c>
      <c r="L6641">
        <v>117.7062</v>
      </c>
      <c r="M6641">
        <v>0.1165976</v>
      </c>
      <c r="N6641">
        <v>0</v>
      </c>
      <c r="O6641">
        <v>0.99308750000000001</v>
      </c>
      <c r="P6641">
        <v>0.43516860000000002</v>
      </c>
      <c r="Q6641">
        <v>0.15172529999999901</v>
      </c>
      <c r="R6641">
        <v>0.887472699999999</v>
      </c>
      <c r="S6641">
        <v>1.8107599999999999</v>
      </c>
      <c r="T6641">
        <v>-0.25077149999999998</v>
      </c>
      <c r="U6641">
        <v>2.5388790000000001</v>
      </c>
      <c r="V6641">
        <v>0.32940459999999999</v>
      </c>
      <c r="W6641">
        <v>0.162905299999999</v>
      </c>
      <c r="X6641">
        <v>0.93002929999999995</v>
      </c>
      <c r="Y6641">
        <v>0.47981469999999998</v>
      </c>
      <c r="Z6641">
        <v>-8.2005519999999998E-2</v>
      </c>
      <c r="AA6641">
        <v>0.873529</v>
      </c>
      <c r="AB6641">
        <v>19</v>
      </c>
      <c r="AC6641">
        <v>7.9807999999999799</v>
      </c>
      <c r="AD6641">
        <v>-1.108491839147</v>
      </c>
      <c r="AE6641">
        <v>11.045</v>
      </c>
      <c r="AF6641">
        <v>6.5947767620995101</v>
      </c>
      <c r="AG6641">
        <v>-1.108491839147</v>
      </c>
      <c r="AH6641">
        <v>11.8220465577203</v>
      </c>
      <c r="AI6641">
        <v>94.681263111337998</v>
      </c>
      <c r="AJ6641">
        <v>60.845598462535101</v>
      </c>
      <c r="AK6641">
        <v>13.582364282859199</v>
      </c>
      <c r="AL6641">
        <v>80.624429478185206</v>
      </c>
      <c r="AM6641">
        <v>70.496499234897897</v>
      </c>
      <c r="AN6641">
        <v>1.00000001306386</v>
      </c>
    </row>
    <row r="6642" spans="1:40" x14ac:dyDescent="0.25">
      <c r="A6642" t="str">
        <f>"20190312172839569"</f>
        <v>20190312172839569</v>
      </c>
      <c r="B6642" t="str">
        <f>"1552382919566347"</f>
        <v>1552382919566347</v>
      </c>
      <c r="C6642" t="s">
        <v>40</v>
      </c>
      <c r="D6642">
        <v>3.5735999999999999</v>
      </c>
      <c r="E6642">
        <v>0.56710989999999994</v>
      </c>
      <c r="F6642" t="s">
        <v>50</v>
      </c>
      <c r="G6642">
        <v>-179.32749999999999</v>
      </c>
      <c r="H6642" s="1">
        <v>-4.8178849999999999E-6</v>
      </c>
      <c r="I6642">
        <v>128.8348</v>
      </c>
      <c r="J6642">
        <v>-187.3357</v>
      </c>
      <c r="K6642">
        <v>1.108406</v>
      </c>
      <c r="L6642">
        <v>117.9849</v>
      </c>
      <c r="M6642">
        <v>0.1213766</v>
      </c>
      <c r="N6642">
        <v>0</v>
      </c>
      <c r="O6642">
        <v>0.99251460000000002</v>
      </c>
      <c r="P6642">
        <v>0.44311</v>
      </c>
      <c r="Q6642">
        <v>0.15098710000000001</v>
      </c>
      <c r="R6642">
        <v>0.88366089999999997</v>
      </c>
      <c r="S6642">
        <v>1.8274379999999999</v>
      </c>
      <c r="T6642">
        <v>-0.25174190000000002</v>
      </c>
      <c r="U6642">
        <v>2.5273439999999998</v>
      </c>
      <c r="V6642">
        <v>0.33328950000000002</v>
      </c>
      <c r="W6642">
        <v>0.1620702</v>
      </c>
      <c r="X6642">
        <v>0.92879029999999996</v>
      </c>
      <c r="Y6642">
        <v>0.4812573</v>
      </c>
      <c r="Z6642">
        <v>-8.2372630000000002E-2</v>
      </c>
      <c r="AA6642">
        <v>0.87270049999999899</v>
      </c>
      <c r="AB6642">
        <v>19</v>
      </c>
      <c r="AC6642">
        <v>8.0082000000000093</v>
      </c>
      <c r="AD6642">
        <v>-1.1084108178850001</v>
      </c>
      <c r="AE6642">
        <v>10.8499</v>
      </c>
      <c r="AF6642">
        <v>6.5874324495413097</v>
      </c>
      <c r="AG6642">
        <v>-1.1084108178850001</v>
      </c>
      <c r="AH6642">
        <v>11.662969601117201</v>
      </c>
      <c r="AI6642">
        <v>94.730430539748198</v>
      </c>
      <c r="AJ6642">
        <v>60.541541454129302</v>
      </c>
      <c r="AK6642">
        <v>13.4405245706802</v>
      </c>
      <c r="AL6642">
        <v>80.672921786266599</v>
      </c>
      <c r="AM6642">
        <v>70.259852570136303</v>
      </c>
      <c r="AN6642">
        <v>1.0000000309561801</v>
      </c>
    </row>
    <row r="6643" spans="1:40" x14ac:dyDescent="0.25">
      <c r="A6643" t="str">
        <f>"20190312172839591"</f>
        <v>20190312172839591</v>
      </c>
      <c r="B6643" t="str">
        <f>"1552382919586373"</f>
        <v>1552382919586373</v>
      </c>
      <c r="C6643" t="s">
        <v>40</v>
      </c>
      <c r="D6643">
        <v>3.558424</v>
      </c>
      <c r="E6643">
        <v>0.56734879999999999</v>
      </c>
      <c r="F6643" t="s">
        <v>50</v>
      </c>
      <c r="G6643">
        <v>-179.2912</v>
      </c>
      <c r="H6643" s="1">
        <v>-4.8070900000000003E-6</v>
      </c>
      <c r="I6643">
        <v>128.8845</v>
      </c>
      <c r="J6643">
        <v>-187.30869999999999</v>
      </c>
      <c r="K6643">
        <v>1.108366</v>
      </c>
      <c r="L6643">
        <v>118.17359999999999</v>
      </c>
      <c r="M6643">
        <v>0.1247495</v>
      </c>
      <c r="N6643">
        <v>0</v>
      </c>
      <c r="O6643">
        <v>0.99209630000000004</v>
      </c>
      <c r="P6643">
        <v>0.44861839999999997</v>
      </c>
      <c r="Q6643">
        <v>0.15077499999999999</v>
      </c>
      <c r="R6643">
        <v>0.88091339999999996</v>
      </c>
      <c r="S6643">
        <v>1.852341</v>
      </c>
      <c r="T6643">
        <v>-0.25522329999999999</v>
      </c>
      <c r="U6643">
        <v>2.509735</v>
      </c>
      <c r="V6643">
        <v>0.33594689999999999</v>
      </c>
      <c r="W6643">
        <v>0.16180439999999999</v>
      </c>
      <c r="X6643">
        <v>0.9278788</v>
      </c>
      <c r="Y6643">
        <v>0.48674610000000001</v>
      </c>
      <c r="Z6643">
        <v>-8.3562780000000003E-2</v>
      </c>
      <c r="AA6643">
        <v>0.86953749999999996</v>
      </c>
      <c r="AB6643">
        <v>19</v>
      </c>
      <c r="AC6643">
        <v>8.0174999999999805</v>
      </c>
      <c r="AD6643">
        <v>-1.10837080709</v>
      </c>
      <c r="AE6643">
        <v>10.710900000000001</v>
      </c>
      <c r="AF6643">
        <v>6.5734436758858799</v>
      </c>
      <c r="AG6643">
        <v>-1.10837080709</v>
      </c>
      <c r="AH6643">
        <v>11.5482299548193</v>
      </c>
      <c r="AI6643">
        <v>94.768073042362403</v>
      </c>
      <c r="AJ6643">
        <v>60.3507515851365</v>
      </c>
      <c r="AK6643">
        <v>13.3341764910863</v>
      </c>
      <c r="AL6643">
        <v>80.688354650918697</v>
      </c>
      <c r="AM6643">
        <v>70.096753656221793</v>
      </c>
      <c r="AN6643">
        <v>1.0000000254842001</v>
      </c>
    </row>
    <row r="6644" spans="1:40" x14ac:dyDescent="0.25">
      <c r="A6644" t="str">
        <f>"20190312172839614"</f>
        <v>20190312172839614</v>
      </c>
      <c r="B6644" t="str">
        <f>"1552382919605893"</f>
        <v>1552382919605893</v>
      </c>
      <c r="C6644" t="s">
        <v>40</v>
      </c>
      <c r="D6644">
        <v>3.5749689999999998</v>
      </c>
      <c r="E6644">
        <v>0.56759169999999903</v>
      </c>
      <c r="F6644" t="s">
        <v>50</v>
      </c>
      <c r="G6644">
        <v>-179.21979999999999</v>
      </c>
      <c r="H6644" s="1">
        <v>-4.782325E-6</v>
      </c>
      <c r="I6644">
        <v>128.9802</v>
      </c>
      <c r="J6644">
        <v>-187.28059999999999</v>
      </c>
      <c r="K6644">
        <v>1.1083369999999999</v>
      </c>
      <c r="L6644">
        <v>118.36360000000001</v>
      </c>
      <c r="M6644">
        <v>0.12820490000000001</v>
      </c>
      <c r="N6644">
        <v>0</v>
      </c>
      <c r="O6644">
        <v>0.99165559999999997</v>
      </c>
      <c r="P6644">
        <v>0.4542677</v>
      </c>
      <c r="Q6644">
        <v>0.15126229999999999</v>
      </c>
      <c r="R6644">
        <v>0.87792969999999904</v>
      </c>
      <c r="S6644">
        <v>1.8693390000000001</v>
      </c>
      <c r="T6644">
        <v>-0.25614379999999998</v>
      </c>
      <c r="U6644">
        <v>2.4974059999999998</v>
      </c>
      <c r="V6644">
        <v>0.33870280000000003</v>
      </c>
      <c r="W6644">
        <v>0.16224620000000001</v>
      </c>
      <c r="X6644">
        <v>0.92679909999999999</v>
      </c>
      <c r="Y6644">
        <v>0.48953999999999998</v>
      </c>
      <c r="Z6644">
        <v>-8.3911390000000002E-2</v>
      </c>
      <c r="AA6644">
        <v>0.86793399999999998</v>
      </c>
      <c r="AB6644">
        <v>19</v>
      </c>
      <c r="AC6644">
        <v>8.0608000000000004</v>
      </c>
      <c r="AD6644">
        <v>-1.1083417823249999</v>
      </c>
      <c r="AE6644">
        <v>10.616599999999901</v>
      </c>
      <c r="AF6644">
        <v>6.5875015839078603</v>
      </c>
      <c r="AG6644">
        <v>-1.1083417823249999</v>
      </c>
      <c r="AH6644">
        <v>11.4831144166298</v>
      </c>
      <c r="AI6644">
        <v>94.785715866203503</v>
      </c>
      <c r="AJ6644">
        <v>60.158462499250099</v>
      </c>
      <c r="AK6644">
        <v>13.2847851066491</v>
      </c>
      <c r="AL6644">
        <v>80.662702125856896</v>
      </c>
      <c r="AM6644">
        <v>69.924947275228803</v>
      </c>
      <c r="AN6644">
        <v>0.99999999395154404</v>
      </c>
    </row>
    <row r="6645" spans="1:40" x14ac:dyDescent="0.25">
      <c r="A6645" t="str">
        <f>"20190312172839636"</f>
        <v>20190312172839636</v>
      </c>
      <c r="B6645" t="str">
        <f>"1552382919626388"</f>
        <v>1552382919626388</v>
      </c>
      <c r="C6645" t="s">
        <v>40</v>
      </c>
      <c r="D6645">
        <v>3.5675319999999999</v>
      </c>
      <c r="E6645">
        <v>0.56781569999999904</v>
      </c>
      <c r="F6645" t="s">
        <v>50</v>
      </c>
      <c r="G6645">
        <v>-179.04859999999999</v>
      </c>
      <c r="H6645" s="1">
        <v>-4.7155349999999999E-6</v>
      </c>
      <c r="I6645">
        <v>129.19739999999999</v>
      </c>
      <c r="J6645">
        <v>-187.2527</v>
      </c>
      <c r="K6645">
        <v>1.1083289999999999</v>
      </c>
      <c r="L6645">
        <v>118.5483</v>
      </c>
      <c r="M6645">
        <v>0.1316042</v>
      </c>
      <c r="N6645">
        <v>0</v>
      </c>
      <c r="O6645">
        <v>0.99121020000000004</v>
      </c>
      <c r="P6645">
        <v>0.46017049999999998</v>
      </c>
      <c r="Q6645">
        <v>0.15156700000000001</v>
      </c>
      <c r="R6645">
        <v>0.87479750000000001</v>
      </c>
      <c r="S6645">
        <v>1.8876189999999999</v>
      </c>
      <c r="T6645">
        <v>-0.25414569999999997</v>
      </c>
      <c r="U6645">
        <v>2.4842219999999999</v>
      </c>
      <c r="V6645">
        <v>0.3417867</v>
      </c>
      <c r="W6645">
        <v>0.16251009999999999</v>
      </c>
      <c r="X6645">
        <v>0.92562</v>
      </c>
      <c r="Y6645">
        <v>0.49285040000000002</v>
      </c>
      <c r="Z6645">
        <v>-8.3306359999999996E-2</v>
      </c>
      <c r="AA6645">
        <v>0.86611689999999997</v>
      </c>
      <c r="AB6645">
        <v>19</v>
      </c>
      <c r="AC6645">
        <v>8.2041000000000093</v>
      </c>
      <c r="AD6645">
        <v>-1.1083337155349999</v>
      </c>
      <c r="AE6645">
        <v>10.649099999999899</v>
      </c>
      <c r="AF6645">
        <v>6.6856893063308496</v>
      </c>
      <c r="AG6645">
        <v>-1.1083337155349999</v>
      </c>
      <c r="AH6645">
        <v>11.557688542001801</v>
      </c>
      <c r="AI6645">
        <v>94.745140176911505</v>
      </c>
      <c r="AJ6645">
        <v>59.952228798380801</v>
      </c>
      <c r="AK6645">
        <v>13.398022598865101</v>
      </c>
      <c r="AL6645">
        <v>80.647378767461007</v>
      </c>
      <c r="AM6645">
        <v>69.733250360480298</v>
      </c>
      <c r="AN6645">
        <v>1.00000003264944</v>
      </c>
    </row>
    <row r="6646" spans="1:40" x14ac:dyDescent="0.25">
      <c r="A6646" t="str">
        <f>"20190312172839657"</f>
        <v>20190312172839657</v>
      </c>
      <c r="B6646" t="str">
        <f>"1552382919646885"</f>
        <v>1552382919646885</v>
      </c>
      <c r="C6646" t="s">
        <v>40</v>
      </c>
      <c r="D6646">
        <v>3.5662699999999998</v>
      </c>
      <c r="E6646">
        <v>0.56797449999999905</v>
      </c>
      <c r="F6646" t="s">
        <v>50</v>
      </c>
      <c r="G6646">
        <v>-178.91030000000001</v>
      </c>
      <c r="H6646" s="1">
        <v>-4.659316E-6</v>
      </c>
      <c r="I6646">
        <v>129.36330000000001</v>
      </c>
      <c r="J6646">
        <v>-187.2244</v>
      </c>
      <c r="K6646">
        <v>1.1083259999999999</v>
      </c>
      <c r="L6646">
        <v>118.7304</v>
      </c>
      <c r="M6646">
        <v>0.1349931</v>
      </c>
      <c r="N6646">
        <v>0</v>
      </c>
      <c r="O6646">
        <v>0.99075429999999998</v>
      </c>
      <c r="P6646">
        <v>0.4658871</v>
      </c>
      <c r="Q6646">
        <v>0.15211279999999999</v>
      </c>
      <c r="R6646">
        <v>0.87167129999999904</v>
      </c>
      <c r="S6646">
        <v>1.9058379999999999</v>
      </c>
      <c r="T6646">
        <v>-0.25320150000000002</v>
      </c>
      <c r="U6646">
        <v>2.4707180000000002</v>
      </c>
      <c r="V6646">
        <v>0.3447035</v>
      </c>
      <c r="W6646">
        <v>0.16302249999999999</v>
      </c>
      <c r="X6646">
        <v>0.92444749999999998</v>
      </c>
      <c r="Y6646">
        <v>0.49618289999999998</v>
      </c>
      <c r="Z6646">
        <v>-8.3047650000000001E-2</v>
      </c>
      <c r="AA6646">
        <v>0.86423700000000003</v>
      </c>
      <c r="AB6646">
        <v>19</v>
      </c>
      <c r="AC6646">
        <v>8.3140999999999892</v>
      </c>
      <c r="AD6646">
        <v>-1.1083306593159901</v>
      </c>
      <c r="AE6646">
        <v>10.632899999999999</v>
      </c>
      <c r="AF6646">
        <v>6.7569242560174603</v>
      </c>
      <c r="AG6646">
        <v>-1.1083306593159901</v>
      </c>
      <c r="AH6646">
        <v>11.579923513743701</v>
      </c>
      <c r="AI6646">
        <v>94.725745723501205</v>
      </c>
      <c r="AJ6646">
        <v>59.736294957459798</v>
      </c>
      <c r="AK6646">
        <v>13.452845454999199</v>
      </c>
      <c r="AL6646">
        <v>80.617623394599406</v>
      </c>
      <c r="AM6646">
        <v>69.550764571852</v>
      </c>
      <c r="AN6646">
        <v>1.00000000933737</v>
      </c>
    </row>
    <row r="6647" spans="1:40" x14ac:dyDescent="0.25">
      <c r="A6647" t="str">
        <f>"20190312172839681"</f>
        <v>20190312172839681</v>
      </c>
      <c r="B6647" t="str">
        <f>"1552382919676166"</f>
        <v>1552382919676166</v>
      </c>
      <c r="C6647" t="s">
        <v>40</v>
      </c>
      <c r="D6647">
        <v>3.5857679999999998</v>
      </c>
      <c r="E6647">
        <v>0.56822249999999996</v>
      </c>
      <c r="F6647" t="s">
        <v>50</v>
      </c>
      <c r="G6647">
        <v>-178.7645</v>
      </c>
      <c r="H6647" s="1">
        <v>-4.6017359999999996E-6</v>
      </c>
      <c r="I6647">
        <v>129.54560000000001</v>
      </c>
      <c r="J6647">
        <v>-187.1944</v>
      </c>
      <c r="K6647">
        <v>1.108328</v>
      </c>
      <c r="L6647">
        <v>118.9196</v>
      </c>
      <c r="M6647">
        <v>0.13855100000000001</v>
      </c>
      <c r="N6647">
        <v>0</v>
      </c>
      <c r="O6647">
        <v>0.990263</v>
      </c>
      <c r="P6647">
        <v>0.47089730000000002</v>
      </c>
      <c r="Q6647">
        <v>0.1518293</v>
      </c>
      <c r="R6647">
        <v>0.86902449999999998</v>
      </c>
      <c r="S6647">
        <v>1.922714</v>
      </c>
      <c r="T6647">
        <v>-0.25189260000000002</v>
      </c>
      <c r="U6647">
        <v>2.4579930000000001</v>
      </c>
      <c r="V6647">
        <v>0.346701599999999</v>
      </c>
      <c r="W6647">
        <v>0.1627181</v>
      </c>
      <c r="X6647">
        <v>0.92375370000000001</v>
      </c>
      <c r="Y6647">
        <v>0.49893870000000001</v>
      </c>
      <c r="Z6647">
        <v>-8.2668920000000007E-2</v>
      </c>
      <c r="AA6647">
        <v>0.86268529999999999</v>
      </c>
      <c r="AB6647">
        <v>19</v>
      </c>
      <c r="AC6647">
        <v>8.4298999999999999</v>
      </c>
      <c r="AD6647">
        <v>-1.108332601736</v>
      </c>
      <c r="AE6647">
        <v>10.625999999999999</v>
      </c>
      <c r="AF6647">
        <v>6.8305958210615696</v>
      </c>
      <c r="AG6647">
        <v>-1.108332601736</v>
      </c>
      <c r="AH6647">
        <v>11.6140276077825</v>
      </c>
      <c r="AI6647">
        <v>94.702477091998006</v>
      </c>
      <c r="AJ6647">
        <v>59.538798896668702</v>
      </c>
      <c r="AK6647">
        <v>13.519285399055301</v>
      </c>
      <c r="AL6647">
        <v>80.635300539567993</v>
      </c>
      <c r="AM6647">
        <v>69.427971348267903</v>
      </c>
      <c r="AN6647">
        <v>1.0000000388869199</v>
      </c>
    </row>
    <row r="6648" spans="1:40" x14ac:dyDescent="0.25">
      <c r="A6648" t="str">
        <f>"20190312172839704"</f>
        <v>20190312172839704</v>
      </c>
      <c r="B6648" t="str">
        <f>"1552382919696661"</f>
        <v>1552382919696661</v>
      </c>
      <c r="C6648" t="s">
        <v>40</v>
      </c>
      <c r="D6648">
        <v>3.570265</v>
      </c>
      <c r="E6648">
        <v>0.56835469999999999</v>
      </c>
      <c r="F6648" t="s">
        <v>50</v>
      </c>
      <c r="G6648">
        <v>-178.67910000000001</v>
      </c>
      <c r="H6648" s="1">
        <v>-4.5764300000000003E-6</v>
      </c>
      <c r="I6648">
        <v>129.6602</v>
      </c>
      <c r="J6648">
        <v>-187.1626</v>
      </c>
      <c r="K6648">
        <v>1.1083229999999999</v>
      </c>
      <c r="L6648">
        <v>119.1143</v>
      </c>
      <c r="M6648">
        <v>0.1422535</v>
      </c>
      <c r="N6648">
        <v>0</v>
      </c>
      <c r="O6648">
        <v>0.98973789999999995</v>
      </c>
      <c r="P6648">
        <v>0.4755451</v>
      </c>
      <c r="Q6648">
        <v>0.1526352</v>
      </c>
      <c r="R6648">
        <v>0.86634829999999996</v>
      </c>
      <c r="S6648">
        <v>1.938904</v>
      </c>
      <c r="T6648">
        <v>-0.25236540000000002</v>
      </c>
      <c r="U6648">
        <v>2.4456020000000001</v>
      </c>
      <c r="V6648">
        <v>0.34822370000000002</v>
      </c>
      <c r="W6648">
        <v>0.1635037</v>
      </c>
      <c r="X6648">
        <v>0.92304209999999998</v>
      </c>
      <c r="Y6648">
        <v>0.50132479999999902</v>
      </c>
      <c r="Z6648">
        <v>-8.287042E-2</v>
      </c>
      <c r="AA6648">
        <v>0.86128159999999898</v>
      </c>
      <c r="AB6648">
        <v>19</v>
      </c>
      <c r="AC6648">
        <v>8.4834999999999905</v>
      </c>
      <c r="AD6648">
        <v>-1.10832757643</v>
      </c>
      <c r="AE6648">
        <v>10.5459</v>
      </c>
      <c r="AF6648">
        <v>6.85094040612735</v>
      </c>
      <c r="AG6648">
        <v>-1.10832757643</v>
      </c>
      <c r="AH6648">
        <v>11.567977659801601</v>
      </c>
      <c r="AI6648">
        <v>94.712664206941199</v>
      </c>
      <c r="AJ6648">
        <v>59.364574454420598</v>
      </c>
      <c r="AK6648">
        <v>13.490066034035999</v>
      </c>
      <c r="AL6648">
        <v>80.589677254292596</v>
      </c>
      <c r="AM6648">
        <v>69.330686940316596</v>
      </c>
      <c r="AN6648">
        <v>0.99999996176389405</v>
      </c>
    </row>
    <row r="6649" spans="1:40" x14ac:dyDescent="0.25">
      <c r="A6649" t="str">
        <f>"20190312172839725"</f>
        <v>20190312172839725</v>
      </c>
      <c r="B6649" t="str">
        <f>"1552382919716181"</f>
        <v>1552382919716181</v>
      </c>
      <c r="C6649" t="s">
        <v>40</v>
      </c>
      <c r="D6649">
        <v>3.5680740000000002</v>
      </c>
      <c r="E6649">
        <v>0.56845909999999999</v>
      </c>
      <c r="F6649" t="s">
        <v>50</v>
      </c>
      <c r="G6649">
        <v>-178.45939999999999</v>
      </c>
      <c r="H6649" s="1">
        <v>-4.5365959999999998E-6</v>
      </c>
      <c r="I6649">
        <v>129.9503</v>
      </c>
      <c r="J6649">
        <v>-187.1328</v>
      </c>
      <c r="K6649">
        <v>1.1083209999999999</v>
      </c>
      <c r="L6649">
        <v>119.2928</v>
      </c>
      <c r="M6649">
        <v>0.14569589999999999</v>
      </c>
      <c r="N6649">
        <v>0</v>
      </c>
      <c r="O6649">
        <v>0.98923700000000003</v>
      </c>
      <c r="P6649">
        <v>0.47947640000000002</v>
      </c>
      <c r="Q6649">
        <v>0.15373899999999999</v>
      </c>
      <c r="R6649">
        <v>0.86398299999999995</v>
      </c>
      <c r="S6649">
        <v>1.954712</v>
      </c>
      <c r="T6649">
        <v>-0.24892500000000001</v>
      </c>
      <c r="U6649">
        <v>2.4337010000000001</v>
      </c>
      <c r="V6649">
        <v>0.34924699999999997</v>
      </c>
      <c r="W6649">
        <v>0.16458510000000001</v>
      </c>
      <c r="X6649">
        <v>0.92246320000000004</v>
      </c>
      <c r="Y6649">
        <v>0.50383109999999998</v>
      </c>
      <c r="Z6649">
        <v>-8.1785250000000004E-2</v>
      </c>
      <c r="AA6649">
        <v>0.85992179999999996</v>
      </c>
      <c r="AB6649">
        <v>19</v>
      </c>
      <c r="AC6649">
        <v>8.6734000000000098</v>
      </c>
      <c r="AD6649">
        <v>-1.1083255365960001</v>
      </c>
      <c r="AE6649">
        <v>10.657500000000001</v>
      </c>
      <c r="AF6649">
        <v>6.9825090394440101</v>
      </c>
      <c r="AG6649">
        <v>-1.1083255365960001</v>
      </c>
      <c r="AH6649">
        <v>11.731229236565801</v>
      </c>
      <c r="AI6649">
        <v>94.641327383171799</v>
      </c>
      <c r="AJ6649">
        <v>59.238598607630998</v>
      </c>
      <c r="AK6649">
        <v>13.6969178059096</v>
      </c>
      <c r="AL6649">
        <v>80.526867431181302</v>
      </c>
      <c r="AM6649">
        <v>69.263202112220796</v>
      </c>
      <c r="AN6649">
        <v>1.00000003875262</v>
      </c>
    </row>
    <row r="6650" spans="1:40" x14ac:dyDescent="0.25">
      <c r="A6650" t="str">
        <f>"20190312172839747"</f>
        <v>20190312172839747</v>
      </c>
      <c r="B6650" t="str">
        <f>"1552382919736677"</f>
        <v>1552382919736677</v>
      </c>
      <c r="C6650" t="s">
        <v>40</v>
      </c>
      <c r="D6650">
        <v>3.5497209999999999</v>
      </c>
      <c r="E6650">
        <v>0.56856719999999905</v>
      </c>
      <c r="F6650" t="s">
        <v>50</v>
      </c>
      <c r="G6650">
        <v>-178.23670000000001</v>
      </c>
      <c r="H6650" s="1">
        <v>-4.499575E-6</v>
      </c>
      <c r="I6650">
        <v>130.25290000000001</v>
      </c>
      <c r="J6650">
        <v>-187.10140000000001</v>
      </c>
      <c r="K6650">
        <v>1.1082939999999999</v>
      </c>
      <c r="L6650">
        <v>119.4764</v>
      </c>
      <c r="M6650">
        <v>0.14930650000000001</v>
      </c>
      <c r="N6650">
        <v>0</v>
      </c>
      <c r="O6650">
        <v>0.98869850000000004</v>
      </c>
      <c r="P6650">
        <v>0.48358600000000002</v>
      </c>
      <c r="Q6650">
        <v>0.1547557</v>
      </c>
      <c r="R6650">
        <v>0.86150749999999998</v>
      </c>
      <c r="S6650">
        <v>1.9675290000000001</v>
      </c>
      <c r="T6650">
        <v>-0.24512610000000001</v>
      </c>
      <c r="U6650">
        <v>2.424026</v>
      </c>
      <c r="V6650">
        <v>0.35031760000000001</v>
      </c>
      <c r="W6650">
        <v>0.1655681</v>
      </c>
      <c r="X6650">
        <v>0.92188110000000001</v>
      </c>
      <c r="Y6650">
        <v>0.50516419999999995</v>
      </c>
      <c r="Z6650">
        <v>-8.0575359999999999E-2</v>
      </c>
      <c r="AA6650">
        <v>0.85925359999999995</v>
      </c>
      <c r="AB6650">
        <v>19</v>
      </c>
      <c r="AC6650">
        <v>8.8646999999999991</v>
      </c>
      <c r="AD6650">
        <v>-1.108298499575</v>
      </c>
      <c r="AE6650">
        <v>10.7765</v>
      </c>
      <c r="AF6650">
        <v>7.11130811370648</v>
      </c>
      <c r="AG6650">
        <v>-1.108298499575</v>
      </c>
      <c r="AH6650">
        <v>11.904266296588901</v>
      </c>
      <c r="AI6650">
        <v>94.569698446216094</v>
      </c>
      <c r="AJ6650">
        <v>59.146971349292201</v>
      </c>
      <c r="AK6650">
        <v>13.910808197668899</v>
      </c>
      <c r="AL6650">
        <v>80.469761766111304</v>
      </c>
      <c r="AM6650">
        <v>69.193057900474997</v>
      </c>
      <c r="AN6650">
        <v>0.99999998957228997</v>
      </c>
    </row>
    <row r="6651" spans="1:40" x14ac:dyDescent="0.25">
      <c r="A6651" t="str">
        <f>"20190312172839770"</f>
        <v>20190312172839770</v>
      </c>
      <c r="B6651" t="str">
        <f>"1552382919765957"</f>
        <v>1552382919765957</v>
      </c>
      <c r="C6651" t="s">
        <v>40</v>
      </c>
      <c r="D6651">
        <v>3.5570349999999999</v>
      </c>
      <c r="E6651">
        <v>0.59896579999999999</v>
      </c>
      <c r="F6651" t="s">
        <v>50</v>
      </c>
      <c r="G6651">
        <v>-178.0258</v>
      </c>
      <c r="H6651" s="1">
        <v>-4.4639970000000001E-6</v>
      </c>
      <c r="I6651">
        <v>130.53819999999999</v>
      </c>
      <c r="J6651">
        <v>-187.0693</v>
      </c>
      <c r="K6651">
        <v>1.10825</v>
      </c>
      <c r="L6651">
        <v>119.6591</v>
      </c>
      <c r="M6651">
        <v>0.15299889999999999</v>
      </c>
      <c r="N6651">
        <v>0</v>
      </c>
      <c r="O6651">
        <v>0.98813379999999995</v>
      </c>
      <c r="P6651">
        <v>0.48775849999999998</v>
      </c>
      <c r="Q6651">
        <v>0.15512200000000001</v>
      </c>
      <c r="R6651">
        <v>0.85908600000000002</v>
      </c>
      <c r="S6651">
        <v>1.980545</v>
      </c>
      <c r="T6651">
        <v>-0.2418623</v>
      </c>
      <c r="U6651">
        <v>2.4140009999999998</v>
      </c>
      <c r="V6651">
        <v>0.35137669999999999</v>
      </c>
      <c r="W6651">
        <v>0.16588829999999999</v>
      </c>
      <c r="X6651">
        <v>0.92142029999999997</v>
      </c>
      <c r="Y6651">
        <v>0.50651579999999996</v>
      </c>
      <c r="Z6651">
        <v>-7.9540990000000006E-2</v>
      </c>
      <c r="AA6651">
        <v>0.85855400000000004</v>
      </c>
      <c r="AB6651">
        <v>19</v>
      </c>
      <c r="AC6651">
        <v>9.0434999999999892</v>
      </c>
      <c r="AD6651">
        <v>-1.108254463997</v>
      </c>
      <c r="AE6651">
        <v>10.8790999999999</v>
      </c>
      <c r="AF6651">
        <v>7.2280056763217804</v>
      </c>
      <c r="AG6651">
        <v>-1.108254463997</v>
      </c>
      <c r="AH6651">
        <v>12.0607469020804</v>
      </c>
      <c r="AI6651">
        <v>94.506668570257006</v>
      </c>
      <c r="AJ6651">
        <v>59.065742847842998</v>
      </c>
      <c r="AK6651">
        <v>14.1043932818803</v>
      </c>
      <c r="AL6651">
        <v>80.451157934871304</v>
      </c>
      <c r="AM6651">
        <v>69.126026196681394</v>
      </c>
      <c r="AN6651">
        <v>0.99999994131593295</v>
      </c>
    </row>
    <row r="6652" spans="1:40" x14ac:dyDescent="0.25">
      <c r="A6652" t="str">
        <f>"20190312172839792"</f>
        <v>20190312172839792</v>
      </c>
      <c r="B6652" t="str">
        <f>"1552382919786453"</f>
        <v>1552382919786453</v>
      </c>
      <c r="C6652" t="s">
        <v>40</v>
      </c>
      <c r="D6652">
        <v>3.5760079999999999</v>
      </c>
      <c r="E6652">
        <v>0.60501919999999898</v>
      </c>
      <c r="F6652" t="s">
        <v>50</v>
      </c>
      <c r="G6652">
        <v>-175.16669999999999</v>
      </c>
      <c r="H6652" s="1">
        <v>-3.0630390000000002E-6</v>
      </c>
      <c r="I6652">
        <v>131.98589999999999</v>
      </c>
      <c r="J6652">
        <v>-187.03579999999999</v>
      </c>
      <c r="K6652">
        <v>1.108198</v>
      </c>
      <c r="L6652">
        <v>119.8451</v>
      </c>
      <c r="M6652">
        <v>0.15687799999999999</v>
      </c>
      <c r="N6652">
        <v>0</v>
      </c>
      <c r="O6652">
        <v>0.98752530000000005</v>
      </c>
      <c r="P6652">
        <v>0.49222109999999902</v>
      </c>
      <c r="Q6652">
        <v>0.1550183</v>
      </c>
      <c r="R6652">
        <v>0.85655579999999998</v>
      </c>
      <c r="S6652">
        <v>2.2010040000000002</v>
      </c>
      <c r="T6652">
        <v>-0.2049358</v>
      </c>
      <c r="U6652">
        <v>2.2794490000000001</v>
      </c>
      <c r="V6652">
        <v>0.35257529999999998</v>
      </c>
      <c r="W6652">
        <v>0.1657247</v>
      </c>
      <c r="X6652">
        <v>0.92099180000000003</v>
      </c>
      <c r="Y6652">
        <v>0.57160290000000002</v>
      </c>
      <c r="Z6652">
        <v>-6.6928230000000005E-2</v>
      </c>
      <c r="AA6652">
        <v>0.81779630000000003</v>
      </c>
      <c r="AB6652">
        <v>19</v>
      </c>
      <c r="AC6652">
        <v>11.8691</v>
      </c>
      <c r="AD6652">
        <v>-1.108201063039</v>
      </c>
      <c r="AE6652">
        <v>12.140799999999899</v>
      </c>
      <c r="AF6652">
        <v>9.7756644446627607</v>
      </c>
      <c r="AG6652">
        <v>-1.108201063039</v>
      </c>
      <c r="AH6652">
        <v>13.7938512477459</v>
      </c>
      <c r="AI6652">
        <v>93.750277911256205</v>
      </c>
      <c r="AJ6652">
        <v>54.674904425052901</v>
      </c>
      <c r="AK6652">
        <v>16.942905806729399</v>
      </c>
      <c r="AL6652">
        <v>80.460663243604998</v>
      </c>
      <c r="AM6652">
        <v>69.052088471311293</v>
      </c>
      <c r="AN6652">
        <v>0.99999995701370903</v>
      </c>
    </row>
    <row r="6653" spans="1:40" x14ac:dyDescent="0.25">
      <c r="A6653" t="str">
        <f>"20190312172839814"</f>
        <v>20190312172839814</v>
      </c>
      <c r="B6653" t="str">
        <f>"1552382919806949"</f>
        <v>1552382919806949</v>
      </c>
      <c r="C6653" t="s">
        <v>40</v>
      </c>
      <c r="D6653">
        <v>3.6029469999999999</v>
      </c>
      <c r="E6653">
        <v>0.60818339999999904</v>
      </c>
      <c r="F6653" t="s">
        <v>50</v>
      </c>
      <c r="G6653">
        <v>-173.8595</v>
      </c>
      <c r="H6653" s="1">
        <v>-2.7972690000000001E-6</v>
      </c>
      <c r="I6653">
        <v>132.94460000000001</v>
      </c>
      <c r="J6653">
        <v>-187.0026</v>
      </c>
      <c r="K6653">
        <v>1.1081449999999999</v>
      </c>
      <c r="L6653">
        <v>120.02419999999999</v>
      </c>
      <c r="M6653">
        <v>0.16071859999999999</v>
      </c>
      <c r="N6653">
        <v>0</v>
      </c>
      <c r="O6653">
        <v>0.98690750000000005</v>
      </c>
      <c r="P6653">
        <v>0.49663930000000001</v>
      </c>
      <c r="Q6653">
        <v>0.15502579999999999</v>
      </c>
      <c r="R6653">
        <v>0.85400019999999999</v>
      </c>
      <c r="S6653">
        <v>2.2543639999999998</v>
      </c>
      <c r="T6653">
        <v>-0.189605</v>
      </c>
      <c r="U6653">
        <v>2.2412260000000002</v>
      </c>
      <c r="V6653">
        <v>0.3537768</v>
      </c>
      <c r="W6653">
        <v>0.16567290000000001</v>
      </c>
      <c r="X6653">
        <v>0.92054029999999998</v>
      </c>
      <c r="Y6653">
        <v>0.58527489999999904</v>
      </c>
      <c r="Z6653">
        <v>-6.1864210000000003E-2</v>
      </c>
      <c r="AA6653">
        <v>0.80847150000000001</v>
      </c>
      <c r="AB6653">
        <v>19</v>
      </c>
      <c r="AC6653">
        <v>13.1431</v>
      </c>
      <c r="AD6653">
        <v>-1.1081477972689999</v>
      </c>
      <c r="AE6653">
        <v>12.920400000000001</v>
      </c>
      <c r="AF6653">
        <v>10.8562259340846</v>
      </c>
      <c r="AG6653">
        <v>-1.1081477972689999</v>
      </c>
      <c r="AH6653">
        <v>14.8113957285416</v>
      </c>
      <c r="AI6653">
        <v>93.453246932440507</v>
      </c>
      <c r="AJ6653">
        <v>53.759910321026602</v>
      </c>
      <c r="AK6653">
        <v>18.3973660207092</v>
      </c>
      <c r="AL6653">
        <v>80.463673075121903</v>
      </c>
      <c r="AM6653">
        <v>68.977518371974497</v>
      </c>
      <c r="AN6653">
        <v>0.99999998896836895</v>
      </c>
    </row>
    <row r="6654" spans="1:40" x14ac:dyDescent="0.25">
      <c r="A6654" t="str">
        <f>"20190312172839836"</f>
        <v>20190312172839836</v>
      </c>
      <c r="B6654" t="str">
        <f>"1552382919826472"</f>
        <v>1552382919826472</v>
      </c>
      <c r="C6654" t="s">
        <v>40</v>
      </c>
      <c r="D6654">
        <v>3.5657999999999999</v>
      </c>
      <c r="E6654">
        <v>0.61000650000000001</v>
      </c>
      <c r="F6654" t="s">
        <v>50</v>
      </c>
      <c r="G6654">
        <v>-173.458</v>
      </c>
      <c r="H6654" s="1">
        <v>-2.6955350000000002E-6</v>
      </c>
      <c r="I6654">
        <v>133.14570000000001</v>
      </c>
      <c r="J6654">
        <v>-186.96799999999999</v>
      </c>
      <c r="K6654">
        <v>1.1080829999999999</v>
      </c>
      <c r="L6654">
        <v>120.20650000000001</v>
      </c>
      <c r="M6654">
        <v>0.164749799999999</v>
      </c>
      <c r="N6654">
        <v>0</v>
      </c>
      <c r="O6654">
        <v>0.98624250000000002</v>
      </c>
      <c r="P6654">
        <v>0.50142779999999998</v>
      </c>
      <c r="Q6654">
        <v>0.15526209999999999</v>
      </c>
      <c r="R6654">
        <v>0.85115439999999998</v>
      </c>
      <c r="S6654">
        <v>2.2878419999999999</v>
      </c>
      <c r="T6654">
        <v>-0.18717809999999999</v>
      </c>
      <c r="U6654">
        <v>2.21637</v>
      </c>
      <c r="V6654">
        <v>0.35522150000000002</v>
      </c>
      <c r="W6654">
        <v>0.16584499999999999</v>
      </c>
      <c r="X6654">
        <v>0.91995280000000001</v>
      </c>
      <c r="Y6654">
        <v>0.59244459999999999</v>
      </c>
      <c r="Z6654">
        <v>-6.1036220000000002E-2</v>
      </c>
      <c r="AA6654">
        <v>0.80329569999999995</v>
      </c>
      <c r="AB6654">
        <v>19</v>
      </c>
      <c r="AC6654">
        <v>13.5099999999999</v>
      </c>
      <c r="AD6654">
        <v>-1.108085695535</v>
      </c>
      <c r="AE6654">
        <v>12.9392</v>
      </c>
      <c r="AF6654">
        <v>11.154293766978499</v>
      </c>
      <c r="AG6654">
        <v>-1.108085695535</v>
      </c>
      <c r="AH6654">
        <v>14.935925943456301</v>
      </c>
      <c r="AI6654">
        <v>93.401791968766105</v>
      </c>
      <c r="AJ6654">
        <v>53.247269168288497</v>
      </c>
      <c r="AK6654">
        <v>18.6742605512807</v>
      </c>
      <c r="AL6654">
        <v>80.453674411182405</v>
      </c>
      <c r="AM6654">
        <v>68.886922628037496</v>
      </c>
      <c r="AN6654">
        <v>1.00000001615754</v>
      </c>
    </row>
    <row r="6655" spans="1:40" x14ac:dyDescent="0.25">
      <c r="A6655" t="str">
        <f>"20190312172839858"</f>
        <v>20190312172839858</v>
      </c>
      <c r="B6655" t="str">
        <f>"1552382919845993"</f>
        <v>1552382919845993</v>
      </c>
      <c r="C6655" t="s">
        <v>40</v>
      </c>
      <c r="D6655">
        <v>3.6028989999999999</v>
      </c>
      <c r="E6655">
        <v>0.61098699999999995</v>
      </c>
      <c r="F6655" t="s">
        <v>50</v>
      </c>
      <c r="G6655">
        <v>-173.2319</v>
      </c>
      <c r="H6655" s="1">
        <v>-2.635132E-6</v>
      </c>
      <c r="I6655">
        <v>133.25069999999999</v>
      </c>
      <c r="J6655">
        <v>-186.93190000000001</v>
      </c>
      <c r="K6655">
        <v>1.1080209999999999</v>
      </c>
      <c r="L6655">
        <v>120.392</v>
      </c>
      <c r="M6655">
        <v>0.16900190000000001</v>
      </c>
      <c r="N6655">
        <v>0</v>
      </c>
      <c r="O6655">
        <v>0.98552269999999997</v>
      </c>
      <c r="P6655">
        <v>0.50644420000000001</v>
      </c>
      <c r="Q6655">
        <v>0.15549379999999999</v>
      </c>
      <c r="R6655">
        <v>0.84813680000000002</v>
      </c>
      <c r="S6655">
        <v>2.3126980000000001</v>
      </c>
      <c r="T6655">
        <v>-0.18656420000000001</v>
      </c>
      <c r="U6655">
        <v>2.1962130000000002</v>
      </c>
      <c r="V6655">
        <v>0.35672379999999998</v>
      </c>
      <c r="W6655">
        <v>0.16600680000000001</v>
      </c>
      <c r="X6655">
        <v>0.91934210000000005</v>
      </c>
      <c r="Y6655">
        <v>0.59697670000000003</v>
      </c>
      <c r="Z6655">
        <v>-6.0831450000000002E-2</v>
      </c>
      <c r="AA6655">
        <v>0.79994900000000002</v>
      </c>
      <c r="AB6655">
        <v>19</v>
      </c>
      <c r="AC6655">
        <v>13.7</v>
      </c>
      <c r="AD6655">
        <v>-1.1080236351320001</v>
      </c>
      <c r="AE6655">
        <v>12.858699999999899</v>
      </c>
      <c r="AF6655">
        <v>11.2902919820737</v>
      </c>
      <c r="AG6655">
        <v>-1.1080236351320001</v>
      </c>
      <c r="AH6655">
        <v>14.937295245819501</v>
      </c>
      <c r="AI6655">
        <v>93.386597352532107</v>
      </c>
      <c r="AJ6655">
        <v>52.916341508469799</v>
      </c>
      <c r="AK6655">
        <v>18.756897362764299</v>
      </c>
      <c r="AL6655">
        <v>80.444273602580495</v>
      </c>
      <c r="AM6655">
        <v>68.792714156957302</v>
      </c>
      <c r="AN6655">
        <v>1.0000000119825401</v>
      </c>
    </row>
    <row r="6656" spans="1:40" x14ac:dyDescent="0.25">
      <c r="A6656" t="str">
        <f>"20190312172839881"</f>
        <v>20190312172839881</v>
      </c>
      <c r="B6656" t="str">
        <f>"1552382919876245"</f>
        <v>1552382919876245</v>
      </c>
      <c r="C6656" t="s">
        <v>40</v>
      </c>
      <c r="D6656">
        <v>3.5713089999999998</v>
      </c>
      <c r="E6656">
        <v>0.61188659999999995</v>
      </c>
      <c r="F6656" t="s">
        <v>50</v>
      </c>
      <c r="G6656">
        <v>-172.9648</v>
      </c>
      <c r="H6656" s="1">
        <v>-2.5777240000000001E-6</v>
      </c>
      <c r="I6656">
        <v>133.43889999999999</v>
      </c>
      <c r="J6656">
        <v>-186.8955</v>
      </c>
      <c r="K6656">
        <v>1.107947</v>
      </c>
      <c r="L6656">
        <v>120.5737</v>
      </c>
      <c r="M6656">
        <v>0.17332600000000001</v>
      </c>
      <c r="N6656">
        <v>0</v>
      </c>
      <c r="O6656">
        <v>0.98477130000000002</v>
      </c>
      <c r="P6656">
        <v>0.51165969999999905</v>
      </c>
      <c r="Q6656">
        <v>0.15575410000000001</v>
      </c>
      <c r="R6656">
        <v>0.8449527</v>
      </c>
      <c r="S6656">
        <v>2.3321689999999999</v>
      </c>
      <c r="T6656">
        <v>-0.18501290000000001</v>
      </c>
      <c r="U6656">
        <v>2.1785130000000001</v>
      </c>
      <c r="V6656">
        <v>0.3583963</v>
      </c>
      <c r="W6656">
        <v>0.16618920000000001</v>
      </c>
      <c r="X6656">
        <v>0.91865839999999999</v>
      </c>
      <c r="Y6656">
        <v>0.60005439999999999</v>
      </c>
      <c r="Z6656">
        <v>-6.0349920000000001E-2</v>
      </c>
      <c r="AA6656">
        <v>0.79767949999999999</v>
      </c>
      <c r="AB6656">
        <v>19</v>
      </c>
      <c r="AC6656">
        <v>13.9307</v>
      </c>
      <c r="AD6656">
        <v>-1.107949577724</v>
      </c>
      <c r="AE6656">
        <v>12.8651999999999</v>
      </c>
      <c r="AF6656">
        <v>11.4506435859335</v>
      </c>
      <c r="AG6656">
        <v>-1.107949577724</v>
      </c>
      <c r="AH6656">
        <v>15.033893228238201</v>
      </c>
      <c r="AI6656">
        <v>93.355285350708201</v>
      </c>
      <c r="AJ6656">
        <v>52.705098329870701</v>
      </c>
      <c r="AK6656">
        <v>18.930471108689499</v>
      </c>
      <c r="AL6656">
        <v>80.433675590455195</v>
      </c>
      <c r="AM6656">
        <v>68.6877462314865</v>
      </c>
      <c r="AN6656">
        <v>1.00000000697044</v>
      </c>
    </row>
    <row r="6657" spans="1:40" x14ac:dyDescent="0.25">
      <c r="A6657" t="str">
        <f>"20190312172839904"</f>
        <v>20190312172839904</v>
      </c>
      <c r="B6657" t="str">
        <f>"1552382919896741"</f>
        <v>1552382919896741</v>
      </c>
      <c r="C6657" t="s">
        <v>40</v>
      </c>
      <c r="D6657">
        <v>3.5617230000000002</v>
      </c>
      <c r="E6657">
        <v>0.61229239999999996</v>
      </c>
      <c r="F6657" t="s">
        <v>50</v>
      </c>
      <c r="G6657">
        <v>-172.7919</v>
      </c>
      <c r="H6657" s="1">
        <v>-2.5199790000000001E-6</v>
      </c>
      <c r="I6657">
        <v>133.53100000000001</v>
      </c>
      <c r="J6657">
        <v>-186.85599999999999</v>
      </c>
      <c r="K6657">
        <v>1.1078589999999999</v>
      </c>
      <c r="L6657">
        <v>120.7658</v>
      </c>
      <c r="M6657">
        <v>0.17807729999999999</v>
      </c>
      <c r="N6657">
        <v>0</v>
      </c>
      <c r="O6657">
        <v>0.98392310000000005</v>
      </c>
      <c r="P6657">
        <v>0.517063099999999</v>
      </c>
      <c r="Q6657">
        <v>0.15573329999999999</v>
      </c>
      <c r="R6657">
        <v>0.84166079999999999</v>
      </c>
      <c r="S6657">
        <v>2.3516539999999999</v>
      </c>
      <c r="T6657">
        <v>-0.18474080000000001</v>
      </c>
      <c r="U6657">
        <v>2.1605219999999998</v>
      </c>
      <c r="V6657">
        <v>0.35988880000000001</v>
      </c>
      <c r="W6657">
        <v>0.166077799999999</v>
      </c>
      <c r="X6657">
        <v>0.91809490000000005</v>
      </c>
      <c r="Y6657">
        <v>0.60280359999999999</v>
      </c>
      <c r="Z6657">
        <v>-6.028497E-2</v>
      </c>
      <c r="AA6657">
        <v>0.79560889999999995</v>
      </c>
      <c r="AB6657">
        <v>18</v>
      </c>
      <c r="AC6657">
        <v>14.0640999999999</v>
      </c>
      <c r="AD6657">
        <v>-1.1078615199789901</v>
      </c>
      <c r="AE6657">
        <v>12.7652</v>
      </c>
      <c r="AF6657">
        <v>11.526647049181699</v>
      </c>
      <c r="AG6657">
        <v>-1.1078615199789901</v>
      </c>
      <c r="AH6657">
        <v>15.0147728613873</v>
      </c>
      <c r="AI6657">
        <v>93.349541156263101</v>
      </c>
      <c r="AJ6657">
        <v>52.487016641995098</v>
      </c>
      <c r="AK6657">
        <v>18.96139112573</v>
      </c>
      <c r="AL6657">
        <v>80.440148364303795</v>
      </c>
      <c r="AM6657">
        <v>68.595058630773195</v>
      </c>
      <c r="AN6657">
        <v>1.00000001471214</v>
      </c>
    </row>
    <row r="6658" spans="1:40" x14ac:dyDescent="0.25">
      <c r="A6658" t="str">
        <f>"20190312172839926"</f>
        <v>20190312172839926</v>
      </c>
      <c r="B6658" t="str">
        <f>"1552382919916261"</f>
        <v>1552382919916261</v>
      </c>
      <c r="C6658" t="s">
        <v>40</v>
      </c>
      <c r="D6658">
        <v>3.5801180000000001</v>
      </c>
      <c r="E6658">
        <v>0.61257609999999996</v>
      </c>
      <c r="F6658" t="s">
        <v>50</v>
      </c>
      <c r="G6658">
        <v>-172.59039999999999</v>
      </c>
      <c r="H6658" s="1">
        <v>-2.4683530000000001E-6</v>
      </c>
      <c r="I6658">
        <v>133.6739</v>
      </c>
      <c r="J6658">
        <v>-186.81790000000001</v>
      </c>
      <c r="K6658">
        <v>1.107764</v>
      </c>
      <c r="L6658">
        <v>120.9457</v>
      </c>
      <c r="M6658">
        <v>0.1827076</v>
      </c>
      <c r="N6658">
        <v>0</v>
      </c>
      <c r="O6658">
        <v>0.98307370000000005</v>
      </c>
      <c r="P6658">
        <v>0.52255359999999995</v>
      </c>
      <c r="Q6658">
        <v>0.15604409999999999</v>
      </c>
      <c r="R6658">
        <v>0.83820519999999998</v>
      </c>
      <c r="S6658">
        <v>2.368652</v>
      </c>
      <c r="T6658">
        <v>-0.1839491</v>
      </c>
      <c r="U6658">
        <v>2.1432500000000001</v>
      </c>
      <c r="V6658">
        <v>0.36162499999999997</v>
      </c>
      <c r="W6658">
        <v>0.16628799999999999</v>
      </c>
      <c r="X6658">
        <v>0.91737440000000003</v>
      </c>
      <c r="Y6658">
        <v>0.6050915</v>
      </c>
      <c r="Z6658">
        <v>-6.006761E-2</v>
      </c>
      <c r="AA6658">
        <v>0.79388669999999995</v>
      </c>
      <c r="AB6658">
        <v>18</v>
      </c>
      <c r="AC6658">
        <v>14.227499999999999</v>
      </c>
      <c r="AD6658">
        <v>-1.107766468353</v>
      </c>
      <c r="AE6658">
        <v>12.728199999999999</v>
      </c>
      <c r="AF6658">
        <v>11.623076802661</v>
      </c>
      <c r="AG6658">
        <v>-1.107766468353</v>
      </c>
      <c r="AH6658">
        <v>15.062900290918099</v>
      </c>
      <c r="AI6658">
        <v>93.332225588107903</v>
      </c>
      <c r="AJ6658">
        <v>52.344927703776101</v>
      </c>
      <c r="AK6658">
        <v>19.058174783622501</v>
      </c>
      <c r="AL6658">
        <v>80.427935446339106</v>
      </c>
      <c r="AM6658">
        <v>68.485856718207003</v>
      </c>
      <c r="AN6658">
        <v>1.0000000646721701</v>
      </c>
    </row>
    <row r="6659" spans="1:40" x14ac:dyDescent="0.25">
      <c r="A6659" t="str">
        <f>"20190312172839947"</f>
        <v>20190312172839947</v>
      </c>
      <c r="B6659" t="str">
        <f>"1552382919936757"</f>
        <v>1552382919936757</v>
      </c>
      <c r="C6659" t="s">
        <v>40</v>
      </c>
      <c r="D6659">
        <v>3.5715810000000001</v>
      </c>
      <c r="E6659">
        <v>0.61276039999999998</v>
      </c>
      <c r="F6659" t="s">
        <v>50</v>
      </c>
      <c r="G6659">
        <v>-172.41550000000001</v>
      </c>
      <c r="H6659" s="1">
        <v>-2.4180290000000001E-6</v>
      </c>
      <c r="I6659">
        <v>133.78540000000001</v>
      </c>
      <c r="J6659">
        <v>-186.78059999999999</v>
      </c>
      <c r="K6659">
        <v>1.1076600000000001</v>
      </c>
      <c r="L6659">
        <v>121.1165</v>
      </c>
      <c r="M6659">
        <v>0.1872837</v>
      </c>
      <c r="N6659">
        <v>0</v>
      </c>
      <c r="O6659">
        <v>0.98221199999999997</v>
      </c>
      <c r="P6659">
        <v>0.52817550000000002</v>
      </c>
      <c r="Q6659">
        <v>0.15655250000000001</v>
      </c>
      <c r="R6659">
        <v>0.83457890000000001</v>
      </c>
      <c r="S6659">
        <v>2.3850859999999998</v>
      </c>
      <c r="T6659">
        <v>-0.18345030000000001</v>
      </c>
      <c r="U6659">
        <v>2.126312</v>
      </c>
      <c r="V6659">
        <v>0.36358629999999997</v>
      </c>
      <c r="W6659">
        <v>0.16668949999999999</v>
      </c>
      <c r="X6659">
        <v>0.91652579999999995</v>
      </c>
      <c r="Y6659">
        <v>0.6072516</v>
      </c>
      <c r="Z6659">
        <v>-5.9943740000000002E-2</v>
      </c>
      <c r="AA6659">
        <v>0.79224499999999998</v>
      </c>
      <c r="AB6659">
        <v>18</v>
      </c>
      <c r="AC6659">
        <v>14.365099999999901</v>
      </c>
      <c r="AD6659">
        <v>-1.107662418029</v>
      </c>
      <c r="AE6659">
        <v>12.668900000000001</v>
      </c>
      <c r="AF6659">
        <v>11.6988518317693</v>
      </c>
      <c r="AG6659">
        <v>-1.107662418029</v>
      </c>
      <c r="AH6659">
        <v>15.0848405425637</v>
      </c>
      <c r="AI6659">
        <v>93.3208168084184</v>
      </c>
      <c r="AJ6659">
        <v>52.205098655411398</v>
      </c>
      <c r="AK6659">
        <v>19.121779844161502</v>
      </c>
      <c r="AL6659">
        <v>80.404604615451305</v>
      </c>
      <c r="AM6659">
        <v>68.361744552068004</v>
      </c>
      <c r="AN6659">
        <v>0.99999996451178896</v>
      </c>
    </row>
    <row r="6660" spans="1:40" x14ac:dyDescent="0.25">
      <c r="A6660" t="str">
        <f>"20190312172839970"</f>
        <v>20190312172839970</v>
      </c>
      <c r="B6660" t="str">
        <f>"1552382919966037"</f>
        <v>1552382919966037</v>
      </c>
      <c r="C6660" t="s">
        <v>40</v>
      </c>
      <c r="D6660">
        <v>3.5885630000000002</v>
      </c>
      <c r="E6660">
        <v>0.61281660000000004</v>
      </c>
      <c r="F6660" t="s">
        <v>50</v>
      </c>
      <c r="G6660">
        <v>-172.33580000000001</v>
      </c>
      <c r="H6660" s="1">
        <v>-2.3864600000000001E-6</v>
      </c>
      <c r="I6660">
        <v>133.8167</v>
      </c>
      <c r="J6660">
        <v>-186.74019999999999</v>
      </c>
      <c r="K6660">
        <v>1.107551</v>
      </c>
      <c r="L6660">
        <v>121.29649999999999</v>
      </c>
      <c r="M6660">
        <v>0.1923125</v>
      </c>
      <c r="N6660">
        <v>0</v>
      </c>
      <c r="O6660">
        <v>0.98123959999999999</v>
      </c>
      <c r="P6660">
        <v>0.53421490000000005</v>
      </c>
      <c r="Q6660">
        <v>0.15624189999999999</v>
      </c>
      <c r="R6660">
        <v>0.83078459999999998</v>
      </c>
      <c r="S6660">
        <v>2.4001160000000001</v>
      </c>
      <c r="T6660">
        <v>-0.1840464</v>
      </c>
      <c r="U6660">
        <v>2.1102289999999999</v>
      </c>
      <c r="V6660">
        <v>0.36557590000000001</v>
      </c>
      <c r="W6660">
        <v>0.16626679999999999</v>
      </c>
      <c r="X6660">
        <v>0.91581089999999998</v>
      </c>
      <c r="Y6660">
        <v>0.60863049999999996</v>
      </c>
      <c r="Z6660">
        <v>-6.0179730000000001E-2</v>
      </c>
      <c r="AA6660">
        <v>0.79116830000000005</v>
      </c>
      <c r="AB6660">
        <v>18</v>
      </c>
      <c r="AC6660">
        <v>14.4043999999999</v>
      </c>
      <c r="AD6660">
        <v>-1.10755338646</v>
      </c>
      <c r="AE6660">
        <v>12.520200000000001</v>
      </c>
      <c r="AF6660">
        <v>11.688097577534499</v>
      </c>
      <c r="AG6660">
        <v>-1.10755338646</v>
      </c>
      <c r="AH6660">
        <v>15.0063157161383</v>
      </c>
      <c r="AI6660">
        <v>93.332439225520403</v>
      </c>
      <c r="AJ6660">
        <v>52.085739732610499</v>
      </c>
      <c r="AK6660">
        <v>19.053288715028899</v>
      </c>
      <c r="AL6660">
        <v>80.429166601487296</v>
      </c>
      <c r="AM6660">
        <v>68.238968975060203</v>
      </c>
      <c r="AN6660">
        <v>0.99999999600092904</v>
      </c>
    </row>
    <row r="6661" spans="1:40" x14ac:dyDescent="0.25">
      <c r="A6661" t="str">
        <f>"20190312172839994"</f>
        <v>20190312172839994</v>
      </c>
      <c r="B6661" t="str">
        <f>"1552382919986533"</f>
        <v>1552382919986533</v>
      </c>
      <c r="C6661" t="s">
        <v>40</v>
      </c>
      <c r="D6661">
        <v>3.6199859999999999</v>
      </c>
      <c r="E6661">
        <v>0.61275959999999996</v>
      </c>
      <c r="F6661" t="s">
        <v>50</v>
      </c>
      <c r="G6661">
        <v>-172.50550000000001</v>
      </c>
      <c r="H6661" s="1">
        <v>-2.4020250000000001E-6</v>
      </c>
      <c r="I6661">
        <v>133.63339999999999</v>
      </c>
      <c r="J6661">
        <v>-186.69560000000001</v>
      </c>
      <c r="K6661">
        <v>1.1074379999999999</v>
      </c>
      <c r="L6661">
        <v>121.4884</v>
      </c>
      <c r="M6661">
        <v>0.19790189999999999</v>
      </c>
      <c r="N6661">
        <v>0</v>
      </c>
      <c r="O6661">
        <v>0.98012730000000003</v>
      </c>
      <c r="P6661">
        <v>0.5404234</v>
      </c>
      <c r="Q6661">
        <v>0.1557702</v>
      </c>
      <c r="R6661">
        <v>0.82684840000000004</v>
      </c>
      <c r="S6661">
        <v>2.4152979999999999</v>
      </c>
      <c r="T6661">
        <v>-0.18792619999999999</v>
      </c>
      <c r="U6661">
        <v>2.0932919999999999</v>
      </c>
      <c r="V6661">
        <v>0.36724679999999998</v>
      </c>
      <c r="W6661">
        <v>0.1656851</v>
      </c>
      <c r="X6661">
        <v>0.91524760000000005</v>
      </c>
      <c r="Y6661">
        <v>0.60968299999999997</v>
      </c>
      <c r="Z6661">
        <v>-6.1493579999999999E-2</v>
      </c>
      <c r="AA6661">
        <v>0.79025639999999997</v>
      </c>
      <c r="AB6661">
        <v>18</v>
      </c>
      <c r="AC6661">
        <v>14.190099999999999</v>
      </c>
      <c r="AD6661">
        <v>-1.1074404020249999</v>
      </c>
      <c r="AE6661">
        <v>12.1449999999999</v>
      </c>
      <c r="AF6661">
        <v>11.465345298598301</v>
      </c>
      <c r="AG6661">
        <v>-1.1074404020249999</v>
      </c>
      <c r="AH6661">
        <v>14.6617136072081</v>
      </c>
      <c r="AI6661">
        <v>93.405099451157596</v>
      </c>
      <c r="AJ6661">
        <v>51.974870755915298</v>
      </c>
      <c r="AK6661">
        <v>18.6452785701882</v>
      </c>
      <c r="AL6661">
        <v>80.462964058200996</v>
      </c>
      <c r="AM6661">
        <v>68.136676465593894</v>
      </c>
      <c r="AN6661">
        <v>0.99999996688900405</v>
      </c>
    </row>
    <row r="6662" spans="1:40" x14ac:dyDescent="0.25">
      <c r="A6662" t="str">
        <f>"20190312172840015"</f>
        <v>20190312172840015</v>
      </c>
      <c r="B6662" t="str">
        <f>"1552382920006056"</f>
        <v>1552382920006056</v>
      </c>
      <c r="C6662" t="s">
        <v>40</v>
      </c>
      <c r="D6662">
        <v>3.6041300000000001</v>
      </c>
      <c r="E6662">
        <v>0.61264379999999996</v>
      </c>
      <c r="F6662" t="s">
        <v>50</v>
      </c>
      <c r="G6662">
        <v>-172.4922</v>
      </c>
      <c r="H6662" s="1">
        <v>-2.384821E-6</v>
      </c>
      <c r="I6662">
        <v>133.61160000000001</v>
      </c>
      <c r="J6662">
        <v>-186.65459999999999</v>
      </c>
      <c r="K6662">
        <v>1.1073550000000001</v>
      </c>
      <c r="L6662">
        <v>121.6604</v>
      </c>
      <c r="M6662">
        <v>0.20307620000000001</v>
      </c>
      <c r="N6662">
        <v>0</v>
      </c>
      <c r="O6662">
        <v>0.97906819999999894</v>
      </c>
      <c r="P6662">
        <v>0.54600550000000003</v>
      </c>
      <c r="Q6662">
        <v>0.1552682</v>
      </c>
      <c r="R6662">
        <v>0.82326769999999905</v>
      </c>
      <c r="S6662">
        <v>2.4310610000000001</v>
      </c>
      <c r="T6662">
        <v>-0.1895502</v>
      </c>
      <c r="U6662">
        <v>2.0750120000000001</v>
      </c>
      <c r="V6662">
        <v>0.36862030000000001</v>
      </c>
      <c r="W6662">
        <v>0.16510159999999999</v>
      </c>
      <c r="X6662">
        <v>0.91480079999999997</v>
      </c>
      <c r="Y6662">
        <v>0.6114404</v>
      </c>
      <c r="Z6662">
        <v>-6.20794E-2</v>
      </c>
      <c r="AA6662">
        <v>0.78885159999999999</v>
      </c>
      <c r="AB6662">
        <v>18</v>
      </c>
      <c r="AC6662">
        <v>14.1623999999999</v>
      </c>
      <c r="AD6662">
        <v>-1.1073573848210001</v>
      </c>
      <c r="AE6662">
        <v>11.9512</v>
      </c>
      <c r="AF6662">
        <v>11.399307399065</v>
      </c>
      <c r="AG6662">
        <v>-1.1073573848210001</v>
      </c>
      <c r="AH6662">
        <v>14.526566665720001</v>
      </c>
      <c r="AI6662">
        <v>93.431906891712799</v>
      </c>
      <c r="AJ6662">
        <v>51.877964945467603</v>
      </c>
      <c r="AK6662">
        <v>18.498421247493098</v>
      </c>
      <c r="AL6662">
        <v>80.496863176514594</v>
      </c>
      <c r="AM6662">
        <v>68.052958804624396</v>
      </c>
      <c r="AN6662">
        <v>0.99999998378764399</v>
      </c>
    </row>
    <row r="6663" spans="1:40" x14ac:dyDescent="0.25">
      <c r="A6663" t="str">
        <f>"20190312172840037"</f>
        <v>20190312172840037</v>
      </c>
      <c r="B6663" t="str">
        <f>"1552382920026549"</f>
        <v>1552382920026549</v>
      </c>
      <c r="C6663" t="s">
        <v>40</v>
      </c>
      <c r="D6663">
        <v>3.6641870000000001</v>
      </c>
      <c r="E6663">
        <v>0.61240760000000005</v>
      </c>
      <c r="F6663" t="s">
        <v>50</v>
      </c>
      <c r="G6663">
        <v>-172.43520000000001</v>
      </c>
      <c r="H6663" s="1">
        <v>-2.3615039999999999E-6</v>
      </c>
      <c r="I6663">
        <v>133.63229999999999</v>
      </c>
      <c r="J6663">
        <v>-186.61080000000001</v>
      </c>
      <c r="K6663">
        <v>1.1072770000000001</v>
      </c>
      <c r="L6663">
        <v>121.83880000000001</v>
      </c>
      <c r="M6663">
        <v>0.2086133</v>
      </c>
      <c r="N6663">
        <v>0</v>
      </c>
      <c r="O6663">
        <v>0.97790310000000003</v>
      </c>
      <c r="P6663">
        <v>0.5526643</v>
      </c>
      <c r="Q6663">
        <v>0.15530569999999999</v>
      </c>
      <c r="R6663">
        <v>0.81880549999999996</v>
      </c>
      <c r="S6663">
        <v>2.4448699999999999</v>
      </c>
      <c r="T6663">
        <v>-0.1903986</v>
      </c>
      <c r="U6663">
        <v>2.0584560000000001</v>
      </c>
      <c r="V6663">
        <v>0.37089879999999997</v>
      </c>
      <c r="W6663">
        <v>0.16505449999999999</v>
      </c>
      <c r="X6663">
        <v>0.91388789999999998</v>
      </c>
      <c r="Y6663">
        <v>0.61227319999999996</v>
      </c>
      <c r="Z6663">
        <v>-6.2410470000000003E-2</v>
      </c>
      <c r="AA6663">
        <v>0.78817930000000003</v>
      </c>
      <c r="AB6663">
        <v>18</v>
      </c>
      <c r="AC6663">
        <v>14.175599999999999</v>
      </c>
      <c r="AD6663">
        <v>-1.107279361504</v>
      </c>
      <c r="AE6663">
        <v>11.7934999999999</v>
      </c>
      <c r="AF6663">
        <v>11.362174084233899</v>
      </c>
      <c r="AG6663">
        <v>-1.107279361504</v>
      </c>
      <c r="AH6663">
        <v>14.439402397812</v>
      </c>
      <c r="AI6663">
        <v>93.448710096595804</v>
      </c>
      <c r="AJ6663">
        <v>51.801262435248802</v>
      </c>
      <c r="AK6663">
        <v>18.407102137783401</v>
      </c>
      <c r="AL6663">
        <v>80.4995995096603</v>
      </c>
      <c r="AM6663">
        <v>67.910366291225401</v>
      </c>
      <c r="AN6663">
        <v>1.0000000007890499</v>
      </c>
    </row>
    <row r="6664" spans="1:40" x14ac:dyDescent="0.25">
      <c r="A6664" t="str">
        <f>"20190312172840059"</f>
        <v>20190312172840059</v>
      </c>
      <c r="B6664" t="str">
        <f>"1552382920056805"</f>
        <v>1552382920056805</v>
      </c>
      <c r="C6664" t="s">
        <v>40</v>
      </c>
      <c r="D6664">
        <v>3.64791</v>
      </c>
      <c r="E6664">
        <v>0.61197539999999995</v>
      </c>
      <c r="F6664" t="s">
        <v>50</v>
      </c>
      <c r="G6664">
        <v>-172.48089999999999</v>
      </c>
      <c r="H6664" s="1">
        <v>-2.3536600000000002E-6</v>
      </c>
      <c r="I6664">
        <v>133.55590000000001</v>
      </c>
      <c r="J6664">
        <v>-186.56639999999999</v>
      </c>
      <c r="K6664">
        <v>1.107205</v>
      </c>
      <c r="L6664">
        <v>122.0145</v>
      </c>
      <c r="M6664">
        <v>0.2142358</v>
      </c>
      <c r="N6664">
        <v>0</v>
      </c>
      <c r="O6664">
        <v>0.97668659999999996</v>
      </c>
      <c r="P6664">
        <v>0.55901000000000001</v>
      </c>
      <c r="Q6664">
        <v>0.1556235</v>
      </c>
      <c r="R6664">
        <v>0.81442569999999903</v>
      </c>
      <c r="S6664">
        <v>2.4600680000000001</v>
      </c>
      <c r="T6664">
        <v>-0.19278139999999999</v>
      </c>
      <c r="U6664">
        <v>2.0399780000000001</v>
      </c>
      <c r="V6664">
        <v>0.3727895</v>
      </c>
      <c r="W6664">
        <v>0.16529630000000001</v>
      </c>
      <c r="X6664">
        <v>0.91307459999999996</v>
      </c>
      <c r="Y6664">
        <v>0.6135893</v>
      </c>
      <c r="Z6664">
        <v>-6.3247520000000002E-2</v>
      </c>
      <c r="AA6664">
        <v>0.78708820000000002</v>
      </c>
      <c r="AB6664">
        <v>18</v>
      </c>
      <c r="AC6664">
        <v>14.0854999999999</v>
      </c>
      <c r="AD6664">
        <v>-1.10720735366</v>
      </c>
      <c r="AE6664">
        <v>11.541399999999999</v>
      </c>
      <c r="AF6664">
        <v>11.244021471960499</v>
      </c>
      <c r="AG6664">
        <v>-1.10720735366</v>
      </c>
      <c r="AH6664">
        <v>14.238641737676399</v>
      </c>
      <c r="AI6664">
        <v>93.492249104752901</v>
      </c>
      <c r="AJ6664">
        <v>51.702429239553403</v>
      </c>
      <c r="AK6664">
        <v>18.176711625588698</v>
      </c>
      <c r="AL6664">
        <v>80.485552930813398</v>
      </c>
      <c r="AM6664">
        <v>67.790820588742093</v>
      </c>
      <c r="AN6664">
        <v>1.00000005163454</v>
      </c>
    </row>
    <row r="6665" spans="1:40" x14ac:dyDescent="0.25">
      <c r="A6665" t="str">
        <f>"20190312172840083"</f>
        <v>20190312172840083</v>
      </c>
      <c r="B6665" t="str">
        <f>"1552382920076325"</f>
        <v>1552382920076325</v>
      </c>
      <c r="C6665" t="s">
        <v>40</v>
      </c>
      <c r="D6665">
        <v>3.6637550000000001</v>
      </c>
      <c r="E6665">
        <v>0.61176039999999998</v>
      </c>
      <c r="F6665" t="s">
        <v>50</v>
      </c>
      <c r="G6665">
        <v>-172.53290000000001</v>
      </c>
      <c r="H6665" s="1">
        <v>-2.3568859999999999E-6</v>
      </c>
      <c r="I6665">
        <v>133.49619999999999</v>
      </c>
      <c r="J6665">
        <v>-186.51830000000001</v>
      </c>
      <c r="K6665">
        <v>1.107135</v>
      </c>
      <c r="L6665">
        <v>122.1996</v>
      </c>
      <c r="M6665">
        <v>0.22034519999999999</v>
      </c>
      <c r="N6665">
        <v>0</v>
      </c>
      <c r="O6665">
        <v>0.97532620000000003</v>
      </c>
      <c r="P6665">
        <v>0.56615499999999996</v>
      </c>
      <c r="Q6665">
        <v>0.155715299999999</v>
      </c>
      <c r="R6665">
        <v>0.80945739999999999</v>
      </c>
      <c r="S6665">
        <v>2.4730829999999999</v>
      </c>
      <c r="T6665">
        <v>-0.19511999999999999</v>
      </c>
      <c r="U6665">
        <v>2.0233759999999998</v>
      </c>
      <c r="V6665">
        <v>0.37514920000000002</v>
      </c>
      <c r="W6665">
        <v>0.1653</v>
      </c>
      <c r="X6665">
        <v>0.91210690000000005</v>
      </c>
      <c r="Y6665">
        <v>0.61380699999999999</v>
      </c>
      <c r="Z6665">
        <v>-6.4069559999999998E-2</v>
      </c>
      <c r="AA6665">
        <v>0.78685209999999906</v>
      </c>
      <c r="AB6665">
        <v>18</v>
      </c>
      <c r="AC6665">
        <v>13.985399999999901</v>
      </c>
      <c r="AD6665">
        <v>-1.1071373568859999</v>
      </c>
      <c r="AE6665">
        <v>11.2965999999999</v>
      </c>
      <c r="AF6665">
        <v>11.1100821194969</v>
      </c>
      <c r="AG6665">
        <v>-1.1071373568859999</v>
      </c>
      <c r="AH6665">
        <v>14.047527525503</v>
      </c>
      <c r="AI6665">
        <v>93.537341980800605</v>
      </c>
      <c r="AJ6665">
        <v>51.659797184122397</v>
      </c>
      <c r="AK6665">
        <v>17.944155243664799</v>
      </c>
      <c r="AL6665">
        <v>80.485337528239498</v>
      </c>
      <c r="AM6665">
        <v>67.642654191490195</v>
      </c>
      <c r="AN6665">
        <v>1.00000000464412</v>
      </c>
    </row>
    <row r="6666" spans="1:40" x14ac:dyDescent="0.25">
      <c r="A6666" t="str">
        <f>"20190312172840093"</f>
        <v>20190312172840093</v>
      </c>
      <c r="B6666" t="str">
        <f>"1552382920086086"</f>
        <v>1552382920086086</v>
      </c>
      <c r="C6666" t="s">
        <v>40</v>
      </c>
      <c r="D6666">
        <v>3.650738</v>
      </c>
      <c r="E6666">
        <v>0.61160719999999902</v>
      </c>
      <c r="F6666" t="s">
        <v>50</v>
      </c>
      <c r="G6666">
        <v>-172.5693</v>
      </c>
      <c r="H6666" s="1">
        <v>-2.3466110000000002E-6</v>
      </c>
      <c r="I6666">
        <v>133.42609999999999</v>
      </c>
      <c r="J6666">
        <v>-186.49459999999999</v>
      </c>
      <c r="K6666">
        <v>1.1070960000000001</v>
      </c>
      <c r="L6666">
        <v>122.28879999999999</v>
      </c>
      <c r="M6666">
        <v>0.2233581</v>
      </c>
      <c r="N6666">
        <v>0</v>
      </c>
      <c r="O6666">
        <v>0.97464050000000002</v>
      </c>
      <c r="P6666">
        <v>0.56988300000000003</v>
      </c>
      <c r="Q6666">
        <v>0.1559382</v>
      </c>
      <c r="R6666">
        <v>0.80679400000000001</v>
      </c>
      <c r="S6666">
        <v>2.4890750000000001</v>
      </c>
      <c r="T6666">
        <v>-0.19755900000000001</v>
      </c>
      <c r="U6666">
        <v>2.0032649999999999</v>
      </c>
      <c r="V6666">
        <v>0.37656919999999999</v>
      </c>
      <c r="W6666">
        <v>0.1654726</v>
      </c>
      <c r="X6666">
        <v>0.91149029999999998</v>
      </c>
      <c r="Y6666">
        <v>0.61764730000000001</v>
      </c>
      <c r="Z6666">
        <v>-6.4932199999999995E-2</v>
      </c>
      <c r="AA6666">
        <v>0.78377010000000003</v>
      </c>
      <c r="AB6666">
        <v>18</v>
      </c>
      <c r="AC6666">
        <v>13.925299999999901</v>
      </c>
      <c r="AD6666">
        <v>-1.10709834661099</v>
      </c>
      <c r="AE6666">
        <v>11.1372999999999</v>
      </c>
      <c r="AF6666">
        <v>11.043022709527101</v>
      </c>
      <c r="AG6666">
        <v>-1.10709834661099</v>
      </c>
      <c r="AH6666">
        <v>13.912866316649099</v>
      </c>
      <c r="AI6666">
        <v>93.566453685737201</v>
      </c>
      <c r="AJ6666">
        <v>51.560006899982199</v>
      </c>
      <c r="AK6666">
        <v>17.79724322633</v>
      </c>
      <c r="AL6666">
        <v>80.475310676489997</v>
      </c>
      <c r="AM6666">
        <v>67.552732041817407</v>
      </c>
      <c r="AN6666">
        <v>1.0000000553667401</v>
      </c>
    </row>
    <row r="6667" spans="1:40" x14ac:dyDescent="0.25">
      <c r="A6667" t="str">
        <f>"20190312172840105"</f>
        <v>20190312172840105</v>
      </c>
      <c r="B6667" t="str">
        <f>"1552382920096822"</f>
        <v>1552382920096822</v>
      </c>
      <c r="C6667" t="s">
        <v>40</v>
      </c>
      <c r="D6667">
        <v>3.629076</v>
      </c>
      <c r="E6667">
        <v>0.61160719999999902</v>
      </c>
      <c r="F6667" t="s">
        <v>50</v>
      </c>
      <c r="G6667">
        <v>-172.52029999999999</v>
      </c>
      <c r="H6667" s="1">
        <v>-2.324449E-6</v>
      </c>
      <c r="I6667">
        <v>133.4392</v>
      </c>
      <c r="J6667">
        <v>-186.46969999999999</v>
      </c>
      <c r="K6667">
        <v>1.1070580000000001</v>
      </c>
      <c r="L6667">
        <v>122.381</v>
      </c>
      <c r="M6667">
        <v>0.22651360000000001</v>
      </c>
      <c r="N6667">
        <v>0</v>
      </c>
      <c r="O6667">
        <v>0.97391190000000005</v>
      </c>
      <c r="P6667">
        <v>0.57357729999999996</v>
      </c>
      <c r="Q6667">
        <v>0.1559914</v>
      </c>
      <c r="R6667">
        <v>0.80416149999999997</v>
      </c>
      <c r="S6667">
        <v>2.4973139999999998</v>
      </c>
      <c r="T6667">
        <v>-0.1978472</v>
      </c>
      <c r="U6667">
        <v>1.992661</v>
      </c>
      <c r="V6667">
        <v>0.37782100000000002</v>
      </c>
      <c r="W6667">
        <v>0.16547590000000001</v>
      </c>
      <c r="X6667">
        <v>0.91097150000000005</v>
      </c>
      <c r="Y6667">
        <v>0.61839119999999903</v>
      </c>
      <c r="Z6667">
        <v>-6.5060759999999995E-2</v>
      </c>
      <c r="AA6667">
        <v>0.78317269999999894</v>
      </c>
      <c r="AB6667">
        <v>18</v>
      </c>
      <c r="AC6667">
        <v>13.949399999999899</v>
      </c>
      <c r="AD6667">
        <v>-1.107060324449</v>
      </c>
      <c r="AE6667">
        <v>11.058199999999999</v>
      </c>
      <c r="AF6667">
        <v>11.0389948279997</v>
      </c>
      <c r="AG6667">
        <v>-1.107060324449</v>
      </c>
      <c r="AH6667">
        <v>13.877071864769</v>
      </c>
      <c r="AI6667">
        <v>93.572455895473894</v>
      </c>
      <c r="AJ6667">
        <v>51.498297027205702</v>
      </c>
      <c r="AK6667">
        <v>17.766769906613199</v>
      </c>
      <c r="AL6667">
        <v>80.475118691116293</v>
      </c>
      <c r="AM6667">
        <v>67.474008202853199</v>
      </c>
      <c r="AN6667">
        <v>1.00000002766702</v>
      </c>
    </row>
    <row r="6668" spans="1:40" x14ac:dyDescent="0.25">
      <c r="A6668" t="str">
        <f>"20190312172840128"</f>
        <v>20190312172840128</v>
      </c>
      <c r="B6668" t="str">
        <f>"1552382920116342"</f>
        <v>1552382920116342</v>
      </c>
      <c r="C6668" t="s">
        <v>40</v>
      </c>
      <c r="D6668">
        <v>3.618935</v>
      </c>
      <c r="E6668">
        <v>0.60536569999999901</v>
      </c>
      <c r="F6668" t="s">
        <v>50</v>
      </c>
      <c r="G6668">
        <v>-172.4554</v>
      </c>
      <c r="H6668" s="1">
        <v>-2.2967099999999998E-6</v>
      </c>
      <c r="I6668">
        <v>133.46</v>
      </c>
      <c r="J6668">
        <v>-186.4213</v>
      </c>
      <c r="K6668">
        <v>1.1069709999999999</v>
      </c>
      <c r="L6668">
        <v>122.5566</v>
      </c>
      <c r="M6668">
        <v>0.23265930000000001</v>
      </c>
      <c r="N6668">
        <v>0</v>
      </c>
      <c r="O6668">
        <v>0.97246180000000004</v>
      </c>
      <c r="P6668">
        <v>0.58095160000000001</v>
      </c>
      <c r="Q6668">
        <v>0.15616070000000001</v>
      </c>
      <c r="R6668">
        <v>0.79881729999999995</v>
      </c>
      <c r="S6668">
        <v>2.5063170000000001</v>
      </c>
      <c r="T6668">
        <v>-0.19798740000000001</v>
      </c>
      <c r="U6668">
        <v>1.9813689999999999</v>
      </c>
      <c r="V6668">
        <v>0.38050050000000002</v>
      </c>
      <c r="W6668">
        <v>0.16553889999999999</v>
      </c>
      <c r="X6668">
        <v>0.90984410000000004</v>
      </c>
      <c r="Y6668">
        <v>0.61697040000000003</v>
      </c>
      <c r="Z6668">
        <v>-6.5133940000000001E-2</v>
      </c>
      <c r="AA6668">
        <v>0.78428629999999999</v>
      </c>
      <c r="AB6668">
        <v>18</v>
      </c>
      <c r="AC6668">
        <v>13.9659</v>
      </c>
      <c r="AD6668">
        <v>-1.1069732967100001</v>
      </c>
      <c r="AE6668">
        <v>10.9034</v>
      </c>
      <c r="AF6668">
        <v>11.002616115865999</v>
      </c>
      <c r="AG6668">
        <v>-1.1069732967100001</v>
      </c>
      <c r="AH6668">
        <v>13.7998705930097</v>
      </c>
      <c r="AI6668">
        <v>93.588941816940704</v>
      </c>
      <c r="AJ6668">
        <v>51.434697042648402</v>
      </c>
      <c r="AK6668">
        <v>17.6838734347585</v>
      </c>
      <c r="AL6668">
        <v>80.471458525394794</v>
      </c>
      <c r="AM6668">
        <v>67.305120202457601</v>
      </c>
      <c r="AN6668">
        <v>1.0000000221091301</v>
      </c>
    </row>
    <row r="6669" spans="1:40" x14ac:dyDescent="0.25">
      <c r="A6669" t="str">
        <f>"20190312172840149"</f>
        <v>20190312172840149</v>
      </c>
      <c r="B6669" t="str">
        <f>"1552382920136838"</f>
        <v>1552382920136838</v>
      </c>
      <c r="C6669" t="s">
        <v>40</v>
      </c>
      <c r="D6669">
        <v>3.6575859999999998</v>
      </c>
      <c r="E6669">
        <v>0.62227140000000003</v>
      </c>
      <c r="F6669" t="s">
        <v>50</v>
      </c>
      <c r="G6669">
        <v>-173.947</v>
      </c>
      <c r="H6669" s="1">
        <v>-2.683614E-6</v>
      </c>
      <c r="I6669">
        <v>132.5428</v>
      </c>
      <c r="J6669">
        <v>-186.37360000000001</v>
      </c>
      <c r="K6669">
        <v>1.1068720000000001</v>
      </c>
      <c r="L6669">
        <v>122.7242</v>
      </c>
      <c r="M6669">
        <v>0.2387106</v>
      </c>
      <c r="N6669">
        <v>0</v>
      </c>
      <c r="O6669">
        <v>0.97099389999999997</v>
      </c>
      <c r="P6669">
        <v>0.58804559999999995</v>
      </c>
      <c r="Q6669">
        <v>0.15624160000000001</v>
      </c>
      <c r="R6669">
        <v>0.79359369999999996</v>
      </c>
      <c r="S6669">
        <v>2.4863590000000002</v>
      </c>
      <c r="T6669">
        <v>-0.22064139999999999</v>
      </c>
      <c r="U6669">
        <v>1.990448</v>
      </c>
      <c r="V6669">
        <v>0.38298749999999998</v>
      </c>
      <c r="W6669">
        <v>0.16551399999999999</v>
      </c>
      <c r="X6669">
        <v>0.90880450000000002</v>
      </c>
      <c r="Y6669">
        <v>0.60681609999999997</v>
      </c>
      <c r="Z6669">
        <v>-7.2707110000000005E-2</v>
      </c>
      <c r="AA6669">
        <v>0.79150989999999999</v>
      </c>
      <c r="AB6669">
        <v>18</v>
      </c>
      <c r="AC6669">
        <v>12.426600000000001</v>
      </c>
      <c r="AD6669">
        <v>-1.10687468361399</v>
      </c>
      <c r="AE6669">
        <v>9.8186</v>
      </c>
      <c r="AF6669">
        <v>9.6760003765134304</v>
      </c>
      <c r="AG6669">
        <v>-1.10687468361399</v>
      </c>
      <c r="AH6669">
        <v>12.4405708938659</v>
      </c>
      <c r="AI6669">
        <v>94.017344545406601</v>
      </c>
      <c r="AJ6669">
        <v>52.125014075030002</v>
      </c>
      <c r="AK6669">
        <v>15.7993024851357</v>
      </c>
      <c r="AL6669">
        <v>80.472904589876293</v>
      </c>
      <c r="AM6669">
        <v>67.148516968108794</v>
      </c>
      <c r="AN6669">
        <v>0.99999996428624904</v>
      </c>
    </row>
    <row r="6670" spans="1:40" x14ac:dyDescent="0.25">
      <c r="A6670" t="str">
        <f>"20190312172840162"</f>
        <v>20190312172840162</v>
      </c>
      <c r="B6670" t="str">
        <f>"1552382920156358"</f>
        <v>1552382920156358</v>
      </c>
      <c r="C6670" t="s">
        <v>40</v>
      </c>
      <c r="D6670">
        <v>3.75203</v>
      </c>
      <c r="E6670">
        <v>0.63468729999999995</v>
      </c>
      <c r="F6670" t="s">
        <v>41</v>
      </c>
      <c r="G6670">
        <v>-169.05420000000001</v>
      </c>
      <c r="H6670" s="1">
        <v>-1.5174549999999999E-6</v>
      </c>
      <c r="I6670">
        <v>135.21889999999999</v>
      </c>
      <c r="J6670">
        <v>-186.34289999999999</v>
      </c>
      <c r="K6670">
        <v>1.1068150000000001</v>
      </c>
      <c r="L6670">
        <v>122.8297</v>
      </c>
      <c r="M6670">
        <v>0.2426229</v>
      </c>
      <c r="N6670">
        <v>0</v>
      </c>
      <c r="O6670">
        <v>0.97002359999999999</v>
      </c>
      <c r="P6670">
        <v>0.59247469999999902</v>
      </c>
      <c r="Q6670">
        <v>0.15646760000000001</v>
      </c>
      <c r="R6670">
        <v>0.79024779999999994</v>
      </c>
      <c r="S6670">
        <v>2.607361</v>
      </c>
      <c r="T6670">
        <v>-0.16663499999999901</v>
      </c>
      <c r="U6670">
        <v>1.8810119999999999</v>
      </c>
      <c r="V6670">
        <v>0.38444620000000002</v>
      </c>
      <c r="W6670">
        <v>0.1656743</v>
      </c>
      <c r="X6670">
        <v>0.90815919999999895</v>
      </c>
      <c r="Y6670">
        <v>0.64356459999999904</v>
      </c>
      <c r="Z6670">
        <v>-5.4799729999999998E-2</v>
      </c>
      <c r="AA6670">
        <v>0.76342749999999904</v>
      </c>
      <c r="AB6670">
        <v>18</v>
      </c>
      <c r="AC6670">
        <v>17.288699999999899</v>
      </c>
      <c r="AD6670">
        <v>-1.106816517455</v>
      </c>
      <c r="AE6670">
        <v>12.389199999999899</v>
      </c>
      <c r="AF6670">
        <v>13.728663582977999</v>
      </c>
      <c r="AG6670">
        <v>-1.106816517455</v>
      </c>
      <c r="AH6670">
        <v>16.1701902003642</v>
      </c>
      <c r="AI6670">
        <v>92.986908069115401</v>
      </c>
      <c r="AJ6670">
        <v>49.6683886230241</v>
      </c>
      <c r="AK6670">
        <v>21.240910943126998</v>
      </c>
      <c r="AL6670">
        <v>80.463591780220796</v>
      </c>
      <c r="AM6670">
        <v>67.055860492888002</v>
      </c>
      <c r="AN6670">
        <v>0.99999999345978396</v>
      </c>
    </row>
    <row r="6671" spans="1:40" x14ac:dyDescent="0.25">
      <c r="A6671" t="str">
        <f>"20190312172840174"</f>
        <v>20190312172840174</v>
      </c>
      <c r="B6671" t="str">
        <f>"1552382920167094"</f>
        <v>1552382920167094</v>
      </c>
      <c r="C6671" t="s">
        <v>40</v>
      </c>
      <c r="D6671">
        <v>3.718928</v>
      </c>
      <c r="E6671">
        <v>0.63613299999999995</v>
      </c>
      <c r="F6671" t="s">
        <v>50</v>
      </c>
      <c r="G6671">
        <v>-170.7182</v>
      </c>
      <c r="H6671" s="1">
        <v>-1.2383690000000001E-6</v>
      </c>
      <c r="I6671">
        <v>133.3065</v>
      </c>
      <c r="J6671">
        <v>-186.31389999999999</v>
      </c>
      <c r="K6671">
        <v>1.1067670000000001</v>
      </c>
      <c r="L6671">
        <v>122.9278</v>
      </c>
      <c r="M6671">
        <v>0.24631140000000001</v>
      </c>
      <c r="N6671">
        <v>0</v>
      </c>
      <c r="O6671">
        <v>0.96909339999999999</v>
      </c>
      <c r="P6671">
        <v>0.59672979999999998</v>
      </c>
      <c r="Q6671">
        <v>0.1565666</v>
      </c>
      <c r="R6671">
        <v>0.7870201</v>
      </c>
      <c r="S6671">
        <v>2.6996150000000001</v>
      </c>
      <c r="T6671">
        <v>-0.19123399999999999</v>
      </c>
      <c r="U6671">
        <v>1.810181</v>
      </c>
      <c r="V6671">
        <v>0.38592029999999999</v>
      </c>
      <c r="W6671">
        <v>0.16571429999999901</v>
      </c>
      <c r="X6671">
        <v>0.90752650000000001</v>
      </c>
      <c r="Y6671">
        <v>0.666157</v>
      </c>
      <c r="Z6671">
        <v>-6.2456970000000001E-2</v>
      </c>
      <c r="AA6671">
        <v>0.74319179999999996</v>
      </c>
      <c r="AB6671">
        <v>18</v>
      </c>
      <c r="AC6671">
        <v>15.5956999999999</v>
      </c>
      <c r="AD6671">
        <v>-1.1067682383690001</v>
      </c>
      <c r="AE6671">
        <v>10.378699999999901</v>
      </c>
      <c r="AF6671">
        <v>12.5148008242444</v>
      </c>
      <c r="AG6671">
        <v>-1.1067682383690001</v>
      </c>
      <c r="AH6671">
        <v>13.852289622827699</v>
      </c>
      <c r="AI6671">
        <v>93.392860760198502</v>
      </c>
      <c r="AJ6671">
        <v>47.903878878861498</v>
      </c>
      <c r="AK6671">
        <v>18.7010989890614</v>
      </c>
      <c r="AL6671">
        <v>80.461268154935894</v>
      </c>
      <c r="AM6671">
        <v>66.962662299805302</v>
      </c>
      <c r="AN6671">
        <v>1.0000000276894101</v>
      </c>
    </row>
    <row r="6672" spans="1:40" x14ac:dyDescent="0.25">
      <c r="A6672" t="str">
        <f>"20190312172840186"</f>
        <v>20190312172840186</v>
      </c>
      <c r="B6672" t="str">
        <f>"1552382920176855"</f>
        <v>1552382920176855</v>
      </c>
      <c r="C6672" t="s">
        <v>40</v>
      </c>
      <c r="D6672">
        <v>3.736863</v>
      </c>
      <c r="E6672">
        <v>0.63751930000000001</v>
      </c>
      <c r="F6672" t="s">
        <v>50</v>
      </c>
      <c r="G6672">
        <v>-171.00790000000001</v>
      </c>
      <c r="H6672" s="1">
        <v>-1.2681110000000001E-6</v>
      </c>
      <c r="I6672">
        <v>133.00069999999999</v>
      </c>
      <c r="J6672">
        <v>-186.28389999999999</v>
      </c>
      <c r="K6672">
        <v>1.106719</v>
      </c>
      <c r="L6672">
        <v>123.0279</v>
      </c>
      <c r="M6672">
        <v>0.25011159999999999</v>
      </c>
      <c r="N6672">
        <v>0</v>
      </c>
      <c r="O6672">
        <v>0.96811939999999996</v>
      </c>
      <c r="P6672">
        <v>0.60076300000000005</v>
      </c>
      <c r="Q6672">
        <v>0.1565356</v>
      </c>
      <c r="R6672">
        <v>0.78395179999999998</v>
      </c>
      <c r="S6672">
        <v>2.7190089999999998</v>
      </c>
      <c r="T6672">
        <v>-0.19661049999999999</v>
      </c>
      <c r="U6672">
        <v>1.7893829999999999</v>
      </c>
      <c r="V6672">
        <v>0.38703929999999998</v>
      </c>
      <c r="W6672">
        <v>0.16563249999999999</v>
      </c>
      <c r="X6672">
        <v>0.9070648</v>
      </c>
      <c r="Y6672">
        <v>0.66954749999999996</v>
      </c>
      <c r="Z6672">
        <v>-6.4184550000000007E-2</v>
      </c>
      <c r="AA6672">
        <v>0.73999090000000001</v>
      </c>
      <c r="AB6672">
        <v>18</v>
      </c>
      <c r="AC6672">
        <v>15.2759999999999</v>
      </c>
      <c r="AD6672">
        <v>-1.106720268111</v>
      </c>
      <c r="AE6672">
        <v>9.9727999999999906</v>
      </c>
      <c r="AF6672">
        <v>12.2507554340444</v>
      </c>
      <c r="AG6672">
        <v>-1.106720268111</v>
      </c>
      <c r="AH6672">
        <v>13.427423601068201</v>
      </c>
      <c r="AI6672">
        <v>93.484335332314103</v>
      </c>
      <c r="AJ6672">
        <v>47.623666996085902</v>
      </c>
      <c r="AK6672">
        <v>18.209929791713598</v>
      </c>
      <c r="AL6672">
        <v>80.466020821910604</v>
      </c>
      <c r="AM6672">
        <v>66.892337987787002</v>
      </c>
      <c r="AN6672">
        <v>1.0000000480998801</v>
      </c>
    </row>
    <row r="6673" spans="1:40" x14ac:dyDescent="0.25">
      <c r="A6673" t="str">
        <f>"20190312172840199"</f>
        <v>20190312172840199</v>
      </c>
      <c r="B6673" t="str">
        <f>"1552382920186614"</f>
        <v>1552382920186614</v>
      </c>
      <c r="C6673" t="s">
        <v>40</v>
      </c>
      <c r="D6673">
        <v>3.7283460000000002</v>
      </c>
      <c r="E6673">
        <v>0.63851899999999995</v>
      </c>
      <c r="F6673" t="s">
        <v>50</v>
      </c>
      <c r="G6673">
        <v>-171.2047</v>
      </c>
      <c r="H6673" s="1">
        <v>-1.280289E-6</v>
      </c>
      <c r="I6673">
        <v>132.7748</v>
      </c>
      <c r="J6673">
        <v>-186.2552</v>
      </c>
      <c r="K6673">
        <v>1.1066780000000001</v>
      </c>
      <c r="L6673">
        <v>123.12130000000001</v>
      </c>
      <c r="M6673">
        <v>0.2537412</v>
      </c>
      <c r="N6673">
        <v>0</v>
      </c>
      <c r="O6673">
        <v>0.96717430000000004</v>
      </c>
      <c r="P6673">
        <v>0.6046956</v>
      </c>
      <c r="Q6673">
        <v>0.1565898</v>
      </c>
      <c r="R6673">
        <v>0.78091160000000004</v>
      </c>
      <c r="S6673">
        <v>2.737244</v>
      </c>
      <c r="T6673">
        <v>-0.2008973</v>
      </c>
      <c r="U6673">
        <v>1.7693019999999999</v>
      </c>
      <c r="V6673">
        <v>0.38821749999999999</v>
      </c>
      <c r="W6673">
        <v>0.16564100000000001</v>
      </c>
      <c r="X6673">
        <v>0.90655949999999996</v>
      </c>
      <c r="Y6673">
        <v>0.67276930000000001</v>
      </c>
      <c r="Z6673">
        <v>-6.5560179999999996E-2</v>
      </c>
      <c r="AA6673">
        <v>0.73694190000000004</v>
      </c>
      <c r="AB6673">
        <v>18</v>
      </c>
      <c r="AC6673">
        <v>15.0505</v>
      </c>
      <c r="AD6673">
        <v>-1.106679280289</v>
      </c>
      <c r="AE6673">
        <v>9.6534999999999904</v>
      </c>
      <c r="AF6673">
        <v>12.0619052110659</v>
      </c>
      <c r="AG6673">
        <v>-1.106679280289</v>
      </c>
      <c r="AH6673">
        <v>13.1065853980718</v>
      </c>
      <c r="AI6673">
        <v>93.555253337310006</v>
      </c>
      <c r="AJ6673">
        <v>47.376838067822398</v>
      </c>
      <c r="AK6673">
        <v>17.8464808056689</v>
      </c>
      <c r="AL6673">
        <v>80.465526019350406</v>
      </c>
      <c r="AM6673">
        <v>66.817856934905507</v>
      </c>
      <c r="AN6673">
        <v>0.999999947613748</v>
      </c>
    </row>
    <row r="6674" spans="1:40" x14ac:dyDescent="0.25">
      <c r="A6674" t="str">
        <f>"20190312172840212"</f>
        <v>20190312172840212</v>
      </c>
      <c r="B6674" t="str">
        <f>"1552382920207110"</f>
        <v>1552382920207110</v>
      </c>
      <c r="C6674" t="s">
        <v>40</v>
      </c>
      <c r="D6674">
        <v>3.714626</v>
      </c>
      <c r="E6674">
        <v>0.63965450000000001</v>
      </c>
      <c r="F6674" t="s">
        <v>50</v>
      </c>
      <c r="G6674">
        <v>-171.33959999999999</v>
      </c>
      <c r="H6674" s="1">
        <v>-1.2845730000000001E-6</v>
      </c>
      <c r="I6674">
        <v>132.61080000000001</v>
      </c>
      <c r="J6674">
        <v>-186.22229999999999</v>
      </c>
      <c r="K6674">
        <v>1.1066320000000001</v>
      </c>
      <c r="L6674">
        <v>123.22750000000001</v>
      </c>
      <c r="M6674">
        <v>0.25791510000000001</v>
      </c>
      <c r="N6674">
        <v>0</v>
      </c>
      <c r="O6674">
        <v>0.96606950000000003</v>
      </c>
      <c r="P6674">
        <v>0.60891079999999997</v>
      </c>
      <c r="Q6674">
        <v>0.1562221</v>
      </c>
      <c r="R6674">
        <v>0.77770329999999999</v>
      </c>
      <c r="S6674">
        <v>2.7525330000000001</v>
      </c>
      <c r="T6674">
        <v>-0.20422709999999999</v>
      </c>
      <c r="U6674">
        <v>1.7512049999999999</v>
      </c>
      <c r="V6674">
        <v>0.38920470000000001</v>
      </c>
      <c r="W6674">
        <v>0.16522709999999999</v>
      </c>
      <c r="X6674">
        <v>0.90621169999999995</v>
      </c>
      <c r="Y6674">
        <v>0.67482609999999998</v>
      </c>
      <c r="Z6674">
        <v>-6.6638080000000002E-2</v>
      </c>
      <c r="AA6674">
        <v>0.734962</v>
      </c>
      <c r="AB6674">
        <v>18</v>
      </c>
      <c r="AC6674">
        <v>14.8827</v>
      </c>
      <c r="AD6674">
        <v>-1.106633284573</v>
      </c>
      <c r="AE6674">
        <v>9.3833000000000002</v>
      </c>
      <c r="AF6674">
        <v>11.9116350734266</v>
      </c>
      <c r="AG6674">
        <v>-1.106633284573</v>
      </c>
      <c r="AH6674">
        <v>12.8537625776799</v>
      </c>
      <c r="AI6674">
        <v>93.613314350243897</v>
      </c>
      <c r="AJ6674">
        <v>47.178600690146503</v>
      </c>
      <c r="AK6674">
        <v>17.559353625699799</v>
      </c>
      <c r="AL6674">
        <v>80.489572284772905</v>
      </c>
      <c r="AM6674">
        <v>66.757182997369995</v>
      </c>
      <c r="AN6674">
        <v>0.99999996914669398</v>
      </c>
    </row>
    <row r="6675" spans="1:40" x14ac:dyDescent="0.25">
      <c r="A6675" t="str">
        <f>"20190312172840228"</f>
        <v>20190312172840228</v>
      </c>
      <c r="B6675" t="str">
        <f>"1552382920216870"</f>
        <v>1552382920216870</v>
      </c>
      <c r="C6675" t="s">
        <v>40</v>
      </c>
      <c r="D6675">
        <v>3.6963720000000002</v>
      </c>
      <c r="E6675">
        <v>0.63970209999999905</v>
      </c>
      <c r="F6675" t="s">
        <v>50</v>
      </c>
      <c r="G6675">
        <v>-171.55359999999999</v>
      </c>
      <c r="H6675" s="1">
        <v>-1.31218E-6</v>
      </c>
      <c r="I6675">
        <v>132.39760000000001</v>
      </c>
      <c r="J6675">
        <v>-186.1848</v>
      </c>
      <c r="K6675">
        <v>1.1065849999999999</v>
      </c>
      <c r="L6675">
        <v>123.3463</v>
      </c>
      <c r="M6675">
        <v>0.26265939999999999</v>
      </c>
      <c r="N6675">
        <v>0</v>
      </c>
      <c r="O6675">
        <v>0.96479020000000004</v>
      </c>
      <c r="P6675">
        <v>0.61447390000000002</v>
      </c>
      <c r="Q6675">
        <v>0.155687299999999</v>
      </c>
      <c r="R6675">
        <v>0.77342310000000003</v>
      </c>
      <c r="S6675">
        <v>2.7693020000000002</v>
      </c>
      <c r="T6675">
        <v>-0.2089221</v>
      </c>
      <c r="U6675">
        <v>1.7312320000000001</v>
      </c>
      <c r="V6675">
        <v>0.39124340000000002</v>
      </c>
      <c r="W6675">
        <v>0.164627</v>
      </c>
      <c r="X6675">
        <v>0.90544279999999999</v>
      </c>
      <c r="Y6675">
        <v>0.67693499999999995</v>
      </c>
      <c r="Z6675">
        <v>-6.8155399999999894E-2</v>
      </c>
      <c r="AA6675">
        <v>0.73288050000000005</v>
      </c>
      <c r="AB6675">
        <v>18</v>
      </c>
      <c r="AC6675">
        <v>14.6312</v>
      </c>
      <c r="AD6675">
        <v>-1.1065863121799999</v>
      </c>
      <c r="AE6675">
        <v>9.0513000000000101</v>
      </c>
      <c r="AF6675">
        <v>11.6913773373329</v>
      </c>
      <c r="AG6675">
        <v>-1.1065863121799999</v>
      </c>
      <c r="AH6675">
        <v>12.525006535172899</v>
      </c>
      <c r="AI6675">
        <v>93.6953339828422</v>
      </c>
      <c r="AJ6675">
        <v>46.971581778124403</v>
      </c>
      <c r="AK6675">
        <v>17.1694096001094</v>
      </c>
      <c r="AL6675">
        <v>80.524433699656797</v>
      </c>
      <c r="AM6675">
        <v>66.630743719491804</v>
      </c>
      <c r="AN6675">
        <v>1.00000005562219</v>
      </c>
    </row>
    <row r="6676" spans="1:40" x14ac:dyDescent="0.25">
      <c r="A6676" t="str">
        <f>"20190312172840250"</f>
        <v>20190312172840250</v>
      </c>
      <c r="B6676" t="str">
        <f>"1552382920246150"</f>
        <v>1552382920246150</v>
      </c>
      <c r="C6676" t="s">
        <v>40</v>
      </c>
      <c r="D6676">
        <v>3.6652979999999999</v>
      </c>
      <c r="E6676">
        <v>0.63990440000000004</v>
      </c>
      <c r="F6676" t="s">
        <v>50</v>
      </c>
      <c r="G6676">
        <v>-171.6473</v>
      </c>
      <c r="H6676" s="1">
        <v>-1.317366E-6</v>
      </c>
      <c r="I6676">
        <v>132.28870000000001</v>
      </c>
      <c r="J6676">
        <v>-186.1301</v>
      </c>
      <c r="K6676">
        <v>1.1065130000000001</v>
      </c>
      <c r="L6676">
        <v>123.5149</v>
      </c>
      <c r="M6676">
        <v>0.269567</v>
      </c>
      <c r="N6676">
        <v>0</v>
      </c>
      <c r="O6676">
        <v>0.96288280000000004</v>
      </c>
      <c r="P6676">
        <v>0.62089850000000002</v>
      </c>
      <c r="Q6676">
        <v>0.15558939999999999</v>
      </c>
      <c r="R6676">
        <v>0.76829480000000006</v>
      </c>
      <c r="S6676">
        <v>2.781952</v>
      </c>
      <c r="T6676">
        <v>-0.21176059999999999</v>
      </c>
      <c r="U6676">
        <v>1.7112579999999999</v>
      </c>
      <c r="V6676">
        <v>0.39232549999999999</v>
      </c>
      <c r="W6676">
        <v>0.16446240000000001</v>
      </c>
      <c r="X6676">
        <v>0.90500429999999998</v>
      </c>
      <c r="Y6676">
        <v>0.67691899999999905</v>
      </c>
      <c r="Z6676">
        <v>-6.9124699999999997E-2</v>
      </c>
      <c r="AA6676">
        <v>0.73280440000000002</v>
      </c>
      <c r="AB6676">
        <v>18</v>
      </c>
      <c r="AC6676">
        <v>14.4827999999999</v>
      </c>
      <c r="AD6676">
        <v>-1.1065143173659999</v>
      </c>
      <c r="AE6676">
        <v>8.7737999999999996</v>
      </c>
      <c r="AF6676">
        <v>11.531971525042399</v>
      </c>
      <c r="AG6676">
        <v>-1.1065143173659999</v>
      </c>
      <c r="AH6676">
        <v>12.300875699492099</v>
      </c>
      <c r="AI6676">
        <v>93.754659379936598</v>
      </c>
      <c r="AJ6676">
        <v>46.847856789577698</v>
      </c>
      <c r="AK6676">
        <v>16.897404657617699</v>
      </c>
      <c r="AL6676">
        <v>80.533994194304697</v>
      </c>
      <c r="AM6676">
        <v>66.562941035056497</v>
      </c>
      <c r="AN6676">
        <v>0.99999998099124898</v>
      </c>
    </row>
    <row r="6677" spans="1:40" x14ac:dyDescent="0.25">
      <c r="A6677" t="str">
        <f>"20190312172840273"</f>
        <v>20190312172840273</v>
      </c>
      <c r="B6677" t="str">
        <f>"1552382920266645"</f>
        <v>1552382920266645</v>
      </c>
      <c r="C6677" t="s">
        <v>40</v>
      </c>
      <c r="D6677">
        <v>3.6958839999999999</v>
      </c>
      <c r="E6677">
        <v>0.63995179999999996</v>
      </c>
      <c r="F6677" t="s">
        <v>50</v>
      </c>
      <c r="G6677">
        <v>-171.55160000000001</v>
      </c>
      <c r="H6677" s="1">
        <v>-1.269466E-6</v>
      </c>
      <c r="I6677">
        <v>132.3038</v>
      </c>
      <c r="J6677">
        <v>-186.0693</v>
      </c>
      <c r="K6677">
        <v>1.106444</v>
      </c>
      <c r="L6677">
        <v>123.69710000000001</v>
      </c>
      <c r="M6677">
        <v>0.2772078</v>
      </c>
      <c r="N6677">
        <v>0</v>
      </c>
      <c r="O6677">
        <v>0.96071059999999997</v>
      </c>
      <c r="P6677">
        <v>0.627973</v>
      </c>
      <c r="Q6677">
        <v>0.15535370000000001</v>
      </c>
      <c r="R6677">
        <v>0.76257149999999996</v>
      </c>
      <c r="S6677">
        <v>2.797806</v>
      </c>
      <c r="T6677">
        <v>-0.21235370000000001</v>
      </c>
      <c r="U6677">
        <v>1.686707</v>
      </c>
      <c r="V6677">
        <v>0.39351629999999999</v>
      </c>
      <c r="W6677">
        <v>0.1641599</v>
      </c>
      <c r="X6677">
        <v>0.90454210000000002</v>
      </c>
      <c r="Y6677">
        <v>0.67762369999999905</v>
      </c>
      <c r="Z6677">
        <v>-6.9364439999999999E-2</v>
      </c>
      <c r="AA6677">
        <v>0.73213019999999995</v>
      </c>
      <c r="AB6677">
        <v>18</v>
      </c>
      <c r="AC6677">
        <v>14.5176999999999</v>
      </c>
      <c r="AD6677">
        <v>-1.1064452694660001</v>
      </c>
      <c r="AE6677">
        <v>8.6066999999999894</v>
      </c>
      <c r="AF6677">
        <v>11.513085483493599</v>
      </c>
      <c r="AG6677">
        <v>-1.1064452694660001</v>
      </c>
      <c r="AH6677">
        <v>12.241528233151399</v>
      </c>
      <c r="AI6677">
        <v>93.766943602167601</v>
      </c>
      <c r="AJ6677">
        <v>46.756442791172098</v>
      </c>
      <c r="AK6677">
        <v>16.841329281490701</v>
      </c>
      <c r="AL6677">
        <v>80.551564979473596</v>
      </c>
      <c r="AM6677">
        <v>66.488803357844901</v>
      </c>
      <c r="AN6677">
        <v>0.99999998090305398</v>
      </c>
    </row>
    <row r="6678" spans="1:40" x14ac:dyDescent="0.25">
      <c r="A6678" t="str">
        <f>"20190312172840294"</f>
        <v>20190312172840294</v>
      </c>
      <c r="B6678" t="str">
        <f>"1552382920286165"</f>
        <v>1552382920286165</v>
      </c>
      <c r="C6678" t="s">
        <v>40</v>
      </c>
      <c r="D6678">
        <v>3.629175</v>
      </c>
      <c r="E6678">
        <v>0.63976569999999899</v>
      </c>
      <c r="F6678" t="s">
        <v>50</v>
      </c>
      <c r="G6678">
        <v>-171.303</v>
      </c>
      <c r="H6678" s="1">
        <v>-1.1735099999999999E-6</v>
      </c>
      <c r="I6678">
        <v>132.40710000000001</v>
      </c>
      <c r="J6678">
        <v>-186.01390000000001</v>
      </c>
      <c r="K6678">
        <v>1.1063889999999901</v>
      </c>
      <c r="L6678">
        <v>123.8584</v>
      </c>
      <c r="M6678">
        <v>0.28409839999999997</v>
      </c>
      <c r="N6678">
        <v>0</v>
      </c>
      <c r="O6678">
        <v>0.95869519999999997</v>
      </c>
      <c r="P6678">
        <v>0.63407209999999903</v>
      </c>
      <c r="Q6678">
        <v>0.15489439999999999</v>
      </c>
      <c r="R6678">
        <v>0.75760159999999999</v>
      </c>
      <c r="S6678">
        <v>2.8138890000000001</v>
      </c>
      <c r="T6678">
        <v>-0.2108467</v>
      </c>
      <c r="U6678">
        <v>1.6597900000000001</v>
      </c>
      <c r="V6678">
        <v>0.39427450000000003</v>
      </c>
      <c r="W6678">
        <v>0.16364999999999999</v>
      </c>
      <c r="X6678">
        <v>0.90430429999999995</v>
      </c>
      <c r="Y6678">
        <v>0.67940579999999995</v>
      </c>
      <c r="Z6678">
        <v>-6.8943309999999994E-2</v>
      </c>
      <c r="AA6678">
        <v>0.73051669999999902</v>
      </c>
      <c r="AB6678">
        <v>18</v>
      </c>
      <c r="AC6678">
        <v>14.710900000000001</v>
      </c>
      <c r="AD6678">
        <v>-1.1063901735099999</v>
      </c>
      <c r="AE6678">
        <v>8.5487000000000002</v>
      </c>
      <c r="AF6678">
        <v>11.6265535207443</v>
      </c>
      <c r="AG6678">
        <v>-1.1063901735099999</v>
      </c>
      <c r="AH6678">
        <v>12.3240150258941</v>
      </c>
      <c r="AI6678">
        <v>93.736197821882499</v>
      </c>
      <c r="AJ6678">
        <v>46.668031810363601</v>
      </c>
      <c r="AK6678">
        <v>16.978874884551001</v>
      </c>
      <c r="AL6678">
        <v>80.581180659182493</v>
      </c>
      <c r="AM6678">
        <v>66.442914096106094</v>
      </c>
      <c r="AN6678">
        <v>0.99999998542436996</v>
      </c>
    </row>
    <row r="6679" spans="1:40" x14ac:dyDescent="0.25">
      <c r="A6679" t="str">
        <f>"20190312172840306"</f>
        <v>20190312172840306</v>
      </c>
      <c r="B6679" t="str">
        <f>"1552382920296902"</f>
        <v>1552382920296902</v>
      </c>
      <c r="C6679" t="s">
        <v>40</v>
      </c>
      <c r="D6679">
        <v>3.6151659999999999</v>
      </c>
      <c r="E6679">
        <v>0.63974679999999995</v>
      </c>
      <c r="F6679" t="s">
        <v>50</v>
      </c>
      <c r="G6679">
        <v>-171.1825</v>
      </c>
      <c r="H6679" s="1">
        <v>-1.124524E-6</v>
      </c>
      <c r="I6679">
        <v>132.45160000000001</v>
      </c>
      <c r="J6679">
        <v>-185.9787</v>
      </c>
      <c r="K6679">
        <v>1.1063540000000001</v>
      </c>
      <c r="L6679">
        <v>123.9592</v>
      </c>
      <c r="M6679">
        <v>0.288462099999999</v>
      </c>
      <c r="N6679">
        <v>0</v>
      </c>
      <c r="O6679">
        <v>0.95739110000000005</v>
      </c>
      <c r="P6679">
        <v>0.63766089999999997</v>
      </c>
      <c r="Q6679">
        <v>0.15482779999999999</v>
      </c>
      <c r="R6679">
        <v>0.75459719999999997</v>
      </c>
      <c r="S6679">
        <v>2.826279</v>
      </c>
      <c r="T6679">
        <v>-0.21083370000000001</v>
      </c>
      <c r="U6679">
        <v>1.637527</v>
      </c>
      <c r="V6679">
        <v>0.39445770000000002</v>
      </c>
      <c r="W6679">
        <v>0.16355690000000001</v>
      </c>
      <c r="X6679">
        <v>0.90424130000000003</v>
      </c>
      <c r="Y6679">
        <v>0.68176020000000004</v>
      </c>
      <c r="Z6679">
        <v>-6.9011639999999999E-2</v>
      </c>
      <c r="AA6679">
        <v>0.7283134</v>
      </c>
      <c r="AB6679">
        <v>18</v>
      </c>
      <c r="AC6679">
        <v>14.796200000000001</v>
      </c>
      <c r="AD6679">
        <v>-1.106355124524</v>
      </c>
      <c r="AE6679">
        <v>8.4924000000000106</v>
      </c>
      <c r="AF6679">
        <v>11.6680681921485</v>
      </c>
      <c r="AG6679">
        <v>-1.106355124524</v>
      </c>
      <c r="AH6679">
        <v>12.3479508619582</v>
      </c>
      <c r="AI6679">
        <v>93.726013124751404</v>
      </c>
      <c r="AJ6679">
        <v>46.621584578190699</v>
      </c>
      <c r="AK6679">
        <v>17.024679952572502</v>
      </c>
      <c r="AL6679">
        <v>80.586588198864902</v>
      </c>
      <c r="AM6679">
        <v>66.431698606143996</v>
      </c>
      <c r="AN6679">
        <v>1.0000000326262899</v>
      </c>
    </row>
    <row r="6680" spans="1:40" x14ac:dyDescent="0.25">
      <c r="A6680" t="str">
        <f>"20190312172840322"</f>
        <v>20190312172840322</v>
      </c>
      <c r="B6680" t="str">
        <f>"1552382920316422"</f>
        <v>1552382920316422</v>
      </c>
      <c r="C6680" t="s">
        <v>40</v>
      </c>
      <c r="D6680">
        <v>3.693908</v>
      </c>
      <c r="E6680">
        <v>0.63947399999999999</v>
      </c>
      <c r="F6680" t="s">
        <v>50</v>
      </c>
      <c r="G6680">
        <v>-171.09209999999999</v>
      </c>
      <c r="H6680" s="1">
        <v>-1.089282E-6</v>
      </c>
      <c r="I6680">
        <v>132.48840000000001</v>
      </c>
      <c r="J6680">
        <v>-185.93950000000001</v>
      </c>
      <c r="K6680">
        <v>1.1063160000000001</v>
      </c>
      <c r="L6680">
        <v>124.069</v>
      </c>
      <c r="M6680">
        <v>0.29330679999999998</v>
      </c>
      <c r="N6680">
        <v>0</v>
      </c>
      <c r="O6680">
        <v>0.95591780000000004</v>
      </c>
      <c r="P6680">
        <v>0.64163289999999995</v>
      </c>
      <c r="Q6680">
        <v>0.154533</v>
      </c>
      <c r="R6680">
        <v>0.75128349999999999</v>
      </c>
      <c r="S6680">
        <v>2.8342290000000001</v>
      </c>
      <c r="T6680">
        <v>-0.2106364</v>
      </c>
      <c r="U6680">
        <v>1.623856</v>
      </c>
      <c r="V6680">
        <v>0.39464450000000001</v>
      </c>
      <c r="W6680">
        <v>0.16323180000000001</v>
      </c>
      <c r="X6680">
        <v>0.90421850000000004</v>
      </c>
      <c r="Y6680">
        <v>0.68159199999999998</v>
      </c>
      <c r="Z6680">
        <v>-6.8971920000000006E-2</v>
      </c>
      <c r="AA6680">
        <v>0.72847459999999997</v>
      </c>
      <c r="AB6680">
        <v>18</v>
      </c>
      <c r="AC6680">
        <v>14.8474</v>
      </c>
      <c r="AD6680">
        <v>-1.106317089282</v>
      </c>
      <c r="AE6680">
        <v>8.4194000000000102</v>
      </c>
      <c r="AF6680">
        <v>11.6755029957825</v>
      </c>
      <c r="AG6680">
        <v>-1.106317089282</v>
      </c>
      <c r="AH6680">
        <v>12.352395634535</v>
      </c>
      <c r="AI6680">
        <v>93.724062974934995</v>
      </c>
      <c r="AJ6680">
        <v>46.613659075760097</v>
      </c>
      <c r="AK6680">
        <v>17.032996965262601</v>
      </c>
      <c r="AL6680">
        <v>80.605468475250703</v>
      </c>
      <c r="AM6680">
        <v>66.421225746911901</v>
      </c>
      <c r="AN6680">
        <v>0.99999999882686996</v>
      </c>
    </row>
    <row r="6681" spans="1:40" x14ac:dyDescent="0.25">
      <c r="A6681" t="str">
        <f>"20190312172840339"</f>
        <v>20190312172840339</v>
      </c>
      <c r="B6681" t="str">
        <f>"1552382920336918"</f>
        <v>1552382920336918</v>
      </c>
      <c r="C6681" t="s">
        <v>40</v>
      </c>
      <c r="D6681">
        <v>3.5968969999999998</v>
      </c>
      <c r="E6681">
        <v>0.63936359999999903</v>
      </c>
      <c r="F6681" t="s">
        <v>50</v>
      </c>
      <c r="G6681">
        <v>-171.02809999999999</v>
      </c>
      <c r="H6681" s="1">
        <v>-1.0667140000000001E-6</v>
      </c>
      <c r="I6681">
        <v>132.51990000000001</v>
      </c>
      <c r="J6681">
        <v>-185.8914</v>
      </c>
      <c r="K6681">
        <v>1.10626</v>
      </c>
      <c r="L6681">
        <v>124.2011</v>
      </c>
      <c r="M6681">
        <v>0.29923070000000002</v>
      </c>
      <c r="N6681">
        <v>0</v>
      </c>
      <c r="O6681">
        <v>0.95407989999999998</v>
      </c>
      <c r="P6681">
        <v>0.64660660000000003</v>
      </c>
      <c r="Q6681">
        <v>0.1547433</v>
      </c>
      <c r="R6681">
        <v>0.74696340000000006</v>
      </c>
      <c r="S6681">
        <v>2.8410340000000001</v>
      </c>
      <c r="T6681">
        <v>-0.21078369999999999</v>
      </c>
      <c r="U6681">
        <v>1.6101379999999901</v>
      </c>
      <c r="V6681">
        <v>0.39507759999999997</v>
      </c>
      <c r="W6681">
        <v>0.1633946</v>
      </c>
      <c r="X6681">
        <v>0.90399989999999997</v>
      </c>
      <c r="Y6681">
        <v>0.68046680000000004</v>
      </c>
      <c r="Z6681">
        <v>-6.9053779999999995E-2</v>
      </c>
      <c r="AA6681">
        <v>0.72951809999999995</v>
      </c>
      <c r="AB6681">
        <v>18</v>
      </c>
      <c r="AC6681">
        <v>14.863300000000001</v>
      </c>
      <c r="AD6681">
        <v>-1.106261066714</v>
      </c>
      <c r="AE6681">
        <v>8.3188000000000102</v>
      </c>
      <c r="AF6681">
        <v>11.643545133694699</v>
      </c>
      <c r="AG6681">
        <v>-1.106261066714</v>
      </c>
      <c r="AH6681">
        <v>12.3335214168881</v>
      </c>
      <c r="AI6681">
        <v>93.731683269141698</v>
      </c>
      <c r="AJ6681">
        <v>46.648317659712397</v>
      </c>
      <c r="AK6681">
        <v>16.997402959539201</v>
      </c>
      <c r="AL6681">
        <v>80.596013439318298</v>
      </c>
      <c r="AM6681">
        <v>66.393094583369304</v>
      </c>
      <c r="AN6681">
        <v>0.99999996226546395</v>
      </c>
    </row>
    <row r="6682" spans="1:40" x14ac:dyDescent="0.25">
      <c r="A6682" t="str">
        <f>"20190312172840361"</f>
        <v>20190312172840361</v>
      </c>
      <c r="B6682" t="str">
        <f>"1552382920356438"</f>
        <v>1552382920356438</v>
      </c>
      <c r="C6682" t="s">
        <v>40</v>
      </c>
      <c r="D6682">
        <v>3.5494789999999998</v>
      </c>
      <c r="E6682">
        <v>0.63930819999999999</v>
      </c>
      <c r="F6682" t="s">
        <v>50</v>
      </c>
      <c r="G6682">
        <v>-170.65440000000001</v>
      </c>
      <c r="H6682" s="1">
        <v>-9.3384690000000005E-7</v>
      </c>
      <c r="I6682">
        <v>132.70099999999999</v>
      </c>
      <c r="J6682">
        <v>-185.828</v>
      </c>
      <c r="K6682">
        <v>1.1061799999999999</v>
      </c>
      <c r="L6682">
        <v>124.3711</v>
      </c>
      <c r="M6682">
        <v>0.30702030000000002</v>
      </c>
      <c r="N6682">
        <v>0</v>
      </c>
      <c r="O6682">
        <v>0.95160140000000004</v>
      </c>
      <c r="P6682">
        <v>0.65283230000000003</v>
      </c>
      <c r="Q6682">
        <v>0.15521689999999999</v>
      </c>
      <c r="R6682">
        <v>0.74142959999999902</v>
      </c>
      <c r="S6682">
        <v>2.8515630000000001</v>
      </c>
      <c r="T6682">
        <v>-0.20703340000000001</v>
      </c>
      <c r="U6682">
        <v>1.5907290000000001</v>
      </c>
      <c r="V6682">
        <v>0.39531870000000002</v>
      </c>
      <c r="W6682">
        <v>0.16380239999999999</v>
      </c>
      <c r="X6682">
        <v>0.90382070000000003</v>
      </c>
      <c r="Y6682">
        <v>0.67949329999999997</v>
      </c>
      <c r="Z6682">
        <v>-6.7858879999999996E-2</v>
      </c>
      <c r="AA6682">
        <v>0.73053679999999999</v>
      </c>
      <c r="AB6682">
        <v>18</v>
      </c>
      <c r="AC6682">
        <v>15.173599999999899</v>
      </c>
      <c r="AD6682">
        <v>-1.1061809338469</v>
      </c>
      <c r="AE6682">
        <v>8.3298999999999896</v>
      </c>
      <c r="AF6682">
        <v>11.8345880860953</v>
      </c>
      <c r="AG6682">
        <v>-1.1061809338469</v>
      </c>
      <c r="AH6682">
        <v>12.535371300695401</v>
      </c>
      <c r="AI6682">
        <v>93.671423855967504</v>
      </c>
      <c r="AJ6682">
        <v>46.647145080193702</v>
      </c>
      <c r="AK6682">
        <v>17.274740086966698</v>
      </c>
      <c r="AL6682">
        <v>80.572329282519803</v>
      </c>
      <c r="AM6682">
        <v>66.376095318000395</v>
      </c>
      <c r="AN6682">
        <v>0.99999997928196904</v>
      </c>
    </row>
    <row r="6683" spans="1:40" x14ac:dyDescent="0.25">
      <c r="A6683" t="str">
        <f>"20190312172840375"</f>
        <v>20190312172840375</v>
      </c>
      <c r="B6683" t="str">
        <f>"1552382920366197"</f>
        <v>1552382920366197</v>
      </c>
      <c r="C6683" t="s">
        <v>40</v>
      </c>
      <c r="D6683">
        <v>3.5463710000000002</v>
      </c>
      <c r="E6683">
        <v>0.639316199999999</v>
      </c>
      <c r="F6683" t="s">
        <v>50</v>
      </c>
      <c r="G6683">
        <v>-170.1412</v>
      </c>
      <c r="H6683" s="1">
        <v>-7.4979169999999997E-7</v>
      </c>
      <c r="I6683">
        <v>132.946</v>
      </c>
      <c r="J6683">
        <v>-185.7869</v>
      </c>
      <c r="K6683">
        <v>1.1061289999999999</v>
      </c>
      <c r="L6683">
        <v>124.4786</v>
      </c>
      <c r="M6683">
        <v>0.31204850000000001</v>
      </c>
      <c r="N6683">
        <v>0</v>
      </c>
      <c r="O6683">
        <v>0.94996429999999998</v>
      </c>
      <c r="P6683">
        <v>0.65692759999999994</v>
      </c>
      <c r="Q6683">
        <v>0.15562870000000001</v>
      </c>
      <c r="R6683">
        <v>0.73771659999999994</v>
      </c>
      <c r="S6683">
        <v>2.8648530000000001</v>
      </c>
      <c r="T6683">
        <v>-0.2020197</v>
      </c>
      <c r="U6683">
        <v>1.566025</v>
      </c>
      <c r="V6683">
        <v>0.39559860000000002</v>
      </c>
      <c r="W6683">
        <v>0.16416739999999999</v>
      </c>
      <c r="X6683">
        <v>0.90363199999999999</v>
      </c>
      <c r="Y6683">
        <v>0.68198859999999994</v>
      </c>
      <c r="Z6683">
        <v>-6.6286239999999996E-2</v>
      </c>
      <c r="AA6683">
        <v>0.72835280000000002</v>
      </c>
      <c r="AB6683">
        <v>18</v>
      </c>
      <c r="AC6683">
        <v>15.6457</v>
      </c>
      <c r="AD6683">
        <v>-1.1061297497917</v>
      </c>
      <c r="AE6683">
        <v>8.4673999999999907</v>
      </c>
      <c r="AF6683">
        <v>12.1747326369634</v>
      </c>
      <c r="AG6683">
        <v>-1.1061297497917</v>
      </c>
      <c r="AH6683">
        <v>12.8774123163111</v>
      </c>
      <c r="AI6683">
        <v>93.571617771992806</v>
      </c>
      <c r="AJ6683">
        <v>46.606649928855497</v>
      </c>
      <c r="AK6683">
        <v>17.7559957695759</v>
      </c>
      <c r="AL6683">
        <v>80.551129432825405</v>
      </c>
      <c r="AM6683">
        <v>66.356807933098807</v>
      </c>
      <c r="AN6683">
        <v>0.99999998948435997</v>
      </c>
    </row>
    <row r="6684" spans="1:40" x14ac:dyDescent="0.25">
      <c r="A6684" t="str">
        <f>"20190312172840394"</f>
        <v>20190312172840394</v>
      </c>
      <c r="B6684" t="str">
        <f>"1552382920386710"</f>
        <v>1552382920386710</v>
      </c>
      <c r="C6684" t="s">
        <v>40</v>
      </c>
      <c r="D6684">
        <v>3.5277430000000001</v>
      </c>
      <c r="E6684">
        <v>0.63908769999999904</v>
      </c>
      <c r="F6684" t="s">
        <v>41</v>
      </c>
      <c r="G6684">
        <v>-169.85480000000001</v>
      </c>
      <c r="H6684" s="1">
        <v>-1.781653E-6</v>
      </c>
      <c r="I6684">
        <v>133.07050000000001</v>
      </c>
      <c r="J6684">
        <v>-185.7313</v>
      </c>
      <c r="K6684">
        <v>1.1060559999999999</v>
      </c>
      <c r="L6684">
        <v>124.6211</v>
      </c>
      <c r="M6684">
        <v>0.31882270000000001</v>
      </c>
      <c r="N6684">
        <v>0</v>
      </c>
      <c r="O6684">
        <v>0.94771190000000005</v>
      </c>
      <c r="P6684">
        <v>0.66284969999999999</v>
      </c>
      <c r="Q6684">
        <v>0.1562789</v>
      </c>
      <c r="R6684">
        <v>0.73226169999999902</v>
      </c>
      <c r="S6684">
        <v>2.8736570000000001</v>
      </c>
      <c r="T6684">
        <v>-0.19951140000000001</v>
      </c>
      <c r="U6684">
        <v>1.5497129999999999</v>
      </c>
      <c r="V6684">
        <v>0.39651130000000001</v>
      </c>
      <c r="W6684">
        <v>0.16474549999999999</v>
      </c>
      <c r="X6684">
        <v>0.9031266</v>
      </c>
      <c r="Y6684">
        <v>0.68095909999999904</v>
      </c>
      <c r="Z6684">
        <v>-6.5476859999999998E-2</v>
      </c>
      <c r="AA6684">
        <v>0.72938840000000005</v>
      </c>
      <c r="AB6684">
        <v>18</v>
      </c>
      <c r="AC6684">
        <v>15.876499999999901</v>
      </c>
      <c r="AD6684">
        <v>-1.1060577816529999</v>
      </c>
      <c r="AE6684">
        <v>8.4494000000000096</v>
      </c>
      <c r="AF6684">
        <v>12.307139627879399</v>
      </c>
      <c r="AG6684">
        <v>-1.1060577816529999</v>
      </c>
      <c r="AH6684">
        <v>13.0214058531747</v>
      </c>
      <c r="AI6684">
        <v>93.532497094663995</v>
      </c>
      <c r="AJ6684">
        <v>46.615315694842998</v>
      </c>
      <c r="AK6684">
        <v>17.951213330289601</v>
      </c>
      <c r="AL6684">
        <v>80.517549373718694</v>
      </c>
      <c r="AM6684">
        <v>66.296466046968703</v>
      </c>
      <c r="AN6684">
        <v>0.99999997321274903</v>
      </c>
    </row>
    <row r="6685" spans="1:40" x14ac:dyDescent="0.25">
      <c r="A6685" t="str">
        <f>"20190312172840408"</f>
        <v>20190312172840408</v>
      </c>
      <c r="B6685" t="str">
        <f>"1552382920396454"</f>
        <v>1552382920396454</v>
      </c>
      <c r="C6685" t="s">
        <v>40</v>
      </c>
      <c r="D6685">
        <v>3.531701</v>
      </c>
      <c r="E6685">
        <v>0.63899689999999998</v>
      </c>
      <c r="F6685" t="s">
        <v>41</v>
      </c>
      <c r="G6685">
        <v>-169.38890000000001</v>
      </c>
      <c r="H6685" s="1">
        <v>-1.9069319999999999E-6</v>
      </c>
      <c r="I6685">
        <v>133.27199999999999</v>
      </c>
      <c r="J6685">
        <v>-185.69059999999999</v>
      </c>
      <c r="K6685">
        <v>1.106007</v>
      </c>
      <c r="L6685">
        <v>124.72369999999999</v>
      </c>
      <c r="M6685">
        <v>0.3237659</v>
      </c>
      <c r="N6685">
        <v>0</v>
      </c>
      <c r="O6685">
        <v>0.94603440000000005</v>
      </c>
      <c r="P6685">
        <v>0.66692910000000005</v>
      </c>
      <c r="Q6685">
        <v>0.1564441</v>
      </c>
      <c r="R6685">
        <v>0.72851290000000002</v>
      </c>
      <c r="S6685">
        <v>2.884903</v>
      </c>
      <c r="T6685">
        <v>-0.19525100000000001</v>
      </c>
      <c r="U6685">
        <v>1.5271300000000001</v>
      </c>
      <c r="V6685">
        <v>0.39687660000000002</v>
      </c>
      <c r="W6685">
        <v>0.16486500000000001</v>
      </c>
      <c r="X6685">
        <v>0.90294430000000003</v>
      </c>
      <c r="Y6685">
        <v>0.68285419999999997</v>
      </c>
      <c r="Z6685">
        <v>-6.4142350000000001E-2</v>
      </c>
      <c r="AA6685">
        <v>0.72773339999999997</v>
      </c>
      <c r="AB6685">
        <v>18</v>
      </c>
      <c r="AC6685">
        <v>16.301699999999901</v>
      </c>
      <c r="AD6685">
        <v>-1.106008906932</v>
      </c>
      <c r="AE6685">
        <v>8.5483000000000207</v>
      </c>
      <c r="AF6685">
        <v>12.6100254579296</v>
      </c>
      <c r="AG6685">
        <v>-1.106008906932</v>
      </c>
      <c r="AH6685">
        <v>13.318137557057099</v>
      </c>
      <c r="AI6685">
        <v>93.450936744297294</v>
      </c>
      <c r="AJ6685">
        <v>46.564389738918599</v>
      </c>
      <c r="AK6685">
        <v>18.374133605167401</v>
      </c>
      <c r="AL6685">
        <v>80.510607445807594</v>
      </c>
      <c r="AM6685">
        <v>66.272778531042306</v>
      </c>
      <c r="AN6685">
        <v>0.99999995637752304</v>
      </c>
    </row>
    <row r="6686" spans="1:40" x14ac:dyDescent="0.25">
      <c r="A6686" t="str">
        <f>"20190312172840420"</f>
        <v>20190312172840420</v>
      </c>
      <c r="B6686" t="str">
        <f>"1552382920416950"</f>
        <v>1552382920416950</v>
      </c>
      <c r="C6686" t="s">
        <v>40</v>
      </c>
      <c r="D6686">
        <v>3.5086490000000001</v>
      </c>
      <c r="E6686">
        <v>0.6387446</v>
      </c>
      <c r="F6686" t="s">
        <v>41</v>
      </c>
      <c r="G6686">
        <v>-169.21039999999999</v>
      </c>
      <c r="H6686" s="1">
        <v>-1.9591340000000001E-6</v>
      </c>
      <c r="I6686">
        <v>133.33349999999999</v>
      </c>
      <c r="J6686">
        <v>-185.6516</v>
      </c>
      <c r="K6686">
        <v>1.1059619999999999</v>
      </c>
      <c r="L6686">
        <v>124.8198</v>
      </c>
      <c r="M6686">
        <v>0.32848660000000002</v>
      </c>
      <c r="N6686">
        <v>0</v>
      </c>
      <c r="O6686">
        <v>0.94440539999999995</v>
      </c>
      <c r="P6686">
        <v>0.67079359999999999</v>
      </c>
      <c r="Q6686">
        <v>0.15648909999999999</v>
      </c>
      <c r="R6686">
        <v>0.72494639999999999</v>
      </c>
      <c r="S6686">
        <v>2.892868</v>
      </c>
      <c r="T6686">
        <v>-0.19414400000000001</v>
      </c>
      <c r="U6686">
        <v>1.5113219999999901</v>
      </c>
      <c r="V6686">
        <v>0.39719130000000002</v>
      </c>
      <c r="W6686">
        <v>0.16487349999999901</v>
      </c>
      <c r="X6686">
        <v>0.90280439999999995</v>
      </c>
      <c r="Y6686">
        <v>0.6831779</v>
      </c>
      <c r="Z6686">
        <v>-6.3805070000000005E-2</v>
      </c>
      <c r="AA6686">
        <v>0.72745919999999997</v>
      </c>
      <c r="AB6686">
        <v>18</v>
      </c>
      <c r="AC6686">
        <v>16.441199999999998</v>
      </c>
      <c r="AD6686">
        <v>-1.105963959134</v>
      </c>
      <c r="AE6686">
        <v>8.5136999999999805</v>
      </c>
      <c r="AF6686">
        <v>12.686495443042</v>
      </c>
      <c r="AG6686">
        <v>-1.105963959134</v>
      </c>
      <c r="AH6686">
        <v>13.394614486181601</v>
      </c>
      <c r="AI6686">
        <v>93.430623764964494</v>
      </c>
      <c r="AJ6686">
        <v>46.555235482844402</v>
      </c>
      <c r="AK6686">
        <v>18.482045886174401</v>
      </c>
      <c r="AL6686">
        <v>80.5101140179829</v>
      </c>
      <c r="AM6686">
        <v>66.252772520961898</v>
      </c>
      <c r="AN6686">
        <v>0.99999999222864999</v>
      </c>
    </row>
    <row r="6687" spans="1:40" x14ac:dyDescent="0.25">
      <c r="A6687" t="str">
        <f>"20190312172840438"</f>
        <v>20190312172840438</v>
      </c>
      <c r="B6687" t="str">
        <f>"1552382920426709"</f>
        <v>1552382920426709</v>
      </c>
      <c r="C6687" t="s">
        <v>40</v>
      </c>
      <c r="D6687">
        <v>3.5370900000000001</v>
      </c>
      <c r="E6687">
        <v>0.63861080000000003</v>
      </c>
      <c r="F6687" t="s">
        <v>41</v>
      </c>
      <c r="G6687">
        <v>-169.0086</v>
      </c>
      <c r="H6687" s="1">
        <v>-2.0155870000000001E-6</v>
      </c>
      <c r="I6687">
        <v>133.4126</v>
      </c>
      <c r="J6687">
        <v>-185.59819999999999</v>
      </c>
      <c r="K6687">
        <v>1.1059099999999999</v>
      </c>
      <c r="L6687">
        <v>124.949</v>
      </c>
      <c r="M6687">
        <v>0.33490560000000003</v>
      </c>
      <c r="N6687">
        <v>0</v>
      </c>
      <c r="O6687">
        <v>0.94214790000000004</v>
      </c>
      <c r="P6687">
        <v>0.67635119999999904</v>
      </c>
      <c r="Q6687">
        <v>0.1571224</v>
      </c>
      <c r="R6687">
        <v>0.71962609999999905</v>
      </c>
      <c r="S6687">
        <v>2.899429</v>
      </c>
      <c r="T6687">
        <v>-0.19267390000000001</v>
      </c>
      <c r="U6687">
        <v>1.4969790000000001</v>
      </c>
      <c r="V6687">
        <v>0.39807049999999999</v>
      </c>
      <c r="W6687">
        <v>0.1654533</v>
      </c>
      <c r="X6687">
        <v>0.90231099999999997</v>
      </c>
      <c r="Y6687">
        <v>0.68175490000000005</v>
      </c>
      <c r="Z6687">
        <v>-6.3333180000000003E-2</v>
      </c>
      <c r="AA6687">
        <v>0.72883419999999999</v>
      </c>
      <c r="AB6687">
        <v>18</v>
      </c>
      <c r="AC6687">
        <v>16.589599999999901</v>
      </c>
      <c r="AD6687">
        <v>-1.1059120155869999</v>
      </c>
      <c r="AE6687">
        <v>8.4635999999999996</v>
      </c>
      <c r="AF6687">
        <v>12.7516367760331</v>
      </c>
      <c r="AG6687">
        <v>-1.1059120155869999</v>
      </c>
      <c r="AH6687">
        <v>13.483690416927001</v>
      </c>
      <c r="AI6687">
        <v>93.4102752704012</v>
      </c>
      <c r="AJ6687">
        <v>46.5983297275247</v>
      </c>
      <c r="AK6687">
        <v>18.591320262790099</v>
      </c>
      <c r="AL6687">
        <v>80.476431687850095</v>
      </c>
      <c r="AM6687">
        <v>66.194475456257194</v>
      </c>
      <c r="AN6687">
        <v>1.00000002908606</v>
      </c>
    </row>
    <row r="6688" spans="1:40" x14ac:dyDescent="0.25">
      <c r="A6688" t="str">
        <f>"20190312172840461"</f>
        <v>20190312172840461</v>
      </c>
      <c r="B6688" t="str">
        <f>"1552382920456966"</f>
        <v>1552382920456966</v>
      </c>
      <c r="C6688" t="s">
        <v>40</v>
      </c>
      <c r="D6688">
        <v>3.5723349999999998</v>
      </c>
      <c r="E6688">
        <v>0.63844339999999999</v>
      </c>
      <c r="F6688" t="s">
        <v>41</v>
      </c>
      <c r="G6688">
        <v>-168.59020000000001</v>
      </c>
      <c r="H6688" s="1">
        <v>-2.1361460000000002E-6</v>
      </c>
      <c r="I6688">
        <v>133.5633</v>
      </c>
      <c r="J6688">
        <v>-185.52379999999999</v>
      </c>
      <c r="K6688">
        <v>1.10585</v>
      </c>
      <c r="L6688">
        <v>125.1247</v>
      </c>
      <c r="M6688">
        <v>0.34379999999999999</v>
      </c>
      <c r="N6688">
        <v>0</v>
      </c>
      <c r="O6688">
        <v>0.93893839999999995</v>
      </c>
      <c r="P6688">
        <v>0.68357849999999998</v>
      </c>
      <c r="Q6688">
        <v>0.1571901</v>
      </c>
      <c r="R6688">
        <v>0.71274939999999998</v>
      </c>
      <c r="S6688">
        <v>2.910873</v>
      </c>
      <c r="T6688">
        <v>-0.18927430000000001</v>
      </c>
      <c r="U6688">
        <v>1.4743189999999999</v>
      </c>
      <c r="V6688">
        <v>0.39867599999999997</v>
      </c>
      <c r="W6688">
        <v>0.16547120000000001</v>
      </c>
      <c r="X6688">
        <v>0.90204030000000002</v>
      </c>
      <c r="Y6688">
        <v>0.68058169999999996</v>
      </c>
      <c r="Z6688">
        <v>-6.2220400000000002E-2</v>
      </c>
      <c r="AA6688">
        <v>0.73002549999999999</v>
      </c>
      <c r="AB6688">
        <v>18</v>
      </c>
      <c r="AC6688">
        <v>16.933599999999899</v>
      </c>
      <c r="AD6688">
        <v>-1.1058521361460001</v>
      </c>
      <c r="AE6688">
        <v>8.4385999999999903</v>
      </c>
      <c r="AF6688">
        <v>12.9554318000989</v>
      </c>
      <c r="AG6688">
        <v>-1.1058521361460001</v>
      </c>
      <c r="AH6688">
        <v>13.6996432339607</v>
      </c>
      <c r="AI6688">
        <v>93.356513220967202</v>
      </c>
      <c r="AJ6688">
        <v>46.599286424251098</v>
      </c>
      <c r="AK6688">
        <v>18.8877300597991</v>
      </c>
      <c r="AL6688">
        <v>80.475391353773503</v>
      </c>
      <c r="AM6688">
        <v>66.155942950338599</v>
      </c>
      <c r="AN6688">
        <v>0.99999998691476499</v>
      </c>
    </row>
    <row r="6689" spans="1:40" x14ac:dyDescent="0.25">
      <c r="A6689" t="str">
        <f>"20190312172840474"</f>
        <v>20190312172840474</v>
      </c>
      <c r="B6689" t="str">
        <f>"1552382920466726"</f>
        <v>1552382920466726</v>
      </c>
      <c r="C6689" t="s">
        <v>40</v>
      </c>
      <c r="D6689">
        <v>3.6626069999999999</v>
      </c>
      <c r="E6689">
        <v>0.63844339999999999</v>
      </c>
      <c r="F6689" t="s">
        <v>41</v>
      </c>
      <c r="G6689">
        <v>-168.2944</v>
      </c>
      <c r="H6689" s="1">
        <v>-2.2302630000000001E-6</v>
      </c>
      <c r="I6689">
        <v>133.63650000000001</v>
      </c>
      <c r="J6689">
        <v>-185.4847</v>
      </c>
      <c r="K6689">
        <v>1.105812</v>
      </c>
      <c r="L6689">
        <v>125.21510000000001</v>
      </c>
      <c r="M6689">
        <v>0.3484466</v>
      </c>
      <c r="N6689">
        <v>0</v>
      </c>
      <c r="O6689">
        <v>0.93722380000000005</v>
      </c>
      <c r="P6689">
        <v>0.68737599999999999</v>
      </c>
      <c r="Q6689">
        <v>0.1571795</v>
      </c>
      <c r="R6689">
        <v>0.70909009999999995</v>
      </c>
      <c r="S6689">
        <v>2.925125</v>
      </c>
      <c r="T6689">
        <v>-0.187747</v>
      </c>
      <c r="U6689">
        <v>1.445084</v>
      </c>
      <c r="V6689">
        <v>0.39903810000000001</v>
      </c>
      <c r="W6689">
        <v>0.16543679999999999</v>
      </c>
      <c r="X6689">
        <v>0.90188650000000004</v>
      </c>
      <c r="Y6689">
        <v>0.68425230000000004</v>
      </c>
      <c r="Z6689">
        <v>-6.1791020000000002E-2</v>
      </c>
      <c r="AA6689">
        <v>0.72662280000000001</v>
      </c>
      <c r="AB6689">
        <v>18</v>
      </c>
      <c r="AC6689">
        <v>17.190300000000001</v>
      </c>
      <c r="AD6689">
        <v>-1.1058142302630001</v>
      </c>
      <c r="AE6689">
        <v>8.4214000000000002</v>
      </c>
      <c r="AF6689">
        <v>13.1342139703168</v>
      </c>
      <c r="AG6689">
        <v>-1.1058142302630001</v>
      </c>
      <c r="AH6689">
        <v>13.837823285006801</v>
      </c>
      <c r="AI6689">
        <v>93.317208010719</v>
      </c>
      <c r="AJ6689">
        <v>46.494314382934299</v>
      </c>
      <c r="AK6689">
        <v>19.1106189066967</v>
      </c>
      <c r="AL6689">
        <v>80.477389993807094</v>
      </c>
      <c r="AM6689">
        <v>66.133089721255402</v>
      </c>
      <c r="AN6689">
        <v>0.99999999946404905</v>
      </c>
    </row>
    <row r="6690" spans="1:40" x14ac:dyDescent="0.25">
      <c r="A6690" t="str">
        <f>"20190312172840486"</f>
        <v>20190312172840486</v>
      </c>
      <c r="B6690" t="str">
        <f>"1552382920476486"</f>
        <v>1552382920476486</v>
      </c>
      <c r="C6690" t="s">
        <v>40</v>
      </c>
      <c r="D6690">
        <v>3.668879</v>
      </c>
      <c r="E6690">
        <v>0.65245830000000005</v>
      </c>
      <c r="F6690" t="s">
        <v>41</v>
      </c>
      <c r="G6690">
        <v>-168.14850000000001</v>
      </c>
      <c r="H6690" s="1">
        <v>-2.2794979999999999E-6</v>
      </c>
      <c r="I6690">
        <v>133.66210000000001</v>
      </c>
      <c r="J6690">
        <v>-185.44470000000001</v>
      </c>
      <c r="K6690">
        <v>1.1057859999999999</v>
      </c>
      <c r="L6690">
        <v>125.3061</v>
      </c>
      <c r="M6690">
        <v>0.35317019999999999</v>
      </c>
      <c r="N6690">
        <v>0</v>
      </c>
      <c r="O6690">
        <v>0.9354538</v>
      </c>
      <c r="P6690">
        <v>0.69111180000000005</v>
      </c>
      <c r="Q6690">
        <v>0.15698190000000001</v>
      </c>
      <c r="R6690">
        <v>0.70549359999999905</v>
      </c>
      <c r="S6690">
        <v>2.9329529999999999</v>
      </c>
      <c r="T6690">
        <v>-0.18708259999999999</v>
      </c>
      <c r="U6690">
        <v>1.4290769999999999</v>
      </c>
      <c r="V6690">
        <v>0.3992464</v>
      </c>
      <c r="W6690">
        <v>0.16522010000000001</v>
      </c>
      <c r="X6690">
        <v>0.90183409999999997</v>
      </c>
      <c r="Y6690">
        <v>0.68455980000000005</v>
      </c>
      <c r="Z6690">
        <v>-6.1584409999999999E-2</v>
      </c>
      <c r="AA6690">
        <v>0.72635059999999996</v>
      </c>
      <c r="AB6690">
        <v>18</v>
      </c>
      <c r="AC6690">
        <v>17.296199999999999</v>
      </c>
      <c r="AD6690">
        <v>-1.1057882794980001</v>
      </c>
      <c r="AE6690">
        <v>8.3559999999999999</v>
      </c>
      <c r="AF6690">
        <v>13.186310890317399</v>
      </c>
      <c r="AG6690">
        <v>-1.1057882794980001</v>
      </c>
      <c r="AH6690">
        <v>13.880527475948201</v>
      </c>
      <c r="AI6690">
        <v>93.305575333774001</v>
      </c>
      <c r="AJ6690">
        <v>46.469213412514897</v>
      </c>
      <c r="AK6690">
        <v>19.1773461570086</v>
      </c>
      <c r="AL6690">
        <v>80.489979784104705</v>
      </c>
      <c r="AM6690">
        <v>66.120791789996701</v>
      </c>
      <c r="AN6690">
        <v>1.0000000566398799</v>
      </c>
    </row>
    <row r="6691" spans="1:40" x14ac:dyDescent="0.25">
      <c r="A6691" t="str">
        <f>"20190312172840498"</f>
        <v>20190312172840498</v>
      </c>
      <c r="B6691" t="str">
        <f>"1552382920486246"</f>
        <v>1552382920486246</v>
      </c>
      <c r="C6691" t="s">
        <v>40</v>
      </c>
      <c r="D6691">
        <v>3.6818360000000001</v>
      </c>
      <c r="E6691">
        <v>0.65138030000000002</v>
      </c>
      <c r="F6691" t="s">
        <v>41</v>
      </c>
      <c r="G6691">
        <v>-169.85509999999999</v>
      </c>
      <c r="H6691" s="1">
        <v>-2.0125580000000001E-6</v>
      </c>
      <c r="I6691">
        <v>132.20230000000001</v>
      </c>
      <c r="J6691">
        <v>-185.40430000000001</v>
      </c>
      <c r="K6691">
        <v>1.105758</v>
      </c>
      <c r="L6691">
        <v>125.3965</v>
      </c>
      <c r="M6691">
        <v>0.35792489999999999</v>
      </c>
      <c r="N6691">
        <v>0</v>
      </c>
      <c r="O6691">
        <v>0.93364480000000005</v>
      </c>
      <c r="P6691">
        <v>0.69502180000000002</v>
      </c>
      <c r="Q6691">
        <v>0.15694159999999999</v>
      </c>
      <c r="R6691">
        <v>0.70165100000000002</v>
      </c>
      <c r="S6691">
        <v>3.0240330000000002</v>
      </c>
      <c r="T6691">
        <v>-0.21449670000000001</v>
      </c>
      <c r="U6691">
        <v>1.3376920000000001</v>
      </c>
      <c r="V6691">
        <v>0.39967859999999999</v>
      </c>
      <c r="W6691">
        <v>0.16515659999999999</v>
      </c>
      <c r="X6691">
        <v>0.90165419999999996</v>
      </c>
      <c r="Y6691">
        <v>0.70680200000000004</v>
      </c>
      <c r="Z6691">
        <v>-7.0066729999999994E-2</v>
      </c>
      <c r="AA6691">
        <v>0.70393309999999998</v>
      </c>
      <c r="AB6691">
        <v>18</v>
      </c>
      <c r="AC6691">
        <v>15.549200000000001</v>
      </c>
      <c r="AD6691">
        <v>-1.105760012558</v>
      </c>
      <c r="AE6691">
        <v>6.8057999999999996</v>
      </c>
      <c r="AF6691">
        <v>12.0315925061304</v>
      </c>
      <c r="AG6691">
        <v>-1.105760012558</v>
      </c>
      <c r="AH6691">
        <v>11.8704416846274</v>
      </c>
      <c r="AI6691">
        <v>93.743133385330097</v>
      </c>
      <c r="AJ6691">
        <v>44.613709780363898</v>
      </c>
      <c r="AK6691">
        <v>16.937807096170499</v>
      </c>
      <c r="AL6691">
        <v>80.493668115861595</v>
      </c>
      <c r="AM6691">
        <v>66.093602298301093</v>
      </c>
      <c r="AN6691">
        <v>0.99999999109957904</v>
      </c>
    </row>
    <row r="6692" spans="1:40" x14ac:dyDescent="0.25">
      <c r="A6692" t="str">
        <f>"20190312172840512"</f>
        <v>20190312172840512</v>
      </c>
      <c r="B6692" t="str">
        <f>"1552382920506742"</f>
        <v>1552382920506742</v>
      </c>
      <c r="C6692" t="s">
        <v>40</v>
      </c>
      <c r="D6692">
        <v>3.6551779999999998</v>
      </c>
      <c r="E6692">
        <v>0.65111869999999905</v>
      </c>
      <c r="F6692" t="s">
        <v>41</v>
      </c>
      <c r="G6692">
        <v>-169.749</v>
      </c>
      <c r="H6692" s="1">
        <v>-2.0380630000000001E-6</v>
      </c>
      <c r="I6692">
        <v>132.25960000000001</v>
      </c>
      <c r="J6692">
        <v>-185.35910000000001</v>
      </c>
      <c r="K6692">
        <v>1.1057300000000001</v>
      </c>
      <c r="L6692">
        <v>125.4962</v>
      </c>
      <c r="M6692">
        <v>0.36320940000000002</v>
      </c>
      <c r="N6692">
        <v>0</v>
      </c>
      <c r="O6692">
        <v>0.93160149999999997</v>
      </c>
      <c r="P6692">
        <v>0.69943180000000005</v>
      </c>
      <c r="Q6692">
        <v>0.15670799999999999</v>
      </c>
      <c r="R6692">
        <v>0.69730760000000003</v>
      </c>
      <c r="S6692">
        <v>3.025604</v>
      </c>
      <c r="T6692">
        <v>-0.2137028</v>
      </c>
      <c r="U6692">
        <v>1.3263849999999999</v>
      </c>
      <c r="V6692">
        <v>0.40024660000000001</v>
      </c>
      <c r="W6692">
        <v>0.16489599999999999</v>
      </c>
      <c r="X6692">
        <v>0.90144990000000003</v>
      </c>
      <c r="Y6692">
        <v>0.7051539</v>
      </c>
      <c r="Z6692">
        <v>-6.9851789999999997E-2</v>
      </c>
      <c r="AA6692">
        <v>0.70560519999999904</v>
      </c>
      <c r="AB6692">
        <v>18</v>
      </c>
      <c r="AC6692">
        <v>15.6100999999999</v>
      </c>
      <c r="AD6692">
        <v>-1.10573203806299</v>
      </c>
      <c r="AE6692">
        <v>6.7633999999999999</v>
      </c>
      <c r="AF6692">
        <v>12.036209538459</v>
      </c>
      <c r="AG6692">
        <v>-1.10573203806299</v>
      </c>
      <c r="AH6692">
        <v>11.921349886068599</v>
      </c>
      <c r="AI6692">
        <v>93.734430317656404</v>
      </c>
      <c r="AJ6692">
        <v>44.725309127672404</v>
      </c>
      <c r="AK6692">
        <v>16.9767949419129</v>
      </c>
      <c r="AL6692">
        <v>80.508806826550298</v>
      </c>
      <c r="AM6692">
        <v>66.058627927920696</v>
      </c>
      <c r="AN6692">
        <v>0.99999997691878395</v>
      </c>
    </row>
    <row r="6693" spans="1:40" x14ac:dyDescent="0.25">
      <c r="A6693" t="str">
        <f>"20190312172840540"</f>
        <v>20190312172840540</v>
      </c>
      <c r="B6693" t="str">
        <f>"1552382920536997"</f>
        <v>1552382920536997</v>
      </c>
      <c r="C6693" t="s">
        <v>40</v>
      </c>
      <c r="D6693">
        <v>3.6644380000000001</v>
      </c>
      <c r="E6693">
        <v>0.64971080000000003</v>
      </c>
      <c r="F6693" t="s">
        <v>41</v>
      </c>
      <c r="G6693">
        <v>-169.87710000000001</v>
      </c>
      <c r="H6693" s="1">
        <v>-2.011119E-6</v>
      </c>
      <c r="I6693">
        <v>132.17590000000001</v>
      </c>
      <c r="J6693">
        <v>-185.26339999999999</v>
      </c>
      <c r="K6693">
        <v>1.105667</v>
      </c>
      <c r="L6693">
        <v>125.702</v>
      </c>
      <c r="M6693">
        <v>0.3742895</v>
      </c>
      <c r="N6693">
        <v>0</v>
      </c>
      <c r="O6693">
        <v>0.9272049</v>
      </c>
      <c r="P6693">
        <v>0.70794009999999996</v>
      </c>
      <c r="Q6693">
        <v>0.15621959999999999</v>
      </c>
      <c r="R6693">
        <v>0.68877880000000002</v>
      </c>
      <c r="S6693">
        <v>3.033096</v>
      </c>
      <c r="T6693">
        <v>-0.2166245</v>
      </c>
      <c r="U6693">
        <v>1.308624</v>
      </c>
      <c r="V6693">
        <v>0.40054800000000002</v>
      </c>
      <c r="W6693">
        <v>0.1643646</v>
      </c>
      <c r="X6693">
        <v>0.90141309999999997</v>
      </c>
      <c r="Y6693">
        <v>0.70076510000000003</v>
      </c>
      <c r="Z6693">
        <v>-7.0732329999999996E-2</v>
      </c>
      <c r="AA6693">
        <v>0.70987679999999997</v>
      </c>
      <c r="AB6693">
        <v>18</v>
      </c>
      <c r="AC6693">
        <v>15.386299999999901</v>
      </c>
      <c r="AD6693">
        <v>-1.105669011119</v>
      </c>
      <c r="AE6693">
        <v>6.4739000000000004</v>
      </c>
      <c r="AF6693">
        <v>11.792578307202501</v>
      </c>
      <c r="AG6693">
        <v>-1.105669011119</v>
      </c>
      <c r="AH6693">
        <v>11.711348961856901</v>
      </c>
      <c r="AI6693">
        <v>93.806100586346005</v>
      </c>
      <c r="AJ6693">
        <v>44.801987128429303</v>
      </c>
      <c r="AK6693">
        <v>16.656623355291401</v>
      </c>
      <c r="AL6693">
        <v>80.539675205444098</v>
      </c>
      <c r="AM6693">
        <v>66.041759740017199</v>
      </c>
      <c r="AN6693">
        <v>0.999999999444384</v>
      </c>
    </row>
    <row r="6694" spans="1:40" x14ac:dyDescent="0.25">
      <c r="A6694" t="str">
        <f>"20190312172840562"</f>
        <v>20190312172840562</v>
      </c>
      <c r="B6694" t="str">
        <f>"1552382920556521"</f>
        <v>1552382920556521</v>
      </c>
      <c r="C6694" t="s">
        <v>40</v>
      </c>
      <c r="D6694">
        <v>3.6589710000000002</v>
      </c>
      <c r="E6694">
        <v>0.64926740000000005</v>
      </c>
      <c r="F6694" t="s">
        <v>50</v>
      </c>
      <c r="G6694">
        <v>-170.01259999999999</v>
      </c>
      <c r="H6694" s="1">
        <v>-3.0891309999999899E-7</v>
      </c>
      <c r="I6694">
        <v>132.11580000000001</v>
      </c>
      <c r="J6694">
        <v>-185.1891</v>
      </c>
      <c r="K6694">
        <v>1.1056239999999999</v>
      </c>
      <c r="L6694">
        <v>125.85720000000001</v>
      </c>
      <c r="M6694">
        <v>0.38277050000000001</v>
      </c>
      <c r="N6694">
        <v>0</v>
      </c>
      <c r="O6694">
        <v>0.92373570000000005</v>
      </c>
      <c r="P6694">
        <v>0.71375980000000006</v>
      </c>
      <c r="Q6694">
        <v>0.15641920000000001</v>
      </c>
      <c r="R6694">
        <v>0.68270050000000004</v>
      </c>
      <c r="S6694">
        <v>3.0417179999999999</v>
      </c>
      <c r="T6694">
        <v>-0.22052189999999999</v>
      </c>
      <c r="U6694">
        <v>1.2792209999999999</v>
      </c>
      <c r="V6694">
        <v>0.39997260000000001</v>
      </c>
      <c r="W6694">
        <v>0.16455129999999901</v>
      </c>
      <c r="X6694">
        <v>0.90163450000000001</v>
      </c>
      <c r="Y6694">
        <v>0.70069429999999999</v>
      </c>
      <c r="Z6694">
        <v>-7.2078439999999994E-2</v>
      </c>
      <c r="AA6694">
        <v>0.70981139999999998</v>
      </c>
      <c r="AB6694">
        <v>18</v>
      </c>
      <c r="AC6694">
        <v>15.176500000000001</v>
      </c>
      <c r="AD6694">
        <v>-1.1056243089130999</v>
      </c>
      <c r="AE6694">
        <v>6.2586000000000004</v>
      </c>
      <c r="AF6694">
        <v>11.5721347688258</v>
      </c>
      <c r="AG6694">
        <v>-1.1056243089130999</v>
      </c>
      <c r="AH6694">
        <v>11.539222111030799</v>
      </c>
      <c r="AI6694">
        <v>93.870419398305202</v>
      </c>
      <c r="AJ6694">
        <v>44.918405694688502</v>
      </c>
      <c r="AK6694">
        <v>16.3795712748542</v>
      </c>
      <c r="AL6694">
        <v>80.5288303443416</v>
      </c>
      <c r="AM6694">
        <v>66.077525935605394</v>
      </c>
      <c r="AN6694">
        <v>0.99999999133634998</v>
      </c>
    </row>
    <row r="6695" spans="1:40" x14ac:dyDescent="0.25">
      <c r="A6695" t="str">
        <f>"20190312172840584"</f>
        <v>20190312172840584</v>
      </c>
      <c r="B6695" t="str">
        <f>"1552382920576042"</f>
        <v>1552382920576042</v>
      </c>
      <c r="C6695" t="s">
        <v>40</v>
      </c>
      <c r="D6695">
        <v>3.6971319999999999</v>
      </c>
      <c r="E6695">
        <v>0.64853870000000002</v>
      </c>
      <c r="F6695" t="s">
        <v>41</v>
      </c>
      <c r="G6695">
        <v>-169.85480000000001</v>
      </c>
      <c r="H6695" s="1">
        <v>-2.0215060000000002E-6</v>
      </c>
      <c r="I6695">
        <v>132.16909999999999</v>
      </c>
      <c r="J6695">
        <v>-185.11179999999999</v>
      </c>
      <c r="K6695">
        <v>1.1055980000000001</v>
      </c>
      <c r="L6695">
        <v>126.01439999999999</v>
      </c>
      <c r="M6695">
        <v>0.39146550000000002</v>
      </c>
      <c r="N6695">
        <v>0</v>
      </c>
      <c r="O6695">
        <v>0.92008440000000002</v>
      </c>
      <c r="P6695">
        <v>0.7198078</v>
      </c>
      <c r="Q6695">
        <v>0.15585499999999999</v>
      </c>
      <c r="R6695">
        <v>0.67645109999999997</v>
      </c>
      <c r="S6695">
        <v>3.0503390000000001</v>
      </c>
      <c r="T6695">
        <v>-0.21993370000000001</v>
      </c>
      <c r="U6695">
        <v>1.255585</v>
      </c>
      <c r="V6695">
        <v>0.39944859999999999</v>
      </c>
      <c r="W6695">
        <v>0.16398119999999999</v>
      </c>
      <c r="X6695">
        <v>0.90197059999999996</v>
      </c>
      <c r="Y6695">
        <v>0.69940190000000002</v>
      </c>
      <c r="Z6695">
        <v>-7.1878380000000006E-2</v>
      </c>
      <c r="AA6695">
        <v>0.71110519999999999</v>
      </c>
      <c r="AB6695">
        <v>18</v>
      </c>
      <c r="AC6695">
        <v>15.2569999999999</v>
      </c>
      <c r="AD6695">
        <v>-1.10560002150599</v>
      </c>
      <c r="AE6695">
        <v>6.1546999999999903</v>
      </c>
      <c r="AF6695">
        <v>11.577249113515199</v>
      </c>
      <c r="AG6695">
        <v>-1.10560002150599</v>
      </c>
      <c r="AH6695">
        <v>11.584275695912901</v>
      </c>
      <c r="AI6695">
        <v>93.8619806016968</v>
      </c>
      <c r="AJ6695">
        <v>45.017381994784301</v>
      </c>
      <c r="AK6695">
        <v>16.414947208043699</v>
      </c>
      <c r="AL6695">
        <v>80.561944483612805</v>
      </c>
      <c r="AM6695">
        <v>66.113262309621504</v>
      </c>
      <c r="AN6695">
        <v>0.99999999062987999</v>
      </c>
    </row>
    <row r="6696" spans="1:40" x14ac:dyDescent="0.25">
      <c r="A6696" t="str">
        <f>"20190312172840607"</f>
        <v>20190312172840607</v>
      </c>
      <c r="B6696" t="str">
        <f>"1552382920596534"</f>
        <v>1552382920596534</v>
      </c>
      <c r="C6696" t="s">
        <v>40</v>
      </c>
      <c r="D6696">
        <v>3.6637529999999998</v>
      </c>
      <c r="E6696">
        <v>0.64775649999999996</v>
      </c>
      <c r="F6696" t="s">
        <v>50</v>
      </c>
      <c r="G6696">
        <v>-169.97890000000001</v>
      </c>
      <c r="H6696" s="1">
        <v>-2.8973819999999998E-7</v>
      </c>
      <c r="I6696">
        <v>132.11600000000001</v>
      </c>
      <c r="J6696">
        <v>-185.02930000000001</v>
      </c>
      <c r="K6696">
        <v>1.105569</v>
      </c>
      <c r="L6696">
        <v>126.1781</v>
      </c>
      <c r="M6696">
        <v>0.40063569999999998</v>
      </c>
      <c r="N6696">
        <v>0</v>
      </c>
      <c r="O6696">
        <v>0.91612830000000001</v>
      </c>
      <c r="P6696">
        <v>0.72599950000000002</v>
      </c>
      <c r="Q6696">
        <v>0.15640770000000001</v>
      </c>
      <c r="R6696">
        <v>0.6696725</v>
      </c>
      <c r="S6696">
        <v>3.0575869999999998</v>
      </c>
      <c r="T6696">
        <v>-0.22338469999999999</v>
      </c>
      <c r="U6696">
        <v>1.2328190000000001</v>
      </c>
      <c r="V6696">
        <v>0.39880349999999998</v>
      </c>
      <c r="W6696">
        <v>0.16453429999999999</v>
      </c>
      <c r="X6696">
        <v>0.90215529999999999</v>
      </c>
      <c r="Y6696">
        <v>0.69733540000000005</v>
      </c>
      <c r="Z6696">
        <v>-7.2984750000000001E-2</v>
      </c>
      <c r="AA6696">
        <v>0.71301939999999997</v>
      </c>
      <c r="AB6696">
        <v>17</v>
      </c>
      <c r="AC6696">
        <v>15.0503999999999</v>
      </c>
      <c r="AD6696">
        <v>-1.1055692897381999</v>
      </c>
      <c r="AE6696">
        <v>5.9379000000000097</v>
      </c>
      <c r="AF6696">
        <v>11.3572736765224</v>
      </c>
      <c r="AG6696">
        <v>-1.1055692897381999</v>
      </c>
      <c r="AH6696">
        <v>11.417441909230099</v>
      </c>
      <c r="AI6696">
        <v>93.927247199980798</v>
      </c>
      <c r="AJ6696">
        <v>45.151368642191898</v>
      </c>
      <c r="AK6696">
        <v>16.1421166074492</v>
      </c>
      <c r="AL6696">
        <v>80.529817689395699</v>
      </c>
      <c r="AM6696">
        <v>66.151869327646494</v>
      </c>
      <c r="AN6696">
        <v>0.99999997640341398</v>
      </c>
    </row>
    <row r="6697" spans="1:40" x14ac:dyDescent="0.25">
      <c r="A6697" t="str">
        <f>"20190312172840628"</f>
        <v>20190312172840628</v>
      </c>
      <c r="B6697" t="str">
        <f>"1552382920616053"</f>
        <v>1552382920616053</v>
      </c>
      <c r="C6697" t="s">
        <v>40</v>
      </c>
      <c r="D6697">
        <v>3.5884309999999999</v>
      </c>
      <c r="E6697">
        <v>0.64722860000000004</v>
      </c>
      <c r="F6697" t="s">
        <v>41</v>
      </c>
      <c r="G6697">
        <v>-169.82499999999999</v>
      </c>
      <c r="H6697" s="1">
        <v>-2.031293E-6</v>
      </c>
      <c r="I6697">
        <v>132.17529999999999</v>
      </c>
      <c r="J6697">
        <v>-184.9503</v>
      </c>
      <c r="K6697">
        <v>1.1055549999999901</v>
      </c>
      <c r="L6697">
        <v>126.33069999999999</v>
      </c>
      <c r="M6697">
        <v>0.40929080000000001</v>
      </c>
      <c r="N6697">
        <v>0</v>
      </c>
      <c r="O6697">
        <v>0.9122941</v>
      </c>
      <c r="P6697">
        <v>0.73172209999999904</v>
      </c>
      <c r="Q6697">
        <v>0.15664829999999999</v>
      </c>
      <c r="R6697">
        <v>0.66335819999999901</v>
      </c>
      <c r="S6697">
        <v>3.0650629999999999</v>
      </c>
      <c r="T6697">
        <v>-0.22287380000000001</v>
      </c>
      <c r="U6697">
        <v>1.2089840000000001</v>
      </c>
      <c r="V6697">
        <v>0.39803929999999998</v>
      </c>
      <c r="W6697">
        <v>0.1647846</v>
      </c>
      <c r="X6697">
        <v>0.90244709999999995</v>
      </c>
      <c r="Y6697">
        <v>0.69596590000000003</v>
      </c>
      <c r="Z6697">
        <v>-7.2808800000000007E-2</v>
      </c>
      <c r="AA6697">
        <v>0.71437410000000001</v>
      </c>
      <c r="AB6697">
        <v>17</v>
      </c>
      <c r="AC6697">
        <v>15.125299999999999</v>
      </c>
      <c r="AD6697">
        <v>-1.1055570312930001</v>
      </c>
      <c r="AE6697">
        <v>5.8445999999999998</v>
      </c>
      <c r="AF6697">
        <v>11.3549409513416</v>
      </c>
      <c r="AG6697">
        <v>-1.1055570312930001</v>
      </c>
      <c r="AH6697">
        <v>11.470474819574999</v>
      </c>
      <c r="AI6697">
        <v>93.918471420559897</v>
      </c>
      <c r="AJ6697">
        <v>45.290007707908401</v>
      </c>
      <c r="AK6697">
        <v>16.178032418820301</v>
      </c>
      <c r="AL6697">
        <v>80.515278404337593</v>
      </c>
      <c r="AM6697">
        <v>66.199324803328494</v>
      </c>
      <c r="AN6697">
        <v>1.00000000852002</v>
      </c>
    </row>
    <row r="6698" spans="1:40" x14ac:dyDescent="0.25">
      <c r="A6698" t="str">
        <f>"20190312172840651"</f>
        <v>20190312172840651</v>
      </c>
      <c r="B6698" t="str">
        <f>"1552382920646309"</f>
        <v>1552382920646309</v>
      </c>
      <c r="C6698" t="s">
        <v>40</v>
      </c>
      <c r="D6698">
        <v>3.6082480000000001</v>
      </c>
      <c r="E6698">
        <v>0.64681750000000005</v>
      </c>
      <c r="F6698" t="s">
        <v>41</v>
      </c>
      <c r="G6698">
        <v>-169.4752</v>
      </c>
      <c r="H6698" s="1">
        <v>-2.1336120000000001E-6</v>
      </c>
      <c r="I6698">
        <v>132.2955</v>
      </c>
      <c r="J6698">
        <v>-184.86590000000001</v>
      </c>
      <c r="K6698">
        <v>1.105542</v>
      </c>
      <c r="L6698">
        <v>126.48950000000001</v>
      </c>
      <c r="M6698">
        <v>0.41838930000000002</v>
      </c>
      <c r="N6698">
        <v>0</v>
      </c>
      <c r="O6698">
        <v>0.9081572</v>
      </c>
      <c r="P6698">
        <v>0.73760939999999997</v>
      </c>
      <c r="Q6698">
        <v>0.1570723</v>
      </c>
      <c r="R6698">
        <v>0.65670450000000002</v>
      </c>
      <c r="S6698">
        <v>3.0730590000000002</v>
      </c>
      <c r="T6698">
        <v>-0.2195435</v>
      </c>
      <c r="U6698">
        <v>1.1844939999999999</v>
      </c>
      <c r="V6698">
        <v>0.39711839999999998</v>
      </c>
      <c r="W6698">
        <v>0.16522329999999999</v>
      </c>
      <c r="X6698">
        <v>0.90277249999999998</v>
      </c>
      <c r="Y6698">
        <v>0.69446049999999904</v>
      </c>
      <c r="Z6698">
        <v>-7.1693030000000005E-2</v>
      </c>
      <c r="AA6698">
        <v>0.71595030000000004</v>
      </c>
      <c r="AB6698">
        <v>17</v>
      </c>
      <c r="AC6698">
        <v>15.390700000000001</v>
      </c>
      <c r="AD6698">
        <v>-1.105544133612</v>
      </c>
      <c r="AE6698">
        <v>5.8059999999999903</v>
      </c>
      <c r="AF6698">
        <v>11.4972337397285</v>
      </c>
      <c r="AG6698">
        <v>-1.105544133612</v>
      </c>
      <c r="AH6698">
        <v>11.6605705873712</v>
      </c>
      <c r="AI6698">
        <v>93.862308916864706</v>
      </c>
      <c r="AJ6698">
        <v>45.404112440583098</v>
      </c>
      <c r="AK6698">
        <v>16.412724268700298</v>
      </c>
      <c r="AL6698">
        <v>80.489793095395399</v>
      </c>
      <c r="AM6698">
        <v>66.255902719938604</v>
      </c>
      <c r="AN6698">
        <v>0.99999997461884904</v>
      </c>
    </row>
    <row r="6699" spans="1:40" x14ac:dyDescent="0.25">
      <c r="A6699" t="str">
        <f>"20190312172840673"</f>
        <v>20190312172840673</v>
      </c>
      <c r="B6699" t="str">
        <f>"1552382920666805"</f>
        <v>1552382920666805</v>
      </c>
      <c r="C6699" t="s">
        <v>40</v>
      </c>
      <c r="D6699">
        <v>3.5637560000000001</v>
      </c>
      <c r="E6699">
        <v>0.64661740000000001</v>
      </c>
      <c r="F6699" t="s">
        <v>41</v>
      </c>
      <c r="G6699">
        <v>-168.98740000000001</v>
      </c>
      <c r="H6699" s="1">
        <v>-2.277552E-6</v>
      </c>
      <c r="I6699">
        <v>132.45859999999999</v>
      </c>
      <c r="J6699">
        <v>-184.78120000000001</v>
      </c>
      <c r="K6699">
        <v>1.1055440000000001</v>
      </c>
      <c r="L6699">
        <v>126.6448</v>
      </c>
      <c r="M6699">
        <v>0.42736629999999998</v>
      </c>
      <c r="N6699">
        <v>0</v>
      </c>
      <c r="O6699">
        <v>0.90396730000000003</v>
      </c>
      <c r="P6699">
        <v>0.74386249999999998</v>
      </c>
      <c r="Q6699">
        <v>0.15760829999999901</v>
      </c>
      <c r="R6699">
        <v>0.64948300000000003</v>
      </c>
      <c r="S6699">
        <v>3.081512</v>
      </c>
      <c r="T6699">
        <v>-0.21455089999999999</v>
      </c>
      <c r="U6699">
        <v>1.158417</v>
      </c>
      <c r="V6699">
        <v>0.39688119999999999</v>
      </c>
      <c r="W6699">
        <v>0.165767</v>
      </c>
      <c r="X6699">
        <v>0.9027771</v>
      </c>
      <c r="Y6699">
        <v>0.69341589999999997</v>
      </c>
      <c r="Z6699">
        <v>-7.0037929999999998E-2</v>
      </c>
      <c r="AA6699">
        <v>0.71712559999999903</v>
      </c>
      <c r="AB6699">
        <v>17</v>
      </c>
      <c r="AC6699">
        <v>15.793799999999999</v>
      </c>
      <c r="AD6699">
        <v>-1.105546277552</v>
      </c>
      <c r="AE6699">
        <v>5.8137999999999801</v>
      </c>
      <c r="AF6699">
        <v>11.7429705608454</v>
      </c>
      <c r="AG6699">
        <v>-1.105546277552</v>
      </c>
      <c r="AH6699">
        <v>11.9548441155564</v>
      </c>
      <c r="AI6699">
        <v>93.774505012072296</v>
      </c>
      <c r="AJ6699">
        <v>45.512247108046701</v>
      </c>
      <c r="AK6699">
        <v>16.7939836844015</v>
      </c>
      <c r="AL6699">
        <v>80.458205463718002</v>
      </c>
      <c r="AM6699">
        <v>66.268625016179996</v>
      </c>
      <c r="AN6699">
        <v>0.99999993874342297</v>
      </c>
    </row>
    <row r="6700" spans="1:40" x14ac:dyDescent="0.25">
      <c r="A6700" t="str">
        <f>"20190312172840696"</f>
        <v>20190312172840696</v>
      </c>
      <c r="B6700" t="str">
        <f>"1552382920686325"</f>
        <v>1552382920686325</v>
      </c>
      <c r="C6700" t="s">
        <v>40</v>
      </c>
      <c r="D6700">
        <v>3.5754579999999998</v>
      </c>
      <c r="E6700">
        <v>0.64622869999999999</v>
      </c>
      <c r="F6700" t="s">
        <v>41</v>
      </c>
      <c r="G6700">
        <v>-168.57820000000001</v>
      </c>
      <c r="H6700" s="1">
        <v>-2.4060330000000002E-6</v>
      </c>
      <c r="I6700">
        <v>132.56630000000001</v>
      </c>
      <c r="J6700">
        <v>-184.69290000000001</v>
      </c>
      <c r="K6700">
        <v>1.1055429999999999</v>
      </c>
      <c r="L6700">
        <v>126.8031</v>
      </c>
      <c r="M6700">
        <v>0.43657230000000002</v>
      </c>
      <c r="N6700">
        <v>0</v>
      </c>
      <c r="O6700">
        <v>0.8995571</v>
      </c>
      <c r="P6700">
        <v>0.75086439999999999</v>
      </c>
      <c r="Q6700">
        <v>0.15741520000000001</v>
      </c>
      <c r="R6700">
        <v>0.64142270000000001</v>
      </c>
      <c r="S6700">
        <v>3.0912929999999998</v>
      </c>
      <c r="T6700">
        <v>-0.21092140000000001</v>
      </c>
      <c r="U6700">
        <v>1.1297299999999999</v>
      </c>
      <c r="V6700">
        <v>0.3974374</v>
      </c>
      <c r="W6700">
        <v>0.16557269999999999</v>
      </c>
      <c r="X6700">
        <v>0.90256809999999998</v>
      </c>
      <c r="Y6700">
        <v>0.6927605</v>
      </c>
      <c r="Z6700">
        <v>-6.8814940000000005E-2</v>
      </c>
      <c r="AA6700">
        <v>0.71787699999999999</v>
      </c>
      <c r="AB6700">
        <v>17</v>
      </c>
      <c r="AC6700">
        <v>16.114699999999999</v>
      </c>
      <c r="AD6700">
        <v>-1.1055454060330001</v>
      </c>
      <c r="AE6700">
        <v>5.7632000000000101</v>
      </c>
      <c r="AF6700">
        <v>11.9314587546616</v>
      </c>
      <c r="AG6700">
        <v>-1.1055454060330001</v>
      </c>
      <c r="AH6700">
        <v>12.1700072732785</v>
      </c>
      <c r="AI6700">
        <v>93.711431512865303</v>
      </c>
      <c r="AJ6700">
        <v>45.567076584387102</v>
      </c>
      <c r="AK6700">
        <v>17.078964128150201</v>
      </c>
      <c r="AL6700">
        <v>80.469494526066896</v>
      </c>
      <c r="AM6700">
        <v>66.234156777085602</v>
      </c>
      <c r="AN6700">
        <v>0.99999999052083</v>
      </c>
    </row>
    <row r="6701" spans="1:40" x14ac:dyDescent="0.25">
      <c r="A6701" t="str">
        <f>"20190312172840718"</f>
        <v>20190312172840718</v>
      </c>
      <c r="B6701" t="str">
        <f>"1552382920706822"</f>
        <v>1552382920706822</v>
      </c>
      <c r="C6701" t="s">
        <v>40</v>
      </c>
      <c r="D6701">
        <v>3.5275759999999998</v>
      </c>
      <c r="E6701">
        <v>0.64603559999999904</v>
      </c>
      <c r="F6701" t="s">
        <v>41</v>
      </c>
      <c r="G6701">
        <v>-168.35489999999999</v>
      </c>
      <c r="H6701" s="1">
        <v>-2.4861039999999999E-6</v>
      </c>
      <c r="I6701">
        <v>132.58770000000001</v>
      </c>
      <c r="J6701">
        <v>-184.6079</v>
      </c>
      <c r="K6701">
        <v>1.1055440000000001</v>
      </c>
      <c r="L6701">
        <v>126.9517</v>
      </c>
      <c r="M6701">
        <v>0.44527830000000002</v>
      </c>
      <c r="N6701">
        <v>0</v>
      </c>
      <c r="O6701">
        <v>0.89527950000000001</v>
      </c>
      <c r="P6701">
        <v>0.75678939999999995</v>
      </c>
      <c r="Q6701">
        <v>0.15759719999999999</v>
      </c>
      <c r="R6701">
        <v>0.6343761</v>
      </c>
      <c r="S6701">
        <v>3.1013639999999998</v>
      </c>
      <c r="T6701">
        <v>-0.20985980000000001</v>
      </c>
      <c r="U6701">
        <v>1.098068</v>
      </c>
      <c r="V6701">
        <v>0.39708490000000002</v>
      </c>
      <c r="W6701">
        <v>0.16577020000000001</v>
      </c>
      <c r="X6701">
        <v>0.90268700000000002</v>
      </c>
      <c r="Y6701">
        <v>0.69304709999999903</v>
      </c>
      <c r="Z6701">
        <v>-6.8453829999999993E-2</v>
      </c>
      <c r="AA6701">
        <v>0.71763489999999996</v>
      </c>
      <c r="AB6701">
        <v>17</v>
      </c>
      <c r="AC6701">
        <v>16.253</v>
      </c>
      <c r="AD6701">
        <v>-1.1055464861040001</v>
      </c>
      <c r="AE6701">
        <v>5.6360000000000099</v>
      </c>
      <c r="AF6701">
        <v>11.993070681343299</v>
      </c>
      <c r="AG6701">
        <v>-1.1055464861040001</v>
      </c>
      <c r="AH6701">
        <v>12.2336158132635</v>
      </c>
      <c r="AI6701">
        <v>93.692303898136501</v>
      </c>
      <c r="AJ6701">
        <v>45.568867227077398</v>
      </c>
      <c r="AK6701">
        <v>17.167333318461701</v>
      </c>
      <c r="AL6701">
        <v>80.458020120420898</v>
      </c>
      <c r="AM6701">
        <v>66.2556841227223</v>
      </c>
      <c r="AN6701">
        <v>0.99999999849252497</v>
      </c>
    </row>
    <row r="6702" spans="1:40" x14ac:dyDescent="0.25">
      <c r="A6702" t="str">
        <f>"20190312172840740"</f>
        <v>20190312172840740</v>
      </c>
      <c r="B6702" t="str">
        <f>"1552382920736102"</f>
        <v>1552382920736102</v>
      </c>
      <c r="C6702" t="s">
        <v>40</v>
      </c>
      <c r="D6702">
        <v>3.6161789999999998</v>
      </c>
      <c r="E6702">
        <v>0.63971619999999996</v>
      </c>
      <c r="F6702" t="s">
        <v>41</v>
      </c>
      <c r="G6702">
        <v>-167.95580000000001</v>
      </c>
      <c r="H6702" s="1">
        <v>-2.6166079999999999E-6</v>
      </c>
      <c r="I6702">
        <v>132.67310000000001</v>
      </c>
      <c r="J6702">
        <v>-184.51689999999999</v>
      </c>
      <c r="K6702">
        <v>1.1055440000000001</v>
      </c>
      <c r="L6702">
        <v>127.1071</v>
      </c>
      <c r="M6702">
        <v>0.45444400000000001</v>
      </c>
      <c r="N6702">
        <v>0</v>
      </c>
      <c r="O6702">
        <v>0.89066190000000001</v>
      </c>
      <c r="P6702">
        <v>0.76298480000000002</v>
      </c>
      <c r="Q6702">
        <v>0.1579844</v>
      </c>
      <c r="R6702">
        <v>0.62681350000000002</v>
      </c>
      <c r="S6702">
        <v>3.1111149999999999</v>
      </c>
      <c r="T6702">
        <v>-0.20654990000000001</v>
      </c>
      <c r="U6702">
        <v>1.0689390000000001</v>
      </c>
      <c r="V6702">
        <v>0.39673510000000001</v>
      </c>
      <c r="W6702">
        <v>0.16617179999999901</v>
      </c>
      <c r="X6702">
        <v>0.90276690000000004</v>
      </c>
      <c r="Y6702">
        <v>0.69244059999999996</v>
      </c>
      <c r="Z6702">
        <v>-6.7314159999999998E-2</v>
      </c>
      <c r="AA6702">
        <v>0.71832779999999996</v>
      </c>
      <c r="AB6702">
        <v>17</v>
      </c>
      <c r="AC6702">
        <v>16.5610999999999</v>
      </c>
      <c r="AD6702">
        <v>-1.1055466166079999</v>
      </c>
      <c r="AE6702">
        <v>5.5659999999999998</v>
      </c>
      <c r="AF6702">
        <v>12.173397461871801</v>
      </c>
      <c r="AG6702">
        <v>-1.1055466166079999</v>
      </c>
      <c r="AH6702">
        <v>12.434987752621</v>
      </c>
      <c r="AI6702">
        <v>93.635161935832798</v>
      </c>
      <c r="AJ6702">
        <v>45.609038544475403</v>
      </c>
      <c r="AK6702">
        <v>17.436821943635099</v>
      </c>
      <c r="AL6702">
        <v>80.434685959755001</v>
      </c>
      <c r="AM6702">
        <v>66.276157634556</v>
      </c>
      <c r="AN6702">
        <v>0.99999994121142799</v>
      </c>
    </row>
    <row r="6703" spans="1:40" x14ac:dyDescent="0.25">
      <c r="A6703" t="str">
        <f>"20190312172840763"</f>
        <v>20190312172840763</v>
      </c>
      <c r="B6703" t="str">
        <f>"1552382920756597"</f>
        <v>1552382920756597</v>
      </c>
      <c r="C6703" t="s">
        <v>40</v>
      </c>
      <c r="D6703">
        <v>3.5712069999999998</v>
      </c>
      <c r="E6703">
        <v>0.63899869999999903</v>
      </c>
      <c r="F6703" t="s">
        <v>41</v>
      </c>
      <c r="G6703">
        <v>-167.24850000000001</v>
      </c>
      <c r="H6703" s="1">
        <v>-2.7692999999999999E-6</v>
      </c>
      <c r="I6703">
        <v>133.12010000000001</v>
      </c>
      <c r="J6703">
        <v>-184.42590000000001</v>
      </c>
      <c r="K6703">
        <v>1.1055459999999999</v>
      </c>
      <c r="L6703">
        <v>127.259</v>
      </c>
      <c r="M6703">
        <v>0.46346579999999898</v>
      </c>
      <c r="N6703">
        <v>0</v>
      </c>
      <c r="O6703">
        <v>0.88600059999999903</v>
      </c>
      <c r="P6703">
        <v>0.76899219999999902</v>
      </c>
      <c r="Q6703">
        <v>0.1575529</v>
      </c>
      <c r="R6703">
        <v>0.61953849999999999</v>
      </c>
      <c r="S6703">
        <v>3.0892029999999999</v>
      </c>
      <c r="T6703">
        <v>-0.1977749</v>
      </c>
      <c r="U6703">
        <v>1.0756840000000001</v>
      </c>
      <c r="V6703">
        <v>0.3962138</v>
      </c>
      <c r="W6703">
        <v>0.16575609999999999</v>
      </c>
      <c r="X6703">
        <v>0.90307219999999999</v>
      </c>
      <c r="Y6703">
        <v>0.68227469999999901</v>
      </c>
      <c r="Z6703">
        <v>-6.4536259999999998E-2</v>
      </c>
      <c r="AA6703">
        <v>0.72824199999999994</v>
      </c>
      <c r="AB6703">
        <v>17</v>
      </c>
      <c r="AC6703">
        <v>17.177399999999999</v>
      </c>
      <c r="AD6703">
        <v>-1.1055487692999999</v>
      </c>
      <c r="AE6703">
        <v>5.8611000000000004</v>
      </c>
      <c r="AF6703">
        <v>12.4578102122091</v>
      </c>
      <c r="AG6703">
        <v>-1.1055487692999999</v>
      </c>
      <c r="AH6703">
        <v>13.1067765001354</v>
      </c>
      <c r="AI6703">
        <v>93.4986188230816</v>
      </c>
      <c r="AJ6703">
        <v>46.454161795340099</v>
      </c>
      <c r="AK6703">
        <v>18.116480441554401</v>
      </c>
      <c r="AL6703">
        <v>80.458838656849593</v>
      </c>
      <c r="AM6703">
        <v>66.311021898275399</v>
      </c>
      <c r="AN6703">
        <v>0.99999992920524206</v>
      </c>
    </row>
    <row r="6704" spans="1:40" x14ac:dyDescent="0.25">
      <c r="A6704" t="str">
        <f>"20190312172840785"</f>
        <v>20190312172840785</v>
      </c>
      <c r="B6704" t="str">
        <f>"1552382920776118"</f>
        <v>1552382920776118</v>
      </c>
      <c r="C6704" t="s">
        <v>40</v>
      </c>
      <c r="D6704">
        <v>3.5377990000000001</v>
      </c>
      <c r="E6704">
        <v>0.63872519999999999</v>
      </c>
      <c r="F6704" t="s">
        <v>41</v>
      </c>
      <c r="G6704">
        <v>-167.37039999999999</v>
      </c>
      <c r="H6704" s="1">
        <v>-2.7424790000000001E-6</v>
      </c>
      <c r="I6704">
        <v>133.04499999999999</v>
      </c>
      <c r="J6704">
        <v>-184.33519999999999</v>
      </c>
      <c r="K6704">
        <v>1.105542</v>
      </c>
      <c r="L6704">
        <v>127.4067</v>
      </c>
      <c r="M6704">
        <v>0.47230240000000001</v>
      </c>
      <c r="N6704">
        <v>0</v>
      </c>
      <c r="O6704">
        <v>0.88132169999999899</v>
      </c>
      <c r="P6704">
        <v>0.77475569999999905</v>
      </c>
      <c r="Q6704">
        <v>0.15765129999999999</v>
      </c>
      <c r="R6704">
        <v>0.61229060000000002</v>
      </c>
      <c r="S6704">
        <v>3.0961150000000002</v>
      </c>
      <c r="T6704">
        <v>-0.2006925</v>
      </c>
      <c r="U6704">
        <v>1.050354</v>
      </c>
      <c r="V6704">
        <v>0.395648</v>
      </c>
      <c r="W6704">
        <v>0.16586619999999999</v>
      </c>
      <c r="X6704">
        <v>0.90330010000000005</v>
      </c>
      <c r="Y6704">
        <v>0.68075010000000002</v>
      </c>
      <c r="Z6704">
        <v>-6.5412419999999999E-2</v>
      </c>
      <c r="AA6704">
        <v>0.7295893</v>
      </c>
      <c r="AB6704">
        <v>17</v>
      </c>
      <c r="AC6704">
        <v>16.964799999999901</v>
      </c>
      <c r="AD6704">
        <v>-1.1055447424789999</v>
      </c>
      <c r="AE6704">
        <v>5.6382999999999797</v>
      </c>
      <c r="AF6704">
        <v>12.2428876031153</v>
      </c>
      <c r="AG6704">
        <v>-1.1055447424789999</v>
      </c>
      <c r="AH6704">
        <v>12.933524735841999</v>
      </c>
      <c r="AI6704">
        <v>93.552219782678705</v>
      </c>
      <c r="AJ6704">
        <v>46.571338722678298</v>
      </c>
      <c r="AK6704">
        <v>17.843390600801602</v>
      </c>
      <c r="AL6704">
        <v>80.452442558655306</v>
      </c>
      <c r="AM6704">
        <v>66.346445203290202</v>
      </c>
      <c r="AN6704">
        <v>1.0000000034332199</v>
      </c>
    </row>
    <row r="6705" spans="1:40" x14ac:dyDescent="0.25">
      <c r="A6705" t="str">
        <f>"20190312172840807"</f>
        <v>20190312172840807</v>
      </c>
      <c r="B6705" t="str">
        <f>"1552382920796613"</f>
        <v>1552382920796613</v>
      </c>
      <c r="C6705" t="s">
        <v>40</v>
      </c>
      <c r="D6705">
        <v>3.5391569999999999</v>
      </c>
      <c r="E6705">
        <v>0.63839019999999902</v>
      </c>
      <c r="F6705" t="s">
        <v>41</v>
      </c>
      <c r="G6705">
        <v>-167.35550000000001</v>
      </c>
      <c r="H6705" s="1">
        <v>-2.760606E-6</v>
      </c>
      <c r="I6705">
        <v>132.9983</v>
      </c>
      <c r="J6705">
        <v>-184.2414</v>
      </c>
      <c r="K6705">
        <v>1.1055360000000001</v>
      </c>
      <c r="L6705">
        <v>127.556</v>
      </c>
      <c r="M6705">
        <v>0.48128549999999998</v>
      </c>
      <c r="N6705">
        <v>0</v>
      </c>
      <c r="O6705">
        <v>0.87644820000000001</v>
      </c>
      <c r="P6705">
        <v>0.78031300000000003</v>
      </c>
      <c r="Q6705">
        <v>0.15829670000000001</v>
      </c>
      <c r="R6705">
        <v>0.60502400000000001</v>
      </c>
      <c r="S6705">
        <v>3.1052089999999999</v>
      </c>
      <c r="T6705">
        <v>-0.20218050000000001</v>
      </c>
      <c r="U6705">
        <v>1.022583</v>
      </c>
      <c r="V6705">
        <v>0.39475149999999998</v>
      </c>
      <c r="W6705">
        <v>0.16652400000000001</v>
      </c>
      <c r="X6705">
        <v>0.90357120000000002</v>
      </c>
      <c r="Y6705">
        <v>0.67976979999999998</v>
      </c>
      <c r="Z6705">
        <v>-6.5794749999999999E-2</v>
      </c>
      <c r="AA6705">
        <v>0.73046849999999997</v>
      </c>
      <c r="AB6705">
        <v>17</v>
      </c>
      <c r="AC6705">
        <v>16.8858999999999</v>
      </c>
      <c r="AD6705">
        <v>-1.1055387606059901</v>
      </c>
      <c r="AE6705">
        <v>5.4423000000000004</v>
      </c>
      <c r="AF6705">
        <v>12.134432705481601</v>
      </c>
      <c r="AG6705">
        <v>-1.1055387606059901</v>
      </c>
      <c r="AH6705">
        <v>12.8482498314305</v>
      </c>
      <c r="AI6705">
        <v>93.579561086119298</v>
      </c>
      <c r="AJ6705">
        <v>46.636637071776903</v>
      </c>
      <c r="AK6705">
        <v>17.707179243626499</v>
      </c>
      <c r="AL6705">
        <v>80.414221351256202</v>
      </c>
      <c r="AM6705">
        <v>66.400481924523604</v>
      </c>
      <c r="AN6705">
        <v>0.99999995139884301</v>
      </c>
    </row>
    <row r="6706" spans="1:40" x14ac:dyDescent="0.25">
      <c r="A6706" t="str">
        <f>"20190312172840829"</f>
        <v>20190312172840829</v>
      </c>
      <c r="B6706" t="str">
        <f>"1552382920826870"</f>
        <v>1552382920826870</v>
      </c>
      <c r="C6706" t="s">
        <v>40</v>
      </c>
      <c r="D6706">
        <v>3.57931</v>
      </c>
      <c r="E6706">
        <v>0.6329359</v>
      </c>
      <c r="F6706" t="s">
        <v>41</v>
      </c>
      <c r="G6706">
        <v>-166.9932</v>
      </c>
      <c r="H6706" s="1">
        <v>-2.8802829999999999E-6</v>
      </c>
      <c r="I6706">
        <v>133.07149999999999</v>
      </c>
      <c r="J6706">
        <v>-184.14750000000001</v>
      </c>
      <c r="K6706">
        <v>1.105537</v>
      </c>
      <c r="L6706">
        <v>127.70180000000001</v>
      </c>
      <c r="M6706">
        <v>0.49013240000000002</v>
      </c>
      <c r="N6706">
        <v>0</v>
      </c>
      <c r="O6706">
        <v>0.87153150000000001</v>
      </c>
      <c r="P6706">
        <v>0.78565479999999999</v>
      </c>
      <c r="Q6706">
        <v>0.1589624</v>
      </c>
      <c r="R6706">
        <v>0.59789429999999999</v>
      </c>
      <c r="S6706">
        <v>3.1132049999999998</v>
      </c>
      <c r="T6706">
        <v>-0.19954340000000001</v>
      </c>
      <c r="U6706">
        <v>0.9955292</v>
      </c>
      <c r="V6706">
        <v>0.39372430000000003</v>
      </c>
      <c r="W6706">
        <v>0.1672043</v>
      </c>
      <c r="X6706">
        <v>0.90389379999999997</v>
      </c>
      <c r="Y6706">
        <v>0.67872310000000002</v>
      </c>
      <c r="Z6706">
        <v>-6.4841620000000003E-2</v>
      </c>
      <c r="AA6706">
        <v>0.73152609999999996</v>
      </c>
      <c r="AB6706">
        <v>17</v>
      </c>
      <c r="AC6706">
        <v>17.154299999999999</v>
      </c>
      <c r="AD6706">
        <v>-1.1055398802830001</v>
      </c>
      <c r="AE6706">
        <v>5.3696999999999804</v>
      </c>
      <c r="AF6706">
        <v>12.273472457069101</v>
      </c>
      <c r="AG6706">
        <v>-1.1055398802830001</v>
      </c>
      <c r="AH6706">
        <v>13.0397440144545</v>
      </c>
      <c r="AI6706">
        <v>93.532766755013398</v>
      </c>
      <c r="AJ6706">
        <v>46.7339054012674</v>
      </c>
      <c r="AK6706">
        <v>17.941439979662601</v>
      </c>
      <c r="AL6706">
        <v>80.374689756555696</v>
      </c>
      <c r="AM6706">
        <v>66.462689446500804</v>
      </c>
      <c r="AN6706">
        <v>1.0000000520137</v>
      </c>
    </row>
    <row r="6707" spans="1:40" x14ac:dyDescent="0.25">
      <c r="A6707" t="str">
        <f>"20190312172840852"</f>
        <v>20190312172840852</v>
      </c>
      <c r="B6707" t="str">
        <f>"1552382920846390"</f>
        <v>1552382920846390</v>
      </c>
      <c r="C6707" t="s">
        <v>40</v>
      </c>
      <c r="D6707">
        <v>3.5420759999999998</v>
      </c>
      <c r="E6707">
        <v>0.6323915</v>
      </c>
      <c r="F6707" t="s">
        <v>41</v>
      </c>
      <c r="G6707">
        <v>-167.89</v>
      </c>
      <c r="H6707" s="1">
        <v>-2.5645350000000001E-6</v>
      </c>
      <c r="I6707">
        <v>132.96379999999999</v>
      </c>
      <c r="J6707">
        <v>-184.04820000000001</v>
      </c>
      <c r="K6707">
        <v>1.105537</v>
      </c>
      <c r="L6707">
        <v>127.8522</v>
      </c>
      <c r="M6707">
        <v>0.4993204</v>
      </c>
      <c r="N6707">
        <v>0</v>
      </c>
      <c r="O6707">
        <v>0.86630019999999996</v>
      </c>
      <c r="P6707">
        <v>0.7914928</v>
      </c>
      <c r="Q6707">
        <v>0.159516299999999</v>
      </c>
      <c r="R6707">
        <v>0.58999469999999898</v>
      </c>
      <c r="S6707">
        <v>3.098007</v>
      </c>
      <c r="T6707">
        <v>-0.21067069999999999</v>
      </c>
      <c r="U6707">
        <v>1.002731</v>
      </c>
      <c r="V6707">
        <v>0.39313130000000002</v>
      </c>
      <c r="W6707">
        <v>0.1677689</v>
      </c>
      <c r="X6707">
        <v>0.9040473</v>
      </c>
      <c r="Y6707">
        <v>0.66807439999999996</v>
      </c>
      <c r="Z6707">
        <v>-6.833169E-2</v>
      </c>
      <c r="AA6707">
        <v>0.74095040000000001</v>
      </c>
      <c r="AB6707">
        <v>17</v>
      </c>
      <c r="AC6707">
        <v>16.158200000000001</v>
      </c>
      <c r="AD6707">
        <v>-1.1055395645349999</v>
      </c>
      <c r="AE6707">
        <v>5.1115999999999904</v>
      </c>
      <c r="AF6707">
        <v>11.398184409728</v>
      </c>
      <c r="AG6707">
        <v>-1.1055395645349999</v>
      </c>
      <c r="AH6707">
        <v>12.444611424619501</v>
      </c>
      <c r="AI6707">
        <v>93.748148054617602</v>
      </c>
      <c r="AJ6707">
        <v>47.513019048750202</v>
      </c>
      <c r="AK6707">
        <v>16.911805908201799</v>
      </c>
      <c r="AL6707">
        <v>80.341877252472898</v>
      </c>
      <c r="AM6707">
        <v>66.497849572224297</v>
      </c>
      <c r="AN6707">
        <v>1.00000007174209</v>
      </c>
    </row>
    <row r="6708" spans="1:40" x14ac:dyDescent="0.25">
      <c r="A6708" t="str">
        <f>"20190312172840874"</f>
        <v>20190312172840874</v>
      </c>
      <c r="B6708" t="str">
        <f>"1552382920866886"</f>
        <v>1552382920866886</v>
      </c>
      <c r="C6708" t="s">
        <v>40</v>
      </c>
      <c r="D6708">
        <v>3.4824320000000002</v>
      </c>
      <c r="E6708">
        <v>0.6320209</v>
      </c>
      <c r="F6708" t="s">
        <v>41</v>
      </c>
      <c r="G6708">
        <v>-167.8792</v>
      </c>
      <c r="H6708" s="1">
        <v>-2.578088E-6</v>
      </c>
      <c r="I6708">
        <v>132.92850000000001</v>
      </c>
      <c r="J6708">
        <v>-183.95310000000001</v>
      </c>
      <c r="K6708">
        <v>1.1055459999999999</v>
      </c>
      <c r="L6708">
        <v>127.9932</v>
      </c>
      <c r="M6708">
        <v>0.5079747</v>
      </c>
      <c r="N6708">
        <v>0</v>
      </c>
      <c r="O6708">
        <v>0.86125399999999996</v>
      </c>
      <c r="P6708">
        <v>0.79665339999999996</v>
      </c>
      <c r="Q6708">
        <v>0.15953639999999999</v>
      </c>
      <c r="R6708">
        <v>0.58300220000000003</v>
      </c>
      <c r="S6708">
        <v>3.1061709999999998</v>
      </c>
      <c r="T6708">
        <v>-0.21238090000000001</v>
      </c>
      <c r="U6708">
        <v>0.97518919999999998</v>
      </c>
      <c r="V6708">
        <v>0.39202730000000002</v>
      </c>
      <c r="W6708">
        <v>0.16781550000000001</v>
      </c>
      <c r="X6708">
        <v>0.90451780000000004</v>
      </c>
      <c r="Y6708">
        <v>0.66713489999999998</v>
      </c>
      <c r="Z6708">
        <v>-6.8761580000000003E-2</v>
      </c>
      <c r="AA6708">
        <v>0.74175659999999999</v>
      </c>
      <c r="AB6708">
        <v>17</v>
      </c>
      <c r="AC6708">
        <v>16.073899999999998</v>
      </c>
      <c r="AD6708">
        <v>-1.1055485780879999</v>
      </c>
      <c r="AE6708">
        <v>4.9353000000000096</v>
      </c>
      <c r="AF6708">
        <v>11.289052561232699</v>
      </c>
      <c r="AG6708">
        <v>-1.1055485780879999</v>
      </c>
      <c r="AH6708">
        <v>12.3634956491381</v>
      </c>
      <c r="AI6708">
        <v>93.777981622331694</v>
      </c>
      <c r="AJ6708">
        <v>47.600935919859801</v>
      </c>
      <c r="AK6708">
        <v>16.778586652487899</v>
      </c>
      <c r="AL6708">
        <v>80.339167666496905</v>
      </c>
      <c r="AM6708">
        <v>66.567596249289096</v>
      </c>
      <c r="AN6708">
        <v>0.99999994825118799</v>
      </c>
    </row>
    <row r="6709" spans="1:40" x14ac:dyDescent="0.25">
      <c r="A6709" t="str">
        <f>"20190312172840897"</f>
        <v>20190312172840897</v>
      </c>
      <c r="B6709" t="str">
        <f>"1552382920886406"</f>
        <v>1552382920886406</v>
      </c>
      <c r="C6709" t="s">
        <v>40</v>
      </c>
      <c r="D6709">
        <v>3.5194320000000001</v>
      </c>
      <c r="E6709">
        <v>0.62686940000000002</v>
      </c>
      <c r="F6709" t="s">
        <v>41</v>
      </c>
      <c r="G6709">
        <v>-167.76179999999999</v>
      </c>
      <c r="H6709" s="1">
        <v>-2.6219499999999999E-6</v>
      </c>
      <c r="I6709">
        <v>132.9331</v>
      </c>
      <c r="J6709">
        <v>-183.85149999999999</v>
      </c>
      <c r="K6709">
        <v>1.1055600000000001</v>
      </c>
      <c r="L6709">
        <v>128.1405</v>
      </c>
      <c r="M6709">
        <v>0.51705630000000002</v>
      </c>
      <c r="N6709">
        <v>0</v>
      </c>
      <c r="O6709">
        <v>0.85583259999999906</v>
      </c>
      <c r="P6709">
        <v>0.80220849999999999</v>
      </c>
      <c r="Q6709">
        <v>0.15976650000000001</v>
      </c>
      <c r="R6709">
        <v>0.57527050000000002</v>
      </c>
      <c r="S6709">
        <v>3.1132049999999998</v>
      </c>
      <c r="T6709">
        <v>-0.21257110000000001</v>
      </c>
      <c r="U6709">
        <v>0.94981380000000004</v>
      </c>
      <c r="V6709">
        <v>0.39116469999999998</v>
      </c>
      <c r="W6709">
        <v>0.16807349999999999</v>
      </c>
      <c r="X6709">
        <v>0.90484339999999996</v>
      </c>
      <c r="Y6709">
        <v>0.66526879999999999</v>
      </c>
      <c r="Z6709">
        <v>-6.8665089999999998E-2</v>
      </c>
      <c r="AA6709">
        <v>0.74343959999999998</v>
      </c>
      <c r="AB6709">
        <v>17</v>
      </c>
      <c r="AC6709">
        <v>16.089699999999901</v>
      </c>
      <c r="AD6709">
        <v>-1.1055626219499901</v>
      </c>
      <c r="AE6709">
        <v>4.7925999999999904</v>
      </c>
      <c r="AF6709">
        <v>11.2444310582143</v>
      </c>
      <c r="AG6709">
        <v>-1.1055626219499901</v>
      </c>
      <c r="AH6709">
        <v>12.3685691874096</v>
      </c>
      <c r="AI6709">
        <v>93.783956787763699</v>
      </c>
      <c r="AJ6709">
        <v>47.7256078158794</v>
      </c>
      <c r="AK6709">
        <v>16.7523431876775</v>
      </c>
      <c r="AL6709">
        <v>80.324173374057196</v>
      </c>
      <c r="AM6709">
        <v>66.621123778599397</v>
      </c>
      <c r="AN6709">
        <v>1.0000000512259399</v>
      </c>
    </row>
    <row r="6710" spans="1:40" x14ac:dyDescent="0.25">
      <c r="A6710" t="str">
        <f>"20190312172840918"</f>
        <v>20190312172840918</v>
      </c>
      <c r="B6710" t="str">
        <f>"1552382920906902"</f>
        <v>1552382920906902</v>
      </c>
      <c r="C6710" t="s">
        <v>40</v>
      </c>
      <c r="D6710">
        <v>3.5134310000000002</v>
      </c>
      <c r="E6710">
        <v>0.62632719999999997</v>
      </c>
      <c r="F6710" t="s">
        <v>41</v>
      </c>
      <c r="G6710">
        <v>-168.13120000000001</v>
      </c>
      <c r="H6710" s="1">
        <v>-2.4686770000000002E-6</v>
      </c>
      <c r="I6710">
        <v>132.976</v>
      </c>
      <c r="J6710">
        <v>-183.7542</v>
      </c>
      <c r="K6710">
        <v>1.105575</v>
      </c>
      <c r="L6710">
        <v>128.2784</v>
      </c>
      <c r="M6710">
        <v>0.52560059999999997</v>
      </c>
      <c r="N6710">
        <v>0</v>
      </c>
      <c r="O6710">
        <v>0.85061189999999998</v>
      </c>
      <c r="P6710">
        <v>0.8072376</v>
      </c>
      <c r="Q6710">
        <v>0.16001509999999999</v>
      </c>
      <c r="R6710">
        <v>0.56812209999999996</v>
      </c>
      <c r="S6710">
        <v>3.0994109999999999</v>
      </c>
      <c r="T6710">
        <v>-0.21797259999999999</v>
      </c>
      <c r="U6710">
        <v>0.95336909999999997</v>
      </c>
      <c r="V6710">
        <v>0.3900941</v>
      </c>
      <c r="W6710">
        <v>0.16835459999999999</v>
      </c>
      <c r="X6710">
        <v>0.90525319999999998</v>
      </c>
      <c r="Y6710">
        <v>0.65592629999999996</v>
      </c>
      <c r="Z6710">
        <v>-7.0285020000000004E-2</v>
      </c>
      <c r="AA6710">
        <v>0.75154549999999998</v>
      </c>
      <c r="AB6710">
        <v>17</v>
      </c>
      <c r="AC6710">
        <v>15.6229999999999</v>
      </c>
      <c r="AD6710">
        <v>-1.1055774686769999</v>
      </c>
      <c r="AE6710">
        <v>4.6975999999999898</v>
      </c>
      <c r="AF6710">
        <v>10.771678860352701</v>
      </c>
      <c r="AG6710">
        <v>-1.1055774686769999</v>
      </c>
      <c r="AH6710">
        <v>12.1527216837015</v>
      </c>
      <c r="AI6710">
        <v>93.894686805736995</v>
      </c>
      <c r="AJ6710">
        <v>48.447523416759999</v>
      </c>
      <c r="AK6710">
        <v>16.276977954501501</v>
      </c>
      <c r="AL6710">
        <v>80.307834379930895</v>
      </c>
      <c r="AM6710">
        <v>66.687695858061701</v>
      </c>
      <c r="AN6710">
        <v>1.0000000171531001</v>
      </c>
    </row>
    <row r="6711" spans="1:40" x14ac:dyDescent="0.25">
      <c r="A6711" t="str">
        <f>"20190312172840942"</f>
        <v>20190312172840942</v>
      </c>
      <c r="B6711" t="str">
        <f>"1552382920936181"</f>
        <v>1552382920936181</v>
      </c>
      <c r="C6711" t="s">
        <v>40</v>
      </c>
      <c r="D6711">
        <v>3.5591339999999998</v>
      </c>
      <c r="E6711">
        <v>0.6250502</v>
      </c>
      <c r="F6711" t="s">
        <v>41</v>
      </c>
      <c r="G6711">
        <v>-168.42939999999999</v>
      </c>
      <c r="H6711" s="1">
        <v>-2.3836349999999998E-6</v>
      </c>
      <c r="I6711">
        <v>132.86529999999999</v>
      </c>
      <c r="J6711">
        <v>-183.64879999999999</v>
      </c>
      <c r="K6711">
        <v>1.1055900000000001</v>
      </c>
      <c r="L6711">
        <v>128.42449999999999</v>
      </c>
      <c r="M6711">
        <v>0.53467699999999996</v>
      </c>
      <c r="N6711">
        <v>0</v>
      </c>
      <c r="O6711">
        <v>0.84493609999999897</v>
      </c>
      <c r="P6711">
        <v>0.8131005</v>
      </c>
      <c r="Q6711">
        <v>0.16018470000000001</v>
      </c>
      <c r="R6711">
        <v>0.55965039999999999</v>
      </c>
      <c r="S6711">
        <v>3.10643</v>
      </c>
      <c r="T6711">
        <v>-0.22410740000000001</v>
      </c>
      <c r="U6711">
        <v>0.92977909999999997</v>
      </c>
      <c r="V6711">
        <v>0.3898353</v>
      </c>
      <c r="W6711">
        <v>0.168544</v>
      </c>
      <c r="X6711">
        <v>0.90532939999999995</v>
      </c>
      <c r="Y6711">
        <v>0.65342270000000002</v>
      </c>
      <c r="Z6711">
        <v>-7.2033929999999996E-2</v>
      </c>
      <c r="AA6711">
        <v>0.75355830000000001</v>
      </c>
      <c r="AB6711">
        <v>17</v>
      </c>
      <c r="AC6711">
        <v>15.2194</v>
      </c>
      <c r="AD6711">
        <v>-1.1055923836349999</v>
      </c>
      <c r="AE6711">
        <v>4.4407999999999896</v>
      </c>
      <c r="AF6711">
        <v>10.4353461075975</v>
      </c>
      <c r="AG6711">
        <v>-1.1055923836349999</v>
      </c>
      <c r="AH6711">
        <v>11.833319124779999</v>
      </c>
      <c r="AI6711">
        <v>94.008436657588703</v>
      </c>
      <c r="AJ6711">
        <v>48.592176646098402</v>
      </c>
      <c r="AK6711">
        <v>15.816011646840201</v>
      </c>
      <c r="AL6711">
        <v>80.296824895883901</v>
      </c>
      <c r="AM6711">
        <v>66.703263960925895</v>
      </c>
      <c r="AN6711">
        <v>0.99999998178322402</v>
      </c>
    </row>
    <row r="6712" spans="1:40" x14ac:dyDescent="0.25">
      <c r="A6712" t="str">
        <f>"20190312172840964"</f>
        <v>20190312172840964</v>
      </c>
      <c r="B6712" t="str">
        <f>"1552382920956678"</f>
        <v>1552382920956678</v>
      </c>
      <c r="C6712" t="s">
        <v>40</v>
      </c>
      <c r="D6712">
        <v>3.5694110000000001</v>
      </c>
      <c r="E6712">
        <v>0.62428779999999995</v>
      </c>
      <c r="F6712" t="s">
        <v>41</v>
      </c>
      <c r="G6712">
        <v>-168.56790000000001</v>
      </c>
      <c r="H6712" s="1">
        <v>-2.3433539999999999E-6</v>
      </c>
      <c r="I6712">
        <v>132.8168</v>
      </c>
      <c r="J6712">
        <v>-183.54390000000001</v>
      </c>
      <c r="K6712">
        <v>1.10561</v>
      </c>
      <c r="L6712">
        <v>128.5667</v>
      </c>
      <c r="M6712">
        <v>0.54354029999999998</v>
      </c>
      <c r="N6712">
        <v>0</v>
      </c>
      <c r="O6712">
        <v>0.83926179999999995</v>
      </c>
      <c r="P6712">
        <v>0.81898300000000002</v>
      </c>
      <c r="Q6712">
        <v>0.16057539999999901</v>
      </c>
      <c r="R6712">
        <v>0.55089239999999995</v>
      </c>
      <c r="S6712">
        <v>3.1109010000000001</v>
      </c>
      <c r="T6712">
        <v>-0.22806170000000001</v>
      </c>
      <c r="U6712">
        <v>0.90603639999999996</v>
      </c>
      <c r="V6712">
        <v>0.38995669999999999</v>
      </c>
      <c r="W6712">
        <v>0.16894729999999999</v>
      </c>
      <c r="X6712">
        <v>0.90520199999999995</v>
      </c>
      <c r="Y6712">
        <v>0.65096480000000001</v>
      </c>
      <c r="Z6712">
        <v>-7.3119390000000006E-2</v>
      </c>
      <c r="AA6712">
        <v>0.75557819999999998</v>
      </c>
      <c r="AB6712">
        <v>17</v>
      </c>
      <c r="AC6712">
        <v>14.976000000000001</v>
      </c>
      <c r="AD6712">
        <v>-1.1056123433539999</v>
      </c>
      <c r="AE6712">
        <v>4.2500999999999998</v>
      </c>
      <c r="AF6712">
        <v>10.208238263781199</v>
      </c>
      <c r="AG6712">
        <v>-1.1056123433539999</v>
      </c>
      <c r="AH6712">
        <v>11.6494383386348</v>
      </c>
      <c r="AI6712">
        <v>94.082804235558001</v>
      </c>
      <c r="AJ6712">
        <v>48.772373873932601</v>
      </c>
      <c r="AK6712">
        <v>15.528680584955</v>
      </c>
      <c r="AL6712">
        <v>80.273381883945206</v>
      </c>
      <c r="AM6712">
        <v>66.693853185465798</v>
      </c>
      <c r="AN6712">
        <v>1.0000000394280799</v>
      </c>
    </row>
    <row r="6713" spans="1:40" x14ac:dyDescent="0.25">
      <c r="A6713" t="str">
        <f>"20190312172840986"</f>
        <v>20190312172840986</v>
      </c>
      <c r="B6713" t="str">
        <f>"1552382920976198"</f>
        <v>1552382920976198</v>
      </c>
      <c r="C6713" t="s">
        <v>40</v>
      </c>
      <c r="D6713">
        <v>3.524076</v>
      </c>
      <c r="E6713">
        <v>0.61860280000000001</v>
      </c>
      <c r="F6713" t="s">
        <v>41</v>
      </c>
      <c r="G6713">
        <v>-168.5078</v>
      </c>
      <c r="H6713" s="1">
        <v>-2.3705960000000001E-6</v>
      </c>
      <c r="I6713">
        <v>132.80099999999999</v>
      </c>
      <c r="J6713">
        <v>-183.4393</v>
      </c>
      <c r="K6713">
        <v>1.1056269999999999</v>
      </c>
      <c r="L6713">
        <v>128.7056</v>
      </c>
      <c r="M6713">
        <v>0.55221119999999901</v>
      </c>
      <c r="N6713">
        <v>0</v>
      </c>
      <c r="O6713">
        <v>0.83358220000000005</v>
      </c>
      <c r="P6713">
        <v>0.824843199999999</v>
      </c>
      <c r="Q6713">
        <v>0.160504799999999</v>
      </c>
      <c r="R6713">
        <v>0.54209969999999996</v>
      </c>
      <c r="S6713">
        <v>3.1174930000000001</v>
      </c>
      <c r="T6713">
        <v>-0.22923080000000001</v>
      </c>
      <c r="U6713">
        <v>0.87791439999999998</v>
      </c>
      <c r="V6713">
        <v>0.39026149999999998</v>
      </c>
      <c r="W6713">
        <v>0.16888619999999999</v>
      </c>
      <c r="X6713">
        <v>0.90508200000000005</v>
      </c>
      <c r="Y6713">
        <v>0.64981829999999996</v>
      </c>
      <c r="Z6713">
        <v>-7.3318060000000004E-2</v>
      </c>
      <c r="AA6713">
        <v>0.75654519999999903</v>
      </c>
      <c r="AB6713">
        <v>17</v>
      </c>
      <c r="AC6713">
        <v>14.9315</v>
      </c>
      <c r="AD6713">
        <v>-1.1056293705959901</v>
      </c>
      <c r="AE6713">
        <v>4.0954000000000104</v>
      </c>
      <c r="AF6713">
        <v>10.134464638713901</v>
      </c>
      <c r="AG6713">
        <v>-1.1056293705959901</v>
      </c>
      <c r="AH6713">
        <v>11.601222408796801</v>
      </c>
      <c r="AI6713">
        <v>94.105283412720894</v>
      </c>
      <c r="AJ6713">
        <v>48.860554880143802</v>
      </c>
      <c r="AK6713">
        <v>15.444032866995499</v>
      </c>
      <c r="AL6713">
        <v>80.276933374255705</v>
      </c>
      <c r="AM6713">
        <v>66.674820767041993</v>
      </c>
      <c r="AN6713">
        <v>1.0000000068283399</v>
      </c>
    </row>
    <row r="6714" spans="1:40" x14ac:dyDescent="0.25">
      <c r="A6714" t="str">
        <f>"20190312172841008"</f>
        <v>20190312172841008</v>
      </c>
      <c r="B6714" t="str">
        <f>"1552382920996694"</f>
        <v>1552382920996694</v>
      </c>
      <c r="C6714" t="s">
        <v>40</v>
      </c>
      <c r="D6714">
        <v>3.5382310000000001</v>
      </c>
      <c r="E6714">
        <v>0.61729460000000003</v>
      </c>
      <c r="F6714" t="s">
        <v>41</v>
      </c>
      <c r="G6714">
        <v>-169.0206</v>
      </c>
      <c r="H6714" s="1">
        <v>-2.172385E-6</v>
      </c>
      <c r="I6714">
        <v>132.80600000000001</v>
      </c>
      <c r="J6714">
        <v>-183.3383</v>
      </c>
      <c r="K6714">
        <v>1.1056459999999999</v>
      </c>
      <c r="L6714">
        <v>128.83680000000001</v>
      </c>
      <c r="M6714">
        <v>0.56042119999999995</v>
      </c>
      <c r="N6714">
        <v>0</v>
      </c>
      <c r="O6714">
        <v>0.82808490000000001</v>
      </c>
      <c r="P6714">
        <v>0.83045419999999903</v>
      </c>
      <c r="Q6714">
        <v>0.1605307</v>
      </c>
      <c r="R6714">
        <v>0.5334565</v>
      </c>
      <c r="S6714">
        <v>3.103348</v>
      </c>
      <c r="T6714">
        <v>-0.2379656</v>
      </c>
      <c r="U6714">
        <v>0.88252260000000005</v>
      </c>
      <c r="V6714">
        <v>0.39076060000000001</v>
      </c>
      <c r="W6714">
        <v>0.16891719999999999</v>
      </c>
      <c r="X6714">
        <v>0.90486089999999997</v>
      </c>
      <c r="Y6714">
        <v>0.6401097</v>
      </c>
      <c r="Z6714">
        <v>-7.5913980000000006E-2</v>
      </c>
      <c r="AA6714">
        <v>0.76452390000000003</v>
      </c>
      <c r="AB6714">
        <v>17</v>
      </c>
      <c r="AC6714">
        <v>14.3177</v>
      </c>
      <c r="AD6714">
        <v>-1.105648172385</v>
      </c>
      <c r="AE6714">
        <v>3.9691999999999998</v>
      </c>
      <c r="AF6714">
        <v>9.5797772919073392</v>
      </c>
      <c r="AG6714">
        <v>-1.105648172385</v>
      </c>
      <c r="AH6714">
        <v>11.2496308017106</v>
      </c>
      <c r="AI6714">
        <v>94.279351110488406</v>
      </c>
      <c r="AJ6714">
        <v>49.583489769563897</v>
      </c>
      <c r="AK6714">
        <v>14.8171786794395</v>
      </c>
      <c r="AL6714">
        <v>80.2751318138546</v>
      </c>
      <c r="AM6714">
        <v>66.643089661166798</v>
      </c>
      <c r="AN6714">
        <v>1.0000000576585</v>
      </c>
    </row>
    <row r="6715" spans="1:40" x14ac:dyDescent="0.25">
      <c r="A6715" t="str">
        <f>"20190312172841030"</f>
        <v>20190312172841030</v>
      </c>
      <c r="B6715" t="str">
        <f>"1552382921026951"</f>
        <v>1552382921026951</v>
      </c>
      <c r="C6715" t="s">
        <v>40</v>
      </c>
      <c r="D6715">
        <v>3.6251730000000002</v>
      </c>
      <c r="E6715">
        <v>0.64246729999999996</v>
      </c>
      <c r="F6715" t="s">
        <v>41</v>
      </c>
      <c r="G6715">
        <v>-168.83090000000001</v>
      </c>
      <c r="H6715" s="1">
        <v>-2.23427E-6</v>
      </c>
      <c r="I6715">
        <v>132.84710000000001</v>
      </c>
      <c r="J6715">
        <v>-183.2319</v>
      </c>
      <c r="K6715">
        <v>1.1056589999999999</v>
      </c>
      <c r="L6715">
        <v>128.97190000000001</v>
      </c>
      <c r="M6715">
        <v>0.56889650000000003</v>
      </c>
      <c r="N6715">
        <v>0</v>
      </c>
      <c r="O6715">
        <v>0.82228539999999894</v>
      </c>
      <c r="P6715">
        <v>0.83601530000000002</v>
      </c>
      <c r="Q6715">
        <v>0.160653399999999</v>
      </c>
      <c r="R6715">
        <v>0.52466080000000004</v>
      </c>
      <c r="S6715">
        <v>3.106598</v>
      </c>
      <c r="T6715">
        <v>-0.23676320000000001</v>
      </c>
      <c r="U6715">
        <v>0.85876459999999999</v>
      </c>
      <c r="V6715">
        <v>0.39099400000000001</v>
      </c>
      <c r="W6715">
        <v>0.16905020000000001</v>
      </c>
      <c r="X6715">
        <v>0.90473510000000001</v>
      </c>
      <c r="Y6715">
        <v>0.63790459999999904</v>
      </c>
      <c r="Z6715">
        <v>-7.5341809999999995E-2</v>
      </c>
      <c r="AA6715">
        <v>0.76642109999999997</v>
      </c>
      <c r="AB6715">
        <v>17</v>
      </c>
      <c r="AC6715">
        <v>14.4009999999999</v>
      </c>
      <c r="AD6715">
        <v>-1.1056612342699901</v>
      </c>
      <c r="AE6715">
        <v>3.8752</v>
      </c>
      <c r="AF6715">
        <v>9.5854372762696691</v>
      </c>
      <c r="AG6715">
        <v>-1.1056612342699901</v>
      </c>
      <c r="AH6715">
        <v>11.318145021562801</v>
      </c>
      <c r="AI6715">
        <v>94.263335920747494</v>
      </c>
      <c r="AJ6715">
        <v>49.738441519614803</v>
      </c>
      <c r="AK6715">
        <v>14.872911660848199</v>
      </c>
      <c r="AL6715">
        <v>80.267399127782795</v>
      </c>
      <c r="AM6715">
        <v>66.627734091802594</v>
      </c>
      <c r="AN6715">
        <v>0.99999993966402301</v>
      </c>
    </row>
    <row r="6716" spans="1:40" x14ac:dyDescent="0.25">
      <c r="A6716" t="str">
        <f>"20190312172841053"</f>
        <v>20190312172841053</v>
      </c>
      <c r="B6716" t="str">
        <f>"1552382921046473"</f>
        <v>1552382921046473</v>
      </c>
      <c r="C6716" t="s">
        <v>40</v>
      </c>
      <c r="D6716">
        <v>3.651672</v>
      </c>
      <c r="E6716">
        <v>0.64304240000000001</v>
      </c>
      <c r="F6716" t="s">
        <v>41</v>
      </c>
      <c r="G6716">
        <v>-164.0256</v>
      </c>
      <c r="H6716" s="1">
        <v>-4.0728750000000004E-6</v>
      </c>
      <c r="I6716">
        <v>132.8723</v>
      </c>
      <c r="J6716">
        <v>-183.1224</v>
      </c>
      <c r="K6716">
        <v>1.10568</v>
      </c>
      <c r="L6716">
        <v>129.108</v>
      </c>
      <c r="M6716">
        <v>0.57744879999999998</v>
      </c>
      <c r="N6716">
        <v>0</v>
      </c>
      <c r="O6716">
        <v>0.81630230000000004</v>
      </c>
      <c r="P6716">
        <v>0.84148099999999904</v>
      </c>
      <c r="Q6716">
        <v>0.16020690000000001</v>
      </c>
      <c r="R6716">
        <v>0.51598789999999894</v>
      </c>
      <c r="S6716">
        <v>3.2143549999999999</v>
      </c>
      <c r="T6716">
        <v>-0.18504370000000001</v>
      </c>
      <c r="U6716">
        <v>0.65277099999999999</v>
      </c>
      <c r="V6716">
        <v>0.39096130000000001</v>
      </c>
      <c r="W6716">
        <v>0.16862199999999999</v>
      </c>
      <c r="X6716">
        <v>0.9048292</v>
      </c>
      <c r="Y6716">
        <v>0.68316659999999996</v>
      </c>
      <c r="Z6716">
        <v>-5.8866469999999997E-2</v>
      </c>
      <c r="AA6716">
        <v>0.72788609999999998</v>
      </c>
      <c r="AB6716">
        <v>17</v>
      </c>
      <c r="AC6716">
        <v>19.096800000000002</v>
      </c>
      <c r="AD6716">
        <v>-1.1056840728749999</v>
      </c>
      <c r="AE6716">
        <v>3.7642999999999902</v>
      </c>
      <c r="AF6716">
        <v>13.3732817353981</v>
      </c>
      <c r="AG6716">
        <v>-1.1056840728749999</v>
      </c>
      <c r="AH6716">
        <v>14.056307129914799</v>
      </c>
      <c r="AI6716">
        <v>93.261709521236796</v>
      </c>
      <c r="AJ6716">
        <v>46.426429940550001</v>
      </c>
      <c r="AK6716">
        <v>19.433141068129899</v>
      </c>
      <c r="AL6716">
        <v>80.292291101981405</v>
      </c>
      <c r="AM6716">
        <v>66.631648827577393</v>
      </c>
      <c r="AN6716">
        <v>0.99999999907716497</v>
      </c>
    </row>
    <row r="6717" spans="1:40" x14ac:dyDescent="0.25">
      <c r="A6717" t="str">
        <f>"20190312172841065"</f>
        <v>20190312172841065</v>
      </c>
      <c r="B6717" t="str">
        <f>"1552382921056230"</f>
        <v>1552382921056230</v>
      </c>
      <c r="C6717" t="s">
        <v>40</v>
      </c>
      <c r="D6717">
        <v>3.6397650000000001</v>
      </c>
      <c r="E6717">
        <v>0.64250319999999905</v>
      </c>
      <c r="F6717" t="s">
        <v>41</v>
      </c>
      <c r="G6717">
        <v>-164.86799999999999</v>
      </c>
      <c r="H6717" s="1">
        <v>-3.8228970000000004E-6</v>
      </c>
      <c r="I6717">
        <v>132.59610000000001</v>
      </c>
      <c r="J6717">
        <v>-183.059</v>
      </c>
      <c r="K6717">
        <v>1.1056919999999999</v>
      </c>
      <c r="L6717">
        <v>129.18559999999999</v>
      </c>
      <c r="M6717">
        <v>0.5823275</v>
      </c>
      <c r="N6717">
        <v>0</v>
      </c>
      <c r="O6717">
        <v>0.81282929999999998</v>
      </c>
      <c r="P6717">
        <v>0.84436900000000004</v>
      </c>
      <c r="Q6717">
        <v>0.15994129999999901</v>
      </c>
      <c r="R6717">
        <v>0.51133149999999905</v>
      </c>
      <c r="S6717">
        <v>3.2245180000000002</v>
      </c>
      <c r="T6717">
        <v>-0.1953117</v>
      </c>
      <c r="U6717">
        <v>0.61614990000000003</v>
      </c>
      <c r="V6717">
        <v>0.39057259999999999</v>
      </c>
      <c r="W6717">
        <v>0.16837339999999901</v>
      </c>
      <c r="X6717">
        <v>0.9050433</v>
      </c>
      <c r="Y6717">
        <v>0.68697379999999997</v>
      </c>
      <c r="Z6717">
        <v>-6.208549E-2</v>
      </c>
      <c r="AA6717">
        <v>0.72402519999999904</v>
      </c>
      <c r="AB6717">
        <v>17</v>
      </c>
      <c r="AC6717">
        <v>18.190999999999999</v>
      </c>
      <c r="AD6717">
        <v>-1.105695822897</v>
      </c>
      <c r="AE6717">
        <v>3.4105000000000101</v>
      </c>
      <c r="AF6717">
        <v>12.7559238500146</v>
      </c>
      <c r="AG6717">
        <v>-1.105695822897</v>
      </c>
      <c r="AH6717">
        <v>13.3190953033432</v>
      </c>
      <c r="AI6717">
        <v>93.431056189582193</v>
      </c>
      <c r="AJ6717">
        <v>46.237288888901702</v>
      </c>
      <c r="AK6717">
        <v>18.475239003046301</v>
      </c>
      <c r="AL6717">
        <v>80.306741122209104</v>
      </c>
      <c r="AM6717">
        <v>66.657325082072902</v>
      </c>
      <c r="AN6717">
        <v>0.99999996628660404</v>
      </c>
    </row>
    <row r="6718" spans="1:40" x14ac:dyDescent="0.25">
      <c r="A6718" t="str">
        <f>"20190312172841078"</f>
        <v>20190312172841078</v>
      </c>
      <c r="B6718" t="str">
        <f>"1552382921066966"</f>
        <v>1552382921066966</v>
      </c>
      <c r="C6718" t="s">
        <v>40</v>
      </c>
      <c r="D6718">
        <v>3.6533129999999998</v>
      </c>
      <c r="E6718">
        <v>0.64239829999999998</v>
      </c>
      <c r="F6718" t="s">
        <v>41</v>
      </c>
      <c r="G6718">
        <v>-164.9667</v>
      </c>
      <c r="H6718" s="1">
        <v>-3.7943190000000001E-6</v>
      </c>
      <c r="I6718">
        <v>132.56100000000001</v>
      </c>
      <c r="J6718">
        <v>-182.99770000000001</v>
      </c>
      <c r="K6718">
        <v>1.1057049999999999</v>
      </c>
      <c r="L6718">
        <v>129.25960000000001</v>
      </c>
      <c r="M6718">
        <v>0.58699029999999996</v>
      </c>
      <c r="N6718">
        <v>0</v>
      </c>
      <c r="O6718">
        <v>0.80946839999999998</v>
      </c>
      <c r="P6718">
        <v>0.8472383</v>
      </c>
      <c r="Q6718">
        <v>0.15989439999999999</v>
      </c>
      <c r="R6718">
        <v>0.50657770000000002</v>
      </c>
      <c r="S6718">
        <v>3.2258300000000002</v>
      </c>
      <c r="T6718">
        <v>-0.19714380000000001</v>
      </c>
      <c r="U6718">
        <v>0.60182190000000002</v>
      </c>
      <c r="V6718">
        <v>0.39045849999999999</v>
      </c>
      <c r="W6718">
        <v>0.16833809999999999</v>
      </c>
      <c r="X6718">
        <v>0.90509919999999999</v>
      </c>
      <c r="Y6718">
        <v>0.68592549999999997</v>
      </c>
      <c r="Z6718">
        <v>-6.2573409999999996E-2</v>
      </c>
      <c r="AA6718">
        <v>0.72497639999999997</v>
      </c>
      <c r="AB6718">
        <v>17</v>
      </c>
      <c r="AC6718">
        <v>18.030999999999999</v>
      </c>
      <c r="AD6718">
        <v>-1.105708794319</v>
      </c>
      <c r="AE6718">
        <v>3.3014000000000001</v>
      </c>
      <c r="AF6718">
        <v>12.613029376324</v>
      </c>
      <c r="AG6718">
        <v>-1.105708794319</v>
      </c>
      <c r="AH6718">
        <v>13.2096854526198</v>
      </c>
      <c r="AI6718">
        <v>93.464422658078504</v>
      </c>
      <c r="AJ6718">
        <v>46.3236328340816</v>
      </c>
      <c r="AK6718">
        <v>18.297729141699499</v>
      </c>
      <c r="AL6718">
        <v>80.308793857522005</v>
      </c>
      <c r="AM6718">
        <v>66.664701777591603</v>
      </c>
      <c r="AN6718">
        <v>1.00000005898724</v>
      </c>
    </row>
    <row r="6719" spans="1:40" x14ac:dyDescent="0.25">
      <c r="A6719" t="str">
        <f>"20190312172841091"</f>
        <v>20190312172841091</v>
      </c>
      <c r="B6719" t="str">
        <f>"1552382921086486"</f>
        <v>1552382921086486</v>
      </c>
      <c r="C6719" t="s">
        <v>40</v>
      </c>
      <c r="D6719">
        <v>3.6420050000000002</v>
      </c>
      <c r="E6719">
        <v>0.64202930000000002</v>
      </c>
      <c r="F6719" t="s">
        <v>41</v>
      </c>
      <c r="G6719">
        <v>-165.0626</v>
      </c>
      <c r="H6719" s="1">
        <v>-3.7723939999999999E-6</v>
      </c>
      <c r="I6719">
        <v>132.505</v>
      </c>
      <c r="J6719">
        <v>-182.9359</v>
      </c>
      <c r="K6719">
        <v>1.1057129999999999</v>
      </c>
      <c r="L6719">
        <v>129.33349999999999</v>
      </c>
      <c r="M6719">
        <v>0.59164119999999998</v>
      </c>
      <c r="N6719">
        <v>0</v>
      </c>
      <c r="O6719">
        <v>0.80607530000000005</v>
      </c>
      <c r="P6719">
        <v>0.85003819999999997</v>
      </c>
      <c r="Q6719">
        <v>0.1601215</v>
      </c>
      <c r="R6719">
        <v>0.50179309999999999</v>
      </c>
      <c r="S6719">
        <v>3.2291259999999999</v>
      </c>
      <c r="T6719">
        <v>-0.1990777</v>
      </c>
      <c r="U6719">
        <v>0.58432010000000001</v>
      </c>
      <c r="V6719">
        <v>0.39031310000000002</v>
      </c>
      <c r="W6719">
        <v>0.16857639999999999</v>
      </c>
      <c r="X6719">
        <v>0.90511750000000002</v>
      </c>
      <c r="Y6719">
        <v>0.68563859999999999</v>
      </c>
      <c r="Z6719">
        <v>-6.3083070000000005E-2</v>
      </c>
      <c r="AA6719">
        <v>0.72520359999999995</v>
      </c>
      <c r="AB6719">
        <v>17</v>
      </c>
      <c r="AC6719">
        <v>17.8733</v>
      </c>
      <c r="AD6719">
        <v>-1.105716772394</v>
      </c>
      <c r="AE6719">
        <v>3.1715</v>
      </c>
      <c r="AF6719">
        <v>12.485782928742699</v>
      </c>
      <c r="AG6719">
        <v>-1.105716772394</v>
      </c>
      <c r="AH6719">
        <v>13.083837837166801</v>
      </c>
      <c r="AI6719">
        <v>93.498631758404997</v>
      </c>
      <c r="AJ6719">
        <v>46.339862488796001</v>
      </c>
      <c r="AK6719">
        <v>18.119166577790299</v>
      </c>
      <c r="AL6719">
        <v>80.294941779814394</v>
      </c>
      <c r="AM6719">
        <v>66.672883565617695</v>
      </c>
      <c r="AN6719">
        <v>1.0000000037374099</v>
      </c>
    </row>
    <row r="6720" spans="1:40" x14ac:dyDescent="0.25">
      <c r="A6720" t="str">
        <f>"20190312172841103"</f>
        <v>20190312172841103</v>
      </c>
      <c r="B6720" t="str">
        <f>"1552382921096246"</f>
        <v>1552382921096246</v>
      </c>
      <c r="C6720" t="s">
        <v>40</v>
      </c>
      <c r="D6720">
        <v>3.6258810000000001</v>
      </c>
      <c r="E6720">
        <v>0.64146669999999995</v>
      </c>
      <c r="F6720" t="s">
        <v>41</v>
      </c>
      <c r="G6720">
        <v>-164.38759999999999</v>
      </c>
      <c r="H6720" s="1">
        <v>-4.0071199999999998E-6</v>
      </c>
      <c r="I6720">
        <v>132.59700000000001</v>
      </c>
      <c r="J6720">
        <v>-182.8759</v>
      </c>
      <c r="K6720">
        <v>1.105728</v>
      </c>
      <c r="L6720">
        <v>129.40430000000001</v>
      </c>
      <c r="M6720">
        <v>0.59610620000000003</v>
      </c>
      <c r="N6720">
        <v>0</v>
      </c>
      <c r="O6720">
        <v>0.80277900000000002</v>
      </c>
      <c r="P6720">
        <v>0.85272599999999998</v>
      </c>
      <c r="Q6720">
        <v>0.1602151</v>
      </c>
      <c r="R6720">
        <v>0.4971815</v>
      </c>
      <c r="S6720">
        <v>3.2300420000000001</v>
      </c>
      <c r="T6720">
        <v>-0.1925521</v>
      </c>
      <c r="U6720">
        <v>0.56831359999999997</v>
      </c>
      <c r="V6720">
        <v>0.39017410000000002</v>
      </c>
      <c r="W6720">
        <v>0.16868029999999901</v>
      </c>
      <c r="X6720">
        <v>0.90515809999999997</v>
      </c>
      <c r="Y6720">
        <v>0.68527349999999998</v>
      </c>
      <c r="Z6720">
        <v>-6.0955700000000002E-2</v>
      </c>
      <c r="AA6720">
        <v>0.7257304</v>
      </c>
      <c r="AB6720">
        <v>17</v>
      </c>
      <c r="AC6720">
        <v>18.488299999999999</v>
      </c>
      <c r="AD6720">
        <v>-1.1057320071200001</v>
      </c>
      <c r="AE6720">
        <v>3.1926999999999999</v>
      </c>
      <c r="AF6720">
        <v>12.895356372080199</v>
      </c>
      <c r="AG6720">
        <v>-1.1057320071200001</v>
      </c>
      <c r="AH6720">
        <v>13.538380582693501</v>
      </c>
      <c r="AI6720">
        <v>93.384503299269298</v>
      </c>
      <c r="AJ6720">
        <v>46.393496078510204</v>
      </c>
      <c r="AK6720">
        <v>18.729671861417401</v>
      </c>
      <c r="AL6720">
        <v>80.288902507927602</v>
      </c>
      <c r="AM6720">
        <v>66.681237522587097</v>
      </c>
      <c r="AN6720">
        <v>1.0000000289572499</v>
      </c>
    </row>
    <row r="6721" spans="1:40" x14ac:dyDescent="0.25">
      <c r="A6721" t="str">
        <f>"20190312172841119"</f>
        <v>20190312172841119</v>
      </c>
      <c r="B6721" t="str">
        <f>"1552382921116743"</f>
        <v>1552382921116743</v>
      </c>
      <c r="C6721" t="s">
        <v>40</v>
      </c>
      <c r="D6721">
        <v>3.64934</v>
      </c>
      <c r="E6721">
        <v>0.64090130000000001</v>
      </c>
      <c r="F6721" t="s">
        <v>41</v>
      </c>
      <c r="G6721">
        <v>-164.3304</v>
      </c>
      <c r="H6721" s="1">
        <v>-4.0308730000000001E-6</v>
      </c>
      <c r="I6721">
        <v>132.59030000000001</v>
      </c>
      <c r="J6721">
        <v>-182.79169999999999</v>
      </c>
      <c r="K6721">
        <v>1.1057440000000001</v>
      </c>
      <c r="L6721">
        <v>129.50229999999999</v>
      </c>
      <c r="M6721">
        <v>0.60229630000000001</v>
      </c>
      <c r="N6721">
        <v>0</v>
      </c>
      <c r="O6721">
        <v>0.7981454</v>
      </c>
      <c r="P6721">
        <v>0.85647999999999902</v>
      </c>
      <c r="Q6721">
        <v>0.16045960000000001</v>
      </c>
      <c r="R6721">
        <v>0.4906066</v>
      </c>
      <c r="S6721">
        <v>3.2307130000000002</v>
      </c>
      <c r="T6721">
        <v>-0.1926234</v>
      </c>
      <c r="U6721">
        <v>0.55502320000000005</v>
      </c>
      <c r="V6721">
        <v>0.3900979</v>
      </c>
      <c r="W6721">
        <v>0.16893739999999999</v>
      </c>
      <c r="X6721">
        <v>0.90514300000000003</v>
      </c>
      <c r="Y6721">
        <v>0.68257619999999997</v>
      </c>
      <c r="Z6721">
        <v>-6.0805049999999999E-2</v>
      </c>
      <c r="AA6721">
        <v>0.7282805</v>
      </c>
      <c r="AB6721">
        <v>17</v>
      </c>
      <c r="AC6721">
        <v>18.461299999999898</v>
      </c>
      <c r="AD6721">
        <v>-1.1057480308730001</v>
      </c>
      <c r="AE6721">
        <v>3.0880000000000201</v>
      </c>
      <c r="AF6721">
        <v>12.831438792877201</v>
      </c>
      <c r="AG6721">
        <v>-1.1057480308730001</v>
      </c>
      <c r="AH6721">
        <v>13.5379800663653</v>
      </c>
      <c r="AI6721">
        <v>93.392574905952102</v>
      </c>
      <c r="AJ6721">
        <v>46.53481386464</v>
      </c>
      <c r="AK6721">
        <v>18.685432948702001</v>
      </c>
      <c r="AL6721">
        <v>80.273957326951106</v>
      </c>
      <c r="AM6721">
        <v>66.684957837131904</v>
      </c>
      <c r="AN6721">
        <v>1.0000000335760799</v>
      </c>
    </row>
    <row r="6722" spans="1:40" x14ac:dyDescent="0.25">
      <c r="A6722" t="str">
        <f>"20190312172841143"</f>
        <v>20190312172841143</v>
      </c>
      <c r="B6722" t="str">
        <f>"1552382921136262"</f>
        <v>1552382921136262</v>
      </c>
      <c r="C6722" t="s">
        <v>40</v>
      </c>
      <c r="D6722">
        <v>3.5825670000000001</v>
      </c>
      <c r="E6722">
        <v>0.63970249999999995</v>
      </c>
      <c r="F6722" t="s">
        <v>41</v>
      </c>
      <c r="G6722">
        <v>-163.84520000000001</v>
      </c>
      <c r="H6722" s="1">
        <v>-4.2057640000000003E-6</v>
      </c>
      <c r="I6722">
        <v>132.63329999999999</v>
      </c>
      <c r="J6722">
        <v>-182.67519999999999</v>
      </c>
      <c r="K6722">
        <v>1.1057650000000001</v>
      </c>
      <c r="L6722">
        <v>129.63560000000001</v>
      </c>
      <c r="M6722">
        <v>0.61071679999999995</v>
      </c>
      <c r="N6722">
        <v>0</v>
      </c>
      <c r="O6722">
        <v>0.79172089999999995</v>
      </c>
      <c r="P6722">
        <v>0.86155769999999998</v>
      </c>
      <c r="Q6722">
        <v>0.16039349999999999</v>
      </c>
      <c r="R6722">
        <v>0.48165560000000002</v>
      </c>
      <c r="S6722">
        <v>3.2320859999999998</v>
      </c>
      <c r="T6722">
        <v>-0.1886292</v>
      </c>
      <c r="U6722">
        <v>0.53411869999999995</v>
      </c>
      <c r="V6722">
        <v>0.38994210000000001</v>
      </c>
      <c r="W6722">
        <v>0.16888900000000001</v>
      </c>
      <c r="X6722">
        <v>0.90521910000000005</v>
      </c>
      <c r="Y6722">
        <v>0.67957159999999905</v>
      </c>
      <c r="Z6722">
        <v>-5.9323769999999998E-2</v>
      </c>
      <c r="AA6722">
        <v>0.73120649999999998</v>
      </c>
      <c r="AB6722">
        <v>17</v>
      </c>
      <c r="AC6722">
        <v>18.829999999999899</v>
      </c>
      <c r="AD6722">
        <v>-1.1057692057639901</v>
      </c>
      <c r="AE6722">
        <v>2.99769999999998</v>
      </c>
      <c r="AF6722">
        <v>13.034846986384</v>
      </c>
      <c r="AG6722">
        <v>-1.1057692057639901</v>
      </c>
      <c r="AH6722">
        <v>13.828040358287801</v>
      </c>
      <c r="AI6722">
        <v>93.330203292956796</v>
      </c>
      <c r="AJ6722">
        <v>46.691308569572797</v>
      </c>
      <c r="AK6722">
        <v>19.0353529424935</v>
      </c>
      <c r="AL6722">
        <v>80.276770318473197</v>
      </c>
      <c r="AM6722">
        <v>66.695025928979803</v>
      </c>
      <c r="AN6722">
        <v>0.99999997733910895</v>
      </c>
    </row>
    <row r="6723" spans="1:40" x14ac:dyDescent="0.25">
      <c r="A6723" t="str">
        <f>"20190312172841165"</f>
        <v>20190312172841165</v>
      </c>
      <c r="B6723" t="str">
        <f>"1552382921156758"</f>
        <v>1552382921156758</v>
      </c>
      <c r="C6723" t="s">
        <v>40</v>
      </c>
      <c r="D6723">
        <v>3.5197090000000002</v>
      </c>
      <c r="E6723">
        <v>0.63896299999999995</v>
      </c>
      <c r="F6723" t="s">
        <v>41</v>
      </c>
      <c r="G6723">
        <v>-163.76179999999999</v>
      </c>
      <c r="H6723" s="1">
        <v>-4.243004E-6</v>
      </c>
      <c r="I6723">
        <v>132.61369999999999</v>
      </c>
      <c r="J6723">
        <v>-182.5609</v>
      </c>
      <c r="K6723">
        <v>1.105777</v>
      </c>
      <c r="L6723">
        <v>129.7636</v>
      </c>
      <c r="M6723">
        <v>0.61881149999999996</v>
      </c>
      <c r="N6723">
        <v>0</v>
      </c>
      <c r="O6723">
        <v>0.78541030000000001</v>
      </c>
      <c r="P6723">
        <v>0.86640810000000001</v>
      </c>
      <c r="Q6723">
        <v>0.16046740000000001</v>
      </c>
      <c r="R6723">
        <v>0.4728503</v>
      </c>
      <c r="S6723">
        <v>3.2326969999999999</v>
      </c>
      <c r="T6723">
        <v>-0.18899869999999999</v>
      </c>
      <c r="U6723">
        <v>0.50901790000000002</v>
      </c>
      <c r="V6723">
        <v>0.38985740000000002</v>
      </c>
      <c r="W6723">
        <v>0.16897779999999901</v>
      </c>
      <c r="X6723">
        <v>0.90523900000000002</v>
      </c>
      <c r="Y6723">
        <v>0.67760500000000001</v>
      </c>
      <c r="Z6723">
        <v>-5.9265819999999997E-2</v>
      </c>
      <c r="AA6723">
        <v>0.73303409999999902</v>
      </c>
      <c r="AB6723">
        <v>17</v>
      </c>
      <c r="AC6723">
        <v>18.799099999999999</v>
      </c>
      <c r="AD6723">
        <v>-1.1057812430039999</v>
      </c>
      <c r="AE6723">
        <v>2.8500999999999901</v>
      </c>
      <c r="AF6723">
        <v>12.9588229728268</v>
      </c>
      <c r="AG6723">
        <v>-1.1057812430039999</v>
      </c>
      <c r="AH6723">
        <v>13.8262426062347</v>
      </c>
      <c r="AI6723">
        <v>93.339598906578701</v>
      </c>
      <c r="AJ6723">
        <v>46.854844098995201</v>
      </c>
      <c r="AK6723">
        <v>18.9820659993823</v>
      </c>
      <c r="AL6723">
        <v>80.2716081712761</v>
      </c>
      <c r="AM6723">
        <v>66.700005634403993</v>
      </c>
      <c r="AN6723">
        <v>0.99999996817429904</v>
      </c>
    </row>
    <row r="6724" spans="1:40" x14ac:dyDescent="0.25">
      <c r="A6724" t="str">
        <f>"20190312172841187"</f>
        <v>20190312172841187</v>
      </c>
      <c r="B6724" t="str">
        <f>"1552382921176278"</f>
        <v>1552382921176278</v>
      </c>
      <c r="C6724" t="s">
        <v>40</v>
      </c>
      <c r="D6724">
        <v>3.51986</v>
      </c>
      <c r="E6724">
        <v>0.6385208</v>
      </c>
      <c r="F6724" t="s">
        <v>41</v>
      </c>
      <c r="G6724">
        <v>-163.3973</v>
      </c>
      <c r="H6724" s="1">
        <v>-4.3833349999999999E-6</v>
      </c>
      <c r="I6724">
        <v>132.6123</v>
      </c>
      <c r="J6724">
        <v>-182.4495</v>
      </c>
      <c r="K6724">
        <v>1.105796</v>
      </c>
      <c r="L6724">
        <v>129.8861</v>
      </c>
      <c r="M6724">
        <v>0.62656099999999904</v>
      </c>
      <c r="N6724">
        <v>0</v>
      </c>
      <c r="O6724">
        <v>0.77924230000000005</v>
      </c>
      <c r="P6724">
        <v>0.8709962</v>
      </c>
      <c r="Q6724">
        <v>0.15998280000000001</v>
      </c>
      <c r="R6724">
        <v>0.46451170000000003</v>
      </c>
      <c r="S6724">
        <v>3.2347109999999999</v>
      </c>
      <c r="T6724">
        <v>-0.1866498</v>
      </c>
      <c r="U6724">
        <v>0.48083500000000001</v>
      </c>
      <c r="V6724">
        <v>0.38963619999999999</v>
      </c>
      <c r="W6724">
        <v>0.1685111</v>
      </c>
      <c r="X6724">
        <v>0.90542129999999998</v>
      </c>
      <c r="Y6724">
        <v>0.6766993</v>
      </c>
      <c r="Z6724">
        <v>-5.8367330000000002E-2</v>
      </c>
      <c r="AA6724">
        <v>0.73394230000000005</v>
      </c>
      <c r="AB6724">
        <v>17</v>
      </c>
      <c r="AC6724">
        <v>19.052199999999999</v>
      </c>
      <c r="AD6724">
        <v>-1.1058003833350001</v>
      </c>
      <c r="AE6724">
        <v>2.7262</v>
      </c>
      <c r="AF6724">
        <v>13.0962493987782</v>
      </c>
      <c r="AG6724">
        <v>-1.1058003833350001</v>
      </c>
      <c r="AH6724">
        <v>14.0168901924668</v>
      </c>
      <c r="AI6724">
        <v>93.299164573429394</v>
      </c>
      <c r="AJ6724">
        <v>46.944760879633101</v>
      </c>
      <c r="AK6724">
        <v>19.214779558206001</v>
      </c>
      <c r="AL6724">
        <v>80.2987378975849</v>
      </c>
      <c r="AM6724">
        <v>66.716006155733794</v>
      </c>
      <c r="AN6724">
        <v>1.0000000448336599</v>
      </c>
    </row>
    <row r="6725" spans="1:40" x14ac:dyDescent="0.25">
      <c r="A6725" t="str">
        <f>"20190312172841201"</f>
        <v>20190312172841201</v>
      </c>
      <c r="B6725" t="str">
        <f>"1552382921196774"</f>
        <v>1552382921196774</v>
      </c>
      <c r="C6725" t="s">
        <v>40</v>
      </c>
      <c r="D6725">
        <v>3.5050400000000002</v>
      </c>
      <c r="E6725">
        <v>0.63800919999999905</v>
      </c>
      <c r="F6725" t="s">
        <v>41</v>
      </c>
      <c r="G6725">
        <v>-163.09209999999999</v>
      </c>
      <c r="H6725" s="1">
        <v>-4.5058229999999997E-6</v>
      </c>
      <c r="I6725">
        <v>132.5925</v>
      </c>
      <c r="J6725">
        <v>-182.37370000000001</v>
      </c>
      <c r="K6725">
        <v>1.10581</v>
      </c>
      <c r="L6725">
        <v>129.96770000000001</v>
      </c>
      <c r="M6725">
        <v>0.63174069999999904</v>
      </c>
      <c r="N6725">
        <v>0</v>
      </c>
      <c r="O6725">
        <v>0.77504899999999999</v>
      </c>
      <c r="P6725">
        <v>0.87399509999999903</v>
      </c>
      <c r="Q6725">
        <v>0.1599419</v>
      </c>
      <c r="R6725">
        <v>0.45885870000000001</v>
      </c>
      <c r="S6725">
        <v>3.236923</v>
      </c>
      <c r="T6725">
        <v>-0.1849113</v>
      </c>
      <c r="U6725">
        <v>0.45256039999999997</v>
      </c>
      <c r="V6725">
        <v>0.38946769999999997</v>
      </c>
      <c r="W6725">
        <v>0.16848199999999999</v>
      </c>
      <c r="X6725">
        <v>0.90549919999999995</v>
      </c>
      <c r="Y6725">
        <v>0.67818990000000001</v>
      </c>
      <c r="Z6725">
        <v>-5.7776649999999999E-2</v>
      </c>
      <c r="AA6725">
        <v>0.73261200000000004</v>
      </c>
      <c r="AB6725">
        <v>17</v>
      </c>
      <c r="AC6725">
        <v>19.281600000000001</v>
      </c>
      <c r="AD6725">
        <v>-1.105814505823</v>
      </c>
      <c r="AE6725">
        <v>2.6247999999999898</v>
      </c>
      <c r="AF6725">
        <v>13.244568528875901</v>
      </c>
      <c r="AG6725">
        <v>-1.105814505823</v>
      </c>
      <c r="AH6725">
        <v>14.1709993413898</v>
      </c>
      <c r="AI6725">
        <v>93.262909277368294</v>
      </c>
      <c r="AJ6725">
        <v>46.935410758416602</v>
      </c>
      <c r="AK6725">
        <v>19.428294921867199</v>
      </c>
      <c r="AL6725">
        <v>80.300429316760102</v>
      </c>
      <c r="AM6725">
        <v>66.726792720559203</v>
      </c>
      <c r="AN6725">
        <v>1.0000000374339599</v>
      </c>
    </row>
    <row r="6726" spans="1:40" x14ac:dyDescent="0.25">
      <c r="A6726" t="str">
        <f>"20190312172841221"</f>
        <v>20190312172841221</v>
      </c>
      <c r="B6726" t="str">
        <f>"1552382921216295"</f>
        <v>1552382921216295</v>
      </c>
      <c r="C6726" t="s">
        <v>40</v>
      </c>
      <c r="D6726">
        <v>3.5134439999999998</v>
      </c>
      <c r="E6726">
        <v>0.63733799999999996</v>
      </c>
      <c r="F6726" t="s">
        <v>41</v>
      </c>
      <c r="G6726">
        <v>-162.79929999999999</v>
      </c>
      <c r="H6726" s="1">
        <v>-4.6290570000000002E-6</v>
      </c>
      <c r="I6726">
        <v>132.59889999999999</v>
      </c>
      <c r="J6726">
        <v>-182.27449999999999</v>
      </c>
      <c r="K6726">
        <v>1.1058239999999999</v>
      </c>
      <c r="L6726">
        <v>130.07310000000001</v>
      </c>
      <c r="M6726">
        <v>0.63842959999999904</v>
      </c>
      <c r="N6726">
        <v>0</v>
      </c>
      <c r="O6726">
        <v>0.76954860000000003</v>
      </c>
      <c r="P6726">
        <v>0.87819199999999997</v>
      </c>
      <c r="Q6726">
        <v>0.15953299999999901</v>
      </c>
      <c r="R6726">
        <v>0.45091910000000002</v>
      </c>
      <c r="S6726">
        <v>3.2375180000000001</v>
      </c>
      <c r="T6726">
        <v>-0.1828969</v>
      </c>
      <c r="U6726">
        <v>0.43519590000000002</v>
      </c>
      <c r="V6726">
        <v>0.38987880000000003</v>
      </c>
      <c r="W6726">
        <v>0.16807730000000001</v>
      </c>
      <c r="X6726">
        <v>0.90539749999999997</v>
      </c>
      <c r="Y6726">
        <v>0.67575779999999996</v>
      </c>
      <c r="Z6726">
        <v>-5.6950149999999998E-2</v>
      </c>
      <c r="AA6726">
        <v>0.73492049999999998</v>
      </c>
      <c r="AB6726">
        <v>17</v>
      </c>
      <c r="AC6726">
        <v>19.475200000000001</v>
      </c>
      <c r="AD6726">
        <v>-1.1058286290570001</v>
      </c>
      <c r="AE6726">
        <v>2.5257999999999701</v>
      </c>
      <c r="AF6726">
        <v>13.333644250968099</v>
      </c>
      <c r="AG6726">
        <v>-1.1058286290570001</v>
      </c>
      <c r="AH6726">
        <v>14.3332787959339</v>
      </c>
      <c r="AI6726">
        <v>93.233106494989897</v>
      </c>
      <c r="AJ6726">
        <v>47.069255649075203</v>
      </c>
      <c r="AK6726">
        <v>19.607442643297102</v>
      </c>
      <c r="AL6726">
        <v>80.323952449577504</v>
      </c>
      <c r="AM6726">
        <v>66.702507186012696</v>
      </c>
      <c r="AN6726">
        <v>1.00000004523548</v>
      </c>
    </row>
    <row r="6727" spans="1:40" x14ac:dyDescent="0.25">
      <c r="A6727" t="str">
        <f>"20190312172841243"</f>
        <v>20190312172841243</v>
      </c>
      <c r="B6727" t="str">
        <f>"1552382921236790"</f>
        <v>1552382921236790</v>
      </c>
      <c r="C6727" t="s">
        <v>40</v>
      </c>
      <c r="D6727">
        <v>3.4888949999999999</v>
      </c>
      <c r="E6727">
        <v>0.62588390000000005</v>
      </c>
      <c r="F6727" t="s">
        <v>41</v>
      </c>
      <c r="G6727">
        <v>-162.78129999999999</v>
      </c>
      <c r="H6727" s="1">
        <v>-4.6468670000000001E-6</v>
      </c>
      <c r="I6727">
        <v>132.54640000000001</v>
      </c>
      <c r="J6727">
        <v>-182.15520000000001</v>
      </c>
      <c r="K6727">
        <v>1.1058410000000001</v>
      </c>
      <c r="L6727">
        <v>130.19759999999999</v>
      </c>
      <c r="M6727">
        <v>0.64633459999999998</v>
      </c>
      <c r="N6727">
        <v>0</v>
      </c>
      <c r="O6727">
        <v>0.76292150000000003</v>
      </c>
      <c r="P6727">
        <v>0.88255859999999997</v>
      </c>
      <c r="Q6727">
        <v>0.1600356</v>
      </c>
      <c r="R6727">
        <v>0.44212990000000002</v>
      </c>
      <c r="S6727">
        <v>3.2384949999999999</v>
      </c>
      <c r="T6727">
        <v>-0.18371670000000001</v>
      </c>
      <c r="U6727">
        <v>0.41090389999999999</v>
      </c>
      <c r="V6727">
        <v>0.38950499999999999</v>
      </c>
      <c r="W6727">
        <v>0.1685971</v>
      </c>
      <c r="X6727">
        <v>0.90546170000000004</v>
      </c>
      <c r="Y6727">
        <v>0.67360249999999999</v>
      </c>
      <c r="Z6727">
        <v>-5.6982829999999998E-2</v>
      </c>
      <c r="AA6727">
        <v>0.73689399999999905</v>
      </c>
      <c r="AB6727">
        <v>17</v>
      </c>
      <c r="AC6727">
        <v>19.373899999999999</v>
      </c>
      <c r="AD6727">
        <v>-1.1058456468669999</v>
      </c>
      <c r="AE6727">
        <v>2.34880000000001</v>
      </c>
      <c r="AF6727">
        <v>13.221544114414501</v>
      </c>
      <c r="AG6727">
        <v>-1.1058456468669999</v>
      </c>
      <c r="AH6727">
        <v>14.269603148127599</v>
      </c>
      <c r="AI6727">
        <v>93.253544518269507</v>
      </c>
      <c r="AJ6727">
        <v>47.183258927995396</v>
      </c>
      <c r="AK6727">
        <v>19.484704189932099</v>
      </c>
      <c r="AL6727">
        <v>80.293738583166402</v>
      </c>
      <c r="AM6727">
        <v>66.7239397000601</v>
      </c>
      <c r="AN6727">
        <v>1.0000000086601499</v>
      </c>
    </row>
    <row r="6728" spans="1:40" x14ac:dyDescent="0.25">
      <c r="A6728" t="str">
        <f>"20190312172841265"</f>
        <v>20190312172841265</v>
      </c>
      <c r="B6728" t="str">
        <f>"1552382921256310"</f>
        <v>1552382921256310</v>
      </c>
      <c r="C6728" t="s">
        <v>40</v>
      </c>
      <c r="D6728">
        <v>3.4837189999999998</v>
      </c>
      <c r="E6728">
        <v>0.62529569999999901</v>
      </c>
      <c r="F6728" t="s">
        <v>41</v>
      </c>
      <c r="G6728">
        <v>-163.33510000000001</v>
      </c>
      <c r="H6728" s="1">
        <v>-4.3293110000000003E-6</v>
      </c>
      <c r="I6728">
        <v>132.90520000000001</v>
      </c>
      <c r="J6728">
        <v>-182.03870000000001</v>
      </c>
      <c r="K6728">
        <v>1.1058669999999999</v>
      </c>
      <c r="L6728">
        <v>130.3167</v>
      </c>
      <c r="M6728">
        <v>0.65390630000000005</v>
      </c>
      <c r="N6728">
        <v>0</v>
      </c>
      <c r="O6728">
        <v>0.75644180000000005</v>
      </c>
      <c r="P6728">
        <v>0.88666849999999997</v>
      </c>
      <c r="Q6728">
        <v>0.16078199999999901</v>
      </c>
      <c r="R6728">
        <v>0.43355300000000002</v>
      </c>
      <c r="S6728">
        <v>3.202515</v>
      </c>
      <c r="T6728">
        <v>-0.18817619999999999</v>
      </c>
      <c r="U6728">
        <v>0.46073910000000001</v>
      </c>
      <c r="V6728">
        <v>0.38915699999999998</v>
      </c>
      <c r="W6728">
        <v>0.16935899999999901</v>
      </c>
      <c r="X6728">
        <v>0.90546910000000003</v>
      </c>
      <c r="Y6728">
        <v>0.6536246</v>
      </c>
      <c r="Z6728">
        <v>-5.8097210000000003E-2</v>
      </c>
      <c r="AA6728">
        <v>0.75458570000000003</v>
      </c>
      <c r="AB6728">
        <v>17</v>
      </c>
      <c r="AC6728">
        <v>18.703599999999899</v>
      </c>
      <c r="AD6728">
        <v>-1.1058713293110001</v>
      </c>
      <c r="AE6728">
        <v>2.58850000000001</v>
      </c>
      <c r="AF6728">
        <v>12.414225544129</v>
      </c>
      <c r="AG6728">
        <v>-1.1058713293110001</v>
      </c>
      <c r="AH6728">
        <v>14.1413794992013</v>
      </c>
      <c r="AI6728">
        <v>93.363335373955195</v>
      </c>
      <c r="AJ6728">
        <v>48.721227606885698</v>
      </c>
      <c r="AK6728">
        <v>18.8497894258246</v>
      </c>
      <c r="AL6728">
        <v>80.249447604322398</v>
      </c>
      <c r="AM6728">
        <v>66.742694299055401</v>
      </c>
      <c r="AN6728">
        <v>0.99999996629240395</v>
      </c>
    </row>
    <row r="6729" spans="1:40" x14ac:dyDescent="0.25">
      <c r="A6729" t="str">
        <f>"20190312172841287"</f>
        <v>20190312172841287</v>
      </c>
      <c r="B6729" t="str">
        <f>"1552382921276806"</f>
        <v>1552382921276806</v>
      </c>
      <c r="C6729" t="s">
        <v>40</v>
      </c>
      <c r="D6729">
        <v>3.4755880000000001</v>
      </c>
      <c r="E6729">
        <v>0.62454659999999995</v>
      </c>
      <c r="F6729" t="s">
        <v>41</v>
      </c>
      <c r="G6729">
        <v>-162.91589999999999</v>
      </c>
      <c r="H6729" s="1">
        <v>-4.5195340000000002E-6</v>
      </c>
      <c r="I6729">
        <v>132.90559999999999</v>
      </c>
      <c r="J6729">
        <v>-181.91829999999999</v>
      </c>
      <c r="K6729">
        <v>1.10589</v>
      </c>
      <c r="L6729">
        <v>130.43729999999999</v>
      </c>
      <c r="M6729">
        <v>0.6615818</v>
      </c>
      <c r="N6729">
        <v>0</v>
      </c>
      <c r="O6729">
        <v>0.74973829999999997</v>
      </c>
      <c r="P6729">
        <v>0.89074880000000001</v>
      </c>
      <c r="Q6729">
        <v>0.16152859999999999</v>
      </c>
      <c r="R6729">
        <v>0.42482389999999998</v>
      </c>
      <c r="S6729">
        <v>3.204895</v>
      </c>
      <c r="T6729">
        <v>-0.18533959999999999</v>
      </c>
      <c r="U6729">
        <v>0.43389889999999998</v>
      </c>
      <c r="V6729">
        <v>0.38872079999999998</v>
      </c>
      <c r="W6729">
        <v>0.17012260000000001</v>
      </c>
      <c r="X6729">
        <v>0.90551329999999997</v>
      </c>
      <c r="Y6729">
        <v>0.65226989999999996</v>
      </c>
      <c r="Z6729">
        <v>-5.6988619999999997E-2</v>
      </c>
      <c r="AA6729">
        <v>0.7558414</v>
      </c>
      <c r="AB6729">
        <v>17</v>
      </c>
      <c r="AC6729">
        <v>19.002399999999898</v>
      </c>
      <c r="AD6729">
        <v>-1.105894519534</v>
      </c>
      <c r="AE6729">
        <v>2.4683000000000002</v>
      </c>
      <c r="AF6729">
        <v>12.5732404175639</v>
      </c>
      <c r="AG6729">
        <v>-1.105894519534</v>
      </c>
      <c r="AH6729">
        <v>14.375795533903</v>
      </c>
      <c r="AI6729">
        <v>93.3140119725132</v>
      </c>
      <c r="AJ6729">
        <v>48.826674601681603</v>
      </c>
      <c r="AK6729">
        <v>19.130417520764802</v>
      </c>
      <c r="AL6729">
        <v>80.205052131221706</v>
      </c>
      <c r="AM6729">
        <v>66.767010289371399</v>
      </c>
      <c r="AN6729">
        <v>0.99999994793014302</v>
      </c>
    </row>
    <row r="6730" spans="1:40" x14ac:dyDescent="0.25">
      <c r="A6730" t="str">
        <f>"20190312172841309"</f>
        <v>20190312172841309</v>
      </c>
      <c r="B6730" t="str">
        <f>"1552382921306594"</f>
        <v>1552382921306594</v>
      </c>
      <c r="C6730" t="s">
        <v>40</v>
      </c>
      <c r="D6730">
        <v>3.492054</v>
      </c>
      <c r="E6730">
        <v>0.62355209999999905</v>
      </c>
      <c r="F6730" t="s">
        <v>41</v>
      </c>
      <c r="G6730">
        <v>-162.76769999999999</v>
      </c>
      <c r="H6730" s="1">
        <v>-4.5944310000000002E-6</v>
      </c>
      <c r="I6730">
        <v>132.8783</v>
      </c>
      <c r="J6730">
        <v>-181.8004</v>
      </c>
      <c r="K6730">
        <v>1.1059099999999999</v>
      </c>
      <c r="L6730">
        <v>130.553</v>
      </c>
      <c r="M6730">
        <v>0.66895799999999905</v>
      </c>
      <c r="N6730">
        <v>0</v>
      </c>
      <c r="O6730">
        <v>0.7431643</v>
      </c>
      <c r="P6730">
        <v>0.89484769999999902</v>
      </c>
      <c r="Q6730">
        <v>0.1619293</v>
      </c>
      <c r="R6730">
        <v>0.41596470000000002</v>
      </c>
      <c r="S6730">
        <v>3.206604</v>
      </c>
      <c r="T6730">
        <v>-0.18517259999999999</v>
      </c>
      <c r="U6730">
        <v>0.40872190000000003</v>
      </c>
      <c r="V6730">
        <v>0.38870199999999999</v>
      </c>
      <c r="W6730">
        <v>0.17053279999999901</v>
      </c>
      <c r="X6730">
        <v>0.90544429999999998</v>
      </c>
      <c r="Y6730">
        <v>0.65068890000000001</v>
      </c>
      <c r="Z6730">
        <v>-5.6700800000000003E-2</v>
      </c>
      <c r="AA6730">
        <v>0.75722449999999997</v>
      </c>
      <c r="AB6730">
        <v>17</v>
      </c>
      <c r="AC6730">
        <v>19.032699999999998</v>
      </c>
      <c r="AD6730">
        <v>-1.105914594431</v>
      </c>
      <c r="AE6730">
        <v>2.3252999999999902</v>
      </c>
      <c r="AF6730">
        <v>12.5484226402411</v>
      </c>
      <c r="AG6730">
        <v>-1.105914594431</v>
      </c>
      <c r="AH6730">
        <v>14.4136683912776</v>
      </c>
      <c r="AI6730">
        <v>93.311957762886195</v>
      </c>
      <c r="AJ6730">
        <v>48.957434373167096</v>
      </c>
      <c r="AK6730">
        <v>19.142617228112002</v>
      </c>
      <c r="AL6730">
        <v>80.181201693086905</v>
      </c>
      <c r="AM6730">
        <v>66.766432127034903</v>
      </c>
      <c r="AN6730">
        <v>1.00000003054116</v>
      </c>
    </row>
    <row r="6731" spans="1:40" x14ac:dyDescent="0.25">
      <c r="A6731" t="str">
        <f>"20190312172841324"</f>
        <v>20190312172841324</v>
      </c>
      <c r="B6731" t="str">
        <f>"1552382921316353"</f>
        <v>1552382921316353</v>
      </c>
      <c r="C6731" t="s">
        <v>40</v>
      </c>
      <c r="D6731">
        <v>3.52528</v>
      </c>
      <c r="E6731">
        <v>0.61790540000000005</v>
      </c>
      <c r="F6731" t="s">
        <v>41</v>
      </c>
      <c r="G6731">
        <v>-162.7612</v>
      </c>
      <c r="H6731" s="1">
        <v>-4.6044259999999998E-6</v>
      </c>
      <c r="I6731">
        <v>132.83930000000001</v>
      </c>
      <c r="J6731">
        <v>-181.7182</v>
      </c>
      <c r="K6731">
        <v>1.1059219999999901</v>
      </c>
      <c r="L6731">
        <v>130.63229999999999</v>
      </c>
      <c r="M6731">
        <v>0.67402309999999999</v>
      </c>
      <c r="N6731">
        <v>0</v>
      </c>
      <c r="O6731">
        <v>0.73857359999999905</v>
      </c>
      <c r="P6731">
        <v>0.89771569999999901</v>
      </c>
      <c r="Q6731">
        <v>0.1618009</v>
      </c>
      <c r="R6731">
        <v>0.40978890000000001</v>
      </c>
      <c r="S6731">
        <v>3.2071990000000001</v>
      </c>
      <c r="T6731">
        <v>-0.18629370000000001</v>
      </c>
      <c r="U6731">
        <v>0.38513180000000002</v>
      </c>
      <c r="V6731">
        <v>0.388762</v>
      </c>
      <c r="W6731">
        <v>0.17041110000000001</v>
      </c>
      <c r="X6731">
        <v>0.90544139999999995</v>
      </c>
      <c r="Y6731">
        <v>0.65098630000000002</v>
      </c>
      <c r="Z6731">
        <v>-5.6936760000000003E-2</v>
      </c>
      <c r="AA6731">
        <v>0.75695119999999905</v>
      </c>
      <c r="AB6731">
        <v>17</v>
      </c>
      <c r="AC6731">
        <v>18.956999999999901</v>
      </c>
      <c r="AD6731">
        <v>-1.1059266044260001</v>
      </c>
      <c r="AE6731">
        <v>2.2070000000000198</v>
      </c>
      <c r="AF6731">
        <v>12.4729513729771</v>
      </c>
      <c r="AG6731">
        <v>-1.1059266044260001</v>
      </c>
      <c r="AH6731">
        <v>14.360720756584699</v>
      </c>
      <c r="AI6731">
        <v>93.3275386369736</v>
      </c>
      <c r="AJ6731">
        <v>49.024171854251399</v>
      </c>
      <c r="AK6731">
        <v>19.053290798589899</v>
      </c>
      <c r="AL6731">
        <v>80.188277692377099</v>
      </c>
      <c r="AM6731">
        <v>66.763159755632898</v>
      </c>
      <c r="AN6731">
        <v>0.99999998224058395</v>
      </c>
    </row>
    <row r="6732" spans="1:40" x14ac:dyDescent="0.25">
      <c r="A6732" t="str">
        <f>"20190312172841335"</f>
        <v>20190312172841335</v>
      </c>
      <c r="B6732" t="str">
        <f>"1552382921326114"</f>
        <v>1552382921326114</v>
      </c>
      <c r="C6732" t="s">
        <v>40</v>
      </c>
      <c r="D6732">
        <v>3.4975649999999998</v>
      </c>
      <c r="E6732">
        <v>0.61676379999999997</v>
      </c>
      <c r="F6732" t="s">
        <v>41</v>
      </c>
      <c r="G6732">
        <v>-163.06100000000001</v>
      </c>
      <c r="H6732" s="1">
        <v>-4.4349959999999998E-6</v>
      </c>
      <c r="I6732">
        <v>132.9957</v>
      </c>
      <c r="J6732">
        <v>-181.65459999999999</v>
      </c>
      <c r="K6732">
        <v>1.105931</v>
      </c>
      <c r="L6732">
        <v>130.69280000000001</v>
      </c>
      <c r="M6732">
        <v>0.67789009999999905</v>
      </c>
      <c r="N6732">
        <v>0</v>
      </c>
      <c r="O6732">
        <v>0.73502590000000001</v>
      </c>
      <c r="P6732">
        <v>0.89988889999999999</v>
      </c>
      <c r="Q6732">
        <v>0.1618058</v>
      </c>
      <c r="R6732">
        <v>0.40499230000000003</v>
      </c>
      <c r="S6732">
        <v>3.191376</v>
      </c>
      <c r="T6732">
        <v>-0.18917210000000001</v>
      </c>
      <c r="U6732">
        <v>0.40426640000000003</v>
      </c>
      <c r="V6732">
        <v>0.38883820000000002</v>
      </c>
      <c r="W6732">
        <v>0.17041999999999999</v>
      </c>
      <c r="X6732">
        <v>0.90540699999999996</v>
      </c>
      <c r="Y6732">
        <v>0.64198849999999996</v>
      </c>
      <c r="Z6732">
        <v>-5.7663260000000001E-2</v>
      </c>
      <c r="AA6732">
        <v>0.76454290000000003</v>
      </c>
      <c r="AB6732">
        <v>17</v>
      </c>
      <c r="AC6732">
        <v>18.593599999999899</v>
      </c>
      <c r="AD6732">
        <v>-1.105935434996</v>
      </c>
      <c r="AE6732">
        <v>2.30289999999999</v>
      </c>
      <c r="AF6732">
        <v>12.0648488563636</v>
      </c>
      <c r="AG6732">
        <v>-1.105935434996</v>
      </c>
      <c r="AH6732">
        <v>14.2489042022966</v>
      </c>
      <c r="AI6732">
        <v>93.389898000139397</v>
      </c>
      <c r="AJ6732">
        <v>49.744704223053901</v>
      </c>
      <c r="AK6732">
        <v>18.703340398963601</v>
      </c>
      <c r="AL6732">
        <v>80.187760157090693</v>
      </c>
      <c r="AM6732">
        <v>66.758299258005096</v>
      </c>
      <c r="AN6732">
        <v>0.99999997891411896</v>
      </c>
    </row>
    <row r="6733" spans="1:40" x14ac:dyDescent="0.25">
      <c r="A6733" t="str">
        <f>"20190312172841349"</f>
        <v>20190312172841349</v>
      </c>
      <c r="B6733" t="str">
        <f>"1552382921346610"</f>
        <v>1552382921346610</v>
      </c>
      <c r="C6733" t="s">
        <v>40</v>
      </c>
      <c r="D6733">
        <v>3.4991780000000001</v>
      </c>
      <c r="E6733">
        <v>0.61577709999999997</v>
      </c>
      <c r="F6733" t="s">
        <v>41</v>
      </c>
      <c r="G6733">
        <v>-163.2422</v>
      </c>
      <c r="H6733" s="1">
        <v>-4.3528489999999999E-6</v>
      </c>
      <c r="I6733">
        <v>132.97579999999999</v>
      </c>
      <c r="J6733">
        <v>-181.58070000000001</v>
      </c>
      <c r="K6733">
        <v>1.105942</v>
      </c>
      <c r="L6733">
        <v>130.7627</v>
      </c>
      <c r="M6733">
        <v>0.68235299999999999</v>
      </c>
      <c r="N6733">
        <v>0</v>
      </c>
      <c r="O6733">
        <v>0.73088489999999995</v>
      </c>
      <c r="P6733">
        <v>0.90238160000000001</v>
      </c>
      <c r="Q6733">
        <v>0.161443</v>
      </c>
      <c r="R6733">
        <v>0.39955439999999998</v>
      </c>
      <c r="S6733">
        <v>3.1901860000000002</v>
      </c>
      <c r="T6733">
        <v>-0.1916167</v>
      </c>
      <c r="U6733">
        <v>0.3955688</v>
      </c>
      <c r="V6733">
        <v>0.38882879999999997</v>
      </c>
      <c r="W6733">
        <v>0.17006389999999999</v>
      </c>
      <c r="X6733">
        <v>0.90547800000000001</v>
      </c>
      <c r="Y6733">
        <v>0.63929250000000004</v>
      </c>
      <c r="Z6733">
        <v>-5.821747E-2</v>
      </c>
      <c r="AA6733">
        <v>0.76675669999999996</v>
      </c>
      <c r="AB6733">
        <v>16</v>
      </c>
      <c r="AC6733">
        <v>18.3385</v>
      </c>
      <c r="AD6733">
        <v>-1.1059463528489999</v>
      </c>
      <c r="AE6733">
        <v>2.2130999999999901</v>
      </c>
      <c r="AF6733">
        <v>11.851930178840099</v>
      </c>
      <c r="AG6733">
        <v>-1.1059463528489999</v>
      </c>
      <c r="AH6733">
        <v>14.081796810528299</v>
      </c>
      <c r="AI6733">
        <v>93.438629667375693</v>
      </c>
      <c r="AJ6733">
        <v>49.9143913250631</v>
      </c>
      <c r="AK6733">
        <v>18.4387734872059</v>
      </c>
      <c r="AL6733">
        <v>80.208465515636604</v>
      </c>
      <c r="AM6733">
        <v>66.760430453472296</v>
      </c>
      <c r="AN6733">
        <v>0.99999998713832405</v>
      </c>
    </row>
    <row r="6734" spans="1:40" x14ac:dyDescent="0.25">
      <c r="A6734" t="str">
        <f>"20190312172841366"</f>
        <v>20190312172841366</v>
      </c>
      <c r="B6734" t="str">
        <f>"1552382921356369"</f>
        <v>1552382921356369</v>
      </c>
      <c r="C6734" t="s">
        <v>40</v>
      </c>
      <c r="D6734">
        <v>3.4872540000000001</v>
      </c>
      <c r="E6734">
        <v>0.61523539999999999</v>
      </c>
      <c r="F6734" t="s">
        <v>41</v>
      </c>
      <c r="G6734">
        <v>-163.28129999999999</v>
      </c>
      <c r="H6734" s="1">
        <v>-4.3367640000000004E-6</v>
      </c>
      <c r="I6734">
        <v>132.9622</v>
      </c>
      <c r="J6734">
        <v>-181.48990000000001</v>
      </c>
      <c r="K6734">
        <v>1.105952</v>
      </c>
      <c r="L6734">
        <v>130.84700000000001</v>
      </c>
      <c r="M6734">
        <v>0.68775280000000005</v>
      </c>
      <c r="N6734">
        <v>0</v>
      </c>
      <c r="O6734">
        <v>0.72580610000000001</v>
      </c>
      <c r="P6734">
        <v>0.90540569999999998</v>
      </c>
      <c r="Q6734">
        <v>0.16131499999999999</v>
      </c>
      <c r="R6734">
        <v>0.3927059</v>
      </c>
      <c r="S6734">
        <v>3.1893009999999999</v>
      </c>
      <c r="T6734">
        <v>-0.19274949999999999</v>
      </c>
      <c r="U6734">
        <v>0.38334659999999998</v>
      </c>
      <c r="V6734">
        <v>0.38898709999999997</v>
      </c>
      <c r="W6734">
        <v>0.16994119999999999</v>
      </c>
      <c r="X6734">
        <v>0.90543309999999999</v>
      </c>
      <c r="Y6734">
        <v>0.63644840000000003</v>
      </c>
      <c r="Z6734">
        <v>-5.8330720000000003E-2</v>
      </c>
      <c r="AA6734">
        <v>0.76911039999999997</v>
      </c>
      <c r="AB6734">
        <v>16</v>
      </c>
      <c r="AC6734">
        <v>18.208600000000001</v>
      </c>
      <c r="AD6734">
        <v>-1.105956336764</v>
      </c>
      <c r="AE6734">
        <v>2.1151999999999802</v>
      </c>
      <c r="AF6734">
        <v>11.719704145418801</v>
      </c>
      <c r="AG6734">
        <v>-1.105956336764</v>
      </c>
      <c r="AH6734">
        <v>14.008666355614199</v>
      </c>
      <c r="AI6734">
        <v>93.465145086598397</v>
      </c>
      <c r="AJ6734">
        <v>50.084017850287502</v>
      </c>
      <c r="AK6734">
        <v>18.2980145845907</v>
      </c>
      <c r="AL6734">
        <v>80.215600046293901</v>
      </c>
      <c r="AM6734">
        <v>66.750943360274405</v>
      </c>
      <c r="AN6734">
        <v>1.00000003699972</v>
      </c>
    </row>
    <row r="6735" spans="1:40" x14ac:dyDescent="0.25">
      <c r="A6735" t="str">
        <f>"20190312172841388"</f>
        <v>20190312172841388</v>
      </c>
      <c r="B6735" t="str">
        <f>"1552382921376866"</f>
        <v>1552382921376866</v>
      </c>
      <c r="C6735" t="s">
        <v>40</v>
      </c>
      <c r="D6735">
        <v>3.4979529999999999</v>
      </c>
      <c r="E6735">
        <v>0.61019869999999898</v>
      </c>
      <c r="F6735" t="s">
        <v>41</v>
      </c>
      <c r="G6735">
        <v>-163.24799999999999</v>
      </c>
      <c r="H6735" s="1">
        <v>-4.3595819999999997E-6</v>
      </c>
      <c r="I6735">
        <v>132.92240000000001</v>
      </c>
      <c r="J6735">
        <v>-181.36689999999999</v>
      </c>
      <c r="K6735">
        <v>1.105969</v>
      </c>
      <c r="L6735">
        <v>130.95959999999999</v>
      </c>
      <c r="M6735">
        <v>0.69496349999999996</v>
      </c>
      <c r="N6735">
        <v>0</v>
      </c>
      <c r="O6735">
        <v>0.71890500000000002</v>
      </c>
      <c r="P6735">
        <v>0.90914260000000002</v>
      </c>
      <c r="Q6735">
        <v>0.16162370000000001</v>
      </c>
      <c r="R6735">
        <v>0.38384580000000001</v>
      </c>
      <c r="S6735">
        <v>3.190445</v>
      </c>
      <c r="T6735">
        <v>-0.19342709999999999</v>
      </c>
      <c r="U6735">
        <v>0.36297610000000002</v>
      </c>
      <c r="V6735">
        <v>0.38874799999999998</v>
      </c>
      <c r="W6735">
        <v>0.1702631</v>
      </c>
      <c r="X6735">
        <v>0.90547529999999998</v>
      </c>
      <c r="Y6735">
        <v>0.63363130000000001</v>
      </c>
      <c r="Z6735">
        <v>-5.8212769999999997E-2</v>
      </c>
      <c r="AA6735">
        <v>0.77144199999999996</v>
      </c>
      <c r="AB6735">
        <v>16</v>
      </c>
      <c r="AC6735">
        <v>18.1189</v>
      </c>
      <c r="AD6735">
        <v>-1.1059733595819901</v>
      </c>
      <c r="AE6735">
        <v>1.9628000000000101</v>
      </c>
      <c r="AF6735">
        <v>11.6200750642481</v>
      </c>
      <c r="AG6735">
        <v>-1.1059733595819901</v>
      </c>
      <c r="AH6735">
        <v>13.9530666846507</v>
      </c>
      <c r="AI6735">
        <v>93.485477426932604</v>
      </c>
      <c r="AJ6735">
        <v>50.212561969044998</v>
      </c>
      <c r="AK6735">
        <v>18.1916846794675</v>
      </c>
      <c r="AL6735">
        <v>80.196883652049806</v>
      </c>
      <c r="AM6735">
        <v>66.764685416765005</v>
      </c>
      <c r="AN6735">
        <v>1.00000002481784</v>
      </c>
    </row>
    <row r="6736" spans="1:40" x14ac:dyDescent="0.25">
      <c r="A6736" t="str">
        <f>"20190312172841410"</f>
        <v>20190312172841410</v>
      </c>
      <c r="B6736" t="str">
        <f>"1552382921406145"</f>
        <v>1552382921406145</v>
      </c>
      <c r="C6736" t="s">
        <v>40</v>
      </c>
      <c r="D6736">
        <v>3.5165760000000001</v>
      </c>
      <c r="E6736">
        <v>0.60982119999999995</v>
      </c>
      <c r="F6736" t="s">
        <v>41</v>
      </c>
      <c r="G6736">
        <v>-163.82</v>
      </c>
      <c r="H6736" s="1">
        <v>-4.1184119999999997E-6</v>
      </c>
      <c r="I6736">
        <v>132.99789999999999</v>
      </c>
      <c r="J6736">
        <v>-181.24459999999999</v>
      </c>
      <c r="K6736">
        <v>1.1059859999999999</v>
      </c>
      <c r="L6736">
        <v>131.06909999999999</v>
      </c>
      <c r="M6736">
        <v>0.70198939999999999</v>
      </c>
      <c r="N6736">
        <v>0</v>
      </c>
      <c r="O6736">
        <v>0.71204599999999996</v>
      </c>
      <c r="P6736">
        <v>0.91272410000000004</v>
      </c>
      <c r="Q6736">
        <v>0.1619932</v>
      </c>
      <c r="R6736">
        <v>0.37509100000000001</v>
      </c>
      <c r="S6736">
        <v>3.1794889999999998</v>
      </c>
      <c r="T6736">
        <v>-0.20040240000000001</v>
      </c>
      <c r="U6736">
        <v>0.36933899999999997</v>
      </c>
      <c r="V6736">
        <v>0.38850879999999999</v>
      </c>
      <c r="W6736">
        <v>0.17064509999999999</v>
      </c>
      <c r="X6736">
        <v>0.90550600000000003</v>
      </c>
      <c r="Y6736">
        <v>0.62403059999999999</v>
      </c>
      <c r="Z6736">
        <v>-5.9921540000000002E-2</v>
      </c>
      <c r="AA6736">
        <v>0.77909890000000004</v>
      </c>
      <c r="AB6736">
        <v>16</v>
      </c>
      <c r="AC6736">
        <v>17.424599999999899</v>
      </c>
      <c r="AD6736">
        <v>-1.105990118412</v>
      </c>
      <c r="AE6736">
        <v>1.9287999999999901</v>
      </c>
      <c r="AF6736">
        <v>11.010410759649</v>
      </c>
      <c r="AG6736">
        <v>-1.105990118412</v>
      </c>
      <c r="AH6736">
        <v>13.552708564338101</v>
      </c>
      <c r="AI6736">
        <v>93.624197101481698</v>
      </c>
      <c r="AJ6736">
        <v>50.909107807439803</v>
      </c>
      <c r="AK6736">
        <v>17.496521616255698</v>
      </c>
      <c r="AL6736">
        <v>80.174671129946603</v>
      </c>
      <c r="AM6736">
        <v>66.778170702312494</v>
      </c>
      <c r="AN6736">
        <v>0.999999976933724</v>
      </c>
    </row>
    <row r="6737" spans="1:40" x14ac:dyDescent="0.25">
      <c r="A6737" t="str">
        <f>"20190312172841424"</f>
        <v>20190312172841424</v>
      </c>
      <c r="B6737" t="str">
        <f>"1552382921416882"</f>
        <v>1552382921416882</v>
      </c>
      <c r="C6737" t="s">
        <v>40</v>
      </c>
      <c r="D6737">
        <v>3.5532789999999999</v>
      </c>
      <c r="E6737">
        <v>0.60528479999999996</v>
      </c>
      <c r="F6737" t="s">
        <v>41</v>
      </c>
      <c r="G6737">
        <v>-163.87459999999999</v>
      </c>
      <c r="H6737" s="1">
        <v>-4.1132660000000004E-6</v>
      </c>
      <c r="I6737">
        <v>132.9385</v>
      </c>
      <c r="J6737">
        <v>-181.15979999999999</v>
      </c>
      <c r="K6737">
        <v>1.1059950000000001</v>
      </c>
      <c r="L6737">
        <v>131.1438</v>
      </c>
      <c r="M6737">
        <v>0.70678790000000002</v>
      </c>
      <c r="N6737">
        <v>0</v>
      </c>
      <c r="O6737">
        <v>0.707283199999999</v>
      </c>
      <c r="P6737">
        <v>0.91521240000000004</v>
      </c>
      <c r="Q6737">
        <v>0.16170019999999999</v>
      </c>
      <c r="R6737">
        <v>0.3691063</v>
      </c>
      <c r="S6737">
        <v>3.182083</v>
      </c>
      <c r="T6737">
        <v>-0.20261100000000001</v>
      </c>
      <c r="U6737">
        <v>0.3424683</v>
      </c>
      <c r="V6737">
        <v>0.38834419999999997</v>
      </c>
      <c r="W6737">
        <v>0.17036270000000001</v>
      </c>
      <c r="X6737">
        <v>0.90562980000000004</v>
      </c>
      <c r="Y6737">
        <v>0.62527779999999999</v>
      </c>
      <c r="Z6737">
        <v>-6.0434210000000002E-2</v>
      </c>
      <c r="AA6737">
        <v>0.77805880000000005</v>
      </c>
      <c r="AB6737">
        <v>16</v>
      </c>
      <c r="AC6737">
        <v>17.2852</v>
      </c>
      <c r="AD6737">
        <v>-1.1059991132660001</v>
      </c>
      <c r="AE6737">
        <v>1.7947</v>
      </c>
      <c r="AF6737">
        <v>10.913956035461799</v>
      </c>
      <c r="AG6737">
        <v>-1.1059991132660001</v>
      </c>
      <c r="AH6737">
        <v>13.4332783342774</v>
      </c>
      <c r="AI6737">
        <v>93.656285110810799</v>
      </c>
      <c r="AJ6737">
        <v>50.907637968507501</v>
      </c>
      <c r="AK6737">
        <v>17.343316787417098</v>
      </c>
      <c r="AL6737">
        <v>80.191092145724596</v>
      </c>
      <c r="AM6737">
        <v>66.789804413922297</v>
      </c>
      <c r="AN6737">
        <v>1.00000000093648</v>
      </c>
    </row>
    <row r="6738" spans="1:40" x14ac:dyDescent="0.25">
      <c r="A6738" t="str">
        <f>"20190312172841436"</f>
        <v>20190312172841436</v>
      </c>
      <c r="B6738" t="str">
        <f>"1552382921426642"</f>
        <v>1552382921426642</v>
      </c>
      <c r="C6738" t="s">
        <v>40</v>
      </c>
      <c r="D6738">
        <v>3.5448940000000002</v>
      </c>
      <c r="E6738">
        <v>0.60528479999999996</v>
      </c>
      <c r="F6738" t="s">
        <v>41</v>
      </c>
      <c r="G6738">
        <v>-165.0042</v>
      </c>
      <c r="H6738" s="1">
        <v>-3.6751030000000001E-6</v>
      </c>
      <c r="I6738">
        <v>132.95500000000001</v>
      </c>
      <c r="J6738">
        <v>-181.09219999999999</v>
      </c>
      <c r="K6738">
        <v>1.1060049999999999</v>
      </c>
      <c r="L6738">
        <v>131.20249999999999</v>
      </c>
      <c r="M6738">
        <v>0.71057060000000005</v>
      </c>
      <c r="N6738">
        <v>0</v>
      </c>
      <c r="O6738">
        <v>0.70348299999999997</v>
      </c>
      <c r="P6738">
        <v>0.91706019999999999</v>
      </c>
      <c r="Q6738">
        <v>0.16162000000000001</v>
      </c>
      <c r="R6738">
        <v>0.36452689999999999</v>
      </c>
      <c r="S6738">
        <v>3.1728519999999998</v>
      </c>
      <c r="T6738">
        <v>-0.2172103</v>
      </c>
      <c r="U6738">
        <v>0.3557129</v>
      </c>
      <c r="V6738">
        <v>0.38801960000000002</v>
      </c>
      <c r="W6738">
        <v>0.17029320000000001</v>
      </c>
      <c r="X6738">
        <v>0.90578199999999998</v>
      </c>
      <c r="Y6738">
        <v>0.61727659999999995</v>
      </c>
      <c r="Z6738">
        <v>-6.4490409999999998E-2</v>
      </c>
      <c r="AA6738">
        <v>0.78409859999999998</v>
      </c>
      <c r="AB6738">
        <v>16</v>
      </c>
      <c r="AC6738">
        <v>16.087999999999901</v>
      </c>
      <c r="AD6738">
        <v>-1.1060086751029901</v>
      </c>
      <c r="AE6738">
        <v>1.7525000000000199</v>
      </c>
      <c r="AF6738">
        <v>10.0265405977895</v>
      </c>
      <c r="AG6738">
        <v>-1.1060086751029901</v>
      </c>
      <c r="AH6738">
        <v>12.6069031911031</v>
      </c>
      <c r="AI6738">
        <v>93.927898251212298</v>
      </c>
      <c r="AJ6738">
        <v>51.504016918427297</v>
      </c>
      <c r="AK6738">
        <v>16.1458595193434</v>
      </c>
      <c r="AL6738">
        <v>80.195133320700194</v>
      </c>
      <c r="AM6738">
        <v>66.810638460296204</v>
      </c>
      <c r="AN6738">
        <v>1.0000000077372</v>
      </c>
    </row>
    <row r="6739" spans="1:40" x14ac:dyDescent="0.25">
      <c r="A6739" t="str">
        <f>"20190312172841454"</f>
        <v>20190312172841454</v>
      </c>
      <c r="B6739" t="str">
        <f>"1552382921446162"</f>
        <v>1552382921446162</v>
      </c>
      <c r="C6739" t="s">
        <v>40</v>
      </c>
      <c r="D6739">
        <v>3.56196</v>
      </c>
      <c r="E6739">
        <v>0.62625469999999905</v>
      </c>
      <c r="F6739" t="s">
        <v>41</v>
      </c>
      <c r="G6739">
        <v>-164.9426</v>
      </c>
      <c r="H6739" s="1">
        <v>-3.7051030000000002E-6</v>
      </c>
      <c r="I6739">
        <v>132.93119999999999</v>
      </c>
      <c r="J6739">
        <v>-180.99029999999999</v>
      </c>
      <c r="K6739">
        <v>1.106015</v>
      </c>
      <c r="L6739">
        <v>131.29</v>
      </c>
      <c r="M6739">
        <v>0.71620030000000001</v>
      </c>
      <c r="N6739">
        <v>0</v>
      </c>
      <c r="O6739">
        <v>0.69775089999999995</v>
      </c>
      <c r="P6739">
        <v>0.91972869999999995</v>
      </c>
      <c r="Q6739">
        <v>0.16078519999999999</v>
      </c>
      <c r="R6739">
        <v>0.35811659999999901</v>
      </c>
      <c r="S6739">
        <v>3.1745610000000002</v>
      </c>
      <c r="T6739">
        <v>-0.2174102</v>
      </c>
      <c r="U6739">
        <v>0.33979799999999999</v>
      </c>
      <c r="V6739">
        <v>0.38714959999999998</v>
      </c>
      <c r="W6739">
        <v>0.16948299999999999</v>
      </c>
      <c r="X6739">
        <v>0.9063061</v>
      </c>
      <c r="Y6739">
        <v>0.61490489999999998</v>
      </c>
      <c r="Z6739">
        <v>-6.4211149999999995E-2</v>
      </c>
      <c r="AA6739">
        <v>0.78598269999999903</v>
      </c>
      <c r="AB6739">
        <v>16</v>
      </c>
      <c r="AC6739">
        <v>16.047699999999899</v>
      </c>
      <c r="AD6739">
        <v>-1.1060187051029999</v>
      </c>
      <c r="AE6739">
        <v>1.64119999999999</v>
      </c>
      <c r="AF6739">
        <v>9.9759795567047291</v>
      </c>
      <c r="AG6739">
        <v>-1.1060187051029999</v>
      </c>
      <c r="AH6739">
        <v>12.580645208437099</v>
      </c>
      <c r="AI6739">
        <v>93.940616593259605</v>
      </c>
      <c r="AJ6739">
        <v>51.586903332566699</v>
      </c>
      <c r="AK6739">
        <v>16.093976492849801</v>
      </c>
      <c r="AL6739">
        <v>80.242239277555697</v>
      </c>
      <c r="AM6739">
        <v>66.869129179457602</v>
      </c>
      <c r="AN6739">
        <v>1.0000000234831801</v>
      </c>
    </row>
    <row r="6740" spans="1:40" x14ac:dyDescent="0.25">
      <c r="A6740" t="str">
        <f>"20190312172841470"</f>
        <v>20190312172841470</v>
      </c>
      <c r="B6740" t="str">
        <f>"1552382921466658"</f>
        <v>1552382921466658</v>
      </c>
      <c r="C6740" t="s">
        <v>40</v>
      </c>
      <c r="D6740">
        <v>3.5608330000000001</v>
      </c>
      <c r="E6740">
        <v>0.62741990000000003</v>
      </c>
      <c r="F6740" t="s">
        <v>41</v>
      </c>
      <c r="G6740">
        <v>-156.39599999999999</v>
      </c>
      <c r="H6740" s="1">
        <v>-3.1066660000000002E-6</v>
      </c>
      <c r="I6740">
        <v>132.4973</v>
      </c>
      <c r="J6740">
        <v>-180.9025</v>
      </c>
      <c r="K6740">
        <v>1.1060270000000001</v>
      </c>
      <c r="L6740">
        <v>131.36439999999999</v>
      </c>
      <c r="M6740">
        <v>0.7209911</v>
      </c>
      <c r="N6740">
        <v>0</v>
      </c>
      <c r="O6740">
        <v>0.69279930000000001</v>
      </c>
      <c r="P6740">
        <v>0.92196230000000001</v>
      </c>
      <c r="Q6740">
        <v>0.16051969999999999</v>
      </c>
      <c r="R6740">
        <v>0.35244750000000002</v>
      </c>
      <c r="S6740">
        <v>3.2255400000000001</v>
      </c>
      <c r="T6740">
        <v>-0.14505370000000001</v>
      </c>
      <c r="U6740">
        <v>0.1583405</v>
      </c>
      <c r="V6740">
        <v>0.3865075</v>
      </c>
      <c r="W6740">
        <v>0.16923589999999999</v>
      </c>
      <c r="X6740">
        <v>0.9066263</v>
      </c>
      <c r="Y6740">
        <v>0.65544630000000004</v>
      </c>
      <c r="Z6740">
        <v>-4.3194999999999997E-2</v>
      </c>
      <c r="AA6740">
        <v>0.7540055</v>
      </c>
      <c r="AB6740">
        <v>16</v>
      </c>
      <c r="AC6740">
        <v>24.5064999999999</v>
      </c>
      <c r="AD6740">
        <v>-1.1060301066660001</v>
      </c>
      <c r="AE6740">
        <v>1.1329</v>
      </c>
      <c r="AF6740">
        <v>16.1301139018267</v>
      </c>
      <c r="AG6740">
        <v>-1.1060301066660001</v>
      </c>
      <c r="AH6740">
        <v>18.418258987698799</v>
      </c>
      <c r="AI6740">
        <v>92.586612551982896</v>
      </c>
      <c r="AJ6740">
        <v>48.789176145110197</v>
      </c>
      <c r="AK6740">
        <v>24.507879166111199</v>
      </c>
      <c r="AL6740">
        <v>80.256604768869195</v>
      </c>
      <c r="AM6740">
        <v>66.910768861916395</v>
      </c>
      <c r="AN6740">
        <v>1.0000000426283699</v>
      </c>
    </row>
    <row r="6741" spans="1:40" x14ac:dyDescent="0.25">
      <c r="A6741" t="str">
        <f>"20190312172841488"</f>
        <v>20190312172841488</v>
      </c>
      <c r="B6741" t="str">
        <f>"1552382921476418"</f>
        <v>1552382921476418</v>
      </c>
      <c r="C6741" t="s">
        <v>40</v>
      </c>
      <c r="D6741">
        <v>3.5310459999999999</v>
      </c>
      <c r="E6741">
        <v>0.62794759999999905</v>
      </c>
      <c r="F6741" t="s">
        <v>41</v>
      </c>
      <c r="G6741">
        <v>-157.84970000000001</v>
      </c>
      <c r="H6741" s="1">
        <v>-2.6668699999999998E-6</v>
      </c>
      <c r="I6741">
        <v>132.29089999999999</v>
      </c>
      <c r="J6741">
        <v>-180.79810000000001</v>
      </c>
      <c r="K6741">
        <v>1.106039</v>
      </c>
      <c r="L6741">
        <v>131.45150000000001</v>
      </c>
      <c r="M6741">
        <v>0.7266049</v>
      </c>
      <c r="N6741">
        <v>0</v>
      </c>
      <c r="O6741">
        <v>0.6869094</v>
      </c>
      <c r="P6741">
        <v>0.92448330000000001</v>
      </c>
      <c r="Q6741">
        <v>0.1602391</v>
      </c>
      <c r="R6741">
        <v>0.34591060000000001</v>
      </c>
      <c r="S6741">
        <v>3.2312620000000001</v>
      </c>
      <c r="T6741">
        <v>-0.15503</v>
      </c>
      <c r="U6741">
        <v>0.1298676</v>
      </c>
      <c r="V6741">
        <v>0.38557200000000003</v>
      </c>
      <c r="W6741">
        <v>0.16897879999999901</v>
      </c>
      <c r="X6741">
        <v>0.9070724</v>
      </c>
      <c r="Y6741">
        <v>0.6558349</v>
      </c>
      <c r="Z6741">
        <v>-4.5928080000000003E-2</v>
      </c>
      <c r="AA6741">
        <v>0.75350589999999995</v>
      </c>
      <c r="AB6741">
        <v>16</v>
      </c>
      <c r="AC6741">
        <v>22.9483999999999</v>
      </c>
      <c r="AD6741">
        <v>-1.1060416668699999</v>
      </c>
      <c r="AE6741">
        <v>0.83939999999998305</v>
      </c>
      <c r="AF6741">
        <v>15.1200051854855</v>
      </c>
      <c r="AG6741">
        <v>-1.1060416668699999</v>
      </c>
      <c r="AH6741">
        <v>17.2128129392446</v>
      </c>
      <c r="AI6741">
        <v>92.7638893404783</v>
      </c>
      <c r="AJ6741">
        <v>48.703420291141803</v>
      </c>
      <c r="AK6741">
        <v>22.937280010048902</v>
      </c>
      <c r="AL6741">
        <v>80.271550061779607</v>
      </c>
      <c r="AM6741">
        <v>66.970964657857905</v>
      </c>
      <c r="AN6741">
        <v>0.99999997043759903</v>
      </c>
    </row>
    <row r="6742" spans="1:40" x14ac:dyDescent="0.25">
      <c r="A6742" t="str">
        <f>"20190312172841510"</f>
        <v>20190312172841510</v>
      </c>
      <c r="B6742" t="str">
        <f>"1552382921506674"</f>
        <v>1552382921506674</v>
      </c>
      <c r="C6742" t="s">
        <v>40</v>
      </c>
      <c r="D6742">
        <v>3.4249800000000001</v>
      </c>
      <c r="E6742">
        <v>0.62955939999999999</v>
      </c>
      <c r="F6742" t="s">
        <v>41</v>
      </c>
      <c r="G6742">
        <v>-158.10249999999999</v>
      </c>
      <c r="H6742" s="1">
        <v>-2.6118129999999999E-6</v>
      </c>
      <c r="I6742">
        <v>132.17449999999999</v>
      </c>
      <c r="J6742">
        <v>-180.66900000000001</v>
      </c>
      <c r="K6742">
        <v>1.1060589999999999</v>
      </c>
      <c r="L6742">
        <v>131.55699999999999</v>
      </c>
      <c r="M6742">
        <v>0.73342529999999995</v>
      </c>
      <c r="N6742">
        <v>0</v>
      </c>
      <c r="O6742">
        <v>0.67962239999999996</v>
      </c>
      <c r="P6742">
        <v>0.92735190000000001</v>
      </c>
      <c r="Q6742">
        <v>0.16063359999999999</v>
      </c>
      <c r="R6742">
        <v>0.33795760000000002</v>
      </c>
      <c r="S6742">
        <v>3.2338260000000001</v>
      </c>
      <c r="T6742">
        <v>-0.15759670000000001</v>
      </c>
      <c r="U6742">
        <v>0.1030273</v>
      </c>
      <c r="V6742">
        <v>0.3842564</v>
      </c>
      <c r="W6742">
        <v>0.1694041</v>
      </c>
      <c r="X6742">
        <v>0.9075512</v>
      </c>
      <c r="Y6742">
        <v>0.65453939999999999</v>
      </c>
      <c r="Z6742">
        <v>-4.63994E-2</v>
      </c>
      <c r="AA6742">
        <v>0.75460269999999996</v>
      </c>
      <c r="AB6742">
        <v>16</v>
      </c>
      <c r="AC6742">
        <v>22.566500000000001</v>
      </c>
      <c r="AD6742">
        <v>-1.106061611813</v>
      </c>
      <c r="AE6742">
        <v>0.61749999999997796</v>
      </c>
      <c r="AF6742">
        <v>14.8496558688568</v>
      </c>
      <c r="AG6742">
        <v>-1.106061611813</v>
      </c>
      <c r="AH6742">
        <v>16.931567752855599</v>
      </c>
      <c r="AI6742">
        <v>92.811691579101193</v>
      </c>
      <c r="AJ6742">
        <v>48.747954354839699</v>
      </c>
      <c r="AK6742">
        <v>22.5480295875746</v>
      </c>
      <c r="AL6742">
        <v>80.246825571238801</v>
      </c>
      <c r="AM6742">
        <v>67.052242412342693</v>
      </c>
      <c r="AN6742">
        <v>0.99999995532960395</v>
      </c>
    </row>
    <row r="6743" spans="1:40" x14ac:dyDescent="0.25">
      <c r="A6743" t="str">
        <f>"20190312172841533"</f>
        <v>20190312172841533</v>
      </c>
      <c r="B6743" t="str">
        <f>"1552382921526193"</f>
        <v>1552382921526193</v>
      </c>
      <c r="C6743" t="s">
        <v>40</v>
      </c>
      <c r="D6743">
        <v>3.3903539999999999</v>
      </c>
      <c r="E6743">
        <v>0.62941139999999995</v>
      </c>
      <c r="F6743" t="s">
        <v>41</v>
      </c>
      <c r="G6743">
        <v>-156.03790000000001</v>
      </c>
      <c r="H6743" s="1">
        <v>-3.3507509999999999E-6</v>
      </c>
      <c r="I6743">
        <v>132.03799999999899</v>
      </c>
      <c r="J6743">
        <v>-180.53970000000001</v>
      </c>
      <c r="K6743">
        <v>1.106074</v>
      </c>
      <c r="L6743">
        <v>131.66059999999999</v>
      </c>
      <c r="M6743">
        <v>0.74012849999999997</v>
      </c>
      <c r="N6743">
        <v>0</v>
      </c>
      <c r="O6743">
        <v>0.67231629999999998</v>
      </c>
      <c r="P6743">
        <v>0.9300351</v>
      </c>
      <c r="Q6743">
        <v>0.1612092</v>
      </c>
      <c r="R6743">
        <v>0.33022190000000001</v>
      </c>
      <c r="S6743">
        <v>3.237152</v>
      </c>
      <c r="T6743">
        <v>-0.14536450000000001</v>
      </c>
      <c r="U6743">
        <v>6.3217159999999994E-2</v>
      </c>
      <c r="V6743">
        <v>0.3827449</v>
      </c>
      <c r="W6743">
        <v>0.17001260000000001</v>
      </c>
      <c r="X6743">
        <v>0.90807599999999999</v>
      </c>
      <c r="Y6743">
        <v>0.65656999999999999</v>
      </c>
      <c r="Z6743">
        <v>-4.2606570000000003E-2</v>
      </c>
      <c r="AA6743">
        <v>0.75306090000000003</v>
      </c>
      <c r="AB6743">
        <v>16</v>
      </c>
      <c r="AC6743">
        <v>24.501799999999999</v>
      </c>
      <c r="AD6743">
        <v>-1.106077350751</v>
      </c>
      <c r="AE6743">
        <v>0.37739999999999402</v>
      </c>
      <c r="AF6743">
        <v>16.162330653227102</v>
      </c>
      <c r="AG6743">
        <v>-1.106077350751</v>
      </c>
      <c r="AH6743">
        <v>18.352665883117702</v>
      </c>
      <c r="AI6743">
        <v>92.589683381338503</v>
      </c>
      <c r="AJ6743">
        <v>48.631143411698602</v>
      </c>
      <c r="AK6743">
        <v>24.479883256818098</v>
      </c>
      <c r="AL6743">
        <v>80.211448176218298</v>
      </c>
      <c r="AM6743">
        <v>67.145066285473106</v>
      </c>
      <c r="AN6743">
        <v>0.999999982205384</v>
      </c>
    </row>
    <row r="6744" spans="1:40" x14ac:dyDescent="0.25">
      <c r="A6744" t="str">
        <f>"20190312172841555"</f>
        <v>20190312172841555</v>
      </c>
      <c r="B6744" t="str">
        <f>"1552382921546690"</f>
        <v>1552382921546690</v>
      </c>
      <c r="C6744" t="s">
        <v>40</v>
      </c>
      <c r="D6744">
        <v>3.3448899999999999</v>
      </c>
      <c r="E6744">
        <v>0.62913050000000004</v>
      </c>
      <c r="F6744" t="s">
        <v>41</v>
      </c>
      <c r="G6744">
        <v>-154.7226</v>
      </c>
      <c r="H6744" s="1">
        <v>-3.8200230000000003E-6</v>
      </c>
      <c r="I6744">
        <v>131.95650000000001</v>
      </c>
      <c r="J6744">
        <v>-180.4075</v>
      </c>
      <c r="K6744">
        <v>1.1060939999999999</v>
      </c>
      <c r="L6744">
        <v>131.76419999999999</v>
      </c>
      <c r="M6744">
        <v>0.74684949999999894</v>
      </c>
      <c r="N6744">
        <v>0</v>
      </c>
      <c r="O6744">
        <v>0.66484239999999994</v>
      </c>
      <c r="P6744">
        <v>0.93271320000000002</v>
      </c>
      <c r="Q6744">
        <v>0.16169929999999999</v>
      </c>
      <c r="R6744">
        <v>0.32233460000000003</v>
      </c>
      <c r="S6744">
        <v>3.236542</v>
      </c>
      <c r="T6744">
        <v>-0.1386627</v>
      </c>
      <c r="U6744">
        <v>3.7109379999999997E-2</v>
      </c>
      <c r="V6744">
        <v>0.38124439999999998</v>
      </c>
      <c r="W6744">
        <v>0.17053560000000001</v>
      </c>
      <c r="X6744">
        <v>0.908609</v>
      </c>
      <c r="Y6744">
        <v>0.65518169999999898</v>
      </c>
      <c r="Z6744">
        <v>-4.0410939999999999E-2</v>
      </c>
      <c r="AA6744">
        <v>0.7543898</v>
      </c>
      <c r="AB6744">
        <v>16</v>
      </c>
      <c r="AC6744">
        <v>25.684899999999999</v>
      </c>
      <c r="AD6744">
        <v>-1.1060978200229901</v>
      </c>
      <c r="AE6744">
        <v>0.19230000000001701</v>
      </c>
      <c r="AF6744">
        <v>16.9031429405929</v>
      </c>
      <c r="AG6744">
        <v>-1.1060978200229901</v>
      </c>
      <c r="AH6744">
        <v>19.276792026444198</v>
      </c>
      <c r="AI6744">
        <v>92.470367134801407</v>
      </c>
      <c r="AJ6744">
        <v>48.753612356410002</v>
      </c>
      <c r="AK6744">
        <v>25.661925190607899</v>
      </c>
      <c r="AL6744">
        <v>80.181038568601096</v>
      </c>
      <c r="AM6744">
        <v>67.237504324375294</v>
      </c>
      <c r="AN6744">
        <v>0.99999999913985904</v>
      </c>
    </row>
    <row r="6745" spans="1:40" x14ac:dyDescent="0.25">
      <c r="A6745" t="str">
        <f>"20190312172841577"</f>
        <v>20190312172841577</v>
      </c>
      <c r="B6745" t="str">
        <f>"1552382921566210"</f>
        <v>1552382921566210</v>
      </c>
      <c r="C6745" t="s">
        <v>40</v>
      </c>
      <c r="D6745">
        <v>3.26024</v>
      </c>
      <c r="E6745">
        <v>0.62861559999999905</v>
      </c>
      <c r="F6745" t="s">
        <v>41</v>
      </c>
      <c r="G6745">
        <v>-154.072</v>
      </c>
      <c r="H6745" s="1">
        <v>-4.0664580000000001E-6</v>
      </c>
      <c r="I6745">
        <v>131.86240000000001</v>
      </c>
      <c r="J6745">
        <v>-180.27600000000001</v>
      </c>
      <c r="K6745">
        <v>1.106109</v>
      </c>
      <c r="L6745">
        <v>131.86539999999999</v>
      </c>
      <c r="M6745">
        <v>0.75341530000000001</v>
      </c>
      <c r="N6745">
        <v>0</v>
      </c>
      <c r="O6745">
        <v>0.65739269999999905</v>
      </c>
      <c r="P6745">
        <v>0.9352703</v>
      </c>
      <c r="Q6745">
        <v>0.1617326</v>
      </c>
      <c r="R6745">
        <v>0.31482080000000001</v>
      </c>
      <c r="S6745">
        <v>3.23584</v>
      </c>
      <c r="T6745">
        <v>-0.13590569999999999</v>
      </c>
      <c r="U6745">
        <v>1.2069699999999999E-2</v>
      </c>
      <c r="V6745">
        <v>0.37951560000000001</v>
      </c>
      <c r="W6745">
        <v>0.17060699999999901</v>
      </c>
      <c r="X6745">
        <v>0.90931910000000005</v>
      </c>
      <c r="Y6745">
        <v>0.65356990000000004</v>
      </c>
      <c r="Z6745">
        <v>-3.9370889999999999E-2</v>
      </c>
      <c r="AA6745">
        <v>0.75584149999999894</v>
      </c>
      <c r="AB6745">
        <v>16</v>
      </c>
      <c r="AC6745">
        <v>26.203999999999901</v>
      </c>
      <c r="AD6745">
        <v>-1.1061130664579999</v>
      </c>
      <c r="AE6745">
        <v>-2.9999999999858998E-3</v>
      </c>
      <c r="AF6745">
        <v>17.199656906034601</v>
      </c>
      <c r="AG6745">
        <v>-1.1061130664579999</v>
      </c>
      <c r="AH6745">
        <v>19.707383887174601</v>
      </c>
      <c r="AI6745">
        <v>92.421413965909196</v>
      </c>
      <c r="AJ6745">
        <v>48.887108308317103</v>
      </c>
      <c r="AK6745">
        <v>26.1807689626864</v>
      </c>
      <c r="AL6745">
        <v>80.176887136819403</v>
      </c>
      <c r="AM6745">
        <v>67.346177796045197</v>
      </c>
      <c r="AN6745">
        <v>1.00000003235858</v>
      </c>
    </row>
    <row r="6746" spans="1:40" x14ac:dyDescent="0.25">
      <c r="A6746" t="str">
        <f>"20190312172841600"</f>
        <v>20190312172841600</v>
      </c>
      <c r="B6746" t="str">
        <f>"1552382921596466"</f>
        <v>1552382921596466</v>
      </c>
      <c r="C6746" t="s">
        <v>40</v>
      </c>
      <c r="D6746">
        <v>3.265682</v>
      </c>
      <c r="E6746">
        <v>0.62737399999999999</v>
      </c>
      <c r="F6746" t="s">
        <v>41</v>
      </c>
      <c r="G6746">
        <v>-153.03559999999999</v>
      </c>
      <c r="H6746" s="1">
        <v>-4.4415760000000001E-6</v>
      </c>
      <c r="I6746">
        <v>131.77809999999999</v>
      </c>
      <c r="J6746">
        <v>-180.1464</v>
      </c>
      <c r="K6746">
        <v>1.106133</v>
      </c>
      <c r="L6746">
        <v>131.96299999999999</v>
      </c>
      <c r="M6746">
        <v>0.75976369999999904</v>
      </c>
      <c r="N6746">
        <v>0</v>
      </c>
      <c r="O6746">
        <v>0.65004549999999905</v>
      </c>
      <c r="P6746">
        <v>0.93758079999999999</v>
      </c>
      <c r="Q6746">
        <v>0.16203589999999901</v>
      </c>
      <c r="R6746">
        <v>0.30771169999999998</v>
      </c>
      <c r="S6746">
        <v>3.2338260000000001</v>
      </c>
      <c r="T6746">
        <v>-0.1313117</v>
      </c>
      <c r="U6746">
        <v>-1.036072E-2</v>
      </c>
      <c r="V6746">
        <v>0.37754520000000003</v>
      </c>
      <c r="W6746">
        <v>0.17095189999999999</v>
      </c>
      <c r="X6746">
        <v>0.91007420000000006</v>
      </c>
      <c r="Y6746">
        <v>0.65154160000000005</v>
      </c>
      <c r="Z6746">
        <v>-3.7815500000000002E-2</v>
      </c>
      <c r="AA6746">
        <v>0.75766990000000001</v>
      </c>
      <c r="AB6746">
        <v>16</v>
      </c>
      <c r="AC6746">
        <v>27.110800000000001</v>
      </c>
      <c r="AD6746">
        <v>-1.1061374415759999</v>
      </c>
      <c r="AE6746">
        <v>-0.18489999999999801</v>
      </c>
      <c r="AF6746">
        <v>17.735986649462301</v>
      </c>
      <c r="AG6746">
        <v>-1.1061374415759999</v>
      </c>
      <c r="AH6746">
        <v>20.4456219951857</v>
      </c>
      <c r="AI6746">
        <v>92.3402379496452</v>
      </c>
      <c r="AJ6746">
        <v>49.0593057478359</v>
      </c>
      <c r="AK6746">
        <v>27.0889686263539</v>
      </c>
      <c r="AL6746">
        <v>80.156830763916503</v>
      </c>
      <c r="AM6746">
        <v>67.4688327028705</v>
      </c>
      <c r="AN6746">
        <v>0.99999998983114502</v>
      </c>
    </row>
    <row r="6747" spans="1:40" x14ac:dyDescent="0.25">
      <c r="A6747" t="str">
        <f>"20190312172841622"</f>
        <v>20190312172841622</v>
      </c>
      <c r="B6747" t="str">
        <f>"1552382921616965"</f>
        <v>1552382921616965</v>
      </c>
      <c r="C6747" t="s">
        <v>40</v>
      </c>
      <c r="D6747">
        <v>3.1815560000000001</v>
      </c>
      <c r="E6747">
        <v>0.62647659999999905</v>
      </c>
      <c r="F6747" t="s">
        <v>41</v>
      </c>
      <c r="G6747">
        <v>-152.29179999999999</v>
      </c>
      <c r="H6747" s="1">
        <v>-4.7056710000000004E-6</v>
      </c>
      <c r="I6747">
        <v>131.73679999999999</v>
      </c>
      <c r="J6747">
        <v>-180.0119</v>
      </c>
      <c r="K6747">
        <v>1.1061529999999999</v>
      </c>
      <c r="L6747">
        <v>132.0624</v>
      </c>
      <c r="M6747">
        <v>0.76622780000000001</v>
      </c>
      <c r="N6747">
        <v>0</v>
      </c>
      <c r="O6747">
        <v>0.64241340000000002</v>
      </c>
      <c r="P6747">
        <v>0.93989820000000002</v>
      </c>
      <c r="Q6747">
        <v>0.16245200000000001</v>
      </c>
      <c r="R6747">
        <v>0.3003343</v>
      </c>
      <c r="S6747">
        <v>3.230515</v>
      </c>
      <c r="T6747">
        <v>-0.12828729999999999</v>
      </c>
      <c r="U6747">
        <v>-2.6229860000000001E-2</v>
      </c>
      <c r="V6747">
        <v>0.37553920000000002</v>
      </c>
      <c r="W6747">
        <v>0.17141039999999999</v>
      </c>
      <c r="X6747">
        <v>0.9108176</v>
      </c>
      <c r="Y6747">
        <v>0.6477271</v>
      </c>
      <c r="Z6747">
        <v>-3.668739E-2</v>
      </c>
      <c r="AA6747">
        <v>0.76098859999999902</v>
      </c>
      <c r="AB6747">
        <v>16</v>
      </c>
      <c r="AC6747">
        <v>27.720099999999999</v>
      </c>
      <c r="AD6747">
        <v>-1.1061577056709999</v>
      </c>
      <c r="AE6747">
        <v>-0.32560000000000799</v>
      </c>
      <c r="AF6747">
        <v>18.030346237636198</v>
      </c>
      <c r="AG6747">
        <v>-1.1061577056709999</v>
      </c>
      <c r="AH6747">
        <v>20.999410377420599</v>
      </c>
      <c r="AI6747">
        <v>92.288625761630996</v>
      </c>
      <c r="AJ6747">
        <v>49.350214982928001</v>
      </c>
      <c r="AK6747">
        <v>27.700039828819399</v>
      </c>
      <c r="AL6747">
        <v>80.130166765953902</v>
      </c>
      <c r="AM6747">
        <v>67.593156594473797</v>
      </c>
      <c r="AN6747">
        <v>0.99999995821727905</v>
      </c>
    </row>
    <row r="6748" spans="1:40" x14ac:dyDescent="0.25">
      <c r="A6748" t="str">
        <f>"20190312172841645"</f>
        <v>20190312172841645</v>
      </c>
      <c r="B6748" t="str">
        <f>"1552382921636482"</f>
        <v>1552382921636482</v>
      </c>
      <c r="C6748" t="s">
        <v>40</v>
      </c>
      <c r="D6748">
        <v>3.212164</v>
      </c>
      <c r="E6748">
        <v>0.62591640000000004</v>
      </c>
      <c r="F6748" t="s">
        <v>41</v>
      </c>
      <c r="G6748">
        <v>-151.4195</v>
      </c>
      <c r="H6748" s="1">
        <v>-5.0743769999999996E-6</v>
      </c>
      <c r="I6748">
        <v>131.66120000000001</v>
      </c>
      <c r="J6748">
        <v>-179.87690000000001</v>
      </c>
      <c r="K6748">
        <v>1.1061730000000001</v>
      </c>
      <c r="L6748">
        <v>132.16</v>
      </c>
      <c r="M6748">
        <v>0.77259060000000002</v>
      </c>
      <c r="N6748">
        <v>0</v>
      </c>
      <c r="O6748">
        <v>0.63474719999999996</v>
      </c>
      <c r="P6748">
        <v>0.9420425</v>
      </c>
      <c r="Q6748">
        <v>0.1627866</v>
      </c>
      <c r="R6748">
        <v>0.29335420000000001</v>
      </c>
      <c r="S6748">
        <v>3.227875</v>
      </c>
      <c r="T6748">
        <v>-0.1248771</v>
      </c>
      <c r="U6748">
        <v>-4.5288090000000003E-2</v>
      </c>
      <c r="V6748">
        <v>0.373172</v>
      </c>
      <c r="W6748">
        <v>0.17179469999999999</v>
      </c>
      <c r="X6748">
        <v>0.91171769999999996</v>
      </c>
      <c r="Y6748">
        <v>0.64468979999999998</v>
      </c>
      <c r="Z6748">
        <v>-3.5466240000000003E-2</v>
      </c>
      <c r="AA6748">
        <v>0.7636212</v>
      </c>
      <c r="AB6748">
        <v>16</v>
      </c>
      <c r="AC6748">
        <v>28.4574</v>
      </c>
      <c r="AD6748">
        <v>-1.10617807437699</v>
      </c>
      <c r="AE6748">
        <v>-0.49879999999998798</v>
      </c>
      <c r="AF6748">
        <v>18.4226383076536</v>
      </c>
      <c r="AG6748">
        <v>-1.10617807437699</v>
      </c>
      <c r="AH6748">
        <v>21.638786655535402</v>
      </c>
      <c r="AI6748">
        <v>92.229061671193605</v>
      </c>
      <c r="AJ6748">
        <v>49.589886075298601</v>
      </c>
      <c r="AK6748">
        <v>28.440364274577</v>
      </c>
      <c r="AL6748">
        <v>80.107816501107393</v>
      </c>
      <c r="AM6748">
        <v>67.740394540407095</v>
      </c>
      <c r="AN6748">
        <v>0.99999996251268897</v>
      </c>
    </row>
    <row r="6749" spans="1:40" x14ac:dyDescent="0.25">
      <c r="A6749" t="str">
        <f>"20190312172841666"</f>
        <v>20190312172841666</v>
      </c>
      <c r="B6749" t="str">
        <f>"1552382921656978"</f>
        <v>1552382921656978</v>
      </c>
      <c r="C6749" t="s">
        <v>40</v>
      </c>
      <c r="D6749">
        <v>3.1445110000000001</v>
      </c>
      <c r="E6749">
        <v>0.61469050000000003</v>
      </c>
      <c r="F6749" t="s">
        <v>41</v>
      </c>
      <c r="G6749">
        <v>-151.14009999999999</v>
      </c>
      <c r="H6749" s="1">
        <v>-5.2084519999999997E-6</v>
      </c>
      <c r="I6749">
        <v>131.58109999999999</v>
      </c>
      <c r="J6749">
        <v>-179.74420000000001</v>
      </c>
      <c r="K6749">
        <v>1.1061970000000001</v>
      </c>
      <c r="L6749">
        <v>132.25409999999999</v>
      </c>
      <c r="M6749">
        <v>0.77872629999999998</v>
      </c>
      <c r="N6749">
        <v>0</v>
      </c>
      <c r="O6749">
        <v>0.627204599999999</v>
      </c>
      <c r="P6749">
        <v>0.94404359999999998</v>
      </c>
      <c r="Q6749">
        <v>0.16372229999999999</v>
      </c>
      <c r="R6749">
        <v>0.2863156</v>
      </c>
      <c r="S6749">
        <v>3.2262569999999999</v>
      </c>
      <c r="T6749">
        <v>-0.12418949999999999</v>
      </c>
      <c r="U6749">
        <v>-6.4987180000000005E-2</v>
      </c>
      <c r="V6749">
        <v>0.37100450000000001</v>
      </c>
      <c r="W6749">
        <v>0.1727754</v>
      </c>
      <c r="X6749">
        <v>0.91241680000000003</v>
      </c>
      <c r="Y6749">
        <v>0.64193979999999995</v>
      </c>
      <c r="Z6749">
        <v>-3.5020219999999998E-2</v>
      </c>
      <c r="AA6749">
        <v>0.76595500000000005</v>
      </c>
      <c r="AB6749">
        <v>16</v>
      </c>
      <c r="AC6749">
        <v>28.604099999999999</v>
      </c>
      <c r="AD6749">
        <v>-1.10620220845199</v>
      </c>
      <c r="AE6749">
        <v>-0.67300000000000104</v>
      </c>
      <c r="AF6749">
        <v>18.438988336295701</v>
      </c>
      <c r="AG6749">
        <v>-1.10620220845199</v>
      </c>
      <c r="AH6749">
        <v>21.822219976962099</v>
      </c>
      <c r="AI6749">
        <v>92.217381804693204</v>
      </c>
      <c r="AJ6749">
        <v>49.803396484240999</v>
      </c>
      <c r="AK6749">
        <v>28.590719804071998</v>
      </c>
      <c r="AL6749">
        <v>80.050774423381796</v>
      </c>
      <c r="AM6749">
        <v>67.872488033750201</v>
      </c>
      <c r="AN6749">
        <v>1.00000004739382</v>
      </c>
    </row>
    <row r="6750" spans="1:40" x14ac:dyDescent="0.25">
      <c r="A6750" t="str">
        <f>"20190312172841700"</f>
        <v>20190312172841700</v>
      </c>
      <c r="B6750" t="str">
        <f>"1552382921696994"</f>
        <v>1552382921696994</v>
      </c>
      <c r="C6750" t="s">
        <v>40</v>
      </c>
      <c r="D6750">
        <v>3.121372</v>
      </c>
      <c r="E6750">
        <v>0.61257680000000003</v>
      </c>
      <c r="F6750" t="s">
        <v>41</v>
      </c>
      <c r="G6750">
        <v>-150.52019999999999</v>
      </c>
      <c r="H6750" s="1">
        <v>-5.3606169999999998E-6</v>
      </c>
      <c r="I6750">
        <v>132.22239999999999</v>
      </c>
      <c r="J6750">
        <v>-179.541</v>
      </c>
      <c r="K6750">
        <v>1.106247</v>
      </c>
      <c r="L6750">
        <v>132.39420000000001</v>
      </c>
      <c r="M6750">
        <v>0.78787209999999996</v>
      </c>
      <c r="N6750">
        <v>0</v>
      </c>
      <c r="O6750">
        <v>0.61567700000000003</v>
      </c>
      <c r="P6750">
        <v>0.9469689</v>
      </c>
      <c r="Q6750">
        <v>0.16478979999999999</v>
      </c>
      <c r="R6750">
        <v>0.27585209999999999</v>
      </c>
      <c r="S6750">
        <v>3.1998600000000001</v>
      </c>
      <c r="T6750">
        <v>-0.12112299999999999</v>
      </c>
      <c r="U6750">
        <v>-3.4637449999999998E-3</v>
      </c>
      <c r="V6750">
        <v>0.36754350000000002</v>
      </c>
      <c r="W6750">
        <v>0.17391989999999999</v>
      </c>
      <c r="X6750">
        <v>0.9135993</v>
      </c>
      <c r="Y6750">
        <v>0.61576129999999996</v>
      </c>
      <c r="Z6750">
        <v>-3.3568710000000002E-2</v>
      </c>
      <c r="AA6750">
        <v>0.78721739999999996</v>
      </c>
      <c r="AB6750">
        <v>16</v>
      </c>
      <c r="AC6750">
        <v>29.020800000000001</v>
      </c>
      <c r="AD6750">
        <v>-1.1062523606170001</v>
      </c>
      <c r="AE6750">
        <v>-0.17180000000001799</v>
      </c>
      <c r="AF6750">
        <v>17.978467283035201</v>
      </c>
      <c r="AG6750">
        <v>-1.1062523606170001</v>
      </c>
      <c r="AH6750">
        <v>22.7281498977231</v>
      </c>
      <c r="AI6750">
        <v>92.186148258746897</v>
      </c>
      <c r="AJ6750">
        <v>51.655226668235997</v>
      </c>
      <c r="AK6750">
        <v>29.000308238119</v>
      </c>
      <c r="AL6750">
        <v>79.984191089517097</v>
      </c>
      <c r="AM6750">
        <v>68.084941957160893</v>
      </c>
      <c r="AN6750">
        <v>1.00000001848437</v>
      </c>
    </row>
    <row r="6751" spans="1:40" x14ac:dyDescent="0.25">
      <c r="A6751" t="str">
        <f>"20190312172841723"</f>
        <v>20190312172841723</v>
      </c>
      <c r="B6751" t="str">
        <f>"1552382921716517"</f>
        <v>1552382921716517</v>
      </c>
      <c r="C6751" t="s">
        <v>40</v>
      </c>
      <c r="D6751">
        <v>3.1443110000000001</v>
      </c>
      <c r="E6751">
        <v>0.61166109999999996</v>
      </c>
      <c r="F6751" t="s">
        <v>41</v>
      </c>
      <c r="G6751">
        <v>-148.702</v>
      </c>
      <c r="H6751" s="1">
        <v>-2.4084340000000002E-6</v>
      </c>
      <c r="I6751">
        <v>132.1722</v>
      </c>
      <c r="J6751">
        <v>-179.40350000000001</v>
      </c>
      <c r="K6751">
        <v>1.106282</v>
      </c>
      <c r="L6751">
        <v>132.48670000000001</v>
      </c>
      <c r="M6751">
        <v>0.793902</v>
      </c>
      <c r="N6751">
        <v>0</v>
      </c>
      <c r="O6751">
        <v>0.60788199999999903</v>
      </c>
      <c r="P6751">
        <v>0.94899049999999996</v>
      </c>
      <c r="Q6751">
        <v>0.16524330000000001</v>
      </c>
      <c r="R6751">
        <v>0.2685361</v>
      </c>
      <c r="S6751">
        <v>3.1946720000000002</v>
      </c>
      <c r="T6751">
        <v>-0.11459859999999999</v>
      </c>
      <c r="U6751">
        <v>-2.2995000000000002E-2</v>
      </c>
      <c r="V6751">
        <v>0.36552770000000001</v>
      </c>
      <c r="W6751">
        <v>0.1744232</v>
      </c>
      <c r="X6751">
        <v>0.91431180000000001</v>
      </c>
      <c r="Y6751">
        <v>0.61290059999999902</v>
      </c>
      <c r="Z6751">
        <v>-3.1549590000000002E-2</v>
      </c>
      <c r="AA6751">
        <v>0.78952990000000001</v>
      </c>
      <c r="AB6751">
        <v>16</v>
      </c>
      <c r="AC6751">
        <v>30.701499999999999</v>
      </c>
      <c r="AD6751">
        <v>-1.106284408434</v>
      </c>
      <c r="AE6751">
        <v>-0.31450000000000899</v>
      </c>
      <c r="AF6751">
        <v>18.889929876667601</v>
      </c>
      <c r="AG6751">
        <v>-1.106284408434</v>
      </c>
      <c r="AH6751">
        <v>24.1538524855956</v>
      </c>
      <c r="AI6751">
        <v>92.066246768617802</v>
      </c>
      <c r="AJ6751">
        <v>51.972212068053601</v>
      </c>
      <c r="AK6751">
        <v>30.683251226584101</v>
      </c>
      <c r="AL6751">
        <v>79.954906431543407</v>
      </c>
      <c r="AM6751">
        <v>68.209234710546397</v>
      </c>
      <c r="AN6751">
        <v>1.00000000989238</v>
      </c>
    </row>
    <row r="6752" spans="1:40" x14ac:dyDescent="0.25">
      <c r="A6752" t="str">
        <f>"20190312172841744"</f>
        <v>20190312172841744</v>
      </c>
      <c r="B6752" t="str">
        <f>"1552382921737013"</f>
        <v>1552382921737013</v>
      </c>
      <c r="C6752" t="s">
        <v>40</v>
      </c>
      <c r="D6752">
        <v>3.107078</v>
      </c>
      <c r="E6752">
        <v>0.61085089999999997</v>
      </c>
      <c r="F6752" t="s">
        <v>41</v>
      </c>
      <c r="G6752">
        <v>-148.17230000000001</v>
      </c>
      <c r="H6752" s="1">
        <v>-2.611189E-6</v>
      </c>
      <c r="I6752">
        <v>132.08760000000001</v>
      </c>
      <c r="J6752">
        <v>-179.26949999999999</v>
      </c>
      <c r="K6752">
        <v>1.1063149999999999</v>
      </c>
      <c r="L6752">
        <v>132.57499999999999</v>
      </c>
      <c r="M6752">
        <v>0.79965010000000003</v>
      </c>
      <c r="N6752">
        <v>0</v>
      </c>
      <c r="O6752">
        <v>0.60030059999999996</v>
      </c>
      <c r="P6752">
        <v>0.95071510000000004</v>
      </c>
      <c r="Q6752">
        <v>0.16575129999999999</v>
      </c>
      <c r="R6752">
        <v>0.26204460000000002</v>
      </c>
      <c r="S6752">
        <v>3.1924739999999998</v>
      </c>
      <c r="T6752">
        <v>-0.1130853</v>
      </c>
      <c r="U6752">
        <v>-4.0786740000000002E-2</v>
      </c>
      <c r="V6752">
        <v>0.36300650000000001</v>
      </c>
      <c r="W6752">
        <v>0.17499089999999901</v>
      </c>
      <c r="X6752">
        <v>0.91520729999999995</v>
      </c>
      <c r="Y6752">
        <v>0.6098095</v>
      </c>
      <c r="Z6752">
        <v>-3.0892369999999999E-2</v>
      </c>
      <c r="AA6752">
        <v>0.79194580000000003</v>
      </c>
      <c r="AB6752">
        <v>16</v>
      </c>
      <c r="AC6752">
        <v>31.097199999999901</v>
      </c>
      <c r="AD6752">
        <v>-1.1063176111889901</v>
      </c>
      <c r="AE6752">
        <v>-0.48739999999997902</v>
      </c>
      <c r="AF6752">
        <v>19.035226679345001</v>
      </c>
      <c r="AG6752">
        <v>-1.1063176111889901</v>
      </c>
      <c r="AH6752">
        <v>24.545678089136899</v>
      </c>
      <c r="AI6752">
        <v>92.039827676983705</v>
      </c>
      <c r="AJ6752">
        <v>52.206344364227697</v>
      </c>
      <c r="AK6752">
        <v>31.081410943623698</v>
      </c>
      <c r="AL6752">
        <v>79.921871129999602</v>
      </c>
      <c r="AM6752">
        <v>68.364814336609797</v>
      </c>
      <c r="AN6752">
        <v>0.99999996804917402</v>
      </c>
    </row>
    <row r="6753" spans="1:40" x14ac:dyDescent="0.25">
      <c r="A6753" t="str">
        <f>"20190312172841768"</f>
        <v>20190312172841768</v>
      </c>
      <c r="B6753" t="str">
        <f>"1552382921756531"</f>
        <v>1552382921756531</v>
      </c>
      <c r="C6753" t="s">
        <v>40</v>
      </c>
      <c r="D6753">
        <v>3.13958</v>
      </c>
      <c r="E6753">
        <v>0.58802690000000002</v>
      </c>
      <c r="F6753" t="s">
        <v>41</v>
      </c>
      <c r="G6753">
        <v>-148.00569999999999</v>
      </c>
      <c r="H6753" s="1">
        <v>-2.6851060000000001E-6</v>
      </c>
      <c r="I6753">
        <v>132.02289999999999</v>
      </c>
      <c r="J6753">
        <v>-179.12909999999999</v>
      </c>
      <c r="K6753">
        <v>1.106368</v>
      </c>
      <c r="L6753">
        <v>132.66560000000001</v>
      </c>
      <c r="M6753">
        <v>0.80552969999999902</v>
      </c>
      <c r="N6753">
        <v>0</v>
      </c>
      <c r="O6753">
        <v>0.59238789999999997</v>
      </c>
      <c r="P6753">
        <v>0.95237519999999998</v>
      </c>
      <c r="Q6753">
        <v>0.16643949999999999</v>
      </c>
      <c r="R6753">
        <v>0.25549870000000002</v>
      </c>
      <c r="S6753">
        <v>3.1907199999999998</v>
      </c>
      <c r="T6753">
        <v>-0.1129086</v>
      </c>
      <c r="U6753">
        <v>-5.6335450000000002E-2</v>
      </c>
      <c r="V6753">
        <v>0.360187799999999</v>
      </c>
      <c r="W6753">
        <v>0.1757495</v>
      </c>
      <c r="X6753">
        <v>0.91617510000000002</v>
      </c>
      <c r="Y6753">
        <v>0.60586419999999996</v>
      </c>
      <c r="Z6753">
        <v>-3.0570750000000001E-2</v>
      </c>
      <c r="AA6753">
        <v>0.79498049999999998</v>
      </c>
      <c r="AB6753">
        <v>16</v>
      </c>
      <c r="AC6753">
        <v>31.1234</v>
      </c>
      <c r="AD6753">
        <v>-1.106370685106</v>
      </c>
      <c r="AE6753">
        <v>-0.64270000000001903</v>
      </c>
      <c r="AF6753">
        <v>18.932806579596001</v>
      </c>
      <c r="AG6753">
        <v>-1.106370685106</v>
      </c>
      <c r="AH6753">
        <v>24.661395829247599</v>
      </c>
      <c r="AI6753">
        <v>92.038021125774506</v>
      </c>
      <c r="AJ6753">
        <v>52.486180843213901</v>
      </c>
      <c r="AK6753">
        <v>31.1104430267408</v>
      </c>
      <c r="AL6753">
        <v>79.877722436838198</v>
      </c>
      <c r="AM6753">
        <v>68.538077946709507</v>
      </c>
      <c r="AN6753">
        <v>0.99999997593954904</v>
      </c>
    </row>
    <row r="6754" spans="1:40" x14ac:dyDescent="0.25">
      <c r="A6754" t="str">
        <f>"20190312172841789"</f>
        <v>20190312172841789</v>
      </c>
      <c r="B6754" t="str">
        <f>"1552382921786786"</f>
        <v>1552382921786786</v>
      </c>
      <c r="C6754" t="s">
        <v>40</v>
      </c>
      <c r="D6754">
        <v>3.141651</v>
      </c>
      <c r="E6754">
        <v>0.56917259999999903</v>
      </c>
      <c r="F6754" t="s">
        <v>41</v>
      </c>
      <c r="G6754">
        <v>-156.4152</v>
      </c>
      <c r="H6754" s="1">
        <v>-2.8666370000000002E-6</v>
      </c>
      <c r="I6754">
        <v>133.37479999999999</v>
      </c>
      <c r="J6754">
        <v>-178.9958</v>
      </c>
      <c r="K6754">
        <v>1.1064290000000001</v>
      </c>
      <c r="L6754">
        <v>132.74979999999999</v>
      </c>
      <c r="M6754">
        <v>0.81096309999999905</v>
      </c>
      <c r="N6754">
        <v>0</v>
      </c>
      <c r="O6754">
        <v>0.58492789999999995</v>
      </c>
      <c r="P6754">
        <v>0.95376309999999997</v>
      </c>
      <c r="Q6754">
        <v>0.1676357</v>
      </c>
      <c r="R6754">
        <v>0.24946789999999999</v>
      </c>
      <c r="S6754">
        <v>3.150452</v>
      </c>
      <c r="T6754">
        <v>-0.15345539999999999</v>
      </c>
      <c r="U6754">
        <v>9.8373409999999994E-2</v>
      </c>
      <c r="V6754">
        <v>0.35738639999999999</v>
      </c>
      <c r="W6754">
        <v>0.17702100000000001</v>
      </c>
      <c r="X6754">
        <v>0.91702709999999998</v>
      </c>
      <c r="Y6754">
        <v>0.55811290000000002</v>
      </c>
      <c r="Z6754">
        <v>-4.0501549999999997E-2</v>
      </c>
      <c r="AA6754">
        <v>0.82877599999999996</v>
      </c>
      <c r="AB6754">
        <v>16</v>
      </c>
      <c r="AC6754">
        <v>22.5806</v>
      </c>
      <c r="AD6754">
        <v>-1.1064318666370001</v>
      </c>
      <c r="AE6754">
        <v>0.625</v>
      </c>
      <c r="AF6754">
        <v>12.672028602863399</v>
      </c>
      <c r="AG6754">
        <v>-1.1064318666370001</v>
      </c>
      <c r="AH6754">
        <v>18.634758174424601</v>
      </c>
      <c r="AI6754">
        <v>92.810849483274296</v>
      </c>
      <c r="AJ6754">
        <v>55.783471506422998</v>
      </c>
      <c r="AK6754">
        <v>22.562329503102799</v>
      </c>
      <c r="AL6754">
        <v>79.803711579172798</v>
      </c>
      <c r="AM6754">
        <v>68.7080015991652</v>
      </c>
      <c r="AN6754">
        <v>1.00000008774018</v>
      </c>
    </row>
    <row r="6755" spans="1:40" x14ac:dyDescent="0.25">
      <c r="A6755" t="str">
        <f>"20190312172841813"</f>
        <v>20190312172841813</v>
      </c>
      <c r="B6755" t="str">
        <f>"1552382921806306"</f>
        <v>1552382921806306</v>
      </c>
      <c r="C6755" t="s">
        <v>40</v>
      </c>
      <c r="D6755">
        <v>3.1176119999999998</v>
      </c>
      <c r="E6755">
        <v>0.56461410000000001</v>
      </c>
      <c r="F6755" t="s">
        <v>41</v>
      </c>
      <c r="G6755">
        <v>-159.72640000000001</v>
      </c>
      <c r="H6755" s="1">
        <v>-1.537605E-6</v>
      </c>
      <c r="I6755">
        <v>134.13480000000001</v>
      </c>
      <c r="J6755">
        <v>-178.85249999999999</v>
      </c>
      <c r="K6755">
        <v>1.106506</v>
      </c>
      <c r="L6755">
        <v>132.83860000000001</v>
      </c>
      <c r="M6755">
        <v>0.81664440000000005</v>
      </c>
      <c r="N6755">
        <v>0</v>
      </c>
      <c r="O6755">
        <v>0.57696979999999998</v>
      </c>
      <c r="P6755">
        <v>0.95524540000000002</v>
      </c>
      <c r="Q6755">
        <v>0.1686211</v>
      </c>
      <c r="R6755">
        <v>0.2430495</v>
      </c>
      <c r="S6755">
        <v>3.1182859999999999</v>
      </c>
      <c r="T6755">
        <v>-0.1790485</v>
      </c>
      <c r="U6755">
        <v>0.22413640000000001</v>
      </c>
      <c r="V6755">
        <v>0.35445490000000002</v>
      </c>
      <c r="W6755">
        <v>0.17809459999999999</v>
      </c>
      <c r="X6755">
        <v>0.91795649999999995</v>
      </c>
      <c r="Y6755">
        <v>0.51531199999999999</v>
      </c>
      <c r="Z6755">
        <v>-4.5989299999999997E-2</v>
      </c>
      <c r="AA6755">
        <v>0.85576779999999997</v>
      </c>
      <c r="AB6755">
        <v>16</v>
      </c>
      <c r="AC6755">
        <v>19.126099999999902</v>
      </c>
      <c r="AD6755">
        <v>-1.106507537605</v>
      </c>
      <c r="AE6755">
        <v>1.29619999999999</v>
      </c>
      <c r="AF6755">
        <v>9.9445022365791296</v>
      </c>
      <c r="AG6755">
        <v>-1.106507537605</v>
      </c>
      <c r="AH6755">
        <v>16.314354921511299</v>
      </c>
      <c r="AI6755">
        <v>93.314478688002495</v>
      </c>
      <c r="AJ6755">
        <v>58.635380412581902</v>
      </c>
      <c r="AK6755">
        <v>19.138329607600198</v>
      </c>
      <c r="AL6755">
        <v>79.741205237695496</v>
      </c>
      <c r="AM6755">
        <v>68.886692776694403</v>
      </c>
      <c r="AN6755">
        <v>1.0000000492876999</v>
      </c>
    </row>
    <row r="6756" spans="1:40" x14ac:dyDescent="0.25">
      <c r="A6756" t="str">
        <f>"20190312172841834"</f>
        <v>20190312172841834</v>
      </c>
      <c r="B6756" t="str">
        <f>"1552382921826802"</f>
        <v>1552382921826802</v>
      </c>
      <c r="C6756" t="s">
        <v>40</v>
      </c>
      <c r="D6756">
        <v>3.1628270000000001</v>
      </c>
      <c r="E6756">
        <v>0.56201610000000002</v>
      </c>
      <c r="F6756" t="s">
        <v>41</v>
      </c>
      <c r="G6756">
        <v>-160.13299999999899</v>
      </c>
      <c r="H6756" s="1">
        <v>-5.5923800000000003E-6</v>
      </c>
      <c r="I6756">
        <v>134.27350000000001</v>
      </c>
      <c r="J6756">
        <v>-178.71789999999999</v>
      </c>
      <c r="K6756">
        <v>1.1065769999999999</v>
      </c>
      <c r="L6756">
        <v>132.9203</v>
      </c>
      <c r="M6756">
        <v>0.82183729999999999</v>
      </c>
      <c r="N6756">
        <v>0</v>
      </c>
      <c r="O6756">
        <v>0.56954910000000003</v>
      </c>
      <c r="P6756">
        <v>0.95658520000000002</v>
      </c>
      <c r="Q6756">
        <v>0.16961609999999999</v>
      </c>
      <c r="R6756">
        <v>0.23701349999999999</v>
      </c>
      <c r="S6756">
        <v>3.11232</v>
      </c>
      <c r="T6756">
        <v>-0.18396970000000001</v>
      </c>
      <c r="U6756">
        <v>0.23857120000000001</v>
      </c>
      <c r="V6756">
        <v>0.35180689999999998</v>
      </c>
      <c r="W6756">
        <v>0.17917</v>
      </c>
      <c r="X6756">
        <v>0.91876550000000001</v>
      </c>
      <c r="Y6756">
        <v>0.50337469999999995</v>
      </c>
      <c r="Z6756">
        <v>-4.6611630000000001E-2</v>
      </c>
      <c r="AA6756">
        <v>0.86281010000000002</v>
      </c>
      <c r="AB6756">
        <v>16</v>
      </c>
      <c r="AC6756">
        <v>18.584900000000001</v>
      </c>
      <c r="AD6756">
        <v>-1.1065825923799999</v>
      </c>
      <c r="AE6756">
        <v>1.35320000000001</v>
      </c>
      <c r="AF6756">
        <v>9.4405447409267307</v>
      </c>
      <c r="AG6756">
        <v>-1.1065825923799999</v>
      </c>
      <c r="AH6756">
        <v>15.989672216751099</v>
      </c>
      <c r="AI6756">
        <v>93.410464952533701</v>
      </c>
      <c r="AJ6756">
        <v>59.441753955311</v>
      </c>
      <c r="AK6756">
        <v>18.601559817346999</v>
      </c>
      <c r="AL6756">
        <v>79.678581750412803</v>
      </c>
      <c r="AM6756">
        <v>69.047526589661302</v>
      </c>
      <c r="AN6756">
        <v>1.00000001388893</v>
      </c>
    </row>
    <row r="6757" spans="1:40" x14ac:dyDescent="0.25">
      <c r="A6757" t="str">
        <f>"20190312172841857"</f>
        <v>20190312172841857</v>
      </c>
      <c r="B6757" t="str">
        <f>"1552382921846322"</f>
        <v>1552382921846322</v>
      </c>
      <c r="C6757" t="s">
        <v>40</v>
      </c>
      <c r="D6757">
        <v>3.1232389999999999</v>
      </c>
      <c r="E6757">
        <v>0.56037550000000003</v>
      </c>
      <c r="F6757" t="s">
        <v>41</v>
      </c>
      <c r="G6757">
        <v>-160.43639999999999</v>
      </c>
      <c r="H6757" s="1">
        <v>-5.4389569999999998E-6</v>
      </c>
      <c r="I6757">
        <v>134.32990000000001</v>
      </c>
      <c r="J6757">
        <v>-178.57730000000001</v>
      </c>
      <c r="K6757">
        <v>1.1066579999999999</v>
      </c>
      <c r="L6757">
        <v>133.00409999999999</v>
      </c>
      <c r="M6757">
        <v>0.82710530000000004</v>
      </c>
      <c r="N6757">
        <v>0</v>
      </c>
      <c r="O6757">
        <v>0.56187180000000003</v>
      </c>
      <c r="P6757">
        <v>0.95784740000000002</v>
      </c>
      <c r="Q6757">
        <v>0.17087339999999901</v>
      </c>
      <c r="R6757">
        <v>0.230935</v>
      </c>
      <c r="S6757">
        <v>3.1101230000000002</v>
      </c>
      <c r="T6757">
        <v>-0.18825649999999999</v>
      </c>
      <c r="U6757">
        <v>0.2398071</v>
      </c>
      <c r="V6757">
        <v>0.34893020000000002</v>
      </c>
      <c r="W6757">
        <v>0.18051239999999999</v>
      </c>
      <c r="X6757">
        <v>0.91959939999999996</v>
      </c>
      <c r="Y6757">
        <v>0.49486639999999998</v>
      </c>
      <c r="Z6757">
        <v>-4.7088159999999997E-2</v>
      </c>
      <c r="AA6757">
        <v>0.86769229999999997</v>
      </c>
      <c r="AB6757">
        <v>16</v>
      </c>
      <c r="AC6757">
        <v>18.140899999999998</v>
      </c>
      <c r="AD6757">
        <v>-1.10666343895699</v>
      </c>
      <c r="AE6757">
        <v>1.3258000000000101</v>
      </c>
      <c r="AF6757">
        <v>9.0636288654470594</v>
      </c>
      <c r="AG6757">
        <v>-1.10666343895699</v>
      </c>
      <c r="AH6757">
        <v>15.6928249818135</v>
      </c>
      <c r="AI6757">
        <v>93.494526214829605</v>
      </c>
      <c r="AJ6757">
        <v>59.990766897161599</v>
      </c>
      <c r="AK6757">
        <v>18.1559584733915</v>
      </c>
      <c r="AL6757">
        <v>79.600393284322706</v>
      </c>
      <c r="AM6757">
        <v>69.221392687709795</v>
      </c>
      <c r="AN6757">
        <v>1.0000000337530699</v>
      </c>
    </row>
    <row r="6758" spans="1:40" x14ac:dyDescent="0.25">
      <c r="A6758" t="str">
        <f>"20190312172841878"</f>
        <v>20190312172841878</v>
      </c>
      <c r="B6758" t="str">
        <f>"1552382921876578"</f>
        <v>1552382921876578</v>
      </c>
      <c r="C6758" t="s">
        <v>40</v>
      </c>
      <c r="D6758">
        <v>3.186687</v>
      </c>
      <c r="E6758">
        <v>0.55854139999999997</v>
      </c>
      <c r="F6758" t="s">
        <v>41</v>
      </c>
      <c r="G6758">
        <v>-160.41739999999999</v>
      </c>
      <c r="H6758" s="1">
        <v>-5.4412209999999996E-6</v>
      </c>
      <c r="I6758">
        <v>134.36779999999999</v>
      </c>
      <c r="J6758">
        <v>-178.43950000000001</v>
      </c>
      <c r="K6758">
        <v>1.106743</v>
      </c>
      <c r="L6758">
        <v>133.0847</v>
      </c>
      <c r="M6758">
        <v>0.83211059999999903</v>
      </c>
      <c r="N6758">
        <v>0</v>
      </c>
      <c r="O6758">
        <v>0.554432699999999</v>
      </c>
      <c r="P6758">
        <v>0.95892980000000005</v>
      </c>
      <c r="Q6758">
        <v>0.172151</v>
      </c>
      <c r="R6758">
        <v>0.2254275</v>
      </c>
      <c r="S6758">
        <v>3.1095429999999999</v>
      </c>
      <c r="T6758">
        <v>-0.1894951</v>
      </c>
      <c r="U6758">
        <v>0.23352049999999999</v>
      </c>
      <c r="V6758">
        <v>0.34580889999999997</v>
      </c>
      <c r="W6758">
        <v>0.18187990000000001</v>
      </c>
      <c r="X6758">
        <v>0.92050849999999995</v>
      </c>
      <c r="Y6758">
        <v>0.48879830000000002</v>
      </c>
      <c r="Z6758">
        <v>-4.6854E-2</v>
      </c>
      <c r="AA6758">
        <v>0.87113770000000001</v>
      </c>
      <c r="AB6758">
        <v>16</v>
      </c>
      <c r="AC6758">
        <v>18.022099999999998</v>
      </c>
      <c r="AD6758">
        <v>-1.106748441221</v>
      </c>
      <c r="AE6758">
        <v>1.2830999999999899</v>
      </c>
      <c r="AF6758">
        <v>8.8918721569297308</v>
      </c>
      <c r="AG6758">
        <v>-1.106748441221</v>
      </c>
      <c r="AH6758">
        <v>15.650590371202799</v>
      </c>
      <c r="AI6758">
        <v>93.518425784964407</v>
      </c>
      <c r="AJ6758">
        <v>60.396957200147497</v>
      </c>
      <c r="AK6758">
        <v>18.034169277638298</v>
      </c>
      <c r="AL6758">
        <v>79.520722108849199</v>
      </c>
      <c r="AM6758">
        <v>69.410226531560298</v>
      </c>
      <c r="AN6758">
        <v>0.99999999595773403</v>
      </c>
    </row>
    <row r="6759" spans="1:40" x14ac:dyDescent="0.25">
      <c r="A6759" t="str">
        <f>"20190312172841901"</f>
        <v>20190312172841901</v>
      </c>
      <c r="B6759" t="str">
        <f>"1552382921896103"</f>
        <v>1552382921896103</v>
      </c>
      <c r="C6759" t="s">
        <v>40</v>
      </c>
      <c r="D6759">
        <v>3.1699009999999999</v>
      </c>
      <c r="E6759">
        <v>0.55764320000000001</v>
      </c>
      <c r="F6759" t="s">
        <v>41</v>
      </c>
      <c r="G6759">
        <v>-160.37960000000001</v>
      </c>
      <c r="H6759" s="1">
        <v>-5.4489240000000003E-6</v>
      </c>
      <c r="I6759">
        <v>134.42519999999999</v>
      </c>
      <c r="J6759">
        <v>-178.2971</v>
      </c>
      <c r="K6759">
        <v>1.106838</v>
      </c>
      <c r="L6759">
        <v>133.16640000000001</v>
      </c>
      <c r="M6759">
        <v>0.83710319999999905</v>
      </c>
      <c r="N6759">
        <v>0</v>
      </c>
      <c r="O6759">
        <v>0.54686619999999997</v>
      </c>
      <c r="P6759">
        <v>0.96017220000000003</v>
      </c>
      <c r="Q6759">
        <v>0.17250839999999901</v>
      </c>
      <c r="R6759">
        <v>0.21979670000000001</v>
      </c>
      <c r="S6759">
        <v>3.1084589999999999</v>
      </c>
      <c r="T6759">
        <v>-0.19049289999999999</v>
      </c>
      <c r="U6759">
        <v>0.23072809999999999</v>
      </c>
      <c r="V6759">
        <v>0.34278209999999998</v>
      </c>
      <c r="W6759">
        <v>0.18233559999999999</v>
      </c>
      <c r="X6759">
        <v>0.92154990000000003</v>
      </c>
      <c r="Y6759">
        <v>0.4816394</v>
      </c>
      <c r="Z6759">
        <v>-4.6513939999999997E-2</v>
      </c>
      <c r="AA6759">
        <v>0.87513419999999897</v>
      </c>
      <c r="AB6759">
        <v>16</v>
      </c>
      <c r="AC6759">
        <v>17.917499999999901</v>
      </c>
      <c r="AD6759">
        <v>-1.106843448924</v>
      </c>
      <c r="AE6759">
        <v>1.2587999999999699</v>
      </c>
      <c r="AF6759">
        <v>8.7125006454740497</v>
      </c>
      <c r="AG6759">
        <v>-1.106843448924</v>
      </c>
      <c r="AH6759">
        <v>15.629376104200301</v>
      </c>
      <c r="AI6759">
        <v>93.539609145947196</v>
      </c>
      <c r="AJ6759">
        <v>60.862784738379098</v>
      </c>
      <c r="AK6759">
        <v>17.9279158667247</v>
      </c>
      <c r="AL6759">
        <v>79.494168753512696</v>
      </c>
      <c r="AM6759">
        <v>69.5966811809852</v>
      </c>
      <c r="AN6759">
        <v>1.0000000286488799</v>
      </c>
    </row>
    <row r="6760" spans="1:40" x14ac:dyDescent="0.25">
      <c r="A6760" t="str">
        <f>"20190312172841923"</f>
        <v>20190312172841923</v>
      </c>
      <c r="B6760" t="str">
        <f>"1552382921916594"</f>
        <v>1552382921916594</v>
      </c>
      <c r="C6760" t="s">
        <v>40</v>
      </c>
      <c r="D6760">
        <v>3.1832479999999999</v>
      </c>
      <c r="E6760">
        <v>0.55681429999999998</v>
      </c>
      <c r="F6760" t="s">
        <v>41</v>
      </c>
      <c r="G6760">
        <v>-160.547</v>
      </c>
      <c r="H6760" s="1">
        <v>-5.3699260000000003E-6</v>
      </c>
      <c r="I6760">
        <v>134.42449999999999</v>
      </c>
      <c r="J6760">
        <v>-178.1575</v>
      </c>
      <c r="K6760">
        <v>1.106943</v>
      </c>
      <c r="L6760">
        <v>133.24510000000001</v>
      </c>
      <c r="M6760">
        <v>0.84182269999999904</v>
      </c>
      <c r="N6760">
        <v>0</v>
      </c>
      <c r="O6760">
        <v>0.53957369999999905</v>
      </c>
      <c r="P6760">
        <v>0.96143840000000003</v>
      </c>
      <c r="Q6760">
        <v>0.172736</v>
      </c>
      <c r="R6760">
        <v>0.21400559999999999</v>
      </c>
      <c r="S6760">
        <v>3.1088260000000001</v>
      </c>
      <c r="T6760">
        <v>-0.19385659999999999</v>
      </c>
      <c r="U6760">
        <v>0.2203522</v>
      </c>
      <c r="V6760">
        <v>0.3402558</v>
      </c>
      <c r="W6760">
        <v>0.18266099999999999</v>
      </c>
      <c r="X6760">
        <v>0.92242120000000005</v>
      </c>
      <c r="Y6760">
        <v>0.47689480000000001</v>
      </c>
      <c r="Z6760">
        <v>-4.6811110000000003E-2</v>
      </c>
      <c r="AA6760">
        <v>0.87771299999999997</v>
      </c>
      <c r="AB6760">
        <v>16</v>
      </c>
      <c r="AC6760">
        <v>17.610499999999998</v>
      </c>
      <c r="AD6760">
        <v>-1.1069483699259901</v>
      </c>
      <c r="AE6760">
        <v>1.17939999999998</v>
      </c>
      <c r="AF6760">
        <v>8.4768030916425392</v>
      </c>
      <c r="AG6760">
        <v>-1.1069483699259901</v>
      </c>
      <c r="AH6760">
        <v>15.4022147203756</v>
      </c>
      <c r="AI6760">
        <v>93.6027864922509</v>
      </c>
      <c r="AJ6760">
        <v>61.173257823034803</v>
      </c>
      <c r="AK6760">
        <v>17.615610793858899</v>
      </c>
      <c r="AL6760">
        <v>79.475205526557303</v>
      </c>
      <c r="AM6760">
        <v>69.752369952552201</v>
      </c>
      <c r="AN6760">
        <v>0.99999996028203897</v>
      </c>
    </row>
    <row r="6761" spans="1:40" x14ac:dyDescent="0.25">
      <c r="A6761" t="str">
        <f>"20190312172841946"</f>
        <v>20190312172841946</v>
      </c>
      <c r="B6761" t="str">
        <f>"1552382921936114"</f>
        <v>1552382921936114</v>
      </c>
      <c r="C6761" t="s">
        <v>40</v>
      </c>
      <c r="D6761">
        <v>3.1991299999999998</v>
      </c>
      <c r="E6761">
        <v>0.55609019999999898</v>
      </c>
      <c r="F6761" t="s">
        <v>41</v>
      </c>
      <c r="G6761">
        <v>-160.66329999999999</v>
      </c>
      <c r="H6761" s="1">
        <v>-5.3158330000000003E-6</v>
      </c>
      <c r="I6761">
        <v>134.4195</v>
      </c>
      <c r="J6761">
        <v>-178.01519999999999</v>
      </c>
      <c r="K6761">
        <v>1.107059</v>
      </c>
      <c r="L6761">
        <v>133.32390000000001</v>
      </c>
      <c r="M6761">
        <v>0.84644560000000002</v>
      </c>
      <c r="N6761">
        <v>0</v>
      </c>
      <c r="O6761">
        <v>0.53229300000000002</v>
      </c>
      <c r="P6761">
        <v>0.96270370000000005</v>
      </c>
      <c r="Q6761">
        <v>0.17247979999999999</v>
      </c>
      <c r="R6761">
        <v>0.20845230000000001</v>
      </c>
      <c r="S6761">
        <v>3.1092219999999999</v>
      </c>
      <c r="T6761">
        <v>-0.19673660000000001</v>
      </c>
      <c r="U6761">
        <v>0.20872499999999999</v>
      </c>
      <c r="V6761">
        <v>0.33758359999999998</v>
      </c>
      <c r="W6761">
        <v>0.18251419999999999</v>
      </c>
      <c r="X6761">
        <v>0.92343160000000002</v>
      </c>
      <c r="Y6761">
        <v>0.47255360000000002</v>
      </c>
      <c r="Z6761">
        <v>-4.6986159999999999E-2</v>
      </c>
      <c r="AA6761">
        <v>0.88004850000000001</v>
      </c>
      <c r="AB6761">
        <v>16</v>
      </c>
      <c r="AC6761">
        <v>17.351900000000001</v>
      </c>
      <c r="AD6761">
        <v>-1.107064315833</v>
      </c>
      <c r="AE6761">
        <v>1.0955999999999899</v>
      </c>
      <c r="AF6761">
        <v>8.2761805039386207</v>
      </c>
      <c r="AG6761">
        <v>-1.107064315833</v>
      </c>
      <c r="AH6761">
        <v>15.2104323828295</v>
      </c>
      <c r="AI6761">
        <v>93.658061929716197</v>
      </c>
      <c r="AJ6761">
        <v>61.448852773263603</v>
      </c>
      <c r="AK6761">
        <v>17.3515995921354</v>
      </c>
      <c r="AL6761">
        <v>79.483760993092204</v>
      </c>
      <c r="AM6761">
        <v>69.918846197613902</v>
      </c>
      <c r="AN6761">
        <v>1.00000002003457</v>
      </c>
    </row>
    <row r="6762" spans="1:40" x14ac:dyDescent="0.25">
      <c r="A6762" t="str">
        <f>"20190312172841969"</f>
        <v>20190312172841969</v>
      </c>
      <c r="B6762" t="str">
        <f>"1552382921966370"</f>
        <v>1552382921966370</v>
      </c>
      <c r="C6762" t="s">
        <v>40</v>
      </c>
      <c r="D6762">
        <v>3.2491829999999999</v>
      </c>
      <c r="E6762">
        <v>0.55506319999999998</v>
      </c>
      <c r="F6762" t="s">
        <v>41</v>
      </c>
      <c r="G6762">
        <v>-160.96449999999999</v>
      </c>
      <c r="H6762" s="1">
        <v>-5.1762480000000001E-6</v>
      </c>
      <c r="I6762">
        <v>134.40379999999999</v>
      </c>
      <c r="J6762">
        <v>-177.87139999999999</v>
      </c>
      <c r="K6762">
        <v>1.1071839999999999</v>
      </c>
      <c r="L6762">
        <v>133.40219999999999</v>
      </c>
      <c r="M6762">
        <v>0.85093079999999999</v>
      </c>
      <c r="N6762">
        <v>0</v>
      </c>
      <c r="O6762">
        <v>0.52509399999999995</v>
      </c>
      <c r="P6762">
        <v>0.96393759999999995</v>
      </c>
      <c r="Q6762">
        <v>0.1716355</v>
      </c>
      <c r="R6762">
        <v>0.2033856</v>
      </c>
      <c r="S6762">
        <v>3.1097410000000001</v>
      </c>
      <c r="T6762">
        <v>-0.2019078</v>
      </c>
      <c r="U6762">
        <v>0.19694519999999999</v>
      </c>
      <c r="V6762">
        <v>0.33461239999999998</v>
      </c>
      <c r="W6762">
        <v>0.18178800000000001</v>
      </c>
      <c r="X6762">
        <v>0.92465540000000002</v>
      </c>
      <c r="Y6762">
        <v>0.46832849999999998</v>
      </c>
      <c r="Z6762">
        <v>-4.7689380000000003E-2</v>
      </c>
      <c r="AA6762">
        <v>0.88226649999999995</v>
      </c>
      <c r="AB6762">
        <v>16</v>
      </c>
      <c r="AC6762">
        <v>16.9069</v>
      </c>
      <c r="AD6762">
        <v>-1.107189176248</v>
      </c>
      <c r="AE6762">
        <v>1.0015999999999901</v>
      </c>
      <c r="AF6762">
        <v>7.9920394822783702</v>
      </c>
      <c r="AG6762">
        <v>-1.107189176248</v>
      </c>
      <c r="AH6762">
        <v>14.8505106604877</v>
      </c>
      <c r="AI6762">
        <v>93.756202109090296</v>
      </c>
      <c r="AJ6762">
        <v>61.712374204576498</v>
      </c>
      <c r="AK6762">
        <v>16.9007760128213</v>
      </c>
      <c r="AL6762">
        <v>79.526076604553197</v>
      </c>
      <c r="AM6762">
        <v>70.105927015143195</v>
      </c>
      <c r="AN6762">
        <v>0.99999997196345902</v>
      </c>
    </row>
    <row r="6763" spans="1:40" x14ac:dyDescent="0.25">
      <c r="A6763" t="str">
        <f>"20190312172841992"</f>
        <v>20190312172841992</v>
      </c>
      <c r="B6763" t="str">
        <f>"1552382921986866"</f>
        <v>1552382921986866</v>
      </c>
      <c r="C6763" t="s">
        <v>40</v>
      </c>
      <c r="D6763">
        <v>3.2399330000000002</v>
      </c>
      <c r="E6763">
        <v>0.55450169999999999</v>
      </c>
      <c r="F6763" t="s">
        <v>41</v>
      </c>
      <c r="G6763">
        <v>-161.43270000000001</v>
      </c>
      <c r="H6763" s="1">
        <v>-4.955407E-6</v>
      </c>
      <c r="I6763">
        <v>134.40090000000001</v>
      </c>
      <c r="J6763">
        <v>-177.72730000000001</v>
      </c>
      <c r="K6763">
        <v>1.1073</v>
      </c>
      <c r="L6763">
        <v>133.4794</v>
      </c>
      <c r="M6763">
        <v>0.85524120000000003</v>
      </c>
      <c r="N6763">
        <v>0</v>
      </c>
      <c r="O6763">
        <v>0.51804470000000002</v>
      </c>
      <c r="P6763">
        <v>0.96499250000000003</v>
      </c>
      <c r="Q6763">
        <v>0.170739</v>
      </c>
      <c r="R6763">
        <v>0.19909289999999999</v>
      </c>
      <c r="S6763">
        <v>3.1096650000000001</v>
      </c>
      <c r="T6763">
        <v>-0.20944399999999999</v>
      </c>
      <c r="U6763">
        <v>0.18891910000000001</v>
      </c>
      <c r="V6763">
        <v>0.33109690000000003</v>
      </c>
      <c r="W6763">
        <v>0.18100720000000001</v>
      </c>
      <c r="X6763">
        <v>0.92607300000000004</v>
      </c>
      <c r="Y6763">
        <v>0.4631672</v>
      </c>
      <c r="Z6763">
        <v>-4.8895460000000002E-2</v>
      </c>
      <c r="AA6763">
        <v>0.88492109999999902</v>
      </c>
      <c r="AB6763">
        <v>16</v>
      </c>
      <c r="AC6763">
        <v>16.294599999999999</v>
      </c>
      <c r="AD6763">
        <v>-1.107304955407</v>
      </c>
      <c r="AE6763">
        <v>0.92150000000000798</v>
      </c>
      <c r="AF6763">
        <v>7.6188905847460999</v>
      </c>
      <c r="AG6763">
        <v>-1.107304955407</v>
      </c>
      <c r="AH6763">
        <v>14.348527384893501</v>
      </c>
      <c r="AI6763">
        <v>93.899206015400196</v>
      </c>
      <c r="AJ6763">
        <v>62.032250676188397</v>
      </c>
      <c r="AK6763">
        <v>16.283545563593901</v>
      </c>
      <c r="AL6763">
        <v>79.5715679699953</v>
      </c>
      <c r="AM6763">
        <v>70.326614540164499</v>
      </c>
      <c r="AN6763">
        <v>0.99999998248522404</v>
      </c>
    </row>
    <row r="6764" spans="1:40" x14ac:dyDescent="0.25">
      <c r="A6764" t="str">
        <f>"20190312172842014"</f>
        <v>20190312172842014</v>
      </c>
      <c r="B6764" t="str">
        <f>"1552382922006386"</f>
        <v>1552382922006386</v>
      </c>
      <c r="C6764" t="s">
        <v>40</v>
      </c>
      <c r="D6764">
        <v>3.27759</v>
      </c>
      <c r="E6764">
        <v>0.55392180000000002</v>
      </c>
      <c r="F6764" t="s">
        <v>41</v>
      </c>
      <c r="G6764">
        <v>-161.8058</v>
      </c>
      <c r="H6764" s="1">
        <v>-4.7786950000000002E-6</v>
      </c>
      <c r="I6764">
        <v>134.40299999999999</v>
      </c>
      <c r="J6764">
        <v>-177.59049999999999</v>
      </c>
      <c r="K6764">
        <v>1.107386</v>
      </c>
      <c r="L6764">
        <v>133.5514</v>
      </c>
      <c r="M6764">
        <v>0.85918930000000004</v>
      </c>
      <c r="N6764">
        <v>0</v>
      </c>
      <c r="O6764">
        <v>0.51147089999999995</v>
      </c>
      <c r="P6764">
        <v>0.96589029999999998</v>
      </c>
      <c r="Q6764">
        <v>0.17014000000000001</v>
      </c>
      <c r="R6764">
        <v>0.19521369999999999</v>
      </c>
      <c r="S6764">
        <v>3.1098940000000002</v>
      </c>
      <c r="T6764">
        <v>-0.21628559999999999</v>
      </c>
      <c r="U6764">
        <v>0.18041989999999999</v>
      </c>
      <c r="V6764">
        <v>0.3277158</v>
      </c>
      <c r="W6764">
        <v>0.18049460000000001</v>
      </c>
      <c r="X6764">
        <v>0.92737480000000005</v>
      </c>
      <c r="Y6764">
        <v>0.45866889999999999</v>
      </c>
      <c r="Z6764">
        <v>-4.9944700000000002E-2</v>
      </c>
      <c r="AA6764">
        <v>0.88720259999999995</v>
      </c>
      <c r="AB6764">
        <v>16</v>
      </c>
      <c r="AC6764">
        <v>15.7846999999999</v>
      </c>
      <c r="AD6764">
        <v>-1.1073907786949999</v>
      </c>
      <c r="AE6764">
        <v>0.85159999999999003</v>
      </c>
      <c r="AF6764">
        <v>7.3065737640433301</v>
      </c>
      <c r="AG6764">
        <v>-1.1073907786949999</v>
      </c>
      <c r="AH6764">
        <v>13.9305873915535</v>
      </c>
      <c r="AI6764">
        <v>94.026857767271807</v>
      </c>
      <c r="AJ6764">
        <v>62.323052065035903</v>
      </c>
      <c r="AK6764">
        <v>15.769388053436099</v>
      </c>
      <c r="AL6764">
        <v>79.601429646575795</v>
      </c>
      <c r="AM6764">
        <v>70.537605439466802</v>
      </c>
      <c r="AN6764">
        <v>0.99999998293691905</v>
      </c>
    </row>
    <row r="6765" spans="1:40" x14ac:dyDescent="0.25">
      <c r="A6765" t="str">
        <f>"20190312172842035"</f>
        <v>20190312172842035</v>
      </c>
      <c r="B6765" t="str">
        <f>"1552382922026882"</f>
        <v>1552382922026882</v>
      </c>
      <c r="C6765" t="s">
        <v>40</v>
      </c>
      <c r="D6765">
        <v>3.2765550000000001</v>
      </c>
      <c r="E6765">
        <v>0.55336640000000004</v>
      </c>
      <c r="F6765" t="s">
        <v>41</v>
      </c>
      <c r="G6765">
        <v>-162.01400000000001</v>
      </c>
      <c r="H6765" s="1">
        <v>-4.677374E-6</v>
      </c>
      <c r="I6765">
        <v>134.41929999999999</v>
      </c>
      <c r="J6765">
        <v>-177.4496</v>
      </c>
      <c r="K6765">
        <v>1.107402</v>
      </c>
      <c r="L6765">
        <v>133.62450000000001</v>
      </c>
      <c r="M6765">
        <v>0.86313619999999902</v>
      </c>
      <c r="N6765">
        <v>0</v>
      </c>
      <c r="O6765">
        <v>0.50478509999999999</v>
      </c>
      <c r="P6765">
        <v>0.96700319999999995</v>
      </c>
      <c r="Q6765">
        <v>0.1704724</v>
      </c>
      <c r="R6765">
        <v>0.1893254</v>
      </c>
      <c r="S6765">
        <v>3.1098629999999998</v>
      </c>
      <c r="T6765">
        <v>-0.22109090000000001</v>
      </c>
      <c r="U6765">
        <v>0.17327879999999901</v>
      </c>
      <c r="V6765">
        <v>0.32611380000000001</v>
      </c>
      <c r="W6765">
        <v>0.18076339999999999</v>
      </c>
      <c r="X6765">
        <v>0.92788700000000002</v>
      </c>
      <c r="Y6765">
        <v>0.4537255</v>
      </c>
      <c r="Z6765">
        <v>-5.0472789999999997E-2</v>
      </c>
      <c r="AA6765">
        <v>0.88971100000000003</v>
      </c>
      <c r="AB6765">
        <v>16</v>
      </c>
      <c r="AC6765">
        <v>15.4355999999999</v>
      </c>
      <c r="AD6765">
        <v>-1.1074066773739999</v>
      </c>
      <c r="AE6765">
        <v>0.79479999999997997</v>
      </c>
      <c r="AF6765">
        <v>7.0700136906289597</v>
      </c>
      <c r="AG6765">
        <v>-1.1074066773739999</v>
      </c>
      <c r="AH6765">
        <v>13.655417233675401</v>
      </c>
      <c r="AI6765">
        <v>94.119134031770699</v>
      </c>
      <c r="AJ6765">
        <v>62.627398136278799</v>
      </c>
      <c r="AK6765">
        <v>15.416934291892501</v>
      </c>
      <c r="AL6765">
        <v>79.5857706401911</v>
      </c>
      <c r="AM6765">
        <v>70.635539958275302</v>
      </c>
      <c r="AN6765">
        <v>0.99999995104949801</v>
      </c>
    </row>
    <row r="6766" spans="1:40" x14ac:dyDescent="0.25">
      <c r="A6766" t="str">
        <f>"20190312172842058"</f>
        <v>20190312172842058</v>
      </c>
      <c r="B6766" t="str">
        <f>"1552382922046401"</f>
        <v>1552382922046401</v>
      </c>
      <c r="C6766" t="s">
        <v>40</v>
      </c>
      <c r="D6766">
        <v>3.3160189999999998</v>
      </c>
      <c r="E6766">
        <v>0.5527995</v>
      </c>
      <c r="F6766" t="s">
        <v>41</v>
      </c>
      <c r="G6766">
        <v>-161.98589999999999</v>
      </c>
      <c r="H6766" s="1">
        <v>-4.6915599999999999E-6</v>
      </c>
      <c r="I6766">
        <v>134.4143</v>
      </c>
      <c r="J6766">
        <v>-177.309</v>
      </c>
      <c r="K6766">
        <v>1.1073189999999999</v>
      </c>
      <c r="L6766">
        <v>133.6961</v>
      </c>
      <c r="M6766">
        <v>0.86696980000000001</v>
      </c>
      <c r="N6766">
        <v>0</v>
      </c>
      <c r="O6766">
        <v>0.49818079999999998</v>
      </c>
      <c r="P6766">
        <v>0.9676129</v>
      </c>
      <c r="Q6766">
        <v>0.17138529999999999</v>
      </c>
      <c r="R6766">
        <v>0.1853448</v>
      </c>
      <c r="S6766">
        <v>3.110519</v>
      </c>
      <c r="T6766">
        <v>-0.22275349999999999</v>
      </c>
      <c r="U6766">
        <v>0.1588745</v>
      </c>
      <c r="V6766">
        <v>0.32276349999999998</v>
      </c>
      <c r="W6766">
        <v>0.1814124</v>
      </c>
      <c r="X6766">
        <v>0.92893119999999996</v>
      </c>
      <c r="Y6766">
        <v>0.45102999999999999</v>
      </c>
      <c r="Z6766">
        <v>-5.0348209999999997E-2</v>
      </c>
      <c r="AA6766">
        <v>0.89108759999999998</v>
      </c>
      <c r="AB6766">
        <v>16</v>
      </c>
      <c r="AC6766">
        <v>15.3231</v>
      </c>
      <c r="AD6766">
        <v>-1.10732369156</v>
      </c>
      <c r="AE6766">
        <v>0.71819999999999595</v>
      </c>
      <c r="AF6766">
        <v>6.9752982186089296</v>
      </c>
      <c r="AG6766">
        <v>-1.10732369156</v>
      </c>
      <c r="AH6766">
        <v>13.5729555967603</v>
      </c>
      <c r="AI6766">
        <v>94.150216252217604</v>
      </c>
      <c r="AJ6766">
        <v>62.800846359892198</v>
      </c>
      <c r="AK6766">
        <v>15.3005253056242</v>
      </c>
      <c r="AL6766">
        <v>79.547960601865597</v>
      </c>
      <c r="AM6766">
        <v>70.839867081595102</v>
      </c>
      <c r="AN6766">
        <v>0.99999995506972394</v>
      </c>
    </row>
    <row r="6767" spans="1:40" x14ac:dyDescent="0.25">
      <c r="A6767" t="str">
        <f>"20190312172842080"</f>
        <v>20190312172842080</v>
      </c>
      <c r="B6767" t="str">
        <f>"1552382922076658"</f>
        <v>1552382922076658</v>
      </c>
      <c r="C6767" t="s">
        <v>40</v>
      </c>
      <c r="D6767">
        <v>3.3290009999999999</v>
      </c>
      <c r="E6767">
        <v>0.5523074</v>
      </c>
      <c r="F6767" t="s">
        <v>41</v>
      </c>
      <c r="G6767">
        <v>-161.7878</v>
      </c>
      <c r="H6767" s="1">
        <v>-4.7793930000000004E-6</v>
      </c>
      <c r="I6767">
        <v>134.447</v>
      </c>
      <c r="J6767">
        <v>-177.16480000000001</v>
      </c>
      <c r="K6767">
        <v>1.1072709999999999</v>
      </c>
      <c r="L6767">
        <v>133.76840000000001</v>
      </c>
      <c r="M6767">
        <v>0.87075599999999997</v>
      </c>
      <c r="N6767">
        <v>0</v>
      </c>
      <c r="O6767">
        <v>0.49154029999999999</v>
      </c>
      <c r="P6767">
        <v>0.96828479999999995</v>
      </c>
      <c r="Q6767">
        <v>0.17204150000000001</v>
      </c>
      <c r="R6767">
        <v>0.18118039999999999</v>
      </c>
      <c r="S6767">
        <v>3.1109010000000001</v>
      </c>
      <c r="T6767">
        <v>-0.221939</v>
      </c>
      <c r="U6767">
        <v>0.1504974</v>
      </c>
      <c r="V6767">
        <v>0.31959520000000002</v>
      </c>
      <c r="W6767">
        <v>0.18185409999999999</v>
      </c>
      <c r="X6767">
        <v>0.92993979999999998</v>
      </c>
      <c r="Y6767">
        <v>0.44664999999999999</v>
      </c>
      <c r="Z6767">
        <v>-4.9596220000000003E-2</v>
      </c>
      <c r="AA6767">
        <v>0.89333309999999999</v>
      </c>
      <c r="AB6767">
        <v>16</v>
      </c>
      <c r="AC6767">
        <v>15.377000000000001</v>
      </c>
      <c r="AD6767">
        <v>-1.1072757793929999</v>
      </c>
      <c r="AE6767">
        <v>0.67859999999998799</v>
      </c>
      <c r="AF6767">
        <v>6.9322444384891604</v>
      </c>
      <c r="AG6767">
        <v>-1.1072757793929999</v>
      </c>
      <c r="AH6767">
        <v>13.653695446555099</v>
      </c>
      <c r="AI6767">
        <v>94.135907613412996</v>
      </c>
      <c r="AJ6767">
        <v>63.082216639504701</v>
      </c>
      <c r="AK6767">
        <v>15.3527024316201</v>
      </c>
      <c r="AL6767">
        <v>79.522225650100197</v>
      </c>
      <c r="AM6767">
        <v>71.033537886205295</v>
      </c>
      <c r="AN6767">
        <v>1.00000001858694</v>
      </c>
    </row>
    <row r="6768" spans="1:40" x14ac:dyDescent="0.25">
      <c r="A6768" t="str">
        <f>"20190312172842103"</f>
        <v>20190312172842103</v>
      </c>
      <c r="B6768" t="str">
        <f>"1552382922096178"</f>
        <v>1552382922096178</v>
      </c>
      <c r="C6768" t="s">
        <v>40</v>
      </c>
      <c r="D6768">
        <v>3.3550900000000001</v>
      </c>
      <c r="E6768">
        <v>0.54525199999999996</v>
      </c>
      <c r="F6768" t="s">
        <v>41</v>
      </c>
      <c r="G6768">
        <v>-161.6575</v>
      </c>
      <c r="H6768" s="1">
        <v>-4.8359339999999901E-6</v>
      </c>
      <c r="I6768">
        <v>134.47540000000001</v>
      </c>
      <c r="J6768">
        <v>-177.01859999999999</v>
      </c>
      <c r="K6768">
        <v>1.1073189999999999</v>
      </c>
      <c r="L6768">
        <v>133.84039999999999</v>
      </c>
      <c r="M6768">
        <v>0.8744632</v>
      </c>
      <c r="N6768">
        <v>0</v>
      </c>
      <c r="O6768">
        <v>0.48491699999999999</v>
      </c>
      <c r="P6768">
        <v>0.96881779999999995</v>
      </c>
      <c r="Q6768">
        <v>0.172821</v>
      </c>
      <c r="R6768">
        <v>0.1775535</v>
      </c>
      <c r="S6768">
        <v>3.1111909999999998</v>
      </c>
      <c r="T6768">
        <v>-0.22215009999999999</v>
      </c>
      <c r="U6768">
        <v>0.14184569999999999</v>
      </c>
      <c r="V6768">
        <v>0.31592680000000001</v>
      </c>
      <c r="W6768">
        <v>0.1826188</v>
      </c>
      <c r="X6768">
        <v>0.93104279999999995</v>
      </c>
      <c r="Y6768">
        <v>0.44236360000000002</v>
      </c>
      <c r="Z6768">
        <v>-4.9078289999999997E-2</v>
      </c>
      <c r="AA6768">
        <v>0.89549190000000001</v>
      </c>
      <c r="AB6768">
        <v>16</v>
      </c>
      <c r="AC6768">
        <v>15.361099999999899</v>
      </c>
      <c r="AD6768">
        <v>-1.1073238359340001</v>
      </c>
      <c r="AE6768">
        <v>0.63500000000001899</v>
      </c>
      <c r="AF6768">
        <v>6.8585798016598902</v>
      </c>
      <c r="AG6768">
        <v>-1.1073238359340001</v>
      </c>
      <c r="AH6768">
        <v>13.6708858693399</v>
      </c>
      <c r="AI6768">
        <v>94.140895258642402</v>
      </c>
      <c r="AJ6768">
        <v>63.357426577620998</v>
      </c>
      <c r="AK6768">
        <v>15.334908001872099</v>
      </c>
      <c r="AL6768">
        <v>79.477665539310706</v>
      </c>
      <c r="AM6768">
        <v>71.256602303351002</v>
      </c>
      <c r="AN6768">
        <v>1.0000000322517499</v>
      </c>
    </row>
    <row r="6769" spans="1:40" x14ac:dyDescent="0.25">
      <c r="A6769" t="str">
        <f>"20190312172842125"</f>
        <v>20190312172842125</v>
      </c>
      <c r="B6769" t="str">
        <f>"1552382922116674"</f>
        <v>1552382922116674</v>
      </c>
      <c r="C6769" t="s">
        <v>40</v>
      </c>
      <c r="D6769">
        <v>3.366781</v>
      </c>
      <c r="E6769">
        <v>0.54478879999999996</v>
      </c>
      <c r="F6769" t="s">
        <v>41</v>
      </c>
      <c r="G6769">
        <v>-163.4803</v>
      </c>
      <c r="H6769" s="1">
        <v>-3.9426329999999996E-6</v>
      </c>
      <c r="I6769">
        <v>134.65379999999999</v>
      </c>
      <c r="J6769">
        <v>-176.8734</v>
      </c>
      <c r="K6769">
        <v>1.1073999999999999</v>
      </c>
      <c r="L6769">
        <v>133.91069999999999</v>
      </c>
      <c r="M6769">
        <v>0.87807329999999995</v>
      </c>
      <c r="N6769">
        <v>0</v>
      </c>
      <c r="O6769">
        <v>0.47834969999999999</v>
      </c>
      <c r="P6769">
        <v>0.96929460000000001</v>
      </c>
      <c r="Q6769">
        <v>0.17324619999999999</v>
      </c>
      <c r="R6769">
        <v>0.17451029999999901</v>
      </c>
      <c r="S6769">
        <v>3.1076809999999999</v>
      </c>
      <c r="T6769">
        <v>-0.25418390000000002</v>
      </c>
      <c r="U6769">
        <v>0.18672179999999999</v>
      </c>
      <c r="V6769">
        <v>0.31180089999999999</v>
      </c>
      <c r="W6769">
        <v>0.1831035</v>
      </c>
      <c r="X6769">
        <v>0.93233750000000004</v>
      </c>
      <c r="Y6769">
        <v>0.42198999999999998</v>
      </c>
      <c r="Z6769">
        <v>-5.4835620000000002E-2</v>
      </c>
      <c r="AA6769">
        <v>0.90494059999999998</v>
      </c>
      <c r="AB6769">
        <v>16</v>
      </c>
      <c r="AC6769">
        <v>13.3931</v>
      </c>
      <c r="AD6769">
        <v>-1.107403942633</v>
      </c>
      <c r="AE6769">
        <v>0.74309999999999798</v>
      </c>
      <c r="AF6769">
        <v>5.71561858316963</v>
      </c>
      <c r="AG6769">
        <v>-1.107403942633</v>
      </c>
      <c r="AH6769">
        <v>12.034583163759001</v>
      </c>
      <c r="AI6769">
        <v>94.7515242251404</v>
      </c>
      <c r="AJ6769">
        <v>64.595422270438604</v>
      </c>
      <c r="AK6769">
        <v>13.3688380649129</v>
      </c>
      <c r="AL6769">
        <v>79.449417145371697</v>
      </c>
      <c r="AM6769">
        <v>71.508559215722698</v>
      </c>
      <c r="AN6769">
        <v>0.99999995342965298</v>
      </c>
    </row>
    <row r="6770" spans="1:40" x14ac:dyDescent="0.25">
      <c r="A6770" t="str">
        <f>"20190312172842146"</f>
        <v>20190312172842146</v>
      </c>
      <c r="B6770" t="str">
        <f>"1552382922136194"</f>
        <v>1552382922136194</v>
      </c>
      <c r="C6770" t="s">
        <v>40</v>
      </c>
      <c r="D6770">
        <v>3.3821680000000001</v>
      </c>
      <c r="E6770">
        <v>0.54449720000000001</v>
      </c>
      <c r="F6770" t="s">
        <v>41</v>
      </c>
      <c r="G6770">
        <v>-163.3185</v>
      </c>
      <c r="H6770" s="1">
        <v>-4.0109760000000004E-6</v>
      </c>
      <c r="I6770">
        <v>134.6996</v>
      </c>
      <c r="J6770">
        <v>-176.73259999999999</v>
      </c>
      <c r="K6770">
        <v>1.1074299999999999</v>
      </c>
      <c r="L6770">
        <v>133.9777</v>
      </c>
      <c r="M6770">
        <v>0.881520999999999</v>
      </c>
      <c r="N6770">
        <v>0</v>
      </c>
      <c r="O6770">
        <v>0.47196830000000001</v>
      </c>
      <c r="P6770">
        <v>0.96959070000000003</v>
      </c>
      <c r="Q6770">
        <v>0.17397019999999999</v>
      </c>
      <c r="R6770">
        <v>0.17212939999999999</v>
      </c>
      <c r="S6770">
        <v>3.1078489999999999</v>
      </c>
      <c r="T6770">
        <v>-0.25390479999999999</v>
      </c>
      <c r="U6770">
        <v>0.1808929</v>
      </c>
      <c r="V6770">
        <v>0.30724190000000001</v>
      </c>
      <c r="W6770">
        <v>0.1838254</v>
      </c>
      <c r="X6770">
        <v>0.93370799999999998</v>
      </c>
      <c r="Y6770">
        <v>0.41714970000000001</v>
      </c>
      <c r="Z6770">
        <v>-5.4120590000000003E-2</v>
      </c>
      <c r="AA6770">
        <v>0.90722499999999995</v>
      </c>
      <c r="AB6770">
        <v>16</v>
      </c>
      <c r="AC6770">
        <v>13.4140999999999</v>
      </c>
      <c r="AD6770">
        <v>-1.1074340109759999</v>
      </c>
      <c r="AE6770">
        <v>0.72190000000000498</v>
      </c>
      <c r="AF6770">
        <v>5.6566913668199801</v>
      </c>
      <c r="AG6770">
        <v>-1.1074340109759999</v>
      </c>
      <c r="AH6770">
        <v>12.0844122983386</v>
      </c>
      <c r="AI6770">
        <v>94.744584378140601</v>
      </c>
      <c r="AJ6770">
        <v>64.915791700908599</v>
      </c>
      <c r="AK6770">
        <v>13.3887112114781</v>
      </c>
      <c r="AL6770">
        <v>79.4073415919475</v>
      </c>
      <c r="AM6770">
        <v>71.7859170083089</v>
      </c>
      <c r="AN6770">
        <v>0.99999999603238399</v>
      </c>
    </row>
    <row r="6771" spans="1:40" x14ac:dyDescent="0.25">
      <c r="A6771" t="str">
        <f>"20190312172842171"</f>
        <v>20190312172842171</v>
      </c>
      <c r="B6771" t="str">
        <f>"1552382922166450"</f>
        <v>1552382922166450</v>
      </c>
      <c r="C6771" t="s">
        <v>40</v>
      </c>
      <c r="D6771">
        <v>3.3962500000000002</v>
      </c>
      <c r="E6771">
        <v>0.51615119999999903</v>
      </c>
      <c r="F6771" t="s">
        <v>41</v>
      </c>
      <c r="G6771">
        <v>-163.0778</v>
      </c>
      <c r="H6771" s="1">
        <v>-4.116081E-6</v>
      </c>
      <c r="I6771">
        <v>134.74879999999999</v>
      </c>
      <c r="J6771">
        <v>-176.58420000000001</v>
      </c>
      <c r="K6771">
        <v>1.1074189999999999</v>
      </c>
      <c r="L6771">
        <v>134.0471</v>
      </c>
      <c r="M6771">
        <v>0.885055699999999</v>
      </c>
      <c r="N6771">
        <v>0</v>
      </c>
      <c r="O6771">
        <v>0.46530939999999998</v>
      </c>
      <c r="P6771">
        <v>0.96988260000000004</v>
      </c>
      <c r="Q6771">
        <v>0.17440600000000001</v>
      </c>
      <c r="R6771">
        <v>0.1700303</v>
      </c>
      <c r="S6771">
        <v>3.1081850000000002</v>
      </c>
      <c r="T6771">
        <v>-0.25208059999999999</v>
      </c>
      <c r="U6771">
        <v>0.17550660000000001</v>
      </c>
      <c r="V6771">
        <v>0.30217430000000001</v>
      </c>
      <c r="W6771">
        <v>0.18420449999999999</v>
      </c>
      <c r="X6771">
        <v>0.9352857</v>
      </c>
      <c r="Y6771">
        <v>0.41194730000000002</v>
      </c>
      <c r="Z6771">
        <v>-5.3042449999999998E-2</v>
      </c>
      <c r="AA6771">
        <v>0.90966250000000004</v>
      </c>
      <c r="AB6771">
        <v>16</v>
      </c>
      <c r="AC6771">
        <v>13.506399999999999</v>
      </c>
      <c r="AD6771">
        <v>-1.107423116081</v>
      </c>
      <c r="AE6771">
        <v>0.701699999999988</v>
      </c>
      <c r="AF6771">
        <v>5.6263517274642103</v>
      </c>
      <c r="AG6771">
        <v>-1.107423116081</v>
      </c>
      <c r="AH6771">
        <v>12.199633888915701</v>
      </c>
      <c r="AI6771">
        <v>94.712296391471398</v>
      </c>
      <c r="AJ6771">
        <v>65.241310904551995</v>
      </c>
      <c r="AK6771">
        <v>13.4801070746026</v>
      </c>
      <c r="AL6771">
        <v>79.385243153528094</v>
      </c>
      <c r="AM6771">
        <v>72.095271046558295</v>
      </c>
      <c r="AN6771">
        <v>0.99999997301261401</v>
      </c>
    </row>
    <row r="6772" spans="1:40" x14ac:dyDescent="0.25">
      <c r="A6772" t="str">
        <f>"20190312172842192"</f>
        <v>20190312172842192</v>
      </c>
      <c r="B6772" t="str">
        <f>"1552382922186946"</f>
        <v>1552382922186946</v>
      </c>
      <c r="C6772" t="s">
        <v>40</v>
      </c>
      <c r="D6772">
        <v>3.3869919999999998</v>
      </c>
      <c r="E6772">
        <v>0.51504050000000001</v>
      </c>
      <c r="F6772" t="s">
        <v>41</v>
      </c>
      <c r="G6772">
        <v>-163.11619999999999</v>
      </c>
      <c r="H6772" s="1">
        <v>-3.918069E-6</v>
      </c>
      <c r="I6772">
        <v>135.76259999999999</v>
      </c>
      <c r="J6772">
        <v>-176.43960000000001</v>
      </c>
      <c r="K6772">
        <v>1.1073949999999999</v>
      </c>
      <c r="L6772">
        <v>134.11340000000001</v>
      </c>
      <c r="M6772">
        <v>0.8883894</v>
      </c>
      <c r="N6772">
        <v>0</v>
      </c>
      <c r="O6772">
        <v>0.45891470000000001</v>
      </c>
      <c r="P6772">
        <v>0.97004639999999998</v>
      </c>
      <c r="Q6772">
        <v>0.17480709999999999</v>
      </c>
      <c r="R6772">
        <v>0.16867879999999999</v>
      </c>
      <c r="S6772">
        <v>3.0699920000000001</v>
      </c>
      <c r="T6772">
        <v>-0.25243480000000001</v>
      </c>
      <c r="U6772">
        <v>0.39105220000000002</v>
      </c>
      <c r="V6772">
        <v>0.29669230000000002</v>
      </c>
      <c r="W6772">
        <v>0.1845762</v>
      </c>
      <c r="X6772">
        <v>0.93696599999999997</v>
      </c>
      <c r="Y6772">
        <v>0.3404818</v>
      </c>
      <c r="Z6772">
        <v>-5.0065020000000002E-2</v>
      </c>
      <c r="AA6772">
        <v>0.93891729999999995</v>
      </c>
      <c r="AB6772">
        <v>16</v>
      </c>
      <c r="AC6772">
        <v>13.323399999999999</v>
      </c>
      <c r="AD6772">
        <v>-1.107398918069</v>
      </c>
      <c r="AE6772">
        <v>1.64919999999997</v>
      </c>
      <c r="AF6772">
        <v>4.6181255042343503</v>
      </c>
      <c r="AG6772">
        <v>-1.107398918069</v>
      </c>
      <c r="AH6772">
        <v>12.5091129815371</v>
      </c>
      <c r="AI6772">
        <v>94.747437687689498</v>
      </c>
      <c r="AJ6772">
        <v>69.736817402668805</v>
      </c>
      <c r="AK6772">
        <v>13.380258709063099</v>
      </c>
      <c r="AL6772">
        <v>79.363574946539003</v>
      </c>
      <c r="AM6772">
        <v>72.429497074399904</v>
      </c>
      <c r="AN6772">
        <v>0.99999998982086402</v>
      </c>
    </row>
    <row r="6773" spans="1:40" x14ac:dyDescent="0.25">
      <c r="A6773" t="str">
        <f>"20190312172842215"</f>
        <v>20190312172842215</v>
      </c>
      <c r="B6773" t="str">
        <f>"1552382922206466"</f>
        <v>1552382922206466</v>
      </c>
      <c r="C6773" t="s">
        <v>40</v>
      </c>
      <c r="D6773">
        <v>3.4177740000000001</v>
      </c>
      <c r="E6773">
        <v>0.51430549999999997</v>
      </c>
      <c r="F6773" t="s">
        <v>41</v>
      </c>
      <c r="G6773">
        <v>-162.87719999999999</v>
      </c>
      <c r="H6773" s="1">
        <v>-4.0134600000000004E-6</v>
      </c>
      <c r="I6773">
        <v>135.86189999999999</v>
      </c>
      <c r="J6773">
        <v>-176.29519999999999</v>
      </c>
      <c r="K6773">
        <v>1.1073809999999999</v>
      </c>
      <c r="L6773">
        <v>134.17840000000001</v>
      </c>
      <c r="M6773">
        <v>0.89164179999999904</v>
      </c>
      <c r="N6773">
        <v>0</v>
      </c>
      <c r="O6773">
        <v>0.45256439999999998</v>
      </c>
      <c r="P6773">
        <v>0.97021820000000003</v>
      </c>
      <c r="Q6773">
        <v>0.17471110000000001</v>
      </c>
      <c r="R6773">
        <v>0.16778799999999999</v>
      </c>
      <c r="S6773">
        <v>3.0689700000000002</v>
      </c>
      <c r="T6773">
        <v>-0.250587</v>
      </c>
      <c r="U6773">
        <v>0.39566040000000002</v>
      </c>
      <c r="V6773">
        <v>0.29086380000000001</v>
      </c>
      <c r="W6773">
        <v>0.18449189999999999</v>
      </c>
      <c r="X6773">
        <v>0.93880830000000004</v>
      </c>
      <c r="Y6773">
        <v>0.3324184</v>
      </c>
      <c r="Z6773">
        <v>-4.8921399999999997E-2</v>
      </c>
      <c r="AA6773">
        <v>0.94186230000000004</v>
      </c>
      <c r="AB6773">
        <v>16</v>
      </c>
      <c r="AC6773">
        <v>13.417999999999999</v>
      </c>
      <c r="AD6773">
        <v>-1.1073850134599901</v>
      </c>
      <c r="AE6773">
        <v>1.68349999999998</v>
      </c>
      <c r="AF6773">
        <v>4.5413442462786699</v>
      </c>
      <c r="AG6773">
        <v>-1.1073850134599901</v>
      </c>
      <c r="AH6773">
        <v>12.6421887396789</v>
      </c>
      <c r="AI6773">
        <v>94.712630923839299</v>
      </c>
      <c r="AJ6773">
        <v>70.240627708307301</v>
      </c>
      <c r="AK6773">
        <v>13.478688558643499</v>
      </c>
      <c r="AL6773">
        <v>79.368489680897298</v>
      </c>
      <c r="AM6773">
        <v>72.785850117031899</v>
      </c>
      <c r="AN6773">
        <v>1.0000000177324699</v>
      </c>
    </row>
    <row r="6774" spans="1:40" x14ac:dyDescent="0.25">
      <c r="A6774" t="str">
        <f>"20190312172842238"</f>
        <v>20190312172842238</v>
      </c>
      <c r="B6774" t="str">
        <f>"1552382922226963"</f>
        <v>1552382922226963</v>
      </c>
      <c r="C6774" t="s">
        <v>40</v>
      </c>
      <c r="D6774">
        <v>3.4090600000000002</v>
      </c>
      <c r="E6774">
        <v>0.5139165</v>
      </c>
      <c r="F6774" t="s">
        <v>41</v>
      </c>
      <c r="G6774">
        <v>-162.7183</v>
      </c>
      <c r="H6774" s="1">
        <v>-4.0742379999999997E-6</v>
      </c>
      <c r="I6774">
        <v>135.9425</v>
      </c>
      <c r="J6774">
        <v>-176.1369</v>
      </c>
      <c r="K6774">
        <v>1.10738</v>
      </c>
      <c r="L6774">
        <v>134.2482</v>
      </c>
      <c r="M6774">
        <v>0.89513729999999903</v>
      </c>
      <c r="N6774">
        <v>0</v>
      </c>
      <c r="O6774">
        <v>0.4456117</v>
      </c>
      <c r="P6774">
        <v>0.97052590000000005</v>
      </c>
      <c r="Q6774">
        <v>0.17461579999999999</v>
      </c>
      <c r="R6774">
        <v>0.16609889999999999</v>
      </c>
      <c r="S6774">
        <v>3.0682070000000001</v>
      </c>
      <c r="T6774">
        <v>-0.25025619999999998</v>
      </c>
      <c r="U6774">
        <v>0.39866639999999998</v>
      </c>
      <c r="V6774">
        <v>0.28518470000000001</v>
      </c>
      <c r="W6774">
        <v>0.18441959999999999</v>
      </c>
      <c r="X6774">
        <v>0.94056309999999999</v>
      </c>
      <c r="Y6774">
        <v>0.324185</v>
      </c>
      <c r="Z6774">
        <v>-4.8025669999999999E-2</v>
      </c>
      <c r="AA6774">
        <v>0.94477390000000006</v>
      </c>
      <c r="AB6774">
        <v>16</v>
      </c>
      <c r="AC6774">
        <v>13.4185999999999</v>
      </c>
      <c r="AD6774">
        <v>-1.1073840742379999</v>
      </c>
      <c r="AE6774">
        <v>1.6942999999999899</v>
      </c>
      <c r="AF6774">
        <v>4.4334891588602297</v>
      </c>
      <c r="AG6774">
        <v>-1.1073840742379999</v>
      </c>
      <c r="AH6774">
        <v>12.6824878033859</v>
      </c>
      <c r="AI6774">
        <v>94.711943601245096</v>
      </c>
      <c r="AJ6774">
        <v>70.731615775971804</v>
      </c>
      <c r="AK6774">
        <v>13.4806388013565</v>
      </c>
      <c r="AL6774">
        <v>79.372703475563696</v>
      </c>
      <c r="AM6774">
        <v>73.132363524962301</v>
      </c>
      <c r="AN6774">
        <v>0.99999992352992695</v>
      </c>
    </row>
    <row r="6775" spans="1:40" x14ac:dyDescent="0.25">
      <c r="A6775" t="str">
        <f>"20190312172842259"</f>
        <v>20190312172842259</v>
      </c>
      <c r="B6775" t="str">
        <f>"1552382922246483"</f>
        <v>1552382922246483</v>
      </c>
      <c r="C6775" t="s">
        <v>40</v>
      </c>
      <c r="D6775">
        <v>3.4169900000000002</v>
      </c>
      <c r="E6775">
        <v>0.51381369999999904</v>
      </c>
      <c r="F6775" t="s">
        <v>41</v>
      </c>
      <c r="G6775">
        <v>-162.62139999999999</v>
      </c>
      <c r="H6775" s="1">
        <v>-4.1108959999999998E-6</v>
      </c>
      <c r="I6775">
        <v>135.9941</v>
      </c>
      <c r="J6775">
        <v>-176.00299999999999</v>
      </c>
      <c r="K6775">
        <v>1.107386</v>
      </c>
      <c r="L6775">
        <v>134.30619999999999</v>
      </c>
      <c r="M6775">
        <v>0.89804200000000001</v>
      </c>
      <c r="N6775">
        <v>0</v>
      </c>
      <c r="O6775">
        <v>0.43972919999999999</v>
      </c>
      <c r="P6775">
        <v>0.97073379999999998</v>
      </c>
      <c r="Q6775">
        <v>0.17417249999999901</v>
      </c>
      <c r="R6775">
        <v>0.16534839999999901</v>
      </c>
      <c r="S6775">
        <v>3.0685120000000001</v>
      </c>
      <c r="T6775">
        <v>-0.25141619999999998</v>
      </c>
      <c r="U6775">
        <v>0.3963776</v>
      </c>
      <c r="V6775">
        <v>0.27975260000000002</v>
      </c>
      <c r="W6775">
        <v>0.1840077</v>
      </c>
      <c r="X6775">
        <v>0.94227369999999999</v>
      </c>
      <c r="Y6775">
        <v>0.31869419999999998</v>
      </c>
      <c r="Z6775">
        <v>-4.7592500000000003E-2</v>
      </c>
      <c r="AA6775">
        <v>0.946662</v>
      </c>
      <c r="AB6775">
        <v>16</v>
      </c>
      <c r="AC6775">
        <v>13.381599999999899</v>
      </c>
      <c r="AD6775">
        <v>-1.107390110896</v>
      </c>
      <c r="AE6775">
        <v>1.6879000000000099</v>
      </c>
      <c r="AF6775">
        <v>4.33956865829275</v>
      </c>
      <c r="AG6775">
        <v>-1.107390110896</v>
      </c>
      <c r="AH6775">
        <v>12.6750274994676</v>
      </c>
      <c r="AI6775">
        <v>94.725189076056495</v>
      </c>
      <c r="AJ6775">
        <v>71.100255795494206</v>
      </c>
      <c r="AK6775">
        <v>13.4430090050556</v>
      </c>
      <c r="AL6775">
        <v>79.396715759877395</v>
      </c>
      <c r="AM6775">
        <v>73.464318607694594</v>
      </c>
      <c r="AN6775">
        <v>1.0000000382888601</v>
      </c>
    </row>
    <row r="6776" spans="1:40" x14ac:dyDescent="0.25">
      <c r="A6776" t="str">
        <f>"20190312172842282"</f>
        <v>20190312172842282</v>
      </c>
      <c r="B6776" t="str">
        <f>"1552382922276739"</f>
        <v>1552382922276739</v>
      </c>
      <c r="C6776" t="s">
        <v>40</v>
      </c>
      <c r="D6776">
        <v>3.4122029999999999</v>
      </c>
      <c r="E6776">
        <v>0.51377969999999995</v>
      </c>
      <c r="F6776" t="s">
        <v>41</v>
      </c>
      <c r="G6776">
        <v>-162.68770000000001</v>
      </c>
      <c r="H6776" s="1">
        <v>-4.0753060000000003E-6</v>
      </c>
      <c r="I6776">
        <v>136.018</v>
      </c>
      <c r="J6776">
        <v>-175.85120000000001</v>
      </c>
      <c r="K6776">
        <v>1.1074079999999999</v>
      </c>
      <c r="L6776">
        <v>134.3708</v>
      </c>
      <c r="M6776">
        <v>0.90125659999999996</v>
      </c>
      <c r="N6776">
        <v>0</v>
      </c>
      <c r="O6776">
        <v>0.43310379999999998</v>
      </c>
      <c r="P6776">
        <v>0.97105140000000001</v>
      </c>
      <c r="Q6776">
        <v>0.17386450000000001</v>
      </c>
      <c r="R6776">
        <v>0.16379969999999999</v>
      </c>
      <c r="S6776">
        <v>3.0690309999999998</v>
      </c>
      <c r="T6776">
        <v>-0.25524249999999998</v>
      </c>
      <c r="U6776">
        <v>0.39454650000000002</v>
      </c>
      <c r="V6776">
        <v>0.27430979999999999</v>
      </c>
      <c r="W6776">
        <v>0.18373819999999999</v>
      </c>
      <c r="X6776">
        <v>0.94392500000000001</v>
      </c>
      <c r="Y6776">
        <v>0.312255</v>
      </c>
      <c r="Z6776">
        <v>-4.7549229999999998E-2</v>
      </c>
      <c r="AA6776">
        <v>0.94880770000000003</v>
      </c>
      <c r="AB6776">
        <v>16</v>
      </c>
      <c r="AC6776">
        <v>13.163500000000001</v>
      </c>
      <c r="AD6776">
        <v>-1.1074120753059999</v>
      </c>
      <c r="AE6776">
        <v>1.64719999999999</v>
      </c>
      <c r="AF6776">
        <v>4.1877627228057097</v>
      </c>
      <c r="AG6776">
        <v>-1.1074120753059999</v>
      </c>
      <c r="AH6776">
        <v>12.4910496498889</v>
      </c>
      <c r="AI6776">
        <v>94.804881792995204</v>
      </c>
      <c r="AJ6776">
        <v>71.465702461082998</v>
      </c>
      <c r="AK6776">
        <v>13.220818411998801</v>
      </c>
      <c r="AL6776">
        <v>79.412424390909493</v>
      </c>
      <c r="AM6776">
        <v>73.795844692728195</v>
      </c>
      <c r="AN6776">
        <v>0.99999999907014003</v>
      </c>
    </row>
    <row r="6777" spans="1:40" x14ac:dyDescent="0.25">
      <c r="A6777" t="str">
        <f>"20190312172842304"</f>
        <v>20190312172842304</v>
      </c>
      <c r="B6777" t="str">
        <f>"1552382922297234"</f>
        <v>1552382922297234</v>
      </c>
      <c r="C6777" t="s">
        <v>40</v>
      </c>
      <c r="D6777">
        <v>3.4546160000000001</v>
      </c>
      <c r="E6777">
        <v>0.51391430000000005</v>
      </c>
      <c r="F6777" t="s">
        <v>41</v>
      </c>
      <c r="G6777">
        <v>-162.68190000000001</v>
      </c>
      <c r="H6777" s="1">
        <v>-4.0741539999999999E-6</v>
      </c>
      <c r="I6777">
        <v>136.0401</v>
      </c>
      <c r="J6777">
        <v>-175.70840000000001</v>
      </c>
      <c r="K6777">
        <v>1.1074459999999999</v>
      </c>
      <c r="L6777">
        <v>134.43039999999999</v>
      </c>
      <c r="M6777">
        <v>0.90419170000000004</v>
      </c>
      <c r="N6777">
        <v>0</v>
      </c>
      <c r="O6777">
        <v>0.42694320000000002</v>
      </c>
      <c r="P6777">
        <v>0.97126480000000004</v>
      </c>
      <c r="Q6777">
        <v>0.17427899999999999</v>
      </c>
      <c r="R6777">
        <v>0.1620867</v>
      </c>
      <c r="S6777">
        <v>3.0700379999999998</v>
      </c>
      <c r="T6777">
        <v>-0.25816139999999999</v>
      </c>
      <c r="U6777">
        <v>0.38914490000000002</v>
      </c>
      <c r="V6777">
        <v>0.26947059999999901</v>
      </c>
      <c r="W6777">
        <v>0.18420130000000001</v>
      </c>
      <c r="X6777">
        <v>0.9452277</v>
      </c>
      <c r="Y6777">
        <v>0.30743389999999998</v>
      </c>
      <c r="Z6777">
        <v>-4.7416630000000001E-2</v>
      </c>
      <c r="AA6777">
        <v>0.95038739999999999</v>
      </c>
      <c r="AB6777">
        <v>16</v>
      </c>
      <c r="AC6777">
        <v>13.0265</v>
      </c>
      <c r="AD6777">
        <v>-1.1074500741540001</v>
      </c>
      <c r="AE6777">
        <v>1.6096999999999999</v>
      </c>
      <c r="AF6777">
        <v>4.07739386690473</v>
      </c>
      <c r="AG6777">
        <v>-1.1074500741540001</v>
      </c>
      <c r="AH6777">
        <v>12.378560117226501</v>
      </c>
      <c r="AI6777">
        <v>94.856987736969501</v>
      </c>
      <c r="AJ6777">
        <v>71.768550578669505</v>
      </c>
      <c r="AK6777">
        <v>13.0797682314484</v>
      </c>
      <c r="AL6777">
        <v>79.385429595434104</v>
      </c>
      <c r="AM6777">
        <v>74.087923643667594</v>
      </c>
      <c r="AN6777">
        <v>0.99999996401666902</v>
      </c>
    </row>
    <row r="6778" spans="1:40" x14ac:dyDescent="0.25">
      <c r="A6778" t="str">
        <f>"20190312172842326"</f>
        <v>20190312172842326</v>
      </c>
      <c r="B6778" t="str">
        <f>"1552382922316754"</f>
        <v>1552382922316754</v>
      </c>
      <c r="C6778" t="s">
        <v>40</v>
      </c>
      <c r="D6778">
        <v>3.431978</v>
      </c>
      <c r="E6778">
        <v>0.51401949999999996</v>
      </c>
      <c r="F6778" t="s">
        <v>41</v>
      </c>
      <c r="G6778">
        <v>-162.53799999999899</v>
      </c>
      <c r="H6778" s="1">
        <v>-4.1371870000000002E-6</v>
      </c>
      <c r="I6778">
        <v>136.06809999999999</v>
      </c>
      <c r="J6778">
        <v>-175.55690000000001</v>
      </c>
      <c r="K6778">
        <v>1.1075090000000001</v>
      </c>
      <c r="L6778">
        <v>134.49260000000001</v>
      </c>
      <c r="M6778">
        <v>0.90720979999999996</v>
      </c>
      <c r="N6778">
        <v>0</v>
      </c>
      <c r="O6778">
        <v>0.4204927</v>
      </c>
      <c r="P6778">
        <v>0.97157059999999995</v>
      </c>
      <c r="Q6778">
        <v>0.1750275</v>
      </c>
      <c r="R6778">
        <v>0.15942429999999999</v>
      </c>
      <c r="S6778">
        <v>3.0713499999999998</v>
      </c>
      <c r="T6778">
        <v>-0.25825870000000001</v>
      </c>
      <c r="U6778">
        <v>0.38191219999999998</v>
      </c>
      <c r="V6778">
        <v>0.26523760000000002</v>
      </c>
      <c r="W6778">
        <v>0.18500539999999999</v>
      </c>
      <c r="X6778">
        <v>0.94626739999999998</v>
      </c>
      <c r="Y6778">
        <v>0.30294529999999997</v>
      </c>
      <c r="Z6778">
        <v>-4.67483E-2</v>
      </c>
      <c r="AA6778">
        <v>0.9518607</v>
      </c>
      <c r="AB6778">
        <v>16</v>
      </c>
      <c r="AC6778">
        <v>13.0189</v>
      </c>
      <c r="AD6778">
        <v>-1.107513137187</v>
      </c>
      <c r="AE6778">
        <v>1.5754999999999699</v>
      </c>
      <c r="AF6778">
        <v>4.0167107169663101</v>
      </c>
      <c r="AG6778">
        <v>-1.107513137187</v>
      </c>
      <c r="AH6778">
        <v>12.385992889129501</v>
      </c>
      <c r="AI6778">
        <v>94.861639007855302</v>
      </c>
      <c r="AJ6778">
        <v>72.032400811413893</v>
      </c>
      <c r="AK6778">
        <v>13.0680285499535</v>
      </c>
      <c r="AL6778">
        <v>79.338552634482497</v>
      </c>
      <c r="AM6778">
        <v>74.341880360830999</v>
      </c>
      <c r="AN6778">
        <v>0.99999998739283902</v>
      </c>
    </row>
    <row r="6779" spans="1:40" x14ac:dyDescent="0.25">
      <c r="A6779" t="str">
        <f>"20190312172842348"</f>
        <v>20190312172842348</v>
      </c>
      <c r="B6779" t="str">
        <f>"1552382922337251"</f>
        <v>1552382922337251</v>
      </c>
      <c r="C6779" t="s">
        <v>40</v>
      </c>
      <c r="D6779">
        <v>3.4332229999999999</v>
      </c>
      <c r="E6779">
        <v>0.51404839999999996</v>
      </c>
      <c r="F6779" t="s">
        <v>41</v>
      </c>
      <c r="G6779">
        <v>-162.3287</v>
      </c>
      <c r="H6779" s="1">
        <v>-4.2310790000000001E-6</v>
      </c>
      <c r="I6779">
        <v>136.0968</v>
      </c>
      <c r="J6779">
        <v>-175.4153</v>
      </c>
      <c r="K6779">
        <v>1.1075900000000001</v>
      </c>
      <c r="L6779">
        <v>134.5496</v>
      </c>
      <c r="M6779">
        <v>0.9099294</v>
      </c>
      <c r="N6779">
        <v>0</v>
      </c>
      <c r="O6779">
        <v>0.41457539999999998</v>
      </c>
      <c r="P6779">
        <v>0.97190770000000004</v>
      </c>
      <c r="Q6779">
        <v>0.175173</v>
      </c>
      <c r="R6779">
        <v>0.1571951</v>
      </c>
      <c r="S6779">
        <v>3.0729980000000001</v>
      </c>
      <c r="T6779">
        <v>-0.25728179999999901</v>
      </c>
      <c r="U6779">
        <v>0.37266539999999998</v>
      </c>
      <c r="V6779">
        <v>0.26118789999999997</v>
      </c>
      <c r="W6779">
        <v>0.18523229999999999</v>
      </c>
      <c r="X6779">
        <v>0.94734890000000005</v>
      </c>
      <c r="Y6779">
        <v>0.29967300000000002</v>
      </c>
      <c r="Z6779">
        <v>-4.5976070000000001E-2</v>
      </c>
      <c r="AA6779">
        <v>0.95293349999999999</v>
      </c>
      <c r="AB6779">
        <v>16</v>
      </c>
      <c r="AC6779">
        <v>13.086600000000001</v>
      </c>
      <c r="AD6779">
        <v>-1.1075942310789999</v>
      </c>
      <c r="AE6779">
        <v>1.5471999999999999</v>
      </c>
      <c r="AF6779">
        <v>3.98966764726518</v>
      </c>
      <c r="AG6779">
        <v>-1.1075942310789999</v>
      </c>
      <c r="AH6779">
        <v>12.4622512439021</v>
      </c>
      <c r="AI6779">
        <v>94.838219352288604</v>
      </c>
      <c r="AJ6779">
        <v>72.248041788810099</v>
      </c>
      <c r="AK6779">
        <v>13.132094995943801</v>
      </c>
      <c r="AL6779">
        <v>79.325324045772703</v>
      </c>
      <c r="AM6779">
        <v>74.586254173240505</v>
      </c>
      <c r="AN6779">
        <v>1.00000003120045</v>
      </c>
    </row>
    <row r="6780" spans="1:40" x14ac:dyDescent="0.25">
      <c r="A6780" t="str">
        <f>"20190312172842371"</f>
        <v>20190312172842371</v>
      </c>
      <c r="B6780" t="str">
        <f>"1552382922366531"</f>
        <v>1552382922366531</v>
      </c>
      <c r="C6780" t="s">
        <v>40</v>
      </c>
      <c r="D6780">
        <v>3.4342359999999998</v>
      </c>
      <c r="E6780">
        <v>0.51409059999999995</v>
      </c>
      <c r="F6780" t="s">
        <v>41</v>
      </c>
      <c r="G6780">
        <v>-162.22040000000001</v>
      </c>
      <c r="H6780" s="1">
        <v>-4.2785270000000003E-6</v>
      </c>
      <c r="I6780">
        <v>136.11779999999999</v>
      </c>
      <c r="J6780">
        <v>-175.2663</v>
      </c>
      <c r="K6780">
        <v>1.1082890000000001</v>
      </c>
      <c r="L6780">
        <v>134.6088</v>
      </c>
      <c r="M6780">
        <v>0.91246280000000002</v>
      </c>
      <c r="N6780">
        <v>0</v>
      </c>
      <c r="O6780">
        <v>0.40893160000000001</v>
      </c>
      <c r="P6780">
        <v>0.97258460000000002</v>
      </c>
      <c r="Q6780">
        <v>0.17330899999999999</v>
      </c>
      <c r="R6780">
        <v>0.155059</v>
      </c>
      <c r="S6780">
        <v>3.0741269999999998</v>
      </c>
      <c r="T6780">
        <v>-0.25804559999999999</v>
      </c>
      <c r="U6780">
        <v>0.36535640000000003</v>
      </c>
      <c r="V6780">
        <v>0.25735599999999997</v>
      </c>
      <c r="W6780">
        <v>0.18476509999999999</v>
      </c>
      <c r="X6780">
        <v>0.94848809999999995</v>
      </c>
      <c r="Y6780">
        <v>0.29606329999999997</v>
      </c>
      <c r="Z6780">
        <v>-4.5525019999999999E-2</v>
      </c>
      <c r="AA6780">
        <v>0.95408280000000001</v>
      </c>
      <c r="AB6780">
        <v>16</v>
      </c>
      <c r="AC6780">
        <v>13.0458999999999</v>
      </c>
      <c r="AD6780">
        <v>-1.1082932785270001</v>
      </c>
      <c r="AE6780">
        <v>1.5089999999999799</v>
      </c>
      <c r="AF6780">
        <v>3.93035254106668</v>
      </c>
      <c r="AG6780">
        <v>-1.1082932785270001</v>
      </c>
      <c r="AH6780">
        <v>12.4335950200421</v>
      </c>
      <c r="AI6780">
        <v>94.857992300259397</v>
      </c>
      <c r="AJ6780">
        <v>72.457864312741705</v>
      </c>
      <c r="AK6780">
        <v>13.0870267903261</v>
      </c>
      <c r="AL6780">
        <v>79.352562088246501</v>
      </c>
      <c r="AM6780">
        <v>74.819269802565898</v>
      </c>
      <c r="AN6780">
        <v>0.99999996437780903</v>
      </c>
    </row>
    <row r="6781" spans="1:40" x14ac:dyDescent="0.25">
      <c r="A6781" t="str">
        <f>"20190312172842393"</f>
        <v>20190312172842393</v>
      </c>
      <c r="B6781" t="str">
        <f>"1552382922387026"</f>
        <v>1552382922387026</v>
      </c>
      <c r="C6781" t="s">
        <v>40</v>
      </c>
      <c r="D6781">
        <v>3.4622860000000002</v>
      </c>
      <c r="E6781">
        <v>0.51417919999999995</v>
      </c>
      <c r="F6781" t="s">
        <v>41</v>
      </c>
      <c r="G6781">
        <v>-162.41370000000001</v>
      </c>
      <c r="H6781" s="1">
        <v>-4.1893849999999999E-6</v>
      </c>
      <c r="I6781">
        <v>136.1052</v>
      </c>
      <c r="J6781">
        <v>-175.12710000000001</v>
      </c>
      <c r="K6781">
        <v>1.109143</v>
      </c>
      <c r="L6781">
        <v>134.66370000000001</v>
      </c>
      <c r="M6781">
        <v>0.91461329999999996</v>
      </c>
      <c r="N6781">
        <v>0</v>
      </c>
      <c r="O6781">
        <v>0.40404119999999999</v>
      </c>
      <c r="P6781">
        <v>0.9731088</v>
      </c>
      <c r="Q6781">
        <v>0.17118169999999999</v>
      </c>
      <c r="R6781">
        <v>0.15413109999999999</v>
      </c>
      <c r="S6781">
        <v>3.0747070000000001</v>
      </c>
      <c r="T6781">
        <v>-0.26513550000000002</v>
      </c>
      <c r="U6781">
        <v>0.35798649999999999</v>
      </c>
      <c r="V6781">
        <v>0.2531176</v>
      </c>
      <c r="W6781">
        <v>0.184505</v>
      </c>
      <c r="X6781">
        <v>0.94967860000000004</v>
      </c>
      <c r="Y6781">
        <v>0.29313359999999999</v>
      </c>
      <c r="Z6781">
        <v>-4.6263810000000002E-2</v>
      </c>
      <c r="AA6781">
        <v>0.95495149999999995</v>
      </c>
      <c r="AB6781">
        <v>15</v>
      </c>
      <c r="AC6781">
        <v>12.7134</v>
      </c>
      <c r="AD6781">
        <v>-1.109147189385</v>
      </c>
      <c r="AE6781">
        <v>1.44149999999999</v>
      </c>
      <c r="AF6781">
        <v>3.7902850867498499</v>
      </c>
      <c r="AG6781">
        <v>-1.109147189385</v>
      </c>
      <c r="AH6781">
        <v>12.120612366727199</v>
      </c>
      <c r="AI6781">
        <v>94.991452916365702</v>
      </c>
      <c r="AJ6781">
        <v>72.634805993093394</v>
      </c>
      <c r="AK6781">
        <v>12.747772851405101</v>
      </c>
      <c r="AL6781">
        <v>79.367726115733305</v>
      </c>
      <c r="AM6781">
        <v>75.075906996433702</v>
      </c>
      <c r="AN6781">
        <v>1.00000002887635</v>
      </c>
    </row>
    <row r="6782" spans="1:40" x14ac:dyDescent="0.25">
      <c r="A6782" t="str">
        <f>"20190312172842415"</f>
        <v>20190312172842415</v>
      </c>
      <c r="B6782" t="str">
        <f>"1552382922406550"</f>
        <v>1552382922406550</v>
      </c>
      <c r="C6782" t="s">
        <v>40</v>
      </c>
      <c r="D6782">
        <v>3.757431</v>
      </c>
      <c r="E6782">
        <v>0.51459880000000002</v>
      </c>
      <c r="F6782" t="s">
        <v>41</v>
      </c>
      <c r="G6782">
        <v>-162.6516</v>
      </c>
      <c r="H6782" s="1">
        <v>-4.0777540000000002E-6</v>
      </c>
      <c r="I6782">
        <v>136.10050000000001</v>
      </c>
      <c r="J6782">
        <v>-174.99440000000001</v>
      </c>
      <c r="K6782">
        <v>1.109896</v>
      </c>
      <c r="L6782">
        <v>134.71559999999999</v>
      </c>
      <c r="M6782">
        <v>0.91644840000000005</v>
      </c>
      <c r="N6782">
        <v>0</v>
      </c>
      <c r="O6782">
        <v>0.39979140000000002</v>
      </c>
      <c r="P6782">
        <v>0.97348869999999998</v>
      </c>
      <c r="Q6782">
        <v>0.169275799999999</v>
      </c>
      <c r="R6782">
        <v>0.1538361</v>
      </c>
      <c r="S6782">
        <v>3.0749050000000002</v>
      </c>
      <c r="T6782">
        <v>-0.27337860000000003</v>
      </c>
      <c r="U6782">
        <v>0.35414119999999999</v>
      </c>
      <c r="V6782">
        <v>0.2489499</v>
      </c>
      <c r="W6782">
        <v>0.1845232</v>
      </c>
      <c r="X6782">
        <v>0.95077599999999995</v>
      </c>
      <c r="Y6782">
        <v>0.28976619999999997</v>
      </c>
      <c r="Z6782">
        <v>-4.7205839999999999E-2</v>
      </c>
      <c r="AA6782">
        <v>0.95593260000000002</v>
      </c>
      <c r="AB6782">
        <v>15</v>
      </c>
      <c r="AC6782">
        <v>12.3428</v>
      </c>
      <c r="AD6782">
        <v>-1.109900077754</v>
      </c>
      <c r="AE6782">
        <v>1.38490000000001</v>
      </c>
      <c r="AF6782">
        <v>3.6368436289386099</v>
      </c>
      <c r="AG6782">
        <v>-1.109900077754</v>
      </c>
      <c r="AH6782">
        <v>11.772912664366</v>
      </c>
      <c r="AI6782">
        <v>95.147068754261298</v>
      </c>
      <c r="AJ6782">
        <v>72.833233164823994</v>
      </c>
      <c r="AK6782">
        <v>12.371741282727299</v>
      </c>
      <c r="AL6782">
        <v>79.366664084906802</v>
      </c>
      <c r="AM6782">
        <v>75.327151944031101</v>
      </c>
      <c r="AN6782">
        <v>0.99999993311212199</v>
      </c>
    </row>
    <row r="6783" spans="1:40" x14ac:dyDescent="0.25">
      <c r="A6783" t="str">
        <f>"20190312172842527"</f>
        <v>20190312172842527</v>
      </c>
      <c r="B6783" t="str">
        <f>"1552382922516834"</f>
        <v>1552382922516834</v>
      </c>
      <c r="C6783" t="s">
        <v>40</v>
      </c>
      <c r="D6783">
        <v>3.5016159999999998</v>
      </c>
      <c r="E6783">
        <v>0.50992230000000005</v>
      </c>
      <c r="F6783" t="s">
        <v>41</v>
      </c>
      <c r="G6783">
        <v>-162.79679999999999</v>
      </c>
      <c r="H6783" s="1">
        <v>-4.0087649999999997E-6</v>
      </c>
      <c r="I6783">
        <v>136.1026</v>
      </c>
      <c r="J6783">
        <v>-174.35419999999999</v>
      </c>
      <c r="K6783">
        <v>1.109715</v>
      </c>
      <c r="L6783">
        <v>134.95930000000001</v>
      </c>
      <c r="M6783">
        <v>0.92529890000000004</v>
      </c>
      <c r="N6783">
        <v>0</v>
      </c>
      <c r="O6783">
        <v>0.37863289999999999</v>
      </c>
      <c r="P6783">
        <v>0.97444189999999997</v>
      </c>
      <c r="Q6783">
        <v>0.1664226</v>
      </c>
      <c r="R6783">
        <v>0.1508861</v>
      </c>
      <c r="S6783">
        <v>3.0751339999999998</v>
      </c>
      <c r="T6783">
        <v>-0.27981689999999998</v>
      </c>
      <c r="U6783">
        <v>0.3496552</v>
      </c>
      <c r="V6783">
        <v>0.23023959999999999</v>
      </c>
      <c r="W6783">
        <v>0.18588540000000001</v>
      </c>
      <c r="X6783">
        <v>0.95521529999999999</v>
      </c>
      <c r="Y6783">
        <v>0.26917960000000002</v>
      </c>
      <c r="Z6783">
        <v>-4.5617129999999999E-2</v>
      </c>
      <c r="AA6783">
        <v>0.96200909999999995</v>
      </c>
      <c r="AB6783">
        <v>13</v>
      </c>
      <c r="AC6783">
        <v>11.557399999999999</v>
      </c>
      <c r="AD6783">
        <v>-1.109719008765</v>
      </c>
      <c r="AE6783">
        <v>1.14329999999998</v>
      </c>
      <c r="AF6783">
        <v>3.2888519256511</v>
      </c>
      <c r="AG6783">
        <v>-1.109719008765</v>
      </c>
      <c r="AH6783">
        <v>11.0288011450877</v>
      </c>
      <c r="AI6783">
        <v>95.507664293324495</v>
      </c>
      <c r="AJ6783">
        <v>73.395116873418203</v>
      </c>
      <c r="AK6783">
        <v>11.5621139055607</v>
      </c>
      <c r="AL6783">
        <v>79.287242075505901</v>
      </c>
      <c r="AM6783">
        <v>76.448249291913399</v>
      </c>
      <c r="AN6783">
        <v>0.99999996234770405</v>
      </c>
    </row>
    <row r="6784" spans="1:40" x14ac:dyDescent="0.25">
      <c r="A6784" t="str">
        <f>"20190312172842550"</f>
        <v>20190312172842550</v>
      </c>
      <c r="B6784" t="str">
        <f>"1552382922547091"</f>
        <v>1552382922547091</v>
      </c>
      <c r="C6784" t="s">
        <v>40</v>
      </c>
      <c r="D6784">
        <v>3.5468160000000002</v>
      </c>
      <c r="E6784">
        <v>0.50808580000000003</v>
      </c>
      <c r="F6784" t="s">
        <v>44</v>
      </c>
      <c r="G6784">
        <v>-173.64609999999999</v>
      </c>
      <c r="H6784">
        <v>0.93333319999999997</v>
      </c>
      <c r="I6784">
        <v>135.04349999999999</v>
      </c>
      <c r="J6784">
        <v>-174.22499999999999</v>
      </c>
      <c r="K6784">
        <v>1.1089960000000001</v>
      </c>
      <c r="L6784">
        <v>135.00530000000001</v>
      </c>
      <c r="M6784">
        <v>0.92719419999999997</v>
      </c>
      <c r="N6784">
        <v>0</v>
      </c>
      <c r="O6784">
        <v>0.37403009999999998</v>
      </c>
      <c r="P6784">
        <v>0.9740394</v>
      </c>
      <c r="Q6784">
        <v>0.16819039999999999</v>
      </c>
      <c r="R6784">
        <v>0.15152289999999999</v>
      </c>
      <c r="S6784">
        <v>3.1547999999999998</v>
      </c>
      <c r="T6784">
        <v>-0.78592589999999996</v>
      </c>
      <c r="U6784">
        <v>0.37544250000000001</v>
      </c>
      <c r="V6784">
        <v>0.2248744</v>
      </c>
      <c r="W6784">
        <v>0.1864528</v>
      </c>
      <c r="X6784">
        <v>0.95638219999999996</v>
      </c>
      <c r="Y6784">
        <v>0.24390149999999999</v>
      </c>
      <c r="Z6784">
        <v>-0.1190683</v>
      </c>
      <c r="AA6784">
        <v>0.96246290000000001</v>
      </c>
      <c r="AB6784">
        <v>13</v>
      </c>
      <c r="AC6784">
        <v>0.57890000000000397</v>
      </c>
      <c r="AD6784">
        <v>-0.17566279999999901</v>
      </c>
      <c r="AE6784">
        <v>3.8199999999989097E-2</v>
      </c>
      <c r="AF6784">
        <v>0.16593221394339899</v>
      </c>
      <c r="AG6784">
        <v>-0.17566279999999901</v>
      </c>
      <c r="AH6784">
        <v>0.50486891440315096</v>
      </c>
      <c r="AI6784">
        <v>108.290918351508</v>
      </c>
      <c r="AJ6784">
        <v>71.806169644571298</v>
      </c>
      <c r="AK6784">
        <v>0.55971737480501205</v>
      </c>
      <c r="AL6784">
        <v>79.254154701047796</v>
      </c>
      <c r="AM6784">
        <v>76.768375993419596</v>
      </c>
      <c r="AN6784">
        <v>1.00000002744001</v>
      </c>
    </row>
    <row r="6785" spans="1:40" x14ac:dyDescent="0.25">
      <c r="A6785" t="str">
        <f>"20190312172842585"</f>
        <v>20190312172842585</v>
      </c>
      <c r="B6785" t="str">
        <f>"1552382922576370"</f>
        <v>1552382922576370</v>
      </c>
      <c r="C6785" t="s">
        <v>40</v>
      </c>
      <c r="D6785">
        <v>3.6068440000000002</v>
      </c>
      <c r="E6785">
        <v>0.50653149999999902</v>
      </c>
      <c r="F6785" t="s">
        <v>44</v>
      </c>
      <c r="G6785">
        <v>-173.40479999999999</v>
      </c>
      <c r="H6785">
        <v>0.94335389999999997</v>
      </c>
      <c r="I6785">
        <v>135.1087</v>
      </c>
      <c r="J6785">
        <v>-174.0274</v>
      </c>
      <c r="K6785">
        <v>1.108941</v>
      </c>
      <c r="L6785">
        <v>135.07399999999899</v>
      </c>
      <c r="M6785">
        <v>0.92980090000000004</v>
      </c>
      <c r="N6785">
        <v>0</v>
      </c>
      <c r="O6785">
        <v>0.36755929999999998</v>
      </c>
      <c r="P6785">
        <v>0.9740375</v>
      </c>
      <c r="Q6785">
        <v>0.17008870000000001</v>
      </c>
      <c r="R6785">
        <v>0.14940229999999999</v>
      </c>
      <c r="S6785">
        <v>3.1276549999999999</v>
      </c>
      <c r="T6785">
        <v>-0.63160689999999997</v>
      </c>
      <c r="U6785">
        <v>0.39451599999999998</v>
      </c>
      <c r="V6785">
        <v>0.22005279999999999</v>
      </c>
      <c r="W6785">
        <v>0.1874894</v>
      </c>
      <c r="X6785">
        <v>0.95730059999999995</v>
      </c>
      <c r="Y6785">
        <v>0.23674799999999999</v>
      </c>
      <c r="Z6785">
        <v>-9.5037880000000005E-2</v>
      </c>
      <c r="AA6785">
        <v>0.96691170000000004</v>
      </c>
      <c r="AB6785">
        <v>14</v>
      </c>
      <c r="AC6785">
        <v>0.62260000000000504</v>
      </c>
      <c r="AD6785">
        <v>-0.16558709999999899</v>
      </c>
      <c r="AE6785">
        <v>3.4700000000014997E-2</v>
      </c>
      <c r="AF6785">
        <v>0.18366352823062801</v>
      </c>
      <c r="AG6785">
        <v>-0.16558709999999899</v>
      </c>
      <c r="AH6785">
        <v>0.55277824191054703</v>
      </c>
      <c r="AI6785">
        <v>105.869070667269</v>
      </c>
      <c r="AJ6785">
        <v>71.620656648727106</v>
      </c>
      <c r="AK6785">
        <v>0.60557011486552803</v>
      </c>
      <c r="AL6785">
        <v>79.1936951448494</v>
      </c>
      <c r="AM6785">
        <v>77.054417292983501</v>
      </c>
      <c r="AN6785">
        <v>0.99999997433027898</v>
      </c>
    </row>
    <row r="6786" spans="1:40" x14ac:dyDescent="0.25">
      <c r="A6786" t="str">
        <f>"20190312172842605"</f>
        <v>20190312172842605</v>
      </c>
      <c r="B6786" t="str">
        <f>"1552382922596866"</f>
        <v>1552382922596866</v>
      </c>
      <c r="C6786" t="s">
        <v>40</v>
      </c>
      <c r="D6786">
        <v>3.4697589999999998</v>
      </c>
      <c r="E6786">
        <v>0.50800230000000002</v>
      </c>
      <c r="F6786" t="s">
        <v>41</v>
      </c>
      <c r="G6786">
        <v>-158.50530000000001</v>
      </c>
      <c r="H6786" s="1">
        <v>-1.160256E-6</v>
      </c>
      <c r="I6786">
        <v>137.1148</v>
      </c>
      <c r="J6786">
        <v>-173.90369999999999</v>
      </c>
      <c r="K6786">
        <v>1.1092610000000001</v>
      </c>
      <c r="L6786">
        <v>135.11680000000001</v>
      </c>
      <c r="M6786">
        <v>0.93141790000000002</v>
      </c>
      <c r="N6786">
        <v>0</v>
      </c>
      <c r="O6786">
        <v>0.36346889999999998</v>
      </c>
      <c r="P6786">
        <v>0.9740318</v>
      </c>
      <c r="Q6786">
        <v>0.17080529999999999</v>
      </c>
      <c r="R6786">
        <v>0.14862020000000001</v>
      </c>
      <c r="S6786">
        <v>3.0564420000000001</v>
      </c>
      <c r="T6786">
        <v>-0.21836040000000001</v>
      </c>
      <c r="U6786">
        <v>0.40185549999999998</v>
      </c>
      <c r="V6786">
        <v>0.21636639999999999</v>
      </c>
      <c r="W6786">
        <v>0.18795310000000001</v>
      </c>
      <c r="X6786">
        <v>0.9580497</v>
      </c>
      <c r="Y6786">
        <v>0.2375371</v>
      </c>
      <c r="Z6786">
        <v>-3.3656779999999997E-2</v>
      </c>
      <c r="AA6786">
        <v>0.97079519999999997</v>
      </c>
      <c r="AB6786">
        <v>13</v>
      </c>
      <c r="AC6786">
        <v>15.398399999999899</v>
      </c>
      <c r="AD6786">
        <v>-1.109262160256</v>
      </c>
      <c r="AE6786">
        <v>1.99799999999999</v>
      </c>
      <c r="AF6786">
        <v>3.71755002824775</v>
      </c>
      <c r="AG6786">
        <v>-1.109262160256</v>
      </c>
      <c r="AH6786">
        <v>14.994676882302199</v>
      </c>
      <c r="AI6786">
        <v>94.106972962208999</v>
      </c>
      <c r="AJ6786">
        <v>76.075725189628201</v>
      </c>
      <c r="AK6786">
        <v>15.488414236368699</v>
      </c>
      <c r="AL6786">
        <v>79.166646585541699</v>
      </c>
      <c r="AM6786">
        <v>77.273789467730296</v>
      </c>
      <c r="AN6786">
        <v>1.00000000725933</v>
      </c>
    </row>
    <row r="6787" spans="1:40" x14ac:dyDescent="0.25">
      <c r="A6787" t="str">
        <f>"20190312172842627"</f>
        <v>20190312172842627</v>
      </c>
      <c r="B6787" t="str">
        <f>"1552382922616390"</f>
        <v>1552382922616390</v>
      </c>
      <c r="C6787" t="s">
        <v>40</v>
      </c>
      <c r="D6787">
        <v>3.4862790000000001</v>
      </c>
      <c r="E6787">
        <v>0.50836150000000002</v>
      </c>
      <c r="F6787" t="s">
        <v>41</v>
      </c>
      <c r="G6787">
        <v>-159.5943</v>
      </c>
      <c r="H6787" s="1">
        <v>-8.3882160000000002E-7</v>
      </c>
      <c r="I6787">
        <v>136.93</v>
      </c>
      <c r="J6787">
        <v>-173.77850000000001</v>
      </c>
      <c r="K6787">
        <v>1.1096029999999999</v>
      </c>
      <c r="L6787">
        <v>135.1602</v>
      </c>
      <c r="M6787">
        <v>0.93303999999999998</v>
      </c>
      <c r="N6787">
        <v>0</v>
      </c>
      <c r="O6787">
        <v>0.35931479999999999</v>
      </c>
      <c r="P6787">
        <v>0.97416040000000004</v>
      </c>
      <c r="Q6787">
        <v>0.17107220000000001</v>
      </c>
      <c r="R6787">
        <v>0.1474645</v>
      </c>
      <c r="S6787">
        <v>3.0623779999999998</v>
      </c>
      <c r="T6787">
        <v>-0.23739550000000001</v>
      </c>
      <c r="U6787">
        <v>0.3880615</v>
      </c>
      <c r="V6787">
        <v>0.2130039</v>
      </c>
      <c r="W6787">
        <v>0.18790299999999999</v>
      </c>
      <c r="X6787">
        <v>0.95881269999999996</v>
      </c>
      <c r="Y6787">
        <v>0.2375015</v>
      </c>
      <c r="Z6787">
        <v>-3.6227719999999998E-2</v>
      </c>
      <c r="AA6787">
        <v>0.9707114</v>
      </c>
      <c r="AB6787">
        <v>13</v>
      </c>
      <c r="AC6787">
        <v>14.184200000000001</v>
      </c>
      <c r="AD6787">
        <v>-1.1096038388216001</v>
      </c>
      <c r="AE6787">
        <v>1.7698</v>
      </c>
      <c r="AF6787">
        <v>3.4252262448510802</v>
      </c>
      <c r="AG6787">
        <v>-1.1096038388216001</v>
      </c>
      <c r="AH6787">
        <v>13.789531732311501</v>
      </c>
      <c r="AI6787">
        <v>94.465393869128704</v>
      </c>
      <c r="AJ6787">
        <v>76.050435336623295</v>
      </c>
      <c r="AK6787">
        <v>14.251827282982701</v>
      </c>
      <c r="AL6787">
        <v>79.169569055821597</v>
      </c>
      <c r="AM6787">
        <v>77.474927298639997</v>
      </c>
      <c r="AN6787">
        <v>0.99999999625274905</v>
      </c>
    </row>
    <row r="6788" spans="1:40" x14ac:dyDescent="0.25">
      <c r="A6788" t="str">
        <f>"20190312172842650"</f>
        <v>20190312172842650</v>
      </c>
      <c r="B6788" t="str">
        <f>"1552382922646646"</f>
        <v>1552382922646646</v>
      </c>
      <c r="C6788" t="s">
        <v>40</v>
      </c>
      <c r="D6788">
        <v>3.4845510000000002</v>
      </c>
      <c r="E6788">
        <v>0.50907179999999996</v>
      </c>
      <c r="F6788" t="s">
        <v>41</v>
      </c>
      <c r="G6788">
        <v>-160.0669</v>
      </c>
      <c r="H6788" s="1">
        <v>-5.163094E-6</v>
      </c>
      <c r="I6788">
        <v>136.8698</v>
      </c>
      <c r="J6788">
        <v>-173.65199999999999</v>
      </c>
      <c r="K6788">
        <v>1.109815</v>
      </c>
      <c r="L6788">
        <v>135.20410000000001</v>
      </c>
      <c r="M6788">
        <v>0.93455670000000002</v>
      </c>
      <c r="N6788">
        <v>0</v>
      </c>
      <c r="O6788">
        <v>0.35538239999999999</v>
      </c>
      <c r="P6788">
        <v>0.97432830000000004</v>
      </c>
      <c r="Q6788">
        <v>0.1714475</v>
      </c>
      <c r="R6788">
        <v>0.14591229999999999</v>
      </c>
      <c r="S6788">
        <v>3.065277</v>
      </c>
      <c r="T6788">
        <v>-0.24805720000000001</v>
      </c>
      <c r="U6788">
        <v>0.3821716</v>
      </c>
      <c r="V6788">
        <v>0.21032319999999999</v>
      </c>
      <c r="W6788">
        <v>0.18784819999999999</v>
      </c>
      <c r="X6788">
        <v>0.95941500000000002</v>
      </c>
      <c r="Y6788">
        <v>0.23522319999999999</v>
      </c>
      <c r="Z6788">
        <v>-3.7433139999999997E-2</v>
      </c>
      <c r="AA6788">
        <v>0.97122030000000004</v>
      </c>
      <c r="AB6788">
        <v>13</v>
      </c>
      <c r="AC6788">
        <v>13.585100000000001</v>
      </c>
      <c r="AD6788">
        <v>-1.1098201630939999</v>
      </c>
      <c r="AE6788">
        <v>1.66569999999998</v>
      </c>
      <c r="AF6788">
        <v>3.2503456129305199</v>
      </c>
      <c r="AG6788">
        <v>-1.1098201630939999</v>
      </c>
      <c r="AH6788">
        <v>13.203235760030299</v>
      </c>
      <c r="AI6788">
        <v>94.666128536846003</v>
      </c>
      <c r="AJ6788">
        <v>76.170046475995306</v>
      </c>
      <c r="AK6788">
        <v>13.642649373668201</v>
      </c>
      <c r="AL6788">
        <v>79.172765484805595</v>
      </c>
      <c r="AM6788">
        <v>77.635202092072106</v>
      </c>
      <c r="AN6788">
        <v>0.99999996846323902</v>
      </c>
    </row>
    <row r="6789" spans="1:40" x14ac:dyDescent="0.25">
      <c r="A6789" t="str">
        <f>"20190312172842672"</f>
        <v>20190312172842672</v>
      </c>
      <c r="B6789" t="str">
        <f>"1552382922666166"</f>
        <v>1552382922666166</v>
      </c>
      <c r="C6789" t="s">
        <v>40</v>
      </c>
      <c r="D6789">
        <v>3.4855640000000001</v>
      </c>
      <c r="E6789">
        <v>0.50948079999999996</v>
      </c>
      <c r="F6789" t="s">
        <v>41</v>
      </c>
      <c r="G6789">
        <v>-160.19829999999999</v>
      </c>
      <c r="H6789" s="1">
        <v>-5.10593399999999E-6</v>
      </c>
      <c r="I6789">
        <v>136.84190000000001</v>
      </c>
      <c r="J6789">
        <v>-173.52260000000001</v>
      </c>
      <c r="K6789">
        <v>1.109891</v>
      </c>
      <c r="L6789">
        <v>135.24889999999999</v>
      </c>
      <c r="M6789">
        <v>0.93591639999999998</v>
      </c>
      <c r="N6789">
        <v>0</v>
      </c>
      <c r="O6789">
        <v>0.35181289999999998</v>
      </c>
      <c r="P6789">
        <v>0.97443060000000004</v>
      </c>
      <c r="Q6789">
        <v>0.17178929999999901</v>
      </c>
      <c r="R6789">
        <v>0.14482239999999999</v>
      </c>
      <c r="S6789">
        <v>3.0676420000000002</v>
      </c>
      <c r="T6789">
        <v>-0.25305499999999997</v>
      </c>
      <c r="U6789">
        <v>0.37342829999999999</v>
      </c>
      <c r="V6789">
        <v>0.2076471</v>
      </c>
      <c r="W6789">
        <v>0.1877414</v>
      </c>
      <c r="X6789">
        <v>0.9600187</v>
      </c>
      <c r="Y6789">
        <v>0.23427100000000001</v>
      </c>
      <c r="Z6789">
        <v>-3.7852150000000001E-2</v>
      </c>
      <c r="AA6789">
        <v>0.97143420000000003</v>
      </c>
      <c r="AB6789">
        <v>13</v>
      </c>
      <c r="AC6789">
        <v>13.324299999999999</v>
      </c>
      <c r="AD6789">
        <v>-1.109896105934</v>
      </c>
      <c r="AE6789">
        <v>1.59300000000001</v>
      </c>
      <c r="AF6789">
        <v>3.17548340017097</v>
      </c>
      <c r="AG6789">
        <v>-1.109896105934</v>
      </c>
      <c r="AH6789">
        <v>12.944197098176</v>
      </c>
      <c r="AI6789">
        <v>94.760347295030201</v>
      </c>
      <c r="AJ6789">
        <v>76.216350020145001</v>
      </c>
      <c r="AK6789">
        <v>13.374146802961199</v>
      </c>
      <c r="AL6789">
        <v>79.178996167944106</v>
      </c>
      <c r="AM6789">
        <v>77.795227216716299</v>
      </c>
      <c r="AN6789">
        <v>1.0000000278810199</v>
      </c>
    </row>
    <row r="6790" spans="1:40" x14ac:dyDescent="0.25">
      <c r="A6790" t="str">
        <f>"20190312172842694"</f>
        <v>20190312172842694</v>
      </c>
      <c r="B6790" t="str">
        <f>"1552382922686665"</f>
        <v>1552382922686665</v>
      </c>
      <c r="C6790" t="s">
        <v>40</v>
      </c>
      <c r="D6790">
        <v>3.5061339999999999</v>
      </c>
      <c r="E6790">
        <v>0.50993820000000001</v>
      </c>
      <c r="F6790" t="s">
        <v>41</v>
      </c>
      <c r="G6790">
        <v>-160.16839999999999</v>
      </c>
      <c r="H6790" s="1">
        <v>-5.1175419999999996E-6</v>
      </c>
      <c r="I6790">
        <v>136.8562</v>
      </c>
      <c r="J6790">
        <v>-173.39789999999999</v>
      </c>
      <c r="K6790">
        <v>1.10988</v>
      </c>
      <c r="L6790">
        <v>135.29179999999999</v>
      </c>
      <c r="M6790">
        <v>0.9370735</v>
      </c>
      <c r="N6790">
        <v>0</v>
      </c>
      <c r="O6790">
        <v>0.34873920000000003</v>
      </c>
      <c r="P6790">
        <v>0.97451129999999997</v>
      </c>
      <c r="Q6790">
        <v>0.17173550000000001</v>
      </c>
      <c r="R6790">
        <v>0.14434259999999999</v>
      </c>
      <c r="S6790">
        <v>3.068756</v>
      </c>
      <c r="T6790">
        <v>-0.25505129999999998</v>
      </c>
      <c r="U6790">
        <v>0.36933899999999997</v>
      </c>
      <c r="V6790">
        <v>0.20496400000000001</v>
      </c>
      <c r="W6790">
        <v>0.1872983</v>
      </c>
      <c r="X6790">
        <v>0.96068160000000002</v>
      </c>
      <c r="Y6790">
        <v>0.23238310000000001</v>
      </c>
      <c r="Z6790">
        <v>-3.782406E-2</v>
      </c>
      <c r="AA6790">
        <v>0.97188859999999999</v>
      </c>
      <c r="AB6790">
        <v>13</v>
      </c>
      <c r="AC6790">
        <v>13.2295</v>
      </c>
      <c r="AD6790">
        <v>-1.1098851175419999</v>
      </c>
      <c r="AE6790">
        <v>1.5644</v>
      </c>
      <c r="AF6790">
        <v>3.12641785677202</v>
      </c>
      <c r="AG6790">
        <v>-1.1098851175419999</v>
      </c>
      <c r="AH6790">
        <v>12.855125645322</v>
      </c>
      <c r="AI6790">
        <v>94.795459388263097</v>
      </c>
      <c r="AJ6790">
        <v>76.330816262645598</v>
      </c>
      <c r="AK6790">
        <v>13.276316844151401</v>
      </c>
      <c r="AL6790">
        <v>79.2048422838688</v>
      </c>
      <c r="AM6790">
        <v>77.956364288178406</v>
      </c>
      <c r="AN6790">
        <v>1.0000000155287201</v>
      </c>
    </row>
    <row r="6791" spans="1:40" x14ac:dyDescent="0.25">
      <c r="A6791" t="str">
        <f>"20190312172842716"</f>
        <v>20190312172842716</v>
      </c>
      <c r="B6791" t="str">
        <f>"1552382922706182"</f>
        <v>1552382922706182</v>
      </c>
      <c r="C6791" t="s">
        <v>40</v>
      </c>
      <c r="D6791">
        <v>3.5041120000000001</v>
      </c>
      <c r="E6791">
        <v>0.51008580000000003</v>
      </c>
      <c r="F6791" t="s">
        <v>41</v>
      </c>
      <c r="G6791">
        <v>-160.19820000000001</v>
      </c>
      <c r="H6791" s="1">
        <v>-5.1026369999999996E-6</v>
      </c>
      <c r="I6791">
        <v>136.86070000000001</v>
      </c>
      <c r="J6791">
        <v>-173.27109999999999</v>
      </c>
      <c r="K6791">
        <v>1.109828</v>
      </c>
      <c r="L6791">
        <v>135.3349</v>
      </c>
      <c r="M6791">
        <v>0.93815360000000003</v>
      </c>
      <c r="N6791">
        <v>0</v>
      </c>
      <c r="O6791">
        <v>0.34584019999999999</v>
      </c>
      <c r="P6791">
        <v>0.97443250000000003</v>
      </c>
      <c r="Q6791">
        <v>0.1719994</v>
      </c>
      <c r="R6791">
        <v>0.14455970000000001</v>
      </c>
      <c r="S6791">
        <v>3.0699010000000002</v>
      </c>
      <c r="T6791">
        <v>-0.2581309</v>
      </c>
      <c r="U6791">
        <v>0.36489870000000002</v>
      </c>
      <c r="V6791">
        <v>0.2017767</v>
      </c>
      <c r="W6791">
        <v>0.18720319999999999</v>
      </c>
      <c r="X6791">
        <v>0.96137459999999997</v>
      </c>
      <c r="Y6791">
        <v>0.23077259999999999</v>
      </c>
      <c r="Z6791">
        <v>-3.797478E-2</v>
      </c>
      <c r="AA6791">
        <v>0.97226639999999998</v>
      </c>
      <c r="AB6791">
        <v>13</v>
      </c>
      <c r="AC6791">
        <v>13.072899999999899</v>
      </c>
      <c r="AD6791">
        <v>-1.1098331026369901</v>
      </c>
      <c r="AE6791">
        <v>1.5258</v>
      </c>
      <c r="AF6791">
        <v>3.06828818339691</v>
      </c>
      <c r="AG6791">
        <v>-1.1098331026369901</v>
      </c>
      <c r="AH6791">
        <v>12.7034230067057</v>
      </c>
      <c r="AI6791">
        <v>94.854076230215597</v>
      </c>
      <c r="AJ6791">
        <v>76.421277703623005</v>
      </c>
      <c r="AK6791">
        <v>13.115756858808499</v>
      </c>
      <c r="AL6791">
        <v>79.210389036026797</v>
      </c>
      <c r="AM6791">
        <v>78.146612105829007</v>
      </c>
      <c r="AN6791">
        <v>0.99999999813914398</v>
      </c>
    </row>
    <row r="6792" spans="1:40" x14ac:dyDescent="0.25">
      <c r="A6792" t="str">
        <f>"20190312172842739"</f>
        <v>20190312172842739</v>
      </c>
      <c r="B6792" t="str">
        <f>"1552382922736438"</f>
        <v>1552382922736438</v>
      </c>
      <c r="C6792" t="s">
        <v>40</v>
      </c>
      <c r="D6792">
        <v>3.4641250000000001</v>
      </c>
      <c r="E6792">
        <v>0.51001300000000005</v>
      </c>
      <c r="F6792" t="s">
        <v>41</v>
      </c>
      <c r="G6792">
        <v>-160.16120000000001</v>
      </c>
      <c r="H6792" s="1">
        <v>-5.1149869999999996E-6</v>
      </c>
      <c r="I6792">
        <v>136.88980000000001</v>
      </c>
      <c r="J6792">
        <v>-173.1446</v>
      </c>
      <c r="K6792">
        <v>1.1097859999999999</v>
      </c>
      <c r="L6792">
        <v>135.3776</v>
      </c>
      <c r="M6792">
        <v>0.93918140000000006</v>
      </c>
      <c r="N6792">
        <v>0</v>
      </c>
      <c r="O6792">
        <v>0.34305479999999999</v>
      </c>
      <c r="P6792">
        <v>0.9743328</v>
      </c>
      <c r="Q6792">
        <v>0.1724811</v>
      </c>
      <c r="R6792">
        <v>0.14465829999999999</v>
      </c>
      <c r="S6792">
        <v>3.0705719999999999</v>
      </c>
      <c r="T6792">
        <v>-0.25994309999999998</v>
      </c>
      <c r="U6792">
        <v>0.36418149999999999</v>
      </c>
      <c r="V6792">
        <v>0.19880410000000001</v>
      </c>
      <c r="W6792">
        <v>0.18735309999999999</v>
      </c>
      <c r="X6792">
        <v>0.9619645</v>
      </c>
      <c r="Y6792">
        <v>0.22812399999999999</v>
      </c>
      <c r="Z6792">
        <v>-3.7900690000000001E-2</v>
      </c>
      <c r="AA6792">
        <v>0.97289409999999998</v>
      </c>
      <c r="AB6792">
        <v>13</v>
      </c>
      <c r="AC6792">
        <v>12.9833999999999</v>
      </c>
      <c r="AD6792">
        <v>-1.1097911149869999</v>
      </c>
      <c r="AE6792">
        <v>1.5122</v>
      </c>
      <c r="AF6792">
        <v>3.0124537412249102</v>
      </c>
      <c r="AG6792">
        <v>-1.1097911149869999</v>
      </c>
      <c r="AH6792">
        <v>12.623139696289201</v>
      </c>
      <c r="AI6792">
        <v>94.887802141760503</v>
      </c>
      <c r="AJ6792">
        <v>76.577677148207997</v>
      </c>
      <c r="AK6792">
        <v>13.024982520293699</v>
      </c>
      <c r="AL6792">
        <v>79.201645468538501</v>
      </c>
      <c r="AM6792">
        <v>78.3233705095289</v>
      </c>
      <c r="AN6792">
        <v>0.99999997675833396</v>
      </c>
    </row>
    <row r="6793" spans="1:40" x14ac:dyDescent="0.25">
      <c r="A6793" t="str">
        <f>"20190312172842761"</f>
        <v>20190312172842761</v>
      </c>
      <c r="B6793" t="str">
        <f>"1552382922756934"</f>
        <v>1552382922756934</v>
      </c>
      <c r="C6793" t="s">
        <v>40</v>
      </c>
      <c r="D6793">
        <v>3.4789189999999999</v>
      </c>
      <c r="E6793">
        <v>0.50995979999999996</v>
      </c>
      <c r="F6793" t="s">
        <v>41</v>
      </c>
      <c r="G6793">
        <v>-160.16030000000001</v>
      </c>
      <c r="H6793" s="1">
        <v>-5.1095260000000002E-6</v>
      </c>
      <c r="I6793">
        <v>136.9228</v>
      </c>
      <c r="J6793">
        <v>-173.01609999999999</v>
      </c>
      <c r="K6793">
        <v>1.1097969999999999</v>
      </c>
      <c r="L6793">
        <v>135.42060000000001</v>
      </c>
      <c r="M6793">
        <v>0.94019180000000002</v>
      </c>
      <c r="N6793">
        <v>0</v>
      </c>
      <c r="O6793">
        <v>0.34029090000000001</v>
      </c>
      <c r="P6793">
        <v>0.97426469999999998</v>
      </c>
      <c r="Q6793">
        <v>0.17331369999999999</v>
      </c>
      <c r="R6793">
        <v>0.1441199</v>
      </c>
      <c r="S6793">
        <v>3.0712280000000001</v>
      </c>
      <c r="T6793">
        <v>-0.26250449999999997</v>
      </c>
      <c r="U6793">
        <v>0.36550899999999997</v>
      </c>
      <c r="V6793">
        <v>0.19644349999999999</v>
      </c>
      <c r="W6793">
        <v>0.18788659999999999</v>
      </c>
      <c r="X6793">
        <v>0.96234540000000002</v>
      </c>
      <c r="Y6793">
        <v>0.22485079999999999</v>
      </c>
      <c r="Z6793">
        <v>-3.7902720000000001E-2</v>
      </c>
      <c r="AA6793">
        <v>0.97365579999999996</v>
      </c>
      <c r="AB6793">
        <v>13</v>
      </c>
      <c r="AC6793">
        <v>12.855799999999901</v>
      </c>
      <c r="AD6793">
        <v>-1.109802109526</v>
      </c>
      <c r="AE6793">
        <v>1.50219999999998</v>
      </c>
      <c r="AF6793">
        <v>2.9410905914236301</v>
      </c>
      <c r="AG6793">
        <v>-1.109802109526</v>
      </c>
      <c r="AH6793">
        <v>12.507668234572</v>
      </c>
      <c r="AI6793">
        <v>94.936611136965496</v>
      </c>
      <c r="AJ6793">
        <v>76.767684727996198</v>
      </c>
      <c r="AK6793">
        <v>12.896644495968401</v>
      </c>
      <c r="AL6793">
        <v>79.1705262916023</v>
      </c>
      <c r="AM6793">
        <v>78.462722733182602</v>
      </c>
      <c r="AN6793">
        <v>1.00000004602648</v>
      </c>
    </row>
    <row r="6794" spans="1:40" x14ac:dyDescent="0.25">
      <c r="A6794" t="str">
        <f>"20190312172842785"</f>
        <v>20190312172842785</v>
      </c>
      <c r="B6794" t="str">
        <f>"1552382922776454"</f>
        <v>1552382922776454</v>
      </c>
      <c r="C6794" t="s">
        <v>40</v>
      </c>
      <c r="D6794">
        <v>3.4916670000000001</v>
      </c>
      <c r="E6794">
        <v>0.50996209999999997</v>
      </c>
      <c r="F6794" t="s">
        <v>41</v>
      </c>
      <c r="G6794">
        <v>-160.0016</v>
      </c>
      <c r="H6794" s="1">
        <v>-5.1750609999999998E-6</v>
      </c>
      <c r="I6794">
        <v>136.97649999999999</v>
      </c>
      <c r="J6794">
        <v>-172.89099999999999</v>
      </c>
      <c r="K6794">
        <v>1.1098680000000001</v>
      </c>
      <c r="L6794">
        <v>135.4622</v>
      </c>
      <c r="M6794">
        <v>0.94113409999999997</v>
      </c>
      <c r="N6794">
        <v>0</v>
      </c>
      <c r="O6794">
        <v>0.33768900000000002</v>
      </c>
      <c r="P6794">
        <v>0.97391799999999995</v>
      </c>
      <c r="Q6794">
        <v>0.17494029999999999</v>
      </c>
      <c r="R6794">
        <v>0.14449809999999999</v>
      </c>
      <c r="S6794">
        <v>3.0715180000000002</v>
      </c>
      <c r="T6794">
        <v>-0.26192100000000001</v>
      </c>
      <c r="U6794">
        <v>0.3672028</v>
      </c>
      <c r="V6794">
        <v>0.19327369999999999</v>
      </c>
      <c r="W6794">
        <v>0.18928439999999999</v>
      </c>
      <c r="X6794">
        <v>0.96271320000000005</v>
      </c>
      <c r="Y6794">
        <v>0.22166440000000001</v>
      </c>
      <c r="Z6794">
        <v>-3.7470139999999999E-2</v>
      </c>
      <c r="AA6794">
        <v>0.97440280000000001</v>
      </c>
      <c r="AB6794">
        <v>13</v>
      </c>
      <c r="AC6794">
        <v>12.889399999999901</v>
      </c>
      <c r="AD6794">
        <v>-1.109873175061</v>
      </c>
      <c r="AE6794">
        <v>1.51429999999999</v>
      </c>
      <c r="AF6794">
        <v>2.9065329039037699</v>
      </c>
      <c r="AG6794">
        <v>-1.109873175061</v>
      </c>
      <c r="AH6794">
        <v>12.5516904087524</v>
      </c>
      <c r="AI6794">
        <v>94.923573527806894</v>
      </c>
      <c r="AJ6794">
        <v>76.962098774728403</v>
      </c>
      <c r="AK6794">
        <v>12.9315383502258</v>
      </c>
      <c r="AL6794">
        <v>79.088974514793506</v>
      </c>
      <c r="AM6794">
        <v>78.648238100994206</v>
      </c>
      <c r="AN6794">
        <v>1.0000000063246399</v>
      </c>
    </row>
    <row r="6795" spans="1:40" x14ac:dyDescent="0.25">
      <c r="A6795" t="str">
        <f>"20190312172842807"</f>
        <v>20190312172842807</v>
      </c>
      <c r="B6795" t="str">
        <f>"1552382922796949"</f>
        <v>1552382922796949</v>
      </c>
      <c r="C6795" t="s">
        <v>40</v>
      </c>
      <c r="D6795">
        <v>3.4619840000000002</v>
      </c>
      <c r="E6795">
        <v>0.5100365</v>
      </c>
      <c r="F6795" t="s">
        <v>41</v>
      </c>
      <c r="G6795">
        <v>-159.75710000000001</v>
      </c>
      <c r="H6795" s="1">
        <v>-7.5240819999999998E-7</v>
      </c>
      <c r="I6795">
        <v>137.04660000000001</v>
      </c>
      <c r="J6795">
        <v>-172.76499999999999</v>
      </c>
      <c r="K6795">
        <v>1.109979</v>
      </c>
      <c r="L6795">
        <v>135.50399999999999</v>
      </c>
      <c r="M6795">
        <v>0.94202940000000002</v>
      </c>
      <c r="N6795">
        <v>0</v>
      </c>
      <c r="O6795">
        <v>0.33519399999999999</v>
      </c>
      <c r="P6795">
        <v>0.97341169999999999</v>
      </c>
      <c r="Q6795">
        <v>0.17643589999999901</v>
      </c>
      <c r="R6795">
        <v>0.1460832</v>
      </c>
      <c r="S6795">
        <v>3.0719910000000001</v>
      </c>
      <c r="T6795">
        <v>-0.25959460000000001</v>
      </c>
      <c r="U6795">
        <v>0.37060549999999998</v>
      </c>
      <c r="V6795">
        <v>0.1890095</v>
      </c>
      <c r="W6795">
        <v>0.19061159999999999</v>
      </c>
      <c r="X6795">
        <v>0.96329779999999998</v>
      </c>
      <c r="Y6795">
        <v>0.218088</v>
      </c>
      <c r="Z6795">
        <v>-3.6780960000000001E-2</v>
      </c>
      <c r="AA6795">
        <v>0.97523579999999999</v>
      </c>
      <c r="AB6795">
        <v>13</v>
      </c>
      <c r="AC6795">
        <v>13.0078999999999</v>
      </c>
      <c r="AD6795">
        <v>-1.1099797524082</v>
      </c>
      <c r="AE6795">
        <v>1.54260000000002</v>
      </c>
      <c r="AF6795">
        <v>2.8865964224322598</v>
      </c>
      <c r="AG6795">
        <v>-1.1099797524082</v>
      </c>
      <c r="AH6795">
        <v>12.681278184612101</v>
      </c>
      <c r="AI6795">
        <v>94.878137860273497</v>
      </c>
      <c r="AJ6795">
        <v>77.176455044131998</v>
      </c>
      <c r="AK6795">
        <v>13.0529425936175</v>
      </c>
      <c r="AL6795">
        <v>79.011521518244507</v>
      </c>
      <c r="AM6795">
        <v>78.898969902297296</v>
      </c>
      <c r="AN6795">
        <v>1.0000000123148201</v>
      </c>
    </row>
    <row r="6796" spans="1:40" x14ac:dyDescent="0.25">
      <c r="A6796" t="str">
        <f>"20190312172842829"</f>
        <v>20190312172842829</v>
      </c>
      <c r="B6796" t="str">
        <f>"1552382922826230"</f>
        <v>1552382922826230</v>
      </c>
      <c r="C6796" t="s">
        <v>40</v>
      </c>
      <c r="D6796">
        <v>3.4989669999999999</v>
      </c>
      <c r="E6796">
        <v>0.51024290000000005</v>
      </c>
      <c r="F6796" t="s">
        <v>41</v>
      </c>
      <c r="G6796">
        <v>-159.5059</v>
      </c>
      <c r="H6796" s="1">
        <v>-8.174744E-7</v>
      </c>
      <c r="I6796">
        <v>137.1233</v>
      </c>
      <c r="J6796">
        <v>-172.64429999999999</v>
      </c>
      <c r="K6796">
        <v>1.1100920000000001</v>
      </c>
      <c r="L6796">
        <v>135.5438</v>
      </c>
      <c r="M6796">
        <v>0.94282719999999998</v>
      </c>
      <c r="N6796">
        <v>0</v>
      </c>
      <c r="O6796">
        <v>0.33295209999999997</v>
      </c>
      <c r="P6796">
        <v>0.97301439999999995</v>
      </c>
      <c r="Q6796">
        <v>0.17714759999999999</v>
      </c>
      <c r="R6796">
        <v>0.14785770000000001</v>
      </c>
      <c r="S6796">
        <v>3.0722659999999999</v>
      </c>
      <c r="T6796">
        <v>-0.25719379999999997</v>
      </c>
      <c r="U6796">
        <v>0.37522889999999998</v>
      </c>
      <c r="V6796">
        <v>0.184859</v>
      </c>
      <c r="W6796">
        <v>0.1912005</v>
      </c>
      <c r="X6796">
        <v>0.96398629999999996</v>
      </c>
      <c r="Y6796">
        <v>0.21438389999999999</v>
      </c>
      <c r="Z6796">
        <v>-3.6103339999999998E-2</v>
      </c>
      <c r="AA6796">
        <v>0.97608200000000001</v>
      </c>
      <c r="AB6796">
        <v>13</v>
      </c>
      <c r="AC6796">
        <v>13.138399999999899</v>
      </c>
      <c r="AD6796">
        <v>-1.1100928174744</v>
      </c>
      <c r="AE6796">
        <v>1.5794999999999899</v>
      </c>
      <c r="AF6796">
        <v>2.8654148243594002</v>
      </c>
      <c r="AG6796">
        <v>-1.1100928174744</v>
      </c>
      <c r="AH6796">
        <v>12.8243102992922</v>
      </c>
      <c r="AI6796">
        <v>94.828798485025899</v>
      </c>
      <c r="AJ6796">
        <v>77.404928199021597</v>
      </c>
      <c r="AK6796">
        <v>13.1873364570561</v>
      </c>
      <c r="AL6796">
        <v>78.977148083870702</v>
      </c>
      <c r="AM6796">
        <v>79.144451440243401</v>
      </c>
      <c r="AN6796">
        <v>1.0000000338344599</v>
      </c>
    </row>
    <row r="6797" spans="1:40" x14ac:dyDescent="0.25">
      <c r="A6797" t="str">
        <f>"20190312172842851"</f>
        <v>20190312172842851</v>
      </c>
      <c r="B6797" t="str">
        <f>"1552382922846729"</f>
        <v>1552382922846729</v>
      </c>
      <c r="C6797" t="s">
        <v>40</v>
      </c>
      <c r="D6797">
        <v>3.4756840000000002</v>
      </c>
      <c r="E6797">
        <v>0.51034250000000003</v>
      </c>
      <c r="F6797" t="s">
        <v>41</v>
      </c>
      <c r="G6797">
        <v>-159.41030000000001</v>
      </c>
      <c r="H6797" s="1">
        <v>-8.3645089999999898E-7</v>
      </c>
      <c r="I6797">
        <v>137.17439999999999</v>
      </c>
      <c r="J6797">
        <v>-172.5172</v>
      </c>
      <c r="K6797">
        <v>1.1101970000000001</v>
      </c>
      <c r="L6797">
        <v>135.5857</v>
      </c>
      <c r="M6797">
        <v>0.94360299999999997</v>
      </c>
      <c r="N6797">
        <v>0</v>
      </c>
      <c r="O6797">
        <v>0.33075490000000002</v>
      </c>
      <c r="P6797">
        <v>0.97269159999999999</v>
      </c>
      <c r="Q6797">
        <v>0.17791570000000001</v>
      </c>
      <c r="R6797">
        <v>0.14905389999999999</v>
      </c>
      <c r="S6797">
        <v>3.0725709999999999</v>
      </c>
      <c r="T6797">
        <v>-0.25773160000000001</v>
      </c>
      <c r="U6797">
        <v>0.37857059999999998</v>
      </c>
      <c r="V6797">
        <v>0.1813273</v>
      </c>
      <c r="W6797">
        <v>0.19185289999999999</v>
      </c>
      <c r="X6797">
        <v>0.96452729999999998</v>
      </c>
      <c r="Y6797">
        <v>0.2110842</v>
      </c>
      <c r="Z6797">
        <v>-3.5860610000000001E-2</v>
      </c>
      <c r="AA6797">
        <v>0.97680990000000001</v>
      </c>
      <c r="AB6797">
        <v>13</v>
      </c>
      <c r="AC6797">
        <v>13.1068999999999</v>
      </c>
      <c r="AD6797">
        <v>-1.11019783645089</v>
      </c>
      <c r="AE6797">
        <v>1.58869999999998</v>
      </c>
      <c r="AF6797">
        <v>2.8164591107193502</v>
      </c>
      <c r="AG6797">
        <v>-1.11019783645089</v>
      </c>
      <c r="AH6797">
        <v>12.8040296614297</v>
      </c>
      <c r="AI6797">
        <v>94.840396747441304</v>
      </c>
      <c r="AJ6797">
        <v>77.594405794794994</v>
      </c>
      <c r="AK6797">
        <v>13.1570572974806</v>
      </c>
      <c r="AL6797">
        <v>78.939063099590001</v>
      </c>
      <c r="AM6797">
        <v>79.352892174104696</v>
      </c>
      <c r="AN6797">
        <v>1.00000001870449</v>
      </c>
    </row>
    <row r="6798" spans="1:40" x14ac:dyDescent="0.25">
      <c r="A6798" t="str">
        <f>"20190312172842873"</f>
        <v>20190312172842873</v>
      </c>
      <c r="B6798" t="str">
        <f>"1552382922866246"</f>
        <v>1552382922866246</v>
      </c>
      <c r="C6798" t="s">
        <v>40</v>
      </c>
      <c r="D6798">
        <v>3.4848720000000002</v>
      </c>
      <c r="E6798">
        <v>0.51046939999999996</v>
      </c>
      <c r="F6798" t="s">
        <v>41</v>
      </c>
      <c r="G6798">
        <v>-159.27099999999999</v>
      </c>
      <c r="H6798" s="1">
        <v>-8.6831699999999995E-7</v>
      </c>
      <c r="I6798">
        <v>137.23269999999999</v>
      </c>
      <c r="J6798">
        <v>-172.39429999999999</v>
      </c>
      <c r="K6798">
        <v>1.1102559999999999</v>
      </c>
      <c r="L6798">
        <v>135.62620000000001</v>
      </c>
      <c r="M6798">
        <v>0.94430559999999997</v>
      </c>
      <c r="N6798">
        <v>0</v>
      </c>
      <c r="O6798">
        <v>0.32875019999999999</v>
      </c>
      <c r="P6798">
        <v>0.9724121</v>
      </c>
      <c r="Q6798">
        <v>0.17911669999999999</v>
      </c>
      <c r="R6798">
        <v>0.1494395</v>
      </c>
      <c r="S6798">
        <v>3.0727690000000001</v>
      </c>
      <c r="T6798">
        <v>-0.25753520000000002</v>
      </c>
      <c r="U6798">
        <v>0.38206479999999998</v>
      </c>
      <c r="V6798">
        <v>0.17878859999999999</v>
      </c>
      <c r="W6798">
        <v>0.19294030000000001</v>
      </c>
      <c r="X6798">
        <v>0.96478430000000004</v>
      </c>
      <c r="Y6798">
        <v>0.20794119999999999</v>
      </c>
      <c r="Z6798">
        <v>-3.5538420000000001E-2</v>
      </c>
      <c r="AA6798">
        <v>0.97749549999999996</v>
      </c>
      <c r="AB6798">
        <v>13</v>
      </c>
      <c r="AC6798">
        <v>13.123299999999899</v>
      </c>
      <c r="AD6798">
        <v>-1.110256868317</v>
      </c>
      <c r="AE6798">
        <v>1.6064999999999801</v>
      </c>
      <c r="AF6798">
        <v>2.7779649518417</v>
      </c>
      <c r="AG6798">
        <v>-1.110256868317</v>
      </c>
      <c r="AH6798">
        <v>12.831416518790901</v>
      </c>
      <c r="AI6798">
        <v>94.833845912330702</v>
      </c>
      <c r="AJ6798">
        <v>77.784155392614096</v>
      </c>
      <c r="AK6798">
        <v>13.175545888729101</v>
      </c>
      <c r="AL6798">
        <v>78.875573680977794</v>
      </c>
      <c r="AM6798">
        <v>79.501355039433406</v>
      </c>
      <c r="AN6798">
        <v>1.00000003419026</v>
      </c>
    </row>
    <row r="6799" spans="1:40" x14ac:dyDescent="0.25">
      <c r="A6799" t="str">
        <f>"20190312172842895"</f>
        <v>20190312172842895</v>
      </c>
      <c r="B6799" t="str">
        <f>"1552382922886742"</f>
        <v>1552382922886742</v>
      </c>
      <c r="C6799" t="s">
        <v>40</v>
      </c>
      <c r="D6799">
        <v>3.4982319999999998</v>
      </c>
      <c r="E6799">
        <v>0.51050150000000005</v>
      </c>
      <c r="F6799" t="s">
        <v>41</v>
      </c>
      <c r="G6799">
        <v>-159.05019999999999</v>
      </c>
      <c r="H6799" s="1">
        <v>-9.2717330000000002E-7</v>
      </c>
      <c r="I6799">
        <v>137.29390000000001</v>
      </c>
      <c r="J6799">
        <v>-172.268</v>
      </c>
      <c r="K6799">
        <v>1.110287</v>
      </c>
      <c r="L6799">
        <v>135.66759999999999</v>
      </c>
      <c r="M6799">
        <v>0.9449803</v>
      </c>
      <c r="N6799">
        <v>0</v>
      </c>
      <c r="O6799">
        <v>0.32681169999999998</v>
      </c>
      <c r="P6799">
        <v>0.97221740000000001</v>
      </c>
      <c r="Q6799">
        <v>0.1796875</v>
      </c>
      <c r="R6799">
        <v>0.15001989999999901</v>
      </c>
      <c r="S6799">
        <v>3.0731809999999999</v>
      </c>
      <c r="T6799">
        <v>-0.25569439999999999</v>
      </c>
      <c r="U6799">
        <v>0.3840942</v>
      </c>
      <c r="V6799">
        <v>0.1761751</v>
      </c>
      <c r="W6799">
        <v>0.19340070000000001</v>
      </c>
      <c r="X6799">
        <v>0.96517280000000005</v>
      </c>
      <c r="Y6799">
        <v>0.2053547</v>
      </c>
      <c r="Z6799">
        <v>-3.5019729999999999E-2</v>
      </c>
      <c r="AA6799">
        <v>0.97806090000000001</v>
      </c>
      <c r="AB6799">
        <v>13</v>
      </c>
      <c r="AC6799">
        <v>13.2178</v>
      </c>
      <c r="AD6799">
        <v>-1.1102879271732999</v>
      </c>
      <c r="AE6799">
        <v>1.6263000000000101</v>
      </c>
      <c r="AF6799">
        <v>2.7639857976143598</v>
      </c>
      <c r="AG6799">
        <v>-1.1102879271732999</v>
      </c>
      <c r="AH6799">
        <v>12.9335015155251</v>
      </c>
      <c r="AI6799">
        <v>94.7987428286295</v>
      </c>
      <c r="AJ6799">
        <v>77.936923479383097</v>
      </c>
      <c r="AK6799">
        <v>13.272069101038101</v>
      </c>
      <c r="AL6799">
        <v>78.848688110530702</v>
      </c>
      <c r="AM6799">
        <v>79.655558249162496</v>
      </c>
      <c r="AN6799">
        <v>1.00000001524016</v>
      </c>
    </row>
    <row r="6800" spans="1:40" x14ac:dyDescent="0.25">
      <c r="A6800" t="str">
        <f>"20190312172842918"</f>
        <v>20190312172842918</v>
      </c>
      <c r="B6800" t="str">
        <f>"1552382922906864"</f>
        <v>1552382922906864</v>
      </c>
      <c r="C6800" t="s">
        <v>40</v>
      </c>
      <c r="D6800">
        <v>3.508982</v>
      </c>
      <c r="E6800">
        <v>0.50992329999999997</v>
      </c>
      <c r="F6800" t="s">
        <v>41</v>
      </c>
      <c r="G6800">
        <v>-158.86009999999999</v>
      </c>
      <c r="H6800" s="1">
        <v>-9.7525309999999992E-7</v>
      </c>
      <c r="I6800">
        <v>137.3563</v>
      </c>
      <c r="J6800">
        <v>-172.14619999999999</v>
      </c>
      <c r="K6800">
        <v>1.1103019999999999</v>
      </c>
      <c r="L6800">
        <v>135.70740000000001</v>
      </c>
      <c r="M6800">
        <v>0.94558540000000002</v>
      </c>
      <c r="N6800">
        <v>0</v>
      </c>
      <c r="O6800">
        <v>0.32506200000000002</v>
      </c>
      <c r="P6800">
        <v>0.97215879999999999</v>
      </c>
      <c r="Q6800">
        <v>0.17924179999999901</v>
      </c>
      <c r="R6800">
        <v>0.15092929999999999</v>
      </c>
      <c r="S6800">
        <v>3.073029</v>
      </c>
      <c r="T6800">
        <v>-0.25447229999999998</v>
      </c>
      <c r="U6800">
        <v>0.38705440000000002</v>
      </c>
      <c r="V6800">
        <v>0.17349589999999901</v>
      </c>
      <c r="W6800">
        <v>0.19286220000000001</v>
      </c>
      <c r="X6800">
        <v>0.96576569999999995</v>
      </c>
      <c r="Y6800">
        <v>0.20264009999999999</v>
      </c>
      <c r="Z6800">
        <v>-3.4603380000000003E-2</v>
      </c>
      <c r="AA6800">
        <v>0.97864169999999995</v>
      </c>
      <c r="AB6800">
        <v>13</v>
      </c>
      <c r="AC6800">
        <v>13.286099999999999</v>
      </c>
      <c r="AD6800">
        <v>-1.1103029752531</v>
      </c>
      <c r="AE6800">
        <v>1.64889999999999</v>
      </c>
      <c r="AF6800">
        <v>2.74105808824438</v>
      </c>
      <c r="AG6800">
        <v>-1.1103029752531</v>
      </c>
      <c r="AH6800">
        <v>13.0109793871514</v>
      </c>
      <c r="AI6800">
        <v>94.773290690625799</v>
      </c>
      <c r="AJ6800">
        <v>78.103311245777107</v>
      </c>
      <c r="AK6800">
        <v>13.3428541456791</v>
      </c>
      <c r="AL6800">
        <v>78.880133990817697</v>
      </c>
      <c r="AM6800">
        <v>79.815676243097002</v>
      </c>
      <c r="AN6800">
        <v>1.00000002140106</v>
      </c>
    </row>
    <row r="6801" spans="1:40" x14ac:dyDescent="0.25">
      <c r="A6801" t="str">
        <f>"20190312172842941"</f>
        <v>20190312172842941</v>
      </c>
      <c r="B6801" t="str">
        <f>"1552382922937120"</f>
        <v>1552382922937120</v>
      </c>
      <c r="C6801" t="s">
        <v>40</v>
      </c>
      <c r="D6801">
        <v>3.4879310000000001</v>
      </c>
      <c r="E6801">
        <v>0.49113050000000003</v>
      </c>
      <c r="F6801" t="s">
        <v>41</v>
      </c>
      <c r="G6801">
        <v>-159.0866</v>
      </c>
      <c r="H6801" s="1">
        <v>-8.9002069999999902E-7</v>
      </c>
      <c r="I6801">
        <v>137.387</v>
      </c>
      <c r="J6801">
        <v>-172.023</v>
      </c>
      <c r="K6801">
        <v>1.11032</v>
      </c>
      <c r="L6801">
        <v>135.7475</v>
      </c>
      <c r="M6801">
        <v>0.94615380000000004</v>
      </c>
      <c r="N6801">
        <v>0</v>
      </c>
      <c r="O6801">
        <v>0.32340809999999998</v>
      </c>
      <c r="P6801">
        <v>0.97217750000000003</v>
      </c>
      <c r="Q6801">
        <v>0.17778239999999901</v>
      </c>
      <c r="R6801">
        <v>0.15252660000000001</v>
      </c>
      <c r="S6801">
        <v>3.0727229999999999</v>
      </c>
      <c r="T6801">
        <v>-0.26123610000000003</v>
      </c>
      <c r="U6801">
        <v>0.39518740000000002</v>
      </c>
      <c r="V6801">
        <v>0.1702892</v>
      </c>
      <c r="W6801">
        <v>0.19132679999999999</v>
      </c>
      <c r="X6801">
        <v>0.96664139999999998</v>
      </c>
      <c r="Y6801">
        <v>0.198293</v>
      </c>
      <c r="Z6801">
        <v>-3.5198569999999998E-2</v>
      </c>
      <c r="AA6801">
        <v>0.97951049999999995</v>
      </c>
      <c r="AB6801">
        <v>13</v>
      </c>
      <c r="AC6801">
        <v>12.9363999999999</v>
      </c>
      <c r="AD6801">
        <v>-1.1103208900207</v>
      </c>
      <c r="AE6801">
        <v>1.63949999999999</v>
      </c>
      <c r="AF6801">
        <v>2.6138301362110998</v>
      </c>
      <c r="AG6801">
        <v>-1.1103208900207</v>
      </c>
      <c r="AH6801">
        <v>12.679401791843601</v>
      </c>
      <c r="AI6801">
        <v>94.902002458147095</v>
      </c>
      <c r="AJ6801">
        <v>78.351779038206303</v>
      </c>
      <c r="AK6801">
        <v>12.993542636971201</v>
      </c>
      <c r="AL6801">
        <v>78.969774875392602</v>
      </c>
      <c r="AM6801">
        <v>80.008954196870903</v>
      </c>
      <c r="AN6801">
        <v>0.99999997611441904</v>
      </c>
    </row>
    <row r="6802" spans="1:40" x14ac:dyDescent="0.25">
      <c r="A6802" t="str">
        <f>"20190312172842962"</f>
        <v>20190312172842962</v>
      </c>
      <c r="B6802" t="str">
        <f>"1552382922956643"</f>
        <v>1552382922956643</v>
      </c>
      <c r="C6802" t="s">
        <v>40</v>
      </c>
      <c r="D6802">
        <v>3.5156740000000002</v>
      </c>
      <c r="E6802">
        <v>0.49121199999999998</v>
      </c>
      <c r="F6802" t="s">
        <v>44</v>
      </c>
      <c r="G6802">
        <v>-171.26669999999999</v>
      </c>
      <c r="H6802">
        <v>1.0129900000000001</v>
      </c>
      <c r="I6802">
        <v>135.88299999999899</v>
      </c>
      <c r="J6802">
        <v>-171.90190000000001</v>
      </c>
      <c r="K6802">
        <v>1.1103339999999999</v>
      </c>
      <c r="L6802">
        <v>135.7869</v>
      </c>
      <c r="M6802">
        <v>0.94667570000000001</v>
      </c>
      <c r="N6802">
        <v>0</v>
      </c>
      <c r="O6802">
        <v>0.32188080000000002</v>
      </c>
      <c r="P6802">
        <v>0.97203249999999997</v>
      </c>
      <c r="Q6802">
        <v>0.17761070000000001</v>
      </c>
      <c r="R6802">
        <v>0.15364729999999999</v>
      </c>
      <c r="S6802">
        <v>3.071793</v>
      </c>
      <c r="T6802">
        <v>-0.3952832</v>
      </c>
      <c r="U6802">
        <v>0.55038450000000005</v>
      </c>
      <c r="V6802">
        <v>0.16760849999999999</v>
      </c>
      <c r="W6802">
        <v>0.1910886</v>
      </c>
      <c r="X6802">
        <v>0.96715689999999999</v>
      </c>
      <c r="Y6802">
        <v>0.14627190000000001</v>
      </c>
      <c r="Z6802">
        <v>-4.9382759999999998E-2</v>
      </c>
      <c r="AA6802">
        <v>0.98801110000000003</v>
      </c>
      <c r="AB6802">
        <v>13</v>
      </c>
      <c r="AC6802">
        <v>0.63520000000002597</v>
      </c>
      <c r="AD6802">
        <v>-9.7343999999999806E-2</v>
      </c>
      <c r="AE6802">
        <v>9.6099999999978494E-2</v>
      </c>
      <c r="AF6802">
        <v>0.110947051616784</v>
      </c>
      <c r="AG6802">
        <v>-9.7343999999999806E-2</v>
      </c>
      <c r="AH6802">
        <v>0.61813150911062398</v>
      </c>
      <c r="AI6802">
        <v>98.810959502966398</v>
      </c>
      <c r="AJ6802">
        <v>79.824455886951199</v>
      </c>
      <c r="AK6802">
        <v>0.63550898117480203</v>
      </c>
      <c r="AL6802">
        <v>78.983679156758996</v>
      </c>
      <c r="AM6802">
        <v>80.168278164850406</v>
      </c>
      <c r="AN6802">
        <v>0.99999996576990902</v>
      </c>
    </row>
    <row r="6803" spans="1:40" x14ac:dyDescent="0.25">
      <c r="A6803" t="str">
        <f>"20190312172842985"</f>
        <v>20190312172842985</v>
      </c>
      <c r="B6803" t="str">
        <f>"1552382922977141"</f>
        <v>1552382922977141</v>
      </c>
      <c r="C6803" t="s">
        <v>40</v>
      </c>
      <c r="D6803">
        <v>3.4560659999999999</v>
      </c>
      <c r="E6803">
        <v>0.49182379999999998</v>
      </c>
      <c r="F6803" t="s">
        <v>44</v>
      </c>
      <c r="G6803">
        <v>-171.1568</v>
      </c>
      <c r="H6803">
        <v>1.014508</v>
      </c>
      <c r="I6803">
        <v>135.92080000000001</v>
      </c>
      <c r="J6803">
        <v>-171.77449999999999</v>
      </c>
      <c r="K6803">
        <v>1.1103529999999999</v>
      </c>
      <c r="L6803">
        <v>135.82810000000001</v>
      </c>
      <c r="M6803">
        <v>0.94719260000000005</v>
      </c>
      <c r="N6803">
        <v>0</v>
      </c>
      <c r="O6803">
        <v>0.32035989999999998</v>
      </c>
      <c r="P6803">
        <v>0.97194429999999998</v>
      </c>
      <c r="Q6803">
        <v>0.17792849999999999</v>
      </c>
      <c r="R6803">
        <v>0.15383759999999999</v>
      </c>
      <c r="S6803">
        <v>3.0711979999999999</v>
      </c>
      <c r="T6803">
        <v>-0.39492050000000001</v>
      </c>
      <c r="U6803">
        <v>0.5521393</v>
      </c>
      <c r="V6803">
        <v>0.1658307</v>
      </c>
      <c r="W6803">
        <v>0.19134509999999999</v>
      </c>
      <c r="X6803">
        <v>0.96741270000000001</v>
      </c>
      <c r="Y6803">
        <v>0.14413629999999999</v>
      </c>
      <c r="Z6803">
        <v>-4.9025689999999997E-2</v>
      </c>
      <c r="AA6803">
        <v>0.98834259999999996</v>
      </c>
      <c r="AB6803">
        <v>13</v>
      </c>
      <c r="AC6803">
        <v>0.61769999999998404</v>
      </c>
      <c r="AD6803">
        <v>-9.5845000000000097E-2</v>
      </c>
      <c r="AE6803">
        <v>9.2700000000007707E-2</v>
      </c>
      <c r="AF6803">
        <v>0.10755976291691299</v>
      </c>
      <c r="AG6803">
        <v>-9.5845000000000097E-2</v>
      </c>
      <c r="AH6803">
        <v>0.60069464068412703</v>
      </c>
      <c r="AI6803">
        <v>98.925900327929298</v>
      </c>
      <c r="AJ6803">
        <v>79.848259859789593</v>
      </c>
      <c r="AK6803">
        <v>0.61772924325336598</v>
      </c>
      <c r="AL6803">
        <v>78.968707454223704</v>
      </c>
      <c r="AM6803">
        <v>80.273081786910794</v>
      </c>
      <c r="AN6803">
        <v>1.0000000502388899</v>
      </c>
    </row>
    <row r="6804" spans="1:40" x14ac:dyDescent="0.25">
      <c r="A6804" t="str">
        <f>"20190312172843030"</f>
        <v>20190312172843030</v>
      </c>
      <c r="B6804" t="str">
        <f>"1552382923026912"</f>
        <v>1552382923026912</v>
      </c>
      <c r="C6804" t="s">
        <v>40</v>
      </c>
      <c r="D6804">
        <v>3.4867469999999998</v>
      </c>
      <c r="E6804">
        <v>0.49258229999999997</v>
      </c>
      <c r="F6804" t="s">
        <v>44</v>
      </c>
      <c r="G6804">
        <v>-171.0463</v>
      </c>
      <c r="H6804">
        <v>1.017274</v>
      </c>
      <c r="I6804">
        <v>135.9579</v>
      </c>
      <c r="J6804">
        <v>-171.5324</v>
      </c>
      <c r="K6804">
        <v>1.1103970000000001</v>
      </c>
      <c r="L6804">
        <v>135.90620000000001</v>
      </c>
      <c r="M6804">
        <v>0.94809710000000003</v>
      </c>
      <c r="N6804">
        <v>0</v>
      </c>
      <c r="O6804">
        <v>0.31767840000000003</v>
      </c>
      <c r="P6804">
        <v>0.97231009999999995</v>
      </c>
      <c r="Q6804">
        <v>0.17824999999999999</v>
      </c>
      <c r="R6804">
        <v>0.1511295</v>
      </c>
      <c r="S6804">
        <v>3.0717620000000001</v>
      </c>
      <c r="T6804">
        <v>-0.39264070000000001</v>
      </c>
      <c r="U6804">
        <v>0.54783630000000005</v>
      </c>
      <c r="V6804">
        <v>0.16574900000000001</v>
      </c>
      <c r="W6804">
        <v>0.19156690000000001</v>
      </c>
      <c r="X6804">
        <v>0.96738270000000004</v>
      </c>
      <c r="Y6804">
        <v>0.142780399999999</v>
      </c>
      <c r="Z6804">
        <v>-4.8338640000000002E-2</v>
      </c>
      <c r="AA6804">
        <v>0.98857329999999999</v>
      </c>
      <c r="AB6804">
        <v>13</v>
      </c>
      <c r="AC6804">
        <v>0.48609999999999298</v>
      </c>
      <c r="AD6804">
        <v>-9.3122999999999803E-2</v>
      </c>
      <c r="AE6804">
        <v>5.1699999999982503E-2</v>
      </c>
      <c r="AF6804">
        <v>0.10172545057033</v>
      </c>
      <c r="AG6804">
        <v>-9.3122999999999803E-2</v>
      </c>
      <c r="AH6804">
        <v>0.46062418561632401</v>
      </c>
      <c r="AI6804">
        <v>101.16718923210099</v>
      </c>
      <c r="AJ6804">
        <v>77.546540030233899</v>
      </c>
      <c r="AK6804">
        <v>0.48082699674356699</v>
      </c>
      <c r="AL6804">
        <v>78.955758592720599</v>
      </c>
      <c r="AM6804">
        <v>80.277486731935696</v>
      </c>
      <c r="AN6804">
        <v>0.99999994821794802</v>
      </c>
    </row>
    <row r="6805" spans="1:40" x14ac:dyDescent="0.25">
      <c r="A6805" t="str">
        <f>"20190312172843052"</f>
        <v>20190312172843052</v>
      </c>
      <c r="B6805" t="str">
        <f>"1552382923046432"</f>
        <v>1552382923046432</v>
      </c>
      <c r="C6805" t="s">
        <v>40</v>
      </c>
      <c r="D6805">
        <v>3.4642550000000001</v>
      </c>
      <c r="E6805">
        <v>0.4928999</v>
      </c>
      <c r="F6805" t="s">
        <v>44</v>
      </c>
      <c r="G6805">
        <v>-170.7191</v>
      </c>
      <c r="H6805">
        <v>1.0060990000000001</v>
      </c>
      <c r="I6805">
        <v>136.04849999999999</v>
      </c>
      <c r="J6805">
        <v>-171.41130000000001</v>
      </c>
      <c r="K6805">
        <v>1.110395</v>
      </c>
      <c r="L6805">
        <v>135.9452</v>
      </c>
      <c r="M6805">
        <v>0.94851890000000005</v>
      </c>
      <c r="N6805">
        <v>0</v>
      </c>
      <c r="O6805">
        <v>0.31641930000000001</v>
      </c>
      <c r="P6805">
        <v>0.97268639999999995</v>
      </c>
      <c r="Q6805">
        <v>0.17774029999999999</v>
      </c>
      <c r="R6805">
        <v>0.14929809999999999</v>
      </c>
      <c r="S6805">
        <v>3.0741420000000002</v>
      </c>
      <c r="T6805">
        <v>-0.39421929999999999</v>
      </c>
      <c r="U6805">
        <v>0.53782649999999999</v>
      </c>
      <c r="V6805">
        <v>0.1663145</v>
      </c>
      <c r="W6805">
        <v>0.1910123</v>
      </c>
      <c r="X6805">
        <v>0.96739540000000002</v>
      </c>
      <c r="Y6805">
        <v>0.1446886</v>
      </c>
      <c r="Z6805">
        <v>-4.8483350000000001E-2</v>
      </c>
      <c r="AA6805">
        <v>0.98828870000000002</v>
      </c>
      <c r="AB6805">
        <v>13</v>
      </c>
      <c r="AC6805">
        <v>0.69220000000001303</v>
      </c>
      <c r="AD6805">
        <v>-0.104295999999999</v>
      </c>
      <c r="AE6805">
        <v>0.10329999999999</v>
      </c>
      <c r="AF6805">
        <v>0.118425018936446</v>
      </c>
      <c r="AG6805">
        <v>-0.104295999999999</v>
      </c>
      <c r="AH6805">
        <v>0.67434098374155305</v>
      </c>
      <c r="AI6805">
        <v>98.661416315075996</v>
      </c>
      <c r="AJ6805">
        <v>80.039516540932794</v>
      </c>
      <c r="AK6805">
        <v>0.69255895278281099</v>
      </c>
      <c r="AL6805">
        <v>78.988133641968304</v>
      </c>
      <c r="AM6805">
        <v>80.245077487796706</v>
      </c>
      <c r="AN6805">
        <v>1.0000000358013399</v>
      </c>
    </row>
    <row r="6806" spans="1:40" x14ac:dyDescent="0.25">
      <c r="A6806" t="str">
        <f>"20190312172843074"</f>
        <v>20190312172843074</v>
      </c>
      <c r="B6806" t="str">
        <f>"1552382923066927"</f>
        <v>1552382923066927</v>
      </c>
      <c r="C6806" t="s">
        <v>40</v>
      </c>
      <c r="D6806">
        <v>3.5485850000000001</v>
      </c>
      <c r="E6806">
        <v>0.49305320000000002</v>
      </c>
      <c r="F6806" t="s">
        <v>44</v>
      </c>
      <c r="G6806">
        <v>-170.6096</v>
      </c>
      <c r="H6806">
        <v>1.0072730000000001</v>
      </c>
      <c r="I6806">
        <v>136.0831</v>
      </c>
      <c r="J6806">
        <v>-171.28819999999999</v>
      </c>
      <c r="K6806">
        <v>1.1103700000000001</v>
      </c>
      <c r="L6806">
        <v>135.9846</v>
      </c>
      <c r="M6806">
        <v>0.9489341</v>
      </c>
      <c r="N6806">
        <v>0</v>
      </c>
      <c r="O6806">
        <v>0.3151735</v>
      </c>
      <c r="P6806">
        <v>0.97307299999999997</v>
      </c>
      <c r="Q6806">
        <v>0.17715549999999999</v>
      </c>
      <c r="R6806">
        <v>0.14746219999999999</v>
      </c>
      <c r="S6806">
        <v>3.0752410000000001</v>
      </c>
      <c r="T6806">
        <v>-0.39559460000000002</v>
      </c>
      <c r="U6806">
        <v>0.52969359999999999</v>
      </c>
      <c r="V6806">
        <v>0.1669088</v>
      </c>
      <c r="W6806">
        <v>0.19038269999999999</v>
      </c>
      <c r="X6806">
        <v>0.96741710000000003</v>
      </c>
      <c r="Y6806">
        <v>0.14596139999999999</v>
      </c>
      <c r="Z6806">
        <v>-4.8580060000000001E-2</v>
      </c>
      <c r="AA6806">
        <v>0.9880968</v>
      </c>
      <c r="AB6806">
        <v>13</v>
      </c>
      <c r="AC6806">
        <v>0.67859999999998799</v>
      </c>
      <c r="AD6806">
        <v>-0.10309699999999999</v>
      </c>
      <c r="AE6806">
        <v>9.8500000000001295E-2</v>
      </c>
      <c r="AF6806">
        <v>0.117756243926954</v>
      </c>
      <c r="AG6806">
        <v>-0.10309699999999999</v>
      </c>
      <c r="AH6806">
        <v>0.66013284967623598</v>
      </c>
      <c r="AI6806">
        <v>98.740731025587095</v>
      </c>
      <c r="AJ6806">
        <v>79.885810920875102</v>
      </c>
      <c r="AK6806">
        <v>0.67843268171164295</v>
      </c>
      <c r="AL6806">
        <v>79.024880837948601</v>
      </c>
      <c r="AM6806">
        <v>80.211108290290099</v>
      </c>
      <c r="AN6806">
        <v>0.99999998267457002</v>
      </c>
    </row>
    <row r="6807" spans="1:40" x14ac:dyDescent="0.25">
      <c r="A6807" t="str">
        <f>"20190312172843096"</f>
        <v>20190312172843096</v>
      </c>
      <c r="B6807" t="str">
        <f>"1552382923086448"</f>
        <v>1552382923086448</v>
      </c>
      <c r="C6807" t="s">
        <v>40</v>
      </c>
      <c r="D6807">
        <v>3.5247809999999999</v>
      </c>
      <c r="E6807">
        <v>0.49316709999999903</v>
      </c>
      <c r="F6807" t="s">
        <v>44</v>
      </c>
      <c r="G6807">
        <v>-170.50069999999999</v>
      </c>
      <c r="H6807">
        <v>1.008435</v>
      </c>
      <c r="I6807">
        <v>136.11850000000001</v>
      </c>
      <c r="J6807">
        <v>-171.1679</v>
      </c>
      <c r="K6807">
        <v>1.1103449999999999</v>
      </c>
      <c r="L6807">
        <v>136.02289999999999</v>
      </c>
      <c r="M6807">
        <v>0.94932850000000002</v>
      </c>
      <c r="N6807">
        <v>0</v>
      </c>
      <c r="O6807">
        <v>0.31398500000000001</v>
      </c>
      <c r="P6807">
        <v>0.97369439999999996</v>
      </c>
      <c r="Q6807">
        <v>0.17611559999999901</v>
      </c>
      <c r="R6807">
        <v>0.14457729999999999</v>
      </c>
      <c r="S6807">
        <v>3.0762019999999999</v>
      </c>
      <c r="T6807">
        <v>-0.39820430000000001</v>
      </c>
      <c r="U6807">
        <v>0.52333069999999904</v>
      </c>
      <c r="V6807">
        <v>0.16863449999999999</v>
      </c>
      <c r="W6807">
        <v>0.18929940000000001</v>
      </c>
      <c r="X6807">
        <v>0.96733040000000003</v>
      </c>
      <c r="Y6807">
        <v>0.14671609999999999</v>
      </c>
      <c r="Z6807">
        <v>-4.8798840000000003E-2</v>
      </c>
      <c r="AA6807">
        <v>0.98797420000000002</v>
      </c>
      <c r="AB6807">
        <v>13</v>
      </c>
      <c r="AC6807">
        <v>0.66720000000000801</v>
      </c>
      <c r="AD6807">
        <v>-0.10191</v>
      </c>
      <c r="AE6807">
        <v>9.5600000000018698E-2</v>
      </c>
      <c r="AF6807">
        <v>0.11609221319070701</v>
      </c>
      <c r="AG6807">
        <v>-0.10191</v>
      </c>
      <c r="AH6807">
        <v>0.64864294780245602</v>
      </c>
      <c r="AI6807">
        <v>98.7914364148061</v>
      </c>
      <c r="AJ6807">
        <v>79.852806695813698</v>
      </c>
      <c r="AK6807">
        <v>0.66678386587962402</v>
      </c>
      <c r="AL6807">
        <v>79.088098964446999</v>
      </c>
      <c r="AM6807">
        <v>80.111018187591995</v>
      </c>
      <c r="AN6807">
        <v>0.999999980097384</v>
      </c>
    </row>
    <row r="6808" spans="1:40" x14ac:dyDescent="0.25">
      <c r="A6808" t="str">
        <f>"20190312172843118"</f>
        <v>20190312172843118</v>
      </c>
      <c r="B6808" t="str">
        <f>"1552382923106944"</f>
        <v>1552382923106944</v>
      </c>
      <c r="C6808" t="s">
        <v>40</v>
      </c>
      <c r="D6808">
        <v>3.4938090000000002</v>
      </c>
      <c r="E6808">
        <v>0.49334539999999999</v>
      </c>
      <c r="F6808" t="s">
        <v>44</v>
      </c>
      <c r="G6808">
        <v>-170.39189999999999</v>
      </c>
      <c r="H6808">
        <v>1.0088809999999999</v>
      </c>
      <c r="I6808">
        <v>136.1525</v>
      </c>
      <c r="J6808">
        <v>-171.04759999999999</v>
      </c>
      <c r="K6808">
        <v>1.1103209999999999</v>
      </c>
      <c r="L6808">
        <v>136.06120000000001</v>
      </c>
      <c r="M6808">
        <v>0.94971450000000002</v>
      </c>
      <c r="N6808">
        <v>0</v>
      </c>
      <c r="O6808">
        <v>0.312816599999999</v>
      </c>
      <c r="P6808">
        <v>0.97424409999999895</v>
      </c>
      <c r="Q6808">
        <v>0.17471809999999999</v>
      </c>
      <c r="R6808">
        <v>0.1425555</v>
      </c>
      <c r="S6808">
        <v>3.0774539999999999</v>
      </c>
      <c r="T6808">
        <v>-0.40239550000000002</v>
      </c>
      <c r="U6808">
        <v>0.51435850000000005</v>
      </c>
      <c r="V6808">
        <v>0.1695391</v>
      </c>
      <c r="W6808">
        <v>0.18786600000000001</v>
      </c>
      <c r="X6808">
        <v>0.96745179999999997</v>
      </c>
      <c r="Y6808">
        <v>0.14828629999999901</v>
      </c>
      <c r="Z6808">
        <v>-4.9263250000000001E-2</v>
      </c>
      <c r="AA6808">
        <v>0.9877167</v>
      </c>
      <c r="AB6808">
        <v>13</v>
      </c>
      <c r="AC6808">
        <v>0.65569999999999595</v>
      </c>
      <c r="AD6808">
        <v>-0.101439999999999</v>
      </c>
      <c r="AE6808">
        <v>9.1299999999989695E-2</v>
      </c>
      <c r="AF6808">
        <v>0.115699608360534</v>
      </c>
      <c r="AG6808">
        <v>-0.101439999999999</v>
      </c>
      <c r="AH6808">
        <v>0.63640739753617903</v>
      </c>
      <c r="AI6808">
        <v>98.912769886182403</v>
      </c>
      <c r="AJ6808">
        <v>79.696097145449201</v>
      </c>
      <c r="AK6808">
        <v>0.65474487291887395</v>
      </c>
      <c r="AL6808">
        <v>79.171728167908398</v>
      </c>
      <c r="AM6808">
        <v>80.060249099956707</v>
      </c>
      <c r="AN6808">
        <v>1.00000006285402</v>
      </c>
    </row>
    <row r="6809" spans="1:40" x14ac:dyDescent="0.25">
      <c r="A6809" t="str">
        <f>"20190312172843142"</f>
        <v>20190312172843142</v>
      </c>
      <c r="B6809" t="str">
        <f>"1552382923137200"</f>
        <v>1552382923137200</v>
      </c>
      <c r="C6809" t="s">
        <v>40</v>
      </c>
      <c r="D6809">
        <v>3.6088740000000001</v>
      </c>
      <c r="E6809">
        <v>0.49331960000000002</v>
      </c>
      <c r="F6809" t="s">
        <v>44</v>
      </c>
      <c r="G6809">
        <v>-170.28360000000001</v>
      </c>
      <c r="H6809">
        <v>1.009152</v>
      </c>
      <c r="I6809">
        <v>136.1866</v>
      </c>
      <c r="J6809">
        <v>-170.92400000000001</v>
      </c>
      <c r="K6809">
        <v>1.1103000000000001</v>
      </c>
      <c r="L6809">
        <v>136.1003</v>
      </c>
      <c r="M6809">
        <v>0.95010709999999998</v>
      </c>
      <c r="N6809">
        <v>0</v>
      </c>
      <c r="O6809">
        <v>0.3116235</v>
      </c>
      <c r="P6809">
        <v>0.97450289999999995</v>
      </c>
      <c r="Q6809">
        <v>0.174269799999999</v>
      </c>
      <c r="R6809">
        <v>0.1413295</v>
      </c>
      <c r="S6809">
        <v>3.0783839999999998</v>
      </c>
      <c r="T6809">
        <v>-0.40764590000000001</v>
      </c>
      <c r="U6809">
        <v>0.50599669999999997</v>
      </c>
      <c r="V6809">
        <v>0.16957259999999999</v>
      </c>
      <c r="W6809">
        <v>0.18738589999999999</v>
      </c>
      <c r="X6809">
        <v>0.96753900000000004</v>
      </c>
      <c r="Y6809">
        <v>0.1496055</v>
      </c>
      <c r="Z6809">
        <v>-4.9839179999999997E-2</v>
      </c>
      <c r="AA6809">
        <v>0.9874889</v>
      </c>
      <c r="AB6809">
        <v>13</v>
      </c>
      <c r="AC6809">
        <v>0.64039999999999897</v>
      </c>
      <c r="AD6809">
        <v>-0.101148</v>
      </c>
      <c r="AE6809">
        <v>8.6299999999994201E-2</v>
      </c>
      <c r="AF6809">
        <v>0.114768438592844</v>
      </c>
      <c r="AG6809">
        <v>-0.101148</v>
      </c>
      <c r="AH6809">
        <v>0.62020513288729495</v>
      </c>
      <c r="AI6809">
        <v>99.110687745063302</v>
      </c>
      <c r="AJ6809">
        <v>79.516058454010903</v>
      </c>
      <c r="AK6809">
        <v>0.63879348717781004</v>
      </c>
      <c r="AL6809">
        <v>79.199732858355702</v>
      </c>
      <c r="AM6809">
        <v>80.059202365860102</v>
      </c>
      <c r="AN6809">
        <v>1.00000002935528</v>
      </c>
    </row>
    <row r="6810" spans="1:40" x14ac:dyDescent="0.25">
      <c r="A6810" t="str">
        <f>"20190312172843163"</f>
        <v>20190312172843163</v>
      </c>
      <c r="B6810" t="str">
        <f>"1552382923156723"</f>
        <v>1552382923156723</v>
      </c>
      <c r="C6810" t="s">
        <v>40</v>
      </c>
      <c r="D6810">
        <v>3.940572</v>
      </c>
      <c r="E6810">
        <v>0.49324380000000001</v>
      </c>
      <c r="F6810" t="s">
        <v>44</v>
      </c>
      <c r="G6810">
        <v>-170.1756</v>
      </c>
      <c r="H6810">
        <v>1.0102469999999999</v>
      </c>
      <c r="I6810">
        <v>136.22219999999999</v>
      </c>
      <c r="J6810">
        <v>-170.80699999999999</v>
      </c>
      <c r="K6810">
        <v>1.1102810000000001</v>
      </c>
      <c r="L6810">
        <v>136.13720000000001</v>
      </c>
      <c r="M6810">
        <v>0.95047760000000003</v>
      </c>
      <c r="N6810">
        <v>0</v>
      </c>
      <c r="O6810">
        <v>0.31049270000000001</v>
      </c>
      <c r="P6810">
        <v>0.97459980000000002</v>
      </c>
      <c r="Q6810">
        <v>0.17483570000000001</v>
      </c>
      <c r="R6810">
        <v>0.13995629999999901</v>
      </c>
      <c r="S6810">
        <v>3.079361</v>
      </c>
      <c r="T6810">
        <v>-0.41166999999999998</v>
      </c>
      <c r="U6810">
        <v>0.50164790000000004</v>
      </c>
      <c r="V6810">
        <v>0.16975950000000001</v>
      </c>
      <c r="W6810">
        <v>0.1879227</v>
      </c>
      <c r="X6810">
        <v>0.96740210000000004</v>
      </c>
      <c r="Y6810">
        <v>0.14977119999999999</v>
      </c>
      <c r="Z6810">
        <v>-5.0188330000000003E-2</v>
      </c>
      <c r="AA6810">
        <v>0.98744609999999999</v>
      </c>
      <c r="AB6810">
        <v>13</v>
      </c>
      <c r="AC6810">
        <v>0.63140000000001295</v>
      </c>
      <c r="AD6810">
        <v>-0.100033999999999</v>
      </c>
      <c r="AE6810">
        <v>8.4999999999979495E-2</v>
      </c>
      <c r="AF6810">
        <v>0.112491885050037</v>
      </c>
      <c r="AG6810">
        <v>-0.100033999999999</v>
      </c>
      <c r="AH6810">
        <v>0.61150588958749896</v>
      </c>
      <c r="AI6810">
        <v>99.1398062152319</v>
      </c>
      <c r="AJ6810">
        <v>79.576475190249795</v>
      </c>
      <c r="AK6810">
        <v>0.62976239833631698</v>
      </c>
      <c r="AL6810">
        <v>79.168420183442905</v>
      </c>
      <c r="AM6810">
        <v>80.047084586185704</v>
      </c>
      <c r="AN6810">
        <v>1.00000002604997</v>
      </c>
    </row>
    <row r="6811" spans="1:40" x14ac:dyDescent="0.25">
      <c r="A6811" t="str">
        <f>"20190312172843186"</f>
        <v>20190312172843186</v>
      </c>
      <c r="B6811" t="str">
        <f>"1552382923176240"</f>
        <v>1552382923176240</v>
      </c>
      <c r="C6811" t="s">
        <v>40</v>
      </c>
      <c r="D6811">
        <v>3.581712</v>
      </c>
      <c r="E6811">
        <v>0.49329610000000002</v>
      </c>
      <c r="F6811" t="s">
        <v>44</v>
      </c>
      <c r="G6811">
        <v>-170.06729999999999</v>
      </c>
      <c r="H6811">
        <v>1.01186</v>
      </c>
      <c r="I6811">
        <v>136.2568</v>
      </c>
      <c r="J6811">
        <v>-170.6823</v>
      </c>
      <c r="K6811">
        <v>1.110263</v>
      </c>
      <c r="L6811">
        <v>136.1764</v>
      </c>
      <c r="M6811">
        <v>0.95087270000000002</v>
      </c>
      <c r="N6811">
        <v>0</v>
      </c>
      <c r="O6811">
        <v>0.30928159999999999</v>
      </c>
      <c r="P6811">
        <v>0.97474919999999998</v>
      </c>
      <c r="Q6811">
        <v>0.1754841</v>
      </c>
      <c r="R6811">
        <v>0.13809260000000001</v>
      </c>
      <c r="S6811">
        <v>3.0801699999999999</v>
      </c>
      <c r="T6811">
        <v>-0.4098424</v>
      </c>
      <c r="U6811">
        <v>0.49818420000000002</v>
      </c>
      <c r="V6811">
        <v>0.17034929999999901</v>
      </c>
      <c r="W6811">
        <v>0.18854080000000001</v>
      </c>
      <c r="X6811">
        <v>0.96717810000000004</v>
      </c>
      <c r="Y6811">
        <v>0.14968049999999999</v>
      </c>
      <c r="Z6811">
        <v>-4.9803569999999998E-2</v>
      </c>
      <c r="AA6811">
        <v>0.98747929999999995</v>
      </c>
      <c r="AB6811">
        <v>13</v>
      </c>
      <c r="AC6811">
        <v>0.61500000000000898</v>
      </c>
      <c r="AD6811">
        <v>-9.8403000000000004E-2</v>
      </c>
      <c r="AE6811">
        <v>8.0399999999997293E-2</v>
      </c>
      <c r="AF6811">
        <v>0.110975202817506</v>
      </c>
      <c r="AG6811">
        <v>-9.8403000000000004E-2</v>
      </c>
      <c r="AH6811">
        <v>0.59473925920448301</v>
      </c>
      <c r="AI6811">
        <v>99.238170731458695</v>
      </c>
      <c r="AJ6811">
        <v>79.430460326590904</v>
      </c>
      <c r="AK6811">
        <v>0.61295467408976001</v>
      </c>
      <c r="AL6811">
        <v>79.132360775835593</v>
      </c>
      <c r="AM6811">
        <v>80.0109335000285</v>
      </c>
      <c r="AN6811">
        <v>0.99999999719736998</v>
      </c>
    </row>
    <row r="6812" spans="1:40" x14ac:dyDescent="0.25">
      <c r="A6812" t="str">
        <f>"20190312172843209"</f>
        <v>20190312172843209</v>
      </c>
      <c r="B6812" t="str">
        <f>"1552382923196736"</f>
        <v>1552382923196736</v>
      </c>
      <c r="C6812" t="s">
        <v>40</v>
      </c>
      <c r="D6812">
        <v>3.5717430000000001</v>
      </c>
      <c r="E6812">
        <v>0.49329529999999999</v>
      </c>
      <c r="F6812" t="s">
        <v>44</v>
      </c>
      <c r="G6812">
        <v>-169.9589</v>
      </c>
      <c r="H6812">
        <v>1.0146820000000001</v>
      </c>
      <c r="I6812">
        <v>136.29230000000001</v>
      </c>
      <c r="J6812">
        <v>-170.5633</v>
      </c>
      <c r="K6812">
        <v>1.110242</v>
      </c>
      <c r="L6812">
        <v>136.21360000000001</v>
      </c>
      <c r="M6812">
        <v>0.95125000000000004</v>
      </c>
      <c r="N6812">
        <v>0</v>
      </c>
      <c r="O6812">
        <v>0.3081198</v>
      </c>
      <c r="P6812">
        <v>0.97497180000000006</v>
      </c>
      <c r="Q6812">
        <v>0.17549670000000001</v>
      </c>
      <c r="R6812">
        <v>0.13649530000000001</v>
      </c>
      <c r="S6812">
        <v>3.0810390000000001</v>
      </c>
      <c r="T6812">
        <v>-0.40706009999999998</v>
      </c>
      <c r="U6812">
        <v>0.49383539999999998</v>
      </c>
      <c r="V6812">
        <v>0.1707592</v>
      </c>
      <c r="W6812">
        <v>0.18852959999999999</v>
      </c>
      <c r="X6812">
        <v>0.96710799999999997</v>
      </c>
      <c r="Y6812">
        <v>0.14993499999999901</v>
      </c>
      <c r="Z6812">
        <v>-4.933477E-2</v>
      </c>
      <c r="AA6812">
        <v>0.98746420000000001</v>
      </c>
      <c r="AB6812">
        <v>13</v>
      </c>
      <c r="AC6812">
        <v>0.60439999999999805</v>
      </c>
      <c r="AD6812">
        <v>-9.5560000000000006E-2</v>
      </c>
      <c r="AE6812">
        <v>7.8699999999997702E-2</v>
      </c>
      <c r="AF6812">
        <v>0.10870253992899601</v>
      </c>
      <c r="AG6812">
        <v>-9.5560000000000006E-2</v>
      </c>
      <c r="AH6812">
        <v>0.58486354970628995</v>
      </c>
      <c r="AI6812">
        <v>99.125891938770906</v>
      </c>
      <c r="AJ6812">
        <v>79.471164316068496</v>
      </c>
      <c r="AK6812">
        <v>0.60250587346685403</v>
      </c>
      <c r="AL6812">
        <v>79.133014227432099</v>
      </c>
      <c r="AM6812">
        <v>79.986672222760404</v>
      </c>
      <c r="AN6812">
        <v>0.999999999062399</v>
      </c>
    </row>
    <row r="6813" spans="1:40" x14ac:dyDescent="0.25">
      <c r="A6813" t="str">
        <f>"20190312172843232"</f>
        <v>20190312172843232</v>
      </c>
      <c r="B6813" t="str">
        <f>"1552382923226991"</f>
        <v>1552382923226991</v>
      </c>
      <c r="C6813" t="s">
        <v>40</v>
      </c>
      <c r="D6813">
        <v>3.520308</v>
      </c>
      <c r="E6813">
        <v>0.49328719999999998</v>
      </c>
      <c r="F6813" t="s">
        <v>44</v>
      </c>
      <c r="G6813">
        <v>-169.74539999999999</v>
      </c>
      <c r="H6813">
        <v>1.0023770000000001</v>
      </c>
      <c r="I6813">
        <v>136.34350000000001</v>
      </c>
      <c r="J6813">
        <v>-170.43870000000001</v>
      </c>
      <c r="K6813">
        <v>1.110217</v>
      </c>
      <c r="L6813">
        <v>136.25229999999999</v>
      </c>
      <c r="M6813">
        <v>0.95164470000000001</v>
      </c>
      <c r="N6813">
        <v>0</v>
      </c>
      <c r="O6813">
        <v>0.3068997</v>
      </c>
      <c r="P6813">
        <v>0.97529129999999997</v>
      </c>
      <c r="Q6813">
        <v>0.1748595</v>
      </c>
      <c r="R6813">
        <v>0.135022799999999</v>
      </c>
      <c r="S6813">
        <v>3.0815579999999998</v>
      </c>
      <c r="T6813">
        <v>-0.40639019999999998</v>
      </c>
      <c r="U6813">
        <v>0.48994450000000001</v>
      </c>
      <c r="V6813">
        <v>0.17102100000000001</v>
      </c>
      <c r="W6813">
        <v>0.18787110000000001</v>
      </c>
      <c r="X6813">
        <v>0.96718979999999999</v>
      </c>
      <c r="Y6813">
        <v>0.14993139999999999</v>
      </c>
      <c r="Z6813">
        <v>-4.9101430000000001E-2</v>
      </c>
      <c r="AA6813">
        <v>0.98747640000000003</v>
      </c>
      <c r="AB6813">
        <v>13</v>
      </c>
      <c r="AC6813">
        <v>0.69330000000002101</v>
      </c>
      <c r="AD6813">
        <v>-0.10783999999999901</v>
      </c>
      <c r="AE6813">
        <v>9.1200000000014797E-2</v>
      </c>
      <c r="AF6813">
        <v>0.123068283923789</v>
      </c>
      <c r="AG6813">
        <v>-0.10783999999999901</v>
      </c>
      <c r="AH6813">
        <v>0.67184953338284903</v>
      </c>
      <c r="AI6813">
        <v>98.972089167418702</v>
      </c>
      <c r="AJ6813">
        <v>79.619733970645498</v>
      </c>
      <c r="AK6813">
        <v>0.69148901915699201</v>
      </c>
      <c r="AL6813">
        <v>79.171429106830999</v>
      </c>
      <c r="AM6813">
        <v>79.972462582708104</v>
      </c>
      <c r="AN6813">
        <v>0.99999992094012102</v>
      </c>
    </row>
    <row r="6814" spans="1:40" x14ac:dyDescent="0.25">
      <c r="A6814" t="str">
        <f>"20190312172843254"</f>
        <v>20190312172843254</v>
      </c>
      <c r="B6814" t="str">
        <f>"1552382923246511"</f>
        <v>1552382923246511</v>
      </c>
      <c r="C6814" t="s">
        <v>40</v>
      </c>
      <c r="D6814">
        <v>3.5989529999999998</v>
      </c>
      <c r="E6814">
        <v>0.493284</v>
      </c>
      <c r="F6814" t="s">
        <v>44</v>
      </c>
      <c r="G6814">
        <v>-169.63800000000001</v>
      </c>
      <c r="H6814">
        <v>1.0044770000000001</v>
      </c>
      <c r="I6814">
        <v>136.3784</v>
      </c>
      <c r="J6814">
        <v>-170.32329999999999</v>
      </c>
      <c r="K6814">
        <v>1.110196</v>
      </c>
      <c r="L6814">
        <v>136.28809999999999</v>
      </c>
      <c r="M6814">
        <v>0.95201020000000003</v>
      </c>
      <c r="N6814">
        <v>0</v>
      </c>
      <c r="O6814">
        <v>0.3057646</v>
      </c>
      <c r="P6814">
        <v>0.97563080000000002</v>
      </c>
      <c r="Q6814">
        <v>0.17404069999999999</v>
      </c>
      <c r="R6814">
        <v>0.1336212</v>
      </c>
      <c r="S6814">
        <v>3.0817869999999998</v>
      </c>
      <c r="T6814">
        <v>-0.40699550000000001</v>
      </c>
      <c r="U6814">
        <v>0.4851685</v>
      </c>
      <c r="V6814">
        <v>0.17130689999999901</v>
      </c>
      <c r="W6814">
        <v>0.18703649999999999</v>
      </c>
      <c r="X6814">
        <v>0.96730099999999997</v>
      </c>
      <c r="Y6814">
        <v>0.15025139999999901</v>
      </c>
      <c r="Z6814">
        <v>-4.9058459999999998E-2</v>
      </c>
      <c r="AA6814">
        <v>0.98742989999999997</v>
      </c>
      <c r="AB6814">
        <v>13</v>
      </c>
      <c r="AC6814">
        <v>0.68529999999998303</v>
      </c>
      <c r="AD6814">
        <v>-0.10571899999999899</v>
      </c>
      <c r="AE6814">
        <v>9.03000000000133E-2</v>
      </c>
      <c r="AF6814">
        <v>0.12076052596563901</v>
      </c>
      <c r="AG6814">
        <v>-0.10571899999999899</v>
      </c>
      <c r="AH6814">
        <v>0.66454090906299701</v>
      </c>
      <c r="AI6814">
        <v>98.895893742016895</v>
      </c>
      <c r="AJ6814">
        <v>79.700586332348806</v>
      </c>
      <c r="AK6814">
        <v>0.68364773927130995</v>
      </c>
      <c r="AL6814">
        <v>79.220111621444801</v>
      </c>
      <c r="AM6814">
        <v>79.957171485741</v>
      </c>
      <c r="AN6814">
        <v>0.99999996546042902</v>
      </c>
    </row>
    <row r="6815" spans="1:40" x14ac:dyDescent="0.25">
      <c r="A6815" t="str">
        <f>"20190312172843275"</f>
        <v>20190312172843275</v>
      </c>
      <c r="B6815" t="str">
        <f>"1552382923267008"</f>
        <v>1552382923267008</v>
      </c>
      <c r="C6815" t="s">
        <v>40</v>
      </c>
      <c r="D6815">
        <v>3.5438770000000002</v>
      </c>
      <c r="E6815">
        <v>0.49321229999999999</v>
      </c>
      <c r="F6815" t="s">
        <v>44</v>
      </c>
      <c r="G6815">
        <v>-169.53110000000001</v>
      </c>
      <c r="H6815">
        <v>1.0051349999999999</v>
      </c>
      <c r="I6815">
        <v>136.41159999999999</v>
      </c>
      <c r="J6815">
        <v>-170.20429999999999</v>
      </c>
      <c r="K6815">
        <v>1.1101700000000001</v>
      </c>
      <c r="L6815">
        <v>136.32470000000001</v>
      </c>
      <c r="M6815">
        <v>0.95238699999999998</v>
      </c>
      <c r="N6815">
        <v>0</v>
      </c>
      <c r="O6815">
        <v>0.30458940000000001</v>
      </c>
      <c r="P6815">
        <v>0.97596780000000005</v>
      </c>
      <c r="Q6815">
        <v>0.17358899999999999</v>
      </c>
      <c r="R6815">
        <v>0.1317344</v>
      </c>
      <c r="S6815">
        <v>3.081985</v>
      </c>
      <c r="T6815">
        <v>-0.40873219999999999</v>
      </c>
      <c r="U6815">
        <v>0.48074339999999999</v>
      </c>
      <c r="V6815">
        <v>0.1720129</v>
      </c>
      <c r="W6815">
        <v>0.18656800000000001</v>
      </c>
      <c r="X6815">
        <v>0.96726619999999996</v>
      </c>
      <c r="Y6815">
        <v>0.15040039999999999</v>
      </c>
      <c r="Z6815">
        <v>-4.9133530000000002E-2</v>
      </c>
      <c r="AA6815">
        <v>0.98740349999999999</v>
      </c>
      <c r="AB6815">
        <v>12</v>
      </c>
      <c r="AC6815">
        <v>0.67319999999998004</v>
      </c>
      <c r="AD6815">
        <v>-0.105035</v>
      </c>
      <c r="AE6815">
        <v>8.6899999999985697E-2</v>
      </c>
      <c r="AF6815">
        <v>0.11943854685996499</v>
      </c>
      <c r="AG6815">
        <v>-0.105035</v>
      </c>
      <c r="AH6815">
        <v>0.65206403329176299</v>
      </c>
      <c r="AI6815">
        <v>99.003369566870404</v>
      </c>
      <c r="AJ6815">
        <v>79.620198322948298</v>
      </c>
      <c r="AK6815">
        <v>0.67118210734028205</v>
      </c>
      <c r="AL6815">
        <v>79.247435813495102</v>
      </c>
      <c r="AM6815">
        <v>79.916274694264999</v>
      </c>
      <c r="AN6815">
        <v>0.99999997902642401</v>
      </c>
    </row>
    <row r="6816" spans="1:40" x14ac:dyDescent="0.25">
      <c r="A6816" t="str">
        <f>"20190312172843297"</f>
        <v>20190312172843297</v>
      </c>
      <c r="B6816" t="str">
        <f>"1552382923286528"</f>
        <v>1552382923286528</v>
      </c>
      <c r="C6816" t="s">
        <v>40</v>
      </c>
      <c r="D6816">
        <v>3.5170689999999998</v>
      </c>
      <c r="E6816">
        <v>0.4931431</v>
      </c>
      <c r="F6816" t="s">
        <v>44</v>
      </c>
      <c r="G6816">
        <v>-169.42420000000001</v>
      </c>
      <c r="H6816">
        <v>1.006432</v>
      </c>
      <c r="I6816">
        <v>136.4453</v>
      </c>
      <c r="J6816">
        <v>-170.08799999999999</v>
      </c>
      <c r="K6816">
        <v>1.110155</v>
      </c>
      <c r="L6816">
        <v>136.3604</v>
      </c>
      <c r="M6816">
        <v>0.95275529999999997</v>
      </c>
      <c r="N6816">
        <v>0</v>
      </c>
      <c r="O6816">
        <v>0.30343599999999998</v>
      </c>
      <c r="P6816">
        <v>0.9763809</v>
      </c>
      <c r="Q6816">
        <v>0.1725372</v>
      </c>
      <c r="R6816">
        <v>0.1300434</v>
      </c>
      <c r="S6816">
        <v>3.0823969999999998</v>
      </c>
      <c r="T6816">
        <v>-0.40990529999999997</v>
      </c>
      <c r="U6816">
        <v>0.47674559999999999</v>
      </c>
      <c r="V6816">
        <v>0.17257610000000001</v>
      </c>
      <c r="W6816">
        <v>0.185505</v>
      </c>
      <c r="X6816">
        <v>0.96737030000000002</v>
      </c>
      <c r="Y6816">
        <v>0.15046119999999999</v>
      </c>
      <c r="Z6816">
        <v>-4.9133240000000002E-2</v>
      </c>
      <c r="AA6816">
        <v>0.9873942</v>
      </c>
      <c r="AB6816">
        <v>12</v>
      </c>
      <c r="AC6816">
        <v>0.66379999999997996</v>
      </c>
      <c r="AD6816">
        <v>-0.103723</v>
      </c>
      <c r="AE6816">
        <v>8.4900000000004597E-2</v>
      </c>
      <c r="AF6816">
        <v>0.117715098502658</v>
      </c>
      <c r="AG6816">
        <v>-0.103723</v>
      </c>
      <c r="AH6816">
        <v>0.64281873650856902</v>
      </c>
      <c r="AI6816">
        <v>99.018600933628093</v>
      </c>
      <c r="AJ6816">
        <v>79.622784440432994</v>
      </c>
      <c r="AK6816">
        <v>0.66168816911817596</v>
      </c>
      <c r="AL6816">
        <v>79.309423112983694</v>
      </c>
      <c r="AM6816">
        <v>79.885005748984</v>
      </c>
      <c r="AN6816">
        <v>0.99999995631914895</v>
      </c>
    </row>
    <row r="6817" spans="1:40" x14ac:dyDescent="0.25">
      <c r="A6817" t="str">
        <f>"20190312172843320"</f>
        <v>20190312172843320</v>
      </c>
      <c r="B6817" t="str">
        <f>"1552382923316315"</f>
        <v>1552382923316315</v>
      </c>
      <c r="C6817" t="s">
        <v>40</v>
      </c>
      <c r="D6817">
        <v>3.4606219999999999</v>
      </c>
      <c r="E6817">
        <v>0.49304969999999998</v>
      </c>
      <c r="F6817" t="s">
        <v>44</v>
      </c>
      <c r="G6817">
        <v>-169.31790000000001</v>
      </c>
      <c r="H6817">
        <v>1.0069380000000001</v>
      </c>
      <c r="I6817">
        <v>136.4785</v>
      </c>
      <c r="J6817">
        <v>-169.96809999999999</v>
      </c>
      <c r="K6817">
        <v>1.1101449999999999</v>
      </c>
      <c r="L6817">
        <v>136.39699999999999</v>
      </c>
      <c r="M6817">
        <v>0.95313389999999998</v>
      </c>
      <c r="N6817">
        <v>0</v>
      </c>
      <c r="O6817">
        <v>0.30224459999999997</v>
      </c>
      <c r="P6817">
        <v>0.97672709999999996</v>
      </c>
      <c r="Q6817">
        <v>0.1718306</v>
      </c>
      <c r="R6817">
        <v>0.1283687</v>
      </c>
      <c r="S6817">
        <v>3.0825200000000001</v>
      </c>
      <c r="T6817">
        <v>-0.41311419999999999</v>
      </c>
      <c r="U6817">
        <v>0.47346500000000002</v>
      </c>
      <c r="V6817">
        <v>0.17306460000000001</v>
      </c>
      <c r="W6817">
        <v>0.18478800000000001</v>
      </c>
      <c r="X6817">
        <v>0.96742030000000001</v>
      </c>
      <c r="Y6817">
        <v>0.15020989999999901</v>
      </c>
      <c r="Z6817">
        <v>-4.9351060000000002E-2</v>
      </c>
      <c r="AA6817">
        <v>0.98742160000000001</v>
      </c>
      <c r="AB6817">
        <v>12</v>
      </c>
      <c r="AC6817">
        <v>0.65019999999998301</v>
      </c>
      <c r="AD6817">
        <v>-0.10320699999999999</v>
      </c>
      <c r="AE6817">
        <v>8.1499999999976994E-2</v>
      </c>
      <c r="AF6817">
        <v>0.115973147575653</v>
      </c>
      <c r="AG6817">
        <v>-0.10320699999999999</v>
      </c>
      <c r="AH6817">
        <v>0.62882143216719599</v>
      </c>
      <c r="AI6817">
        <v>99.168783739324596</v>
      </c>
      <c r="AJ6817">
        <v>79.550397207578996</v>
      </c>
      <c r="AK6817">
        <v>0.64770197572680599</v>
      </c>
      <c r="AL6817">
        <v>79.351227396486294</v>
      </c>
      <c r="AM6817">
        <v>79.857480890176504</v>
      </c>
      <c r="AN6817">
        <v>0.99999999878462498</v>
      </c>
    </row>
    <row r="6818" spans="1:40" x14ac:dyDescent="0.25">
      <c r="A6818" t="str">
        <f>"20190312172843342"</f>
        <v>20190312172843342</v>
      </c>
      <c r="B6818" t="str">
        <f>"1552382923336811"</f>
        <v>1552382923336811</v>
      </c>
      <c r="C6818" t="s">
        <v>40</v>
      </c>
      <c r="D6818">
        <v>3.5215879999999999</v>
      </c>
      <c r="E6818">
        <v>0.49297249999999998</v>
      </c>
      <c r="F6818" t="s">
        <v>44</v>
      </c>
      <c r="G6818">
        <v>-169.2115</v>
      </c>
      <c r="H6818">
        <v>1.0081709999999999</v>
      </c>
      <c r="I6818">
        <v>136.5121</v>
      </c>
      <c r="J6818">
        <v>-169.8502</v>
      </c>
      <c r="K6818">
        <v>1.110139</v>
      </c>
      <c r="L6818">
        <v>136.43289999999999</v>
      </c>
      <c r="M6818">
        <v>0.95350539999999995</v>
      </c>
      <c r="N6818">
        <v>0</v>
      </c>
      <c r="O6818">
        <v>0.30107119999999998</v>
      </c>
      <c r="P6818">
        <v>0.97709809999999997</v>
      </c>
      <c r="Q6818">
        <v>0.17081170000000001</v>
      </c>
      <c r="R6818">
        <v>0.126896699999999</v>
      </c>
      <c r="S6818">
        <v>3.082916</v>
      </c>
      <c r="T6818">
        <v>-0.4154661</v>
      </c>
      <c r="U6818">
        <v>0.46920780000000001</v>
      </c>
      <c r="V6818">
        <v>0.17338480000000001</v>
      </c>
      <c r="W6818">
        <v>0.18376210000000001</v>
      </c>
      <c r="X6818">
        <v>0.96755840000000004</v>
      </c>
      <c r="Y6818">
        <v>0.15030979999999999</v>
      </c>
      <c r="Z6818">
        <v>-4.9488070000000002E-2</v>
      </c>
      <c r="AA6818">
        <v>0.98739960000000004</v>
      </c>
      <c r="AB6818">
        <v>12</v>
      </c>
      <c r="AC6818">
        <v>0.63870000000000005</v>
      </c>
      <c r="AD6818">
        <v>-0.101968</v>
      </c>
      <c r="AE6818">
        <v>7.9200000000014301E-2</v>
      </c>
      <c r="AF6818">
        <v>0.113927470601459</v>
      </c>
      <c r="AG6818">
        <v>-0.101968</v>
      </c>
      <c r="AH6818">
        <v>0.617408695315531</v>
      </c>
      <c r="AI6818">
        <v>99.225023323760396</v>
      </c>
      <c r="AJ6818">
        <v>79.545087193608893</v>
      </c>
      <c r="AK6818">
        <v>0.63605851824566695</v>
      </c>
      <c r="AL6818">
        <v>79.411031609769594</v>
      </c>
      <c r="AM6818">
        <v>79.840526131820795</v>
      </c>
      <c r="AN6818">
        <v>1.000000027839</v>
      </c>
    </row>
    <row r="6819" spans="1:40" x14ac:dyDescent="0.25">
      <c r="A6819" t="str">
        <f>"20190312172843365"</f>
        <v>20190312172843365</v>
      </c>
      <c r="B6819" t="str">
        <f>"1552382923356332"</f>
        <v>1552382923356332</v>
      </c>
      <c r="C6819" t="s">
        <v>40</v>
      </c>
      <c r="D6819">
        <v>3.5458859999999999</v>
      </c>
      <c r="E6819">
        <v>0.49288090000000001</v>
      </c>
      <c r="F6819" t="s">
        <v>44</v>
      </c>
      <c r="G6819">
        <v>-169.10550000000001</v>
      </c>
      <c r="H6819">
        <v>1.008929</v>
      </c>
      <c r="I6819">
        <v>136.54499999999999</v>
      </c>
      <c r="J6819">
        <v>-169.7328</v>
      </c>
      <c r="K6819">
        <v>1.1101319999999999</v>
      </c>
      <c r="L6819">
        <v>136.4684</v>
      </c>
      <c r="M6819">
        <v>0.95387359999999999</v>
      </c>
      <c r="N6819">
        <v>0</v>
      </c>
      <c r="O6819">
        <v>0.29990289999999997</v>
      </c>
      <c r="P6819">
        <v>0.977549</v>
      </c>
      <c r="Q6819">
        <v>0.16966979999999901</v>
      </c>
      <c r="R6819">
        <v>0.1249416</v>
      </c>
      <c r="S6819">
        <v>3.0831909999999998</v>
      </c>
      <c r="T6819">
        <v>-0.41899920000000002</v>
      </c>
      <c r="U6819">
        <v>0.46498109999999998</v>
      </c>
      <c r="V6819">
        <v>0.17419509999999999</v>
      </c>
      <c r="W6819">
        <v>0.1826132</v>
      </c>
      <c r="X6819">
        <v>0.96763030000000005</v>
      </c>
      <c r="Y6819">
        <v>0.15037809999999999</v>
      </c>
      <c r="Z6819">
        <v>-4.9762760000000003E-2</v>
      </c>
      <c r="AA6819">
        <v>0.98737540000000001</v>
      </c>
      <c r="AB6819">
        <v>12</v>
      </c>
      <c r="AC6819">
        <v>0.62729999999999098</v>
      </c>
      <c r="AD6819">
        <v>-0.101202999999999</v>
      </c>
      <c r="AE6819">
        <v>7.6599999999984902E-2</v>
      </c>
      <c r="AF6819">
        <v>0.11219563080928301</v>
      </c>
      <c r="AG6819">
        <v>-0.101202999999999</v>
      </c>
      <c r="AH6819">
        <v>0.60585705558772396</v>
      </c>
      <c r="AI6819">
        <v>99.327461574521607</v>
      </c>
      <c r="AJ6819">
        <v>79.508533980388705</v>
      </c>
      <c r="AK6819">
        <v>0.624413868029146</v>
      </c>
      <c r="AL6819">
        <v>79.477991067410599</v>
      </c>
      <c r="AM6819">
        <v>79.794784794237799</v>
      </c>
      <c r="AN6819">
        <v>0.99999995557816901</v>
      </c>
    </row>
    <row r="6820" spans="1:40" x14ac:dyDescent="0.25">
      <c r="A6820" t="str">
        <f>"20190312172843387"</f>
        <v>20190312172843387</v>
      </c>
      <c r="B6820" t="str">
        <f>"1552382923376827"</f>
        <v>1552382923376827</v>
      </c>
      <c r="C6820" t="s">
        <v>40</v>
      </c>
      <c r="D6820">
        <v>3.490046</v>
      </c>
      <c r="E6820">
        <v>0.49286489999999999</v>
      </c>
      <c r="F6820" t="s">
        <v>44</v>
      </c>
      <c r="G6820">
        <v>-168.99959999999999</v>
      </c>
      <c r="H6820">
        <v>1.009717</v>
      </c>
      <c r="I6820">
        <v>136.57759999999999</v>
      </c>
      <c r="J6820">
        <v>-169.61160000000001</v>
      </c>
      <c r="K6820">
        <v>1.110125</v>
      </c>
      <c r="L6820">
        <v>136.50489999999999</v>
      </c>
      <c r="M6820">
        <v>0.95425300000000002</v>
      </c>
      <c r="N6820">
        <v>0</v>
      </c>
      <c r="O6820">
        <v>0.29869400000000002</v>
      </c>
      <c r="P6820">
        <v>0.97796070000000002</v>
      </c>
      <c r="Q6820">
        <v>0.16904240000000001</v>
      </c>
      <c r="R6820">
        <v>0.12254660000000001</v>
      </c>
      <c r="S6820">
        <v>3.083466</v>
      </c>
      <c r="T6820">
        <v>-0.42223919999999998</v>
      </c>
      <c r="U6820">
        <v>0.45961000000000002</v>
      </c>
      <c r="V6820">
        <v>0.1753738</v>
      </c>
      <c r="W6820">
        <v>0.1819751</v>
      </c>
      <c r="X6820">
        <v>0.9675376</v>
      </c>
      <c r="Y6820">
        <v>0.15076600000000001</v>
      </c>
      <c r="Z6820">
        <v>-5.0018720000000003E-2</v>
      </c>
      <c r="AA6820">
        <v>0.98730329999999999</v>
      </c>
      <c r="AB6820">
        <v>12</v>
      </c>
      <c r="AC6820">
        <v>0.61200000000002297</v>
      </c>
      <c r="AD6820">
        <v>-0.100408</v>
      </c>
      <c r="AE6820">
        <v>7.2699999999997503E-2</v>
      </c>
      <c r="AF6820">
        <v>0.110503830054639</v>
      </c>
      <c r="AG6820">
        <v>-0.100408</v>
      </c>
      <c r="AH6820">
        <v>0.59011012559382103</v>
      </c>
      <c r="AI6820">
        <v>99.494517742424406</v>
      </c>
      <c r="AJ6820">
        <v>79.393647289915805</v>
      </c>
      <c r="AK6820">
        <v>0.60870585938456301</v>
      </c>
      <c r="AL6820">
        <v>79.515174567593306</v>
      </c>
      <c r="AM6820">
        <v>79.726233042583303</v>
      </c>
      <c r="AN6820">
        <v>0.99999995708010403</v>
      </c>
    </row>
    <row r="6821" spans="1:40" x14ac:dyDescent="0.25">
      <c r="A6821" t="str">
        <f>"20190312172843410"</f>
        <v>20190312172843410</v>
      </c>
      <c r="B6821" t="str">
        <f>"1552382923407083"</f>
        <v>1552382923407083</v>
      </c>
      <c r="C6821" t="s">
        <v>40</v>
      </c>
      <c r="D6821">
        <v>3.564006</v>
      </c>
      <c r="E6821">
        <v>0.51232929999999999</v>
      </c>
      <c r="F6821" t="s">
        <v>44</v>
      </c>
      <c r="G6821">
        <v>-168.89359999999999</v>
      </c>
      <c r="H6821">
        <v>1.011361</v>
      </c>
      <c r="I6821">
        <v>136.6105</v>
      </c>
      <c r="J6821">
        <v>-169.4948</v>
      </c>
      <c r="K6821">
        <v>1.1101049999999999</v>
      </c>
      <c r="L6821">
        <v>136.54</v>
      </c>
      <c r="M6821">
        <v>0.95462080000000005</v>
      </c>
      <c r="N6821">
        <v>0</v>
      </c>
      <c r="O6821">
        <v>0.29751699999999998</v>
      </c>
      <c r="P6821">
        <v>0.9783326</v>
      </c>
      <c r="Q6821">
        <v>0.1679629</v>
      </c>
      <c r="R6821">
        <v>0.12105489999999999</v>
      </c>
      <c r="S6821">
        <v>3.084076</v>
      </c>
      <c r="T6821">
        <v>-0.42422100000000001</v>
      </c>
      <c r="U6821">
        <v>0.4537659</v>
      </c>
      <c r="V6821">
        <v>0.17571349999999999</v>
      </c>
      <c r="W6821">
        <v>0.18088860000000001</v>
      </c>
      <c r="X6821">
        <v>0.96767970000000003</v>
      </c>
      <c r="Y6821">
        <v>0.1513736</v>
      </c>
      <c r="Z6821">
        <v>-5.0139789999999997E-2</v>
      </c>
      <c r="AA6821">
        <v>0.98720410000000003</v>
      </c>
      <c r="AB6821">
        <v>12</v>
      </c>
      <c r="AC6821">
        <v>0.60120000000000495</v>
      </c>
      <c r="AD6821">
        <v>-9.8743999999999901E-2</v>
      </c>
      <c r="AE6821">
        <v>7.0500000000009694E-2</v>
      </c>
      <c r="AF6821">
        <v>0.10868450756652299</v>
      </c>
      <c r="AG6821">
        <v>-9.8743999999999901E-2</v>
      </c>
      <c r="AH6821">
        <v>0.57952590189243103</v>
      </c>
      <c r="AI6821">
        <v>99.506986363690501</v>
      </c>
      <c r="AJ6821">
        <v>79.378109739932896</v>
      </c>
      <c r="AK6821">
        <v>0.597840255156186</v>
      </c>
      <c r="AL6821">
        <v>79.578477075013893</v>
      </c>
      <c r="AM6821">
        <v>79.708236946131294</v>
      </c>
      <c r="AN6821">
        <v>0.99999996074214903</v>
      </c>
    </row>
    <row r="6822" spans="1:40" x14ac:dyDescent="0.25">
      <c r="A6822" t="str">
        <f>"20190312172843432"</f>
        <v>20190312172843432</v>
      </c>
      <c r="B6822" t="str">
        <f>"1552382923426603"</f>
        <v>1552382923426603</v>
      </c>
      <c r="C6822" t="s">
        <v>40</v>
      </c>
      <c r="D6822">
        <v>3.537261</v>
      </c>
      <c r="E6822">
        <v>0.51182589999999994</v>
      </c>
      <c r="F6822" t="s">
        <v>41</v>
      </c>
      <c r="G6822">
        <v>-158.43610000000001</v>
      </c>
      <c r="H6822" s="1">
        <v>-1.0587529999999999E-6</v>
      </c>
      <c r="I6822">
        <v>137.5849</v>
      </c>
      <c r="J6822">
        <v>-169.3758</v>
      </c>
      <c r="K6822">
        <v>1.1100909999999999</v>
      </c>
      <c r="L6822">
        <v>136.57550000000001</v>
      </c>
      <c r="M6822">
        <v>0.95500189999999996</v>
      </c>
      <c r="N6822">
        <v>0</v>
      </c>
      <c r="O6822">
        <v>0.29629139999999998</v>
      </c>
      <c r="P6822">
        <v>0.97856010000000004</v>
      </c>
      <c r="Q6822">
        <v>0.16771449999999999</v>
      </c>
      <c r="R6822">
        <v>0.119549</v>
      </c>
      <c r="S6822">
        <v>3.0835270000000001</v>
      </c>
      <c r="T6822">
        <v>-0.30953190000000003</v>
      </c>
      <c r="U6822">
        <v>0.29136659999999998</v>
      </c>
      <c r="V6822">
        <v>0.17598</v>
      </c>
      <c r="W6822">
        <v>0.18062829999999999</v>
      </c>
      <c r="X6822">
        <v>0.96767990000000004</v>
      </c>
      <c r="Y6822">
        <v>0.20272229999999999</v>
      </c>
      <c r="Z6822">
        <v>-3.9288980000000001E-2</v>
      </c>
      <c r="AA6822">
        <v>0.97844779999999998</v>
      </c>
      <c r="AB6822">
        <v>12</v>
      </c>
      <c r="AC6822">
        <v>10.939699999999901</v>
      </c>
      <c r="AD6822">
        <v>-1.1100920587530001</v>
      </c>
      <c r="AE6822">
        <v>1.0093999999999901</v>
      </c>
      <c r="AF6822">
        <v>2.2545493342593002</v>
      </c>
      <c r="AG6822">
        <v>-1.1100920587530001</v>
      </c>
      <c r="AH6822">
        <v>10.638870291589299</v>
      </c>
      <c r="AI6822">
        <v>95.828346581386796</v>
      </c>
      <c r="AJ6822">
        <v>78.0351066735074</v>
      </c>
      <c r="AK6822">
        <v>10.931644805827601</v>
      </c>
      <c r="AL6822">
        <v>79.593641009218302</v>
      </c>
      <c r="AM6822">
        <v>79.692964123666798</v>
      </c>
      <c r="AN6822">
        <v>0.999999966012449</v>
      </c>
    </row>
    <row r="6823" spans="1:40" x14ac:dyDescent="0.25">
      <c r="A6823" t="str">
        <f>"20190312172843454"</f>
        <v>20190312172843454</v>
      </c>
      <c r="B6823" t="str">
        <f>"1552382923447099"</f>
        <v>1552382923447099</v>
      </c>
      <c r="C6823" t="s">
        <v>40</v>
      </c>
      <c r="D6823">
        <v>3.5469499999999998</v>
      </c>
      <c r="E6823">
        <v>0.51192590000000004</v>
      </c>
      <c r="F6823" t="s">
        <v>41</v>
      </c>
      <c r="G6823">
        <v>-158.27760000000001</v>
      </c>
      <c r="H6823" s="1">
        <v>-1.1033000000000001E-6</v>
      </c>
      <c r="I6823">
        <v>137.62010000000001</v>
      </c>
      <c r="J6823">
        <v>-169.25989999999999</v>
      </c>
      <c r="K6823">
        <v>1.1100719999999999</v>
      </c>
      <c r="L6823">
        <v>136.60980000000001</v>
      </c>
      <c r="M6823">
        <v>0.9553798</v>
      </c>
      <c r="N6823">
        <v>0</v>
      </c>
      <c r="O6823">
        <v>0.29507040000000001</v>
      </c>
      <c r="P6823">
        <v>0.97866149999999996</v>
      </c>
      <c r="Q6823">
        <v>0.16762969999999999</v>
      </c>
      <c r="R6823">
        <v>0.1188362</v>
      </c>
      <c r="S6823">
        <v>3.083145</v>
      </c>
      <c r="T6823">
        <v>-0.30839050000000001</v>
      </c>
      <c r="U6823">
        <v>0.29020689999999999</v>
      </c>
      <c r="V6823">
        <v>0.17545910000000001</v>
      </c>
      <c r="W6823">
        <v>0.18053169999999999</v>
      </c>
      <c r="X6823">
        <v>0.9677926</v>
      </c>
      <c r="Y6823">
        <v>0.20185139999999999</v>
      </c>
      <c r="Z6823">
        <v>-3.8990900000000002E-2</v>
      </c>
      <c r="AA6823">
        <v>0.9786397</v>
      </c>
      <c r="AB6823">
        <v>12</v>
      </c>
      <c r="AC6823">
        <v>10.982299999999899</v>
      </c>
      <c r="AD6823">
        <v>-1.1100731033</v>
      </c>
      <c r="AE6823">
        <v>1.0103</v>
      </c>
      <c r="AF6823">
        <v>2.2527170407084198</v>
      </c>
      <c r="AG6823">
        <v>-1.1100731033</v>
      </c>
      <c r="AH6823">
        <v>10.683132202907199</v>
      </c>
      <c r="AI6823">
        <v>95.805489951329207</v>
      </c>
      <c r="AJ6823">
        <v>78.092667294295097</v>
      </c>
      <c r="AK6823">
        <v>10.974347817750299</v>
      </c>
      <c r="AL6823">
        <v>79.599269213115505</v>
      </c>
      <c r="AM6823">
        <v>79.723993061734703</v>
      </c>
      <c r="AN6823">
        <v>1.0000000535462199</v>
      </c>
    </row>
    <row r="6824" spans="1:40" x14ac:dyDescent="0.25">
      <c r="A6824" t="str">
        <f>"20190312172843476"</f>
        <v>20190312172843476</v>
      </c>
      <c r="B6824" t="str">
        <f>"1552382923466620"</f>
        <v>1552382923466620</v>
      </c>
      <c r="C6824" t="s">
        <v>40</v>
      </c>
      <c r="D6824">
        <v>3.5571489999999999</v>
      </c>
      <c r="E6824">
        <v>0.51199910000000004</v>
      </c>
      <c r="F6824" t="s">
        <v>41</v>
      </c>
      <c r="G6824">
        <v>-158.07919999999999</v>
      </c>
      <c r="H6824" s="1">
        <v>-1.1635519999999999E-6</v>
      </c>
      <c r="I6824">
        <v>137.6474</v>
      </c>
      <c r="J6824">
        <v>-169.14420000000001</v>
      </c>
      <c r="K6824">
        <v>1.1100449999999999</v>
      </c>
      <c r="L6824">
        <v>136.6439</v>
      </c>
      <c r="M6824">
        <v>0.95576839999999996</v>
      </c>
      <c r="N6824">
        <v>0</v>
      </c>
      <c r="O6824">
        <v>0.29380990000000001</v>
      </c>
      <c r="P6824">
        <v>0.97875939999999995</v>
      </c>
      <c r="Q6824">
        <v>0.16794790000000001</v>
      </c>
      <c r="R6824">
        <v>0.1175754</v>
      </c>
      <c r="S6824">
        <v>3.0830989999999998</v>
      </c>
      <c r="T6824">
        <v>-0.306104299999999</v>
      </c>
      <c r="U6824">
        <v>0.28611760000000003</v>
      </c>
      <c r="V6824">
        <v>0.17542479999999999</v>
      </c>
      <c r="W6824">
        <v>0.1808342</v>
      </c>
      <c r="X6824">
        <v>0.96774230000000006</v>
      </c>
      <c r="Y6824">
        <v>0.20188600000000001</v>
      </c>
      <c r="Z6824">
        <v>-3.8589930000000001E-2</v>
      </c>
      <c r="AA6824">
        <v>0.97864850000000003</v>
      </c>
      <c r="AB6824">
        <v>12</v>
      </c>
      <c r="AC6824">
        <v>11.065</v>
      </c>
      <c r="AD6824">
        <v>-1.110046163552</v>
      </c>
      <c r="AE6824">
        <v>1.0035000000000001</v>
      </c>
      <c r="AF6824">
        <v>2.2694482730968502</v>
      </c>
      <c r="AG6824">
        <v>-1.110046163552</v>
      </c>
      <c r="AH6824">
        <v>10.763960778891899</v>
      </c>
      <c r="AI6824">
        <v>95.762084583216193</v>
      </c>
      <c r="AJ6824">
        <v>78.094261556347305</v>
      </c>
      <c r="AK6824">
        <v>11.056466415587</v>
      </c>
      <c r="AL6824">
        <v>79.581646788065001</v>
      </c>
      <c r="AM6824">
        <v>79.725436464041394</v>
      </c>
      <c r="AN6824">
        <v>1.00000001377698</v>
      </c>
    </row>
    <row r="6825" spans="1:40" x14ac:dyDescent="0.25">
      <c r="A6825" t="str">
        <f>"20190312172843498"</f>
        <v>20190312172843498</v>
      </c>
      <c r="B6825" t="str">
        <f>"1552382923487119"</f>
        <v>1552382923487119</v>
      </c>
      <c r="C6825" t="s">
        <v>40</v>
      </c>
      <c r="D6825">
        <v>3.5541770000000001</v>
      </c>
      <c r="E6825">
        <v>0.5121367</v>
      </c>
      <c r="F6825" t="s">
        <v>41</v>
      </c>
      <c r="G6825">
        <v>-157.93340000000001</v>
      </c>
      <c r="H6825" s="1">
        <v>-1.2144040000000001E-6</v>
      </c>
      <c r="I6825">
        <v>137.66829999999999</v>
      </c>
      <c r="J6825">
        <v>-169.02879999999999</v>
      </c>
      <c r="K6825">
        <v>1.1100159999999999</v>
      </c>
      <c r="L6825">
        <v>136.67769999999999</v>
      </c>
      <c r="M6825">
        <v>0.95617229999999998</v>
      </c>
      <c r="N6825">
        <v>0</v>
      </c>
      <c r="O6825">
        <v>0.2924929</v>
      </c>
      <c r="P6825">
        <v>0.97872040000000005</v>
      </c>
      <c r="Q6825">
        <v>0.16893629999999901</v>
      </c>
      <c r="R6825">
        <v>0.11647830000000001</v>
      </c>
      <c r="S6825">
        <v>3.0836489999999999</v>
      </c>
      <c r="T6825">
        <v>-0.30532819999999999</v>
      </c>
      <c r="U6825">
        <v>0.28178409999999998</v>
      </c>
      <c r="V6825">
        <v>0.17514260000000001</v>
      </c>
      <c r="W6825">
        <v>0.18180250000000001</v>
      </c>
      <c r="X6825">
        <v>0.96761200000000003</v>
      </c>
      <c r="Y6825">
        <v>0.20193510000000001</v>
      </c>
      <c r="Z6825">
        <v>-3.836767E-2</v>
      </c>
      <c r="AA6825">
        <v>0.97864709999999999</v>
      </c>
      <c r="AB6825">
        <v>12</v>
      </c>
      <c r="AC6825">
        <v>11.0953999999999</v>
      </c>
      <c r="AD6825">
        <v>-1.1100172144039999</v>
      </c>
      <c r="AE6825">
        <v>0.99060000000000004</v>
      </c>
      <c r="AF6825">
        <v>2.2757541015393801</v>
      </c>
      <c r="AG6825">
        <v>-1.1100172144039999</v>
      </c>
      <c r="AH6825">
        <v>10.7926864023449</v>
      </c>
      <c r="AI6825">
        <v>95.746675611170502</v>
      </c>
      <c r="AJ6825">
        <v>78.092993982755601</v>
      </c>
      <c r="AK6825">
        <v>11.085723915302401</v>
      </c>
      <c r="AL6825">
        <v>79.525232361967397</v>
      </c>
      <c r="AM6825">
        <v>79.740261500279004</v>
      </c>
      <c r="AN6825">
        <v>1.0000000309424999</v>
      </c>
    </row>
    <row r="6826" spans="1:40" x14ac:dyDescent="0.25">
      <c r="A6826" t="str">
        <f>"20190312172843521"</f>
        <v>20190312172843521</v>
      </c>
      <c r="B6826" t="str">
        <f>"1552382923516395"</f>
        <v>1552382923516395</v>
      </c>
      <c r="C6826" t="s">
        <v>40</v>
      </c>
      <c r="D6826">
        <v>3.5353349999999999</v>
      </c>
      <c r="E6826">
        <v>0.51200290000000004</v>
      </c>
      <c r="F6826" t="s">
        <v>41</v>
      </c>
      <c r="G6826">
        <v>-157.68969999999999</v>
      </c>
      <c r="H6826" s="1">
        <v>-1.3134669999999999E-6</v>
      </c>
      <c r="I6826">
        <v>137.69929999999999</v>
      </c>
      <c r="J6826">
        <v>-168.91050000000001</v>
      </c>
      <c r="K6826">
        <v>1.1099680000000001</v>
      </c>
      <c r="L6826">
        <v>136.71209999999999</v>
      </c>
      <c r="M6826">
        <v>0.95660900000000004</v>
      </c>
      <c r="N6826">
        <v>0</v>
      </c>
      <c r="O6826">
        <v>0.29106169999999998</v>
      </c>
      <c r="P6826">
        <v>0.97869410000000001</v>
      </c>
      <c r="Q6826">
        <v>0.16991049999999999</v>
      </c>
      <c r="R6826">
        <v>0.1152755</v>
      </c>
      <c r="S6826">
        <v>3.0842589999999999</v>
      </c>
      <c r="T6826">
        <v>-0.30192609999999998</v>
      </c>
      <c r="U6826">
        <v>0.27787779999999901</v>
      </c>
      <c r="V6826">
        <v>0.17485580000000001</v>
      </c>
      <c r="W6826">
        <v>0.18275240000000001</v>
      </c>
      <c r="X6826">
        <v>0.96748489999999998</v>
      </c>
      <c r="Y6826">
        <v>0.2017765</v>
      </c>
      <c r="Z6826">
        <v>-3.7796700000000003E-2</v>
      </c>
      <c r="AA6826">
        <v>0.97870199999999996</v>
      </c>
      <c r="AB6826">
        <v>12</v>
      </c>
      <c r="AC6826">
        <v>11.220800000000001</v>
      </c>
      <c r="AD6826">
        <v>-1.1099693134669999</v>
      </c>
      <c r="AE6826">
        <v>0.98720000000000097</v>
      </c>
      <c r="AF6826">
        <v>2.2994642415441899</v>
      </c>
      <c r="AG6826">
        <v>-1.1099693134669999</v>
      </c>
      <c r="AH6826">
        <v>10.9162606905199</v>
      </c>
      <c r="AI6826">
        <v>95.682051458809198</v>
      </c>
      <c r="AJ6826">
        <v>78.104787850089295</v>
      </c>
      <c r="AK6826">
        <v>11.2109016202253</v>
      </c>
      <c r="AL6826">
        <v>79.469879575081194</v>
      </c>
      <c r="AM6826">
        <v>79.755388888167502</v>
      </c>
      <c r="AN6826">
        <v>1.0000000111137</v>
      </c>
    </row>
    <row r="6827" spans="1:40" x14ac:dyDescent="0.25">
      <c r="A6827" t="str">
        <f>"20190312172843543"</f>
        <v>20190312172843543</v>
      </c>
      <c r="B6827" t="str">
        <f>"1552382923536891"</f>
        <v>1552382923536891</v>
      </c>
      <c r="C6827" t="s">
        <v>40</v>
      </c>
      <c r="D6827">
        <v>3.5212639999999999</v>
      </c>
      <c r="E6827">
        <v>0.51194519999999999</v>
      </c>
      <c r="F6827" t="s">
        <v>41</v>
      </c>
      <c r="G6827">
        <v>-157.39619999999999</v>
      </c>
      <c r="H6827" s="1">
        <v>-1.432045E-6</v>
      </c>
      <c r="I6827">
        <v>137.7406</v>
      </c>
      <c r="J6827">
        <v>-168.79339999999999</v>
      </c>
      <c r="K6827">
        <v>1.109909</v>
      </c>
      <c r="L6827">
        <v>136.7458</v>
      </c>
      <c r="M6827">
        <v>0.95706769999999997</v>
      </c>
      <c r="N6827">
        <v>0</v>
      </c>
      <c r="O6827">
        <v>0.28954960000000002</v>
      </c>
      <c r="P6827">
        <v>0.97868670000000002</v>
      </c>
      <c r="Q6827">
        <v>0.17056830000000001</v>
      </c>
      <c r="R6827">
        <v>0.1143624</v>
      </c>
      <c r="S6827">
        <v>3.0844879999999999</v>
      </c>
      <c r="T6827">
        <v>-0.29734149999999998</v>
      </c>
      <c r="U6827">
        <v>0.275528</v>
      </c>
      <c r="V6827">
        <v>0.1742204</v>
      </c>
      <c r="W6827">
        <v>0.1833862</v>
      </c>
      <c r="X6827">
        <v>0.9674796</v>
      </c>
      <c r="Y6827">
        <v>0.20105419999999999</v>
      </c>
      <c r="Z6827">
        <v>-3.7050779999999998E-2</v>
      </c>
      <c r="AA6827">
        <v>0.97887919999999995</v>
      </c>
      <c r="AB6827">
        <v>12</v>
      </c>
      <c r="AC6827">
        <v>11.3971999999999</v>
      </c>
      <c r="AD6827">
        <v>-1.109910432045</v>
      </c>
      <c r="AE6827">
        <v>0.99479999999999802</v>
      </c>
      <c r="AF6827">
        <v>2.3262829245110299</v>
      </c>
      <c r="AG6827">
        <v>-1.109910432045</v>
      </c>
      <c r="AH6827">
        <v>11.092553941127999</v>
      </c>
      <c r="AI6827">
        <v>95.593069559870898</v>
      </c>
      <c r="AJ6827">
        <v>78.155821910165997</v>
      </c>
      <c r="AK6827">
        <v>11.3880747428557</v>
      </c>
      <c r="AL6827">
        <v>79.432941254184797</v>
      </c>
      <c r="AM6827">
        <v>79.791777333426694</v>
      </c>
      <c r="AN6827">
        <v>1.0000000112713701</v>
      </c>
    </row>
    <row r="6828" spans="1:40" x14ac:dyDescent="0.25">
      <c r="A6828" t="str">
        <f>"20190312172843565"</f>
        <v>20190312172843565</v>
      </c>
      <c r="B6828" t="str">
        <f>"1552382923556411"</f>
        <v>1552382923556411</v>
      </c>
      <c r="C6828" t="s">
        <v>40</v>
      </c>
      <c r="D6828">
        <v>3.5336210000000001</v>
      </c>
      <c r="E6828">
        <v>0.51193299999999997</v>
      </c>
      <c r="F6828" t="s">
        <v>41</v>
      </c>
      <c r="G6828">
        <v>-157.1833</v>
      </c>
      <c r="H6828" s="1">
        <v>-1.517572E-6</v>
      </c>
      <c r="I6828">
        <v>137.77330000000001</v>
      </c>
      <c r="J6828">
        <v>-168.67910000000001</v>
      </c>
      <c r="K6828">
        <v>1.109839</v>
      </c>
      <c r="L6828">
        <v>136.7784</v>
      </c>
      <c r="M6828">
        <v>0.95754430000000001</v>
      </c>
      <c r="N6828">
        <v>0</v>
      </c>
      <c r="O6828">
        <v>0.2879699</v>
      </c>
      <c r="P6828">
        <v>0.97885750000000005</v>
      </c>
      <c r="Q6828">
        <v>0.170045899999999</v>
      </c>
      <c r="R6828">
        <v>0.1136776</v>
      </c>
      <c r="S6828">
        <v>3.0848239999999998</v>
      </c>
      <c r="T6828">
        <v>-0.29490270000000002</v>
      </c>
      <c r="U6828">
        <v>0.27304079999999997</v>
      </c>
      <c r="V6828">
        <v>0.17335039999999999</v>
      </c>
      <c r="W6828">
        <v>0.182842</v>
      </c>
      <c r="X6828">
        <v>0.96773889999999996</v>
      </c>
      <c r="Y6828">
        <v>0.20027710000000001</v>
      </c>
      <c r="Z6828">
        <v>-3.6565029999999998E-2</v>
      </c>
      <c r="AA6828">
        <v>0.9790567</v>
      </c>
      <c r="AB6828">
        <v>12</v>
      </c>
      <c r="AC6828">
        <v>11.495799999999999</v>
      </c>
      <c r="AD6828">
        <v>-1.1098405175720001</v>
      </c>
      <c r="AE6828">
        <v>0.99490000000000101</v>
      </c>
      <c r="AF6828">
        <v>2.3363838839192601</v>
      </c>
      <c r="AG6828">
        <v>-1.1098405175720001</v>
      </c>
      <c r="AH6828">
        <v>11.1917304687284</v>
      </c>
      <c r="AI6828">
        <v>95.544524869892498</v>
      </c>
      <c r="AJ6828">
        <v>78.208292439475898</v>
      </c>
      <c r="AK6828">
        <v>11.4867430767884</v>
      </c>
      <c r="AL6828">
        <v>79.464658501256395</v>
      </c>
      <c r="AM6828">
        <v>79.844354938303496</v>
      </c>
      <c r="AN6828">
        <v>1.00000006835868</v>
      </c>
    </row>
    <row r="6829" spans="1:40" x14ac:dyDescent="0.25">
      <c r="A6829" t="str">
        <f>"20190312172843587"</f>
        <v>20190312172843587</v>
      </c>
      <c r="B6829" t="str">
        <f>"1552382923576907"</f>
        <v>1552382923576907</v>
      </c>
      <c r="C6829" t="s">
        <v>40</v>
      </c>
      <c r="D6829">
        <v>3.552022</v>
      </c>
      <c r="E6829">
        <v>0.51194010000000001</v>
      </c>
      <c r="F6829" t="s">
        <v>41</v>
      </c>
      <c r="G6829">
        <v>-157.11080000000001</v>
      </c>
      <c r="H6829" s="1">
        <v>-1.5452729999999999E-6</v>
      </c>
      <c r="I6829">
        <v>137.79239999999999</v>
      </c>
      <c r="J6829">
        <v>-168.56360000000001</v>
      </c>
      <c r="K6829">
        <v>1.1097779999999999</v>
      </c>
      <c r="L6829">
        <v>136.8109</v>
      </c>
      <c r="M6829">
        <v>0.9580554</v>
      </c>
      <c r="N6829">
        <v>0</v>
      </c>
      <c r="O6829">
        <v>0.28626499999999999</v>
      </c>
      <c r="P6829">
        <v>0.97911879999999996</v>
      </c>
      <c r="Q6829">
        <v>0.1694966</v>
      </c>
      <c r="R6829">
        <v>0.11223859999999999</v>
      </c>
      <c r="S6829">
        <v>3.0848080000000002</v>
      </c>
      <c r="T6829">
        <v>-0.295950299999999</v>
      </c>
      <c r="U6829">
        <v>0.2704163</v>
      </c>
      <c r="V6829">
        <v>0.17310329999999999</v>
      </c>
      <c r="W6829">
        <v>0.18226899999999999</v>
      </c>
      <c r="X6829">
        <v>0.96789119999999995</v>
      </c>
      <c r="Y6829">
        <v>0.1993557</v>
      </c>
      <c r="Z6829">
        <v>-3.6496229999999998E-2</v>
      </c>
      <c r="AA6829">
        <v>0.97924730000000004</v>
      </c>
      <c r="AB6829">
        <v>12</v>
      </c>
      <c r="AC6829">
        <v>11.4527999999999</v>
      </c>
      <c r="AD6829">
        <v>-1.1097795452729999</v>
      </c>
      <c r="AE6829">
        <v>0.98149999999998205</v>
      </c>
      <c r="AF6829">
        <v>2.31682188329424</v>
      </c>
      <c r="AG6829">
        <v>-1.1097795452729999</v>
      </c>
      <c r="AH6829">
        <v>11.1504754320227</v>
      </c>
      <c r="AI6829">
        <v>95.565690419364202</v>
      </c>
      <c r="AJ6829">
        <v>78.262217034501802</v>
      </c>
      <c r="AK6829">
        <v>11.4425686206446</v>
      </c>
      <c r="AL6829">
        <v>79.498049997993206</v>
      </c>
      <c r="AM6829">
        <v>79.860093160354495</v>
      </c>
      <c r="AN6829">
        <v>1.00000005793466</v>
      </c>
    </row>
    <row r="6830" spans="1:40" x14ac:dyDescent="0.25">
      <c r="A6830" t="str">
        <f>"20190312172843612"</f>
        <v>20190312172843612</v>
      </c>
      <c r="B6830" t="str">
        <f>"1552382923606187"</f>
        <v>1552382923606187</v>
      </c>
      <c r="C6830" t="s">
        <v>40</v>
      </c>
      <c r="D6830">
        <v>3.5564239999999998</v>
      </c>
      <c r="E6830">
        <v>0.51181359999999998</v>
      </c>
      <c r="F6830" t="s">
        <v>41</v>
      </c>
      <c r="G6830">
        <v>-157.0523</v>
      </c>
      <c r="H6830" s="1">
        <v>-1.5688659999999901E-6</v>
      </c>
      <c r="I6830">
        <v>137.80080000000001</v>
      </c>
      <c r="J6830">
        <v>-168.44390000000001</v>
      </c>
      <c r="K6830">
        <v>1.1097170000000001</v>
      </c>
      <c r="L6830">
        <v>136.8442</v>
      </c>
      <c r="M6830">
        <v>0.95861969999999996</v>
      </c>
      <c r="N6830">
        <v>0</v>
      </c>
      <c r="O6830">
        <v>0.28436980000000001</v>
      </c>
      <c r="P6830">
        <v>0.97935130000000004</v>
      </c>
      <c r="Q6830">
        <v>0.169236</v>
      </c>
      <c r="R6830">
        <v>0.1105913</v>
      </c>
      <c r="S6830">
        <v>3.0850680000000001</v>
      </c>
      <c r="T6830">
        <v>-0.2974252</v>
      </c>
      <c r="U6830">
        <v>0.2653046</v>
      </c>
      <c r="V6830">
        <v>0.17285490000000001</v>
      </c>
      <c r="W6830">
        <v>0.18198629999999999</v>
      </c>
      <c r="X6830">
        <v>0.96798870000000004</v>
      </c>
      <c r="Y6830">
        <v>0.1990239</v>
      </c>
      <c r="Z6830">
        <v>-3.6487579999999999E-2</v>
      </c>
      <c r="AA6830">
        <v>0.97931520000000005</v>
      </c>
      <c r="AB6830">
        <v>12</v>
      </c>
      <c r="AC6830">
        <v>11.3916</v>
      </c>
      <c r="AD6830">
        <v>-1.1097185688660001</v>
      </c>
      <c r="AE6830">
        <v>0.956600000000008</v>
      </c>
      <c r="AF6830">
        <v>2.3009403533189401</v>
      </c>
      <c r="AG6830">
        <v>-1.1097185688660001</v>
      </c>
      <c r="AH6830">
        <v>11.088766319467499</v>
      </c>
      <c r="AI6830">
        <v>95.596467350211697</v>
      </c>
      <c r="AJ6830">
        <v>78.277373307447604</v>
      </c>
      <c r="AK6830">
        <v>11.3792152760801</v>
      </c>
      <c r="AL6830">
        <v>79.514522164448906</v>
      </c>
      <c r="AM6830">
        <v>79.875341250921906</v>
      </c>
      <c r="AN6830">
        <v>0.99999997658469397</v>
      </c>
    </row>
    <row r="6831" spans="1:40" x14ac:dyDescent="0.25">
      <c r="A6831" t="str">
        <f>"20190312172843634"</f>
        <v>20190312172843634</v>
      </c>
      <c r="B6831" t="str">
        <f>"1552382923626683"</f>
        <v>1552382923626683</v>
      </c>
      <c r="C6831" t="s">
        <v>40</v>
      </c>
      <c r="D6831">
        <v>3.5605030000000002</v>
      </c>
      <c r="E6831">
        <v>0.51175090000000001</v>
      </c>
      <c r="F6831" t="s">
        <v>41</v>
      </c>
      <c r="G6831">
        <v>-156.95439999999999</v>
      </c>
      <c r="H6831" s="1">
        <v>-1.6077789999999999E-6</v>
      </c>
      <c r="I6831">
        <v>137.81829999999999</v>
      </c>
      <c r="J6831">
        <v>-168.32579999999999</v>
      </c>
      <c r="K6831">
        <v>1.109672</v>
      </c>
      <c r="L6831">
        <v>136.8767</v>
      </c>
      <c r="M6831">
        <v>0.95920439999999996</v>
      </c>
      <c r="N6831">
        <v>0</v>
      </c>
      <c r="O6831">
        <v>0.282391</v>
      </c>
      <c r="P6831">
        <v>0.97970429999999997</v>
      </c>
      <c r="Q6831">
        <v>0.1683779</v>
      </c>
      <c r="R6831">
        <v>0.10875890000000001</v>
      </c>
      <c r="S6831">
        <v>3.0851899999999999</v>
      </c>
      <c r="T6831">
        <v>-0.2979832</v>
      </c>
      <c r="U6831">
        <v>0.26156620000000003</v>
      </c>
      <c r="V6831">
        <v>0.17272779999999999</v>
      </c>
      <c r="W6831">
        <v>0.18111269999999999</v>
      </c>
      <c r="X6831">
        <v>0.96817520000000001</v>
      </c>
      <c r="Y6831">
        <v>0.1981878</v>
      </c>
      <c r="Z6831">
        <v>-3.6334030000000003E-2</v>
      </c>
      <c r="AA6831">
        <v>0.97949039999999998</v>
      </c>
      <c r="AB6831">
        <v>12</v>
      </c>
      <c r="AC6831">
        <v>11.3713999999999</v>
      </c>
      <c r="AD6831">
        <v>-1.1096736077789999</v>
      </c>
      <c r="AE6831">
        <v>0.941599999999994</v>
      </c>
      <c r="AF6831">
        <v>2.2865782453033598</v>
      </c>
      <c r="AG6831">
        <v>-1.1096736077789999</v>
      </c>
      <c r="AH6831">
        <v>11.069718184159401</v>
      </c>
      <c r="AI6831">
        <v>95.606850395344694</v>
      </c>
      <c r="AJ6831">
        <v>78.329037837585403</v>
      </c>
      <c r="AK6831">
        <v>11.3577496126832</v>
      </c>
      <c r="AL6831">
        <v>79.565421447069397</v>
      </c>
      <c r="AM6831">
        <v>79.884540716926594</v>
      </c>
      <c r="AN6831">
        <v>0.99999996044458395</v>
      </c>
    </row>
    <row r="6832" spans="1:40" x14ac:dyDescent="0.25">
      <c r="A6832" t="str">
        <f>"20190312172843655"</f>
        <v>20190312172843655</v>
      </c>
      <c r="B6832" t="str">
        <f>"1552382923646203"</f>
        <v>1552382923646203</v>
      </c>
      <c r="C6832" t="s">
        <v>40</v>
      </c>
      <c r="D6832">
        <v>3.546497</v>
      </c>
      <c r="E6832">
        <v>0.51171429999999996</v>
      </c>
      <c r="F6832" t="s">
        <v>41</v>
      </c>
      <c r="G6832">
        <v>-156.9376</v>
      </c>
      <c r="H6832" s="1">
        <v>-1.613948E-6</v>
      </c>
      <c r="I6832">
        <v>137.82409999999999</v>
      </c>
      <c r="J6832">
        <v>-168.2133</v>
      </c>
      <c r="K6832">
        <v>1.1096429999999999</v>
      </c>
      <c r="L6832">
        <v>136.90729999999999</v>
      </c>
      <c r="M6832">
        <v>0.95978050000000004</v>
      </c>
      <c r="N6832">
        <v>0</v>
      </c>
      <c r="O6832">
        <v>0.28042709999999998</v>
      </c>
      <c r="P6832">
        <v>0.98001190000000005</v>
      </c>
      <c r="Q6832">
        <v>0.1675519</v>
      </c>
      <c r="R6832">
        <v>0.107254</v>
      </c>
      <c r="S6832">
        <v>3.0853419999999998</v>
      </c>
      <c r="T6832">
        <v>-0.30063810000000002</v>
      </c>
      <c r="U6832">
        <v>0.25666810000000001</v>
      </c>
      <c r="V6832">
        <v>0.1722812</v>
      </c>
      <c r="W6832">
        <v>0.1802803</v>
      </c>
      <c r="X6832">
        <v>0.96841010000000005</v>
      </c>
      <c r="Y6832">
        <v>0.19770219999999999</v>
      </c>
      <c r="Z6832">
        <v>-3.6451369999999997E-2</v>
      </c>
      <c r="AA6832">
        <v>0.97958420000000002</v>
      </c>
      <c r="AB6832">
        <v>12</v>
      </c>
      <c r="AC6832">
        <v>11.275700000000001</v>
      </c>
      <c r="AD6832">
        <v>-1.1096446139479901</v>
      </c>
      <c r="AE6832">
        <v>0.91679999999999495</v>
      </c>
      <c r="AF6832">
        <v>2.2605441827956598</v>
      </c>
      <c r="AG6832">
        <v>-1.1096446139479901</v>
      </c>
      <c r="AH6832">
        <v>10.974713625438699</v>
      </c>
      <c r="AI6832">
        <v>95.655576281561494</v>
      </c>
      <c r="AJ6832">
        <v>78.361135718776794</v>
      </c>
      <c r="AK6832">
        <v>11.259916089031201</v>
      </c>
      <c r="AL6832">
        <v>79.613912672757095</v>
      </c>
      <c r="AM6832">
        <v>79.912554053133704</v>
      </c>
      <c r="AN6832">
        <v>0.99999996011176895</v>
      </c>
    </row>
    <row r="6833" spans="1:40" x14ac:dyDescent="0.25">
      <c r="A6833" t="str">
        <f>"20190312172843677"</f>
        <v>20190312172843677</v>
      </c>
      <c r="B6833" t="str">
        <f>"1552382923666699"</f>
        <v>1552382923666699</v>
      </c>
      <c r="C6833" t="s">
        <v>40</v>
      </c>
      <c r="D6833">
        <v>3.5554459999999999</v>
      </c>
      <c r="E6833">
        <v>0.51168359999999902</v>
      </c>
      <c r="F6833" t="s">
        <v>41</v>
      </c>
      <c r="G6833">
        <v>-156.9265</v>
      </c>
      <c r="H6833" s="1">
        <v>-1.6176490000000001E-6</v>
      </c>
      <c r="I6833">
        <v>137.83000000000001</v>
      </c>
      <c r="J6833">
        <v>-168.09899999999999</v>
      </c>
      <c r="K6833">
        <v>1.1096299999999999</v>
      </c>
      <c r="L6833">
        <v>136.93809999999999</v>
      </c>
      <c r="M6833">
        <v>0.96038129999999999</v>
      </c>
      <c r="N6833">
        <v>0</v>
      </c>
      <c r="O6833">
        <v>0.278362099999999</v>
      </c>
      <c r="P6833">
        <v>0.9802284</v>
      </c>
      <c r="Q6833">
        <v>0.16717599999999999</v>
      </c>
      <c r="R6833">
        <v>0.1058521</v>
      </c>
      <c r="S6833">
        <v>3.0854339999999998</v>
      </c>
      <c r="T6833">
        <v>-0.30333890000000002</v>
      </c>
      <c r="U6833">
        <v>0.25224299999999999</v>
      </c>
      <c r="V6833">
        <v>0.1716039</v>
      </c>
      <c r="W6833">
        <v>0.1799036</v>
      </c>
      <c r="X6833">
        <v>0.96860049999999998</v>
      </c>
      <c r="Y6833">
        <v>0.1969651</v>
      </c>
      <c r="Z6833">
        <v>-3.6548879999999999E-2</v>
      </c>
      <c r="AA6833">
        <v>0.97972899999999996</v>
      </c>
      <c r="AB6833">
        <v>12</v>
      </c>
      <c r="AC6833">
        <v>11.172499999999999</v>
      </c>
      <c r="AD6833">
        <v>-1.109631617649</v>
      </c>
      <c r="AE6833">
        <v>0.89190000000002101</v>
      </c>
      <c r="AF6833">
        <v>2.2317669696900002</v>
      </c>
      <c r="AG6833">
        <v>-1.109631617649</v>
      </c>
      <c r="AH6833">
        <v>10.872563251626801</v>
      </c>
      <c r="AI6833">
        <v>95.709092156359006</v>
      </c>
      <c r="AJ6833">
        <v>78.400251549446494</v>
      </c>
      <c r="AK6833">
        <v>11.1545819193061</v>
      </c>
      <c r="AL6833">
        <v>79.635855863359495</v>
      </c>
      <c r="AM6833">
        <v>79.953336742239998</v>
      </c>
      <c r="AN6833">
        <v>1.0000000661941999</v>
      </c>
    </row>
    <row r="6834" spans="1:40" x14ac:dyDescent="0.25">
      <c r="A6834" t="str">
        <f>"20190312172843699"</f>
        <v>20190312172843699</v>
      </c>
      <c r="B6834" t="str">
        <f>"1552382923696955"</f>
        <v>1552382923696955</v>
      </c>
      <c r="C6834" t="s">
        <v>40</v>
      </c>
      <c r="D6834">
        <v>3.5534140000000001</v>
      </c>
      <c r="E6834">
        <v>0.51161219999999996</v>
      </c>
      <c r="F6834" t="s">
        <v>44</v>
      </c>
      <c r="G6834">
        <v>-167.2944</v>
      </c>
      <c r="H6834">
        <v>1.030162</v>
      </c>
      <c r="I6834">
        <v>137.0025</v>
      </c>
      <c r="J6834">
        <v>-167.98339999999999</v>
      </c>
      <c r="K6834">
        <v>1.1096280000000001</v>
      </c>
      <c r="L6834">
        <v>136.96879999999999</v>
      </c>
      <c r="M6834">
        <v>0.96100269999999999</v>
      </c>
      <c r="N6834">
        <v>0</v>
      </c>
      <c r="O6834">
        <v>0.27620919999999999</v>
      </c>
      <c r="P6834">
        <v>0.98035830000000002</v>
      </c>
      <c r="Q6834">
        <v>0.16722819999999999</v>
      </c>
      <c r="R6834">
        <v>0.104559</v>
      </c>
      <c r="S6834">
        <v>3.0858310000000002</v>
      </c>
      <c r="T6834">
        <v>-0.30473460000000002</v>
      </c>
      <c r="U6834">
        <v>0.24700929999999999</v>
      </c>
      <c r="V6834">
        <v>0.17070759999999999</v>
      </c>
      <c r="W6834">
        <v>0.17995810000000001</v>
      </c>
      <c r="X6834">
        <v>0.96874870000000002</v>
      </c>
      <c r="Y6834">
        <v>0.19642180000000001</v>
      </c>
      <c r="Z6834">
        <v>-3.6484839999999998E-2</v>
      </c>
      <c r="AA6834">
        <v>0.9798405</v>
      </c>
      <c r="AB6834">
        <v>12</v>
      </c>
      <c r="AC6834">
        <v>0.68899999999999195</v>
      </c>
      <c r="AD6834">
        <v>-7.9465999999999995E-2</v>
      </c>
      <c r="AE6834">
        <v>3.3700000000010201E-2</v>
      </c>
      <c r="AF6834">
        <v>0.15586829687179099</v>
      </c>
      <c r="AG6834">
        <v>-7.9465999999999995E-2</v>
      </c>
      <c r="AH6834">
        <v>0.66270589332757401</v>
      </c>
      <c r="AI6834">
        <v>96.657794858909796</v>
      </c>
      <c r="AJ6834">
        <v>76.764600436354897</v>
      </c>
      <c r="AK6834">
        <v>0.68541146195319103</v>
      </c>
      <c r="AL6834">
        <v>79.632680982881098</v>
      </c>
      <c r="AM6834">
        <v>80.006248612195293</v>
      </c>
      <c r="AN6834">
        <v>1.0000000231025299</v>
      </c>
    </row>
    <row r="6835" spans="1:40" x14ac:dyDescent="0.25">
      <c r="A6835" t="str">
        <f>"20190312172843722"</f>
        <v>20190312172843722</v>
      </c>
      <c r="B6835" t="str">
        <f>"1552382923716475"</f>
        <v>1552382923716475</v>
      </c>
      <c r="C6835" t="s">
        <v>40</v>
      </c>
      <c r="D6835">
        <v>3.5776059999999998</v>
      </c>
      <c r="E6835">
        <v>0.5115767</v>
      </c>
      <c r="F6835" t="s">
        <v>44</v>
      </c>
      <c r="G6835">
        <v>-167.1927</v>
      </c>
      <c r="H6835">
        <v>1.0316080000000001</v>
      </c>
      <c r="I6835">
        <v>137.03100000000001</v>
      </c>
      <c r="J6835">
        <v>-167.8681</v>
      </c>
      <c r="K6835">
        <v>1.109623</v>
      </c>
      <c r="L6835">
        <v>136.9992</v>
      </c>
      <c r="M6835">
        <v>0.96163299999999996</v>
      </c>
      <c r="N6835">
        <v>0</v>
      </c>
      <c r="O6835">
        <v>0.27400679999999999</v>
      </c>
      <c r="P6835">
        <v>0.98061220000000004</v>
      </c>
      <c r="Q6835">
        <v>0.16709749999999901</v>
      </c>
      <c r="R6835">
        <v>0.1023636</v>
      </c>
      <c r="S6835">
        <v>3.0861049999999999</v>
      </c>
      <c r="T6835">
        <v>-0.30442970000000003</v>
      </c>
      <c r="U6835">
        <v>0.2430725</v>
      </c>
      <c r="V6835">
        <v>0.17066339999999999</v>
      </c>
      <c r="W6835">
        <v>0.17982670000000001</v>
      </c>
      <c r="X6835">
        <v>0.96878089999999994</v>
      </c>
      <c r="Y6835">
        <v>0.19544439999999999</v>
      </c>
      <c r="Z6835">
        <v>-3.6191599999999997E-2</v>
      </c>
      <c r="AA6835">
        <v>0.98004669999999905</v>
      </c>
      <c r="AB6835">
        <v>12</v>
      </c>
      <c r="AC6835">
        <v>0.675399999999996</v>
      </c>
      <c r="AD6835">
        <v>-7.8014999999999904E-2</v>
      </c>
      <c r="AE6835">
        <v>3.1800000000003999E-2</v>
      </c>
      <c r="AF6835">
        <v>0.15246854504485</v>
      </c>
      <c r="AG6835">
        <v>-7.8014999999999904E-2</v>
      </c>
      <c r="AH6835">
        <v>0.64961211393366003</v>
      </c>
      <c r="AI6835">
        <v>96.668607279001606</v>
      </c>
      <c r="AJ6835">
        <v>76.791356035715197</v>
      </c>
      <c r="AK6835">
        <v>0.67181016367903501</v>
      </c>
      <c r="AL6835">
        <v>79.640334631835898</v>
      </c>
      <c r="AM6835">
        <v>80.009109465848496</v>
      </c>
      <c r="AN6835">
        <v>1.00000003516862</v>
      </c>
    </row>
    <row r="6836" spans="1:40" x14ac:dyDescent="0.25">
      <c r="A6836" t="str">
        <f>"20190312172843745"</f>
        <v>20190312172843745</v>
      </c>
      <c r="B6836" t="str">
        <f>"1552382923736972"</f>
        <v>1552382923736972</v>
      </c>
      <c r="C6836" t="s">
        <v>40</v>
      </c>
      <c r="D6836">
        <v>3.5605769999999999</v>
      </c>
      <c r="E6836">
        <v>0.51152240000000004</v>
      </c>
      <c r="F6836" t="s">
        <v>44</v>
      </c>
      <c r="G6836">
        <v>-167.0924</v>
      </c>
      <c r="H6836">
        <v>1.0330090000000001</v>
      </c>
      <c r="I6836">
        <v>137.05879999999999</v>
      </c>
      <c r="J6836">
        <v>-167.7517</v>
      </c>
      <c r="K6836">
        <v>1.109618</v>
      </c>
      <c r="L6836">
        <v>137.02940000000001</v>
      </c>
      <c r="M6836">
        <v>0.96227779999999996</v>
      </c>
      <c r="N6836">
        <v>0</v>
      </c>
      <c r="O6836">
        <v>0.27173370000000002</v>
      </c>
      <c r="P6836">
        <v>0.98080489999999998</v>
      </c>
      <c r="Q6836">
        <v>0.1668654</v>
      </c>
      <c r="R6836">
        <v>0.10088469999999999</v>
      </c>
      <c r="S6836">
        <v>3.0865480000000001</v>
      </c>
      <c r="T6836">
        <v>-0.30493550000000003</v>
      </c>
      <c r="U6836">
        <v>0.23696900000000001</v>
      </c>
      <c r="V6836">
        <v>0.16984469999999999</v>
      </c>
      <c r="W6836">
        <v>0.17959639999999999</v>
      </c>
      <c r="X6836">
        <v>0.96896740000000003</v>
      </c>
      <c r="Y6836">
        <v>0.1950701</v>
      </c>
      <c r="Z6836">
        <v>-3.601654E-2</v>
      </c>
      <c r="AA6836">
        <v>0.98012779999999999</v>
      </c>
      <c r="AB6836">
        <v>12</v>
      </c>
      <c r="AC6836">
        <v>0.659300000000001</v>
      </c>
      <c r="AD6836">
        <v>-7.6608999999999899E-2</v>
      </c>
      <c r="AE6836">
        <v>2.9399999999981202E-2</v>
      </c>
      <c r="AF6836">
        <v>0.148870766559527</v>
      </c>
      <c r="AG6836">
        <v>-7.6608999999999899E-2</v>
      </c>
      <c r="AH6836">
        <v>0.63393495565256996</v>
      </c>
      <c r="AI6836">
        <v>96.709796049007295</v>
      </c>
      <c r="AJ6836">
        <v>76.784352393278695</v>
      </c>
      <c r="AK6836">
        <v>0.65567139026744803</v>
      </c>
      <c r="AL6836">
        <v>79.653747399621295</v>
      </c>
      <c r="AM6836">
        <v>80.057954254794495</v>
      </c>
      <c r="AN6836">
        <v>0.99999995563690403</v>
      </c>
    </row>
    <row r="6837" spans="1:40" x14ac:dyDescent="0.25">
      <c r="A6837" t="str">
        <f>"20190312172843767"</f>
        <v>20190312172843767</v>
      </c>
      <c r="B6837" t="str">
        <f>"1552382923756492"</f>
        <v>1552382923756492</v>
      </c>
      <c r="C6837" t="s">
        <v>40</v>
      </c>
      <c r="D6837">
        <v>3.5912950000000001</v>
      </c>
      <c r="E6837">
        <v>0.51152880000000001</v>
      </c>
      <c r="F6837" t="s">
        <v>44</v>
      </c>
      <c r="G6837">
        <v>-166.99189999999999</v>
      </c>
      <c r="H6837">
        <v>1.0343979999999999</v>
      </c>
      <c r="I6837">
        <v>137.08629999999999</v>
      </c>
      <c r="J6837">
        <v>-167.63820000000001</v>
      </c>
      <c r="K6837">
        <v>1.10961</v>
      </c>
      <c r="L6837">
        <v>137.05860000000001</v>
      </c>
      <c r="M6837">
        <v>0.96291389999999999</v>
      </c>
      <c r="N6837">
        <v>0</v>
      </c>
      <c r="O6837">
        <v>0.26947100000000002</v>
      </c>
      <c r="P6837">
        <v>0.9807979</v>
      </c>
      <c r="Q6837">
        <v>0.1675555</v>
      </c>
      <c r="R6837">
        <v>9.9804820000000002E-2</v>
      </c>
      <c r="S6837">
        <v>3.086884</v>
      </c>
      <c r="T6837">
        <v>-0.30553819999999998</v>
      </c>
      <c r="U6837">
        <v>0.23149110000000001</v>
      </c>
      <c r="V6837">
        <v>0.1686039</v>
      </c>
      <c r="W6837">
        <v>0.18028640000000001</v>
      </c>
      <c r="X6837">
        <v>0.96905600000000003</v>
      </c>
      <c r="Y6837">
        <v>0.19450729999999999</v>
      </c>
      <c r="Z6837">
        <v>-3.5844269999999998E-2</v>
      </c>
      <c r="AA6837">
        <v>0.9802459</v>
      </c>
      <c r="AB6837">
        <v>12</v>
      </c>
      <c r="AC6837">
        <v>0.64630000000002497</v>
      </c>
      <c r="AD6837">
        <v>-7.5212000000000001E-2</v>
      </c>
      <c r="AE6837">
        <v>2.76999999999816E-2</v>
      </c>
      <c r="AF6837">
        <v>0.14553253729214199</v>
      </c>
      <c r="AG6837">
        <v>-7.5212000000000001E-2</v>
      </c>
      <c r="AH6837">
        <v>0.62145225923566205</v>
      </c>
      <c r="AI6837">
        <v>96.720635323935895</v>
      </c>
      <c r="AJ6837">
        <v>76.819906597703493</v>
      </c>
      <c r="AK6837">
        <v>0.64268147232030703</v>
      </c>
      <c r="AL6837">
        <v>79.613557724598195</v>
      </c>
      <c r="AM6837">
        <v>80.130036857304702</v>
      </c>
      <c r="AN6837">
        <v>0.99999999612808499</v>
      </c>
    </row>
    <row r="6838" spans="1:40" x14ac:dyDescent="0.25">
      <c r="A6838" t="str">
        <f>"20190312172843789"</f>
        <v>20190312172843789</v>
      </c>
      <c r="B6838" t="str">
        <f>"1552382923786747"</f>
        <v>1552382923786747</v>
      </c>
      <c r="C6838" t="s">
        <v>40</v>
      </c>
      <c r="D6838">
        <v>3.5728170000000001</v>
      </c>
      <c r="E6838">
        <v>0.51146840000000005</v>
      </c>
      <c r="F6838" t="s">
        <v>44</v>
      </c>
      <c r="G6838">
        <v>-166.88730000000001</v>
      </c>
      <c r="H6838">
        <v>1.0359480000000001</v>
      </c>
      <c r="I6838">
        <v>137.11359999999999</v>
      </c>
      <c r="J6838">
        <v>-167.52449999999999</v>
      </c>
      <c r="K6838">
        <v>1.1095980000000001</v>
      </c>
      <c r="L6838">
        <v>137.08750000000001</v>
      </c>
      <c r="M6838">
        <v>0.96355930000000001</v>
      </c>
      <c r="N6838">
        <v>0</v>
      </c>
      <c r="O6838">
        <v>0.267154</v>
      </c>
      <c r="P6838">
        <v>0.9808443</v>
      </c>
      <c r="Q6838">
        <v>0.167967899999999</v>
      </c>
      <c r="R6838">
        <v>9.8647529999999997E-2</v>
      </c>
      <c r="S6838">
        <v>3.0874480000000002</v>
      </c>
      <c r="T6838">
        <v>-0.30282389999999998</v>
      </c>
      <c r="U6838">
        <v>0.22627259999999999</v>
      </c>
      <c r="V6838">
        <v>0.1674002</v>
      </c>
      <c r="W6838">
        <v>0.18069769999999999</v>
      </c>
      <c r="X6838">
        <v>0.9691881</v>
      </c>
      <c r="Y6838">
        <v>0.1938628</v>
      </c>
      <c r="Z6838">
        <v>-3.5274300000000001E-2</v>
      </c>
      <c r="AA6838">
        <v>0.98039430000000005</v>
      </c>
      <c r="AB6838">
        <v>12</v>
      </c>
      <c r="AC6838">
        <v>0.63719999999997801</v>
      </c>
      <c r="AD6838">
        <v>-7.3649999999999993E-2</v>
      </c>
      <c r="AE6838">
        <v>2.6099999999985302E-2</v>
      </c>
      <c r="AF6838">
        <v>0.14318515628314199</v>
      </c>
      <c r="AG6838">
        <v>-7.3649999999999993E-2</v>
      </c>
      <c r="AH6838">
        <v>0.61283574981662803</v>
      </c>
      <c r="AI6838">
        <v>96.674806243941404</v>
      </c>
      <c r="AJ6838">
        <v>76.8491192781444</v>
      </c>
      <c r="AK6838">
        <v>0.63363551647073701</v>
      </c>
      <c r="AL6838">
        <v>79.589598824997594</v>
      </c>
      <c r="AM6838">
        <v>80.200439346140897</v>
      </c>
      <c r="AN6838">
        <v>1.0000000294634599</v>
      </c>
    </row>
    <row r="6839" spans="1:40" x14ac:dyDescent="0.25">
      <c r="A6839" t="str">
        <f>"20190312172843812"</f>
        <v>20190312172843812</v>
      </c>
      <c r="B6839" t="str">
        <f>"1552382923806267"</f>
        <v>1552382923806267</v>
      </c>
      <c r="C6839" t="s">
        <v>40</v>
      </c>
      <c r="D6839">
        <v>3.5956999999999999</v>
      </c>
      <c r="E6839">
        <v>0.51149369999999905</v>
      </c>
      <c r="F6839" t="s">
        <v>44</v>
      </c>
      <c r="G6839">
        <v>-166.684</v>
      </c>
      <c r="H6839">
        <v>1.027563</v>
      </c>
      <c r="I6839">
        <v>137.14789999999999</v>
      </c>
      <c r="J6839">
        <v>-167.4075</v>
      </c>
      <c r="K6839">
        <v>1.109577</v>
      </c>
      <c r="L6839">
        <v>137.11680000000001</v>
      </c>
      <c r="M6839">
        <v>0.96423320000000001</v>
      </c>
      <c r="N6839">
        <v>0</v>
      </c>
      <c r="O6839">
        <v>0.2647119</v>
      </c>
      <c r="P6839">
        <v>0.98094110000000001</v>
      </c>
      <c r="Q6839">
        <v>0.16830889999999901</v>
      </c>
      <c r="R6839">
        <v>9.7092399999999995E-2</v>
      </c>
      <c r="S6839">
        <v>3.0878749999999999</v>
      </c>
      <c r="T6839">
        <v>-0.30137190000000003</v>
      </c>
      <c r="U6839">
        <v>0.22204589999999999</v>
      </c>
      <c r="V6839">
        <v>0.16647039999999999</v>
      </c>
      <c r="W6839">
        <v>0.1810358</v>
      </c>
      <c r="X6839">
        <v>0.96928510000000001</v>
      </c>
      <c r="Y6839">
        <v>0.19275990000000001</v>
      </c>
      <c r="Z6839">
        <v>-3.4820770000000001E-2</v>
      </c>
      <c r="AA6839">
        <v>0.98062800000000006</v>
      </c>
      <c r="AB6839">
        <v>12</v>
      </c>
      <c r="AC6839">
        <v>0.72349999999997205</v>
      </c>
      <c r="AD6839">
        <v>-8.2014000000000004E-2</v>
      </c>
      <c r="AE6839">
        <v>3.1099999999980799E-2</v>
      </c>
      <c r="AF6839">
        <v>0.15950032492320301</v>
      </c>
      <c r="AG6839">
        <v>-8.2014000000000004E-2</v>
      </c>
      <c r="AH6839">
        <v>0.696979896141107</v>
      </c>
      <c r="AI6839">
        <v>96.543531558630605</v>
      </c>
      <c r="AJ6839">
        <v>77.110106168412898</v>
      </c>
      <c r="AK6839">
        <v>0.71968578245750803</v>
      </c>
      <c r="AL6839">
        <v>79.56990175784</v>
      </c>
      <c r="AM6839">
        <v>80.254779485236199</v>
      </c>
      <c r="AN6839">
        <v>0.99999998001990398</v>
      </c>
    </row>
    <row r="6840" spans="1:40" x14ac:dyDescent="0.25">
      <c r="A6840" t="str">
        <f>"20190312172843834"</f>
        <v>20190312172843834</v>
      </c>
      <c r="B6840" t="str">
        <f>"1552382923826763"</f>
        <v>1552382923826763</v>
      </c>
      <c r="C6840" t="s">
        <v>40</v>
      </c>
      <c r="D6840">
        <v>3.5940799999999999</v>
      </c>
      <c r="E6840">
        <v>0.51150680000000004</v>
      </c>
      <c r="F6840" t="s">
        <v>44</v>
      </c>
      <c r="G6840">
        <v>-166.58179999999999</v>
      </c>
      <c r="H6840">
        <v>1.029261</v>
      </c>
      <c r="I6840">
        <v>137.17449999999999</v>
      </c>
      <c r="J6840">
        <v>-167.2936</v>
      </c>
      <c r="K6840">
        <v>1.109567</v>
      </c>
      <c r="L6840">
        <v>137.14490000000001</v>
      </c>
      <c r="M6840">
        <v>0.96489480000000005</v>
      </c>
      <c r="N6840">
        <v>0</v>
      </c>
      <c r="O6840">
        <v>0.26228970000000001</v>
      </c>
      <c r="P6840">
        <v>0.98102579999999995</v>
      </c>
      <c r="Q6840">
        <v>0.1683307</v>
      </c>
      <c r="R6840">
        <v>9.6193109999999998E-2</v>
      </c>
      <c r="S6840">
        <v>3.088425</v>
      </c>
      <c r="T6840">
        <v>-0.30035070000000003</v>
      </c>
      <c r="U6840">
        <v>0.21617130000000001</v>
      </c>
      <c r="V6840">
        <v>0.1649243</v>
      </c>
      <c r="W6840">
        <v>0.18105969999999999</v>
      </c>
      <c r="X6840">
        <v>0.96954490000000004</v>
      </c>
      <c r="Y6840">
        <v>0.19219310000000001</v>
      </c>
      <c r="Z6840">
        <v>-3.4446480000000002E-2</v>
      </c>
      <c r="AA6840">
        <v>0.98075239999999997</v>
      </c>
      <c r="AB6840">
        <v>12</v>
      </c>
      <c r="AC6840">
        <v>0.71180000000000998</v>
      </c>
      <c r="AD6840">
        <v>-8.0305999999999905E-2</v>
      </c>
      <c r="AE6840">
        <v>2.9599999999987799E-2</v>
      </c>
      <c r="AF6840">
        <v>0.156166973144403</v>
      </c>
      <c r="AG6840">
        <v>-8.0305999999999905E-2</v>
      </c>
      <c r="AH6840">
        <v>0.68592339673152702</v>
      </c>
      <c r="AI6840">
        <v>96.512461311825803</v>
      </c>
      <c r="AJ6840">
        <v>77.173869884960894</v>
      </c>
      <c r="AK6840">
        <v>0.70804525513613903</v>
      </c>
      <c r="AL6840">
        <v>79.568509340522098</v>
      </c>
      <c r="AM6840">
        <v>80.346115474879795</v>
      </c>
      <c r="AN6840">
        <v>0.99999997640529403</v>
      </c>
    </row>
    <row r="6841" spans="1:40" x14ac:dyDescent="0.25">
      <c r="A6841" t="str">
        <f>"20190312172843857"</f>
        <v>20190312172843857</v>
      </c>
      <c r="B6841" t="str">
        <f>"1552382923846284"</f>
        <v>1552382923846284</v>
      </c>
      <c r="C6841" t="s">
        <v>40</v>
      </c>
      <c r="D6841">
        <v>3.6073979999999999</v>
      </c>
      <c r="E6841">
        <v>0.51150640000000003</v>
      </c>
      <c r="F6841" t="s">
        <v>44</v>
      </c>
      <c r="G6841">
        <v>-166.4802</v>
      </c>
      <c r="H6841">
        <v>1.0304549999999999</v>
      </c>
      <c r="I6841">
        <v>137.20070000000001</v>
      </c>
      <c r="J6841">
        <v>-167.17769999999999</v>
      </c>
      <c r="K6841">
        <v>1.1095549999999901</v>
      </c>
      <c r="L6841">
        <v>137.17320000000001</v>
      </c>
      <c r="M6841">
        <v>0.96557649999999995</v>
      </c>
      <c r="N6841">
        <v>0</v>
      </c>
      <c r="O6841">
        <v>0.25976890000000002</v>
      </c>
      <c r="P6841">
        <v>0.98106550000000003</v>
      </c>
      <c r="Q6841">
        <v>0.16852519999999999</v>
      </c>
      <c r="R6841">
        <v>9.5446840000000005E-2</v>
      </c>
      <c r="S6841">
        <v>3.0887600000000002</v>
      </c>
      <c r="T6841">
        <v>-0.30032150000000002</v>
      </c>
      <c r="U6841">
        <v>0.212204</v>
      </c>
      <c r="V6841">
        <v>0.16311989999999901</v>
      </c>
      <c r="W6841">
        <v>0.18125810000000001</v>
      </c>
      <c r="X6841">
        <v>0.96981300000000004</v>
      </c>
      <c r="Y6841">
        <v>0.19090979999999999</v>
      </c>
      <c r="Z6841">
        <v>-3.4143300000000001E-2</v>
      </c>
      <c r="AA6841">
        <v>0.98101360000000004</v>
      </c>
      <c r="AB6841">
        <v>12</v>
      </c>
      <c r="AC6841">
        <v>0.69749999999999002</v>
      </c>
      <c r="AD6841">
        <v>-7.9099999999999906E-2</v>
      </c>
      <c r="AE6841">
        <v>2.75000000000034E-2</v>
      </c>
      <c r="AF6841">
        <v>0.152688900534759</v>
      </c>
      <c r="AG6841">
        <v>-7.9099999999999906E-2</v>
      </c>
      <c r="AH6841">
        <v>0.67206543167205202</v>
      </c>
      <c r="AI6841">
        <v>96.547306130414299</v>
      </c>
      <c r="AJ6841">
        <v>77.200050206938798</v>
      </c>
      <c r="AK6841">
        <v>0.69371655219913597</v>
      </c>
      <c r="AL6841">
        <v>79.556950091372101</v>
      </c>
      <c r="AM6841">
        <v>80.452372052634104</v>
      </c>
      <c r="AN6841">
        <v>0.999999927780307</v>
      </c>
    </row>
    <row r="6842" spans="1:40" x14ac:dyDescent="0.25">
      <c r="A6842" t="str">
        <f>"20190312172843878"</f>
        <v>20190312172843878</v>
      </c>
      <c r="B6842" t="str">
        <f>"1552382923866779"</f>
        <v>1552382923866779</v>
      </c>
      <c r="C6842" t="s">
        <v>40</v>
      </c>
      <c r="D6842">
        <v>3.6188720000000001</v>
      </c>
      <c r="E6842">
        <v>0.51151840000000004</v>
      </c>
      <c r="F6842" t="s">
        <v>44</v>
      </c>
      <c r="G6842">
        <v>-166.37880000000001</v>
      </c>
      <c r="H6842">
        <v>1.0319389999999999</v>
      </c>
      <c r="I6842">
        <v>137.22710000000001</v>
      </c>
      <c r="J6842">
        <v>-167.06870000000001</v>
      </c>
      <c r="K6842">
        <v>1.1095539999999999</v>
      </c>
      <c r="L6842">
        <v>137.1994</v>
      </c>
      <c r="M6842">
        <v>0.96622569999999997</v>
      </c>
      <c r="N6842">
        <v>0</v>
      </c>
      <c r="O6842">
        <v>0.25734390000000001</v>
      </c>
      <c r="P6842">
        <v>0.98118119999999998</v>
      </c>
      <c r="Q6842">
        <v>0.1686916</v>
      </c>
      <c r="R6842">
        <v>9.3950409999999998E-2</v>
      </c>
      <c r="S6842">
        <v>3.0891109999999999</v>
      </c>
      <c r="T6842">
        <v>-0.29995369999999999</v>
      </c>
      <c r="U6842">
        <v>0.20896909999999999</v>
      </c>
      <c r="V6842">
        <v>0.16215879999999999</v>
      </c>
      <c r="W6842">
        <v>0.1814241</v>
      </c>
      <c r="X6842">
        <v>0.96994320000000001</v>
      </c>
      <c r="Y6842">
        <v>0.1894988</v>
      </c>
      <c r="Z6842">
        <v>-3.38042E-2</v>
      </c>
      <c r="AA6842">
        <v>0.98129889999999997</v>
      </c>
      <c r="AB6842">
        <v>12</v>
      </c>
      <c r="AC6842">
        <v>0.68989999999999396</v>
      </c>
      <c r="AD6842">
        <v>-7.7615000000000198E-2</v>
      </c>
      <c r="AE6842">
        <v>2.7700000000010001E-2</v>
      </c>
      <c r="AF6842">
        <v>0.148909169358517</v>
      </c>
      <c r="AG6842">
        <v>-7.7615000000000198E-2</v>
      </c>
      <c r="AH6842">
        <v>0.66538091452632797</v>
      </c>
      <c r="AI6842">
        <v>96.494122771214407</v>
      </c>
      <c r="AJ6842">
        <v>77.385327750934806</v>
      </c>
      <c r="AK6842">
        <v>0.68624324430914097</v>
      </c>
      <c r="AL6842">
        <v>79.547279360645305</v>
      </c>
      <c r="AM6842">
        <v>80.508850876231904</v>
      </c>
      <c r="AN6842">
        <v>0.99999999585224497</v>
      </c>
    </row>
    <row r="6843" spans="1:40" x14ac:dyDescent="0.25">
      <c r="A6843" t="str">
        <f>"20190312172843900"</f>
        <v>20190312172843900</v>
      </c>
      <c r="B6843" t="str">
        <f>"1552382923897036"</f>
        <v>1552382923897036</v>
      </c>
      <c r="C6843" t="s">
        <v>40</v>
      </c>
      <c r="D6843">
        <v>3.6326619999999998</v>
      </c>
      <c r="E6843">
        <v>0.51158510000000001</v>
      </c>
      <c r="F6843" t="s">
        <v>44</v>
      </c>
      <c r="G6843">
        <v>-166.27709999999999</v>
      </c>
      <c r="H6843">
        <v>1.032797</v>
      </c>
      <c r="I6843">
        <v>137.2517</v>
      </c>
      <c r="J6843">
        <v>-166.95490000000001</v>
      </c>
      <c r="K6843">
        <v>1.1095440000000001</v>
      </c>
      <c r="L6843">
        <v>137.22640000000001</v>
      </c>
      <c r="M6843">
        <v>0.96691349999999998</v>
      </c>
      <c r="N6843">
        <v>0</v>
      </c>
      <c r="O6843">
        <v>0.25474720000000001</v>
      </c>
      <c r="P6843">
        <v>0.9813096</v>
      </c>
      <c r="Q6843">
        <v>0.1687611</v>
      </c>
      <c r="R6843">
        <v>9.2475550000000004E-2</v>
      </c>
      <c r="S6843">
        <v>3.089493</v>
      </c>
      <c r="T6843">
        <v>-0.29953459999999898</v>
      </c>
      <c r="U6843">
        <v>0.20401</v>
      </c>
      <c r="V6843">
        <v>0.1610113</v>
      </c>
      <c r="W6843">
        <v>0.18149309999999999</v>
      </c>
      <c r="X6843">
        <v>0.97012140000000002</v>
      </c>
      <c r="Y6843">
        <v>0.1884604</v>
      </c>
      <c r="Z6843">
        <v>-3.3462640000000002E-2</v>
      </c>
      <c r="AA6843">
        <v>0.98151049999999995</v>
      </c>
      <c r="AB6843">
        <v>12</v>
      </c>
      <c r="AC6843">
        <v>0.67780000000001905</v>
      </c>
      <c r="AD6843">
        <v>-7.6747000000000107E-2</v>
      </c>
      <c r="AE6843">
        <v>2.5299999999987201E-2</v>
      </c>
      <c r="AF6843">
        <v>0.14634457630669701</v>
      </c>
      <c r="AG6843">
        <v>-7.6747000000000107E-2</v>
      </c>
      <c r="AH6843">
        <v>0.65351237514325</v>
      </c>
      <c r="AI6843">
        <v>96.537545018972907</v>
      </c>
      <c r="AJ6843">
        <v>77.377685865753804</v>
      </c>
      <c r="AK6843">
        <v>0.67408104964370497</v>
      </c>
      <c r="AL6843">
        <v>79.543258805139104</v>
      </c>
      <c r="AM6843">
        <v>80.576504980707099</v>
      </c>
      <c r="AN6843">
        <v>0.99999995740662895</v>
      </c>
    </row>
    <row r="6844" spans="1:40" x14ac:dyDescent="0.25">
      <c r="A6844" t="str">
        <f>"20190312172843923"</f>
        <v>20190312172843923</v>
      </c>
      <c r="B6844" t="str">
        <f>"1552382923916555"</f>
        <v>1552382923916555</v>
      </c>
      <c r="C6844" t="s">
        <v>40</v>
      </c>
      <c r="D6844">
        <v>3.6344729999999998</v>
      </c>
      <c r="E6844">
        <v>0.51161820000000002</v>
      </c>
      <c r="F6844" t="s">
        <v>44</v>
      </c>
      <c r="G6844">
        <v>-166.1755</v>
      </c>
      <c r="H6844">
        <v>1.033906</v>
      </c>
      <c r="I6844">
        <v>137.2764</v>
      </c>
      <c r="J6844">
        <v>-166.84059999999999</v>
      </c>
      <c r="K6844">
        <v>1.1095219999999999</v>
      </c>
      <c r="L6844">
        <v>137.25319999999999</v>
      </c>
      <c r="M6844">
        <v>0.96761509999999995</v>
      </c>
      <c r="N6844">
        <v>0</v>
      </c>
      <c r="O6844">
        <v>0.25206919999999999</v>
      </c>
      <c r="P6844">
        <v>0.98146489999999997</v>
      </c>
      <c r="Q6844">
        <v>0.1688991</v>
      </c>
      <c r="R6844">
        <v>9.055299E-2</v>
      </c>
      <c r="S6844">
        <v>3.089966</v>
      </c>
      <c r="T6844">
        <v>-0.2997397</v>
      </c>
      <c r="U6844">
        <v>0.1985016</v>
      </c>
      <c r="V6844">
        <v>0.1602285</v>
      </c>
      <c r="W6844">
        <v>0.18162529999999999</v>
      </c>
      <c r="X6844">
        <v>0.97022629999999999</v>
      </c>
      <c r="Y6844">
        <v>0.18750820000000001</v>
      </c>
      <c r="Z6844">
        <v>-3.3186350000000003E-2</v>
      </c>
      <c r="AA6844">
        <v>0.98170230000000003</v>
      </c>
      <c r="AB6844">
        <v>12</v>
      </c>
      <c r="AC6844">
        <v>0.66509999999999503</v>
      </c>
      <c r="AD6844">
        <v>-7.5615999999999906E-2</v>
      </c>
      <c r="AE6844">
        <v>2.3200000000002701E-2</v>
      </c>
      <c r="AF6844">
        <v>0.14336494196351901</v>
      </c>
      <c r="AG6844">
        <v>-7.5615999999999906E-2</v>
      </c>
      <c r="AH6844">
        <v>0.64119020764138901</v>
      </c>
      <c r="AI6844">
        <v>96.565225067269196</v>
      </c>
      <c r="AJ6844">
        <v>77.396429845354703</v>
      </c>
      <c r="AK6844">
        <v>0.66135933380834</v>
      </c>
      <c r="AL6844">
        <v>79.535556711433898</v>
      </c>
      <c r="AM6844">
        <v>80.622499931155104</v>
      </c>
      <c r="AN6844">
        <v>0.99999999751201396</v>
      </c>
    </row>
    <row r="6845" spans="1:40" x14ac:dyDescent="0.25">
      <c r="A6845" t="str">
        <f>"20190312172843945"</f>
        <v>20190312172843945</v>
      </c>
      <c r="B6845" t="str">
        <f>"1552382923937052"</f>
        <v>1552382923937052</v>
      </c>
      <c r="C6845" t="s">
        <v>40</v>
      </c>
      <c r="D6845">
        <v>3.6050650000000002</v>
      </c>
      <c r="E6845">
        <v>0.51164469999999995</v>
      </c>
      <c r="F6845" t="s">
        <v>44</v>
      </c>
      <c r="G6845">
        <v>-166.07380000000001</v>
      </c>
      <c r="H6845">
        <v>1.0352539999999999</v>
      </c>
      <c r="I6845">
        <v>137.30080000000001</v>
      </c>
      <c r="J6845">
        <v>-166.72720000000001</v>
      </c>
      <c r="K6845">
        <v>1.109488</v>
      </c>
      <c r="L6845">
        <v>137.27930000000001</v>
      </c>
      <c r="M6845">
        <v>0.9683235</v>
      </c>
      <c r="N6845">
        <v>0</v>
      </c>
      <c r="O6845">
        <v>0.249334</v>
      </c>
      <c r="P6845">
        <v>0.98167510000000002</v>
      </c>
      <c r="Q6845">
        <v>0.16885129999999901</v>
      </c>
      <c r="R6845">
        <v>8.8336620000000005E-2</v>
      </c>
      <c r="S6845">
        <v>3.0905149999999999</v>
      </c>
      <c r="T6845">
        <v>-0.29944209999999999</v>
      </c>
      <c r="U6845">
        <v>0.19177250000000001</v>
      </c>
      <c r="V6845">
        <v>0.1596911</v>
      </c>
      <c r="W6845">
        <v>0.18156949999999999</v>
      </c>
      <c r="X6845">
        <v>0.9703254</v>
      </c>
      <c r="Y6845">
        <v>0.186893</v>
      </c>
      <c r="Z6845">
        <v>-3.286534E-2</v>
      </c>
      <c r="AA6845">
        <v>0.98183039999999999</v>
      </c>
      <c r="AB6845">
        <v>12</v>
      </c>
      <c r="AC6845">
        <v>0.65340000000000398</v>
      </c>
      <c r="AD6845">
        <v>-7.4233999999999897E-2</v>
      </c>
      <c r="AE6845">
        <v>2.15000000000031E-2</v>
      </c>
      <c r="AF6845">
        <v>0.14029984012999699</v>
      </c>
      <c r="AG6845">
        <v>-7.4233999999999897E-2</v>
      </c>
      <c r="AH6845">
        <v>0.62999836853185198</v>
      </c>
      <c r="AI6845">
        <v>96.561016672605902</v>
      </c>
      <c r="AJ6845">
        <v>77.445177519575594</v>
      </c>
      <c r="AK6845">
        <v>0.64968659848368304</v>
      </c>
      <c r="AL6845">
        <v>79.538808495226903</v>
      </c>
      <c r="AM6845">
        <v>80.654333502954401</v>
      </c>
      <c r="AN6845">
        <v>1.0000000563172999</v>
      </c>
    </row>
    <row r="6846" spans="1:40" x14ac:dyDescent="0.25">
      <c r="A6846" t="str">
        <f>"20190312172843968"</f>
        <v>20190312172843968</v>
      </c>
      <c r="B6846" t="str">
        <f>"1552382923956572"</f>
        <v>1552382923956572</v>
      </c>
      <c r="C6846" t="s">
        <v>40</v>
      </c>
      <c r="D6846">
        <v>3.6611250000000002</v>
      </c>
      <c r="E6846">
        <v>0.51166670000000003</v>
      </c>
      <c r="F6846" t="s">
        <v>44</v>
      </c>
      <c r="G6846">
        <v>-165.97239999999999</v>
      </c>
      <c r="H6846">
        <v>1.0362530000000001</v>
      </c>
      <c r="I6846">
        <v>137.32419999999999</v>
      </c>
      <c r="J6846">
        <v>-166.6156</v>
      </c>
      <c r="K6846">
        <v>1.1094630000000001</v>
      </c>
      <c r="L6846">
        <v>137.30449999999999</v>
      </c>
      <c r="M6846">
        <v>0.96903229999999996</v>
      </c>
      <c r="N6846">
        <v>0</v>
      </c>
      <c r="O6846">
        <v>0.2465648</v>
      </c>
      <c r="P6846">
        <v>0.98198280000000004</v>
      </c>
      <c r="Q6846">
        <v>0.168494</v>
      </c>
      <c r="R6846">
        <v>8.5555450000000005E-2</v>
      </c>
      <c r="S6846">
        <v>3.090973</v>
      </c>
      <c r="T6846">
        <v>-0.29977749999999997</v>
      </c>
      <c r="U6846">
        <v>0.1844635</v>
      </c>
      <c r="V6846">
        <v>0.15969459999999999</v>
      </c>
      <c r="W6846">
        <v>0.18120040000000001</v>
      </c>
      <c r="X6846">
        <v>0.97039379999999997</v>
      </c>
      <c r="Y6846">
        <v>0.18641769999999999</v>
      </c>
      <c r="Z6846">
        <v>-3.2618040000000001E-2</v>
      </c>
      <c r="AA6846">
        <v>0.98192889999999999</v>
      </c>
      <c r="AB6846">
        <v>12</v>
      </c>
      <c r="AC6846">
        <v>0.64320000000000699</v>
      </c>
      <c r="AD6846">
        <v>-7.3209999999999706E-2</v>
      </c>
      <c r="AE6846">
        <v>1.97000000000002E-2</v>
      </c>
      <c r="AF6846">
        <v>0.137730579459936</v>
      </c>
      <c r="AG6846">
        <v>-7.3209999999999706E-2</v>
      </c>
      <c r="AH6846">
        <v>0.62016916243660403</v>
      </c>
      <c r="AI6846">
        <v>96.573806649042396</v>
      </c>
      <c r="AJ6846">
        <v>77.478657390571101</v>
      </c>
      <c r="AK6846">
        <v>0.63948354682172104</v>
      </c>
      <c r="AL6846">
        <v>79.560312894248398</v>
      </c>
      <c r="AM6846">
        <v>80.654779423948497</v>
      </c>
      <c r="AN6846">
        <v>1.0000000386538701</v>
      </c>
    </row>
    <row r="6847" spans="1:40" x14ac:dyDescent="0.25">
      <c r="A6847" t="str">
        <f>"20190312172843991"</f>
        <v>20190312172843991</v>
      </c>
      <c r="B6847" t="str">
        <f>"1552382923986827"</f>
        <v>1552382923986827</v>
      </c>
      <c r="C6847" t="s">
        <v>40</v>
      </c>
      <c r="D6847">
        <v>3.6708159999999999</v>
      </c>
      <c r="E6847">
        <v>0.5116792</v>
      </c>
      <c r="F6847" t="s">
        <v>44</v>
      </c>
      <c r="G6847">
        <v>-165.87119999999999</v>
      </c>
      <c r="H6847">
        <v>1.0369630000000001</v>
      </c>
      <c r="I6847">
        <v>137.3466</v>
      </c>
      <c r="J6847">
        <v>-166.4992</v>
      </c>
      <c r="K6847">
        <v>1.1094250000000001</v>
      </c>
      <c r="L6847">
        <v>137.3304</v>
      </c>
      <c r="M6847">
        <v>0.96978819999999999</v>
      </c>
      <c r="N6847">
        <v>0</v>
      </c>
      <c r="O6847">
        <v>0.2435745</v>
      </c>
      <c r="P6847">
        <v>0.98223819999999995</v>
      </c>
      <c r="Q6847">
        <v>0.16846810000000001</v>
      </c>
      <c r="R6847">
        <v>8.2624249999999996E-2</v>
      </c>
      <c r="S6847">
        <v>3.0914920000000001</v>
      </c>
      <c r="T6847">
        <v>-0.30115320000000001</v>
      </c>
      <c r="U6847">
        <v>0.17469789999999999</v>
      </c>
      <c r="V6847">
        <v>0.1596147</v>
      </c>
      <c r="W6847">
        <v>0.18116289999999999</v>
      </c>
      <c r="X6847">
        <v>0.97041390000000005</v>
      </c>
      <c r="Y6847">
        <v>0.18648429999999999</v>
      </c>
      <c r="Z6847">
        <v>-3.2487580000000002E-2</v>
      </c>
      <c r="AA6847">
        <v>0.98192069999999998</v>
      </c>
      <c r="AB6847">
        <v>12</v>
      </c>
      <c r="AC6847">
        <v>0.62800000000001399</v>
      </c>
      <c r="AD6847">
        <v>-7.2462000000000207E-2</v>
      </c>
      <c r="AE6847">
        <v>1.6199999999997699E-2</v>
      </c>
      <c r="AF6847">
        <v>0.13546438672547501</v>
      </c>
      <c r="AG6847">
        <v>-7.2462000000000207E-2</v>
      </c>
      <c r="AH6847">
        <v>0.60497957164341498</v>
      </c>
      <c r="AI6847">
        <v>96.666577612359603</v>
      </c>
      <c r="AJ6847">
        <v>77.378765851426493</v>
      </c>
      <c r="AK6847">
        <v>0.62418076197585504</v>
      </c>
      <c r="AL6847">
        <v>79.562497162980307</v>
      </c>
      <c r="AM6847">
        <v>80.659562754290107</v>
      </c>
      <c r="AN6847">
        <v>0.99999999305285503</v>
      </c>
    </row>
    <row r="6848" spans="1:40" x14ac:dyDescent="0.25">
      <c r="A6848" t="str">
        <f>"20190312172844014"</f>
        <v>20190312172844014</v>
      </c>
      <c r="B6848" t="str">
        <f>"1552382924006347"</f>
        <v>1552382924006347</v>
      </c>
      <c r="C6848" t="s">
        <v>40</v>
      </c>
      <c r="D6848">
        <v>3.6611750000000001</v>
      </c>
      <c r="E6848">
        <v>0.51167879999999999</v>
      </c>
      <c r="F6848" t="s">
        <v>44</v>
      </c>
      <c r="G6848">
        <v>-165.67070000000001</v>
      </c>
      <c r="H6848">
        <v>1.0286230000000001</v>
      </c>
      <c r="I6848">
        <v>137.37459999999999</v>
      </c>
      <c r="J6848">
        <v>-166.3837</v>
      </c>
      <c r="K6848">
        <v>1.1093839999999999</v>
      </c>
      <c r="L6848">
        <v>137.35550000000001</v>
      </c>
      <c r="M6848">
        <v>0.97055179999999996</v>
      </c>
      <c r="N6848">
        <v>0</v>
      </c>
      <c r="O6848">
        <v>0.24051439999999999</v>
      </c>
      <c r="P6848">
        <v>0.9825836</v>
      </c>
      <c r="Q6848">
        <v>0.16826150000000001</v>
      </c>
      <c r="R6848">
        <v>7.8853409999999999E-2</v>
      </c>
      <c r="S6848">
        <v>3.0920719999999999</v>
      </c>
      <c r="T6848">
        <v>-0.3014927</v>
      </c>
      <c r="U6848">
        <v>0.1653442</v>
      </c>
      <c r="V6848">
        <v>0.1603031</v>
      </c>
      <c r="W6848">
        <v>0.18094250000000001</v>
      </c>
      <c r="X6848">
        <v>0.97034160000000003</v>
      </c>
      <c r="Y6848">
        <v>0.18636820000000001</v>
      </c>
      <c r="Z6848">
        <v>-3.2227520000000003E-2</v>
      </c>
      <c r="AA6848">
        <v>0.98195120000000002</v>
      </c>
      <c r="AB6848">
        <v>11</v>
      </c>
      <c r="AC6848">
        <v>0.71299999999999297</v>
      </c>
      <c r="AD6848">
        <v>-8.0760999999999805E-2</v>
      </c>
      <c r="AE6848">
        <v>1.9099999999980299E-2</v>
      </c>
      <c r="AF6848">
        <v>0.151026875278265</v>
      </c>
      <c r="AG6848">
        <v>-8.0760999999999805E-2</v>
      </c>
      <c r="AH6848">
        <v>0.68784202947004902</v>
      </c>
      <c r="AI6848">
        <v>96.542119591909199</v>
      </c>
      <c r="AJ6848">
        <v>77.616289931692805</v>
      </c>
      <c r="AK6848">
        <v>0.70884279899198499</v>
      </c>
      <c r="AL6848">
        <v>79.575337920419003</v>
      </c>
      <c r="AM6848">
        <v>80.619306479362606</v>
      </c>
      <c r="AN6848">
        <v>1.0000000464332</v>
      </c>
    </row>
    <row r="6849" spans="1:40" x14ac:dyDescent="0.25">
      <c r="A6849" t="str">
        <f>"20190312172844035"</f>
        <v>20190312172844035</v>
      </c>
      <c r="B6849" t="str">
        <f>"1552382924026844"</f>
        <v>1552382924026844</v>
      </c>
      <c r="C6849" t="s">
        <v>40</v>
      </c>
      <c r="D6849">
        <v>3.6714929999999999</v>
      </c>
      <c r="E6849">
        <v>0.51167779999999996</v>
      </c>
      <c r="F6849" t="s">
        <v>44</v>
      </c>
      <c r="G6849">
        <v>-165.56960000000001</v>
      </c>
      <c r="H6849">
        <v>1.029728</v>
      </c>
      <c r="I6849">
        <v>137.39599999999999</v>
      </c>
      <c r="J6849">
        <v>-166.274</v>
      </c>
      <c r="K6849">
        <v>1.1093630000000001</v>
      </c>
      <c r="L6849">
        <v>137.37889999999999</v>
      </c>
      <c r="M6849">
        <v>0.97128530000000002</v>
      </c>
      <c r="N6849">
        <v>0</v>
      </c>
      <c r="O6849">
        <v>0.2375342</v>
      </c>
      <c r="P6849">
        <v>0.98287400000000003</v>
      </c>
      <c r="Q6849">
        <v>0.16806860000000001</v>
      </c>
      <c r="R6849">
        <v>7.5574810000000006E-2</v>
      </c>
      <c r="S6849">
        <v>3.0926360000000002</v>
      </c>
      <c r="T6849">
        <v>-0.30253350000000001</v>
      </c>
      <c r="U6849">
        <v>0.15408329999999901</v>
      </c>
      <c r="V6849">
        <v>0.16058</v>
      </c>
      <c r="W6849">
        <v>0.18074129999999999</v>
      </c>
      <c r="X6849">
        <v>0.97033329999999995</v>
      </c>
      <c r="Y6849">
        <v>0.18692629999999999</v>
      </c>
      <c r="Z6849">
        <v>-3.2081890000000002E-2</v>
      </c>
      <c r="AA6849">
        <v>0.98185</v>
      </c>
      <c r="AB6849">
        <v>11</v>
      </c>
      <c r="AC6849">
        <v>0.70439999999999203</v>
      </c>
      <c r="AD6849">
        <v>-7.96349999999999E-2</v>
      </c>
      <c r="AE6849">
        <v>1.71000000000276E-2</v>
      </c>
      <c r="AF6849">
        <v>0.148822852207246</v>
      </c>
      <c r="AG6849">
        <v>-7.96349999999999E-2</v>
      </c>
      <c r="AH6849">
        <v>0.67961681015950504</v>
      </c>
      <c r="AI6849">
        <v>96.529887247776003</v>
      </c>
      <c r="AJ6849">
        <v>77.648307876707705</v>
      </c>
      <c r="AK6849">
        <v>0.70026350984146002</v>
      </c>
      <c r="AL6849">
        <v>79.587058951121605</v>
      </c>
      <c r="AM6849">
        <v>80.603312519316603</v>
      </c>
      <c r="AN6849">
        <v>1.0000000335072801</v>
      </c>
    </row>
    <row r="6850" spans="1:40" x14ac:dyDescent="0.25">
      <c r="A6850" t="str">
        <f>"20190312172844058"</f>
        <v>20190312172844058</v>
      </c>
      <c r="B6850" t="str">
        <f>"1552382924046366"</f>
        <v>1552382924046366</v>
      </c>
      <c r="C6850" t="s">
        <v>40</v>
      </c>
      <c r="D6850">
        <v>3.676822</v>
      </c>
      <c r="E6850">
        <v>0.51166060000000002</v>
      </c>
      <c r="F6850" t="s">
        <v>44</v>
      </c>
      <c r="G6850">
        <v>-165.46899999999999</v>
      </c>
      <c r="H6850">
        <v>1.0303389999999999</v>
      </c>
      <c r="I6850">
        <v>137.41650000000001</v>
      </c>
      <c r="J6850">
        <v>-166.16069999999999</v>
      </c>
      <c r="K6850">
        <v>1.1093519999999999</v>
      </c>
      <c r="L6850">
        <v>137.40270000000001</v>
      </c>
      <c r="M6850">
        <v>0.97204939999999995</v>
      </c>
      <c r="N6850">
        <v>0</v>
      </c>
      <c r="O6850">
        <v>0.23438790000000001</v>
      </c>
      <c r="P6850">
        <v>0.98319210000000001</v>
      </c>
      <c r="Q6850">
        <v>0.1676019</v>
      </c>
      <c r="R6850">
        <v>7.2407550000000001E-2</v>
      </c>
      <c r="S6850">
        <v>3.0930629999999999</v>
      </c>
      <c r="T6850">
        <v>-0.30350700000000003</v>
      </c>
      <c r="U6850">
        <v>0.14447019999999999</v>
      </c>
      <c r="V6850">
        <v>0.16058800000000001</v>
      </c>
      <c r="W6850">
        <v>0.18027180000000001</v>
      </c>
      <c r="X6850">
        <v>0.97041929999999998</v>
      </c>
      <c r="Y6850">
        <v>0.18679989999999999</v>
      </c>
      <c r="Z6850">
        <v>-3.1878299999999998E-2</v>
      </c>
      <c r="AA6850">
        <v>0.98188059999999999</v>
      </c>
      <c r="AB6850">
        <v>11</v>
      </c>
      <c r="AC6850">
        <v>0.69169999999996801</v>
      </c>
      <c r="AD6850">
        <v>-7.9013000000000194E-2</v>
      </c>
      <c r="AE6850">
        <v>1.3800000000003299E-2</v>
      </c>
      <c r="AF6850">
        <v>0.146810485223169</v>
      </c>
      <c r="AG6850">
        <v>-7.9013000000000194E-2</v>
      </c>
      <c r="AH6850">
        <v>0.66696327753705398</v>
      </c>
      <c r="AI6850">
        <v>96.599611512353206</v>
      </c>
      <c r="AJ6850">
        <v>77.586144117596902</v>
      </c>
      <c r="AK6850">
        <v>0.68748555353798702</v>
      </c>
      <c r="AL6850">
        <v>79.614408456420193</v>
      </c>
      <c r="AM6850">
        <v>80.603670668573898</v>
      </c>
      <c r="AN6850">
        <v>1.0000000227158601</v>
      </c>
    </row>
    <row r="6851" spans="1:40" x14ac:dyDescent="0.25">
      <c r="A6851" t="str">
        <f>"20190312172844079"</f>
        <v>20190312172844079</v>
      </c>
      <c r="B6851" t="str">
        <f>"1552382924076620"</f>
        <v>1552382924076620</v>
      </c>
      <c r="C6851" t="s">
        <v>40</v>
      </c>
      <c r="D6851">
        <v>3.6978439999999999</v>
      </c>
      <c r="E6851">
        <v>0.51165439999999995</v>
      </c>
      <c r="F6851" t="s">
        <v>44</v>
      </c>
      <c r="G6851">
        <v>-165.36850000000001</v>
      </c>
      <c r="H6851">
        <v>1.031196</v>
      </c>
      <c r="I6851">
        <v>137.43690000000001</v>
      </c>
      <c r="J6851">
        <v>-166.05269999999999</v>
      </c>
      <c r="K6851">
        <v>1.109345</v>
      </c>
      <c r="L6851">
        <v>137.4248</v>
      </c>
      <c r="M6851">
        <v>0.97278299999999995</v>
      </c>
      <c r="N6851">
        <v>0</v>
      </c>
      <c r="O6851">
        <v>0.23132440000000001</v>
      </c>
      <c r="P6851">
        <v>0.98333459999999995</v>
      </c>
      <c r="Q6851">
        <v>0.16809950000000001</v>
      </c>
      <c r="R6851">
        <v>6.9253759999999998E-2</v>
      </c>
      <c r="S6851">
        <v>3.093445</v>
      </c>
      <c r="T6851">
        <v>-0.30512030000000001</v>
      </c>
      <c r="U6851">
        <v>0.13381960000000001</v>
      </c>
      <c r="V6851">
        <v>0.16062860000000001</v>
      </c>
      <c r="W6851">
        <v>0.1807657</v>
      </c>
      <c r="X6851">
        <v>0.97032070000000004</v>
      </c>
      <c r="Y6851">
        <v>0.18707689999999999</v>
      </c>
      <c r="Z6851">
        <v>-3.1767249999999997E-2</v>
      </c>
      <c r="AA6851">
        <v>0.98183149999999997</v>
      </c>
      <c r="AB6851">
        <v>11</v>
      </c>
      <c r="AC6851">
        <v>0.68419999999997505</v>
      </c>
      <c r="AD6851">
        <v>-7.8148999999999996E-2</v>
      </c>
      <c r="AE6851">
        <v>1.21000000000037E-2</v>
      </c>
      <c r="AF6851">
        <v>0.144628583396327</v>
      </c>
      <c r="AG6851">
        <v>-7.8148999999999996E-2</v>
      </c>
      <c r="AH6851">
        <v>0.65983252056963104</v>
      </c>
      <c r="AI6851">
        <v>96.599273032796305</v>
      </c>
      <c r="AJ6851">
        <v>77.636864892855698</v>
      </c>
      <c r="AK6851">
        <v>0.68000268274287101</v>
      </c>
      <c r="AL6851">
        <v>79.585637411804996</v>
      </c>
      <c r="AM6851">
        <v>80.600399451483796</v>
      </c>
      <c r="AN6851">
        <v>1.0000000231414601</v>
      </c>
    </row>
    <row r="6852" spans="1:40" x14ac:dyDescent="0.25">
      <c r="A6852" t="str">
        <f>"20190312172844101"</f>
        <v>20190312172844101</v>
      </c>
      <c r="B6852" t="str">
        <f>"1552382924097116"</f>
        <v>1552382924097116</v>
      </c>
      <c r="C6852" t="s">
        <v>40</v>
      </c>
      <c r="D6852">
        <v>3.7022179999999998</v>
      </c>
      <c r="E6852">
        <v>0.51161990000000002</v>
      </c>
      <c r="F6852" t="s">
        <v>44</v>
      </c>
      <c r="G6852">
        <v>-165.26769999999999</v>
      </c>
      <c r="H6852">
        <v>1.0321560000000001</v>
      </c>
      <c r="I6852">
        <v>137.45590000000001</v>
      </c>
      <c r="J6852">
        <v>-165.9408</v>
      </c>
      <c r="K6852">
        <v>1.1093409999999999</v>
      </c>
      <c r="L6852">
        <v>137.44739999999999</v>
      </c>
      <c r="M6852">
        <v>0.97354850000000004</v>
      </c>
      <c r="N6852">
        <v>0</v>
      </c>
      <c r="O6852">
        <v>0.22808129999999999</v>
      </c>
      <c r="P6852">
        <v>0.98342300000000005</v>
      </c>
      <c r="Q6852">
        <v>0.16891249999999999</v>
      </c>
      <c r="R6852">
        <v>6.5938319999999995E-2</v>
      </c>
      <c r="S6852">
        <v>3.0941619999999999</v>
      </c>
      <c r="T6852">
        <v>-0.30405149999999997</v>
      </c>
      <c r="U6852">
        <v>0.1230011</v>
      </c>
      <c r="V6852">
        <v>0.16064010000000001</v>
      </c>
      <c r="W6852">
        <v>0.1815746</v>
      </c>
      <c r="X6852">
        <v>0.97016769999999997</v>
      </c>
      <c r="Y6852">
        <v>0.18726970000000001</v>
      </c>
      <c r="Z6852">
        <v>-3.1352709999999999E-2</v>
      </c>
      <c r="AA6852">
        <v>0.98180809999999996</v>
      </c>
      <c r="AB6852">
        <v>11</v>
      </c>
      <c r="AC6852">
        <v>0.67310000000000503</v>
      </c>
      <c r="AD6852">
        <v>-7.7185000000000004E-2</v>
      </c>
      <c r="AE6852">
        <v>8.5000000000263701E-3</v>
      </c>
      <c r="AF6852">
        <v>0.14337460488067999</v>
      </c>
      <c r="AG6852">
        <v>-7.7185000000000004E-2</v>
      </c>
      <c r="AH6852">
        <v>0.64876456307171104</v>
      </c>
      <c r="AI6852">
        <v>96.626307911719607</v>
      </c>
      <c r="AJ6852">
        <v>77.538141286613794</v>
      </c>
      <c r="AK6852">
        <v>0.66888658220009101</v>
      </c>
      <c r="AL6852">
        <v>79.538510451308596</v>
      </c>
      <c r="AM6852">
        <v>80.598282510671595</v>
      </c>
      <c r="AN6852">
        <v>0.99999997160822895</v>
      </c>
    </row>
    <row r="6853" spans="1:40" x14ac:dyDescent="0.25">
      <c r="A6853" t="str">
        <f>"20190312172844124"</f>
        <v>20190312172844124</v>
      </c>
      <c r="B6853" t="str">
        <f>"1552382924116635"</f>
        <v>1552382924116635</v>
      </c>
      <c r="C6853" t="s">
        <v>40</v>
      </c>
      <c r="D6853">
        <v>3.7090010000000002</v>
      </c>
      <c r="E6853">
        <v>0.51159189999999999</v>
      </c>
      <c r="F6853" t="s">
        <v>44</v>
      </c>
      <c r="G6853">
        <v>-165.16679999999999</v>
      </c>
      <c r="H6853">
        <v>1.033801</v>
      </c>
      <c r="I6853">
        <v>137.47550000000001</v>
      </c>
      <c r="J6853">
        <v>-165.82689999999999</v>
      </c>
      <c r="K6853">
        <v>1.109332</v>
      </c>
      <c r="L6853">
        <v>137.4699</v>
      </c>
      <c r="M6853">
        <v>0.97432859999999999</v>
      </c>
      <c r="N6853">
        <v>0</v>
      </c>
      <c r="O6853">
        <v>0.22472500000000001</v>
      </c>
      <c r="P6853">
        <v>0.98367349999999998</v>
      </c>
      <c r="Q6853">
        <v>0.1689591</v>
      </c>
      <c r="R6853">
        <v>6.1962780000000002E-2</v>
      </c>
      <c r="S6853">
        <v>3.0948639999999998</v>
      </c>
      <c r="T6853">
        <v>-0.3017745</v>
      </c>
      <c r="U6853">
        <v>0.11277769999999999</v>
      </c>
      <c r="V6853">
        <v>0.16122129999999901</v>
      </c>
      <c r="W6853">
        <v>0.1816159</v>
      </c>
      <c r="X6853">
        <v>0.97006360000000003</v>
      </c>
      <c r="Y6853">
        <v>0.1871787</v>
      </c>
      <c r="Z6853">
        <v>-3.0792429999999999E-2</v>
      </c>
      <c r="AA6853">
        <v>0.98184320000000003</v>
      </c>
      <c r="AB6853">
        <v>11</v>
      </c>
      <c r="AC6853">
        <v>0.66009999999999902</v>
      </c>
      <c r="AD6853">
        <v>-7.5531000000000001E-2</v>
      </c>
      <c r="AE6853">
        <v>5.6000000000153696E-3</v>
      </c>
      <c r="AF6853">
        <v>0.14105115390172299</v>
      </c>
      <c r="AG6853">
        <v>-7.5531000000000001E-2</v>
      </c>
      <c r="AH6853">
        <v>0.63614329640502498</v>
      </c>
      <c r="AI6853">
        <v>96.612068781599007</v>
      </c>
      <c r="AJ6853">
        <v>77.498147375790495</v>
      </c>
      <c r="AK6853">
        <v>0.65595628935094397</v>
      </c>
      <c r="AL6853">
        <v>79.536104589586998</v>
      </c>
      <c r="AM6853">
        <v>80.563883106048607</v>
      </c>
      <c r="AN6853">
        <v>1.00000001537572</v>
      </c>
    </row>
    <row r="6854" spans="1:40" x14ac:dyDescent="0.25">
      <c r="A6854" t="str">
        <f>"20190312172844146"</f>
        <v>20190312172844146</v>
      </c>
      <c r="B6854" t="str">
        <f>"1552382924137132"</f>
        <v>1552382924137132</v>
      </c>
      <c r="C6854" t="s">
        <v>40</v>
      </c>
      <c r="D6854">
        <v>3.7029830000000001</v>
      </c>
      <c r="E6854">
        <v>0.51156880000000005</v>
      </c>
      <c r="F6854" t="s">
        <v>44</v>
      </c>
      <c r="G6854">
        <v>-165.06649999999999</v>
      </c>
      <c r="H6854">
        <v>1.035069</v>
      </c>
      <c r="I6854">
        <v>137.4949</v>
      </c>
      <c r="J6854">
        <v>-165.71680000000001</v>
      </c>
      <c r="K6854">
        <v>1.109326</v>
      </c>
      <c r="L6854">
        <v>137.49119999999999</v>
      </c>
      <c r="M6854">
        <v>0.9750839</v>
      </c>
      <c r="N6854">
        <v>0</v>
      </c>
      <c r="O6854">
        <v>0.2214246</v>
      </c>
      <c r="P6854">
        <v>0.98405750000000003</v>
      </c>
      <c r="Q6854">
        <v>0.1678587</v>
      </c>
      <c r="R6854">
        <v>5.8775149999999998E-2</v>
      </c>
      <c r="S6854">
        <v>3.0952760000000001</v>
      </c>
      <c r="T6854">
        <v>-0.30226550000000002</v>
      </c>
      <c r="U6854">
        <v>0.1018829</v>
      </c>
      <c r="V6854">
        <v>0.16112119999999999</v>
      </c>
      <c r="W6854">
        <v>0.1805166</v>
      </c>
      <c r="X6854">
        <v>0.97028539999999996</v>
      </c>
      <c r="Y6854">
        <v>0.1873184</v>
      </c>
      <c r="Z6854">
        <v>-3.053442E-2</v>
      </c>
      <c r="AA6854">
        <v>0.98182460000000005</v>
      </c>
      <c r="AB6854">
        <v>11</v>
      </c>
      <c r="AC6854">
        <v>0.65030000000001498</v>
      </c>
      <c r="AD6854">
        <v>-7.4257000000000004E-2</v>
      </c>
      <c r="AE6854">
        <v>3.70000000000914E-3</v>
      </c>
      <c r="AF6854">
        <v>0.138590387152037</v>
      </c>
      <c r="AG6854">
        <v>-7.4257000000000004E-2</v>
      </c>
      <c r="AH6854">
        <v>0.62680162776050896</v>
      </c>
      <c r="AI6854">
        <v>96.598410474873404</v>
      </c>
      <c r="AJ6854">
        <v>77.532083322901997</v>
      </c>
      <c r="AK6854">
        <v>0.64622107519267302</v>
      </c>
      <c r="AL6854">
        <v>79.600148485671994</v>
      </c>
      <c r="AM6854">
        <v>80.571753588203507</v>
      </c>
      <c r="AN6854">
        <v>1.00000002070908</v>
      </c>
    </row>
    <row r="6855" spans="1:40" x14ac:dyDescent="0.25">
      <c r="A6855" t="str">
        <f>"20190312172844169"</f>
        <v>20190312172844169</v>
      </c>
      <c r="B6855" t="str">
        <f>"1552382924166412"</f>
        <v>1552382924166412</v>
      </c>
      <c r="C6855" t="s">
        <v>40</v>
      </c>
      <c r="D6855">
        <v>3.7303030000000001</v>
      </c>
      <c r="E6855">
        <v>0.50904640000000001</v>
      </c>
      <c r="F6855" t="s">
        <v>44</v>
      </c>
      <c r="G6855">
        <v>-164.96719999999999</v>
      </c>
      <c r="H6855">
        <v>1.0352300000000001</v>
      </c>
      <c r="I6855">
        <v>137.51339999999999</v>
      </c>
      <c r="J6855">
        <v>-165.60570000000001</v>
      </c>
      <c r="K6855">
        <v>1.1093139999999999</v>
      </c>
      <c r="L6855">
        <v>137.51220000000001</v>
      </c>
      <c r="M6855">
        <v>0.97584400000000004</v>
      </c>
      <c r="N6855">
        <v>0</v>
      </c>
      <c r="O6855">
        <v>0.21805050000000001</v>
      </c>
      <c r="P6855">
        <v>0.98426449999999999</v>
      </c>
      <c r="Q6855">
        <v>0.1675557</v>
      </c>
      <c r="R6855">
        <v>5.6109890000000003E-2</v>
      </c>
      <c r="S6855">
        <v>3.0953059999999999</v>
      </c>
      <c r="T6855">
        <v>-0.30591560000000001</v>
      </c>
      <c r="U6855">
        <v>9.2010499999999995E-2</v>
      </c>
      <c r="V6855">
        <v>0.16040370000000001</v>
      </c>
      <c r="W6855">
        <v>0.1802165</v>
      </c>
      <c r="X6855">
        <v>0.97046010000000005</v>
      </c>
      <c r="Y6855">
        <v>0.18702070000000001</v>
      </c>
      <c r="Z6855">
        <v>-3.0564049999999999E-2</v>
      </c>
      <c r="AA6855">
        <v>0.98188039999999999</v>
      </c>
      <c r="AB6855">
        <v>11</v>
      </c>
      <c r="AC6855">
        <v>0.63850000000002105</v>
      </c>
      <c r="AD6855">
        <v>-7.4083999999999997E-2</v>
      </c>
      <c r="AE6855">
        <v>1.1999999999829901E-3</v>
      </c>
      <c r="AF6855">
        <v>0.136232795222547</v>
      </c>
      <c r="AG6855">
        <v>-7.4083999999999997E-2</v>
      </c>
      <c r="AH6855">
        <v>0.61511396394602802</v>
      </c>
      <c r="AI6855">
        <v>96.706612875876999</v>
      </c>
      <c r="AJ6855">
        <v>77.511958520638998</v>
      </c>
      <c r="AK6855">
        <v>0.63436030943900001</v>
      </c>
      <c r="AL6855">
        <v>79.617630164250599</v>
      </c>
      <c r="AM6855">
        <v>80.614650017038002</v>
      </c>
      <c r="AN6855">
        <v>1.0000000697689699</v>
      </c>
    </row>
    <row r="6856" spans="1:40" x14ac:dyDescent="0.25">
      <c r="A6856" t="str">
        <f>"20190312172844191"</f>
        <v>20190312172844191</v>
      </c>
      <c r="B6856" t="str">
        <f>"1552382924186908"</f>
        <v>1552382924186908</v>
      </c>
      <c r="C6856" t="s">
        <v>40</v>
      </c>
      <c r="D6856">
        <v>3.7210570000000001</v>
      </c>
      <c r="E6856">
        <v>0.50916740000000005</v>
      </c>
      <c r="F6856" t="s">
        <v>44</v>
      </c>
      <c r="G6856">
        <v>-164.7749</v>
      </c>
      <c r="H6856">
        <v>1.0224260000000001</v>
      </c>
      <c r="I6856">
        <v>137.5394</v>
      </c>
      <c r="J6856">
        <v>-165.49189999999999</v>
      </c>
      <c r="K6856">
        <v>1.10931</v>
      </c>
      <c r="L6856">
        <v>137.53319999999999</v>
      </c>
      <c r="M6856">
        <v>0.97661949999999997</v>
      </c>
      <c r="N6856">
        <v>0</v>
      </c>
      <c r="O6856">
        <v>0.2145503</v>
      </c>
      <c r="P6856">
        <v>0.98449439999999999</v>
      </c>
      <c r="Q6856">
        <v>0.16716979999999901</v>
      </c>
      <c r="R6856">
        <v>5.3150669999999997E-2</v>
      </c>
      <c r="S6856">
        <v>3.097305</v>
      </c>
      <c r="T6856">
        <v>-0.32378600000000002</v>
      </c>
      <c r="U6856">
        <v>0.1019135</v>
      </c>
      <c r="V6856">
        <v>0.159853</v>
      </c>
      <c r="W6856">
        <v>0.179833299999999</v>
      </c>
      <c r="X6856">
        <v>0.97062190000000004</v>
      </c>
      <c r="Y6856">
        <v>0.18020240000000001</v>
      </c>
      <c r="Z6856">
        <v>-3.160288E-2</v>
      </c>
      <c r="AA6856">
        <v>0.98312180000000005</v>
      </c>
      <c r="AB6856">
        <v>11</v>
      </c>
      <c r="AC6856">
        <v>0.71699999999998398</v>
      </c>
      <c r="AD6856">
        <v>-8.6883999999999906E-2</v>
      </c>
      <c r="AE6856">
        <v>6.2000000000068597E-3</v>
      </c>
      <c r="AF6856">
        <v>0.14565242710041201</v>
      </c>
      <c r="AG6856">
        <v>-8.6883999999999906E-2</v>
      </c>
      <c r="AH6856">
        <v>0.69147760133452896</v>
      </c>
      <c r="AI6856">
        <v>97.009436742276904</v>
      </c>
      <c r="AJ6856">
        <v>78.105137831863203</v>
      </c>
      <c r="AK6856">
        <v>0.71197242371007197</v>
      </c>
      <c r="AL6856">
        <v>79.639949164404698</v>
      </c>
      <c r="AM6856">
        <v>80.647833187431701</v>
      </c>
      <c r="AN6856">
        <v>0.99999993507874796</v>
      </c>
    </row>
    <row r="6857" spans="1:40" x14ac:dyDescent="0.25">
      <c r="A6857" t="str">
        <f>"20190312172844214"</f>
        <v>20190312172844214</v>
      </c>
      <c r="B6857" t="str">
        <f>"1552382924206428"</f>
        <v>1552382924206428</v>
      </c>
      <c r="C6857" t="s">
        <v>40</v>
      </c>
      <c r="D6857">
        <v>3.7325889999999999</v>
      </c>
      <c r="E6857">
        <v>0.50893829999999995</v>
      </c>
      <c r="F6857" t="s">
        <v>44</v>
      </c>
      <c r="G6857">
        <v>-164.67519999999999</v>
      </c>
      <c r="H6857">
        <v>1.0239929999999999</v>
      </c>
      <c r="I6857">
        <v>137.5574</v>
      </c>
      <c r="J6857">
        <v>-165.3826</v>
      </c>
      <c r="K6857">
        <v>1.1093170000000001</v>
      </c>
      <c r="L6857">
        <v>137.55289999999999</v>
      </c>
      <c r="M6857">
        <v>0.9773577</v>
      </c>
      <c r="N6857">
        <v>0</v>
      </c>
      <c r="O6857">
        <v>0.21116170000000001</v>
      </c>
      <c r="P6857">
        <v>0.98462519999999998</v>
      </c>
      <c r="Q6857">
        <v>0.16734599999999999</v>
      </c>
      <c r="R6857">
        <v>5.0083589999999997E-2</v>
      </c>
      <c r="S6857">
        <v>3.0972140000000001</v>
      </c>
      <c r="T6857">
        <v>-0.32350959999999901</v>
      </c>
      <c r="U6857">
        <v>9.1812130000000006E-2</v>
      </c>
      <c r="V6857">
        <v>0.15950059999999999</v>
      </c>
      <c r="W6857">
        <v>0.18001249999999999</v>
      </c>
      <c r="X6857">
        <v>0.97064669999999997</v>
      </c>
      <c r="Y6857">
        <v>0.18001619999999999</v>
      </c>
      <c r="Z6857">
        <v>-3.1224680000000001E-2</v>
      </c>
      <c r="AA6857">
        <v>0.98316789999999998</v>
      </c>
      <c r="AB6857">
        <v>11</v>
      </c>
      <c r="AC6857">
        <v>0.70740000000000602</v>
      </c>
      <c r="AD6857">
        <v>-8.5324000000000094E-2</v>
      </c>
      <c r="AE6857">
        <v>4.5000000000072699E-3</v>
      </c>
      <c r="AF6857">
        <v>0.142911878733846</v>
      </c>
      <c r="AG6857">
        <v>-8.5324000000000094E-2</v>
      </c>
      <c r="AH6857">
        <v>0.68246795693665496</v>
      </c>
      <c r="AI6857">
        <v>96.976517589506898</v>
      </c>
      <c r="AJ6857">
        <v>78.172901901112496</v>
      </c>
      <c r="AK6857">
        <v>0.70247170925563196</v>
      </c>
      <c r="AL6857">
        <v>79.629511882907394</v>
      </c>
      <c r="AM6857">
        <v>80.668321439921002</v>
      </c>
      <c r="AN6857">
        <v>0.99999997888874903</v>
      </c>
    </row>
    <row r="6858" spans="1:40" x14ac:dyDescent="0.25">
      <c r="A6858" t="str">
        <f>"20190312172844238"</f>
        <v>20190312172844238</v>
      </c>
      <c r="B6858" t="str">
        <f>"1552382924227029"</f>
        <v>1552382924227029</v>
      </c>
      <c r="C6858" t="s">
        <v>40</v>
      </c>
      <c r="D6858">
        <v>3.6783440000000001</v>
      </c>
      <c r="E6858">
        <v>0.50880079999999905</v>
      </c>
      <c r="F6858" t="s">
        <v>44</v>
      </c>
      <c r="G6858">
        <v>-164.57589999999999</v>
      </c>
      <c r="H6858">
        <v>1.0251699999999999</v>
      </c>
      <c r="I6858">
        <v>137.57490000000001</v>
      </c>
      <c r="J6858">
        <v>-165.26220000000001</v>
      </c>
      <c r="K6858">
        <v>1.109327</v>
      </c>
      <c r="L6858">
        <v>137.57419999999999</v>
      </c>
      <c r="M6858">
        <v>0.97816380000000003</v>
      </c>
      <c r="N6858">
        <v>0</v>
      </c>
      <c r="O6858">
        <v>0.20739650000000001</v>
      </c>
      <c r="P6858">
        <v>0.98483010000000004</v>
      </c>
      <c r="Q6858">
        <v>0.16695789999999999</v>
      </c>
      <c r="R6858">
        <v>4.727199E-2</v>
      </c>
      <c r="S6858">
        <v>3.097397</v>
      </c>
      <c r="T6858">
        <v>-0.32284869999999999</v>
      </c>
      <c r="U6858">
        <v>8.4945679999999996E-2</v>
      </c>
      <c r="V6858">
        <v>0.15853829999999999</v>
      </c>
      <c r="W6858">
        <v>0.1796335</v>
      </c>
      <c r="X6858">
        <v>0.97087449999999997</v>
      </c>
      <c r="Y6858">
        <v>0.17844560000000001</v>
      </c>
      <c r="Z6858">
        <v>-3.0695940000000001E-2</v>
      </c>
      <c r="AA6858">
        <v>0.98347090000000004</v>
      </c>
      <c r="AB6858">
        <v>11</v>
      </c>
      <c r="AC6858">
        <v>0.68630000000001701</v>
      </c>
      <c r="AD6858">
        <v>-8.4156999999999801E-2</v>
      </c>
      <c r="AE6858">
        <v>7.0000000002323705E-4</v>
      </c>
      <c r="AF6858">
        <v>0.139565807820802</v>
      </c>
      <c r="AG6858">
        <v>-8.4156999999999801E-2</v>
      </c>
      <c r="AH6858">
        <v>0.66157234246313801</v>
      </c>
      <c r="AI6858">
        <v>97.095002739354399</v>
      </c>
      <c r="AJ6858">
        <v>78.087508342675207</v>
      </c>
      <c r="AK6858">
        <v>0.68135084917671995</v>
      </c>
      <c r="AL6858">
        <v>79.651586429730699</v>
      </c>
      <c r="AM6858">
        <v>80.7257785174574</v>
      </c>
      <c r="AN6858">
        <v>0.99999994081969301</v>
      </c>
    </row>
    <row r="6859" spans="1:40" x14ac:dyDescent="0.25">
      <c r="A6859" t="str">
        <f>"20190312172844261"</f>
        <v>20190312172844261</v>
      </c>
      <c r="B6859" t="str">
        <f>"1552382924257285"</f>
        <v>1552382924257285</v>
      </c>
      <c r="C6859" t="s">
        <v>40</v>
      </c>
      <c r="D6859">
        <v>3.706207</v>
      </c>
      <c r="E6859">
        <v>0.50698189999999999</v>
      </c>
      <c r="F6859" t="s">
        <v>44</v>
      </c>
      <c r="G6859">
        <v>-164.4769</v>
      </c>
      <c r="H6859">
        <v>1.0269740000000001</v>
      </c>
      <c r="I6859">
        <v>137.59379999999999</v>
      </c>
      <c r="J6859">
        <v>-165.15099999999899</v>
      </c>
      <c r="K6859">
        <v>1.1093470000000001</v>
      </c>
      <c r="L6859">
        <v>137.59350000000001</v>
      </c>
      <c r="M6859">
        <v>0.97889800000000005</v>
      </c>
      <c r="N6859">
        <v>0</v>
      </c>
      <c r="O6859">
        <v>0.2039031</v>
      </c>
      <c r="P6859">
        <v>0.98498129999999995</v>
      </c>
      <c r="Q6859">
        <v>0.1667352</v>
      </c>
      <c r="R6859">
        <v>4.484805E-2</v>
      </c>
      <c r="S6859">
        <v>3.0975489999999999</v>
      </c>
      <c r="T6859">
        <v>-0.32471899999999998</v>
      </c>
      <c r="U6859">
        <v>7.7362059999999996E-2</v>
      </c>
      <c r="V6859">
        <v>0.15745880000000001</v>
      </c>
      <c r="W6859">
        <v>0.179421</v>
      </c>
      <c r="X6859">
        <v>0.97108950000000005</v>
      </c>
      <c r="Y6859">
        <v>0.1773419</v>
      </c>
      <c r="Z6859">
        <v>-3.045724E-2</v>
      </c>
      <c r="AA6859">
        <v>0.98367789999999999</v>
      </c>
      <c r="AB6859">
        <v>11</v>
      </c>
      <c r="AC6859">
        <v>0.67409999999998105</v>
      </c>
      <c r="AD6859">
        <v>-8.2372999999999794E-2</v>
      </c>
      <c r="AE6859">
        <v>2.9999999998153699E-4</v>
      </c>
      <c r="AF6859">
        <v>0.13515180826279299</v>
      </c>
      <c r="AG6859">
        <v>-8.2372999999999794E-2</v>
      </c>
      <c r="AH6859">
        <v>0.65028630827994405</v>
      </c>
      <c r="AI6859">
        <v>97.069816759165207</v>
      </c>
      <c r="AJ6859">
        <v>78.259116203597202</v>
      </c>
      <c r="AK6859">
        <v>0.66927095046928597</v>
      </c>
      <c r="AL6859">
        <v>79.663963408556</v>
      </c>
      <c r="AM6859">
        <v>80.789845751916204</v>
      </c>
      <c r="AN6859">
        <v>0.99999999297434505</v>
      </c>
    </row>
    <row r="6860" spans="1:40" x14ac:dyDescent="0.25">
      <c r="A6860" t="str">
        <f>"20190312172844283"</f>
        <v>20190312172844283</v>
      </c>
      <c r="B6860" t="str">
        <f>"1552382924276805"</f>
        <v>1552382924276805</v>
      </c>
      <c r="C6860" t="s">
        <v>40</v>
      </c>
      <c r="D6860">
        <v>3.7062439999999999</v>
      </c>
      <c r="E6860">
        <v>0.50681690000000001</v>
      </c>
      <c r="F6860" t="s">
        <v>44</v>
      </c>
      <c r="G6860">
        <v>-164.3794</v>
      </c>
      <c r="H6860">
        <v>1.0265770000000001</v>
      </c>
      <c r="I6860">
        <v>137.614</v>
      </c>
      <c r="J6860">
        <v>-165.0402</v>
      </c>
      <c r="K6860">
        <v>1.10937</v>
      </c>
      <c r="L6860">
        <v>137.6122</v>
      </c>
      <c r="M6860">
        <v>0.97961909999999996</v>
      </c>
      <c r="N6860">
        <v>0</v>
      </c>
      <c r="O6860">
        <v>0.20041049999999999</v>
      </c>
      <c r="P6860">
        <v>0.98507670000000003</v>
      </c>
      <c r="Q6860">
        <v>0.1668338</v>
      </c>
      <c r="R6860">
        <v>4.2316659999999999E-2</v>
      </c>
      <c r="S6860">
        <v>3.0981749999999999</v>
      </c>
      <c r="T6860">
        <v>-0.33208759999999998</v>
      </c>
      <c r="U6860">
        <v>8.3206180000000005E-2</v>
      </c>
      <c r="V6860">
        <v>0.15647749999999999</v>
      </c>
      <c r="W6860">
        <v>0.17952789999999999</v>
      </c>
      <c r="X6860">
        <v>0.97122839999999999</v>
      </c>
      <c r="Y6860">
        <v>0.1719376</v>
      </c>
      <c r="Z6860">
        <v>-3.0480859999999999E-2</v>
      </c>
      <c r="AA6860">
        <v>0.98463619999999996</v>
      </c>
      <c r="AB6860">
        <v>11</v>
      </c>
      <c r="AC6860">
        <v>0.66079999999999395</v>
      </c>
      <c r="AD6860">
        <v>-8.2792999999999894E-2</v>
      </c>
      <c r="AE6860">
        <v>1.8000000000029099E-3</v>
      </c>
      <c r="AF6860">
        <v>0.12866013467844301</v>
      </c>
      <c r="AG6860">
        <v>-8.2792999999999894E-2</v>
      </c>
      <c r="AH6860">
        <v>0.63774075887423598</v>
      </c>
      <c r="AI6860">
        <v>97.252388568974595</v>
      </c>
      <c r="AJ6860">
        <v>78.594039672277006</v>
      </c>
      <c r="AK6860">
        <v>0.65583640233976104</v>
      </c>
      <c r="AL6860">
        <v>79.657737886559104</v>
      </c>
      <c r="AM6860">
        <v>80.847556682918906</v>
      </c>
      <c r="AN6860">
        <v>1.0000000399255999</v>
      </c>
    </row>
    <row r="6861" spans="1:40" x14ac:dyDescent="0.25">
      <c r="A6861" t="str">
        <f>"20190312172844303"</f>
        <v>20190312172844303</v>
      </c>
      <c r="B6861" t="str">
        <f>"1552382924296325"</f>
        <v>1552382924296325</v>
      </c>
      <c r="C6861" t="s">
        <v>40</v>
      </c>
      <c r="D6861">
        <v>3.7042039999999998</v>
      </c>
      <c r="E6861">
        <v>0.50674509999999995</v>
      </c>
      <c r="F6861" t="s">
        <v>44</v>
      </c>
      <c r="G6861">
        <v>-164.28059999999999</v>
      </c>
      <c r="H6861">
        <v>1.027941</v>
      </c>
      <c r="I6861">
        <v>137.631</v>
      </c>
      <c r="J6861">
        <v>-164.94059999999999</v>
      </c>
      <c r="K6861">
        <v>1.1093900000000001</v>
      </c>
      <c r="L6861">
        <v>137.62870000000001</v>
      </c>
      <c r="M6861">
        <v>0.98025660000000003</v>
      </c>
      <c r="N6861">
        <v>0</v>
      </c>
      <c r="O6861">
        <v>0.1972689</v>
      </c>
      <c r="P6861">
        <v>0.98508039999999997</v>
      </c>
      <c r="Q6861">
        <v>0.16723080000000001</v>
      </c>
      <c r="R6861">
        <v>4.062851E-2</v>
      </c>
      <c r="S6861">
        <v>3.0984340000000001</v>
      </c>
      <c r="T6861">
        <v>-0.33203850000000001</v>
      </c>
      <c r="U6861">
        <v>7.6492309999999994E-2</v>
      </c>
      <c r="V6861">
        <v>0.155004799999999</v>
      </c>
      <c r="W6861">
        <v>0.1799346</v>
      </c>
      <c r="X6861">
        <v>0.97138919999999995</v>
      </c>
      <c r="Y6861">
        <v>0.1709388</v>
      </c>
      <c r="Z6861">
        <v>-3.009237E-2</v>
      </c>
      <c r="AA6861">
        <v>0.98482199999999998</v>
      </c>
      <c r="AB6861">
        <v>11</v>
      </c>
      <c r="AC6861">
        <v>0.65999999999999603</v>
      </c>
      <c r="AD6861">
        <v>-8.1448999999999799E-2</v>
      </c>
      <c r="AE6861">
        <v>2.29999999999108E-3</v>
      </c>
      <c r="AF6861">
        <v>0.12603510737943599</v>
      </c>
      <c r="AG6861">
        <v>-8.1448999999999799E-2</v>
      </c>
      <c r="AH6861">
        <v>0.63776924729587803</v>
      </c>
      <c r="AI6861">
        <v>97.141162636862603</v>
      </c>
      <c r="AJ6861">
        <v>78.821320126143902</v>
      </c>
      <c r="AK6861">
        <v>0.65518577570754499</v>
      </c>
      <c r="AL6861">
        <v>79.634049148303305</v>
      </c>
      <c r="AM6861">
        <v>80.933733943604096</v>
      </c>
      <c r="AN6861">
        <v>0.99999996308841899</v>
      </c>
    </row>
    <row r="6862" spans="1:40" x14ac:dyDescent="0.25">
      <c r="A6862" t="str">
        <f>"20190312172844325"</f>
        <v>20190312172844325</v>
      </c>
      <c r="B6862" t="str">
        <f>"1552382924316820"</f>
        <v>1552382924316820</v>
      </c>
      <c r="C6862" t="s">
        <v>40</v>
      </c>
      <c r="D6862">
        <v>3.7308590000000001</v>
      </c>
      <c r="E6862">
        <v>0.50672510000000004</v>
      </c>
      <c r="F6862" t="s">
        <v>44</v>
      </c>
      <c r="G6862">
        <v>-164.18209999999999</v>
      </c>
      <c r="H6862">
        <v>1.0282549999999999</v>
      </c>
      <c r="I6862">
        <v>137.64609999999999</v>
      </c>
      <c r="J6862">
        <v>-164.82980000000001</v>
      </c>
      <c r="K6862">
        <v>1.109407</v>
      </c>
      <c r="L6862">
        <v>137.64670000000001</v>
      </c>
      <c r="M6862">
        <v>0.98095270000000001</v>
      </c>
      <c r="N6862">
        <v>0</v>
      </c>
      <c r="O6862">
        <v>0.1937778</v>
      </c>
      <c r="P6862">
        <v>0.98500010000000005</v>
      </c>
      <c r="Q6862">
        <v>0.168132</v>
      </c>
      <c r="R6862">
        <v>3.881333E-2</v>
      </c>
      <c r="S6862">
        <v>3.0987399999999998</v>
      </c>
      <c r="T6862">
        <v>-0.331316099999999</v>
      </c>
      <c r="U6862">
        <v>7.1365360000000003E-2</v>
      </c>
      <c r="V6862">
        <v>0.15329589999999901</v>
      </c>
      <c r="W6862">
        <v>0.1808449</v>
      </c>
      <c r="X6862">
        <v>0.97149129999999995</v>
      </c>
      <c r="Y6862">
        <v>0.169101799999999</v>
      </c>
      <c r="Z6862">
        <v>-2.956162E-2</v>
      </c>
      <c r="AA6862">
        <v>0.98515520000000001</v>
      </c>
      <c r="AB6862">
        <v>11</v>
      </c>
      <c r="AC6862">
        <v>0.64770000000001404</v>
      </c>
      <c r="AD6862">
        <v>-8.1152000000000099E-2</v>
      </c>
      <c r="AE6862">
        <v>-6.0000000001991696E-4</v>
      </c>
      <c r="AF6862">
        <v>0.12416082359976401</v>
      </c>
      <c r="AG6862">
        <v>-8.1152000000000099E-2</v>
      </c>
      <c r="AH6862">
        <v>0.62548559353406896</v>
      </c>
      <c r="AI6862">
        <v>97.252442563792897</v>
      </c>
      <c r="AJ6862">
        <v>78.772559077632394</v>
      </c>
      <c r="AK6862">
        <v>0.64283262591411705</v>
      </c>
      <c r="AL6862">
        <v>79.581022546411504</v>
      </c>
      <c r="AM6862">
        <v>81.032981751572706</v>
      </c>
      <c r="AN6862">
        <v>0.999999928394252</v>
      </c>
    </row>
    <row r="6863" spans="1:40" x14ac:dyDescent="0.25">
      <c r="A6863" t="str">
        <f>"20190312172844348"</f>
        <v>20190312172844348</v>
      </c>
      <c r="B6863" t="str">
        <f>"1552382924336341"</f>
        <v>1552382924336341</v>
      </c>
      <c r="C6863" t="s">
        <v>40</v>
      </c>
      <c r="D6863">
        <v>3.720329</v>
      </c>
      <c r="E6863">
        <v>0.5066039</v>
      </c>
      <c r="F6863" t="s">
        <v>44</v>
      </c>
      <c r="G6863">
        <v>-164.08349999999999</v>
      </c>
      <c r="H6863">
        <v>1.0300530000000001</v>
      </c>
      <c r="I6863">
        <v>137.66239999999999</v>
      </c>
      <c r="J6863">
        <v>-164.72190000000001</v>
      </c>
      <c r="K6863">
        <v>1.1094299999999999</v>
      </c>
      <c r="L6863">
        <v>137.66380000000001</v>
      </c>
      <c r="M6863">
        <v>0.98161710000000002</v>
      </c>
      <c r="N6863">
        <v>0</v>
      </c>
      <c r="O6863">
        <v>0.19038430000000001</v>
      </c>
      <c r="P6863">
        <v>0.98496779999999995</v>
      </c>
      <c r="Q6863">
        <v>0.16872409999999999</v>
      </c>
      <c r="R6863">
        <v>3.7028079999999998E-2</v>
      </c>
      <c r="S6863">
        <v>3.0993499999999998</v>
      </c>
      <c r="T6863">
        <v>-0.3295575</v>
      </c>
      <c r="U6863">
        <v>6.5170290000000006E-2</v>
      </c>
      <c r="V6863">
        <v>0.15166660000000001</v>
      </c>
      <c r="W6863">
        <v>0.1814461</v>
      </c>
      <c r="X6863">
        <v>0.97163500000000003</v>
      </c>
      <c r="Y6863">
        <v>0.1677157</v>
      </c>
      <c r="Z6863">
        <v>-2.8973680000000002E-2</v>
      </c>
      <c r="AA6863">
        <v>0.9854096</v>
      </c>
      <c r="AB6863">
        <v>11</v>
      </c>
      <c r="AC6863">
        <v>0.63840000000001795</v>
      </c>
      <c r="AD6863">
        <v>-7.9376999999999795E-2</v>
      </c>
      <c r="AE6863">
        <v>-1.40000000001805E-3</v>
      </c>
      <c r="AF6863">
        <v>0.121055288284016</v>
      </c>
      <c r="AG6863">
        <v>-7.9376999999999795E-2</v>
      </c>
      <c r="AH6863">
        <v>0.61691736329302005</v>
      </c>
      <c r="AI6863">
        <v>97.196049159745201</v>
      </c>
      <c r="AJ6863">
        <v>78.898129667477704</v>
      </c>
      <c r="AK6863">
        <v>0.63367351537123495</v>
      </c>
      <c r="AL6863">
        <v>79.545997718587401</v>
      </c>
      <c r="AM6863">
        <v>81.128054306458594</v>
      </c>
      <c r="AN6863">
        <v>1.00000000899288</v>
      </c>
    </row>
    <row r="6864" spans="1:40" x14ac:dyDescent="0.25">
      <c r="A6864" t="str">
        <f>"20190312172844370"</f>
        <v>20190312172844370</v>
      </c>
      <c r="B6864" t="str">
        <f>"1552382924366597"</f>
        <v>1552382924366597</v>
      </c>
      <c r="C6864" t="s">
        <v>40</v>
      </c>
      <c r="D6864">
        <v>3.7266140000000001</v>
      </c>
      <c r="E6864">
        <v>0.50641289999999906</v>
      </c>
      <c r="F6864" t="s">
        <v>44</v>
      </c>
      <c r="G6864">
        <v>-163.98509999999999</v>
      </c>
      <c r="H6864">
        <v>1.0312859999999999</v>
      </c>
      <c r="I6864">
        <v>137.678</v>
      </c>
      <c r="J6864">
        <v>-164.61439999999999</v>
      </c>
      <c r="K6864">
        <v>1.109448</v>
      </c>
      <c r="L6864">
        <v>137.68049999999999</v>
      </c>
      <c r="M6864">
        <v>0.98226610000000003</v>
      </c>
      <c r="N6864">
        <v>0</v>
      </c>
      <c r="O6864">
        <v>0.1870067</v>
      </c>
      <c r="P6864">
        <v>0.98496930000000005</v>
      </c>
      <c r="Q6864">
        <v>0.1690632</v>
      </c>
      <c r="R6864">
        <v>3.5399430000000003E-2</v>
      </c>
      <c r="S6864">
        <v>3.0997919999999999</v>
      </c>
      <c r="T6864">
        <v>-0.32841930000000003</v>
      </c>
      <c r="U6864">
        <v>5.9997559999999998E-2</v>
      </c>
      <c r="V6864">
        <v>0.14990880000000001</v>
      </c>
      <c r="W6864">
        <v>0.1817945</v>
      </c>
      <c r="X6864">
        <v>0.9718426</v>
      </c>
      <c r="Y6864">
        <v>0.166014299999999</v>
      </c>
      <c r="Z6864">
        <v>-2.8429880000000001E-2</v>
      </c>
      <c r="AA6864">
        <v>0.98571339999999996</v>
      </c>
      <c r="AB6864">
        <v>11</v>
      </c>
      <c r="AC6864">
        <v>0.62929999999999997</v>
      </c>
      <c r="AD6864">
        <v>-7.8161999999999801E-2</v>
      </c>
      <c r="AE6864">
        <v>-2.4999999999977202E-3</v>
      </c>
      <c r="AF6864">
        <v>0.11832456323477</v>
      </c>
      <c r="AG6864">
        <v>-7.8161999999999801E-2</v>
      </c>
      <c r="AH6864">
        <v>0.60834404092851102</v>
      </c>
      <c r="AI6864">
        <v>97.188176246382199</v>
      </c>
      <c r="AJ6864">
        <v>78.993242555314694</v>
      </c>
      <c r="AK6864">
        <v>0.62465388227555996</v>
      </c>
      <c r="AL6864">
        <v>79.525697785373197</v>
      </c>
      <c r="AM6864">
        <v>81.231115710915603</v>
      </c>
      <c r="AN6864">
        <v>0.99999996386122403</v>
      </c>
    </row>
    <row r="6865" spans="1:40" x14ac:dyDescent="0.25">
      <c r="A6865" t="str">
        <f>"20190312172844391"</f>
        <v>20190312172844391</v>
      </c>
      <c r="B6865" t="str">
        <f>"1552382924387096"</f>
        <v>1552382924387096</v>
      </c>
      <c r="C6865" t="s">
        <v>40</v>
      </c>
      <c r="D6865">
        <v>3.7274229999999999</v>
      </c>
      <c r="E6865">
        <v>0.50640410000000002</v>
      </c>
      <c r="F6865" t="s">
        <v>44</v>
      </c>
      <c r="G6865">
        <v>-163.792</v>
      </c>
      <c r="H6865">
        <v>1.022405</v>
      </c>
      <c r="I6865">
        <v>137.6952</v>
      </c>
      <c r="J6865">
        <v>-164.50290000000001</v>
      </c>
      <c r="K6865">
        <v>1.1094679999999999</v>
      </c>
      <c r="L6865">
        <v>137.69739999999999</v>
      </c>
      <c r="M6865">
        <v>0.98292520000000005</v>
      </c>
      <c r="N6865">
        <v>0</v>
      </c>
      <c r="O6865">
        <v>0.18351110000000001</v>
      </c>
      <c r="P6865">
        <v>0.98495160000000004</v>
      </c>
      <c r="Q6865">
        <v>0.1694379</v>
      </c>
      <c r="R6865">
        <v>3.4075429999999997E-2</v>
      </c>
      <c r="S6865">
        <v>3.100098</v>
      </c>
      <c r="T6865">
        <v>-0.3279899</v>
      </c>
      <c r="U6865">
        <v>5.5709839999999997E-2</v>
      </c>
      <c r="V6865">
        <v>0.14773410000000001</v>
      </c>
      <c r="W6865">
        <v>0.18217949999999999</v>
      </c>
      <c r="X6865">
        <v>0.97210350000000001</v>
      </c>
      <c r="Y6865">
        <v>0.16390779999999999</v>
      </c>
      <c r="Z6865">
        <v>-2.7916409999999999E-2</v>
      </c>
      <c r="AA6865">
        <v>0.98608059999999997</v>
      </c>
      <c r="AB6865">
        <v>11</v>
      </c>
      <c r="AC6865">
        <v>0.71090000000000897</v>
      </c>
      <c r="AD6865">
        <v>-8.7063000000000099E-2</v>
      </c>
      <c r="AE6865">
        <v>-2.1999999999877599E-3</v>
      </c>
      <c r="AF6865">
        <v>0.130672642765369</v>
      </c>
      <c r="AG6865">
        <v>-8.7063000000000099E-2</v>
      </c>
      <c r="AH6865">
        <v>0.68810082584765897</v>
      </c>
      <c r="AI6865">
        <v>97.085801999854795</v>
      </c>
      <c r="AJ6865">
        <v>79.247378439430193</v>
      </c>
      <c r="AK6865">
        <v>0.70578895717382595</v>
      </c>
      <c r="AL6865">
        <v>79.503264405121698</v>
      </c>
      <c r="AM6865">
        <v>81.358674059689307</v>
      </c>
      <c r="AN6865">
        <v>0.999999974617654</v>
      </c>
    </row>
    <row r="6866" spans="1:40" x14ac:dyDescent="0.25">
      <c r="A6866" t="str">
        <f>"20190312172844414"</f>
        <v>20190312172844414</v>
      </c>
      <c r="B6866" t="str">
        <f>"1552382924406613"</f>
        <v>1552382924406613</v>
      </c>
      <c r="C6866" t="s">
        <v>40</v>
      </c>
      <c r="D6866">
        <v>3.7126049999999999</v>
      </c>
      <c r="E6866">
        <v>0.50636550000000002</v>
      </c>
      <c r="F6866" t="s">
        <v>44</v>
      </c>
      <c r="G6866">
        <v>-163.6942</v>
      </c>
      <c r="H6866">
        <v>1.0240659999999999</v>
      </c>
      <c r="I6866">
        <v>137.7106</v>
      </c>
      <c r="J6866">
        <v>-164.39510000000001</v>
      </c>
      <c r="K6866">
        <v>1.1094850000000001</v>
      </c>
      <c r="L6866">
        <v>137.71340000000001</v>
      </c>
      <c r="M6866">
        <v>0.98355000000000004</v>
      </c>
      <c r="N6866">
        <v>0</v>
      </c>
      <c r="O6866">
        <v>0.18013309999999999</v>
      </c>
      <c r="P6866">
        <v>0.98495060000000001</v>
      </c>
      <c r="Q6866">
        <v>0.1696174</v>
      </c>
      <c r="R6866">
        <v>3.3199729999999997E-2</v>
      </c>
      <c r="S6866">
        <v>3.100403</v>
      </c>
      <c r="T6866">
        <v>-0.32742329999999997</v>
      </c>
      <c r="U6866">
        <v>5.0369259999999999E-2</v>
      </c>
      <c r="V6866">
        <v>0.1452416</v>
      </c>
      <c r="W6866">
        <v>0.1823698</v>
      </c>
      <c r="X6866">
        <v>0.97244330000000001</v>
      </c>
      <c r="Y6866">
        <v>0.1622537</v>
      </c>
      <c r="Z6866">
        <v>-2.7428870000000001E-2</v>
      </c>
      <c r="AA6866">
        <v>0.98636780000000002</v>
      </c>
      <c r="AB6866">
        <v>11</v>
      </c>
      <c r="AC6866">
        <v>0.70090000000001795</v>
      </c>
      <c r="AD6866">
        <v>-8.5419000000000106E-2</v>
      </c>
      <c r="AE6866">
        <v>-2.80000000000768E-3</v>
      </c>
      <c r="AF6866">
        <v>0.12713273955995999</v>
      </c>
      <c r="AG6866">
        <v>-8.5419000000000106E-2</v>
      </c>
      <c r="AH6866">
        <v>0.67884599670363799</v>
      </c>
      <c r="AI6866">
        <v>97.050509533360696</v>
      </c>
      <c r="AJ6866">
        <v>79.392647652217207</v>
      </c>
      <c r="AK6866">
        <v>0.69591021422995103</v>
      </c>
      <c r="AL6866">
        <v>79.4921746577417</v>
      </c>
      <c r="AM6866">
        <v>81.505246035234094</v>
      </c>
      <c r="AN6866">
        <v>0.99999991901874097</v>
      </c>
    </row>
    <row r="6867" spans="1:40" x14ac:dyDescent="0.25">
      <c r="A6867" t="str">
        <f>"20190312172844437"</f>
        <v>20190312172844437</v>
      </c>
      <c r="B6867" t="str">
        <f>"1552382924427109"</f>
        <v>1552382924427109</v>
      </c>
      <c r="C6867" t="s">
        <v>40</v>
      </c>
      <c r="D6867">
        <v>3.72959</v>
      </c>
      <c r="E6867">
        <v>0.50634029999999997</v>
      </c>
      <c r="F6867" t="s">
        <v>44</v>
      </c>
      <c r="G6867">
        <v>-163.5968</v>
      </c>
      <c r="H6867">
        <v>1.025156</v>
      </c>
      <c r="I6867">
        <v>137.7252</v>
      </c>
      <c r="J6867">
        <v>-164.2843</v>
      </c>
      <c r="K6867">
        <v>1.10949599999999</v>
      </c>
      <c r="L6867">
        <v>137.7294</v>
      </c>
      <c r="M6867">
        <v>0.98417880000000002</v>
      </c>
      <c r="N6867">
        <v>0</v>
      </c>
      <c r="O6867">
        <v>0.17666579999999901</v>
      </c>
      <c r="P6867">
        <v>0.98486130000000005</v>
      </c>
      <c r="Q6867">
        <v>0.17026289999999999</v>
      </c>
      <c r="R6867">
        <v>3.2546539999999999E-2</v>
      </c>
      <c r="S6867">
        <v>3.1006619999999998</v>
      </c>
      <c r="T6867">
        <v>-0.32739230000000002</v>
      </c>
      <c r="U6867">
        <v>4.6112060000000003E-2</v>
      </c>
      <c r="V6867">
        <v>0.14242939999999901</v>
      </c>
      <c r="W6867">
        <v>0.1830252</v>
      </c>
      <c r="X6867">
        <v>0.97273620000000005</v>
      </c>
      <c r="Y6867">
        <v>0.1601631</v>
      </c>
      <c r="Z6867">
        <v>-2.695444E-2</v>
      </c>
      <c r="AA6867">
        <v>0.98672249999999995</v>
      </c>
      <c r="AB6867">
        <v>11</v>
      </c>
      <c r="AC6867">
        <v>0.6875</v>
      </c>
      <c r="AD6867">
        <v>-8.4339999999999804E-2</v>
      </c>
      <c r="AE6867">
        <v>-4.1999999999973101E-3</v>
      </c>
      <c r="AF6867">
        <v>0.123740511779108</v>
      </c>
      <c r="AG6867">
        <v>-8.4339999999999804E-2</v>
      </c>
      <c r="AH6867">
        <v>0.66592080579133095</v>
      </c>
      <c r="AI6867">
        <v>97.097946484655395</v>
      </c>
      <c r="AJ6867">
        <v>79.473434969521193</v>
      </c>
      <c r="AK6867">
        <v>0.68255070832952103</v>
      </c>
      <c r="AL6867">
        <v>79.453981405942798</v>
      </c>
      <c r="AM6867">
        <v>81.669865503400402</v>
      </c>
      <c r="AN6867">
        <v>1.00000003630491</v>
      </c>
    </row>
    <row r="6868" spans="1:40" x14ac:dyDescent="0.25">
      <c r="A6868" t="str">
        <f>"20190312172844464"</f>
        <v>20190312172844464</v>
      </c>
      <c r="B6868" t="str">
        <f>"1552382924457364"</f>
        <v>1552382924457364</v>
      </c>
      <c r="C6868" t="s">
        <v>40</v>
      </c>
      <c r="D6868">
        <v>3.6989580000000002</v>
      </c>
      <c r="E6868">
        <v>0.50636539999999997</v>
      </c>
      <c r="F6868" t="s">
        <v>44</v>
      </c>
      <c r="G6868">
        <v>-163.49930000000001</v>
      </c>
      <c r="H6868">
        <v>1.027101</v>
      </c>
      <c r="I6868">
        <v>137.74029999999999</v>
      </c>
      <c r="J6868">
        <v>-164.15819999999999</v>
      </c>
      <c r="K6868">
        <v>1.10951</v>
      </c>
      <c r="L6868">
        <v>137.74719999999999</v>
      </c>
      <c r="M6868">
        <v>0.98487840000000004</v>
      </c>
      <c r="N6868">
        <v>0</v>
      </c>
      <c r="O6868">
        <v>0.1727235</v>
      </c>
      <c r="P6868">
        <v>0.98468869999999997</v>
      </c>
      <c r="Q6868">
        <v>0.17150550000000001</v>
      </c>
      <c r="R6868">
        <v>3.1210390000000001E-2</v>
      </c>
      <c r="S6868">
        <v>3.1009669999999998</v>
      </c>
      <c r="T6868">
        <v>-0.32544620000000002</v>
      </c>
      <c r="U6868">
        <v>4.2861940000000001E-2</v>
      </c>
      <c r="V6868">
        <v>0.13980909999999999</v>
      </c>
      <c r="W6868">
        <v>0.1842744</v>
      </c>
      <c r="X6868">
        <v>0.97288050000000004</v>
      </c>
      <c r="Y6868">
        <v>0.15730559999999999</v>
      </c>
      <c r="Z6868">
        <v>-2.623605E-2</v>
      </c>
      <c r="AA6868">
        <v>0.98720140000000001</v>
      </c>
      <c r="AB6868">
        <v>11</v>
      </c>
      <c r="AC6868">
        <v>0.65889999999998805</v>
      </c>
      <c r="AD6868">
        <v>-8.2408999999999899E-2</v>
      </c>
      <c r="AE6868">
        <v>-6.90000000000168E-3</v>
      </c>
      <c r="AF6868">
        <v>0.118756634467604</v>
      </c>
      <c r="AG6868">
        <v>-8.2408999999999899E-2</v>
      </c>
      <c r="AH6868">
        <v>0.63782704652257005</v>
      </c>
      <c r="AI6868">
        <v>97.238935079566701</v>
      </c>
      <c r="AJ6868">
        <v>79.452903523881105</v>
      </c>
      <c r="AK6868">
        <v>0.65400131711394605</v>
      </c>
      <c r="AL6868">
        <v>79.381169285136593</v>
      </c>
      <c r="AM6868">
        <v>81.822220785132103</v>
      </c>
      <c r="AN6868">
        <v>1.0000000531091999</v>
      </c>
    </row>
    <row r="6869" spans="1:40" x14ac:dyDescent="0.25">
      <c r="A6869" t="str">
        <f>"20190312172844483"</f>
        <v>20190312172844483</v>
      </c>
      <c r="B6869" t="str">
        <f>"1552382924476885"</f>
        <v>1552382924476885</v>
      </c>
      <c r="C6869" t="s">
        <v>40</v>
      </c>
      <c r="D6869">
        <v>3.8718279999999998</v>
      </c>
      <c r="E6869">
        <v>0.50649359999999999</v>
      </c>
      <c r="F6869" t="s">
        <v>44</v>
      </c>
      <c r="G6869">
        <v>-163.4014</v>
      </c>
      <c r="H6869">
        <v>1.030707</v>
      </c>
      <c r="I6869">
        <v>137.75649999999999</v>
      </c>
      <c r="J6869">
        <v>-164.0608</v>
      </c>
      <c r="K6869">
        <v>1.109529</v>
      </c>
      <c r="L6869">
        <v>137.76060000000001</v>
      </c>
      <c r="M6869">
        <v>0.98540810000000001</v>
      </c>
      <c r="N6869">
        <v>0</v>
      </c>
      <c r="O6869">
        <v>0.16967499999999999</v>
      </c>
      <c r="P6869">
        <v>0.98450660000000001</v>
      </c>
      <c r="Q6869">
        <v>0.172599</v>
      </c>
      <c r="R6869">
        <v>3.0925290000000001E-2</v>
      </c>
      <c r="S6869">
        <v>3.1016240000000002</v>
      </c>
      <c r="T6869">
        <v>-0.32276539999999998</v>
      </c>
      <c r="U6869">
        <v>3.8513180000000001E-2</v>
      </c>
      <c r="V6869">
        <v>0.13704059999999901</v>
      </c>
      <c r="W6869">
        <v>0.18537519999999999</v>
      </c>
      <c r="X6869">
        <v>0.97306519999999996</v>
      </c>
      <c r="Y6869">
        <v>0.1556921</v>
      </c>
      <c r="Z6869">
        <v>-2.562002E-2</v>
      </c>
      <c r="AA6869">
        <v>0.9874733</v>
      </c>
      <c r="AB6869">
        <v>11</v>
      </c>
      <c r="AC6869">
        <v>0.65940000000000498</v>
      </c>
      <c r="AD6869">
        <v>-7.8821999999999906E-2</v>
      </c>
      <c r="AE6869">
        <v>-4.1000000000224104E-3</v>
      </c>
      <c r="AF6869">
        <v>0.114301207759503</v>
      </c>
      <c r="AG6869">
        <v>-7.8821999999999906E-2</v>
      </c>
      <c r="AH6869">
        <v>0.63999681209840098</v>
      </c>
      <c r="AI6869">
        <v>96.912889534025496</v>
      </c>
      <c r="AJ6869">
        <v>79.873934770206603</v>
      </c>
      <c r="AK6869">
        <v>0.65488441214873705</v>
      </c>
      <c r="AL6869">
        <v>79.316991705755598</v>
      </c>
      <c r="AM6869">
        <v>81.983532594838394</v>
      </c>
      <c r="AN6869">
        <v>0.99999998713721905</v>
      </c>
    </row>
    <row r="6870" spans="1:40" x14ac:dyDescent="0.25">
      <c r="A6870" t="str">
        <f>"20190312172844571"</f>
        <v>20190312172844571</v>
      </c>
      <c r="B6870" t="str">
        <f>"1552382924566676"</f>
        <v>1552382924566676</v>
      </c>
      <c r="C6870" t="s">
        <v>40</v>
      </c>
      <c r="D6870">
        <v>3.7749869999999999</v>
      </c>
      <c r="E6870">
        <v>0.50388159999999904</v>
      </c>
      <c r="F6870" t="s">
        <v>44</v>
      </c>
      <c r="G6870">
        <v>-163.30430000000001</v>
      </c>
      <c r="H6870">
        <v>1.0321549999999999</v>
      </c>
      <c r="I6870">
        <v>137.7697</v>
      </c>
      <c r="J6870">
        <v>-163.6378</v>
      </c>
      <c r="K6870">
        <v>1.109569</v>
      </c>
      <c r="L6870">
        <v>137.815</v>
      </c>
      <c r="M6870">
        <v>0.98759759999999996</v>
      </c>
      <c r="N6870">
        <v>0</v>
      </c>
      <c r="O6870">
        <v>0.15643009999999999</v>
      </c>
      <c r="P6870">
        <v>0.98450990000000005</v>
      </c>
      <c r="Q6870">
        <v>0.17285699999999901</v>
      </c>
      <c r="R6870">
        <v>2.9343290000000001E-2</v>
      </c>
      <c r="S6870">
        <v>3.1016240000000002</v>
      </c>
      <c r="T6870">
        <v>-0.3170577</v>
      </c>
      <c r="U6870">
        <v>3.7597659999999998E-2</v>
      </c>
      <c r="V6870">
        <v>0.1254856</v>
      </c>
      <c r="W6870">
        <v>0.18567320000000001</v>
      </c>
      <c r="X6870">
        <v>0.97456600000000004</v>
      </c>
      <c r="Y6870">
        <v>0.1429069</v>
      </c>
      <c r="Z6870">
        <v>-2.3181730000000001E-2</v>
      </c>
      <c r="AA6870">
        <v>0.98946460000000003</v>
      </c>
      <c r="AB6870">
        <v>11</v>
      </c>
      <c r="AC6870">
        <v>0.33349999999998597</v>
      </c>
      <c r="AD6870">
        <v>-7.7414000000000094E-2</v>
      </c>
      <c r="AE6870">
        <v>-4.5299999999997398E-2</v>
      </c>
      <c r="AF6870">
        <v>9.2046520018198394E-2</v>
      </c>
      <c r="AG6870">
        <v>-7.7414000000000094E-2</v>
      </c>
      <c r="AH6870">
        <v>0.306111397728351</v>
      </c>
      <c r="AI6870">
        <v>103.613933520546</v>
      </c>
      <c r="AJ6870">
        <v>73.264169486577501</v>
      </c>
      <c r="AK6870">
        <v>0.32889158861647</v>
      </c>
      <c r="AL6870">
        <v>79.299616385554202</v>
      </c>
      <c r="AM6870">
        <v>82.662937078630705</v>
      </c>
      <c r="AN6870">
        <v>1.0000000306807899</v>
      </c>
    </row>
    <row r="6871" spans="1:40" x14ac:dyDescent="0.25">
      <c r="A6871" t="str">
        <f>"20190312172844593"</f>
        <v>20190312172844593</v>
      </c>
      <c r="B6871" t="str">
        <f>"1552382924587173"</f>
        <v>1552382924587173</v>
      </c>
      <c r="C6871" t="s">
        <v>40</v>
      </c>
      <c r="D6871">
        <v>3.7264140000000001</v>
      </c>
      <c r="E6871">
        <v>0.50719119999999995</v>
      </c>
      <c r="F6871" t="s">
        <v>44</v>
      </c>
      <c r="G6871">
        <v>-162.87360000000001</v>
      </c>
      <c r="H6871">
        <v>0.93209169999999997</v>
      </c>
      <c r="I6871">
        <v>137.82589999999999</v>
      </c>
      <c r="J6871">
        <v>-163.53120000000001</v>
      </c>
      <c r="K6871">
        <v>1.10958</v>
      </c>
      <c r="L6871">
        <v>137.8279</v>
      </c>
      <c r="M6871">
        <v>0.98812040000000001</v>
      </c>
      <c r="N6871">
        <v>0</v>
      </c>
      <c r="O6871">
        <v>0.15309339999999999</v>
      </c>
      <c r="P6871">
        <v>0.98458480000000004</v>
      </c>
      <c r="Q6871">
        <v>0.17262259999999999</v>
      </c>
      <c r="R6871">
        <v>2.818472E-2</v>
      </c>
      <c r="S6871">
        <v>3.1752470000000002</v>
      </c>
      <c r="T6871">
        <v>-0.73697190000000001</v>
      </c>
      <c r="U6871">
        <v>4.5486449999999998E-2</v>
      </c>
      <c r="V6871">
        <v>0.1233375</v>
      </c>
      <c r="W6871">
        <v>0.18544640000000001</v>
      </c>
      <c r="X6871">
        <v>0.97488330000000001</v>
      </c>
      <c r="Y6871">
        <v>0.13140389999999999</v>
      </c>
      <c r="Z6871">
        <v>-5.000197E-2</v>
      </c>
      <c r="AA6871">
        <v>0.99006709999999998</v>
      </c>
      <c r="AB6871">
        <v>11</v>
      </c>
      <c r="AC6871">
        <v>0.65760000000000196</v>
      </c>
      <c r="AD6871">
        <v>-0.17748829999999999</v>
      </c>
      <c r="AE6871">
        <v>-2.0000000000095402E-3</v>
      </c>
      <c r="AF6871">
        <v>9.5689061701719799E-2</v>
      </c>
      <c r="AG6871">
        <v>-0.17748829999999999</v>
      </c>
      <c r="AH6871">
        <v>0.60543618140196998</v>
      </c>
      <c r="AI6871">
        <v>106.14908338018</v>
      </c>
      <c r="AJ6871">
        <v>81.018705760905902</v>
      </c>
      <c r="AK6871">
        <v>0.63813122703472502</v>
      </c>
      <c r="AL6871">
        <v>79.312840159476806</v>
      </c>
      <c r="AM6871">
        <v>82.789523916371806</v>
      </c>
      <c r="AN6871">
        <v>0.999999977399049</v>
      </c>
    </row>
    <row r="6872" spans="1:40" x14ac:dyDescent="0.25">
      <c r="A6872" t="str">
        <f>"20190312172844616"</f>
        <v>20190312172844616</v>
      </c>
      <c r="B6872" t="str">
        <f>"1552382924606693"</f>
        <v>1552382924606693</v>
      </c>
      <c r="C6872" t="s">
        <v>40</v>
      </c>
      <c r="D6872">
        <v>3.7557520000000002</v>
      </c>
      <c r="E6872">
        <v>0.50790840000000004</v>
      </c>
      <c r="F6872" t="s">
        <v>44</v>
      </c>
      <c r="G6872">
        <v>-162.72739999999999</v>
      </c>
      <c r="H6872">
        <v>1.033439</v>
      </c>
      <c r="I6872">
        <v>137.83269999999999</v>
      </c>
      <c r="J6872">
        <v>-163.42339999999999</v>
      </c>
      <c r="K6872">
        <v>1.1095950000000001</v>
      </c>
      <c r="L6872">
        <v>137.84049999999999</v>
      </c>
      <c r="M6872">
        <v>0.98863570000000001</v>
      </c>
      <c r="N6872">
        <v>0</v>
      </c>
      <c r="O6872">
        <v>0.1497299</v>
      </c>
      <c r="P6872">
        <v>0.98456690000000002</v>
      </c>
      <c r="Q6872">
        <v>0.172814</v>
      </c>
      <c r="R6872">
        <v>2.762423E-2</v>
      </c>
      <c r="S6872">
        <v>3.0978240000000001</v>
      </c>
      <c r="T6872">
        <v>-0.2932997</v>
      </c>
      <c r="U6872">
        <v>1.8875119999999999E-2</v>
      </c>
      <c r="V6872">
        <v>0.120557399999999</v>
      </c>
      <c r="W6872">
        <v>0.1856479</v>
      </c>
      <c r="X6872">
        <v>0.97519270000000002</v>
      </c>
      <c r="Y6872">
        <v>0.14241409999999999</v>
      </c>
      <c r="Z6872">
        <v>-2.0830769999999998E-2</v>
      </c>
      <c r="AA6872">
        <v>0.98958800000000002</v>
      </c>
      <c r="AB6872">
        <v>11</v>
      </c>
      <c r="AC6872">
        <v>0.69599999999999795</v>
      </c>
      <c r="AD6872">
        <v>-7.6156000000000099E-2</v>
      </c>
      <c r="AE6872">
        <v>-7.80000000000313E-3</v>
      </c>
      <c r="AF6872">
        <v>0.11060934713331</v>
      </c>
      <c r="AG6872">
        <v>-7.6156000000000099E-2</v>
      </c>
      <c r="AH6872">
        <v>0.67885782925201299</v>
      </c>
      <c r="AI6872">
        <v>96.318194481512094</v>
      </c>
      <c r="AJ6872">
        <v>80.745862019904095</v>
      </c>
      <c r="AK6872">
        <v>0.69201308972158304</v>
      </c>
      <c r="AL6872">
        <v>79.301091456120204</v>
      </c>
      <c r="AM6872">
        <v>82.952612556404006</v>
      </c>
      <c r="AN6872">
        <v>1.0000000158012201</v>
      </c>
    </row>
    <row r="6873" spans="1:40" x14ac:dyDescent="0.25">
      <c r="A6873" t="str">
        <f>"20190312172844640"</f>
        <v>20190312172844640</v>
      </c>
      <c r="B6873" t="str">
        <f>"1552382924636678"</f>
        <v>1552382924636678</v>
      </c>
      <c r="C6873" t="s">
        <v>40</v>
      </c>
      <c r="D6873">
        <v>3.6915659999999999</v>
      </c>
      <c r="E6873">
        <v>0.50900610000000002</v>
      </c>
      <c r="F6873" t="s">
        <v>44</v>
      </c>
      <c r="G6873">
        <v>-162.6283</v>
      </c>
      <c r="H6873">
        <v>1.0406799999999901</v>
      </c>
      <c r="I6873">
        <v>137.84289999999999</v>
      </c>
      <c r="J6873">
        <v>-163.30760000000001</v>
      </c>
      <c r="K6873">
        <v>1.1096189999999999</v>
      </c>
      <c r="L6873">
        <v>137.8536</v>
      </c>
      <c r="M6873">
        <v>0.98917109999999997</v>
      </c>
      <c r="N6873">
        <v>0</v>
      </c>
      <c r="O6873">
        <v>0.14615149999999999</v>
      </c>
      <c r="P6873">
        <v>0.98449710000000001</v>
      </c>
      <c r="Q6873">
        <v>0.17341019999999999</v>
      </c>
      <c r="R6873">
        <v>2.6355440000000001E-2</v>
      </c>
      <c r="S6873">
        <v>3.0937960000000002</v>
      </c>
      <c r="T6873">
        <v>-0.268051599999999</v>
      </c>
      <c r="U6873">
        <v>9.7198489999999992E-3</v>
      </c>
      <c r="V6873">
        <v>0.1182545</v>
      </c>
      <c r="W6873">
        <v>0.18625369999999999</v>
      </c>
      <c r="X6873">
        <v>0.97535910000000003</v>
      </c>
      <c r="Y6873">
        <v>0.14197969999999999</v>
      </c>
      <c r="Z6873">
        <v>-1.8744500000000001E-2</v>
      </c>
      <c r="AA6873">
        <v>0.98969209999999996</v>
      </c>
      <c r="AB6873">
        <v>11</v>
      </c>
      <c r="AC6873">
        <v>0.67930000000001201</v>
      </c>
      <c r="AD6873">
        <v>-6.8939000000000306E-2</v>
      </c>
      <c r="AE6873">
        <v>-1.0700000000014099E-2</v>
      </c>
      <c r="AF6873">
        <v>0.10875492966111699</v>
      </c>
      <c r="AG6873">
        <v>-6.8939000000000306E-2</v>
      </c>
      <c r="AH6873">
        <v>0.66360755879984801</v>
      </c>
      <c r="AI6873">
        <v>95.853377022066098</v>
      </c>
      <c r="AJ6873">
        <v>80.692850868344905</v>
      </c>
      <c r="AK6873">
        <v>0.675984624487043</v>
      </c>
      <c r="AL6873">
        <v>79.265765066426894</v>
      </c>
      <c r="AM6873">
        <v>83.087085052079402</v>
      </c>
      <c r="AN6873">
        <v>0.99999997074337399</v>
      </c>
    </row>
    <row r="6874" spans="1:40" x14ac:dyDescent="0.25">
      <c r="A6874" t="str">
        <f>"20190312172844665"</f>
        <v>20190312172844665</v>
      </c>
      <c r="B6874" t="str">
        <f>"1552382924657174"</f>
        <v>1552382924657174</v>
      </c>
      <c r="C6874" t="s">
        <v>40</v>
      </c>
      <c r="D6874">
        <v>3.6741510000000002</v>
      </c>
      <c r="E6874">
        <v>0.50914929999999903</v>
      </c>
      <c r="F6874" t="s">
        <v>44</v>
      </c>
      <c r="G6874">
        <v>-162.5284</v>
      </c>
      <c r="H6874">
        <v>1.0462359999999999</v>
      </c>
      <c r="I6874">
        <v>137.8528</v>
      </c>
      <c r="J6874">
        <v>-163.18709999999999</v>
      </c>
      <c r="K6874">
        <v>1.109661</v>
      </c>
      <c r="L6874">
        <v>137.86699999999999</v>
      </c>
      <c r="M6874">
        <v>0.98970539999999996</v>
      </c>
      <c r="N6874">
        <v>0</v>
      </c>
      <c r="O6874">
        <v>0.14248849999999999</v>
      </c>
      <c r="P6874">
        <v>0.98448910000000001</v>
      </c>
      <c r="Q6874">
        <v>0.17365029999999901</v>
      </c>
      <c r="R6874">
        <v>2.503536E-2</v>
      </c>
      <c r="S6874">
        <v>3.0916139999999999</v>
      </c>
      <c r="T6874">
        <v>-0.25146380000000002</v>
      </c>
      <c r="U6874">
        <v>-3.1433110000000002E-3</v>
      </c>
      <c r="V6874">
        <v>0.1159208</v>
      </c>
      <c r="W6874">
        <v>0.1865067</v>
      </c>
      <c r="X6874">
        <v>0.97559090000000004</v>
      </c>
      <c r="Y6874">
        <v>0.14256859999999999</v>
      </c>
      <c r="Z6874">
        <v>-1.7330580000000002E-2</v>
      </c>
      <c r="AA6874">
        <v>0.98963319999999999</v>
      </c>
      <c r="AB6874">
        <v>11</v>
      </c>
      <c r="AC6874">
        <v>0.65869999999998097</v>
      </c>
      <c r="AD6874">
        <v>-6.3424999999999801E-2</v>
      </c>
      <c r="AE6874">
        <v>-1.42000000000166E-2</v>
      </c>
      <c r="AF6874">
        <v>0.106929789313287</v>
      </c>
      <c r="AG6874">
        <v>-6.3424999999999801E-2</v>
      </c>
      <c r="AH6874">
        <v>0.643986304204621</v>
      </c>
      <c r="AI6874">
        <v>95.549319085578603</v>
      </c>
      <c r="AJ6874">
        <v>80.572416845293205</v>
      </c>
      <c r="AK6874">
        <v>0.65587732882812</v>
      </c>
      <c r="AL6874">
        <v>79.251010940899505</v>
      </c>
      <c r="AM6874">
        <v>83.223822051484703</v>
      </c>
      <c r="AN6874">
        <v>0.99999999259017003</v>
      </c>
    </row>
    <row r="6875" spans="1:40" x14ac:dyDescent="0.25">
      <c r="A6875" t="str">
        <f>"20190312172844684"</f>
        <v>20190312172844684</v>
      </c>
      <c r="B6875" t="str">
        <f>"1552382924676693"</f>
        <v>1552382924676693</v>
      </c>
      <c r="C6875" t="s">
        <v>40</v>
      </c>
      <c r="D6875">
        <v>3.658785</v>
      </c>
      <c r="E6875">
        <v>0.50932259999999996</v>
      </c>
      <c r="F6875" t="s">
        <v>44</v>
      </c>
      <c r="G6875">
        <v>-162.43360000000001</v>
      </c>
      <c r="H6875">
        <v>1.0471440000000001</v>
      </c>
      <c r="I6875">
        <v>137.86519999999999</v>
      </c>
      <c r="J6875">
        <v>-163.0994</v>
      </c>
      <c r="K6875">
        <v>1.109702</v>
      </c>
      <c r="L6875">
        <v>137.87649999999999</v>
      </c>
      <c r="M6875">
        <v>0.9900755</v>
      </c>
      <c r="N6875">
        <v>0</v>
      </c>
      <c r="O6875">
        <v>0.1398943</v>
      </c>
      <c r="P6875">
        <v>0.9846705</v>
      </c>
      <c r="Q6875">
        <v>0.17254529999999901</v>
      </c>
      <c r="R6875">
        <v>2.553849E-2</v>
      </c>
      <c r="S6875">
        <v>3.0927120000000001</v>
      </c>
      <c r="T6875">
        <v>-0.25651610000000002</v>
      </c>
      <c r="U6875">
        <v>-7.064819E-3</v>
      </c>
      <c r="V6875">
        <v>0.1128608</v>
      </c>
      <c r="W6875">
        <v>0.18542249999999999</v>
      </c>
      <c r="X6875">
        <v>0.97615620000000003</v>
      </c>
      <c r="Y6875">
        <v>0.14120550000000001</v>
      </c>
      <c r="Z6875">
        <v>-1.7401960000000001E-2</v>
      </c>
      <c r="AA6875">
        <v>0.98982729999999997</v>
      </c>
      <c r="AB6875">
        <v>11</v>
      </c>
      <c r="AC6875">
        <v>0.66579999999998996</v>
      </c>
      <c r="AD6875">
        <v>-6.2557999999999794E-2</v>
      </c>
      <c r="AE6875">
        <v>-1.1300000000005601E-2</v>
      </c>
      <c r="AF6875">
        <v>0.103426058128414</v>
      </c>
      <c r="AG6875">
        <v>-6.2557999999999794E-2</v>
      </c>
      <c r="AH6875">
        <v>0.65191700918995699</v>
      </c>
      <c r="AI6875">
        <v>95.414022386608394</v>
      </c>
      <c r="AJ6875">
        <v>80.985206836743799</v>
      </c>
      <c r="AK6875">
        <v>0.66302808367003596</v>
      </c>
      <c r="AL6875">
        <v>79.314233890165198</v>
      </c>
      <c r="AM6875">
        <v>83.404884195248897</v>
      </c>
      <c r="AN6875">
        <v>0.99999999524066496</v>
      </c>
    </row>
    <row r="6876" spans="1:40" x14ac:dyDescent="0.25">
      <c r="A6876" t="str">
        <f>"20190312172844704"</f>
        <v>20190312172844704</v>
      </c>
      <c r="B6876" t="str">
        <f>"1552382924697190"</f>
        <v>1552382924697190</v>
      </c>
      <c r="C6876" t="s">
        <v>40</v>
      </c>
      <c r="D6876">
        <v>3.6396480000000002</v>
      </c>
      <c r="E6876">
        <v>0.50870879999999996</v>
      </c>
      <c r="F6876" t="s">
        <v>44</v>
      </c>
      <c r="G6876">
        <v>-162.34129999999999</v>
      </c>
      <c r="H6876">
        <v>1.044662</v>
      </c>
      <c r="I6876">
        <v>137.87469999999999</v>
      </c>
      <c r="J6876">
        <v>-162.9999</v>
      </c>
      <c r="K6876">
        <v>1.109756</v>
      </c>
      <c r="L6876">
        <v>137.887</v>
      </c>
      <c r="M6876">
        <v>0.99047430000000003</v>
      </c>
      <c r="N6876">
        <v>0</v>
      </c>
      <c r="O6876">
        <v>0.13704430000000001</v>
      </c>
      <c r="P6876">
        <v>0.98489110000000002</v>
      </c>
      <c r="Q6876">
        <v>0.1711442</v>
      </c>
      <c r="R6876">
        <v>2.645105E-2</v>
      </c>
      <c r="S6876">
        <v>3.0933839999999999</v>
      </c>
      <c r="T6876">
        <v>-0.265318</v>
      </c>
      <c r="U6876">
        <v>-6.9580079999999999E-3</v>
      </c>
      <c r="V6876">
        <v>0.1091355</v>
      </c>
      <c r="W6876">
        <v>0.18404799999999999</v>
      </c>
      <c r="X6876">
        <v>0.97683969999999998</v>
      </c>
      <c r="Y6876">
        <v>0.13827579999999901</v>
      </c>
      <c r="Z6876">
        <v>-1.7625370000000001E-2</v>
      </c>
      <c r="AA6876">
        <v>0.99023689999999998</v>
      </c>
      <c r="AB6876">
        <v>11</v>
      </c>
      <c r="AC6876">
        <v>0.65860000000000696</v>
      </c>
      <c r="AD6876">
        <v>-6.5093999999999902E-2</v>
      </c>
      <c r="AE6876">
        <v>-1.23000000000104E-2</v>
      </c>
      <c r="AF6876">
        <v>0.101458628986976</v>
      </c>
      <c r="AG6876">
        <v>-6.5093999999999902E-2</v>
      </c>
      <c r="AH6876">
        <v>0.64440629729599297</v>
      </c>
      <c r="AI6876">
        <v>95.698379327511105</v>
      </c>
      <c r="AJ6876">
        <v>81.052509460327002</v>
      </c>
      <c r="AK6876">
        <v>0.65558413512427904</v>
      </c>
      <c r="AL6876">
        <v>79.394366332606594</v>
      </c>
      <c r="AM6876">
        <v>83.625177264793606</v>
      </c>
      <c r="AN6876">
        <v>1.0000000115801699</v>
      </c>
    </row>
    <row r="6877" spans="1:40" x14ac:dyDescent="0.25">
      <c r="A6877" t="str">
        <f>"20190312172844728"</f>
        <v>20190312172844728</v>
      </c>
      <c r="B6877" t="str">
        <f>"1552382924716710"</f>
        <v>1552382924716710</v>
      </c>
      <c r="C6877" t="s">
        <v>40</v>
      </c>
      <c r="D6877">
        <v>3.7209789999999998</v>
      </c>
      <c r="E6877">
        <v>0.50834480000000004</v>
      </c>
      <c r="F6877" t="s">
        <v>44</v>
      </c>
      <c r="G6877">
        <v>-162.24959999999999</v>
      </c>
      <c r="H6877">
        <v>1.042629</v>
      </c>
      <c r="I6877">
        <v>137.88679999999999</v>
      </c>
      <c r="J6877">
        <v>-162.8937</v>
      </c>
      <c r="K6877">
        <v>1.109837</v>
      </c>
      <c r="L6877">
        <v>137.8982</v>
      </c>
      <c r="M6877">
        <v>0.99087309999999995</v>
      </c>
      <c r="N6877">
        <v>0</v>
      </c>
      <c r="O6877">
        <v>0.1341311</v>
      </c>
      <c r="P6877">
        <v>0.98495699999999997</v>
      </c>
      <c r="Q6877">
        <v>0.1708044</v>
      </c>
      <c r="R6877">
        <v>2.618649E-2</v>
      </c>
      <c r="S6877">
        <v>3.094131</v>
      </c>
      <c r="T6877">
        <v>-0.27673710000000001</v>
      </c>
      <c r="U6877">
        <v>-6.1035159999999996E-4</v>
      </c>
      <c r="V6877">
        <v>0.1064847</v>
      </c>
      <c r="W6877">
        <v>0.18373030000000001</v>
      </c>
      <c r="X6877">
        <v>0.97719199999999995</v>
      </c>
      <c r="Y6877">
        <v>0.13327359999999999</v>
      </c>
      <c r="Z6877">
        <v>-1.7894670000000001E-2</v>
      </c>
      <c r="AA6877">
        <v>0.99091770000000001</v>
      </c>
      <c r="AB6877">
        <v>11</v>
      </c>
      <c r="AC6877">
        <v>0.644100000000008</v>
      </c>
      <c r="AD6877">
        <v>-6.7208000000000101E-2</v>
      </c>
      <c r="AE6877">
        <v>-1.14000000000089E-2</v>
      </c>
      <c r="AF6877">
        <v>9.6646628220537795E-2</v>
      </c>
      <c r="AG6877">
        <v>-6.7208000000000101E-2</v>
      </c>
      <c r="AH6877">
        <v>0.62989344100724098</v>
      </c>
      <c r="AI6877">
        <v>96.020343803594798</v>
      </c>
      <c r="AJ6877">
        <v>81.2769471177225</v>
      </c>
      <c r="AK6877">
        <v>0.64079890217941304</v>
      </c>
      <c r="AL6877">
        <v>79.412884980226195</v>
      </c>
      <c r="AM6877">
        <v>83.781012045817903</v>
      </c>
      <c r="AN6877">
        <v>1.0000000096680799</v>
      </c>
    </row>
    <row r="6878" spans="1:40" x14ac:dyDescent="0.25">
      <c r="A6878" t="str">
        <f>"20190312172844750"</f>
        <v>20190312172844750</v>
      </c>
      <c r="B6878" t="str">
        <f>"1552382924746966"</f>
        <v>1552382924746966</v>
      </c>
      <c r="C6878" t="s">
        <v>40</v>
      </c>
      <c r="D6878">
        <v>3.6950050000000001</v>
      </c>
      <c r="E6878">
        <v>0.50838969999999895</v>
      </c>
      <c r="F6878" t="s">
        <v>44</v>
      </c>
      <c r="G6878">
        <v>-162.15610000000001</v>
      </c>
      <c r="H6878">
        <v>1.04244</v>
      </c>
      <c r="I6878">
        <v>137.89859999999999</v>
      </c>
      <c r="J6878">
        <v>-162.78819999999999</v>
      </c>
      <c r="K6878">
        <v>1.1099289999999999</v>
      </c>
      <c r="L6878">
        <v>137.9091</v>
      </c>
      <c r="M6878">
        <v>0.99123779999999995</v>
      </c>
      <c r="N6878">
        <v>0</v>
      </c>
      <c r="O6878">
        <v>0.13141029999999901</v>
      </c>
      <c r="P6878">
        <v>0.98522339999999997</v>
      </c>
      <c r="Q6878">
        <v>0.16917779999999999</v>
      </c>
      <c r="R6878">
        <v>2.671741E-2</v>
      </c>
      <c r="S6878">
        <v>3.0947879999999999</v>
      </c>
      <c r="T6878">
        <v>-0.28270909999999999</v>
      </c>
      <c r="U6878">
        <v>1.953125E-3</v>
      </c>
      <c r="V6878">
        <v>0.10325570000000001</v>
      </c>
      <c r="W6878">
        <v>0.18213080000000001</v>
      </c>
      <c r="X6878">
        <v>0.97783770000000003</v>
      </c>
      <c r="Y6878">
        <v>0.12971160000000001</v>
      </c>
      <c r="Z6878">
        <v>-1.7866480000000001E-2</v>
      </c>
      <c r="AA6878">
        <v>0.99139080000000002</v>
      </c>
      <c r="AB6878">
        <v>11</v>
      </c>
      <c r="AC6878">
        <v>0.63209999999997901</v>
      </c>
      <c r="AD6878">
        <v>-6.7489000000000104E-2</v>
      </c>
      <c r="AE6878">
        <v>-1.05000000000075E-2</v>
      </c>
      <c r="AF6878">
        <v>9.2427455431736097E-2</v>
      </c>
      <c r="AG6878">
        <v>-6.7489000000000104E-2</v>
      </c>
      <c r="AH6878">
        <v>0.61819227463351101</v>
      </c>
      <c r="AI6878">
        <v>96.162433250303494</v>
      </c>
      <c r="AJ6878">
        <v>81.496554944239406</v>
      </c>
      <c r="AK6878">
        <v>0.62869649915928405</v>
      </c>
      <c r="AL6878">
        <v>79.506102113057807</v>
      </c>
      <c r="AM6878">
        <v>83.972136124122301</v>
      </c>
      <c r="AN6878">
        <v>0.99999996771620903</v>
      </c>
    </row>
    <row r="6879" spans="1:40" x14ac:dyDescent="0.25">
      <c r="A6879" t="str">
        <f>"20190312172844772"</f>
        <v>20190312172844772</v>
      </c>
      <c r="B6879" t="str">
        <f>"1552382924766485"</f>
        <v>1552382924766485</v>
      </c>
      <c r="C6879" t="s">
        <v>40</v>
      </c>
      <c r="D6879">
        <v>3.692898</v>
      </c>
      <c r="E6879">
        <v>0.50839250000000002</v>
      </c>
      <c r="F6879" t="s">
        <v>44</v>
      </c>
      <c r="G6879">
        <v>-161.9726</v>
      </c>
      <c r="H6879">
        <v>1.0326090000000001</v>
      </c>
      <c r="I6879">
        <v>137.91</v>
      </c>
      <c r="J6879">
        <v>-162.6832</v>
      </c>
      <c r="K6879">
        <v>1.1100179999999999</v>
      </c>
      <c r="L6879">
        <v>137.91999999999999</v>
      </c>
      <c r="M6879">
        <v>0.9915699</v>
      </c>
      <c r="N6879">
        <v>0</v>
      </c>
      <c r="O6879">
        <v>0.12888139999999901</v>
      </c>
      <c r="P6879">
        <v>0.98541129999999999</v>
      </c>
      <c r="Q6879">
        <v>0.16784489999999999</v>
      </c>
      <c r="R6879">
        <v>2.815376E-2</v>
      </c>
      <c r="S6879">
        <v>3.0952760000000001</v>
      </c>
      <c r="T6879">
        <v>-0.2933578</v>
      </c>
      <c r="U6879">
        <v>3.433228E-3</v>
      </c>
      <c r="V6879">
        <v>9.9307930000000003E-2</v>
      </c>
      <c r="W6879">
        <v>0.1808234</v>
      </c>
      <c r="X6879">
        <v>0.97848900000000005</v>
      </c>
      <c r="Y6879">
        <v>0.12665019999999999</v>
      </c>
      <c r="Z6879">
        <v>-1.8151130000000001E-2</v>
      </c>
      <c r="AA6879">
        <v>0.99178140000000004</v>
      </c>
      <c r="AB6879">
        <v>10</v>
      </c>
      <c r="AC6879">
        <v>0.71059999999999901</v>
      </c>
      <c r="AD6879">
        <v>-7.7408999999999797E-2</v>
      </c>
      <c r="AE6879">
        <v>-9.9999999999908998E-3</v>
      </c>
      <c r="AF6879">
        <v>0.100317681794331</v>
      </c>
      <c r="AG6879">
        <v>-7.7408999999999797E-2</v>
      </c>
      <c r="AH6879">
        <v>0.695136225376913</v>
      </c>
      <c r="AI6879">
        <v>96.289539556879205</v>
      </c>
      <c r="AJ6879">
        <v>81.788128800808906</v>
      </c>
      <c r="AK6879">
        <v>0.706590519603009</v>
      </c>
      <c r="AL6879">
        <v>79.582275230407902</v>
      </c>
      <c r="AM6879">
        <v>84.204831259039196</v>
      </c>
      <c r="AN6879">
        <v>0.99999994503472101</v>
      </c>
    </row>
    <row r="6880" spans="1:40" x14ac:dyDescent="0.25">
      <c r="A6880" t="str">
        <f>"20190312172844794"</f>
        <v>20190312172844794</v>
      </c>
      <c r="B6880" t="str">
        <f>"1552382924786982"</f>
        <v>1552382924786982</v>
      </c>
      <c r="C6880" t="s">
        <v>40</v>
      </c>
      <c r="D6880">
        <v>3.6788409999999998</v>
      </c>
      <c r="E6880">
        <v>0.50840989999999997</v>
      </c>
      <c r="F6880" t="s">
        <v>44</v>
      </c>
      <c r="G6880">
        <v>-161.87979999999999</v>
      </c>
      <c r="H6880">
        <v>1.032411</v>
      </c>
      <c r="I6880">
        <v>137.92160000000001</v>
      </c>
      <c r="J6880">
        <v>-162.5788</v>
      </c>
      <c r="K6880">
        <v>1.1100939999999999</v>
      </c>
      <c r="L6880">
        <v>137.9307</v>
      </c>
      <c r="M6880">
        <v>0.99187420000000004</v>
      </c>
      <c r="N6880">
        <v>0</v>
      </c>
      <c r="O6880">
        <v>0.1265203</v>
      </c>
      <c r="P6880">
        <v>0.98552569999999995</v>
      </c>
      <c r="Q6880">
        <v>0.16685539999999999</v>
      </c>
      <c r="R6880">
        <v>2.9977650000000002E-2</v>
      </c>
      <c r="S6880">
        <v>3.095154</v>
      </c>
      <c r="T6880">
        <v>-0.29890229999999901</v>
      </c>
      <c r="U6880">
        <v>6.3018800000000002E-3</v>
      </c>
      <c r="V6880">
        <v>9.5139790000000002E-2</v>
      </c>
      <c r="W6880">
        <v>0.17985300000000001</v>
      </c>
      <c r="X6880">
        <v>0.97908189999999995</v>
      </c>
      <c r="Y6880">
        <v>0.12335160000000001</v>
      </c>
      <c r="Z6880">
        <v>-1.810815E-2</v>
      </c>
      <c r="AA6880">
        <v>0.99219780000000002</v>
      </c>
      <c r="AB6880">
        <v>10</v>
      </c>
      <c r="AC6880">
        <v>0.69900000000001195</v>
      </c>
      <c r="AD6880">
        <v>-7.7683000000000099E-2</v>
      </c>
      <c r="AE6880">
        <v>-9.0999999999894499E-3</v>
      </c>
      <c r="AF6880">
        <v>9.6283446348664703E-2</v>
      </c>
      <c r="AG6880">
        <v>-7.7683000000000099E-2</v>
      </c>
      <c r="AH6880">
        <v>0.683786478109495</v>
      </c>
      <c r="AI6880">
        <v>96.418635103424293</v>
      </c>
      <c r="AJ6880">
        <v>81.984920589457204</v>
      </c>
      <c r="AK6880">
        <v>0.69488783136212995</v>
      </c>
      <c r="AL6880">
        <v>79.638802661213205</v>
      </c>
      <c r="AM6880">
        <v>84.449853840638994</v>
      </c>
      <c r="AN6880">
        <v>1.00000002407892</v>
      </c>
    </row>
    <row r="6881" spans="1:40" x14ac:dyDescent="0.25">
      <c r="A6881" t="str">
        <f>"20190312172844817"</f>
        <v>20190312172844817</v>
      </c>
      <c r="B6881" t="str">
        <f>"1552382924806502"</f>
        <v>1552382924806502</v>
      </c>
      <c r="C6881" t="s">
        <v>40</v>
      </c>
      <c r="D6881">
        <v>3.6864629999999998</v>
      </c>
      <c r="E6881">
        <v>0.5085016</v>
      </c>
      <c r="F6881" t="s">
        <v>44</v>
      </c>
      <c r="G6881">
        <v>-161.7869</v>
      </c>
      <c r="H6881">
        <v>1.0325839999999999</v>
      </c>
      <c r="I6881">
        <v>137.9332</v>
      </c>
      <c r="J6881">
        <v>-162.47640000000001</v>
      </c>
      <c r="K6881">
        <v>1.1101639999999999</v>
      </c>
      <c r="L6881">
        <v>137.94120000000001</v>
      </c>
      <c r="M6881">
        <v>0.99214760000000002</v>
      </c>
      <c r="N6881">
        <v>0</v>
      </c>
      <c r="O6881">
        <v>0.1243596</v>
      </c>
      <c r="P6881">
        <v>0.9855602</v>
      </c>
      <c r="Q6881">
        <v>0.16638349999999999</v>
      </c>
      <c r="R6881">
        <v>3.1430760000000002E-2</v>
      </c>
      <c r="S6881">
        <v>3.0950470000000001</v>
      </c>
      <c r="T6881">
        <v>-0.30294700000000002</v>
      </c>
      <c r="U6881">
        <v>9.9792479999999996E-3</v>
      </c>
      <c r="V6881">
        <v>9.1535459999999999E-2</v>
      </c>
      <c r="W6881">
        <v>0.17939330000000001</v>
      </c>
      <c r="X6881">
        <v>0.97950970000000004</v>
      </c>
      <c r="Y6881">
        <v>0.120005399999999</v>
      </c>
      <c r="Z6881">
        <v>-1.79793E-2</v>
      </c>
      <c r="AA6881">
        <v>0.9926104</v>
      </c>
      <c r="AB6881">
        <v>10</v>
      </c>
      <c r="AC6881">
        <v>0.68950000000000899</v>
      </c>
      <c r="AD6881">
        <v>-7.7579999999999899E-2</v>
      </c>
      <c r="AE6881">
        <v>-8.0000000000097701E-3</v>
      </c>
      <c r="AF6881">
        <v>9.2520313692399603E-2</v>
      </c>
      <c r="AG6881">
        <v>-7.7579999999999899E-2</v>
      </c>
      <c r="AH6881">
        <v>0.67461224994130997</v>
      </c>
      <c r="AI6881">
        <v>96.499847015509005</v>
      </c>
      <c r="AJ6881">
        <v>82.190835621552296</v>
      </c>
      <c r="AK6881">
        <v>0.68533229357488801</v>
      </c>
      <c r="AL6881">
        <v>79.665576483630204</v>
      </c>
      <c r="AM6881">
        <v>84.6611982572486</v>
      </c>
      <c r="AN6881">
        <v>0.999999974458195</v>
      </c>
    </row>
    <row r="6882" spans="1:40" x14ac:dyDescent="0.25">
      <c r="A6882" t="str">
        <f>"20190312172844843"</f>
        <v>20190312172844843</v>
      </c>
      <c r="B6882" t="str">
        <f>"1552382924836757"</f>
        <v>1552382924836757</v>
      </c>
      <c r="C6882" t="s">
        <v>40</v>
      </c>
      <c r="D6882">
        <v>3.7398709999999999</v>
      </c>
      <c r="E6882">
        <v>0.50869010000000003</v>
      </c>
      <c r="F6882" t="s">
        <v>44</v>
      </c>
      <c r="G6882">
        <v>-161.6942</v>
      </c>
      <c r="H6882">
        <v>1.0330549999999901</v>
      </c>
      <c r="I6882">
        <v>137.9444</v>
      </c>
      <c r="J6882">
        <v>-162.3536</v>
      </c>
      <c r="K6882">
        <v>1.110233</v>
      </c>
      <c r="L6882">
        <v>137.95359999999999</v>
      </c>
      <c r="M6882">
        <v>0.99244270000000001</v>
      </c>
      <c r="N6882">
        <v>0</v>
      </c>
      <c r="O6882">
        <v>0.1219832</v>
      </c>
      <c r="P6882">
        <v>0.98556180000000004</v>
      </c>
      <c r="Q6882">
        <v>0.16608609999999999</v>
      </c>
      <c r="R6882">
        <v>3.2913659999999997E-2</v>
      </c>
      <c r="S6882">
        <v>3.0950319999999998</v>
      </c>
      <c r="T6882">
        <v>-0.30502190000000001</v>
      </c>
      <c r="U6882">
        <v>1.312256E-2</v>
      </c>
      <c r="V6882">
        <v>8.7682880000000005E-2</v>
      </c>
      <c r="W6882">
        <v>0.17910570000000001</v>
      </c>
      <c r="X6882">
        <v>0.97991470000000003</v>
      </c>
      <c r="Y6882">
        <v>0.1166312</v>
      </c>
      <c r="Z6882">
        <v>-1.7703569999999998E-2</v>
      </c>
      <c r="AA6882">
        <v>0.9930175</v>
      </c>
      <c r="AB6882">
        <v>10</v>
      </c>
      <c r="AC6882">
        <v>0.65940000000000498</v>
      </c>
      <c r="AD6882">
        <v>-7.7178000000000094E-2</v>
      </c>
      <c r="AE6882">
        <v>-9.1999999999927695E-3</v>
      </c>
      <c r="AF6882">
        <v>8.8363886737484798E-2</v>
      </c>
      <c r="AG6882">
        <v>-7.7178000000000094E-2</v>
      </c>
      <c r="AH6882">
        <v>0.64452485324327902</v>
      </c>
      <c r="AI6882">
        <v>96.765621687073704</v>
      </c>
      <c r="AJ6882">
        <v>82.193458821925105</v>
      </c>
      <c r="AK6882">
        <v>0.65511594898279302</v>
      </c>
      <c r="AL6882">
        <v>79.682326081855095</v>
      </c>
      <c r="AM6882">
        <v>84.886784692181394</v>
      </c>
      <c r="AN6882">
        <v>0.99999997924683703</v>
      </c>
    </row>
    <row r="6883" spans="1:40" x14ac:dyDescent="0.25">
      <c r="A6883" t="str">
        <f>"20190312172844866"</f>
        <v>20190312172844866</v>
      </c>
      <c r="B6883" t="str">
        <f>"1552382924857254"</f>
        <v>1552382924857254</v>
      </c>
      <c r="C6883" t="s">
        <v>40</v>
      </c>
      <c r="D6883">
        <v>3.7216499999999999</v>
      </c>
      <c r="E6883">
        <v>0.50882229999999995</v>
      </c>
      <c r="F6883" t="s">
        <v>44</v>
      </c>
      <c r="G6883">
        <v>-161.60079999999999</v>
      </c>
      <c r="H6883">
        <v>1.0358149999999999</v>
      </c>
      <c r="I6883">
        <v>137.95769999999999</v>
      </c>
      <c r="J6883">
        <v>-162.24809999999999</v>
      </c>
      <c r="K6883">
        <v>1.1102920000000001</v>
      </c>
      <c r="L6883">
        <v>137.96440000000001</v>
      </c>
      <c r="M6883">
        <v>0.99266790000000005</v>
      </c>
      <c r="N6883">
        <v>0</v>
      </c>
      <c r="O6883">
        <v>0.1201378</v>
      </c>
      <c r="P6883">
        <v>0.9856587</v>
      </c>
      <c r="Q6883">
        <v>0.164954399999999</v>
      </c>
      <c r="R6883">
        <v>3.559561E-2</v>
      </c>
      <c r="S6883">
        <v>3.0949710000000001</v>
      </c>
      <c r="T6883">
        <v>-0.30597729999999901</v>
      </c>
      <c r="U6883">
        <v>1.6876220000000001E-2</v>
      </c>
      <c r="V6883">
        <v>8.3178940000000007E-2</v>
      </c>
      <c r="W6883">
        <v>0.17798530000000001</v>
      </c>
      <c r="X6883">
        <v>0.98051140000000003</v>
      </c>
      <c r="Y6883">
        <v>0.1135963</v>
      </c>
      <c r="Z6883">
        <v>-1.742821E-2</v>
      </c>
      <c r="AA6883">
        <v>0.99337410000000004</v>
      </c>
      <c r="AB6883">
        <v>10</v>
      </c>
      <c r="AC6883">
        <v>0.64730000000000099</v>
      </c>
      <c r="AD6883">
        <v>-7.4477000000000099E-2</v>
      </c>
      <c r="AE6883">
        <v>-6.7000000000234598E-3</v>
      </c>
      <c r="AF6883">
        <v>8.3320651486231495E-2</v>
      </c>
      <c r="AG6883">
        <v>-7.4477000000000099E-2</v>
      </c>
      <c r="AH6883">
        <v>0.63342138118287095</v>
      </c>
      <c r="AI6883">
        <v>96.649226440360806</v>
      </c>
      <c r="AJ6883">
        <v>82.506300080691005</v>
      </c>
      <c r="AK6883">
        <v>0.64320432261662097</v>
      </c>
      <c r="AL6883">
        <v>79.747569395721499</v>
      </c>
      <c r="AM6883">
        <v>85.151082436130096</v>
      </c>
      <c r="AN6883">
        <v>1.0000000543027801</v>
      </c>
    </row>
    <row r="6884" spans="1:40" x14ac:dyDescent="0.25">
      <c r="A6884" t="str">
        <f>"20190312172844889"</f>
        <v>20190312172844889</v>
      </c>
      <c r="B6884" t="str">
        <f>"1552382924886534"</f>
        <v>1552382924886534</v>
      </c>
      <c r="C6884" t="s">
        <v>40</v>
      </c>
      <c r="D6884">
        <v>3.7656339999999999</v>
      </c>
      <c r="E6884">
        <v>0.50909570000000004</v>
      </c>
      <c r="F6884" t="s">
        <v>44</v>
      </c>
      <c r="G6884">
        <v>-161.5086</v>
      </c>
      <c r="H6884">
        <v>1.0363830000000001</v>
      </c>
      <c r="I6884">
        <v>137.96969999999999</v>
      </c>
      <c r="J6884">
        <v>-162.1414</v>
      </c>
      <c r="K6884">
        <v>1.1103639999999999</v>
      </c>
      <c r="L6884">
        <v>137.9752</v>
      </c>
      <c r="M6884">
        <v>0.99286830000000004</v>
      </c>
      <c r="N6884">
        <v>0</v>
      </c>
      <c r="O6884">
        <v>0.1184713</v>
      </c>
      <c r="P6884">
        <v>0.98567349999999998</v>
      </c>
      <c r="Q6884">
        <v>0.1640498</v>
      </c>
      <c r="R6884">
        <v>3.9186489999999997E-2</v>
      </c>
      <c r="S6884">
        <v>3.094589</v>
      </c>
      <c r="T6884">
        <v>-0.30926859999999901</v>
      </c>
      <c r="U6884">
        <v>2.267456E-2</v>
      </c>
      <c r="V6884">
        <v>7.7934030000000001E-2</v>
      </c>
      <c r="W6884">
        <v>0.17709459999999999</v>
      </c>
      <c r="X6884">
        <v>0.98110339999999996</v>
      </c>
      <c r="Y6884">
        <v>0.1100671</v>
      </c>
      <c r="Z6884">
        <v>-1.727534E-2</v>
      </c>
      <c r="AA6884">
        <v>0.99377400000000005</v>
      </c>
      <c r="AB6884">
        <v>10</v>
      </c>
      <c r="AC6884">
        <v>0.63280000000000303</v>
      </c>
      <c r="AD6884">
        <v>-7.3980999999999797E-2</v>
      </c>
      <c r="AE6884">
        <v>-5.5000000000120499E-3</v>
      </c>
      <c r="AF6884">
        <v>7.9352029046866598E-2</v>
      </c>
      <c r="AG6884">
        <v>-7.3980999999999797E-2</v>
      </c>
      <c r="AH6884">
        <v>0.61922803161462503</v>
      </c>
      <c r="AI6884">
        <v>96.758255273115594</v>
      </c>
      <c r="AJ6884">
        <v>82.697534023248906</v>
      </c>
      <c r="AK6884">
        <v>0.62865991443083002</v>
      </c>
      <c r="AL6884">
        <v>79.799426483441906</v>
      </c>
      <c r="AM6884">
        <v>85.458241707752094</v>
      </c>
      <c r="AN6884">
        <v>1.00000004593637</v>
      </c>
    </row>
    <row r="6885" spans="1:40" x14ac:dyDescent="0.25">
      <c r="A6885" t="str">
        <f>"20190312172844907"</f>
        <v>20190312172844907</v>
      </c>
      <c r="B6885" t="str">
        <f>"1552382924896294"</f>
        <v>1552382924896294</v>
      </c>
      <c r="C6885" t="s">
        <v>40</v>
      </c>
      <c r="D6885">
        <v>3.7402069999999998</v>
      </c>
      <c r="E6885">
        <v>0.50919449999999999</v>
      </c>
      <c r="F6885" t="s">
        <v>44</v>
      </c>
      <c r="G6885">
        <v>-161.32820000000001</v>
      </c>
      <c r="H6885">
        <v>1.028205</v>
      </c>
      <c r="I6885">
        <v>137.9829</v>
      </c>
      <c r="J6885">
        <v>-162.0592</v>
      </c>
      <c r="K6885">
        <v>1.1104240000000001</v>
      </c>
      <c r="L6885">
        <v>137.9836</v>
      </c>
      <c r="M6885">
        <v>0.99300520000000003</v>
      </c>
      <c r="N6885">
        <v>0</v>
      </c>
      <c r="O6885">
        <v>0.1173197</v>
      </c>
      <c r="P6885">
        <v>0.9854716</v>
      </c>
      <c r="Q6885">
        <v>0.16441829999999999</v>
      </c>
      <c r="R6885">
        <v>4.2569959999999997E-2</v>
      </c>
      <c r="S6885">
        <v>3.0944210000000001</v>
      </c>
      <c r="T6885">
        <v>-0.31257459999999998</v>
      </c>
      <c r="U6885">
        <v>3.0014039999999999E-2</v>
      </c>
      <c r="V6885">
        <v>7.3383550000000006E-2</v>
      </c>
      <c r="W6885">
        <v>0.17747199999999999</v>
      </c>
      <c r="X6885">
        <v>0.98138610000000004</v>
      </c>
      <c r="Y6885">
        <v>0.1065559</v>
      </c>
      <c r="Z6885">
        <v>-1.7167160000000001E-2</v>
      </c>
      <c r="AA6885">
        <v>0.99415849999999995</v>
      </c>
      <c r="AB6885">
        <v>10</v>
      </c>
      <c r="AC6885">
        <v>0.73099999999999399</v>
      </c>
      <c r="AD6885">
        <v>-8.2219E-2</v>
      </c>
      <c r="AE6885">
        <v>-6.9999999999481501E-4</v>
      </c>
      <c r="AF6885">
        <v>8.5383301075953502E-2</v>
      </c>
      <c r="AG6885">
        <v>-8.2219E-2</v>
      </c>
      <c r="AH6885">
        <v>0.71680091078587105</v>
      </c>
      <c r="AI6885">
        <v>96.4978448724179</v>
      </c>
      <c r="AJ6885">
        <v>83.207095764518598</v>
      </c>
      <c r="AK6885">
        <v>0.72653548968173698</v>
      </c>
      <c r="AL6885">
        <v>79.777455241080403</v>
      </c>
      <c r="AM6885">
        <v>85.723642850111304</v>
      </c>
      <c r="AN6885">
        <v>1.0000000667339</v>
      </c>
    </row>
    <row r="6886" spans="1:40" x14ac:dyDescent="0.25">
      <c r="A6886" t="str">
        <f>"20190312172844929"</f>
        <v>20190312172844929</v>
      </c>
      <c r="B6886" t="str">
        <f>"1552382924916790"</f>
        <v>1552382924916790</v>
      </c>
      <c r="C6886" t="s">
        <v>40</v>
      </c>
      <c r="D6886">
        <v>3.7309929999999998</v>
      </c>
      <c r="E6886">
        <v>0.50940790000000002</v>
      </c>
      <c r="F6886" t="s">
        <v>44</v>
      </c>
      <c r="G6886">
        <v>-161.3253</v>
      </c>
      <c r="H6886">
        <v>1.0365719999999901</v>
      </c>
      <c r="I6886">
        <v>137.99289999999999</v>
      </c>
      <c r="J6886">
        <v>-161.96209999999999</v>
      </c>
      <c r="K6886">
        <v>1.110487</v>
      </c>
      <c r="L6886">
        <v>137.99359999999999</v>
      </c>
      <c r="M6886">
        <v>0.99315089999999995</v>
      </c>
      <c r="N6886">
        <v>0</v>
      </c>
      <c r="O6886">
        <v>0.11608060000000001</v>
      </c>
      <c r="P6886">
        <v>0.98518430000000001</v>
      </c>
      <c r="Q6886">
        <v>0.16559389999999999</v>
      </c>
      <c r="R6886">
        <v>4.4621809999999998E-2</v>
      </c>
      <c r="S6886">
        <v>3.0944669999999999</v>
      </c>
      <c r="T6886">
        <v>-0.31131219999999998</v>
      </c>
      <c r="U6886">
        <v>3.9642330000000003E-2</v>
      </c>
      <c r="V6886">
        <v>7.0057990000000001E-2</v>
      </c>
      <c r="W6886">
        <v>0.17865059999999999</v>
      </c>
      <c r="X6886">
        <v>0.98141520000000004</v>
      </c>
      <c r="Y6886">
        <v>0.10225860000000001</v>
      </c>
      <c r="Z6886">
        <v>-1.675782E-2</v>
      </c>
      <c r="AA6886">
        <v>0.99461670000000002</v>
      </c>
      <c r="AB6886">
        <v>10</v>
      </c>
      <c r="AC6886">
        <v>0.63679999999999304</v>
      </c>
      <c r="AD6886">
        <v>-7.3915000000000106E-2</v>
      </c>
      <c r="AE6886">
        <v>-6.9999999999481501E-4</v>
      </c>
      <c r="AF6886">
        <v>7.3629917847393006E-2</v>
      </c>
      <c r="AG6886">
        <v>-7.3915000000000106E-2</v>
      </c>
      <c r="AH6886">
        <v>0.624005955899123</v>
      </c>
      <c r="AI6886">
        <v>96.709229003751801</v>
      </c>
      <c r="AJ6886">
        <v>83.270470239376706</v>
      </c>
      <c r="AK6886">
        <v>0.632667546998257</v>
      </c>
      <c r="AL6886">
        <v>79.708828823543996</v>
      </c>
      <c r="AM6886">
        <v>85.9168864176375</v>
      </c>
      <c r="AN6886">
        <v>0.99999997681711905</v>
      </c>
    </row>
    <row r="6887" spans="1:40" x14ac:dyDescent="0.25">
      <c r="A6887" t="str">
        <f>"20190312172844950"</f>
        <v>20190312172844950</v>
      </c>
      <c r="B6887" t="str">
        <f>"1552382924947045"</f>
        <v>1552382924947045</v>
      </c>
      <c r="C6887" t="s">
        <v>40</v>
      </c>
      <c r="D6887">
        <v>3.7307489999999999</v>
      </c>
      <c r="E6887">
        <v>0.50975289999999995</v>
      </c>
      <c r="F6887" t="s">
        <v>44</v>
      </c>
      <c r="G6887">
        <v>-161.1454</v>
      </c>
      <c r="H6887">
        <v>1.0292559999999999</v>
      </c>
      <c r="I6887">
        <v>138.00569999999999</v>
      </c>
      <c r="J6887">
        <v>-161.8586</v>
      </c>
      <c r="K6887">
        <v>1.1105389999999999</v>
      </c>
      <c r="L6887">
        <v>138.0043</v>
      </c>
      <c r="M6887">
        <v>0.99328550000000004</v>
      </c>
      <c r="N6887">
        <v>0</v>
      </c>
      <c r="O6887">
        <v>0.1149251</v>
      </c>
      <c r="P6887">
        <v>0.98517259999999995</v>
      </c>
      <c r="Q6887">
        <v>0.16496089999999999</v>
      </c>
      <c r="R6887">
        <v>4.7149009999999998E-2</v>
      </c>
      <c r="S6887">
        <v>3.0947420000000001</v>
      </c>
      <c r="T6887">
        <v>-0.30781770000000003</v>
      </c>
      <c r="U6887">
        <v>4.6417239999999999E-2</v>
      </c>
      <c r="V6887">
        <v>6.6378080000000006E-2</v>
      </c>
      <c r="W6887">
        <v>0.1780243</v>
      </c>
      <c r="X6887">
        <v>0.98178480000000001</v>
      </c>
      <c r="Y6887">
        <v>9.8971699999999996E-2</v>
      </c>
      <c r="Z6887">
        <v>-1.6291489999999999E-2</v>
      </c>
      <c r="AA6887">
        <v>0.99495690000000003</v>
      </c>
      <c r="AB6887">
        <v>10</v>
      </c>
      <c r="AC6887">
        <v>0.71319999999999995</v>
      </c>
      <c r="AD6887">
        <v>-8.1282999999999994E-2</v>
      </c>
      <c r="AE6887">
        <v>1.39999999998963E-3</v>
      </c>
      <c r="AF6887">
        <v>7.9547833229868706E-2</v>
      </c>
      <c r="AG6887">
        <v>-8.1282999999999994E-2</v>
      </c>
      <c r="AH6887">
        <v>0.69954810724069805</v>
      </c>
      <c r="AI6887">
        <v>96.585616677449707</v>
      </c>
      <c r="AJ6887">
        <v>83.512581735200001</v>
      </c>
      <c r="AK6887">
        <v>0.70873291034395303</v>
      </c>
      <c r="AL6887">
        <v>79.745298521297698</v>
      </c>
      <c r="AM6887">
        <v>86.132141362081995</v>
      </c>
      <c r="AN6887">
        <v>1.000000047203</v>
      </c>
    </row>
    <row r="6888" spans="1:40" x14ac:dyDescent="0.25">
      <c r="A6888" t="str">
        <f>"20190312172844975"</f>
        <v>20190312172844975</v>
      </c>
      <c r="B6888" t="str">
        <f>"1552382924966566"</f>
        <v>1552382924966566</v>
      </c>
      <c r="C6888" t="s">
        <v>40</v>
      </c>
      <c r="D6888">
        <v>3.7790919999999999</v>
      </c>
      <c r="E6888">
        <v>0.51004700000000003</v>
      </c>
      <c r="F6888" t="s">
        <v>44</v>
      </c>
      <c r="G6888">
        <v>-161.05449999999999</v>
      </c>
      <c r="H6888">
        <v>1.029971</v>
      </c>
      <c r="I6888">
        <v>138.018</v>
      </c>
      <c r="J6888">
        <v>-161.74799999999999</v>
      </c>
      <c r="K6888">
        <v>1.11056</v>
      </c>
      <c r="L6888">
        <v>138.01580000000001</v>
      </c>
      <c r="M6888">
        <v>0.9934096</v>
      </c>
      <c r="N6888">
        <v>0</v>
      </c>
      <c r="O6888">
        <v>0.11384809999999999</v>
      </c>
      <c r="P6888">
        <v>0.98549569999999997</v>
      </c>
      <c r="Q6888">
        <v>0.16211689999999901</v>
      </c>
      <c r="R6888">
        <v>5.0162239999999997E-2</v>
      </c>
      <c r="S6888">
        <v>3.0945279999999999</v>
      </c>
      <c r="T6888">
        <v>-0.310009599999999</v>
      </c>
      <c r="U6888">
        <v>5.2932739999999999E-2</v>
      </c>
      <c r="V6888">
        <v>6.2339609999999997E-2</v>
      </c>
      <c r="W6888">
        <v>0.1751885</v>
      </c>
      <c r="X6888">
        <v>0.98255930000000002</v>
      </c>
      <c r="Y6888">
        <v>9.5803150000000004E-2</v>
      </c>
      <c r="Z6888">
        <v>-1.614208E-2</v>
      </c>
      <c r="AA6888">
        <v>0.99526939999999997</v>
      </c>
      <c r="AB6888">
        <v>10</v>
      </c>
      <c r="AC6888">
        <v>0.69350000000000001</v>
      </c>
      <c r="AD6888">
        <v>-8.0588999999999994E-2</v>
      </c>
      <c r="AE6888">
        <v>2.1999999999877599E-3</v>
      </c>
      <c r="AF6888">
        <v>7.5751976444656297E-2</v>
      </c>
      <c r="AG6888">
        <v>-8.0588999999999994E-2</v>
      </c>
      <c r="AH6888">
        <v>0.68005735013119195</v>
      </c>
      <c r="AI6888">
        <v>96.717057322958794</v>
      </c>
      <c r="AJ6888">
        <v>83.6439921424235</v>
      </c>
      <c r="AK6888">
        <v>0.68899270556641601</v>
      </c>
      <c r="AL6888">
        <v>79.910372253133701</v>
      </c>
      <c r="AM6888">
        <v>86.369669049251698</v>
      </c>
      <c r="AN6888">
        <v>1.0000000077618401</v>
      </c>
    </row>
    <row r="6889" spans="1:40" x14ac:dyDescent="0.25">
      <c r="A6889" t="str">
        <f>"20190312172845018"</f>
        <v>20190312172845018</v>
      </c>
      <c r="B6889" t="str">
        <f>"1552382925006581"</f>
        <v>1552382925006581</v>
      </c>
      <c r="C6889" t="s">
        <v>40</v>
      </c>
      <c r="D6889">
        <v>3.7902339999999999</v>
      </c>
      <c r="E6889">
        <v>0.51066719999999999</v>
      </c>
      <c r="F6889" t="s">
        <v>44</v>
      </c>
      <c r="G6889">
        <v>-160.96420000000001</v>
      </c>
      <c r="H6889">
        <v>1.0298449999999999</v>
      </c>
      <c r="I6889">
        <v>138.03039999999999</v>
      </c>
      <c r="J6889">
        <v>-161.55529999999999</v>
      </c>
      <c r="K6889">
        <v>1.1105590000000001</v>
      </c>
      <c r="L6889">
        <v>138.0359</v>
      </c>
      <c r="M6889">
        <v>0.99358279999999999</v>
      </c>
      <c r="N6889">
        <v>0</v>
      </c>
      <c r="O6889">
        <v>0.1123277</v>
      </c>
      <c r="P6889">
        <v>0.98581070000000004</v>
      </c>
      <c r="Q6889">
        <v>0.1591921</v>
      </c>
      <c r="R6889">
        <v>5.324889E-2</v>
      </c>
      <c r="S6889">
        <v>3.0935969999999999</v>
      </c>
      <c r="T6889">
        <v>-0.31858989999999998</v>
      </c>
      <c r="U6889">
        <v>5.8471679999999998E-2</v>
      </c>
      <c r="V6889">
        <v>5.7789689999999998E-2</v>
      </c>
      <c r="W6889">
        <v>0.1722677</v>
      </c>
      <c r="X6889">
        <v>0.98335360000000005</v>
      </c>
      <c r="Y6889">
        <v>9.2459330000000006E-2</v>
      </c>
      <c r="Z6889">
        <v>-1.6263900000000001E-2</v>
      </c>
      <c r="AA6889">
        <v>0.99558369999999996</v>
      </c>
      <c r="AB6889">
        <v>10</v>
      </c>
      <c r="AC6889">
        <v>0.59109999999998297</v>
      </c>
      <c r="AD6889">
        <v>-8.0713999999999897E-2</v>
      </c>
      <c r="AE6889">
        <v>-5.5000000000120499E-3</v>
      </c>
      <c r="AF6889">
        <v>7.0552544014334001E-2</v>
      </c>
      <c r="AG6889">
        <v>-8.0713999999999897E-2</v>
      </c>
      <c r="AH6889">
        <v>0.576001588220445</v>
      </c>
      <c r="AI6889">
        <v>97.918388300270294</v>
      </c>
      <c r="AJ6889">
        <v>83.016812301478794</v>
      </c>
      <c r="AK6889">
        <v>0.585892687183728</v>
      </c>
      <c r="AL6889">
        <v>80.080306381134903</v>
      </c>
      <c r="AM6889">
        <v>86.636711972180606</v>
      </c>
      <c r="AN6889">
        <v>1.00000005568327</v>
      </c>
    </row>
    <row r="6890" spans="1:40" x14ac:dyDescent="0.25">
      <c r="A6890" t="str">
        <f>"20190312172845040"</f>
        <v>20190312172845040</v>
      </c>
      <c r="B6890" t="str">
        <f>"1552382925036837"</f>
        <v>1552382925036837</v>
      </c>
      <c r="C6890" t="s">
        <v>40</v>
      </c>
      <c r="D6890">
        <v>3.7695180000000001</v>
      </c>
      <c r="E6890">
        <v>0.51886949999999998</v>
      </c>
      <c r="F6890" t="s">
        <v>44</v>
      </c>
      <c r="G6890">
        <v>-160.7842</v>
      </c>
      <c r="H6890">
        <v>1.028878</v>
      </c>
      <c r="I6890">
        <v>138.0515</v>
      </c>
      <c r="J6890">
        <v>-161.45249999999999</v>
      </c>
      <c r="K6890">
        <v>1.11056</v>
      </c>
      <c r="L6890">
        <v>138.04679999999999</v>
      </c>
      <c r="M6890">
        <v>0.99365539999999997</v>
      </c>
      <c r="N6890">
        <v>0</v>
      </c>
      <c r="O6890">
        <v>0.1116834</v>
      </c>
      <c r="P6890">
        <v>0.98604380000000003</v>
      </c>
      <c r="Q6890">
        <v>0.15766040000000001</v>
      </c>
      <c r="R6890">
        <v>5.3489340000000003E-2</v>
      </c>
      <c r="S6890">
        <v>3.0926819999999999</v>
      </c>
      <c r="T6890">
        <v>-0.32761119999999999</v>
      </c>
      <c r="U6890">
        <v>6.3003539999999997E-2</v>
      </c>
      <c r="V6890">
        <v>5.6934070000000003E-2</v>
      </c>
      <c r="W6890">
        <v>0.17073669999999999</v>
      </c>
      <c r="X6890">
        <v>0.98367039999999994</v>
      </c>
      <c r="Y6890">
        <v>9.0302779999999999E-2</v>
      </c>
      <c r="Z6890">
        <v>-1.6544759999999999E-2</v>
      </c>
      <c r="AA6890">
        <v>0.99577700000000002</v>
      </c>
      <c r="AB6890">
        <v>10</v>
      </c>
      <c r="AC6890">
        <v>0.66829999999998702</v>
      </c>
      <c r="AD6890">
        <v>-8.1682000000000005E-2</v>
      </c>
      <c r="AE6890">
        <v>4.7000000000139101E-3</v>
      </c>
      <c r="AF6890">
        <v>6.8944108278234301E-2</v>
      </c>
      <c r="AG6890">
        <v>-8.1682000000000005E-2</v>
      </c>
      <c r="AH6890">
        <v>0.65486100792616497</v>
      </c>
      <c r="AI6890">
        <v>97.0712044939919</v>
      </c>
      <c r="AJ6890">
        <v>83.990010098230499</v>
      </c>
      <c r="AK6890">
        <v>0.66352707472442596</v>
      </c>
      <c r="AL6890">
        <v>80.169344723315405</v>
      </c>
      <c r="AM6890">
        <v>86.687460999257397</v>
      </c>
      <c r="AN6890">
        <v>0.99999998244490695</v>
      </c>
    </row>
    <row r="6891" spans="1:40" x14ac:dyDescent="0.25">
      <c r="A6891" t="str">
        <f>"20190312172845066"</f>
        <v>20190312172845066</v>
      </c>
      <c r="B6891" t="str">
        <f>"1552382925056358"</f>
        <v>1552382925056358</v>
      </c>
      <c r="C6891" t="s">
        <v>40</v>
      </c>
      <c r="D6891">
        <v>3.8056190000000001</v>
      </c>
      <c r="E6891">
        <v>0.51883919999999994</v>
      </c>
      <c r="F6891" t="s">
        <v>44</v>
      </c>
      <c r="G6891">
        <v>-160.69329999999999</v>
      </c>
      <c r="H6891">
        <v>1.027585</v>
      </c>
      <c r="I6891">
        <v>138.04669999999999</v>
      </c>
      <c r="J6891">
        <v>-161.33869999999999</v>
      </c>
      <c r="K6891">
        <v>1.110552</v>
      </c>
      <c r="L6891">
        <v>138.05879999999999</v>
      </c>
      <c r="M6891">
        <v>0.99372289999999996</v>
      </c>
      <c r="N6891">
        <v>0</v>
      </c>
      <c r="O6891">
        <v>0.11108079999999999</v>
      </c>
      <c r="P6891">
        <v>0.98671220000000004</v>
      </c>
      <c r="Q6891">
        <v>0.15293670000000001</v>
      </c>
      <c r="R6891">
        <v>5.4862670000000002E-2</v>
      </c>
      <c r="S6891">
        <v>3.0965880000000001</v>
      </c>
      <c r="T6891">
        <v>-0.33841939999999998</v>
      </c>
      <c r="U6891">
        <v>-4.1198729999999999E-4</v>
      </c>
      <c r="V6891">
        <v>5.5041729999999997E-2</v>
      </c>
      <c r="W6891">
        <v>0.1660219</v>
      </c>
      <c r="X6891">
        <v>0.98458469999999998</v>
      </c>
      <c r="Y6891">
        <v>0.10990900000000001</v>
      </c>
      <c r="Z6891">
        <v>-1.8074030000000001E-2</v>
      </c>
      <c r="AA6891">
        <v>0.99377729999999997</v>
      </c>
      <c r="AB6891">
        <v>10</v>
      </c>
      <c r="AC6891">
        <v>0.64539999999999498</v>
      </c>
      <c r="AD6891">
        <v>-8.2966999999999999E-2</v>
      </c>
      <c r="AE6891">
        <v>-1.21000000000037E-2</v>
      </c>
      <c r="AF6891">
        <v>8.2362361770364698E-2</v>
      </c>
      <c r="AG6891">
        <v>-8.2966999999999999E-2</v>
      </c>
      <c r="AH6891">
        <v>0.62965922769588201</v>
      </c>
      <c r="AI6891">
        <v>97.443642022306307</v>
      </c>
      <c r="AJ6891">
        <v>82.5477550731636</v>
      </c>
      <c r="AK6891">
        <v>0.64042003774707601</v>
      </c>
      <c r="AL6891">
        <v>80.443395638756101</v>
      </c>
      <c r="AM6891">
        <v>86.800295901555501</v>
      </c>
      <c r="AN6891">
        <v>0.99999994739754405</v>
      </c>
    </row>
    <row r="6892" spans="1:40" x14ac:dyDescent="0.25">
      <c r="A6892" t="str">
        <f>"20190312172845092"</f>
        <v>20190312172845092</v>
      </c>
      <c r="B6892" t="str">
        <f>"1552382925086613"</f>
        <v>1552382925086613</v>
      </c>
      <c r="C6892" t="s">
        <v>40</v>
      </c>
      <c r="D6892">
        <v>3.7325659999999998</v>
      </c>
      <c r="E6892">
        <v>0.49561250000000001</v>
      </c>
      <c r="F6892" t="s">
        <v>44</v>
      </c>
      <c r="G6892">
        <v>-160.60419999999999</v>
      </c>
      <c r="H6892">
        <v>1.0270760000000001</v>
      </c>
      <c r="I6892">
        <v>138.05940000000001</v>
      </c>
      <c r="J6892">
        <v>-161.2225</v>
      </c>
      <c r="K6892">
        <v>1.110552</v>
      </c>
      <c r="L6892">
        <v>138.0712</v>
      </c>
      <c r="M6892">
        <v>0.99377570000000004</v>
      </c>
      <c r="N6892">
        <v>0</v>
      </c>
      <c r="O6892">
        <v>0.110608</v>
      </c>
      <c r="P6892">
        <v>0.98727209999999999</v>
      </c>
      <c r="Q6892">
        <v>0.14885039999999999</v>
      </c>
      <c r="R6892">
        <v>5.6012850000000003E-2</v>
      </c>
      <c r="S6892">
        <v>3.0947719999999999</v>
      </c>
      <c r="T6892">
        <v>-0.35173310000000002</v>
      </c>
      <c r="U6892">
        <v>2.746582E-3</v>
      </c>
      <c r="V6892">
        <v>5.3484049999999998E-2</v>
      </c>
      <c r="W6892">
        <v>0.16194739999999999</v>
      </c>
      <c r="X6892">
        <v>0.98534889999999997</v>
      </c>
      <c r="Y6892">
        <v>0.1083283</v>
      </c>
      <c r="Z6892">
        <v>-1.864851E-2</v>
      </c>
      <c r="AA6892">
        <v>0.99394020000000005</v>
      </c>
      <c r="AB6892">
        <v>10</v>
      </c>
      <c r="AC6892">
        <v>0.61830000000000496</v>
      </c>
      <c r="AD6892">
        <v>-8.34759999999998E-2</v>
      </c>
      <c r="AE6892">
        <v>-1.17999999999938E-2</v>
      </c>
      <c r="AF6892">
        <v>7.8688750604513497E-2</v>
      </c>
      <c r="AG6892">
        <v>-8.34759999999998E-2</v>
      </c>
      <c r="AH6892">
        <v>0.602227181422342</v>
      </c>
      <c r="AI6892">
        <v>97.825918070971895</v>
      </c>
      <c r="AJ6892">
        <v>82.555740829037504</v>
      </c>
      <c r="AK6892">
        <v>0.61305606602626295</v>
      </c>
      <c r="AL6892">
        <v>80.680051416247494</v>
      </c>
      <c r="AM6892">
        <v>86.893073969638806</v>
      </c>
      <c r="AN6892">
        <v>0.99999997935118501</v>
      </c>
    </row>
    <row r="6893" spans="1:40" x14ac:dyDescent="0.25">
      <c r="A6893" t="str">
        <f>"20190312172845110"</f>
        <v>20190312172845110</v>
      </c>
      <c r="B6893" t="str">
        <f>"1552382925107110"</f>
        <v>1552382925107110</v>
      </c>
      <c r="C6893" t="s">
        <v>40</v>
      </c>
      <c r="D6893">
        <v>3.7342849999999999</v>
      </c>
      <c r="E6893">
        <v>0.49433100000000002</v>
      </c>
      <c r="F6893" t="s">
        <v>44</v>
      </c>
      <c r="G6893">
        <v>-160.4616</v>
      </c>
      <c r="H6893">
        <v>0.96260460000000003</v>
      </c>
      <c r="I6893">
        <v>138.11670000000001</v>
      </c>
      <c r="J6893">
        <v>-161.14400000000001</v>
      </c>
      <c r="K6893">
        <v>1.11054599999999</v>
      </c>
      <c r="L6893">
        <v>138.0797</v>
      </c>
      <c r="M6893">
        <v>0.99380299999999999</v>
      </c>
      <c r="N6893">
        <v>0</v>
      </c>
      <c r="O6893">
        <v>0.11036169999999999</v>
      </c>
      <c r="P6893">
        <v>0.9875121</v>
      </c>
      <c r="Q6893">
        <v>0.14678279999999999</v>
      </c>
      <c r="R6893">
        <v>5.7225499999999999E-2</v>
      </c>
      <c r="S6893">
        <v>3.1195219999999999</v>
      </c>
      <c r="T6893">
        <v>-0.60650029999999999</v>
      </c>
      <c r="U6893">
        <v>0.18681339999999999</v>
      </c>
      <c r="V6893">
        <v>5.2055339999999999E-2</v>
      </c>
      <c r="W6893">
        <v>0.15989919999999999</v>
      </c>
      <c r="X6893">
        <v>0.98575990000000002</v>
      </c>
      <c r="Y6893">
        <v>4.7820799999999997E-2</v>
      </c>
      <c r="Z6893">
        <v>-2.579234E-2</v>
      </c>
      <c r="AA6893">
        <v>0.99852289999999999</v>
      </c>
      <c r="AB6893">
        <v>10</v>
      </c>
      <c r="AC6893">
        <v>0.68240000000000101</v>
      </c>
      <c r="AD6893">
        <v>-0.147941399999999</v>
      </c>
      <c r="AE6893">
        <v>3.7000000000006097E-2</v>
      </c>
      <c r="AF6893">
        <v>3.6818110048325997E-2</v>
      </c>
      <c r="AG6893">
        <v>-0.147941399999999</v>
      </c>
      <c r="AH6893">
        <v>0.65177087193323002</v>
      </c>
      <c r="AI6893">
        <v>102.768833555922</v>
      </c>
      <c r="AJ6893">
        <v>86.766835046611703</v>
      </c>
      <c r="AK6893">
        <v>0.669363504055976</v>
      </c>
      <c r="AL6893">
        <v>80.798954952175606</v>
      </c>
      <c r="AM6893">
        <v>86.9771710955049</v>
      </c>
      <c r="AN6893">
        <v>1.0000000465155801</v>
      </c>
    </row>
    <row r="6894" spans="1:40" x14ac:dyDescent="0.25">
      <c r="A6894" t="str">
        <f>"20190312172845132"</f>
        <v>20190312172845132</v>
      </c>
      <c r="B6894" t="str">
        <f>"1552382925126630"</f>
        <v>1552382925126630</v>
      </c>
      <c r="C6894" t="s">
        <v>40</v>
      </c>
      <c r="D6894">
        <v>3.7233649999999998</v>
      </c>
      <c r="E6894">
        <v>0.49446469999999998</v>
      </c>
      <c r="F6894" t="s">
        <v>44</v>
      </c>
      <c r="G6894">
        <v>-160.3776</v>
      </c>
      <c r="H6894">
        <v>0.95334549999999996</v>
      </c>
      <c r="I6894">
        <v>138.1292</v>
      </c>
      <c r="J6894">
        <v>-161.0454</v>
      </c>
      <c r="K6894">
        <v>1.1105719999999999</v>
      </c>
      <c r="L6894">
        <v>138.09039999999999</v>
      </c>
      <c r="M6894">
        <v>0.99382820000000005</v>
      </c>
      <c r="N6894">
        <v>0</v>
      </c>
      <c r="O6894">
        <v>0.1101246</v>
      </c>
      <c r="P6894">
        <v>0.98785909999999999</v>
      </c>
      <c r="Q6894">
        <v>0.1436093</v>
      </c>
      <c r="R6894">
        <v>5.9252319999999997E-2</v>
      </c>
      <c r="S6894">
        <v>3.1213679999999999</v>
      </c>
      <c r="T6894">
        <v>-0.64028660000000004</v>
      </c>
      <c r="U6894">
        <v>0.20234679999999999</v>
      </c>
      <c r="V6894">
        <v>4.983895E-2</v>
      </c>
      <c r="W6894">
        <v>0.1568088</v>
      </c>
      <c r="X6894">
        <v>0.98637070000000004</v>
      </c>
      <c r="Y6894">
        <v>4.2455319999999998E-2</v>
      </c>
      <c r="Z6894">
        <v>-2.6587449999999999E-2</v>
      </c>
      <c r="AA6894">
        <v>0.99874450000000004</v>
      </c>
      <c r="AB6894">
        <v>10</v>
      </c>
      <c r="AC6894">
        <v>0.66779999999999895</v>
      </c>
      <c r="AD6894">
        <v>-0.15722649999999899</v>
      </c>
      <c r="AE6894">
        <v>3.8800000000009001E-2</v>
      </c>
      <c r="AF6894">
        <v>3.3152282217653699E-2</v>
      </c>
      <c r="AG6894">
        <v>-0.15722649999999899</v>
      </c>
      <c r="AH6894">
        <v>0.63303841418281104</v>
      </c>
      <c r="AI6894">
        <v>103.92986041009</v>
      </c>
      <c r="AJ6894">
        <v>87.0021532109578</v>
      </c>
      <c r="AK6894">
        <v>0.65311322138629002</v>
      </c>
      <c r="AL6894">
        <v>80.978284541790799</v>
      </c>
      <c r="AM6894">
        <v>87.1074413643951</v>
      </c>
      <c r="AN6894">
        <v>1.00000003925651</v>
      </c>
    </row>
    <row r="6895" spans="1:40" x14ac:dyDescent="0.25">
      <c r="A6895" t="str">
        <f>"20190312172845152"</f>
        <v>20190312172845152</v>
      </c>
      <c r="B6895" t="str">
        <f>"1552382925147126"</f>
        <v>1552382925147126</v>
      </c>
      <c r="C6895" t="s">
        <v>40</v>
      </c>
      <c r="D6895">
        <v>3.711668</v>
      </c>
      <c r="E6895">
        <v>0.49476369999999997</v>
      </c>
      <c r="F6895" t="s">
        <v>44</v>
      </c>
      <c r="G6895">
        <v>-160.29069999999999</v>
      </c>
      <c r="H6895">
        <v>0.95086800000000005</v>
      </c>
      <c r="I6895">
        <v>138.14109999999999</v>
      </c>
      <c r="J6895">
        <v>-160.9563</v>
      </c>
      <c r="K6895">
        <v>1.1105929999999999</v>
      </c>
      <c r="L6895">
        <v>138.1001</v>
      </c>
      <c r="M6895">
        <v>0.99384459999999997</v>
      </c>
      <c r="N6895">
        <v>0</v>
      </c>
      <c r="O6895">
        <v>0.1099615</v>
      </c>
      <c r="P6895">
        <v>0.98832909999999996</v>
      </c>
      <c r="Q6895">
        <v>0.13929549999999999</v>
      </c>
      <c r="R6895">
        <v>6.1666499999999999E-2</v>
      </c>
      <c r="S6895">
        <v>3.1202549999999998</v>
      </c>
      <c r="T6895">
        <v>-0.66036209999999995</v>
      </c>
      <c r="U6895">
        <v>0.21025089999999999</v>
      </c>
      <c r="V6895">
        <v>4.732865E-2</v>
      </c>
      <c r="W6895">
        <v>0.15262500000000001</v>
      </c>
      <c r="X6895">
        <v>0.98715030000000004</v>
      </c>
      <c r="Y6895">
        <v>3.9615329999999997E-2</v>
      </c>
      <c r="Z6895">
        <v>-2.707911E-2</v>
      </c>
      <c r="AA6895">
        <v>0.99884799999999996</v>
      </c>
      <c r="AB6895">
        <v>10</v>
      </c>
      <c r="AC6895">
        <v>0.66560000000001196</v>
      </c>
      <c r="AD6895">
        <v>-0.15972499999999901</v>
      </c>
      <c r="AE6895">
        <v>4.0999999999996803E-2</v>
      </c>
      <c r="AF6895">
        <v>3.0685314278803399E-2</v>
      </c>
      <c r="AG6895">
        <v>-0.15972499999999901</v>
      </c>
      <c r="AH6895">
        <v>0.629933386567189</v>
      </c>
      <c r="AI6895">
        <v>104.211811485384</v>
      </c>
      <c r="AJ6895">
        <v>87.211212471131205</v>
      </c>
      <c r="AK6895">
        <v>0.65059183490833705</v>
      </c>
      <c r="AL6895">
        <v>81.220920546786999</v>
      </c>
      <c r="AM6895">
        <v>87.255071553195407</v>
      </c>
      <c r="AN6895">
        <v>1.0000000532629501</v>
      </c>
    </row>
    <row r="6896" spans="1:40" x14ac:dyDescent="0.25">
      <c r="A6896" t="str">
        <f>"20190312172845175"</f>
        <v>20190312172845175</v>
      </c>
      <c r="B6896" t="str">
        <f>"1552382925166646"</f>
        <v>1552382925166646</v>
      </c>
      <c r="C6896" t="s">
        <v>40</v>
      </c>
      <c r="D6896">
        <v>3.7517900000000002</v>
      </c>
      <c r="E6896">
        <v>0.49537520000000002</v>
      </c>
      <c r="F6896" t="s">
        <v>44</v>
      </c>
      <c r="G6896">
        <v>-160.20509999999999</v>
      </c>
      <c r="H6896">
        <v>0.94702589999999998</v>
      </c>
      <c r="I6896">
        <v>138.15199999999999</v>
      </c>
      <c r="J6896">
        <v>-160.85579999999999</v>
      </c>
      <c r="K6896">
        <v>1.1106199999999999</v>
      </c>
      <c r="L6896">
        <v>138.11109999999999</v>
      </c>
      <c r="M6896">
        <v>0.99385610000000002</v>
      </c>
      <c r="N6896">
        <v>0</v>
      </c>
      <c r="O6896">
        <v>0.10983179999999999</v>
      </c>
      <c r="P6896">
        <v>0.98878350000000004</v>
      </c>
      <c r="Q6896">
        <v>0.13506840000000001</v>
      </c>
      <c r="R6896">
        <v>6.3747570000000003E-2</v>
      </c>
      <c r="S6896">
        <v>3.117661</v>
      </c>
      <c r="T6896">
        <v>-0.67885260000000003</v>
      </c>
      <c r="U6896">
        <v>0.21577450000000001</v>
      </c>
      <c r="V6896">
        <v>4.5185330000000003E-2</v>
      </c>
      <c r="W6896">
        <v>0.14861150000000001</v>
      </c>
      <c r="X6896">
        <v>0.98786280000000004</v>
      </c>
      <c r="Y6896">
        <v>3.7530019999999997E-2</v>
      </c>
      <c r="Z6896">
        <v>-2.7588870000000001E-2</v>
      </c>
      <c r="AA6896">
        <v>0.99891459999999999</v>
      </c>
      <c r="AB6896">
        <v>10</v>
      </c>
      <c r="AC6896">
        <v>0.65069999999999995</v>
      </c>
      <c r="AD6896">
        <v>-0.16359409999999999</v>
      </c>
      <c r="AE6896">
        <v>4.0900000000021898E-2</v>
      </c>
      <c r="AF6896">
        <v>2.8996137989071E-2</v>
      </c>
      <c r="AG6896">
        <v>-0.16359409999999999</v>
      </c>
      <c r="AH6896">
        <v>0.61268109729818099</v>
      </c>
      <c r="AI6896">
        <v>104.933998957765</v>
      </c>
      <c r="AJ6896">
        <v>87.290405031482294</v>
      </c>
      <c r="AK6896">
        <v>0.63480857946281299</v>
      </c>
      <c r="AL6896">
        <v>81.453530490404006</v>
      </c>
      <c r="AM6896">
        <v>87.381088289231997</v>
      </c>
      <c r="AN6896">
        <v>1.0000000018016399</v>
      </c>
    </row>
    <row r="6897" spans="1:40" x14ac:dyDescent="0.25">
      <c r="A6897" t="str">
        <f>"20190312172845198"</f>
        <v>20190312172845198</v>
      </c>
      <c r="B6897" t="str">
        <f>"1552382925187142"</f>
        <v>1552382925187142</v>
      </c>
      <c r="C6897" t="s">
        <v>40</v>
      </c>
      <c r="D6897">
        <v>3.6999909999999998</v>
      </c>
      <c r="E6897">
        <v>0.49584719999999999</v>
      </c>
      <c r="F6897" t="s">
        <v>44</v>
      </c>
      <c r="G6897">
        <v>-160.1182</v>
      </c>
      <c r="H6897">
        <v>0.9473722</v>
      </c>
      <c r="I6897">
        <v>138.16239999999999</v>
      </c>
      <c r="J6897">
        <v>-160.75540000000001</v>
      </c>
      <c r="K6897">
        <v>1.110652</v>
      </c>
      <c r="L6897">
        <v>138.12209999999999</v>
      </c>
      <c r="M6897">
        <v>0.99386129999999995</v>
      </c>
      <c r="N6897">
        <v>0</v>
      </c>
      <c r="O6897">
        <v>0.1097477</v>
      </c>
      <c r="P6897">
        <v>0.98918989999999996</v>
      </c>
      <c r="Q6897">
        <v>0.13136879999999901</v>
      </c>
      <c r="R6897">
        <v>6.5159339999999996E-2</v>
      </c>
      <c r="S6897">
        <v>3.114182</v>
      </c>
      <c r="T6897">
        <v>-0.68933</v>
      </c>
      <c r="U6897">
        <v>0.217392</v>
      </c>
      <c r="V6897">
        <v>4.3751600000000002E-2</v>
      </c>
      <c r="W6897">
        <v>0.1452089</v>
      </c>
      <c r="X6897">
        <v>0.98843320000000001</v>
      </c>
      <c r="Y6897">
        <v>3.6760420000000002E-2</v>
      </c>
      <c r="Z6897">
        <v>-2.793232E-2</v>
      </c>
      <c r="AA6897">
        <v>0.99893370000000004</v>
      </c>
      <c r="AB6897">
        <v>10</v>
      </c>
      <c r="AC6897">
        <v>0.63720000000000698</v>
      </c>
      <c r="AD6897">
        <v>-0.163279799999999</v>
      </c>
      <c r="AE6897">
        <v>4.0300000000002001E-2</v>
      </c>
      <c r="AF6897">
        <v>2.8047242221567601E-2</v>
      </c>
      <c r="AG6897">
        <v>-0.163279799999999</v>
      </c>
      <c r="AH6897">
        <v>0.59862334828821295</v>
      </c>
      <c r="AI6897">
        <v>105.240860885929</v>
      </c>
      <c r="AJ6897">
        <v>87.317488078302702</v>
      </c>
      <c r="AK6897">
        <v>0.62112547363641901</v>
      </c>
      <c r="AL6897">
        <v>81.650623766650398</v>
      </c>
      <c r="AM6897">
        <v>87.465537581563396</v>
      </c>
      <c r="AN6897">
        <v>1.000000009002</v>
      </c>
    </row>
    <row r="6898" spans="1:40" x14ac:dyDescent="0.25">
      <c r="A6898" t="str">
        <f>"20190312172845220"</f>
        <v>20190312172845220</v>
      </c>
      <c r="B6898" t="str">
        <f>"1552382925216422"</f>
        <v>1552382925216422</v>
      </c>
      <c r="C6898" t="s">
        <v>40</v>
      </c>
      <c r="D6898">
        <v>3.6885560000000002</v>
      </c>
      <c r="E6898">
        <v>0.49632290000000001</v>
      </c>
      <c r="F6898" t="s">
        <v>44</v>
      </c>
      <c r="G6898">
        <v>-160.03190000000001</v>
      </c>
      <c r="H6898">
        <v>0.94825380000000004</v>
      </c>
      <c r="I6898">
        <v>138.17269999999999</v>
      </c>
      <c r="J6898">
        <v>-160.6626</v>
      </c>
      <c r="K6898">
        <v>1.1106780000000001</v>
      </c>
      <c r="L6898">
        <v>138.13239999999999</v>
      </c>
      <c r="M6898">
        <v>0.99386220000000003</v>
      </c>
      <c r="N6898">
        <v>0</v>
      </c>
      <c r="O6898">
        <v>0.1096945</v>
      </c>
      <c r="P6898">
        <v>0.98949940000000003</v>
      </c>
      <c r="Q6898">
        <v>0.1283608</v>
      </c>
      <c r="R6898">
        <v>6.6441890000000003E-2</v>
      </c>
      <c r="S6898">
        <v>3.1112060000000001</v>
      </c>
      <c r="T6898">
        <v>-0.69833020000000001</v>
      </c>
      <c r="U6898">
        <v>0.2177277</v>
      </c>
      <c r="V6898">
        <v>4.2468850000000002E-2</v>
      </c>
      <c r="W6898">
        <v>0.14256259999999901</v>
      </c>
      <c r="X6898">
        <v>0.98887429999999998</v>
      </c>
      <c r="Y6898">
        <v>3.6444949999999997E-2</v>
      </c>
      <c r="Z6898">
        <v>-2.8267919999999998E-2</v>
      </c>
      <c r="AA6898">
        <v>0.99893580000000004</v>
      </c>
      <c r="AB6898">
        <v>10</v>
      </c>
      <c r="AC6898">
        <v>0.63069999999999005</v>
      </c>
      <c r="AD6898">
        <v>-0.16242419999999999</v>
      </c>
      <c r="AE6898">
        <v>4.0300000000002001E-2</v>
      </c>
      <c r="AF6898">
        <v>2.73294927477431E-2</v>
      </c>
      <c r="AG6898">
        <v>-0.16242419999999999</v>
      </c>
      <c r="AH6898">
        <v>0.59219839102912497</v>
      </c>
      <c r="AI6898">
        <v>105.32199422946501</v>
      </c>
      <c r="AJ6898">
        <v>87.3577193062671</v>
      </c>
      <c r="AK6898">
        <v>0.61467670873148705</v>
      </c>
      <c r="AL6898">
        <v>81.803840208449202</v>
      </c>
      <c r="AM6898">
        <v>87.5408486981447</v>
      </c>
      <c r="AN6898">
        <v>1.0000000396697799</v>
      </c>
    </row>
    <row r="6899" spans="1:40" x14ac:dyDescent="0.25">
      <c r="A6899" t="str">
        <f>"20190312172845244"</f>
        <v>20190312172845244</v>
      </c>
      <c r="B6899" t="str">
        <f>"1552382925236918"</f>
        <v>1552382925236918</v>
      </c>
      <c r="C6899" t="s">
        <v>40</v>
      </c>
      <c r="D6899">
        <v>3.7212939999999999</v>
      </c>
      <c r="E6899">
        <v>0.49660900000000002</v>
      </c>
      <c r="F6899" t="s">
        <v>44</v>
      </c>
      <c r="G6899">
        <v>-159.94720000000001</v>
      </c>
      <c r="H6899">
        <v>0.94791320000000001</v>
      </c>
      <c r="I6899">
        <v>138.1823</v>
      </c>
      <c r="J6899">
        <v>-160.56020000000001</v>
      </c>
      <c r="K6899">
        <v>1.110717</v>
      </c>
      <c r="L6899">
        <v>138.14359999999999</v>
      </c>
      <c r="M6899">
        <v>0.99386070000000004</v>
      </c>
      <c r="N6899">
        <v>0</v>
      </c>
      <c r="O6899">
        <v>0.10964359999999999</v>
      </c>
      <c r="P6899">
        <v>0.98984099999999997</v>
      </c>
      <c r="Q6899">
        <v>0.1251823</v>
      </c>
      <c r="R6899">
        <v>6.7414509999999997E-2</v>
      </c>
      <c r="S6899">
        <v>3.1090089999999999</v>
      </c>
      <c r="T6899">
        <v>-0.70742150000000004</v>
      </c>
      <c r="U6899">
        <v>0.2170715</v>
      </c>
      <c r="V6899">
        <v>4.1502230000000001E-2</v>
      </c>
      <c r="W6899">
        <v>0.13986390000000001</v>
      </c>
      <c r="X6899">
        <v>0.98930059999999997</v>
      </c>
      <c r="Y6899">
        <v>3.6457650000000001E-2</v>
      </c>
      <c r="Z6899">
        <v>-2.8637059999999999E-2</v>
      </c>
      <c r="AA6899">
        <v>0.99892479999999995</v>
      </c>
      <c r="AB6899">
        <v>10</v>
      </c>
      <c r="AC6899">
        <v>0.61299999999999899</v>
      </c>
      <c r="AD6899">
        <v>-0.162803799999999</v>
      </c>
      <c r="AE6899">
        <v>3.8700000000005702E-2</v>
      </c>
      <c r="AF6899">
        <v>2.6864863344681099E-2</v>
      </c>
      <c r="AG6899">
        <v>-0.162803799999999</v>
      </c>
      <c r="AH6899">
        <v>0.57327155563852195</v>
      </c>
      <c r="AI6899">
        <v>105.837546757974</v>
      </c>
      <c r="AJ6899">
        <v>87.316946940598498</v>
      </c>
      <c r="AK6899">
        <v>0.59654595353684103</v>
      </c>
      <c r="AL6899">
        <v>81.960029285958697</v>
      </c>
      <c r="AM6899">
        <v>87.597788640846503</v>
      </c>
      <c r="AN6899">
        <v>1.00000001138927</v>
      </c>
    </row>
    <row r="6900" spans="1:40" x14ac:dyDescent="0.25">
      <c r="A6900" t="str">
        <f>"20190312172845272"</f>
        <v>20190312172845272</v>
      </c>
      <c r="B6900" t="str">
        <f>"1552382925267175"</f>
        <v>1552382925267175</v>
      </c>
      <c r="C6900" t="s">
        <v>40</v>
      </c>
      <c r="D6900">
        <v>3.7305549999999998</v>
      </c>
      <c r="E6900">
        <v>0.497085</v>
      </c>
      <c r="F6900" t="s">
        <v>44</v>
      </c>
      <c r="G6900">
        <v>-159.86240000000001</v>
      </c>
      <c r="H6900">
        <v>0.95024390000000003</v>
      </c>
      <c r="I6900">
        <v>138.19220000000001</v>
      </c>
      <c r="J6900">
        <v>-160.4521</v>
      </c>
      <c r="K6900">
        <v>1.1107479999999901</v>
      </c>
      <c r="L6900">
        <v>138.15549999999999</v>
      </c>
      <c r="M6900">
        <v>0.99385979999999996</v>
      </c>
      <c r="N6900">
        <v>0</v>
      </c>
      <c r="O6900">
        <v>0.1095762</v>
      </c>
      <c r="P6900">
        <v>0.99013439999999997</v>
      </c>
      <c r="Q6900">
        <v>0.12256</v>
      </c>
      <c r="R6900">
        <v>6.7917950000000005E-2</v>
      </c>
      <c r="S6900">
        <v>3.10643</v>
      </c>
      <c r="T6900">
        <v>-0.71445249999999905</v>
      </c>
      <c r="U6900">
        <v>0.21617130000000001</v>
      </c>
      <c r="V6900">
        <v>4.0981700000000003E-2</v>
      </c>
      <c r="W6900">
        <v>0.1377786</v>
      </c>
      <c r="X6900">
        <v>0.98961480000000002</v>
      </c>
      <c r="Y6900">
        <v>3.6541509999999999E-2</v>
      </c>
      <c r="Z6900">
        <v>-2.893271E-2</v>
      </c>
      <c r="AA6900">
        <v>0.99891319999999995</v>
      </c>
      <c r="AB6900">
        <v>10</v>
      </c>
      <c r="AC6900">
        <v>0.58969999999999301</v>
      </c>
      <c r="AD6900">
        <v>-0.16050409999999901</v>
      </c>
      <c r="AE6900">
        <v>3.6700000000024602E-2</v>
      </c>
      <c r="AF6900">
        <v>2.6211455325517701E-2</v>
      </c>
      <c r="AG6900">
        <v>-0.16050409999999901</v>
      </c>
      <c r="AH6900">
        <v>0.54961119135926695</v>
      </c>
      <c r="AI6900">
        <v>106.26199356247</v>
      </c>
      <c r="AJ6900">
        <v>87.269581188236302</v>
      </c>
      <c r="AK6900">
        <v>0.57316757425245501</v>
      </c>
      <c r="AL6900">
        <v>82.080675857557395</v>
      </c>
      <c r="AM6900">
        <v>87.628635344086604</v>
      </c>
      <c r="AN6900">
        <v>0.999999947365943</v>
      </c>
    </row>
    <row r="6901" spans="1:40" x14ac:dyDescent="0.25">
      <c r="A6901" t="str">
        <f>"20190312172845294"</f>
        <v>20190312172845294</v>
      </c>
      <c r="B6901" t="str">
        <f>"1552382925286694"</f>
        <v>1552382925286694</v>
      </c>
      <c r="C6901" t="s">
        <v>40</v>
      </c>
      <c r="D6901">
        <v>3.7271040000000002</v>
      </c>
      <c r="E6901">
        <v>0.49746580000000001</v>
      </c>
      <c r="F6901" t="s">
        <v>44</v>
      </c>
      <c r="G6901">
        <v>-159.70410000000001</v>
      </c>
      <c r="H6901">
        <v>0.93755639999999996</v>
      </c>
      <c r="I6901">
        <v>138.20679999999999</v>
      </c>
      <c r="J6901">
        <v>-160.35839999999999</v>
      </c>
      <c r="K6901">
        <v>1.110757</v>
      </c>
      <c r="L6901">
        <v>138.16579999999999</v>
      </c>
      <c r="M6901">
        <v>0.99386220000000003</v>
      </c>
      <c r="N6901">
        <v>0</v>
      </c>
      <c r="O6901">
        <v>0.1094913</v>
      </c>
      <c r="P6901">
        <v>0.99049450000000006</v>
      </c>
      <c r="Q6901">
        <v>0.11935800000000001</v>
      </c>
      <c r="R6901">
        <v>6.8371260000000003E-2</v>
      </c>
      <c r="S6901">
        <v>3.1042480000000001</v>
      </c>
      <c r="T6901">
        <v>-0.71875459999999902</v>
      </c>
      <c r="U6901">
        <v>0.21270749999999999</v>
      </c>
      <c r="V6901">
        <v>4.049759E-2</v>
      </c>
      <c r="W6901">
        <v>0.13502410000000001</v>
      </c>
      <c r="X6901">
        <v>0.99001439999999996</v>
      </c>
      <c r="Y6901">
        <v>3.7445199999999998E-2</v>
      </c>
      <c r="Z6901">
        <v>-2.9207839999999999E-2</v>
      </c>
      <c r="AA6901">
        <v>0.99887170000000003</v>
      </c>
      <c r="AB6901">
        <v>9</v>
      </c>
      <c r="AC6901">
        <v>0.65429999999997701</v>
      </c>
      <c r="AD6901">
        <v>-0.17320059999999901</v>
      </c>
      <c r="AE6901">
        <v>4.0999999999996803E-2</v>
      </c>
      <c r="AF6901">
        <v>2.8879903563806202E-2</v>
      </c>
      <c r="AG6901">
        <v>-0.17320059999999901</v>
      </c>
      <c r="AH6901">
        <v>0.61212949044333498</v>
      </c>
      <c r="AI6901">
        <v>105.78205703163199</v>
      </c>
      <c r="AJ6901">
        <v>87.298822353232097</v>
      </c>
      <c r="AK6901">
        <v>0.63681630769055497</v>
      </c>
      <c r="AL6901">
        <v>82.239986814543101</v>
      </c>
      <c r="AM6901">
        <v>87.657561271968802</v>
      </c>
      <c r="AN6901">
        <v>1.0000000372919799</v>
      </c>
    </row>
    <row r="6902" spans="1:40" x14ac:dyDescent="0.25">
      <c r="A6902" t="str">
        <f>"20190312172845320"</f>
        <v>20190312172845320</v>
      </c>
      <c r="B6902" t="str">
        <f>"1552382925316950"</f>
        <v>1552382925316950</v>
      </c>
      <c r="C6902" t="s">
        <v>40</v>
      </c>
      <c r="D6902">
        <v>3.7362660000000001</v>
      </c>
      <c r="E6902">
        <v>0.49798340000000002</v>
      </c>
      <c r="F6902" t="s">
        <v>44</v>
      </c>
      <c r="G6902">
        <v>-159.62309999999999</v>
      </c>
      <c r="H6902">
        <v>0.93875180000000003</v>
      </c>
      <c r="I6902">
        <v>138.2157</v>
      </c>
      <c r="J6902">
        <v>-160.2544</v>
      </c>
      <c r="K6902">
        <v>1.11076</v>
      </c>
      <c r="L6902">
        <v>138.1771</v>
      </c>
      <c r="M6902">
        <v>0.99386830000000004</v>
      </c>
      <c r="N6902">
        <v>0</v>
      </c>
      <c r="O6902">
        <v>0.109365</v>
      </c>
      <c r="P6902">
        <v>0.9908979</v>
      </c>
      <c r="Q6902">
        <v>0.1158177</v>
      </c>
      <c r="R6902">
        <v>6.8611809999999995E-2</v>
      </c>
      <c r="S6902">
        <v>3.1017000000000001</v>
      </c>
      <c r="T6902">
        <v>-0.72565590000000002</v>
      </c>
      <c r="U6902">
        <v>0.21081539999999999</v>
      </c>
      <c r="V6902">
        <v>4.0188160000000001E-2</v>
      </c>
      <c r="W6902">
        <v>0.13195860000000001</v>
      </c>
      <c r="X6902">
        <v>0.99044019999999999</v>
      </c>
      <c r="Y6902">
        <v>3.7783940000000002E-2</v>
      </c>
      <c r="Z6902">
        <v>-2.9515610000000001E-2</v>
      </c>
      <c r="AA6902">
        <v>0.99884989999999996</v>
      </c>
      <c r="AB6902">
        <v>9</v>
      </c>
      <c r="AC6902">
        <v>0.63130000000000996</v>
      </c>
      <c r="AD6902">
        <v>-0.172008199999999</v>
      </c>
      <c r="AE6902">
        <v>3.8600000000002403E-2</v>
      </c>
      <c r="AF6902">
        <v>2.8569807573739801E-2</v>
      </c>
      <c r="AG6902">
        <v>-0.172008199999999</v>
      </c>
      <c r="AH6902">
        <v>0.588228020627514</v>
      </c>
      <c r="AI6902">
        <v>106.28167213511399</v>
      </c>
      <c r="AJ6902">
        <v>87.219370722336095</v>
      </c>
      <c r="AK6902">
        <v>0.61352690162975199</v>
      </c>
      <c r="AL6902">
        <v>82.417212799701701</v>
      </c>
      <c r="AM6902">
        <v>87.676437693958704</v>
      </c>
      <c r="AN6902">
        <v>0.99999997504709204</v>
      </c>
    </row>
    <row r="6903" spans="1:40" x14ac:dyDescent="0.25">
      <c r="A6903" t="str">
        <f>"20190312172845339"</f>
        <v>20190312172845339</v>
      </c>
      <c r="B6903" t="str">
        <f>"1552382925336470"</f>
        <v>1552382925336470</v>
      </c>
      <c r="C6903" t="s">
        <v>40</v>
      </c>
      <c r="D6903">
        <v>3.8118099999999999</v>
      </c>
      <c r="E6903">
        <v>0.4989653</v>
      </c>
      <c r="F6903" t="s">
        <v>44</v>
      </c>
      <c r="G6903">
        <v>-159.54220000000001</v>
      </c>
      <c r="H6903">
        <v>0.94224180000000002</v>
      </c>
      <c r="I6903">
        <v>138.22450000000001</v>
      </c>
      <c r="J6903">
        <v>-160.1764</v>
      </c>
      <c r="K6903">
        <v>1.110757</v>
      </c>
      <c r="L6903">
        <v>138.18559999999999</v>
      </c>
      <c r="M6903">
        <v>0.99387590000000003</v>
      </c>
      <c r="N6903">
        <v>0</v>
      </c>
      <c r="O6903">
        <v>0.1092428</v>
      </c>
      <c r="P6903">
        <v>0.9912763</v>
      </c>
      <c r="Q6903">
        <v>0.1124095</v>
      </c>
      <c r="R6903">
        <v>6.8818199999999996E-2</v>
      </c>
      <c r="S6903">
        <v>3.0989689999999999</v>
      </c>
      <c r="T6903">
        <v>-0.73329949999999999</v>
      </c>
      <c r="U6903">
        <v>0.20649719999999999</v>
      </c>
      <c r="V6903">
        <v>3.990987E-2</v>
      </c>
      <c r="W6903">
        <v>0.12890689999999999</v>
      </c>
      <c r="X6903">
        <v>0.99085330000000005</v>
      </c>
      <c r="Y6903">
        <v>3.8871349999999999E-2</v>
      </c>
      <c r="Z6903">
        <v>-2.9944129999999999E-2</v>
      </c>
      <c r="AA6903">
        <v>0.9987954</v>
      </c>
      <c r="AB6903">
        <v>9</v>
      </c>
      <c r="AC6903">
        <v>0.63419999999999199</v>
      </c>
      <c r="AD6903">
        <v>-0.168515199999999</v>
      </c>
      <c r="AE6903">
        <v>3.89000000000123E-2</v>
      </c>
      <c r="AF6903">
        <v>2.8611734041172E-2</v>
      </c>
      <c r="AG6903">
        <v>-0.168515199999999</v>
      </c>
      <c r="AH6903">
        <v>0.59294633157203402</v>
      </c>
      <c r="AI6903">
        <v>105.847625178942</v>
      </c>
      <c r="AJ6903">
        <v>87.237421074118402</v>
      </c>
      <c r="AK6903">
        <v>0.61709104359131295</v>
      </c>
      <c r="AL6903">
        <v>82.593569357266205</v>
      </c>
      <c r="AM6903">
        <v>87.693471142203705</v>
      </c>
      <c r="AN6903">
        <v>1.0000000243559499</v>
      </c>
    </row>
    <row r="6904" spans="1:40" x14ac:dyDescent="0.25">
      <c r="A6904" t="str">
        <f>"20190312172845358"</f>
        <v>20190312172845358</v>
      </c>
      <c r="B6904" t="str">
        <f>"1552382925347206"</f>
        <v>1552382925347206</v>
      </c>
      <c r="C6904" t="s">
        <v>40</v>
      </c>
      <c r="D6904">
        <v>3.880776</v>
      </c>
      <c r="E6904">
        <v>0.4989653</v>
      </c>
      <c r="F6904" t="s">
        <v>44</v>
      </c>
      <c r="G6904">
        <v>-159.46530000000001</v>
      </c>
      <c r="H6904">
        <v>0.93966719999999904</v>
      </c>
      <c r="I6904">
        <v>138.23079999999999</v>
      </c>
      <c r="J6904">
        <v>-160.10159999999999</v>
      </c>
      <c r="K6904">
        <v>1.110768</v>
      </c>
      <c r="L6904">
        <v>138.19370000000001</v>
      </c>
      <c r="M6904">
        <v>0.99388589999999999</v>
      </c>
      <c r="N6904">
        <v>0</v>
      </c>
      <c r="O6904">
        <v>0.1090974</v>
      </c>
      <c r="P6904">
        <v>0.99155420000000005</v>
      </c>
      <c r="Q6904">
        <v>0.1103668</v>
      </c>
      <c r="R6904">
        <v>6.811449E-2</v>
      </c>
      <c r="S6904">
        <v>3.0972140000000001</v>
      </c>
      <c r="T6904">
        <v>-0.74516689999999997</v>
      </c>
      <c r="U6904">
        <v>0.1973114</v>
      </c>
      <c r="V6904">
        <v>4.0502330000000003E-2</v>
      </c>
      <c r="W6904">
        <v>0.12721759999999999</v>
      </c>
      <c r="X6904">
        <v>0.99104760000000003</v>
      </c>
      <c r="Y6904">
        <v>4.1432940000000001E-2</v>
      </c>
      <c r="Z6904">
        <v>-3.0705420000000001E-2</v>
      </c>
      <c r="AA6904">
        <v>0.99866940000000004</v>
      </c>
      <c r="AB6904">
        <v>9</v>
      </c>
      <c r="AC6904">
        <v>0.636299999999977</v>
      </c>
      <c r="AD6904">
        <v>-0.1711008</v>
      </c>
      <c r="AE6904">
        <v>3.7099999999981002E-2</v>
      </c>
      <c r="AF6904">
        <v>3.03622417341157E-2</v>
      </c>
      <c r="AG6904">
        <v>-0.1711008</v>
      </c>
      <c r="AH6904">
        <v>0.59376133399668796</v>
      </c>
      <c r="AI6904">
        <v>106.055196986122</v>
      </c>
      <c r="AJ6904">
        <v>87.072705304149906</v>
      </c>
      <c r="AK6904">
        <v>0.61866781978157503</v>
      </c>
      <c r="AL6904">
        <v>82.691162893816198</v>
      </c>
      <c r="AM6904">
        <v>87.659727047633595</v>
      </c>
      <c r="AN6904">
        <v>1.0000000509754701</v>
      </c>
    </row>
    <row r="6905" spans="1:40" x14ac:dyDescent="0.25">
      <c r="A6905" t="str">
        <f>"20190312172845378"</f>
        <v>20190312172845378</v>
      </c>
      <c r="B6905" t="str">
        <f>"1552382925366726"</f>
        <v>1552382925366726</v>
      </c>
      <c r="C6905" t="s">
        <v>40</v>
      </c>
      <c r="D6905">
        <v>3.8816299999999999</v>
      </c>
      <c r="E6905">
        <v>0.52990539999999997</v>
      </c>
      <c r="F6905" t="s">
        <v>44</v>
      </c>
      <c r="G6905">
        <v>-159.38939999999999</v>
      </c>
      <c r="H6905">
        <v>0.93787160000000003</v>
      </c>
      <c r="I6905">
        <v>138.23849999999999</v>
      </c>
      <c r="J6905">
        <v>-160.02690000000001</v>
      </c>
      <c r="K6905">
        <v>1.1107899999999999</v>
      </c>
      <c r="L6905">
        <v>138.20169999999999</v>
      </c>
      <c r="M6905">
        <v>0.99389919999999998</v>
      </c>
      <c r="N6905">
        <v>0</v>
      </c>
      <c r="O6905">
        <v>0.1089174</v>
      </c>
      <c r="P6905">
        <v>0.9917068</v>
      </c>
      <c r="Q6905">
        <v>0.109833</v>
      </c>
      <c r="R6905">
        <v>6.674397E-2</v>
      </c>
      <c r="S6905">
        <v>3.095825</v>
      </c>
      <c r="T6905">
        <v>-0.75157309999999999</v>
      </c>
      <c r="U6905">
        <v>0.19473270000000001</v>
      </c>
      <c r="V6905">
        <v>4.1709650000000001E-2</v>
      </c>
      <c r="W6905">
        <v>0.12705449999999999</v>
      </c>
      <c r="X6905">
        <v>0.99101839999999997</v>
      </c>
      <c r="Y6905">
        <v>4.1965919999999997E-2</v>
      </c>
      <c r="Z6905">
        <v>-3.099764E-2</v>
      </c>
      <c r="AA6905">
        <v>0.99863809999999997</v>
      </c>
      <c r="AB6905">
        <v>9</v>
      </c>
      <c r="AC6905">
        <v>0.63750000000001705</v>
      </c>
      <c r="AD6905">
        <v>-0.172918399999999</v>
      </c>
      <c r="AE6905">
        <v>3.67999999999995E-2</v>
      </c>
      <c r="AF6905">
        <v>3.06190337005912E-2</v>
      </c>
      <c r="AG6905">
        <v>-0.172918399999999</v>
      </c>
      <c r="AH6905">
        <v>0.59414667193314996</v>
      </c>
      <c r="AI6905">
        <v>106.206551339482</v>
      </c>
      <c r="AJ6905">
        <v>87.049902160840901</v>
      </c>
      <c r="AK6905">
        <v>0.61955513560340703</v>
      </c>
      <c r="AL6905">
        <v>82.700583949494003</v>
      </c>
      <c r="AM6905">
        <v>87.589976794606201</v>
      </c>
      <c r="AN6905">
        <v>1.0000000050059601</v>
      </c>
    </row>
    <row r="6906" spans="1:40" x14ac:dyDescent="0.25">
      <c r="A6906" t="str">
        <f>"20190312172845402"</f>
        <v>20190312172845402</v>
      </c>
      <c r="B6906" t="str">
        <f>"1552382925396983"</f>
        <v>1552382925396983</v>
      </c>
      <c r="C6906" t="s">
        <v>40</v>
      </c>
      <c r="D6906">
        <v>3.7986780000000002</v>
      </c>
      <c r="E6906">
        <v>0.53242829999999997</v>
      </c>
      <c r="F6906" t="s">
        <v>44</v>
      </c>
      <c r="G6906">
        <v>-159.3125</v>
      </c>
      <c r="H6906">
        <v>0.92931569999999997</v>
      </c>
      <c r="I6906">
        <v>138.18860000000001</v>
      </c>
      <c r="J6906">
        <v>-159.93889999999999</v>
      </c>
      <c r="K6906">
        <v>1.1108150000000001</v>
      </c>
      <c r="L6906">
        <v>138.21100000000001</v>
      </c>
      <c r="M6906">
        <v>0.99391960000000001</v>
      </c>
      <c r="N6906">
        <v>0</v>
      </c>
      <c r="O6906">
        <v>0.108654</v>
      </c>
      <c r="P6906">
        <v>0.99172159999999998</v>
      </c>
      <c r="Q6906">
        <v>0.11027149999999999</v>
      </c>
      <c r="R6906">
        <v>6.5793270000000001E-2</v>
      </c>
      <c r="S6906">
        <v>3.1165470000000002</v>
      </c>
      <c r="T6906">
        <v>-0.79166809999999999</v>
      </c>
      <c r="U6906">
        <v>-5.6091309999999998E-2</v>
      </c>
      <c r="V6906">
        <v>4.2404009999999999E-2</v>
      </c>
      <c r="W6906">
        <v>0.12795309999999999</v>
      </c>
      <c r="X6906">
        <v>0.99087329999999996</v>
      </c>
      <c r="Y6906">
        <v>0.11931070000000001</v>
      </c>
      <c r="Z6906">
        <v>-4.2052430000000002E-2</v>
      </c>
      <c r="AA6906">
        <v>0.99196600000000001</v>
      </c>
      <c r="AB6906">
        <v>9</v>
      </c>
      <c r="AC6906">
        <v>0.62639999999998897</v>
      </c>
      <c r="AD6906">
        <v>-0.181499299999999</v>
      </c>
      <c r="AE6906">
        <v>-2.24000000000046E-2</v>
      </c>
      <c r="AF6906">
        <v>8.3350300858636997E-2</v>
      </c>
      <c r="AG6906">
        <v>-0.181499299999999</v>
      </c>
      <c r="AH6906">
        <v>0.57227231412577695</v>
      </c>
      <c r="AI6906">
        <v>107.424157944839</v>
      </c>
      <c r="AJ6906">
        <v>81.713254672984505</v>
      </c>
      <c r="AK6906">
        <v>0.60612281764390497</v>
      </c>
      <c r="AL6906">
        <v>82.648674213294797</v>
      </c>
      <c r="AM6906">
        <v>87.5495461607658</v>
      </c>
      <c r="AN6906">
        <v>0.99999999625828995</v>
      </c>
    </row>
    <row r="6907" spans="1:40" x14ac:dyDescent="0.25">
      <c r="A6907" t="str">
        <f>"20190312172845425"</f>
        <v>20190312172845425</v>
      </c>
      <c r="B6907" t="str">
        <f>"1552382925416502"</f>
        <v>1552382925416502</v>
      </c>
      <c r="C6907" t="s">
        <v>40</v>
      </c>
      <c r="D6907">
        <v>3.7939980000000002</v>
      </c>
      <c r="E6907">
        <v>0.53284880000000001</v>
      </c>
      <c r="F6907" t="s">
        <v>44</v>
      </c>
      <c r="G6907">
        <v>-159.23570000000001</v>
      </c>
      <c r="H6907">
        <v>0.93471009999999999</v>
      </c>
      <c r="I6907">
        <v>138.19299999999899</v>
      </c>
      <c r="J6907">
        <v>-159.8562</v>
      </c>
      <c r="K6907">
        <v>1.1108450000000001</v>
      </c>
      <c r="L6907">
        <v>138.21969999999999</v>
      </c>
      <c r="M6907">
        <v>0.99394510000000003</v>
      </c>
      <c r="N6907">
        <v>0</v>
      </c>
      <c r="O6907">
        <v>0.1083462</v>
      </c>
      <c r="P6907">
        <v>0.99171609999999999</v>
      </c>
      <c r="Q6907">
        <v>0.1110146</v>
      </c>
      <c r="R6907">
        <v>6.4618060000000005E-2</v>
      </c>
      <c r="S6907">
        <v>3.1171419999999999</v>
      </c>
      <c r="T6907">
        <v>-0.78060109999999905</v>
      </c>
      <c r="U6907">
        <v>-7.9986570000000007E-2</v>
      </c>
      <c r="V6907">
        <v>4.3275220000000003E-2</v>
      </c>
      <c r="W6907">
        <v>0.1291438</v>
      </c>
      <c r="X6907">
        <v>0.99068120000000004</v>
      </c>
      <c r="Y6907">
        <v>0.1265841</v>
      </c>
      <c r="Z6907">
        <v>-4.2295399999999997E-2</v>
      </c>
      <c r="AA6907">
        <v>0.99105379999999998</v>
      </c>
      <c r="AB6907">
        <v>8</v>
      </c>
      <c r="AC6907">
        <v>0.62049999999999195</v>
      </c>
      <c r="AD6907">
        <v>-0.17613489999999901</v>
      </c>
      <c r="AE6907">
        <v>-2.6700000000005199E-2</v>
      </c>
      <c r="AF6907">
        <v>8.6801600827694794E-2</v>
      </c>
      <c r="AG6907">
        <v>-0.17613489999999901</v>
      </c>
      <c r="AH6907">
        <v>0.56824985985191601</v>
      </c>
      <c r="AI6907">
        <v>107.0353880895</v>
      </c>
      <c r="AJ6907">
        <v>81.315059309743702</v>
      </c>
      <c r="AK6907">
        <v>0.60122036236806098</v>
      </c>
      <c r="AL6907">
        <v>82.579881788187606</v>
      </c>
      <c r="AM6907">
        <v>87.498779430665294</v>
      </c>
      <c r="AN6907">
        <v>1.0000000528889601</v>
      </c>
    </row>
    <row r="6908" spans="1:40" x14ac:dyDescent="0.25">
      <c r="A6908" t="str">
        <f>"20190312172845446"</f>
        <v>20190312172845446</v>
      </c>
      <c r="B6908" t="str">
        <f>"1552382925436998"</f>
        <v>1552382925436998</v>
      </c>
      <c r="C6908" t="s">
        <v>40</v>
      </c>
      <c r="D6908">
        <v>3.8321260000000001</v>
      </c>
      <c r="E6908">
        <v>0.53307130000000003</v>
      </c>
      <c r="F6908" t="s">
        <v>44</v>
      </c>
      <c r="G6908">
        <v>-159.16149999999999</v>
      </c>
      <c r="H6908">
        <v>0.93828339999999999</v>
      </c>
      <c r="I6908">
        <v>138.19980000000001</v>
      </c>
      <c r="J6908">
        <v>-159.7818</v>
      </c>
      <c r="K6908">
        <v>1.110865</v>
      </c>
      <c r="L6908">
        <v>138.22739999999999</v>
      </c>
      <c r="M6908">
        <v>0.99397389999999997</v>
      </c>
      <c r="N6908">
        <v>0</v>
      </c>
      <c r="O6908">
        <v>0.10800940000000001</v>
      </c>
      <c r="P6908">
        <v>0.99172260000000001</v>
      </c>
      <c r="Q6908">
        <v>0.11171739999999999</v>
      </c>
      <c r="R6908">
        <v>6.3292080000000001E-2</v>
      </c>
      <c r="S6908">
        <v>3.117569</v>
      </c>
      <c r="T6908">
        <v>-0.77441789999999999</v>
      </c>
      <c r="U6908">
        <v>-8.9202879999999998E-2</v>
      </c>
      <c r="V6908">
        <v>4.4268389999999998E-2</v>
      </c>
      <c r="W6908">
        <v>0.13025719999999999</v>
      </c>
      <c r="X6908">
        <v>0.99049140000000002</v>
      </c>
      <c r="Y6908">
        <v>0.1292179</v>
      </c>
      <c r="Z6908">
        <v>-4.2204419999999999E-2</v>
      </c>
      <c r="AA6908">
        <v>0.99071770000000003</v>
      </c>
      <c r="AB6908">
        <v>8</v>
      </c>
      <c r="AC6908">
        <v>0.62030000000001395</v>
      </c>
      <c r="AD6908">
        <v>-0.172581599999999</v>
      </c>
      <c r="AE6908">
        <v>-2.7599999999978302E-2</v>
      </c>
      <c r="AF6908">
        <v>8.7675096047507603E-2</v>
      </c>
      <c r="AG6908">
        <v>-0.172581599999999</v>
      </c>
      <c r="AH6908">
        <v>0.56967786128793496</v>
      </c>
      <c r="AI6908">
        <v>106.668785657821</v>
      </c>
      <c r="AJ6908">
        <v>81.250659548388001</v>
      </c>
      <c r="AK6908">
        <v>0.60166784588101097</v>
      </c>
      <c r="AL6908">
        <v>82.515544237332307</v>
      </c>
      <c r="AM6908">
        <v>87.440962008723403</v>
      </c>
      <c r="AN6908">
        <v>0.99999992098949297</v>
      </c>
    </row>
    <row r="6909" spans="1:40" x14ac:dyDescent="0.25">
      <c r="A6909" t="str">
        <f>"20190312172845475"</f>
        <v>20190312172845475</v>
      </c>
      <c r="B6909" t="str">
        <f>"1552382925466278"</f>
        <v>1552382925466278</v>
      </c>
      <c r="C6909" t="s">
        <v>40</v>
      </c>
      <c r="D6909">
        <v>3.823906</v>
      </c>
      <c r="E6909">
        <v>0.53341130000000003</v>
      </c>
      <c r="F6909" t="s">
        <v>44</v>
      </c>
      <c r="G6909">
        <v>-159.0898</v>
      </c>
      <c r="H6909">
        <v>0.94020879999999996</v>
      </c>
      <c r="I6909">
        <v>138.20609999999999</v>
      </c>
      <c r="J6909">
        <v>-159.69049999999999</v>
      </c>
      <c r="K6909">
        <v>1.11117</v>
      </c>
      <c r="L6909">
        <v>138.23679999999999</v>
      </c>
      <c r="M6909">
        <v>0.99399349999999997</v>
      </c>
      <c r="N6909">
        <v>0</v>
      </c>
      <c r="O6909">
        <v>0.1075624</v>
      </c>
      <c r="P6909">
        <v>0.99200770000000005</v>
      </c>
      <c r="Q6909">
        <v>0.1101839</v>
      </c>
      <c r="R6909">
        <v>6.1484589999999999E-2</v>
      </c>
      <c r="S6909">
        <v>3.1177670000000002</v>
      </c>
      <c r="T6909">
        <v>-0.76886009999999905</v>
      </c>
      <c r="U6909">
        <v>-9.5718380000000006E-2</v>
      </c>
      <c r="V6909">
        <v>4.5651900000000002E-2</v>
      </c>
      <c r="W6909">
        <v>0.1301783</v>
      </c>
      <c r="X6909">
        <v>0.99043910000000002</v>
      </c>
      <c r="Y6909">
        <v>0.1309073</v>
      </c>
      <c r="Z6909">
        <v>-4.2005000000000001E-2</v>
      </c>
      <c r="AA6909">
        <v>0.9905043</v>
      </c>
      <c r="AB6909">
        <v>8</v>
      </c>
      <c r="AC6909">
        <v>0.60069999999998902</v>
      </c>
      <c r="AD6909">
        <v>-0.17096120000000001</v>
      </c>
      <c r="AE6909">
        <v>-3.0699999999995901E-2</v>
      </c>
      <c r="AF6909">
        <v>8.8035496860803697E-2</v>
      </c>
      <c r="AG6909">
        <v>-0.17096120000000001</v>
      </c>
      <c r="AH6909">
        <v>0.54951633884084505</v>
      </c>
      <c r="AI6909">
        <v>107.076691292316</v>
      </c>
      <c r="AJ6909">
        <v>80.898247429846194</v>
      </c>
      <c r="AK6909">
        <v>0.58219085123867698</v>
      </c>
      <c r="AL6909">
        <v>82.520104654197993</v>
      </c>
      <c r="AM6909">
        <v>87.360957168208202</v>
      </c>
      <c r="AN6909">
        <v>1.00000004828665</v>
      </c>
    </row>
    <row r="6910" spans="1:40" x14ac:dyDescent="0.25">
      <c r="A6910" t="str">
        <f>"20190312172845510"</f>
        <v>20190312172845510</v>
      </c>
      <c r="B6910" t="str">
        <f>"1552382925506295"</f>
        <v>1552382925506295</v>
      </c>
      <c r="C6910" t="s">
        <v>40</v>
      </c>
      <c r="D6910">
        <v>3.8389639999999998</v>
      </c>
      <c r="E6910">
        <v>0.5333291</v>
      </c>
      <c r="F6910" t="s">
        <v>44</v>
      </c>
      <c r="G6910">
        <v>-158.96379999999999</v>
      </c>
      <c r="H6910">
        <v>0.93142749999999996</v>
      </c>
      <c r="I6910">
        <v>138.21279999999999</v>
      </c>
      <c r="J6910">
        <v>-159.58189999999999</v>
      </c>
      <c r="K6910">
        <v>1.1115250000000001</v>
      </c>
      <c r="L6910">
        <v>138.24780000000001</v>
      </c>
      <c r="M6910">
        <v>0.9940196</v>
      </c>
      <c r="N6910">
        <v>0</v>
      </c>
      <c r="O6910">
        <v>0.1068973</v>
      </c>
      <c r="P6910">
        <v>0.99268829999999997</v>
      </c>
      <c r="Q6910">
        <v>0.10610360000000001</v>
      </c>
      <c r="R6910">
        <v>5.7549870000000003E-2</v>
      </c>
      <c r="S6910">
        <v>3.1161349999999999</v>
      </c>
      <c r="T6910">
        <v>-0.77076169999999899</v>
      </c>
      <c r="U6910">
        <v>-0.1027222</v>
      </c>
      <c r="V6910">
        <v>4.8976619999999998E-2</v>
      </c>
      <c r="W6910">
        <v>0.12822359999999999</v>
      </c>
      <c r="X6910">
        <v>0.99053519999999995</v>
      </c>
      <c r="Y6910">
        <v>0.1324215</v>
      </c>
      <c r="Z6910">
        <v>-4.2150760000000002E-2</v>
      </c>
      <c r="AA6910">
        <v>0.99029679999999998</v>
      </c>
      <c r="AB6910">
        <v>7</v>
      </c>
      <c r="AC6910">
        <v>0.61809999999999798</v>
      </c>
      <c r="AD6910">
        <v>-0.18009749999999999</v>
      </c>
      <c r="AE6910">
        <v>-3.5000000000024997E-2</v>
      </c>
      <c r="AF6910">
        <v>9.30172828113566E-2</v>
      </c>
      <c r="AG6910">
        <v>-0.18009749999999999</v>
      </c>
      <c r="AH6910">
        <v>0.56315615501581096</v>
      </c>
      <c r="AI6910">
        <v>107.511800381848</v>
      </c>
      <c r="AJ6910">
        <v>80.621055712860596</v>
      </c>
      <c r="AK6910">
        <v>0.59852500310350498</v>
      </c>
      <c r="AL6910">
        <v>82.633046945592298</v>
      </c>
      <c r="AM6910">
        <v>87.169338181568705</v>
      </c>
      <c r="AN6910">
        <v>0.99999999167131204</v>
      </c>
    </row>
    <row r="6911" spans="1:40" x14ac:dyDescent="0.25">
      <c r="A6911" t="str">
        <f>"20190312172845533"</f>
        <v>20190312172845533</v>
      </c>
      <c r="B6911" t="str">
        <f>"1552382925526791"</f>
        <v>1552382925526791</v>
      </c>
      <c r="C6911" t="s">
        <v>40</v>
      </c>
      <c r="D6911">
        <v>3.7851949999999999</v>
      </c>
      <c r="E6911">
        <v>0.53328050000000005</v>
      </c>
      <c r="F6911" t="s">
        <v>44</v>
      </c>
      <c r="G6911">
        <v>-158.8467</v>
      </c>
      <c r="H6911">
        <v>0.92634360000000004</v>
      </c>
      <c r="I6911">
        <v>138.2216</v>
      </c>
      <c r="J6911">
        <v>-159.51060000000001</v>
      </c>
      <c r="K6911">
        <v>1.111415</v>
      </c>
      <c r="L6911">
        <v>138.25470000000001</v>
      </c>
      <c r="M6911">
        <v>0.99407230000000002</v>
      </c>
      <c r="N6911">
        <v>0</v>
      </c>
      <c r="O6911">
        <v>0.106307399999999</v>
      </c>
      <c r="P6911">
        <v>0.99303140000000001</v>
      </c>
      <c r="Q6911">
        <v>0.10408820000000001</v>
      </c>
      <c r="R6911">
        <v>5.5266429999999998E-2</v>
      </c>
      <c r="S6911">
        <v>3.1122890000000001</v>
      </c>
      <c r="T6911">
        <v>-0.78388369999999996</v>
      </c>
      <c r="U6911">
        <v>-0.11074829999999999</v>
      </c>
      <c r="V6911">
        <v>5.0711989999999998E-2</v>
      </c>
      <c r="W6911">
        <v>0.12666050000000001</v>
      </c>
      <c r="X6911">
        <v>0.990649</v>
      </c>
      <c r="Y6911">
        <v>0.13412959999999999</v>
      </c>
      <c r="Z6911">
        <v>-4.2963469999999997E-2</v>
      </c>
      <c r="AA6911">
        <v>0.99003200000000002</v>
      </c>
      <c r="AB6911">
        <v>7</v>
      </c>
      <c r="AC6911">
        <v>0.66390000000001204</v>
      </c>
      <c r="AD6911">
        <v>-0.1850714</v>
      </c>
      <c r="AE6911">
        <v>-3.3100000000018698E-2</v>
      </c>
      <c r="AF6911">
        <v>9.6061752863526403E-2</v>
      </c>
      <c r="AG6911">
        <v>-0.1850714</v>
      </c>
      <c r="AH6911">
        <v>0.60937919453571598</v>
      </c>
      <c r="AI6911">
        <v>106.69925468960901</v>
      </c>
      <c r="AJ6911">
        <v>81.041686136039701</v>
      </c>
      <c r="AK6911">
        <v>0.64406698890268499</v>
      </c>
      <c r="AL6911">
        <v>82.723342423789205</v>
      </c>
      <c r="AM6911">
        <v>87.069548378458407</v>
      </c>
      <c r="AN6911">
        <v>1.0000000146954999</v>
      </c>
    </row>
    <row r="6912" spans="1:40" x14ac:dyDescent="0.25">
      <c r="A6912" t="str">
        <f>"20190312172845558"</f>
        <v>20190312172845558</v>
      </c>
      <c r="B6912" t="str">
        <f>"1552382925546310"</f>
        <v>1552382925546310</v>
      </c>
      <c r="C6912" t="s">
        <v>40</v>
      </c>
      <c r="D6912">
        <v>3.9806550000000001</v>
      </c>
      <c r="E6912">
        <v>0.53336229999999996</v>
      </c>
      <c r="F6912" t="s">
        <v>44</v>
      </c>
      <c r="G6912">
        <v>-158.78790000000001</v>
      </c>
      <c r="H6912">
        <v>0.92774120000000004</v>
      </c>
      <c r="I6912">
        <v>138.2276</v>
      </c>
      <c r="J6912">
        <v>-159.43969999999999</v>
      </c>
      <c r="K6912">
        <v>1.1112519999999999</v>
      </c>
      <c r="L6912">
        <v>138.26150000000001</v>
      </c>
      <c r="M6912">
        <v>0.99414100000000005</v>
      </c>
      <c r="N6912">
        <v>0</v>
      </c>
      <c r="O6912">
        <v>0.105632</v>
      </c>
      <c r="P6912">
        <v>0.99340189999999995</v>
      </c>
      <c r="Q6912">
        <v>0.1015006</v>
      </c>
      <c r="R6912">
        <v>5.3387780000000003E-2</v>
      </c>
      <c r="S6912">
        <v>3.110382</v>
      </c>
      <c r="T6912">
        <v>-0.79036960000000001</v>
      </c>
      <c r="U6912">
        <v>-0.1164703</v>
      </c>
      <c r="V6912">
        <v>5.1956099999999998E-2</v>
      </c>
      <c r="W6912">
        <v>0.12421699999999999</v>
      </c>
      <c r="X6912">
        <v>0.99089389999999999</v>
      </c>
      <c r="Y6912">
        <v>0.135155</v>
      </c>
      <c r="Z6912">
        <v>-4.329297E-2</v>
      </c>
      <c r="AA6912">
        <v>0.98987820000000004</v>
      </c>
      <c r="AB6912">
        <v>7</v>
      </c>
      <c r="AC6912">
        <v>0.65179999999997995</v>
      </c>
      <c r="AD6912">
        <v>-0.1835108</v>
      </c>
      <c r="AE6912">
        <v>-3.3900000000016903E-2</v>
      </c>
      <c r="AF6912">
        <v>9.5064120623130105E-2</v>
      </c>
      <c r="AG6912">
        <v>-0.1835108</v>
      </c>
      <c r="AH6912">
        <v>0.59734716717651704</v>
      </c>
      <c r="AI6912">
        <v>106.877361081977</v>
      </c>
      <c r="AJ6912">
        <v>80.957559494877799</v>
      </c>
      <c r="AK6912">
        <v>0.63208942316756001</v>
      </c>
      <c r="AL6912">
        <v>82.864459294839406</v>
      </c>
      <c r="AM6912">
        <v>86.9985266194372</v>
      </c>
      <c r="AN6912">
        <v>1.0000000102367099</v>
      </c>
    </row>
    <row r="6913" spans="1:40" x14ac:dyDescent="0.25">
      <c r="A6913" t="str">
        <f>"20190312172845580"</f>
        <v>20190312172845580</v>
      </c>
      <c r="B6913" t="str">
        <f>"1552382925576567"</f>
        <v>1552382925576567</v>
      </c>
      <c r="C6913" t="s">
        <v>40</v>
      </c>
      <c r="D6913">
        <v>3.7815210000000001</v>
      </c>
      <c r="E6913">
        <v>0.53336070000000002</v>
      </c>
      <c r="F6913" t="s">
        <v>44</v>
      </c>
      <c r="G6913">
        <v>-158.7312</v>
      </c>
      <c r="H6913">
        <v>0.92942130000000001</v>
      </c>
      <c r="I6913">
        <v>138.23339999999999</v>
      </c>
      <c r="J6913">
        <v>-159.38030000000001</v>
      </c>
      <c r="K6913">
        <v>1.111237</v>
      </c>
      <c r="L6913">
        <v>138.267</v>
      </c>
      <c r="M6913">
        <v>0.9941972</v>
      </c>
      <c r="N6913">
        <v>0</v>
      </c>
      <c r="O6913">
        <v>0.105021699999999</v>
      </c>
      <c r="P6913">
        <v>0.99375639999999998</v>
      </c>
      <c r="Q6913">
        <v>9.8735550000000005E-2</v>
      </c>
      <c r="R6913">
        <v>5.1959329999999998E-2</v>
      </c>
      <c r="S6913">
        <v>3.1080779999999999</v>
      </c>
      <c r="T6913">
        <v>-0.79773249999999996</v>
      </c>
      <c r="U6913">
        <v>-0.12362670000000001</v>
      </c>
      <c r="V6913">
        <v>5.2803389999999999E-2</v>
      </c>
      <c r="W6913">
        <v>0.1218188</v>
      </c>
      <c r="X6913">
        <v>0.99114679999999999</v>
      </c>
      <c r="Y6913">
        <v>0.1366704</v>
      </c>
      <c r="Z6913">
        <v>-4.3751869999999998E-2</v>
      </c>
      <c r="AA6913">
        <v>0.98965000000000003</v>
      </c>
      <c r="AB6913">
        <v>7</v>
      </c>
      <c r="AC6913">
        <v>0.64910000000000401</v>
      </c>
      <c r="AD6913">
        <v>-0.1818157</v>
      </c>
      <c r="AE6913">
        <v>-3.3600000000006902E-2</v>
      </c>
      <c r="AF6913">
        <v>9.42288763599613E-2</v>
      </c>
      <c r="AG6913">
        <v>-0.1818157</v>
      </c>
      <c r="AH6913">
        <v>0.59539024948712505</v>
      </c>
      <c r="AI6913">
        <v>106.784271353674</v>
      </c>
      <c r="AJ6913">
        <v>81.006728790848896</v>
      </c>
      <c r="AK6913">
        <v>0.62962336288521903</v>
      </c>
      <c r="AL6913">
        <v>83.002917652641102</v>
      </c>
      <c r="AM6913">
        <v>86.950447719865593</v>
      </c>
      <c r="AN6913">
        <v>0.99999999858958599</v>
      </c>
    </row>
    <row r="6914" spans="1:40" x14ac:dyDescent="0.25">
      <c r="A6914" t="str">
        <f>"20190312172845603"</f>
        <v>20190312172845603</v>
      </c>
      <c r="B6914" t="str">
        <f>"1552382925597062"</f>
        <v>1552382925597062</v>
      </c>
      <c r="C6914" t="s">
        <v>40</v>
      </c>
      <c r="D6914">
        <v>3.8038460000000001</v>
      </c>
      <c r="E6914">
        <v>0.53329859999999996</v>
      </c>
      <c r="F6914" t="s">
        <v>44</v>
      </c>
      <c r="G6914">
        <v>-158.6782</v>
      </c>
      <c r="H6914">
        <v>0.92942449999999999</v>
      </c>
      <c r="I6914">
        <v>138.2379</v>
      </c>
      <c r="J6914">
        <v>-159.32130000000001</v>
      </c>
      <c r="K6914">
        <v>1.111329</v>
      </c>
      <c r="L6914">
        <v>138.2724</v>
      </c>
      <c r="M6914">
        <v>0.99425280000000005</v>
      </c>
      <c r="N6914">
        <v>0</v>
      </c>
      <c r="O6914">
        <v>0.1043594</v>
      </c>
      <c r="P6914">
        <v>0.99413370000000001</v>
      </c>
      <c r="Q6914">
        <v>9.607715E-2</v>
      </c>
      <c r="R6914">
        <v>4.9675270000000001E-2</v>
      </c>
      <c r="S6914">
        <v>3.1054080000000002</v>
      </c>
      <c r="T6914">
        <v>-0.80395660000000002</v>
      </c>
      <c r="U6914">
        <v>-0.1280365</v>
      </c>
      <c r="V6914">
        <v>5.4443800000000001E-2</v>
      </c>
      <c r="W6914">
        <v>0.1197621</v>
      </c>
      <c r="X6914">
        <v>0.99130870000000004</v>
      </c>
      <c r="Y6914">
        <v>0.137316299999999</v>
      </c>
      <c r="Z6914">
        <v>-4.4032849999999998E-2</v>
      </c>
      <c r="AA6914">
        <v>0.98954810000000004</v>
      </c>
      <c r="AB6914">
        <v>6</v>
      </c>
      <c r="AC6914">
        <v>0.643100000000004</v>
      </c>
      <c r="AD6914">
        <v>-0.181904499999999</v>
      </c>
      <c r="AE6914">
        <v>-3.4500000000008399E-2</v>
      </c>
      <c r="AF6914">
        <v>9.3949140896276595E-2</v>
      </c>
      <c r="AG6914">
        <v>-0.181904499999999</v>
      </c>
      <c r="AH6914">
        <v>0.58899621856498696</v>
      </c>
      <c r="AI6914">
        <v>106.960801403799</v>
      </c>
      <c r="AJ6914">
        <v>80.937255461650807</v>
      </c>
      <c r="AK6914">
        <v>0.62356413758269702</v>
      </c>
      <c r="AL6914">
        <v>83.121627193589106</v>
      </c>
      <c r="AM6914">
        <v>86.856408862806205</v>
      </c>
      <c r="AN6914">
        <v>1.00000001332527</v>
      </c>
    </row>
    <row r="6915" spans="1:40" x14ac:dyDescent="0.25">
      <c r="A6915" t="str">
        <f>"20190312172845623"</f>
        <v>20190312172845623</v>
      </c>
      <c r="B6915" t="str">
        <f>"1552382925616582"</f>
        <v>1552382925616582</v>
      </c>
      <c r="C6915" t="s">
        <v>40</v>
      </c>
      <c r="D6915">
        <v>3.8011349999999999</v>
      </c>
      <c r="E6915">
        <v>0.53315840000000003</v>
      </c>
      <c r="F6915" t="s">
        <v>44</v>
      </c>
      <c r="G6915">
        <v>-158.62780000000001</v>
      </c>
      <c r="H6915">
        <v>0.92988459999999995</v>
      </c>
      <c r="I6915">
        <v>138.24270000000001</v>
      </c>
      <c r="J6915">
        <v>-159.27330000000001</v>
      </c>
      <c r="K6915">
        <v>1.1114109999999999</v>
      </c>
      <c r="L6915">
        <v>138.27680000000001</v>
      </c>
      <c r="M6915">
        <v>0.99430209999999997</v>
      </c>
      <c r="N6915">
        <v>0</v>
      </c>
      <c r="O6915">
        <v>0.10377599999999999</v>
      </c>
      <c r="P6915">
        <v>0.99434060000000002</v>
      </c>
      <c r="Q6915">
        <v>9.4860269999999997E-2</v>
      </c>
      <c r="R6915">
        <v>4.7837629999999999E-2</v>
      </c>
      <c r="S6915">
        <v>3.102814</v>
      </c>
      <c r="T6915">
        <v>-0.81181789999999998</v>
      </c>
      <c r="U6915">
        <v>-0.13310239999999901</v>
      </c>
      <c r="V6915">
        <v>5.5700699999999902E-2</v>
      </c>
      <c r="W6915">
        <v>0.1190283</v>
      </c>
      <c r="X6915">
        <v>0.99132719999999996</v>
      </c>
      <c r="Y6915">
        <v>0.13820660000000001</v>
      </c>
      <c r="Z6915">
        <v>-4.444969E-2</v>
      </c>
      <c r="AA6915">
        <v>0.98940550000000005</v>
      </c>
      <c r="AB6915">
        <v>6</v>
      </c>
      <c r="AC6915">
        <v>0.64549999999999796</v>
      </c>
      <c r="AD6915">
        <v>-0.1815264</v>
      </c>
      <c r="AE6915">
        <v>-3.40999999999951E-2</v>
      </c>
      <c r="AF6915">
        <v>9.3545725966616797E-2</v>
      </c>
      <c r="AG6915">
        <v>-0.1815264</v>
      </c>
      <c r="AH6915">
        <v>0.59180126034805802</v>
      </c>
      <c r="AI6915">
        <v>106.855429066062</v>
      </c>
      <c r="AJ6915">
        <v>81.017604337962098</v>
      </c>
      <c r="AK6915">
        <v>0.62604422247404501</v>
      </c>
      <c r="AL6915">
        <v>83.163973389394599</v>
      </c>
      <c r="AM6915">
        <v>86.784045829607095</v>
      </c>
      <c r="AN6915">
        <v>0.99999996082060905</v>
      </c>
    </row>
    <row r="6916" spans="1:40" x14ac:dyDescent="0.25">
      <c r="A6916" t="str">
        <f>"20190312172845645"</f>
        <v>20190312172845645</v>
      </c>
      <c r="B6916" t="str">
        <f>"1552382925637078"</f>
        <v>1552382925637078</v>
      </c>
      <c r="C6916" t="s">
        <v>40</v>
      </c>
      <c r="D6916">
        <v>3.7838039999999999</v>
      </c>
      <c r="E6916">
        <v>0.53302910000000003</v>
      </c>
      <c r="F6916" t="s">
        <v>44</v>
      </c>
      <c r="G6916">
        <v>-158.58029999999999</v>
      </c>
      <c r="H6916">
        <v>0.92919799999999997</v>
      </c>
      <c r="I6916">
        <v>138.2466</v>
      </c>
      <c r="J6916">
        <v>-159.2225</v>
      </c>
      <c r="K6916">
        <v>1.1114599999999999</v>
      </c>
      <c r="L6916">
        <v>138.28129999999999</v>
      </c>
      <c r="M6916">
        <v>0.99435750000000001</v>
      </c>
      <c r="N6916">
        <v>0</v>
      </c>
      <c r="O6916">
        <v>0.10315000000000001</v>
      </c>
      <c r="P6916">
        <v>0.99447479999999999</v>
      </c>
      <c r="Q6916">
        <v>9.4341079999999994E-2</v>
      </c>
      <c r="R6916">
        <v>4.6039940000000001E-2</v>
      </c>
      <c r="S6916">
        <v>3.101334</v>
      </c>
      <c r="T6916">
        <v>-0.81533940000000005</v>
      </c>
      <c r="U6916">
        <v>-0.134719799999999</v>
      </c>
      <c r="V6916">
        <v>5.6869660000000002E-2</v>
      </c>
      <c r="W6916">
        <v>0.1189047</v>
      </c>
      <c r="X6916">
        <v>0.99127569999999998</v>
      </c>
      <c r="Y6916">
        <v>0.13806869999999999</v>
      </c>
      <c r="Z6916">
        <v>-4.4477589999999997E-2</v>
      </c>
      <c r="AA6916">
        <v>0.98942350000000001</v>
      </c>
      <c r="AB6916">
        <v>6</v>
      </c>
      <c r="AC6916">
        <v>0.64220000000000199</v>
      </c>
      <c r="AD6916">
        <v>-0.18226200000000001</v>
      </c>
      <c r="AE6916">
        <v>-3.4699999999986603E-2</v>
      </c>
      <c r="AF6916">
        <v>9.3285969509637801E-2</v>
      </c>
      <c r="AG6916">
        <v>-0.18226200000000001</v>
      </c>
      <c r="AH6916">
        <v>0.587970250831782</v>
      </c>
      <c r="AI6916">
        <v>107.02226784233901</v>
      </c>
      <c r="AJ6916">
        <v>80.984730790850193</v>
      </c>
      <c r="AK6916">
        <v>0.62259997158251001</v>
      </c>
      <c r="AL6916">
        <v>83.171106066993104</v>
      </c>
      <c r="AM6916">
        <v>86.716530303402806</v>
      </c>
      <c r="AN6916">
        <v>0.99999999966054698</v>
      </c>
    </row>
    <row r="6917" spans="1:40" x14ac:dyDescent="0.25">
      <c r="A6917" t="str">
        <f>"20190312172845674"</f>
        <v>20190312172845674</v>
      </c>
      <c r="B6917" t="str">
        <f>"1552382925666358"</f>
        <v>1552382925666358</v>
      </c>
      <c r="C6917" t="s">
        <v>40</v>
      </c>
      <c r="D6917">
        <v>4.0031379999999999</v>
      </c>
      <c r="E6917">
        <v>0.53282309999999999</v>
      </c>
      <c r="F6917" t="s">
        <v>44</v>
      </c>
      <c r="G6917">
        <v>-158.5342</v>
      </c>
      <c r="H6917">
        <v>0.93024640000000003</v>
      </c>
      <c r="I6917">
        <v>138.25059999999999</v>
      </c>
      <c r="J6917">
        <v>-159.16139999999999</v>
      </c>
      <c r="K6917">
        <v>1.1115170000000001</v>
      </c>
      <c r="L6917">
        <v>138.2867</v>
      </c>
      <c r="M6917">
        <v>0.99442260000000005</v>
      </c>
      <c r="N6917">
        <v>0</v>
      </c>
      <c r="O6917">
        <v>0.102418</v>
      </c>
      <c r="P6917">
        <v>0.99449379999999998</v>
      </c>
      <c r="Q6917">
        <v>9.4679769999999996E-2</v>
      </c>
      <c r="R6917">
        <v>4.4922499999999997E-2</v>
      </c>
      <c r="S6917">
        <v>3.1004939999999999</v>
      </c>
      <c r="T6917">
        <v>-0.81622459999999997</v>
      </c>
      <c r="U6917">
        <v>-0.13801569999999999</v>
      </c>
      <c r="V6917">
        <v>5.7242990000000001E-2</v>
      </c>
      <c r="W6917">
        <v>0.1196608</v>
      </c>
      <c r="X6917">
        <v>0.99116320000000002</v>
      </c>
      <c r="Y6917">
        <v>0.13839499999999999</v>
      </c>
      <c r="Z6917">
        <v>-4.4388909999999997E-2</v>
      </c>
      <c r="AA6917">
        <v>0.98938179999999998</v>
      </c>
      <c r="AB6917">
        <v>5</v>
      </c>
      <c r="AC6917">
        <v>0.62719999999998699</v>
      </c>
      <c r="AD6917">
        <v>-0.1812706</v>
      </c>
      <c r="AE6917">
        <v>-3.6100000000004601E-2</v>
      </c>
      <c r="AF6917">
        <v>9.2468594794270706E-2</v>
      </c>
      <c r="AG6917">
        <v>-0.1812706</v>
      </c>
      <c r="AH6917">
        <v>0.57253529535501801</v>
      </c>
      <c r="AI6917">
        <v>107.357161241721</v>
      </c>
      <c r="AJ6917">
        <v>80.825540092634895</v>
      </c>
      <c r="AK6917">
        <v>0.60762335033706905</v>
      </c>
      <c r="AL6917">
        <v>83.127473052939806</v>
      </c>
      <c r="AM6917">
        <v>86.6946487729669</v>
      </c>
      <c r="AN6917">
        <v>0.99999997799750895</v>
      </c>
    </row>
    <row r="6918" spans="1:40" x14ac:dyDescent="0.25">
      <c r="A6918" t="str">
        <f>"20190312172845696"</f>
        <v>20190312172845696</v>
      </c>
      <c r="B6918" t="str">
        <f>"1552382925686854"</f>
        <v>1552382925686854</v>
      </c>
      <c r="C6918" t="s">
        <v>40</v>
      </c>
      <c r="D6918">
        <v>3.7851979999999998</v>
      </c>
      <c r="E6918">
        <v>0.53267769999999903</v>
      </c>
      <c r="F6918" t="s">
        <v>44</v>
      </c>
      <c r="G6918">
        <v>-158.4522</v>
      </c>
      <c r="H6918">
        <v>0.92538509999999996</v>
      </c>
      <c r="I6918">
        <v>138.25470000000001</v>
      </c>
      <c r="J6918">
        <v>-159.1155</v>
      </c>
      <c r="K6918">
        <v>1.1115930000000001</v>
      </c>
      <c r="L6918">
        <v>138.29069999999999</v>
      </c>
      <c r="M6918">
        <v>0.99446979999999996</v>
      </c>
      <c r="N6918">
        <v>0</v>
      </c>
      <c r="O6918">
        <v>0.1018679</v>
      </c>
      <c r="P6918">
        <v>0.99455020000000005</v>
      </c>
      <c r="Q6918">
        <v>9.4634529999999994E-2</v>
      </c>
      <c r="R6918">
        <v>4.375428E-2</v>
      </c>
      <c r="S6918">
        <v>3.1003880000000001</v>
      </c>
      <c r="T6918">
        <v>-0.81366359999999904</v>
      </c>
      <c r="U6918">
        <v>-0.13972470000000001</v>
      </c>
      <c r="V6918">
        <v>5.7850489999999997E-2</v>
      </c>
      <c r="W6918">
        <v>0.1199827</v>
      </c>
      <c r="X6918">
        <v>0.991089</v>
      </c>
      <c r="Y6918">
        <v>0.1384609</v>
      </c>
      <c r="Z6918">
        <v>-4.4122550000000003E-2</v>
      </c>
      <c r="AA6918">
        <v>0.9893845</v>
      </c>
      <c r="AB6918">
        <v>5</v>
      </c>
      <c r="AC6918">
        <v>0.66329999999999201</v>
      </c>
      <c r="AD6918">
        <v>-0.18620790000000001</v>
      </c>
      <c r="AE6918">
        <v>-3.5999999999972901E-2</v>
      </c>
      <c r="AF6918">
        <v>9.5870379605348804E-2</v>
      </c>
      <c r="AG6918">
        <v>-0.18620790000000001</v>
      </c>
      <c r="AH6918">
        <v>0.60837418112778796</v>
      </c>
      <c r="AI6918">
        <v>106.822356522669</v>
      </c>
      <c r="AJ6918">
        <v>81.044713569673505</v>
      </c>
      <c r="AK6918">
        <v>0.64341561682243198</v>
      </c>
      <c r="AL6918">
        <v>83.108895620823901</v>
      </c>
      <c r="AM6918">
        <v>86.659399726737902</v>
      </c>
      <c r="AN6918">
        <v>0.99999996670676405</v>
      </c>
    </row>
    <row r="6919" spans="1:40" x14ac:dyDescent="0.25">
      <c r="A6919" t="str">
        <f>"20190312172845716"</f>
        <v>20190312172845716</v>
      </c>
      <c r="B6919" t="str">
        <f>"1552382925706374"</f>
        <v>1552382925706374</v>
      </c>
      <c r="C6919" t="s">
        <v>40</v>
      </c>
      <c r="D6919">
        <v>3.8134100000000002</v>
      </c>
      <c r="E6919">
        <v>0.5325088</v>
      </c>
      <c r="F6919" t="s">
        <v>44</v>
      </c>
      <c r="G6919">
        <v>-158.41309999999999</v>
      </c>
      <c r="H6919">
        <v>0.92756450000000001</v>
      </c>
      <c r="I6919">
        <v>138.25829999999999</v>
      </c>
      <c r="J6919">
        <v>-159.0804</v>
      </c>
      <c r="K6919">
        <v>1.1116680000000001</v>
      </c>
      <c r="L6919">
        <v>138.2937</v>
      </c>
      <c r="M6919">
        <v>0.99450570000000005</v>
      </c>
      <c r="N6919">
        <v>0</v>
      </c>
      <c r="O6919">
        <v>0.10144019999999999</v>
      </c>
      <c r="P6919">
        <v>0.99461080000000002</v>
      </c>
      <c r="Q6919">
        <v>9.4526499999999999E-2</v>
      </c>
      <c r="R6919">
        <v>4.2592289999999998E-2</v>
      </c>
      <c r="S6919">
        <v>3.0999599999999998</v>
      </c>
      <c r="T6919">
        <v>-0.81208359999999902</v>
      </c>
      <c r="U6919">
        <v>-0.1424561</v>
      </c>
      <c r="V6919">
        <v>5.8575420000000003E-2</v>
      </c>
      <c r="W6919">
        <v>0.1201811</v>
      </c>
      <c r="X6919">
        <v>0.99102239999999997</v>
      </c>
      <c r="Y6919">
        <v>0.1389396</v>
      </c>
      <c r="Z6919">
        <v>-4.399699E-2</v>
      </c>
      <c r="AA6919">
        <v>0.98932299999999995</v>
      </c>
      <c r="AB6919">
        <v>5</v>
      </c>
      <c r="AC6919">
        <v>0.667300000000011</v>
      </c>
      <c r="AD6919">
        <v>-0.1841035</v>
      </c>
      <c r="AE6919">
        <v>-3.5400000000009799E-2</v>
      </c>
      <c r="AF6919">
        <v>9.5669318883923896E-2</v>
      </c>
      <c r="AG6919">
        <v>-0.1841035</v>
      </c>
      <c r="AH6919">
        <v>0.61368271742531499</v>
      </c>
      <c r="AI6919">
        <v>106.510749380107</v>
      </c>
      <c r="AJ6919">
        <v>81.139265389163398</v>
      </c>
      <c r="AK6919">
        <v>0.64780644868238502</v>
      </c>
      <c r="AL6919">
        <v>83.097445423495103</v>
      </c>
      <c r="AM6919">
        <v>86.6174081575451</v>
      </c>
      <c r="AN6919">
        <v>0.99999998696357295</v>
      </c>
    </row>
    <row r="6920" spans="1:40" x14ac:dyDescent="0.25">
      <c r="A6920" t="str">
        <f>"20190312172845739"</f>
        <v>20190312172845739</v>
      </c>
      <c r="B6920" t="str">
        <f>"1552382925736630"</f>
        <v>1552382925736630</v>
      </c>
      <c r="C6920" t="s">
        <v>40</v>
      </c>
      <c r="D6920">
        <v>3.8367079999999998</v>
      </c>
      <c r="E6920">
        <v>0.53227380000000002</v>
      </c>
      <c r="F6920" t="s">
        <v>44</v>
      </c>
      <c r="G6920">
        <v>-158.37739999999999</v>
      </c>
      <c r="H6920">
        <v>0.92772949999999998</v>
      </c>
      <c r="I6920">
        <v>138.26070000000001</v>
      </c>
      <c r="J6920">
        <v>-159.04050000000001</v>
      </c>
      <c r="K6920">
        <v>1.1117459999999999</v>
      </c>
      <c r="L6920">
        <v>138.2972</v>
      </c>
      <c r="M6920">
        <v>0.99454580000000004</v>
      </c>
      <c r="N6920">
        <v>0</v>
      </c>
      <c r="O6920">
        <v>0.10095460000000001</v>
      </c>
      <c r="P6920">
        <v>0.99466560000000004</v>
      </c>
      <c r="Q6920">
        <v>9.4220940000000003E-2</v>
      </c>
      <c r="R6920">
        <v>4.1984470000000003E-2</v>
      </c>
      <c r="S6920">
        <v>3.0995180000000002</v>
      </c>
      <c r="T6920">
        <v>-0.81085399999999996</v>
      </c>
      <c r="U6920">
        <v>-0.1447601</v>
      </c>
      <c r="V6920">
        <v>5.868984E-2</v>
      </c>
      <c r="W6920">
        <v>0.1202246</v>
      </c>
      <c r="X6920">
        <v>0.99101039999999996</v>
      </c>
      <c r="Y6920">
        <v>0.1392265</v>
      </c>
      <c r="Z6920">
        <v>-4.3850670000000001E-2</v>
      </c>
      <c r="AA6920">
        <v>0.98928919999999998</v>
      </c>
      <c r="AB6920">
        <v>4</v>
      </c>
      <c r="AC6920">
        <v>0.66310000000001401</v>
      </c>
      <c r="AD6920">
        <v>-0.184016499999999</v>
      </c>
      <c r="AE6920">
        <v>-3.6499999999989499E-2</v>
      </c>
      <c r="AF6920">
        <v>9.5915136443760499E-2</v>
      </c>
      <c r="AG6920">
        <v>-0.184016499999999</v>
      </c>
      <c r="AH6920">
        <v>0.60924655186334398</v>
      </c>
      <c r="AI6920">
        <v>106.613241672022</v>
      </c>
      <c r="AJ6920">
        <v>81.053221779083302</v>
      </c>
      <c r="AK6920">
        <v>0.64361723611836996</v>
      </c>
      <c r="AL6920">
        <v>83.094935168621703</v>
      </c>
      <c r="AM6920">
        <v>86.610775117294097</v>
      </c>
      <c r="AN6920">
        <v>1.0000000323362701</v>
      </c>
    </row>
    <row r="6921" spans="1:40" x14ac:dyDescent="0.25">
      <c r="A6921" t="str">
        <f>"20190312172845778"</f>
        <v>20190312172845778</v>
      </c>
      <c r="B6921" t="str">
        <f>"1552382925766887"</f>
        <v>1552382925766887</v>
      </c>
      <c r="C6921" t="s">
        <v>40</v>
      </c>
      <c r="D6921">
        <v>3.783728</v>
      </c>
      <c r="E6921">
        <v>0.53204790000000002</v>
      </c>
      <c r="F6921" t="s">
        <v>44</v>
      </c>
      <c r="G6921">
        <v>-158.34360000000001</v>
      </c>
      <c r="H6921">
        <v>0.92972390000000005</v>
      </c>
      <c r="I6921">
        <v>138.2645</v>
      </c>
      <c r="J6921">
        <v>-158.98220000000001</v>
      </c>
      <c r="K6921">
        <v>1.1118410000000001</v>
      </c>
      <c r="L6921">
        <v>138.3022</v>
      </c>
      <c r="M6921">
        <v>0.99460040000000005</v>
      </c>
      <c r="N6921">
        <v>0</v>
      </c>
      <c r="O6921">
        <v>0.1002774</v>
      </c>
      <c r="P6921">
        <v>0.9946277</v>
      </c>
      <c r="Q6921">
        <v>9.4239790000000004E-2</v>
      </c>
      <c r="R6921">
        <v>4.2835949999999998E-2</v>
      </c>
      <c r="S6921">
        <v>3.0988769999999999</v>
      </c>
      <c r="T6921">
        <v>-0.80935259999999998</v>
      </c>
      <c r="U6921">
        <v>-0.14494319999999999</v>
      </c>
      <c r="V6921">
        <v>5.7150949999999999E-2</v>
      </c>
      <c r="W6921">
        <v>0.1207723</v>
      </c>
      <c r="X6921">
        <v>0.99103370000000002</v>
      </c>
      <c r="Y6921">
        <v>0.13868900000000001</v>
      </c>
      <c r="Z6921">
        <v>-4.3538750000000001E-2</v>
      </c>
      <c r="AA6921">
        <v>0.98937850000000005</v>
      </c>
      <c r="AB6921">
        <v>4</v>
      </c>
      <c r="AC6921">
        <v>0.63859999999999595</v>
      </c>
      <c r="AD6921">
        <v>-0.1821171</v>
      </c>
      <c r="AE6921">
        <v>-3.7700000000000899E-2</v>
      </c>
      <c r="AF6921">
        <v>9.3955165202817506E-2</v>
      </c>
      <c r="AG6921">
        <v>-0.1821171</v>
      </c>
      <c r="AH6921">
        <v>0.58424610464174798</v>
      </c>
      <c r="AI6921">
        <v>107.106213071734</v>
      </c>
      <c r="AJ6921">
        <v>80.864233969573405</v>
      </c>
      <c r="AK6921">
        <v>0.61914273150038301</v>
      </c>
      <c r="AL6921">
        <v>83.063323620246805</v>
      </c>
      <c r="AM6921">
        <v>86.699521364391202</v>
      </c>
      <c r="AN6921">
        <v>0.99999998703444104</v>
      </c>
    </row>
    <row r="6922" spans="1:40" x14ac:dyDescent="0.25">
      <c r="A6922" t="str">
        <f>"20190312172845802"</f>
        <v>20190312172845802</v>
      </c>
      <c r="B6922" t="str">
        <f>"1552382925797144"</f>
        <v>1552382925797144</v>
      </c>
      <c r="C6922" t="s">
        <v>40</v>
      </c>
      <c r="D6922">
        <v>3.787236</v>
      </c>
      <c r="E6922">
        <v>0.53176899999999905</v>
      </c>
      <c r="F6922" t="s">
        <v>44</v>
      </c>
      <c r="G6922">
        <v>-158.28530000000001</v>
      </c>
      <c r="H6922">
        <v>0.93037270000000005</v>
      </c>
      <c r="I6922">
        <v>138.27000000000001</v>
      </c>
      <c r="J6922">
        <v>-158.94919999999999</v>
      </c>
      <c r="K6922">
        <v>1.111901</v>
      </c>
      <c r="L6922">
        <v>138.30510000000001</v>
      </c>
      <c r="M6922">
        <v>0.99462850000000003</v>
      </c>
      <c r="N6922">
        <v>0</v>
      </c>
      <c r="O6922">
        <v>9.9902640000000001E-2</v>
      </c>
      <c r="P6922">
        <v>0.99467240000000001</v>
      </c>
      <c r="Q6922">
        <v>9.3602930000000001E-2</v>
      </c>
      <c r="R6922">
        <v>4.3193559999999999E-2</v>
      </c>
      <c r="S6922">
        <v>3.0987849999999999</v>
      </c>
      <c r="T6922">
        <v>-0.80677189999999999</v>
      </c>
      <c r="U6922">
        <v>-0.1426086</v>
      </c>
      <c r="V6922">
        <v>5.6418969999999999E-2</v>
      </c>
      <c r="W6922">
        <v>0.1204973</v>
      </c>
      <c r="X6922">
        <v>0.99110909999999997</v>
      </c>
      <c r="Y6922">
        <v>0.1376704</v>
      </c>
      <c r="Z6922">
        <v>-4.3180320000000001E-2</v>
      </c>
      <c r="AA6922">
        <v>0.98953639999999998</v>
      </c>
      <c r="AB6922">
        <v>3</v>
      </c>
      <c r="AC6922">
        <v>0.66389999999998395</v>
      </c>
      <c r="AD6922">
        <v>-0.1815283</v>
      </c>
      <c r="AE6922">
        <v>-3.5099999999999902E-2</v>
      </c>
      <c r="AF6922">
        <v>9.4247450630201096E-2</v>
      </c>
      <c r="AG6922">
        <v>-0.1815283</v>
      </c>
      <c r="AH6922">
        <v>0.61148003897307301</v>
      </c>
      <c r="AI6922">
        <v>106.351820475753</v>
      </c>
      <c r="AJ6922">
        <v>81.237948307079293</v>
      </c>
      <c r="AK6922">
        <v>0.64478131464372701</v>
      </c>
      <c r="AL6922">
        <v>83.079195783573994</v>
      </c>
      <c r="AM6922">
        <v>86.741949031831297</v>
      </c>
      <c r="AN6922">
        <v>0.99999997379298</v>
      </c>
    </row>
    <row r="6923" spans="1:40" x14ac:dyDescent="0.25">
      <c r="A6923" t="str">
        <f>"20190312172845825"</f>
        <v>20190312172845825</v>
      </c>
      <c r="B6923" t="str">
        <f>"1552382925816662"</f>
        <v>1552382925816662</v>
      </c>
      <c r="C6923" t="s">
        <v>40</v>
      </c>
      <c r="D6923">
        <v>3.778845</v>
      </c>
      <c r="E6923">
        <v>0.53161040000000004</v>
      </c>
      <c r="F6923" t="s">
        <v>44</v>
      </c>
      <c r="G6923">
        <v>-158.25970000000001</v>
      </c>
      <c r="H6923">
        <v>0.93216650000000001</v>
      </c>
      <c r="I6923">
        <v>138.27369999999999</v>
      </c>
      <c r="J6923">
        <v>-158.92330000000001</v>
      </c>
      <c r="K6923">
        <v>1.1119559999999999</v>
      </c>
      <c r="L6923">
        <v>138.3073</v>
      </c>
      <c r="M6923">
        <v>0.99464949999999996</v>
      </c>
      <c r="N6923">
        <v>0</v>
      </c>
      <c r="O6923">
        <v>9.960571E-2</v>
      </c>
      <c r="P6923">
        <v>0.99476169999999997</v>
      </c>
      <c r="Q6923">
        <v>9.2641790000000002E-2</v>
      </c>
      <c r="R6923">
        <v>4.3204409999999999E-2</v>
      </c>
      <c r="S6923">
        <v>3.0981450000000001</v>
      </c>
      <c r="T6923">
        <v>-0.80746519999999899</v>
      </c>
      <c r="U6923">
        <v>-0.14042660000000001</v>
      </c>
      <c r="V6923">
        <v>5.611588E-2</v>
      </c>
      <c r="W6923">
        <v>0.1198592</v>
      </c>
      <c r="X6923">
        <v>0.99120370000000002</v>
      </c>
      <c r="Y6923">
        <v>0.13671469999999999</v>
      </c>
      <c r="Z6923">
        <v>-4.302719E-2</v>
      </c>
      <c r="AA6923">
        <v>0.98967559999999999</v>
      </c>
      <c r="AB6923">
        <v>3</v>
      </c>
      <c r="AC6923">
        <v>0.66360000000000197</v>
      </c>
      <c r="AD6923">
        <v>-0.17978949999999899</v>
      </c>
      <c r="AE6923">
        <v>-3.3600000000006902E-2</v>
      </c>
      <c r="AF6923">
        <v>9.2764176859190195E-2</v>
      </c>
      <c r="AG6923">
        <v>-0.17978949999999899</v>
      </c>
      <c r="AH6923">
        <v>0.61213178520157696</v>
      </c>
      <c r="AI6923">
        <v>106.193026729202</v>
      </c>
      <c r="AJ6923">
        <v>81.382802118740599</v>
      </c>
      <c r="AK6923">
        <v>0.64469743234534704</v>
      </c>
      <c r="AL6923">
        <v>83.116023297580298</v>
      </c>
      <c r="AM6923">
        <v>86.759722920854401</v>
      </c>
      <c r="AN6923">
        <v>0.99999999735325196</v>
      </c>
    </row>
    <row r="6924" spans="1:40" x14ac:dyDescent="0.25">
      <c r="A6924" t="str">
        <f>"20190312172845848"</f>
        <v>20190312172845848</v>
      </c>
      <c r="B6924" t="str">
        <f>"1552382925837158"</f>
        <v>1552382925837158</v>
      </c>
      <c r="C6924" t="s">
        <v>40</v>
      </c>
      <c r="D6924">
        <v>3.7843339999999999</v>
      </c>
      <c r="E6924">
        <v>0.53146870000000002</v>
      </c>
      <c r="F6924" t="s">
        <v>44</v>
      </c>
      <c r="G6924">
        <v>-158.23740000000001</v>
      </c>
      <c r="H6924">
        <v>0.93257489999999998</v>
      </c>
      <c r="I6924">
        <v>138.27619999999999</v>
      </c>
      <c r="J6924">
        <v>-158.90090000000001</v>
      </c>
      <c r="K6924">
        <v>1.1120030000000001</v>
      </c>
      <c r="L6924">
        <v>138.3092</v>
      </c>
      <c r="M6924">
        <v>0.99466730000000003</v>
      </c>
      <c r="N6924">
        <v>0</v>
      </c>
      <c r="O6924">
        <v>9.9348720000000001E-2</v>
      </c>
      <c r="P6924">
        <v>0.99481730000000002</v>
      </c>
      <c r="Q6924">
        <v>9.1993510000000001E-2</v>
      </c>
      <c r="R6924">
        <v>4.331782E-2</v>
      </c>
      <c r="S6924">
        <v>3.097321</v>
      </c>
      <c r="T6924">
        <v>-0.80996250000000003</v>
      </c>
      <c r="U6924">
        <v>-0.13938900000000001</v>
      </c>
      <c r="V6924">
        <v>5.5748600000000002E-2</v>
      </c>
      <c r="W6924">
        <v>0.1195027</v>
      </c>
      <c r="X6924">
        <v>0.99126749999999997</v>
      </c>
      <c r="Y6924">
        <v>0.136117299999999</v>
      </c>
      <c r="Z6924">
        <v>-4.3024760000000002E-2</v>
      </c>
      <c r="AA6924">
        <v>0.98975800000000003</v>
      </c>
      <c r="AB6924">
        <v>3</v>
      </c>
      <c r="AC6924">
        <v>0.66349999999999898</v>
      </c>
      <c r="AD6924">
        <v>-0.17942810000000001</v>
      </c>
      <c r="AE6924">
        <v>-3.3000000000015399E-2</v>
      </c>
      <c r="AF6924">
        <v>9.2063715629702295E-2</v>
      </c>
      <c r="AG6924">
        <v>-0.17942810000000001</v>
      </c>
      <c r="AH6924">
        <v>0.61226998537260702</v>
      </c>
      <c r="AI6924">
        <v>106.161383488314</v>
      </c>
      <c r="AJ6924">
        <v>81.448806572495201</v>
      </c>
      <c r="AK6924">
        <v>0.64462757138779703</v>
      </c>
      <c r="AL6924">
        <v>83.136597338623702</v>
      </c>
      <c r="AM6924">
        <v>86.781092629221504</v>
      </c>
      <c r="AN6924">
        <v>1.00000002913274</v>
      </c>
    </row>
    <row r="6925" spans="1:40" x14ac:dyDescent="0.25">
      <c r="A6925" t="str">
        <f>"20190312172845873"</f>
        <v>20190312172845873</v>
      </c>
      <c r="B6925" t="str">
        <f>"1552382925866438"</f>
        <v>1552382925866438</v>
      </c>
      <c r="C6925" t="s">
        <v>40</v>
      </c>
      <c r="D6925">
        <v>3.8032569999999999</v>
      </c>
      <c r="E6925">
        <v>0.53124439999999995</v>
      </c>
      <c r="F6925" t="s">
        <v>44</v>
      </c>
      <c r="G6925">
        <v>-158.2028</v>
      </c>
      <c r="H6925">
        <v>0.92903069999999999</v>
      </c>
      <c r="I6925">
        <v>138.27809999999999</v>
      </c>
      <c r="J6925">
        <v>-158.881</v>
      </c>
      <c r="K6925">
        <v>1.112044</v>
      </c>
      <c r="L6925">
        <v>138.3109</v>
      </c>
      <c r="M6925">
        <v>0.99468179999999995</v>
      </c>
      <c r="N6925">
        <v>0</v>
      </c>
      <c r="O6925">
        <v>9.9125160000000004E-2</v>
      </c>
      <c r="P6925">
        <v>0.99488220000000005</v>
      </c>
      <c r="Q6925">
        <v>9.1232480000000005E-2</v>
      </c>
      <c r="R6925">
        <v>4.3429660000000002E-2</v>
      </c>
      <c r="S6925">
        <v>3.096695</v>
      </c>
      <c r="T6925">
        <v>-0.81161859999999997</v>
      </c>
      <c r="U6925">
        <v>-0.1375122</v>
      </c>
      <c r="V6925">
        <v>5.5419240000000002E-2</v>
      </c>
      <c r="W6925">
        <v>0.11901929999999999</v>
      </c>
      <c r="X6925">
        <v>0.99134409999999895</v>
      </c>
      <c r="Y6925">
        <v>0.1353056</v>
      </c>
      <c r="Z6925">
        <v>-4.2956840000000003E-2</v>
      </c>
      <c r="AA6925">
        <v>0.98987230000000004</v>
      </c>
      <c r="AB6925">
        <v>2</v>
      </c>
      <c r="AC6925">
        <v>0.67820000000000302</v>
      </c>
      <c r="AD6925">
        <v>-0.18301329999999999</v>
      </c>
      <c r="AE6925">
        <v>-3.2800000000008801E-2</v>
      </c>
      <c r="AF6925">
        <v>9.3125749998322696E-2</v>
      </c>
      <c r="AG6925">
        <v>-0.18301329999999999</v>
      </c>
      <c r="AH6925">
        <v>0.62611728139520695</v>
      </c>
      <c r="AI6925">
        <v>106.125548258213</v>
      </c>
      <c r="AJ6925">
        <v>81.540114214614306</v>
      </c>
      <c r="AK6925">
        <v>0.65893028717108204</v>
      </c>
      <c r="AL6925">
        <v>83.164493048591297</v>
      </c>
      <c r="AM6925">
        <v>86.800316880263793</v>
      </c>
      <c r="AN6925">
        <v>1.00000000526973</v>
      </c>
    </row>
    <row r="6926" spans="1:40" x14ac:dyDescent="0.25">
      <c r="A6926" t="str">
        <f>"20190312172845898"</f>
        <v>20190312172845898</v>
      </c>
      <c r="B6926" t="str">
        <f>"1552382925886935"</f>
        <v>1552382925886935</v>
      </c>
      <c r="C6926" t="s">
        <v>40</v>
      </c>
      <c r="D6926">
        <v>3.80829</v>
      </c>
      <c r="E6926">
        <v>0.53115059999999903</v>
      </c>
      <c r="F6926" t="s">
        <v>44</v>
      </c>
      <c r="G6926">
        <v>-158.1885</v>
      </c>
      <c r="H6926">
        <v>0.92999480000000001</v>
      </c>
      <c r="I6926">
        <v>138.28039999999999</v>
      </c>
      <c r="J6926">
        <v>-158.86449999999999</v>
      </c>
      <c r="K6926">
        <v>1.1120559999999999</v>
      </c>
      <c r="L6926">
        <v>138.31229999999999</v>
      </c>
      <c r="M6926">
        <v>0.99469470000000004</v>
      </c>
      <c r="N6926">
        <v>0</v>
      </c>
      <c r="O6926">
        <v>9.8940979999999998E-2</v>
      </c>
      <c r="P6926">
        <v>0.99496470000000004</v>
      </c>
      <c r="Q6926">
        <v>9.0364169999999994E-2</v>
      </c>
      <c r="R6926">
        <v>4.3358500000000001E-2</v>
      </c>
      <c r="S6926">
        <v>3.095993</v>
      </c>
      <c r="T6926">
        <v>-0.81382159999999903</v>
      </c>
      <c r="U6926">
        <v>-0.13597110000000001</v>
      </c>
      <c r="V6926">
        <v>5.5313300000000003E-2</v>
      </c>
      <c r="W6926">
        <v>0.11834509999999999</v>
      </c>
      <c r="X6926">
        <v>0.9914307</v>
      </c>
      <c r="Y6926">
        <v>0.1346243</v>
      </c>
      <c r="Z6926">
        <v>-4.2944000000000003E-2</v>
      </c>
      <c r="AA6926">
        <v>0.98996569999999995</v>
      </c>
      <c r="AB6926">
        <v>2</v>
      </c>
      <c r="AC6926">
        <v>0.67599999999998694</v>
      </c>
      <c r="AD6926">
        <v>-0.18206119999999901</v>
      </c>
      <c r="AE6926">
        <v>-3.1900000000007298E-2</v>
      </c>
      <c r="AF6926">
        <v>9.1995986916977801E-2</v>
      </c>
      <c r="AG6926">
        <v>-0.18206119999999901</v>
      </c>
      <c r="AH6926">
        <v>0.624337882544169</v>
      </c>
      <c r="AI6926">
        <v>106.092417303595</v>
      </c>
      <c r="AJ6926">
        <v>81.617802506827005</v>
      </c>
      <c r="AK6926">
        <v>0.65681605776199203</v>
      </c>
      <c r="AL6926">
        <v>83.203396640610706</v>
      </c>
      <c r="AM6926">
        <v>86.806699132408198</v>
      </c>
      <c r="AN6926">
        <v>0.99999997837669397</v>
      </c>
    </row>
    <row r="6927" spans="1:40" x14ac:dyDescent="0.25">
      <c r="A6927" t="str">
        <f>"20190312172845918"</f>
        <v>20190312172845918</v>
      </c>
      <c r="B6927" t="str">
        <f>"1552382925906455"</f>
        <v>1552382925906455</v>
      </c>
      <c r="C6927" t="s">
        <v>40</v>
      </c>
      <c r="D6927">
        <v>3.816859</v>
      </c>
      <c r="E6927">
        <v>0.53106330000000002</v>
      </c>
      <c r="F6927" t="s">
        <v>44</v>
      </c>
      <c r="G6927">
        <v>-158.1765</v>
      </c>
      <c r="H6927">
        <v>0.93071079999999995</v>
      </c>
      <c r="I6927">
        <v>138.2816</v>
      </c>
      <c r="J6927">
        <v>-158.85409999999999</v>
      </c>
      <c r="K6927">
        <v>1.1120350000000001</v>
      </c>
      <c r="L6927">
        <v>138.31319999999999</v>
      </c>
      <c r="M6927">
        <v>0.99470619999999998</v>
      </c>
      <c r="N6927">
        <v>0</v>
      </c>
      <c r="O6927">
        <v>9.8821439999999997E-2</v>
      </c>
      <c r="P6927">
        <v>0.99500160000000004</v>
      </c>
      <c r="Q6927">
        <v>9.021498E-2</v>
      </c>
      <c r="R6927">
        <v>4.282213E-2</v>
      </c>
      <c r="S6927">
        <v>3.0952609999999998</v>
      </c>
      <c r="T6927">
        <v>-0.81573180000000001</v>
      </c>
      <c r="U6927">
        <v>-0.1372833</v>
      </c>
      <c r="V6927">
        <v>5.5730519999999999E-2</v>
      </c>
      <c r="W6927">
        <v>0.118211999999999</v>
      </c>
      <c r="X6927">
        <v>0.99142319999999995</v>
      </c>
      <c r="Y6927">
        <v>0.13488939999999999</v>
      </c>
      <c r="Z6927">
        <v>-4.3054519999999999E-2</v>
      </c>
      <c r="AA6927">
        <v>0.98992480000000005</v>
      </c>
      <c r="AB6927">
        <v>2</v>
      </c>
      <c r="AC6927">
        <v>0.67759999999998399</v>
      </c>
      <c r="AD6927">
        <v>-0.18132419999999999</v>
      </c>
      <c r="AE6927">
        <v>-3.1599999999997401E-2</v>
      </c>
      <c r="AF6927">
        <v>9.1868885143678095E-2</v>
      </c>
      <c r="AG6927">
        <v>-0.18132419999999999</v>
      </c>
      <c r="AH6927">
        <v>0.626398499119041</v>
      </c>
      <c r="AI6927">
        <v>105.982089423734</v>
      </c>
      <c r="AJ6927">
        <v>81.656367617010801</v>
      </c>
      <c r="AK6927">
        <v>0.65855405037230497</v>
      </c>
      <c r="AL6927">
        <v>83.211076525366394</v>
      </c>
      <c r="AM6927">
        <v>86.782638663084498</v>
      </c>
      <c r="AN6927">
        <v>0.99999996465085395</v>
      </c>
    </row>
    <row r="6928" spans="1:40" x14ac:dyDescent="0.25">
      <c r="A6928" t="str">
        <f>"20190312172845938"</f>
        <v>20190312172845938</v>
      </c>
      <c r="B6928" t="str">
        <f>"1552382925926951"</f>
        <v>1552382925926951</v>
      </c>
      <c r="C6928" t="s">
        <v>40</v>
      </c>
      <c r="D6928">
        <v>3.8021829999999999</v>
      </c>
      <c r="E6928">
        <v>0.53111330000000001</v>
      </c>
      <c r="F6928" t="s">
        <v>44</v>
      </c>
      <c r="G6928">
        <v>-158.1669</v>
      </c>
      <c r="H6928">
        <v>0.93079270000000003</v>
      </c>
      <c r="I6928">
        <v>138.28219999999999</v>
      </c>
      <c r="J6928">
        <v>-158.8451</v>
      </c>
      <c r="K6928">
        <v>1.1119749999999999</v>
      </c>
      <c r="L6928">
        <v>138.31399999999999</v>
      </c>
      <c r="M6928">
        <v>0.99472169999999904</v>
      </c>
      <c r="N6928">
        <v>0</v>
      </c>
      <c r="O6928">
        <v>9.8711960000000001E-2</v>
      </c>
      <c r="P6928">
        <v>0.99488670000000001</v>
      </c>
      <c r="Q6928">
        <v>9.1932070000000005E-2</v>
      </c>
      <c r="R6928">
        <v>4.1823010000000001E-2</v>
      </c>
      <c r="S6928">
        <v>3.095062</v>
      </c>
      <c r="T6928">
        <v>-0.81624529999999995</v>
      </c>
      <c r="U6928">
        <v>-0.1394196</v>
      </c>
      <c r="V6928">
        <v>5.6603880000000002E-2</v>
      </c>
      <c r="W6928">
        <v>0.1197578</v>
      </c>
      <c r="X6928">
        <v>0.99118819999999996</v>
      </c>
      <c r="Y6928">
        <v>0.135439</v>
      </c>
      <c r="Z6928">
        <v>-4.3125770000000001E-2</v>
      </c>
      <c r="AA6928">
        <v>0.98984660000000002</v>
      </c>
      <c r="AB6928">
        <v>1</v>
      </c>
      <c r="AC6928">
        <v>0.67820000000000302</v>
      </c>
      <c r="AD6928">
        <v>-0.18118229999999999</v>
      </c>
      <c r="AE6928">
        <v>-3.1800000000003999E-2</v>
      </c>
      <c r="AF6928">
        <v>9.2061295877349597E-2</v>
      </c>
      <c r="AG6928">
        <v>-0.18118229999999999</v>
      </c>
      <c r="AH6928">
        <v>0.62708772617299002</v>
      </c>
      <c r="AI6928">
        <v>105.953244501345</v>
      </c>
      <c r="AJ6928">
        <v>81.648199098969897</v>
      </c>
      <c r="AK6928">
        <v>0.65919748508980003</v>
      </c>
      <c r="AL6928">
        <v>83.121875182341299</v>
      </c>
      <c r="AM6928">
        <v>86.731554357040295</v>
      </c>
      <c r="AN6928">
        <v>0.99999998885556696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2020-05-20T14:51:23Z</dcterms:created>
  <dcterms:modified xsi:type="dcterms:W3CDTF">2020-05-20T14:51:23Z</dcterms:modified>
</cp:coreProperties>
</file>